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drawings/drawing6.xml" ContentType="application/vnd.openxmlformats-officedocument.drawing+xml"/>
  <Override PartName="/xl/tables/table21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drawings/drawing7.xml" ContentType="application/vnd.openxmlformats-officedocument.drawing+xml"/>
  <Override PartName="/xl/tables/table2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8.xml" ContentType="application/vnd.openxmlformats-officedocument.drawingml.chartshapes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9.xml" ContentType="application/vnd.openxmlformats-officedocument.drawingml.chartshapes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pivotTables/pivotTable34.xml" ContentType="application/vnd.openxmlformats-officedocument.spreadsheetml.pivotTable+xml"/>
  <Override PartName="/xl/drawings/drawing10.xml" ContentType="application/vnd.openxmlformats-officedocument.drawing+xml"/>
  <Override PartName="/xl/slicers/slicer2.xml" ContentType="application/vnd.ms-excel.slicer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drawings/drawing11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updateLinks="always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fabdechocolateslaiberica-my.sharepoint.com/personal/giancarlo_mamani_laiberica_com_pe/Documents/MANTENIMIENTO/0.- Registros y planes principales/"/>
    </mc:Choice>
  </mc:AlternateContent>
  <xr:revisionPtr revIDLastSave="0" documentId="8_{FDA5527D-126C-4962-8343-50E1D1B44729}" xr6:coauthVersionLast="47" xr6:coauthVersionMax="47" xr10:uidLastSave="{00000000-0000-0000-0000-000000000000}"/>
  <bookViews>
    <workbookView xWindow="-120" yWindow="-120" windowWidth="29040" windowHeight="17520" tabRatio="842" firstSheet="4" xr2:uid="{3AEA4AB2-ACFA-45B3-87CF-9888EED6F947}"/>
  </bookViews>
  <sheets>
    <sheet name="REGISTRO" sheetId="24" r:id="rId1"/>
    <sheet name="TABLA-DIA" sheetId="71" r:id="rId2"/>
    <sheet name="PRESENTACION F." sheetId="76" r:id="rId3"/>
    <sheet name="TABLA RES-SEMANA" sheetId="62" r:id="rId4"/>
    <sheet name="CONSUMOS" sheetId="77" r:id="rId5"/>
    <sheet name="DATOS" sheetId="3" r:id="rId6"/>
    <sheet name="RESUMEN (2)" sheetId="75" state="hidden" r:id="rId7"/>
    <sheet name="DATA DETALLE FALLA" sheetId="44" state="hidden" r:id="rId8"/>
    <sheet name="SHAREPOINT" sheetId="69" r:id="rId9"/>
    <sheet name="PARA COPIAR" sheetId="70" r:id="rId10"/>
    <sheet name="SEMANA" sheetId="61" state="hidden" r:id="rId11"/>
    <sheet name="PRES. ORIG." sheetId="79" state="hidden" r:id="rId12"/>
    <sheet name="RESUMEN-DETALLE" sheetId="63" state="hidden" r:id="rId13"/>
    <sheet name="LEYENDA" sheetId="2" state="hidden" r:id="rId14"/>
    <sheet name="RESUMEN" sheetId="73" state="hidden" r:id="rId15"/>
  </sheets>
  <definedNames>
    <definedName name="_xlnm._FilterDatabase" localSheetId="7" hidden="1">'DATA DETALLE FALLA'!#REF!</definedName>
    <definedName name="_xlnm._FilterDatabase" localSheetId="5" hidden="1">DATOS!$M$2:$N$219</definedName>
    <definedName name="_xlnm._FilterDatabase" localSheetId="0" hidden="1">REGISTRO!$A$4:$T$2070</definedName>
    <definedName name="_xlnm.Print_Area" localSheetId="11">'PRES. ORIG.'!$B$3:$L$299</definedName>
    <definedName name="_xlnm.Print_Area" localSheetId="2">'PRESENTACION F.'!$B$3:$L$249</definedName>
    <definedName name="_xlnm.Print_Area" localSheetId="0">REGISTRO!#REF!</definedName>
    <definedName name="_xlnm.Print_Area" localSheetId="14">RESUMEN!$B$3:$L$447</definedName>
    <definedName name="_xlnm.Print_Area" localSheetId="6">'RESUMEN (2)'!$B$3:$L$446</definedName>
    <definedName name="_xlnm.Print_Area" localSheetId="10">SEMANA!$B$2:$M$284</definedName>
    <definedName name="_xlnm.Print_Area" localSheetId="1">'TABLA-DIA'!$B$1:$L$354</definedName>
    <definedName name="query___2026_06_23T082334.128" localSheetId="4" hidden="1">CONSUMOS!$B$2:$Z$293</definedName>
    <definedName name="SegmentaciónDeDatos_ACUM">#N/A</definedName>
    <definedName name="SegmentaciónDeDatos_FECHA">#N/A</definedName>
    <definedName name="SegmentaciónDeDatos_FECHA1">#N/A</definedName>
    <definedName name="SegmentaciónDeDatos_M_E">#N/A</definedName>
    <definedName name="SegmentaciónDeDatos_MAQUINA_AREA_EQUIPO">#N/A</definedName>
    <definedName name="SegmentaciónDeDatos_MAQUINA_AREA_EQUIPO1">#N/A</definedName>
    <definedName name="SegmentaciónDeDatos_P_NP">#N/A</definedName>
    <definedName name="SegmentaciónDeDatos_PIEZA___PARTE">#N/A</definedName>
    <definedName name="SegmentaciónDeDatos_TIPO_ACTIVIDAD">#N/A</definedName>
    <definedName name="Tecnicos">DATOS!$G$3:$G$5</definedName>
  </definedNames>
  <calcPr calcId="191028"/>
  <pivotCaches>
    <pivotCache cacheId="1146" r:id="rId16"/>
    <pivotCache cacheId="1147" r:id="rId17"/>
    <pivotCache cacheId="1148" r:id="rId18"/>
    <pivotCache cacheId="1149" r:id="rId19"/>
  </pivotCaches>
  <extLst>
    <ext xmlns:x14="http://schemas.microsoft.com/office/spreadsheetml/2009/9/main" uri="{BBE1A952-AA13-448e-AADC-164F8A28A991}">
      <x14:slicerCaches>
        <x14:slicerCache r:id="rId20"/>
        <x14:slicerCache r:id="rId21"/>
        <x14:slicerCache r:id="rId22"/>
        <x14:slicerCache r:id="rId23"/>
        <x14:slicerCache r:id="rId24"/>
        <x14:slicerCache r:id="rId2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6"/>
        <x14:slicerCache r:id="rId27"/>
        <x14:slicerCache r:id="rId28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D293" i="77" l="1"/>
  <c r="AC293" i="77"/>
  <c r="AB293" i="77"/>
  <c r="AA293" i="77"/>
  <c r="F2026" i="24"/>
  <c r="F2027" i="24"/>
  <c r="F2028" i="24"/>
  <c r="F2029" i="24"/>
  <c r="F2030" i="24"/>
  <c r="F2031" i="24"/>
  <c r="F2032" i="24"/>
  <c r="F2033" i="24"/>
  <c r="F2034" i="24"/>
  <c r="F2035" i="24"/>
  <c r="F2036" i="24"/>
  <c r="F2037" i="24"/>
  <c r="F2038" i="24"/>
  <c r="F2039" i="24"/>
  <c r="F2040" i="24"/>
  <c r="F2041" i="24"/>
  <c r="F2042" i="24"/>
  <c r="F2043" i="24"/>
  <c r="F2044" i="24"/>
  <c r="F2045" i="24"/>
  <c r="F2046" i="24"/>
  <c r="F2047" i="24"/>
  <c r="F2048" i="24"/>
  <c r="F2049" i="24"/>
  <c r="F2050" i="24"/>
  <c r="F2051" i="24"/>
  <c r="F2052" i="24"/>
  <c r="F2053" i="24"/>
  <c r="F2054" i="24"/>
  <c r="F2055" i="24"/>
  <c r="F2056" i="24"/>
  <c r="F2057" i="24"/>
  <c r="F2058" i="24"/>
  <c r="F2059" i="24"/>
  <c r="F2060" i="24"/>
  <c r="F2061" i="24"/>
  <c r="F2062" i="24"/>
  <c r="F2063" i="24"/>
  <c r="F2064" i="24"/>
  <c r="F2065" i="24"/>
  <c r="F2066" i="24"/>
  <c r="F2067" i="24"/>
  <c r="F2068" i="24"/>
  <c r="F2069" i="24"/>
  <c r="F2070" i="24"/>
  <c r="H2026" i="24"/>
  <c r="H2027" i="24"/>
  <c r="H2028" i="24"/>
  <c r="H2029" i="24"/>
  <c r="H2030" i="24"/>
  <c r="H2031" i="24"/>
  <c r="H2032" i="24"/>
  <c r="H2033" i="24"/>
  <c r="H2034" i="24"/>
  <c r="H2035" i="24"/>
  <c r="H2036" i="24"/>
  <c r="H2037" i="24"/>
  <c r="H2038" i="24"/>
  <c r="H2039" i="24"/>
  <c r="H2040" i="24"/>
  <c r="H2041" i="24"/>
  <c r="H2042" i="24"/>
  <c r="H2043" i="24"/>
  <c r="H2044" i="24"/>
  <c r="H2045" i="24"/>
  <c r="H2046" i="24"/>
  <c r="H2047" i="24"/>
  <c r="H2048" i="24"/>
  <c r="H2049" i="24"/>
  <c r="H2050" i="24"/>
  <c r="H2051" i="24"/>
  <c r="H2052" i="24"/>
  <c r="H2053" i="24"/>
  <c r="H2054" i="24"/>
  <c r="H2055" i="24"/>
  <c r="H2056" i="24"/>
  <c r="H2057" i="24"/>
  <c r="H2058" i="24"/>
  <c r="H2059" i="24"/>
  <c r="H2060" i="24"/>
  <c r="H2061" i="24"/>
  <c r="H2062" i="24"/>
  <c r="H2063" i="24"/>
  <c r="H2064" i="24"/>
  <c r="H2065" i="24"/>
  <c r="H2066" i="24"/>
  <c r="H2067" i="24"/>
  <c r="H2068" i="24"/>
  <c r="H2069" i="24"/>
  <c r="H2070" i="24"/>
  <c r="N2026" i="24" a="1"/>
  <c r="N2026" i="24"/>
  <c r="N2027" i="24" a="1"/>
  <c r="N2027" i="24"/>
  <c r="N2028" i="24" a="1"/>
  <c r="N2028" i="24"/>
  <c r="N2029" i="24" a="1"/>
  <c r="N2029" i="24"/>
  <c r="N2030" i="24" a="1"/>
  <c r="N2030" i="24"/>
  <c r="N2031" i="24" a="1"/>
  <c r="N2031" i="24"/>
  <c r="N2032" i="24" a="1"/>
  <c r="N2032" i="24"/>
  <c r="N2033" i="24" a="1"/>
  <c r="N2033" i="24"/>
  <c r="N2034" i="24" a="1"/>
  <c r="N2034" i="24"/>
  <c r="N2035" i="24" a="1"/>
  <c r="N2035" i="24"/>
  <c r="N2036" i="24" a="1"/>
  <c r="N2036" i="24"/>
  <c r="N2037" i="24" a="1"/>
  <c r="N2037" i="24"/>
  <c r="N2038" i="24" a="1"/>
  <c r="N2038" i="24"/>
  <c r="N2039" i="24" a="1"/>
  <c r="N2039" i="24"/>
  <c r="N2040" i="24" a="1"/>
  <c r="N2040" i="24"/>
  <c r="N2041" i="24" a="1"/>
  <c r="N2041" i="24"/>
  <c r="N2042" i="24" a="1"/>
  <c r="N2042" i="24"/>
  <c r="N2043" i="24" a="1"/>
  <c r="N2043" i="24"/>
  <c r="N2044" i="24" a="1"/>
  <c r="N2044" i="24"/>
  <c r="N2045" i="24" a="1"/>
  <c r="N2045" i="24"/>
  <c r="N2046" i="24" a="1"/>
  <c r="N2046" i="24"/>
  <c r="N2047" i="24" a="1"/>
  <c r="N2047" i="24"/>
  <c r="N2048" i="24" a="1"/>
  <c r="N2048" i="24"/>
  <c r="N2049" i="24" a="1"/>
  <c r="N2049" i="24"/>
  <c r="N2050" i="24" a="1"/>
  <c r="N2050" i="24"/>
  <c r="N2051" i="24" a="1"/>
  <c r="N2051" i="24"/>
  <c r="N2052" i="24" a="1"/>
  <c r="N2052" i="24"/>
  <c r="N2053" i="24" a="1"/>
  <c r="N2053" i="24"/>
  <c r="N2054" i="24" a="1"/>
  <c r="N2054" i="24"/>
  <c r="N2055" i="24" a="1"/>
  <c r="N2055" i="24"/>
  <c r="N2056" i="24" a="1"/>
  <c r="N2056" i="24"/>
  <c r="N2057" i="24" a="1"/>
  <c r="N2057" i="24"/>
  <c r="N2058" i="24" a="1"/>
  <c r="N2058" i="24"/>
  <c r="N2059" i="24" a="1"/>
  <c r="N2059" i="24"/>
  <c r="N2060" i="24" a="1"/>
  <c r="N2060" i="24"/>
  <c r="N2061" i="24" a="1"/>
  <c r="N2061" i="24"/>
  <c r="N2062" i="24" a="1"/>
  <c r="N2062" i="24"/>
  <c r="N2063" i="24" a="1"/>
  <c r="N2063" i="24"/>
  <c r="N2064" i="24" a="1"/>
  <c r="N2064" i="24"/>
  <c r="N2065" i="24" a="1"/>
  <c r="N2065" i="24"/>
  <c r="N2066" i="24" a="1"/>
  <c r="N2066" i="24"/>
  <c r="N2067" i="24" a="1"/>
  <c r="N2067" i="24"/>
  <c r="N2068" i="24" a="1"/>
  <c r="N2068" i="24"/>
  <c r="N2069" i="24" a="1"/>
  <c r="N2069" i="24"/>
  <c r="N2070" i="24" a="1"/>
  <c r="N2070" i="24"/>
  <c r="O2026" i="24" a="1"/>
  <c r="O2026" i="24"/>
  <c r="O2027" i="24" a="1"/>
  <c r="O2027" i="24"/>
  <c r="O2028" i="24" a="1"/>
  <c r="O2028" i="24"/>
  <c r="O2029" i="24" a="1"/>
  <c r="O2029" i="24"/>
  <c r="O2030" i="24" a="1"/>
  <c r="O2030" i="24"/>
  <c r="O2031" i="24" a="1"/>
  <c r="O2031" i="24"/>
  <c r="O2032" i="24" a="1"/>
  <c r="O2032" i="24"/>
  <c r="O2033" i="24" a="1"/>
  <c r="O2033" i="24"/>
  <c r="O2034" i="24" a="1"/>
  <c r="O2034" i="24"/>
  <c r="O2035" i="24" a="1"/>
  <c r="O2035" i="24"/>
  <c r="O2036" i="24" a="1"/>
  <c r="O2036" i="24"/>
  <c r="O2037" i="24" a="1"/>
  <c r="O2037" i="24"/>
  <c r="O2038" i="24" a="1"/>
  <c r="O2038" i="24"/>
  <c r="O2039" i="24" a="1"/>
  <c r="O2039" i="24"/>
  <c r="O2040" i="24" a="1"/>
  <c r="O2040" i="24"/>
  <c r="O2041" i="24" a="1"/>
  <c r="O2041" i="24"/>
  <c r="O2042" i="24" a="1"/>
  <c r="O2042" i="24"/>
  <c r="O2043" i="24" a="1"/>
  <c r="O2043" i="24"/>
  <c r="O2044" i="24" a="1"/>
  <c r="O2044" i="24"/>
  <c r="O2045" i="24" a="1"/>
  <c r="O2045" i="24"/>
  <c r="O2046" i="24" a="1"/>
  <c r="O2046" i="24"/>
  <c r="O2047" i="24" a="1"/>
  <c r="O2047" i="24"/>
  <c r="O2048" i="24" a="1"/>
  <c r="O2048" i="24"/>
  <c r="O2049" i="24" a="1"/>
  <c r="O2049" i="24"/>
  <c r="O2050" i="24" a="1"/>
  <c r="O2050" i="24"/>
  <c r="O2051" i="24" a="1"/>
  <c r="O2051" i="24"/>
  <c r="O2052" i="24" a="1"/>
  <c r="O2052" i="24"/>
  <c r="O2053" i="24" a="1"/>
  <c r="O2053" i="24"/>
  <c r="O2054" i="24" a="1"/>
  <c r="O2054" i="24"/>
  <c r="O2055" i="24" a="1"/>
  <c r="O2055" i="24"/>
  <c r="O2056" i="24" a="1"/>
  <c r="O2056" i="24"/>
  <c r="O2057" i="24" a="1"/>
  <c r="O2057" i="24"/>
  <c r="O2058" i="24" a="1"/>
  <c r="O2058" i="24"/>
  <c r="O2059" i="24" a="1"/>
  <c r="O2059" i="24"/>
  <c r="O2060" i="24" a="1"/>
  <c r="O2060" i="24"/>
  <c r="O2061" i="24" a="1"/>
  <c r="O2061" i="24"/>
  <c r="O2062" i="24" a="1"/>
  <c r="O2062" i="24"/>
  <c r="O2063" i="24" a="1"/>
  <c r="O2063" i="24"/>
  <c r="O2064" i="24" a="1"/>
  <c r="O2064" i="24"/>
  <c r="O2065" i="24" a="1"/>
  <c r="O2065" i="24"/>
  <c r="O2066" i="24" a="1"/>
  <c r="O2066" i="24"/>
  <c r="O2067" i="24" a="1"/>
  <c r="O2067" i="24"/>
  <c r="O2068" i="24" a="1"/>
  <c r="O2068" i="24"/>
  <c r="O2069" i="24" a="1"/>
  <c r="O2069" i="24"/>
  <c r="O2070" i="24" a="1"/>
  <c r="O2070" i="24"/>
  <c r="P2026" i="24"/>
  <c r="P2027" i="24"/>
  <c r="P2028" i="24"/>
  <c r="P2029" i="24"/>
  <c r="P2030" i="24"/>
  <c r="P2031" i="24"/>
  <c r="P2032" i="24"/>
  <c r="P2033" i="24"/>
  <c r="P2034" i="24"/>
  <c r="P2035" i="24"/>
  <c r="P2036" i="24"/>
  <c r="P2037" i="24"/>
  <c r="P2038" i="24"/>
  <c r="P2039" i="24"/>
  <c r="P2040" i="24"/>
  <c r="P2041" i="24"/>
  <c r="P2042" i="24"/>
  <c r="P2043" i="24"/>
  <c r="P2044" i="24"/>
  <c r="P2045" i="24"/>
  <c r="P2046" i="24"/>
  <c r="P2047" i="24"/>
  <c r="P2048" i="24"/>
  <c r="P2049" i="24"/>
  <c r="P2050" i="24"/>
  <c r="P2051" i="24"/>
  <c r="P2052" i="24"/>
  <c r="P2053" i="24"/>
  <c r="P2054" i="24"/>
  <c r="P2055" i="24"/>
  <c r="P2056" i="24"/>
  <c r="P2057" i="24"/>
  <c r="P2058" i="24"/>
  <c r="P2059" i="24"/>
  <c r="P2060" i="24"/>
  <c r="P2061" i="24"/>
  <c r="P2062" i="24"/>
  <c r="P2063" i="24"/>
  <c r="P2064" i="24"/>
  <c r="P2065" i="24"/>
  <c r="P2066" i="24"/>
  <c r="P2067" i="24"/>
  <c r="P2068" i="24"/>
  <c r="P2069" i="24"/>
  <c r="P2070" i="24"/>
  <c r="Q2026" i="24"/>
  <c r="Q2027" i="24"/>
  <c r="Q2028" i="24"/>
  <c r="Q2029" i="24"/>
  <c r="Q2030" i="24"/>
  <c r="Q2031" i="24"/>
  <c r="Q2032" i="24"/>
  <c r="Q2033" i="24"/>
  <c r="Q2034" i="24"/>
  <c r="Q2035" i="24"/>
  <c r="Q2036" i="24"/>
  <c r="Q2037" i="24"/>
  <c r="Q2038" i="24"/>
  <c r="Q2039" i="24"/>
  <c r="Q2040" i="24"/>
  <c r="Q2041" i="24"/>
  <c r="Q2042" i="24"/>
  <c r="Q2043" i="24"/>
  <c r="Q2044" i="24"/>
  <c r="Q2045" i="24"/>
  <c r="Q2046" i="24"/>
  <c r="Q2047" i="24"/>
  <c r="Q2048" i="24"/>
  <c r="Q2049" i="24"/>
  <c r="Q2050" i="24"/>
  <c r="Q2051" i="24"/>
  <c r="Q2052" i="24"/>
  <c r="Q2053" i="24"/>
  <c r="Q2054" i="24"/>
  <c r="Q2055" i="24"/>
  <c r="Q2056" i="24"/>
  <c r="Q2057" i="24"/>
  <c r="Q2058" i="24"/>
  <c r="Q2059" i="24"/>
  <c r="Q2060" i="24"/>
  <c r="Q2061" i="24"/>
  <c r="Q2062" i="24"/>
  <c r="Q2063" i="24"/>
  <c r="Q2064" i="24"/>
  <c r="Q2065" i="24"/>
  <c r="Q2066" i="24"/>
  <c r="Q2067" i="24"/>
  <c r="Q2068" i="24"/>
  <c r="Q2069" i="24"/>
  <c r="Q2070" i="24"/>
  <c r="R2026" i="24"/>
  <c r="R2027" i="24"/>
  <c r="R2028" i="24"/>
  <c r="R2029" i="24"/>
  <c r="R2030" i="24"/>
  <c r="R2031" i="24"/>
  <c r="R2032" i="24"/>
  <c r="R2033" i="24"/>
  <c r="R2034" i="24"/>
  <c r="R2035" i="24"/>
  <c r="R2036" i="24"/>
  <c r="R2037" i="24"/>
  <c r="R2038" i="24"/>
  <c r="R2039" i="24"/>
  <c r="R2040" i="24"/>
  <c r="R2041" i="24"/>
  <c r="R2042" i="24"/>
  <c r="R2043" i="24"/>
  <c r="R2044" i="24"/>
  <c r="R2045" i="24"/>
  <c r="R2046" i="24"/>
  <c r="R2047" i="24"/>
  <c r="R2048" i="24"/>
  <c r="R2049" i="24"/>
  <c r="R2050" i="24"/>
  <c r="R2051" i="24"/>
  <c r="R2052" i="24"/>
  <c r="R2053" i="24"/>
  <c r="R2054" i="24"/>
  <c r="R2055" i="24"/>
  <c r="R2056" i="24"/>
  <c r="R2057" i="24"/>
  <c r="R2058" i="24"/>
  <c r="R2059" i="24"/>
  <c r="R2060" i="24"/>
  <c r="R2061" i="24"/>
  <c r="R2062" i="24"/>
  <c r="R2063" i="24"/>
  <c r="R2064" i="24"/>
  <c r="R2065" i="24"/>
  <c r="R2066" i="24"/>
  <c r="R2067" i="24"/>
  <c r="R2068" i="24"/>
  <c r="R2069" i="24"/>
  <c r="R2070" i="24"/>
  <c r="S2026" i="24" a="1"/>
  <c r="S2026" i="24"/>
  <c r="S2027" i="24" a="1"/>
  <c r="S2027" i="24"/>
  <c r="S2028" i="24" a="1"/>
  <c r="S2028" i="24"/>
  <c r="S2029" i="24" a="1"/>
  <c r="S2029" i="24"/>
  <c r="S2030" i="24" a="1"/>
  <c r="S2030" i="24"/>
  <c r="S2031" i="24" a="1"/>
  <c r="S2031" i="24"/>
  <c r="S2032" i="24" a="1"/>
  <c r="S2032" i="24"/>
  <c r="S2033" i="24" a="1"/>
  <c r="S2033" i="24"/>
  <c r="S2034" i="24" a="1"/>
  <c r="S2034" i="24"/>
  <c r="S2035" i="24" a="1"/>
  <c r="S2035" i="24"/>
  <c r="S2036" i="24" a="1"/>
  <c r="S2036" i="24"/>
  <c r="S2037" i="24" a="1"/>
  <c r="S2037" i="24"/>
  <c r="S2038" i="24" a="1"/>
  <c r="S2038" i="24"/>
  <c r="S2039" i="24" a="1"/>
  <c r="S2039" i="24"/>
  <c r="S2040" i="24" a="1"/>
  <c r="S2040" i="24"/>
  <c r="S2041" i="24" a="1"/>
  <c r="S2041" i="24"/>
  <c r="S2042" i="24" a="1"/>
  <c r="S2042" i="24"/>
  <c r="S2043" i="24" a="1"/>
  <c r="S2043" i="24"/>
  <c r="S2044" i="24" a="1"/>
  <c r="S2044" i="24"/>
  <c r="S2045" i="24" a="1"/>
  <c r="S2045" i="24"/>
  <c r="S2046" i="24" a="1"/>
  <c r="S2046" i="24"/>
  <c r="S2047" i="24" a="1"/>
  <c r="S2047" i="24"/>
  <c r="S2048" i="24" a="1"/>
  <c r="S2048" i="24"/>
  <c r="S2049" i="24" a="1"/>
  <c r="S2049" i="24"/>
  <c r="S2050" i="24" a="1"/>
  <c r="S2050" i="24"/>
  <c r="S2051" i="24" a="1"/>
  <c r="S2051" i="24"/>
  <c r="S2052" i="24" a="1"/>
  <c r="S2052" i="24"/>
  <c r="S2053" i="24" a="1"/>
  <c r="S2053" i="24"/>
  <c r="S2054" i="24" a="1"/>
  <c r="S2054" i="24"/>
  <c r="S2055" i="24" a="1"/>
  <c r="S2055" i="24"/>
  <c r="S2056" i="24" a="1"/>
  <c r="S2056" i="24"/>
  <c r="S2057" i="24" a="1"/>
  <c r="S2057" i="24"/>
  <c r="S2058" i="24" a="1"/>
  <c r="S2058" i="24"/>
  <c r="S2059" i="24" a="1"/>
  <c r="S2059" i="24"/>
  <c r="S2060" i="24" a="1"/>
  <c r="S2060" i="24"/>
  <c r="S2061" i="24" a="1"/>
  <c r="S2061" i="24"/>
  <c r="S2062" i="24" a="1"/>
  <c r="S2062" i="24"/>
  <c r="S2063" i="24" a="1"/>
  <c r="S2063" i="24"/>
  <c r="S2064" i="24" a="1"/>
  <c r="S2064" i="24"/>
  <c r="S2065" i="24" a="1"/>
  <c r="S2065" i="24"/>
  <c r="S2066" i="24" a="1"/>
  <c r="S2066" i="24"/>
  <c r="S2067" i="24" a="1"/>
  <c r="S2067" i="24"/>
  <c r="S2068" i="24" a="1"/>
  <c r="S2068" i="24"/>
  <c r="S2069" i="24" a="1"/>
  <c r="S2069" i="24"/>
  <c r="S2070" i="24" a="1"/>
  <c r="S2070" i="24"/>
  <c r="T2026" i="24"/>
  <c r="T2027" i="24"/>
  <c r="T2028" i="24"/>
  <c r="T2029" i="24"/>
  <c r="T2030" i="24"/>
  <c r="T2031" i="24"/>
  <c r="T2032" i="24"/>
  <c r="T2033" i="24"/>
  <c r="T2034" i="24"/>
  <c r="T2035" i="24"/>
  <c r="T2036" i="24"/>
  <c r="T2037" i="24"/>
  <c r="T2038" i="24"/>
  <c r="T2039" i="24"/>
  <c r="T2040" i="24"/>
  <c r="T2041" i="24"/>
  <c r="T2042" i="24"/>
  <c r="T2043" i="24"/>
  <c r="T2044" i="24"/>
  <c r="T2045" i="24"/>
  <c r="T2046" i="24"/>
  <c r="T2047" i="24"/>
  <c r="T2048" i="24"/>
  <c r="T2049" i="24"/>
  <c r="T2050" i="24"/>
  <c r="T2051" i="24"/>
  <c r="T2052" i="24"/>
  <c r="T2053" i="24"/>
  <c r="T2054" i="24"/>
  <c r="T2055" i="24"/>
  <c r="T2056" i="24"/>
  <c r="T2057" i="24"/>
  <c r="T2058" i="24"/>
  <c r="T2059" i="24"/>
  <c r="T2060" i="24"/>
  <c r="T2061" i="24"/>
  <c r="T2062" i="24"/>
  <c r="T2063" i="24"/>
  <c r="T2064" i="24"/>
  <c r="T2065" i="24"/>
  <c r="T2066" i="24"/>
  <c r="T2067" i="24"/>
  <c r="T2068" i="24"/>
  <c r="T2069" i="24"/>
  <c r="T2070" i="24"/>
  <c r="U2026" i="24"/>
  <c r="U2027" i="24"/>
  <c r="U2028" i="24"/>
  <c r="U2029" i="24"/>
  <c r="U2030" i="24"/>
  <c r="U2031" i="24"/>
  <c r="U2032" i="24"/>
  <c r="U2033" i="24"/>
  <c r="U2034" i="24"/>
  <c r="U2035" i="24"/>
  <c r="U2036" i="24"/>
  <c r="U2037" i="24"/>
  <c r="U2038" i="24"/>
  <c r="U2039" i="24"/>
  <c r="U2040" i="24"/>
  <c r="U2041" i="24"/>
  <c r="U2042" i="24"/>
  <c r="U2043" i="24"/>
  <c r="U2044" i="24"/>
  <c r="U2045" i="24"/>
  <c r="U2046" i="24"/>
  <c r="U2047" i="24"/>
  <c r="U2048" i="24"/>
  <c r="U2049" i="24"/>
  <c r="U2050" i="24"/>
  <c r="U2051" i="24"/>
  <c r="U2052" i="24"/>
  <c r="U2053" i="24"/>
  <c r="U2054" i="24"/>
  <c r="U2055" i="24"/>
  <c r="U2056" i="24"/>
  <c r="U2057" i="24"/>
  <c r="U2058" i="24"/>
  <c r="U2059" i="24"/>
  <c r="U2060" i="24"/>
  <c r="U2061" i="24"/>
  <c r="U2062" i="24"/>
  <c r="U2063" i="24"/>
  <c r="U2064" i="24"/>
  <c r="U2065" i="24"/>
  <c r="U2066" i="24"/>
  <c r="U2067" i="24"/>
  <c r="U2068" i="24"/>
  <c r="U2069" i="24"/>
  <c r="U2070" i="24"/>
  <c r="AA292" i="77"/>
  <c r="AB292" i="77"/>
  <c r="AC292" i="77"/>
  <c r="AD292" i="77"/>
  <c r="F2023" i="24"/>
  <c r="F2015" i="24"/>
  <c r="F2018" i="24"/>
  <c r="F2019" i="24"/>
  <c r="F2024" i="24"/>
  <c r="F2014" i="24"/>
  <c r="F2025" i="24"/>
  <c r="F2022" i="24"/>
  <c r="F2021" i="24"/>
  <c r="F2016" i="24"/>
  <c r="F2020" i="24"/>
  <c r="F2017" i="24"/>
  <c r="H2023" i="24"/>
  <c r="H2015" i="24"/>
  <c r="H2018" i="24"/>
  <c r="H2019" i="24"/>
  <c r="H2024" i="24"/>
  <c r="H2014" i="24"/>
  <c r="H2025" i="24"/>
  <c r="H2022" i="24"/>
  <c r="H2021" i="24"/>
  <c r="H2016" i="24"/>
  <c r="H2020" i="24"/>
  <c r="H2017" i="24"/>
  <c r="N2023" i="24" a="1"/>
  <c r="N2015" i="24" a="1"/>
  <c r="N2018" i="24" a="1"/>
  <c r="N2019" i="24" a="1"/>
  <c r="N2024" i="24" a="1"/>
  <c r="N2014" i="24" a="1"/>
  <c r="N2025" i="24" a="1"/>
  <c r="N2022" i="24" a="1"/>
  <c r="N2021" i="24" a="1"/>
  <c r="N2016" i="24" a="1"/>
  <c r="N2020" i="24" a="1"/>
  <c r="N2017" i="24" a="1"/>
  <c r="O2023" i="24" a="1"/>
  <c r="O2015" i="24" a="1"/>
  <c r="O2018" i="24" a="1"/>
  <c r="O2019" i="24" a="1"/>
  <c r="O2024" i="24" a="1"/>
  <c r="O2014" i="24" a="1"/>
  <c r="O2025" i="24" a="1"/>
  <c r="O2022" i="24" a="1"/>
  <c r="O2021" i="24" a="1"/>
  <c r="O2016" i="24" a="1"/>
  <c r="O2020" i="24" a="1"/>
  <c r="O2017" i="24" a="1"/>
  <c r="S2023" i="24" a="1"/>
  <c r="S2015" i="24" a="1"/>
  <c r="S2018" i="24" a="1"/>
  <c r="S2019" i="24" a="1"/>
  <c r="S2024" i="24" a="1"/>
  <c r="S2014" i="24" a="1"/>
  <c r="S2025" i="24" a="1"/>
  <c r="S2022" i="24" a="1"/>
  <c r="S2021" i="24" a="1"/>
  <c r="S2016" i="24" a="1"/>
  <c r="S2020" i="24" a="1"/>
  <c r="S2017" i="24" a="1"/>
  <c r="U2023" i="24"/>
  <c r="U2015" i="24"/>
  <c r="U2018" i="24"/>
  <c r="U2019" i="24"/>
  <c r="U2024" i="24"/>
  <c r="U2014" i="24"/>
  <c r="U2025" i="24"/>
  <c r="U2022" i="24"/>
  <c r="U2021" i="24"/>
  <c r="U2016" i="24"/>
  <c r="U2020" i="24"/>
  <c r="U2017" i="24"/>
  <c r="AA291" i="77"/>
  <c r="AA290" i="77"/>
  <c r="AA289" i="77"/>
  <c r="AB291" i="77"/>
  <c r="AB290" i="77"/>
  <c r="AB289" i="77"/>
  <c r="AC291" i="77"/>
  <c r="AC290" i="77"/>
  <c r="AC289" i="77"/>
  <c r="AD291" i="77"/>
  <c r="AD290" i="77"/>
  <c r="AD289" i="77"/>
  <c r="F1989" i="24"/>
  <c r="F1995" i="24"/>
  <c r="F1992" i="24"/>
  <c r="F1991" i="24"/>
  <c r="F1993" i="24"/>
  <c r="F1994" i="24"/>
  <c r="F1990" i="24"/>
  <c r="F1998" i="24"/>
  <c r="F2010" i="24"/>
  <c r="F2013" i="24"/>
  <c r="F2009" i="24"/>
  <c r="F2003" i="24"/>
  <c r="F2002" i="24"/>
  <c r="F2008" i="24"/>
  <c r="F1999" i="24"/>
  <c r="F2000" i="24"/>
  <c r="F2007" i="24"/>
  <c r="F2012" i="24"/>
  <c r="F2001" i="24"/>
  <c r="F2004" i="24"/>
  <c r="F1997" i="24"/>
  <c r="F1996" i="24"/>
  <c r="F2005" i="24"/>
  <c r="F2006" i="24"/>
  <c r="F2011" i="24"/>
  <c r="H1989" i="24"/>
  <c r="H1995" i="24"/>
  <c r="H1992" i="24"/>
  <c r="H1991" i="24"/>
  <c r="H1993" i="24"/>
  <c r="H1994" i="24"/>
  <c r="H1990" i="24"/>
  <c r="H1998" i="24"/>
  <c r="H2010" i="24"/>
  <c r="H2013" i="24"/>
  <c r="H2009" i="24"/>
  <c r="H2003" i="24"/>
  <c r="H2002" i="24"/>
  <c r="H2008" i="24"/>
  <c r="H1999" i="24"/>
  <c r="H2000" i="24"/>
  <c r="H2007" i="24"/>
  <c r="H2012" i="24"/>
  <c r="H2001" i="24"/>
  <c r="H2004" i="24"/>
  <c r="H1997" i="24"/>
  <c r="H1996" i="24"/>
  <c r="H2005" i="24"/>
  <c r="H2006" i="24"/>
  <c r="H2011" i="24"/>
  <c r="N1989" i="24" a="1"/>
  <c r="N1995" i="24" a="1"/>
  <c r="N1992" i="24" a="1"/>
  <c r="N1991" i="24" a="1"/>
  <c r="N1993" i="24" a="1"/>
  <c r="N1994" i="24" a="1"/>
  <c r="N1990" i="24" a="1"/>
  <c r="N1998" i="24" a="1"/>
  <c r="N2010" i="24" a="1"/>
  <c r="N2013" i="24" a="1"/>
  <c r="N2009" i="24" a="1"/>
  <c r="N2003" i="24" a="1"/>
  <c r="N2002" i="24" a="1"/>
  <c r="N2008" i="24" a="1"/>
  <c r="N1999" i="24" a="1"/>
  <c r="N2000" i="24" a="1"/>
  <c r="N2007" i="24" a="1"/>
  <c r="N2012" i="24" a="1"/>
  <c r="N2001" i="24" a="1"/>
  <c r="N2004" i="24" a="1"/>
  <c r="N1997" i="24" a="1"/>
  <c r="N1996" i="24" a="1"/>
  <c r="N2005" i="24" a="1"/>
  <c r="N2006" i="24" a="1"/>
  <c r="N2011" i="24" a="1"/>
  <c r="O1989" i="24" a="1"/>
  <c r="O1995" i="24" a="1"/>
  <c r="O1992" i="24" a="1"/>
  <c r="O1991" i="24" a="1"/>
  <c r="O1993" i="24" a="1"/>
  <c r="O1994" i="24" a="1"/>
  <c r="O1990" i="24" a="1"/>
  <c r="O1998" i="24" a="1"/>
  <c r="O2010" i="24" a="1"/>
  <c r="O2013" i="24" a="1"/>
  <c r="O2009" i="24" a="1"/>
  <c r="O2003" i="24" a="1"/>
  <c r="O2002" i="24" a="1"/>
  <c r="O2008" i="24" a="1"/>
  <c r="O1999" i="24" a="1"/>
  <c r="O2000" i="24" a="1"/>
  <c r="O2007" i="24" a="1"/>
  <c r="O2012" i="24" a="1"/>
  <c r="O2001" i="24" a="1"/>
  <c r="O2004" i="24" a="1"/>
  <c r="O1997" i="24" a="1"/>
  <c r="O1996" i="24" a="1"/>
  <c r="O2005" i="24" a="1"/>
  <c r="O2006" i="24" a="1"/>
  <c r="O2011" i="24" a="1"/>
  <c r="S1989" i="24" a="1"/>
  <c r="S1995" i="24" a="1"/>
  <c r="S1992" i="24" a="1"/>
  <c r="S1991" i="24" a="1"/>
  <c r="S1993" i="24" a="1"/>
  <c r="S1994" i="24" a="1"/>
  <c r="S1990" i="24" a="1"/>
  <c r="S1998" i="24" a="1"/>
  <c r="S2010" i="24" a="1"/>
  <c r="S2013" i="24" a="1"/>
  <c r="S2009" i="24" a="1"/>
  <c r="S2003" i="24" a="1"/>
  <c r="S2002" i="24" a="1"/>
  <c r="S2008" i="24" a="1"/>
  <c r="S1999" i="24" a="1"/>
  <c r="S2000" i="24" a="1"/>
  <c r="S2007" i="24" a="1"/>
  <c r="S2012" i="24" a="1"/>
  <c r="S2001" i="24" a="1"/>
  <c r="S2004" i="24" a="1"/>
  <c r="S1997" i="24" a="1"/>
  <c r="S1996" i="24" a="1"/>
  <c r="S2005" i="24" a="1"/>
  <c r="S2006" i="24" a="1"/>
  <c r="S2011" i="24" a="1"/>
  <c r="U1989" i="24"/>
  <c r="U1995" i="24"/>
  <c r="U1992" i="24"/>
  <c r="U1991" i="24"/>
  <c r="U1993" i="24"/>
  <c r="U1994" i="24"/>
  <c r="U1990" i="24"/>
  <c r="U1998" i="24"/>
  <c r="U2010" i="24"/>
  <c r="U2013" i="24"/>
  <c r="U2009" i="24"/>
  <c r="U2003" i="24"/>
  <c r="U2002" i="24"/>
  <c r="U2008" i="24"/>
  <c r="U1999" i="24"/>
  <c r="U2000" i="24"/>
  <c r="U2007" i="24"/>
  <c r="U2012" i="24"/>
  <c r="U2001" i="24"/>
  <c r="U2004" i="24"/>
  <c r="U1997" i="24"/>
  <c r="U1996" i="24"/>
  <c r="U2005" i="24"/>
  <c r="U2006" i="24"/>
  <c r="U2011" i="24"/>
  <c r="AA288" i="77"/>
  <c r="AB288" i="77"/>
  <c r="AC288" i="77"/>
  <c r="AD288" i="77"/>
  <c r="F1969" i="24"/>
  <c r="F1986" i="24"/>
  <c r="F1951" i="24"/>
  <c r="F1965" i="24"/>
  <c r="F1981" i="24"/>
  <c r="F1955" i="24"/>
  <c r="F1953" i="24"/>
  <c r="F1987" i="24"/>
  <c r="F1970" i="24"/>
  <c r="F1971" i="24"/>
  <c r="F1960" i="24"/>
  <c r="F1988" i="24"/>
  <c r="F1956" i="24"/>
  <c r="F1980" i="24"/>
  <c r="F1964" i="24"/>
  <c r="F1979" i="24"/>
  <c r="F1966" i="24"/>
  <c r="F1962" i="24"/>
  <c r="F1972" i="24"/>
  <c r="F1984" i="24"/>
  <c r="F1949" i="24"/>
  <c r="F1973" i="24"/>
  <c r="F1967" i="24"/>
  <c r="F1954" i="24"/>
  <c r="F1974" i="24"/>
  <c r="F1968" i="24"/>
  <c r="F1952" i="24"/>
  <c r="F1957" i="24"/>
  <c r="F1977" i="24"/>
  <c r="F1950" i="24"/>
  <c r="F1963" i="24"/>
  <c r="F1975" i="24"/>
  <c r="F1978" i="24"/>
  <c r="F1983" i="24"/>
  <c r="F1959" i="24"/>
  <c r="F1982" i="24"/>
  <c r="F1958" i="24"/>
  <c r="H1969" i="24"/>
  <c r="H1986" i="24"/>
  <c r="H1951" i="24"/>
  <c r="H1965" i="24"/>
  <c r="H1981" i="24"/>
  <c r="H1955" i="24"/>
  <c r="H1953" i="24"/>
  <c r="H1987" i="24"/>
  <c r="H1970" i="24"/>
  <c r="H1971" i="24"/>
  <c r="H1960" i="24"/>
  <c r="H1988" i="24"/>
  <c r="H1956" i="24"/>
  <c r="H1980" i="24"/>
  <c r="H1964" i="24"/>
  <c r="H1979" i="24"/>
  <c r="H1966" i="24"/>
  <c r="H1962" i="24"/>
  <c r="H1972" i="24"/>
  <c r="H1984" i="24"/>
  <c r="H1949" i="24"/>
  <c r="H1973" i="24"/>
  <c r="H1967" i="24"/>
  <c r="H1954" i="24"/>
  <c r="H1974" i="24"/>
  <c r="H1968" i="24"/>
  <c r="H1952" i="24"/>
  <c r="H1957" i="24"/>
  <c r="H1977" i="24"/>
  <c r="H1950" i="24"/>
  <c r="H1963" i="24"/>
  <c r="H1975" i="24"/>
  <c r="H1978" i="24"/>
  <c r="H1983" i="24"/>
  <c r="H1959" i="24"/>
  <c r="H1982" i="24"/>
  <c r="H1958" i="24"/>
  <c r="N1969" i="24" a="1"/>
  <c r="N1986" i="24" a="1"/>
  <c r="N1951" i="24" a="1"/>
  <c r="N1965" i="24" a="1"/>
  <c r="N1981" i="24" a="1"/>
  <c r="N1955" i="24" a="1"/>
  <c r="N1953" i="24" a="1"/>
  <c r="N1987" i="24" a="1"/>
  <c r="N1970" i="24" a="1"/>
  <c r="N1971" i="24" a="1"/>
  <c r="N1960" i="24" a="1"/>
  <c r="N1988" i="24" a="1"/>
  <c r="N1956" i="24" a="1"/>
  <c r="N1980" i="24" a="1"/>
  <c r="N1964" i="24" a="1"/>
  <c r="N1979" i="24" a="1"/>
  <c r="N1966" i="24" a="1"/>
  <c r="N1962" i="24" a="1"/>
  <c r="N1972" i="24" a="1"/>
  <c r="N1984" i="24" a="1"/>
  <c r="N1949" i="24" a="1"/>
  <c r="N1973" i="24" a="1"/>
  <c r="N1967" i="24" a="1"/>
  <c r="N1954" i="24" a="1"/>
  <c r="N1974" i="24" a="1"/>
  <c r="N1968" i="24" a="1"/>
  <c r="N1952" i="24" a="1"/>
  <c r="N1957" i="24" a="1"/>
  <c r="N1977" i="24" a="1"/>
  <c r="N1950" i="24" a="1"/>
  <c r="N1963" i="24" a="1"/>
  <c r="N1975" i="24" a="1"/>
  <c r="N1978" i="24" a="1"/>
  <c r="N1983" i="24" a="1"/>
  <c r="N1959" i="24" a="1"/>
  <c r="N1982" i="24" a="1"/>
  <c r="N1958" i="24" a="1"/>
  <c r="O1969" i="24" a="1"/>
  <c r="O1986" i="24" a="1"/>
  <c r="O1951" i="24" a="1"/>
  <c r="O1965" i="24" a="1"/>
  <c r="O1981" i="24" a="1"/>
  <c r="O1955" i="24" a="1"/>
  <c r="O1953" i="24" a="1"/>
  <c r="O1987" i="24" a="1"/>
  <c r="O1970" i="24" a="1"/>
  <c r="O1971" i="24" a="1"/>
  <c r="O1960" i="24" a="1"/>
  <c r="O1988" i="24" a="1"/>
  <c r="O1956" i="24" a="1"/>
  <c r="O1980" i="24" a="1"/>
  <c r="O1964" i="24" a="1"/>
  <c r="O1979" i="24" a="1"/>
  <c r="O1966" i="24" a="1"/>
  <c r="O1962" i="24" a="1"/>
  <c r="O1972" i="24" a="1"/>
  <c r="O1984" i="24" a="1"/>
  <c r="O1949" i="24" a="1"/>
  <c r="O1973" i="24" a="1"/>
  <c r="O1967" i="24" a="1"/>
  <c r="O1954" i="24" a="1"/>
  <c r="O1974" i="24" a="1"/>
  <c r="O1968" i="24" a="1"/>
  <c r="O1952" i="24" a="1"/>
  <c r="O1957" i="24" a="1"/>
  <c r="O1977" i="24" a="1"/>
  <c r="O1950" i="24" a="1"/>
  <c r="O1963" i="24" a="1"/>
  <c r="O1975" i="24" a="1"/>
  <c r="O1978" i="24" a="1"/>
  <c r="O1983" i="24" a="1"/>
  <c r="O1959" i="24" a="1"/>
  <c r="O1982" i="24" a="1"/>
  <c r="O1958" i="24" a="1"/>
  <c r="S1969" i="24" a="1"/>
  <c r="S1986" i="24" a="1"/>
  <c r="S1951" i="24" a="1"/>
  <c r="S1965" i="24" a="1"/>
  <c r="S1981" i="24" a="1"/>
  <c r="S1955" i="24" a="1"/>
  <c r="S1953" i="24" a="1"/>
  <c r="S1987" i="24" a="1"/>
  <c r="S1970" i="24" a="1"/>
  <c r="S1971" i="24" a="1"/>
  <c r="S1960" i="24" a="1"/>
  <c r="S1988" i="24" a="1"/>
  <c r="S1956" i="24" a="1"/>
  <c r="S1980" i="24" a="1"/>
  <c r="S1964" i="24" a="1"/>
  <c r="S1979" i="24" a="1"/>
  <c r="S1966" i="24" a="1"/>
  <c r="S1962" i="24" a="1"/>
  <c r="S1972" i="24" a="1"/>
  <c r="S1984" i="24" a="1"/>
  <c r="S1949" i="24" a="1"/>
  <c r="S1973" i="24" a="1"/>
  <c r="S1967" i="24" a="1"/>
  <c r="S1954" i="24" a="1"/>
  <c r="S1974" i="24" a="1"/>
  <c r="S1968" i="24" a="1"/>
  <c r="S1952" i="24" a="1"/>
  <c r="S1957" i="24" a="1"/>
  <c r="S1977" i="24" a="1"/>
  <c r="S1950" i="24" a="1"/>
  <c r="S1963" i="24" a="1"/>
  <c r="S1975" i="24" a="1"/>
  <c r="S1978" i="24" a="1"/>
  <c r="S1983" i="24" a="1"/>
  <c r="S1959" i="24" a="1"/>
  <c r="S1982" i="24" a="1"/>
  <c r="S1958" i="24" a="1"/>
  <c r="U1969" i="24"/>
  <c r="U1986" i="24"/>
  <c r="U1951" i="24"/>
  <c r="U1965" i="24"/>
  <c r="U1981" i="24"/>
  <c r="U1955" i="24"/>
  <c r="U1953" i="24"/>
  <c r="U1987" i="24"/>
  <c r="U1970" i="24"/>
  <c r="U1971" i="24"/>
  <c r="U1960" i="24"/>
  <c r="U1988" i="24"/>
  <c r="U1956" i="24"/>
  <c r="U1980" i="24"/>
  <c r="U1964" i="24"/>
  <c r="U1979" i="24"/>
  <c r="U1966" i="24"/>
  <c r="U1962" i="24"/>
  <c r="U1972" i="24"/>
  <c r="U1984" i="24"/>
  <c r="U1949" i="24"/>
  <c r="U1973" i="24"/>
  <c r="U1967" i="24"/>
  <c r="U1954" i="24"/>
  <c r="U1974" i="24"/>
  <c r="U1968" i="24"/>
  <c r="U1952" i="24"/>
  <c r="U1957" i="24"/>
  <c r="U1977" i="24"/>
  <c r="U1950" i="24"/>
  <c r="U1963" i="24"/>
  <c r="U1975" i="24"/>
  <c r="U1978" i="24"/>
  <c r="U1983" i="24"/>
  <c r="U1959" i="24"/>
  <c r="U1982" i="24"/>
  <c r="U1958" i="24"/>
  <c r="H1948" i="24"/>
  <c r="H1923" i="24"/>
  <c r="AD3" i="77"/>
  <c r="AD4" i="77"/>
  <c r="AD5" i="77"/>
  <c r="AD6" i="77"/>
  <c r="AD7" i="77"/>
  <c r="AD8" i="77"/>
  <c r="AD9" i="77"/>
  <c r="AD10" i="77"/>
  <c r="AD14" i="77"/>
  <c r="AD12" i="77"/>
  <c r="AD11" i="77"/>
  <c r="AD13" i="77"/>
  <c r="AD15" i="77"/>
  <c r="AD16" i="77"/>
  <c r="AD17" i="77"/>
  <c r="AD18" i="77"/>
  <c r="AD19" i="77"/>
  <c r="AD20" i="77"/>
  <c r="AD21" i="77"/>
  <c r="AD22" i="77"/>
  <c r="AD23" i="77"/>
  <c r="AD24" i="77"/>
  <c r="AD25" i="77"/>
  <c r="AD26" i="77"/>
  <c r="AD27" i="77"/>
  <c r="AD28" i="77"/>
  <c r="AD29" i="77"/>
  <c r="AD30" i="77"/>
  <c r="AD31" i="77"/>
  <c r="AD32" i="77"/>
  <c r="AD33" i="77"/>
  <c r="AD34" i="77"/>
  <c r="AD35" i="77"/>
  <c r="AD36" i="77"/>
  <c r="AD37" i="77"/>
  <c r="AD38" i="77"/>
  <c r="AD39" i="77"/>
  <c r="AD40" i="77"/>
  <c r="AD41" i="77"/>
  <c r="AD42" i="77"/>
  <c r="AD43" i="77"/>
  <c r="AD44" i="77"/>
  <c r="AD45" i="77"/>
  <c r="AD46" i="77"/>
  <c r="AD47" i="77"/>
  <c r="AD48" i="77"/>
  <c r="AD49" i="77"/>
  <c r="AD50" i="77"/>
  <c r="AD51" i="77"/>
  <c r="AD52" i="77"/>
  <c r="AD53" i="77"/>
  <c r="AD54" i="77"/>
  <c r="AD55" i="77"/>
  <c r="AD56" i="77"/>
  <c r="AD57" i="77"/>
  <c r="AD58" i="77"/>
  <c r="AD59" i="77"/>
  <c r="AD60" i="77"/>
  <c r="AD61" i="77"/>
  <c r="AD62" i="77"/>
  <c r="AD63" i="77"/>
  <c r="AD64" i="77"/>
  <c r="AD65" i="77"/>
  <c r="AD66" i="77"/>
  <c r="AD67" i="77"/>
  <c r="AD68" i="77"/>
  <c r="AD69" i="77"/>
  <c r="AD70" i="77"/>
  <c r="AD71" i="77"/>
  <c r="AD72" i="77"/>
  <c r="AD73" i="77"/>
  <c r="AD74" i="77"/>
  <c r="AD75" i="77"/>
  <c r="AD76" i="77"/>
  <c r="AD77" i="77"/>
  <c r="AD78" i="77"/>
  <c r="AD79" i="77"/>
  <c r="AD80" i="77"/>
  <c r="AD81" i="77"/>
  <c r="AD82" i="77"/>
  <c r="AD83" i="77"/>
  <c r="AD84" i="77"/>
  <c r="AD85" i="77"/>
  <c r="AD86" i="77"/>
  <c r="AD87" i="77"/>
  <c r="AD88" i="77"/>
  <c r="AD89" i="77"/>
  <c r="AD90" i="77"/>
  <c r="AD91" i="77"/>
  <c r="AD92" i="77"/>
  <c r="AD93" i="77"/>
  <c r="AD94" i="77"/>
  <c r="AD95" i="77"/>
  <c r="AD96" i="77"/>
  <c r="AD97" i="77"/>
  <c r="AD98" i="77"/>
  <c r="AD99" i="77"/>
  <c r="AD100" i="77"/>
  <c r="AD101" i="77"/>
  <c r="AD102" i="77"/>
  <c r="AD103" i="77"/>
  <c r="AD104" i="77"/>
  <c r="AD105" i="77"/>
  <c r="AD106" i="77"/>
  <c r="AD107" i="77"/>
  <c r="AD108" i="77"/>
  <c r="AD109" i="77"/>
  <c r="AD110" i="77"/>
  <c r="AD111" i="77"/>
  <c r="AD112" i="77"/>
  <c r="AD113" i="77"/>
  <c r="AD114" i="77"/>
  <c r="AD115" i="77"/>
  <c r="AD116" i="77"/>
  <c r="AD117" i="77"/>
  <c r="AD118" i="77"/>
  <c r="AD119" i="77"/>
  <c r="AD120" i="77"/>
  <c r="AD121" i="77"/>
  <c r="AD122" i="77"/>
  <c r="AD123" i="77"/>
  <c r="AD124" i="77"/>
  <c r="AD125" i="77"/>
  <c r="AD126" i="77"/>
  <c r="AD127" i="77"/>
  <c r="AD128" i="77"/>
  <c r="AD129" i="77"/>
  <c r="AD130" i="77"/>
  <c r="AD131" i="77"/>
  <c r="AD132" i="77"/>
  <c r="AD133" i="77"/>
  <c r="AD134" i="77"/>
  <c r="AD135" i="77"/>
  <c r="AD136" i="77"/>
  <c r="AD137" i="77"/>
  <c r="AD139" i="77"/>
  <c r="AD138" i="77"/>
  <c r="AD140" i="77"/>
  <c r="AD141" i="77"/>
  <c r="AD142" i="77"/>
  <c r="AD143" i="77"/>
  <c r="AD144" i="77"/>
  <c r="AD145" i="77"/>
  <c r="AD146" i="77"/>
  <c r="AD147" i="77"/>
  <c r="AD148" i="77"/>
  <c r="AD149" i="77"/>
  <c r="AD150" i="77"/>
  <c r="AD151" i="77"/>
  <c r="AD152" i="77"/>
  <c r="AD153" i="77"/>
  <c r="AD154" i="77"/>
  <c r="AD155" i="77"/>
  <c r="AD156" i="77"/>
  <c r="AD157" i="77"/>
  <c r="AD158" i="77"/>
  <c r="AD159" i="77"/>
  <c r="AD160" i="77"/>
  <c r="AD161" i="77"/>
  <c r="AD162" i="77"/>
  <c r="AD163" i="77"/>
  <c r="AD164" i="77"/>
  <c r="AD165" i="77"/>
  <c r="AD166" i="77"/>
  <c r="AD167" i="77"/>
  <c r="AD168" i="77"/>
  <c r="AD169" i="77"/>
  <c r="AD170" i="77"/>
  <c r="AD171" i="77"/>
  <c r="AD172" i="77"/>
  <c r="AD173" i="77"/>
  <c r="AD174" i="77"/>
  <c r="AD175" i="77"/>
  <c r="AD176" i="77"/>
  <c r="AD177" i="77"/>
  <c r="AD178" i="77"/>
  <c r="AD179" i="77"/>
  <c r="AD180" i="77"/>
  <c r="AD181" i="77"/>
  <c r="AD182" i="77"/>
  <c r="AD183" i="77"/>
  <c r="AD184" i="77"/>
  <c r="AD185" i="77"/>
  <c r="AD186" i="77"/>
  <c r="AD187" i="77"/>
  <c r="AD188" i="77"/>
  <c r="AD189" i="77"/>
  <c r="AD190" i="77"/>
  <c r="AD191" i="77"/>
  <c r="AD193" i="77"/>
  <c r="AD192" i="77"/>
  <c r="AD194" i="77"/>
  <c r="AD195" i="77"/>
  <c r="AD196" i="77"/>
  <c r="AD197" i="77"/>
  <c r="AD198" i="77"/>
  <c r="AD199" i="77"/>
  <c r="AD200" i="77"/>
  <c r="AD201" i="77"/>
  <c r="AD202" i="77"/>
  <c r="AD203" i="77"/>
  <c r="AD204" i="77"/>
  <c r="AD205" i="77"/>
  <c r="AD206" i="77"/>
  <c r="AD207" i="77"/>
  <c r="AD208" i="77"/>
  <c r="AD209" i="77"/>
  <c r="AD210" i="77"/>
  <c r="AD211" i="77"/>
  <c r="AD212" i="77"/>
  <c r="AD213" i="77"/>
  <c r="AD214" i="77"/>
  <c r="AD215" i="77"/>
  <c r="AD216" i="77"/>
  <c r="AD217" i="77"/>
  <c r="AD218" i="77"/>
  <c r="AD219" i="77"/>
  <c r="AD220" i="77"/>
  <c r="AD221" i="77"/>
  <c r="AD222" i="77"/>
  <c r="AD223" i="77"/>
  <c r="AD224" i="77"/>
  <c r="AD225" i="77"/>
  <c r="AD226" i="77"/>
  <c r="AD227" i="77"/>
  <c r="AD228" i="77"/>
  <c r="AD229" i="77"/>
  <c r="AD230" i="77"/>
  <c r="AD231" i="77"/>
  <c r="AD232" i="77"/>
  <c r="AD233" i="77"/>
  <c r="AD234" i="77"/>
  <c r="AD235" i="77"/>
  <c r="AD236" i="77"/>
  <c r="AD237" i="77"/>
  <c r="AD238" i="77"/>
  <c r="AD239" i="77"/>
  <c r="AD240" i="77"/>
  <c r="AD241" i="77"/>
  <c r="AD242" i="77"/>
  <c r="AD243" i="77"/>
  <c r="AD244" i="77"/>
  <c r="AD245" i="77"/>
  <c r="AD246" i="77"/>
  <c r="AD247" i="77"/>
  <c r="AD248" i="77"/>
  <c r="AD249" i="77"/>
  <c r="AD250" i="77"/>
  <c r="AD251" i="77"/>
  <c r="AD252" i="77"/>
  <c r="AD253" i="77"/>
  <c r="AD254" i="77"/>
  <c r="AD256" i="77"/>
  <c r="AD255" i="77"/>
  <c r="AD257" i="77"/>
  <c r="AD258" i="77"/>
  <c r="AD259" i="77"/>
  <c r="AD260" i="77"/>
  <c r="AD261" i="77"/>
  <c r="AD262" i="77"/>
  <c r="AD263" i="77"/>
  <c r="AD264" i="77"/>
  <c r="AD265" i="77"/>
  <c r="AD266" i="77"/>
  <c r="AD267" i="77"/>
  <c r="AD268" i="77"/>
  <c r="AD269" i="77"/>
  <c r="AD270" i="77"/>
  <c r="AD271" i="77"/>
  <c r="AD272" i="77"/>
  <c r="AD273" i="77"/>
  <c r="AD274" i="77"/>
  <c r="AD275" i="77"/>
  <c r="AD276" i="77"/>
  <c r="AD277" i="77"/>
  <c r="AD278" i="77"/>
  <c r="AD279" i="77"/>
  <c r="AD280" i="77"/>
  <c r="AD281" i="77"/>
  <c r="AD282" i="77"/>
  <c r="AD283" i="77"/>
  <c r="AD284" i="77"/>
  <c r="AD285" i="77"/>
  <c r="AD286" i="77"/>
  <c r="AD287" i="77"/>
  <c r="AC3" i="77"/>
  <c r="AC4" i="77"/>
  <c r="AC5" i="77"/>
  <c r="AC6" i="77"/>
  <c r="AC7" i="77"/>
  <c r="AC8" i="77"/>
  <c r="AC9" i="77"/>
  <c r="AC10" i="77"/>
  <c r="AC14" i="77"/>
  <c r="AC12" i="77"/>
  <c r="AC11" i="77"/>
  <c r="AC13" i="77"/>
  <c r="AC15" i="77"/>
  <c r="AC16" i="77"/>
  <c r="AC17" i="77"/>
  <c r="AC18" i="77"/>
  <c r="AC19" i="77"/>
  <c r="AC20" i="77"/>
  <c r="AC21" i="77"/>
  <c r="AC22" i="77"/>
  <c r="AC23" i="77"/>
  <c r="AC24" i="77"/>
  <c r="AC25" i="77"/>
  <c r="AC26" i="77"/>
  <c r="AC27" i="77"/>
  <c r="AC28" i="77"/>
  <c r="AC29" i="77"/>
  <c r="AC30" i="77"/>
  <c r="AC31" i="77"/>
  <c r="AC32" i="77"/>
  <c r="AC33" i="77"/>
  <c r="AC34" i="77"/>
  <c r="AC35" i="77"/>
  <c r="AC36" i="77"/>
  <c r="AC37" i="77"/>
  <c r="AC38" i="77"/>
  <c r="AC39" i="77"/>
  <c r="AC40" i="77"/>
  <c r="AC41" i="77"/>
  <c r="AC42" i="77"/>
  <c r="AC43" i="77"/>
  <c r="AC44" i="77"/>
  <c r="AC45" i="77"/>
  <c r="AC46" i="77"/>
  <c r="AC47" i="77"/>
  <c r="AC48" i="77"/>
  <c r="AC49" i="77"/>
  <c r="AC50" i="77"/>
  <c r="AC51" i="77"/>
  <c r="AC52" i="77"/>
  <c r="AC53" i="77"/>
  <c r="AC54" i="77"/>
  <c r="AC55" i="77"/>
  <c r="AC56" i="77"/>
  <c r="AC57" i="77"/>
  <c r="AC58" i="77"/>
  <c r="AC59" i="77"/>
  <c r="AC60" i="77"/>
  <c r="AC61" i="77"/>
  <c r="AC62" i="77"/>
  <c r="AC63" i="77"/>
  <c r="AC64" i="77"/>
  <c r="AC65" i="77"/>
  <c r="AC66" i="77"/>
  <c r="AC67" i="77"/>
  <c r="AC68" i="77"/>
  <c r="AC69" i="77"/>
  <c r="AC70" i="77"/>
  <c r="AC71" i="77"/>
  <c r="AC72" i="77"/>
  <c r="AC73" i="77"/>
  <c r="AC74" i="77"/>
  <c r="AC75" i="77"/>
  <c r="AC76" i="77"/>
  <c r="AC77" i="77"/>
  <c r="AC78" i="77"/>
  <c r="AC79" i="77"/>
  <c r="AC80" i="77"/>
  <c r="AC81" i="77"/>
  <c r="AC82" i="77"/>
  <c r="AC83" i="77"/>
  <c r="AC84" i="77"/>
  <c r="AC85" i="77"/>
  <c r="AC86" i="77"/>
  <c r="AC87" i="77"/>
  <c r="AC88" i="77"/>
  <c r="AC89" i="77"/>
  <c r="AC90" i="77"/>
  <c r="AC91" i="77"/>
  <c r="AC92" i="77"/>
  <c r="AC93" i="77"/>
  <c r="AC94" i="77"/>
  <c r="AC95" i="77"/>
  <c r="AC96" i="77"/>
  <c r="AC97" i="77"/>
  <c r="AC98" i="77"/>
  <c r="AC99" i="77"/>
  <c r="AC100" i="77"/>
  <c r="AC101" i="77"/>
  <c r="AC102" i="77"/>
  <c r="AC103" i="77"/>
  <c r="AC104" i="77"/>
  <c r="AC105" i="77"/>
  <c r="AC106" i="77"/>
  <c r="AC107" i="77"/>
  <c r="AC108" i="77"/>
  <c r="AC109" i="77"/>
  <c r="AC110" i="77"/>
  <c r="AC111" i="77"/>
  <c r="AC112" i="77"/>
  <c r="AC113" i="77"/>
  <c r="AC114" i="77"/>
  <c r="AC115" i="77"/>
  <c r="AC116" i="77"/>
  <c r="AC117" i="77"/>
  <c r="AC118" i="77"/>
  <c r="AC119" i="77"/>
  <c r="AC120" i="77"/>
  <c r="AC121" i="77"/>
  <c r="AC122" i="77"/>
  <c r="AC123" i="77"/>
  <c r="AC124" i="77"/>
  <c r="AC125" i="77"/>
  <c r="AC126" i="77"/>
  <c r="AC127" i="77"/>
  <c r="AC128" i="77"/>
  <c r="AC129" i="77"/>
  <c r="AC130" i="77"/>
  <c r="AC131" i="77"/>
  <c r="AC132" i="77"/>
  <c r="AC133" i="77"/>
  <c r="AC134" i="77"/>
  <c r="AC135" i="77"/>
  <c r="AC136" i="77"/>
  <c r="AC137" i="77"/>
  <c r="AC139" i="77"/>
  <c r="AC138" i="77"/>
  <c r="AC140" i="77"/>
  <c r="AC141" i="77"/>
  <c r="AC142" i="77"/>
  <c r="AC143" i="77"/>
  <c r="AC144" i="77"/>
  <c r="AC145" i="77"/>
  <c r="AC146" i="77"/>
  <c r="AC147" i="77"/>
  <c r="AC148" i="77"/>
  <c r="AC149" i="77"/>
  <c r="AC150" i="77"/>
  <c r="AC151" i="77"/>
  <c r="AC152" i="77"/>
  <c r="AC153" i="77"/>
  <c r="AC154" i="77"/>
  <c r="AC155" i="77"/>
  <c r="AC156" i="77"/>
  <c r="AC157" i="77"/>
  <c r="AC158" i="77"/>
  <c r="AC159" i="77"/>
  <c r="AC160" i="77"/>
  <c r="AC161" i="77"/>
  <c r="AC162" i="77"/>
  <c r="AC163" i="77"/>
  <c r="AC164" i="77"/>
  <c r="AC165" i="77"/>
  <c r="AC166" i="77"/>
  <c r="AC167" i="77"/>
  <c r="AC168" i="77"/>
  <c r="AC169" i="77"/>
  <c r="AC170" i="77"/>
  <c r="AC171" i="77"/>
  <c r="AC172" i="77"/>
  <c r="AC173" i="77"/>
  <c r="AC174" i="77"/>
  <c r="AC175" i="77"/>
  <c r="AC176" i="77"/>
  <c r="AC177" i="77"/>
  <c r="AC178" i="77"/>
  <c r="AC179" i="77"/>
  <c r="AC180" i="77"/>
  <c r="AC181" i="77"/>
  <c r="AC182" i="77"/>
  <c r="AC183" i="77"/>
  <c r="AC184" i="77"/>
  <c r="AC185" i="77"/>
  <c r="AC186" i="77"/>
  <c r="AC187" i="77"/>
  <c r="AC188" i="77"/>
  <c r="AC189" i="77"/>
  <c r="AC190" i="77"/>
  <c r="AC191" i="77"/>
  <c r="AC193" i="77"/>
  <c r="AC192" i="77"/>
  <c r="AC194" i="77"/>
  <c r="AC195" i="77"/>
  <c r="AC196" i="77"/>
  <c r="AC197" i="77"/>
  <c r="AC198" i="77"/>
  <c r="AC199" i="77"/>
  <c r="AC200" i="77"/>
  <c r="AC201" i="77"/>
  <c r="AC202" i="77"/>
  <c r="AC203" i="77"/>
  <c r="AC204" i="77"/>
  <c r="AC205" i="77"/>
  <c r="AC206" i="77"/>
  <c r="AC207" i="77"/>
  <c r="AC208" i="77"/>
  <c r="AC209" i="77"/>
  <c r="AC210" i="77"/>
  <c r="AC211" i="77"/>
  <c r="AC212" i="77"/>
  <c r="AC213" i="77"/>
  <c r="AC214" i="77"/>
  <c r="AC215" i="77"/>
  <c r="AC216" i="77"/>
  <c r="AC217" i="77"/>
  <c r="AC218" i="77"/>
  <c r="AC219" i="77"/>
  <c r="AC220" i="77"/>
  <c r="AC221" i="77"/>
  <c r="AC222" i="77"/>
  <c r="AC223" i="77"/>
  <c r="AC224" i="77"/>
  <c r="AC225" i="77"/>
  <c r="AC226" i="77"/>
  <c r="AC227" i="77"/>
  <c r="AC228" i="77"/>
  <c r="AC229" i="77"/>
  <c r="AC230" i="77"/>
  <c r="AC231" i="77"/>
  <c r="AC232" i="77"/>
  <c r="AC233" i="77"/>
  <c r="AC234" i="77"/>
  <c r="AC235" i="77"/>
  <c r="AC236" i="77"/>
  <c r="AC237" i="77"/>
  <c r="AC238" i="77"/>
  <c r="AC239" i="77"/>
  <c r="AC240" i="77"/>
  <c r="AC241" i="77"/>
  <c r="AC242" i="77"/>
  <c r="AC243" i="77"/>
  <c r="AC244" i="77"/>
  <c r="AC245" i="77"/>
  <c r="AC246" i="77"/>
  <c r="AC247" i="77"/>
  <c r="AC248" i="77"/>
  <c r="AC249" i="77"/>
  <c r="AC250" i="77"/>
  <c r="AC251" i="77"/>
  <c r="AC252" i="77"/>
  <c r="AC253" i="77"/>
  <c r="AC254" i="77"/>
  <c r="AC256" i="77"/>
  <c r="AC255" i="77"/>
  <c r="AC257" i="77"/>
  <c r="AC258" i="77"/>
  <c r="AC259" i="77"/>
  <c r="AC260" i="77"/>
  <c r="AC261" i="77"/>
  <c r="AC262" i="77"/>
  <c r="AC263" i="77"/>
  <c r="AC264" i="77"/>
  <c r="AC265" i="77"/>
  <c r="AC266" i="77"/>
  <c r="AC267" i="77"/>
  <c r="AC268" i="77"/>
  <c r="AC269" i="77"/>
  <c r="AC270" i="77"/>
  <c r="AC271" i="77"/>
  <c r="AC272" i="77"/>
  <c r="AC273" i="77"/>
  <c r="AC274" i="77"/>
  <c r="AC275" i="77"/>
  <c r="AC276" i="77"/>
  <c r="AC277" i="77"/>
  <c r="AC278" i="77"/>
  <c r="AC279" i="77"/>
  <c r="AC280" i="77"/>
  <c r="AC281" i="77"/>
  <c r="AC282" i="77"/>
  <c r="AC283" i="77"/>
  <c r="AC284" i="77"/>
  <c r="AC285" i="77"/>
  <c r="AC286" i="77"/>
  <c r="AC287" i="77"/>
  <c r="AB3" i="77"/>
  <c r="AB4" i="77"/>
  <c r="AB5" i="77"/>
  <c r="AB6" i="77"/>
  <c r="AB7" i="77"/>
  <c r="AB8" i="77"/>
  <c r="AB9" i="77"/>
  <c r="AB10" i="77"/>
  <c r="AB14" i="77"/>
  <c r="AB12" i="77"/>
  <c r="AB11" i="77"/>
  <c r="AB13" i="77"/>
  <c r="AB15" i="77"/>
  <c r="AB16" i="77"/>
  <c r="AB17" i="77"/>
  <c r="AB18" i="77"/>
  <c r="AB19" i="77"/>
  <c r="AB20" i="77"/>
  <c r="AB21" i="77"/>
  <c r="AB22" i="77"/>
  <c r="AB23" i="77"/>
  <c r="AB24" i="77"/>
  <c r="AB25" i="77"/>
  <c r="AB26" i="77"/>
  <c r="AB27" i="77"/>
  <c r="AB28" i="77"/>
  <c r="AB29" i="77"/>
  <c r="AB30" i="77"/>
  <c r="AB31" i="77"/>
  <c r="AB32" i="77"/>
  <c r="AB33" i="77"/>
  <c r="AB34" i="77"/>
  <c r="AB35" i="77"/>
  <c r="AB36" i="77"/>
  <c r="AB37" i="77"/>
  <c r="AB38" i="77"/>
  <c r="AB39" i="77"/>
  <c r="AB40" i="77"/>
  <c r="AB41" i="77"/>
  <c r="AB42" i="77"/>
  <c r="AB43" i="77"/>
  <c r="AB44" i="77"/>
  <c r="AB45" i="77"/>
  <c r="AB46" i="77"/>
  <c r="AB47" i="77"/>
  <c r="AB48" i="77"/>
  <c r="AB49" i="77"/>
  <c r="AB50" i="77"/>
  <c r="AB51" i="77"/>
  <c r="AB52" i="77"/>
  <c r="AB53" i="77"/>
  <c r="AB54" i="77"/>
  <c r="AB55" i="77"/>
  <c r="AB56" i="77"/>
  <c r="AB57" i="77"/>
  <c r="AB58" i="77"/>
  <c r="AB59" i="77"/>
  <c r="AB60" i="77"/>
  <c r="AB61" i="77"/>
  <c r="AB62" i="77"/>
  <c r="AB63" i="77"/>
  <c r="AB64" i="77"/>
  <c r="AB65" i="77"/>
  <c r="AB66" i="77"/>
  <c r="AB67" i="77"/>
  <c r="AB68" i="77"/>
  <c r="AB69" i="77"/>
  <c r="AB70" i="77"/>
  <c r="AB71" i="77"/>
  <c r="AB72" i="77"/>
  <c r="AB73" i="77"/>
  <c r="AB74" i="77"/>
  <c r="AB75" i="77"/>
  <c r="AB76" i="77"/>
  <c r="AB77" i="77"/>
  <c r="AB78" i="77"/>
  <c r="AB79" i="77"/>
  <c r="AB80" i="77"/>
  <c r="AB81" i="77"/>
  <c r="AB82" i="77"/>
  <c r="AB83" i="77"/>
  <c r="AB84" i="77"/>
  <c r="AB85" i="77"/>
  <c r="AB86" i="77"/>
  <c r="AB87" i="77"/>
  <c r="AB88" i="77"/>
  <c r="AB89" i="77"/>
  <c r="AB90" i="77"/>
  <c r="AB91" i="77"/>
  <c r="AB92" i="77"/>
  <c r="AB93" i="77"/>
  <c r="AB94" i="77"/>
  <c r="AB95" i="77"/>
  <c r="AB96" i="77"/>
  <c r="AB97" i="77"/>
  <c r="AB98" i="77"/>
  <c r="AB99" i="77"/>
  <c r="AB100" i="77"/>
  <c r="AB101" i="77"/>
  <c r="AB102" i="77"/>
  <c r="AB103" i="77"/>
  <c r="AB104" i="77"/>
  <c r="AB105" i="77"/>
  <c r="AB106" i="77"/>
  <c r="AB107" i="77"/>
  <c r="AB108" i="77"/>
  <c r="AB109" i="77"/>
  <c r="AB110" i="77"/>
  <c r="AB111" i="77"/>
  <c r="AB112" i="77"/>
  <c r="AB113" i="77"/>
  <c r="AB114" i="77"/>
  <c r="AB115" i="77"/>
  <c r="AB116" i="77"/>
  <c r="AB117" i="77"/>
  <c r="AB118" i="77"/>
  <c r="AB119" i="77"/>
  <c r="AB120" i="77"/>
  <c r="AB121" i="77"/>
  <c r="AB122" i="77"/>
  <c r="AB123" i="77"/>
  <c r="AB124" i="77"/>
  <c r="AB125" i="77"/>
  <c r="AB126" i="77"/>
  <c r="AB127" i="77"/>
  <c r="AB128" i="77"/>
  <c r="AB129" i="77"/>
  <c r="AB130" i="77"/>
  <c r="AB131" i="77"/>
  <c r="AB132" i="77"/>
  <c r="AB133" i="77"/>
  <c r="AB134" i="77"/>
  <c r="AB135" i="77"/>
  <c r="AB136" i="77"/>
  <c r="AB137" i="77"/>
  <c r="AB139" i="77"/>
  <c r="AB138" i="77"/>
  <c r="AB140" i="77"/>
  <c r="AB141" i="77"/>
  <c r="AB142" i="77"/>
  <c r="AB143" i="77"/>
  <c r="AB144" i="77"/>
  <c r="AB145" i="77"/>
  <c r="AB146" i="77"/>
  <c r="AB147" i="77"/>
  <c r="AB148" i="77"/>
  <c r="AB149" i="77"/>
  <c r="AB150" i="77"/>
  <c r="AB151" i="77"/>
  <c r="AB152" i="77"/>
  <c r="AB153" i="77"/>
  <c r="AB154" i="77"/>
  <c r="AB155" i="77"/>
  <c r="AB156" i="77"/>
  <c r="AB157" i="77"/>
  <c r="AB158" i="77"/>
  <c r="AB159" i="77"/>
  <c r="AB160" i="77"/>
  <c r="AB161" i="77"/>
  <c r="AB162" i="77"/>
  <c r="AB163" i="77"/>
  <c r="AB164" i="77"/>
  <c r="AB165" i="77"/>
  <c r="AB166" i="77"/>
  <c r="AB167" i="77"/>
  <c r="AB168" i="77"/>
  <c r="AB169" i="77"/>
  <c r="AB170" i="77"/>
  <c r="AB171" i="77"/>
  <c r="AB172" i="77"/>
  <c r="AB173" i="77"/>
  <c r="AB174" i="77"/>
  <c r="AB175" i="77"/>
  <c r="AB176" i="77"/>
  <c r="AB177" i="77"/>
  <c r="AB178" i="77"/>
  <c r="AB179" i="77"/>
  <c r="AB180" i="77"/>
  <c r="AB181" i="77"/>
  <c r="AB182" i="77"/>
  <c r="AB183" i="77"/>
  <c r="AB184" i="77"/>
  <c r="AB185" i="77"/>
  <c r="AB186" i="77"/>
  <c r="AB187" i="77"/>
  <c r="AB188" i="77"/>
  <c r="AB189" i="77"/>
  <c r="AB190" i="77"/>
  <c r="AB191" i="77"/>
  <c r="AB193" i="77"/>
  <c r="AB192" i="77"/>
  <c r="AB194" i="77"/>
  <c r="AB195" i="77"/>
  <c r="AB196" i="77"/>
  <c r="AB197" i="77"/>
  <c r="AB198" i="77"/>
  <c r="AB199" i="77"/>
  <c r="AB200" i="77"/>
  <c r="AB201" i="77"/>
  <c r="AB202" i="77"/>
  <c r="AB203" i="77"/>
  <c r="AB204" i="77"/>
  <c r="AB205" i="77"/>
  <c r="AB206" i="77"/>
  <c r="AB207" i="77"/>
  <c r="AB208" i="77"/>
  <c r="AB209" i="77"/>
  <c r="AB210" i="77"/>
  <c r="AB211" i="77"/>
  <c r="AB212" i="77"/>
  <c r="AB213" i="77"/>
  <c r="AB214" i="77"/>
  <c r="AB215" i="77"/>
  <c r="AB216" i="77"/>
  <c r="AB217" i="77"/>
  <c r="AB218" i="77"/>
  <c r="AB219" i="77"/>
  <c r="AB220" i="77"/>
  <c r="AB221" i="77"/>
  <c r="AB222" i="77"/>
  <c r="AB223" i="77"/>
  <c r="AB224" i="77"/>
  <c r="AB225" i="77"/>
  <c r="AB226" i="77"/>
  <c r="AB227" i="77"/>
  <c r="AB228" i="77"/>
  <c r="AB229" i="77"/>
  <c r="AB230" i="77"/>
  <c r="AB231" i="77"/>
  <c r="AB232" i="77"/>
  <c r="AB233" i="77"/>
  <c r="AB234" i="77"/>
  <c r="AB235" i="77"/>
  <c r="AB236" i="77"/>
  <c r="AB237" i="77"/>
  <c r="AB238" i="77"/>
  <c r="AB239" i="77"/>
  <c r="AB240" i="77"/>
  <c r="AB241" i="77"/>
  <c r="AB242" i="77"/>
  <c r="AB243" i="77"/>
  <c r="AB244" i="77"/>
  <c r="AB245" i="77"/>
  <c r="AB246" i="77"/>
  <c r="AB247" i="77"/>
  <c r="AB248" i="77"/>
  <c r="AB249" i="77"/>
  <c r="AB250" i="77"/>
  <c r="AB251" i="77"/>
  <c r="AB252" i="77"/>
  <c r="AB253" i="77"/>
  <c r="AB254" i="77"/>
  <c r="AB256" i="77"/>
  <c r="AB255" i="77"/>
  <c r="AB257" i="77"/>
  <c r="AB258" i="77"/>
  <c r="AB259" i="77"/>
  <c r="AB260" i="77"/>
  <c r="AB261" i="77"/>
  <c r="AB262" i="77"/>
  <c r="AB263" i="77"/>
  <c r="AB264" i="77"/>
  <c r="AB265" i="77"/>
  <c r="AB266" i="77"/>
  <c r="AB267" i="77"/>
  <c r="AB268" i="77"/>
  <c r="AB269" i="77"/>
  <c r="AB270" i="77"/>
  <c r="AB271" i="77"/>
  <c r="AB272" i="77"/>
  <c r="AB273" i="77"/>
  <c r="AB274" i="77"/>
  <c r="AB275" i="77"/>
  <c r="AB276" i="77"/>
  <c r="AB277" i="77"/>
  <c r="AB278" i="77"/>
  <c r="AB279" i="77"/>
  <c r="AB280" i="77"/>
  <c r="AB281" i="77"/>
  <c r="AB282" i="77"/>
  <c r="AB283" i="77"/>
  <c r="AB284" i="77"/>
  <c r="AB285" i="77"/>
  <c r="AB286" i="77"/>
  <c r="AB287" i="77"/>
  <c r="AA287" i="77"/>
  <c r="F1945" i="24"/>
  <c r="F1935" i="24"/>
  <c r="F1930" i="24"/>
  <c r="F1926" i="24"/>
  <c r="F1931" i="24"/>
  <c r="F1937" i="24"/>
  <c r="F1943" i="24"/>
  <c r="F1921" i="24"/>
  <c r="F1932" i="24"/>
  <c r="F1947" i="24"/>
  <c r="F1944" i="24"/>
  <c r="F1940" i="24"/>
  <c r="F1924" i="24"/>
  <c r="F1941" i="24"/>
  <c r="F1939" i="24"/>
  <c r="F1961" i="24"/>
  <c r="F1976" i="24"/>
  <c r="F1985" i="24"/>
  <c r="F1927" i="24"/>
  <c r="F1925" i="24"/>
  <c r="F1942" i="24"/>
  <c r="F1936" i="24"/>
  <c r="F1928" i="24"/>
  <c r="F1934" i="24"/>
  <c r="F1922" i="24"/>
  <c r="F1929" i="24"/>
  <c r="F1946" i="24"/>
  <c r="F1933" i="24"/>
  <c r="F1938" i="24"/>
  <c r="F1948" i="24"/>
  <c r="F1923" i="24"/>
  <c r="H1945" i="24"/>
  <c r="H1935" i="24"/>
  <c r="H1930" i="24"/>
  <c r="H1926" i="24"/>
  <c r="H1931" i="24"/>
  <c r="H1937" i="24"/>
  <c r="H1943" i="24"/>
  <c r="H1921" i="24"/>
  <c r="H1932" i="24"/>
  <c r="H1947" i="24"/>
  <c r="H1944" i="24"/>
  <c r="H1940" i="24"/>
  <c r="H1924" i="24"/>
  <c r="H1941" i="24"/>
  <c r="H1939" i="24"/>
  <c r="H1961" i="24"/>
  <c r="H1976" i="24"/>
  <c r="H1985" i="24"/>
  <c r="H1927" i="24"/>
  <c r="H1925" i="24"/>
  <c r="H1942" i="24"/>
  <c r="H1936" i="24"/>
  <c r="H1928" i="24"/>
  <c r="H1934" i="24"/>
  <c r="H1922" i="24"/>
  <c r="H1929" i="24"/>
  <c r="H1946" i="24"/>
  <c r="H1933" i="24"/>
  <c r="H1938" i="24"/>
  <c r="N1945" i="24" a="1"/>
  <c r="N1935" i="24" a="1"/>
  <c r="N1930" i="24" a="1"/>
  <c r="N1926" i="24" a="1"/>
  <c r="N1931" i="24" a="1"/>
  <c r="N1937" i="24" a="1"/>
  <c r="N1943" i="24" a="1"/>
  <c r="N1921" i="24" a="1"/>
  <c r="N1932" i="24" a="1"/>
  <c r="N1947" i="24" a="1"/>
  <c r="N1944" i="24" a="1"/>
  <c r="N1940" i="24" a="1"/>
  <c r="N1924" i="24" a="1"/>
  <c r="N1941" i="24" a="1"/>
  <c r="N1939" i="24" a="1"/>
  <c r="N1961" i="24" a="1"/>
  <c r="N1976" i="24" a="1"/>
  <c r="N1985" i="24" a="1"/>
  <c r="N1927" i="24" a="1"/>
  <c r="N1925" i="24" a="1"/>
  <c r="N1942" i="24" a="1"/>
  <c r="N1936" i="24" a="1"/>
  <c r="N1928" i="24" a="1"/>
  <c r="N1934" i="24" a="1"/>
  <c r="N1922" i="24" a="1"/>
  <c r="N1929" i="24" a="1"/>
  <c r="N1946" i="24" a="1"/>
  <c r="N1933" i="24" a="1"/>
  <c r="N1938" i="24" a="1"/>
  <c r="N1948" i="24" a="1"/>
  <c r="N1923" i="24" a="1"/>
  <c r="O1945" i="24" a="1"/>
  <c r="O1935" i="24" a="1"/>
  <c r="O1930" i="24" a="1"/>
  <c r="O1926" i="24" a="1"/>
  <c r="O1931" i="24" a="1"/>
  <c r="O1937" i="24" a="1"/>
  <c r="O1943" i="24" a="1"/>
  <c r="O1921" i="24" a="1"/>
  <c r="O1932" i="24" a="1"/>
  <c r="O1947" i="24" a="1"/>
  <c r="O1944" i="24" a="1"/>
  <c r="O1940" i="24" a="1"/>
  <c r="O1924" i="24" a="1"/>
  <c r="O1941" i="24" a="1"/>
  <c r="O1939" i="24" a="1"/>
  <c r="O1961" i="24" a="1"/>
  <c r="O1976" i="24" a="1"/>
  <c r="O1985" i="24" a="1"/>
  <c r="O1927" i="24" a="1"/>
  <c r="O1925" i="24" a="1"/>
  <c r="O1942" i="24" a="1"/>
  <c r="O1936" i="24" a="1"/>
  <c r="O1928" i="24" a="1"/>
  <c r="O1934" i="24" a="1"/>
  <c r="O1922" i="24" a="1"/>
  <c r="O1929" i="24" a="1"/>
  <c r="O1946" i="24" a="1"/>
  <c r="O1933" i="24" a="1"/>
  <c r="O1938" i="24" a="1"/>
  <c r="O1948" i="24" a="1"/>
  <c r="O1923" i="24" a="1"/>
  <c r="S1945" i="24" a="1"/>
  <c r="S1935" i="24" a="1"/>
  <c r="S1930" i="24" a="1"/>
  <c r="S1926" i="24" a="1"/>
  <c r="S1931" i="24" a="1"/>
  <c r="S1937" i="24" a="1"/>
  <c r="S1943" i="24" a="1"/>
  <c r="S1921" i="24" a="1"/>
  <c r="S1932" i="24" a="1"/>
  <c r="S1947" i="24" a="1"/>
  <c r="S1944" i="24" a="1"/>
  <c r="S1940" i="24" a="1"/>
  <c r="S1924" i="24" a="1"/>
  <c r="S1941" i="24" a="1"/>
  <c r="S1939" i="24" a="1"/>
  <c r="S1961" i="24" a="1"/>
  <c r="S1976" i="24" a="1"/>
  <c r="S1985" i="24" a="1"/>
  <c r="S1927" i="24" a="1"/>
  <c r="S1925" i="24" a="1"/>
  <c r="S1942" i="24" a="1"/>
  <c r="S1936" i="24" a="1"/>
  <c r="S1928" i="24" a="1"/>
  <c r="S1934" i="24" a="1"/>
  <c r="S1922" i="24" a="1"/>
  <c r="S1929" i="24" a="1"/>
  <c r="S1946" i="24" a="1"/>
  <c r="S1933" i="24" a="1"/>
  <c r="S1938" i="24" a="1"/>
  <c r="S1948" i="24" a="1"/>
  <c r="S1923" i="24" a="1"/>
  <c r="U1945" i="24"/>
  <c r="U1935" i="24"/>
  <c r="U1930" i="24"/>
  <c r="U1926" i="24"/>
  <c r="U1931" i="24"/>
  <c r="U1937" i="24"/>
  <c r="U1943" i="24"/>
  <c r="U1921" i="24"/>
  <c r="U1932" i="24"/>
  <c r="U1947" i="24"/>
  <c r="U1944" i="24"/>
  <c r="U1940" i="24"/>
  <c r="U1924" i="24"/>
  <c r="U1941" i="24"/>
  <c r="U1939" i="24"/>
  <c r="U1961" i="24"/>
  <c r="U1976" i="24"/>
  <c r="U1985" i="24"/>
  <c r="U1927" i="24"/>
  <c r="U1925" i="24"/>
  <c r="U1942" i="24"/>
  <c r="U1936" i="24"/>
  <c r="U1928" i="24"/>
  <c r="U1934" i="24"/>
  <c r="U1922" i="24"/>
  <c r="U1929" i="24"/>
  <c r="U1946" i="24"/>
  <c r="U1933" i="24"/>
  <c r="U1938" i="24"/>
  <c r="U1948" i="24"/>
  <c r="U1923" i="24"/>
  <c r="P332" i="79"/>
  <c r="O332" i="79"/>
  <c r="B320" i="79"/>
  <c r="B310" i="79"/>
  <c r="B300" i="79"/>
  <c r="B290" i="79"/>
  <c r="B280" i="79"/>
  <c r="B270" i="79"/>
  <c r="M261" i="79"/>
  <c r="B260" i="79"/>
  <c r="M251" i="79"/>
  <c r="B250" i="79"/>
  <c r="M241" i="79"/>
  <c r="B240" i="79"/>
  <c r="M231" i="79"/>
  <c r="B230" i="79"/>
  <c r="M221" i="79"/>
  <c r="B220" i="79"/>
  <c r="M211" i="79"/>
  <c r="B210" i="79"/>
  <c r="M201" i="79"/>
  <c r="B200" i="79"/>
  <c r="M191" i="79"/>
  <c r="B190" i="79"/>
  <c r="M181" i="79"/>
  <c r="B180" i="79"/>
  <c r="M171" i="79"/>
  <c r="B170" i="79"/>
  <c r="M161" i="79"/>
  <c r="B160" i="79"/>
  <c r="B148" i="79"/>
  <c r="N127" i="79"/>
  <c r="R58" i="79"/>
  <c r="R57" i="79"/>
  <c r="R56" i="79"/>
  <c r="R45" i="79"/>
  <c r="Q45" i="79"/>
  <c r="P45" i="79"/>
  <c r="R44" i="79"/>
  <c r="Q44" i="79"/>
  <c r="P44" i="79"/>
  <c r="R43" i="79"/>
  <c r="Q43" i="79"/>
  <c r="P43" i="79"/>
  <c r="R42" i="79"/>
  <c r="Q42" i="79"/>
  <c r="P42" i="79"/>
  <c r="R41" i="79"/>
  <c r="Q41" i="79"/>
  <c r="P41" i="79"/>
  <c r="R40" i="79"/>
  <c r="Q40" i="79"/>
  <c r="P40" i="79"/>
  <c r="R39" i="79"/>
  <c r="Q39" i="79"/>
  <c r="P39" i="79"/>
  <c r="R38" i="79"/>
  <c r="Q38" i="79"/>
  <c r="P38" i="79"/>
  <c r="X37" i="79"/>
  <c r="W37" i="79"/>
  <c r="R37" i="79"/>
  <c r="Q37" i="79"/>
  <c r="P37" i="79"/>
  <c r="X36" i="79"/>
  <c r="W36" i="79"/>
  <c r="R36" i="79"/>
  <c r="Q36" i="79"/>
  <c r="P36" i="79"/>
  <c r="R35" i="79"/>
  <c r="Q35" i="79"/>
  <c r="P35" i="79"/>
  <c r="X34" i="79"/>
  <c r="R34" i="79"/>
  <c r="Q34" i="79"/>
  <c r="P34" i="79"/>
  <c r="R33" i="79"/>
  <c r="Q33" i="79"/>
  <c r="P33" i="79"/>
  <c r="R32" i="79"/>
  <c r="Q32" i="79"/>
  <c r="P32" i="79"/>
  <c r="R31" i="79"/>
  <c r="Q31" i="79"/>
  <c r="P31" i="79"/>
  <c r="R30" i="79"/>
  <c r="Q30" i="79"/>
  <c r="P30" i="79"/>
  <c r="X29" i="79"/>
  <c r="W29" i="79"/>
  <c r="R29" i="79"/>
  <c r="Q29" i="79"/>
  <c r="P29" i="79"/>
  <c r="X28" i="79"/>
  <c r="W28" i="79"/>
  <c r="R28" i="79"/>
  <c r="Q28" i="79"/>
  <c r="P28" i="79"/>
  <c r="R27" i="79"/>
  <c r="Q27" i="79"/>
  <c r="P27" i="79"/>
  <c r="X26" i="79"/>
  <c r="R26" i="79"/>
  <c r="Q26" i="79"/>
  <c r="P26" i="79"/>
  <c r="R24" i="79"/>
  <c r="N19" i="79"/>
  <c r="N16" i="79"/>
  <c r="N15" i="79"/>
  <c r="N14" i="79"/>
  <c r="P11" i="79"/>
  <c r="P10" i="79"/>
  <c r="P9" i="79"/>
  <c r="P8" i="79"/>
  <c r="S7" i="79"/>
  <c r="R7" i="79"/>
  <c r="Q7" i="79"/>
  <c r="P3" i="79"/>
  <c r="AA286" i="77"/>
  <c r="P10" i="76"/>
  <c r="F1920" i="24"/>
  <c r="F1901" i="24"/>
  <c r="F1913" i="24"/>
  <c r="F1886" i="24"/>
  <c r="F1896" i="24"/>
  <c r="F1919" i="24"/>
  <c r="F1891" i="24"/>
  <c r="F1904" i="24"/>
  <c r="F1903" i="24"/>
  <c r="F1912" i="24"/>
  <c r="F1885" i="24"/>
  <c r="F1914" i="24"/>
  <c r="F1897" i="24"/>
  <c r="F1890" i="24"/>
  <c r="F1916" i="24"/>
  <c r="F1902" i="24"/>
  <c r="F1907" i="24"/>
  <c r="F1917" i="24"/>
  <c r="F1899" i="24"/>
  <c r="F1893" i="24"/>
  <c r="F1894" i="24"/>
  <c r="F1909" i="24"/>
  <c r="F1905" i="24"/>
  <c r="F1910" i="24"/>
  <c r="F1906" i="24"/>
  <c r="F1887" i="24"/>
  <c r="F1908" i="24"/>
  <c r="F1915" i="24"/>
  <c r="F1889" i="24"/>
  <c r="F1918" i="24"/>
  <c r="F1888" i="24"/>
  <c r="F1900" i="24"/>
  <c r="F1895" i="24"/>
  <c r="F1898" i="24"/>
  <c r="F1911" i="24"/>
  <c r="F1892" i="24"/>
  <c r="H1920" i="24"/>
  <c r="H1901" i="24"/>
  <c r="H1913" i="24"/>
  <c r="H1886" i="24"/>
  <c r="H1896" i="24"/>
  <c r="H1919" i="24"/>
  <c r="H1891" i="24"/>
  <c r="H1904" i="24"/>
  <c r="H1903" i="24"/>
  <c r="H1912" i="24"/>
  <c r="H1885" i="24"/>
  <c r="H1914" i="24"/>
  <c r="H1897" i="24"/>
  <c r="H1890" i="24"/>
  <c r="H1916" i="24"/>
  <c r="H1902" i="24"/>
  <c r="H1907" i="24"/>
  <c r="H1917" i="24"/>
  <c r="H1899" i="24"/>
  <c r="H1893" i="24"/>
  <c r="H1894" i="24"/>
  <c r="H1909" i="24"/>
  <c r="H1905" i="24"/>
  <c r="H1910" i="24"/>
  <c r="H1906" i="24"/>
  <c r="H1887" i="24"/>
  <c r="H1908" i="24"/>
  <c r="H1915" i="24"/>
  <c r="H1889" i="24"/>
  <c r="H1918" i="24"/>
  <c r="H1888" i="24"/>
  <c r="H1900" i="24"/>
  <c r="H1895" i="24"/>
  <c r="H1898" i="24"/>
  <c r="H1911" i="24"/>
  <c r="H1892" i="24"/>
  <c r="N1920" i="24" a="1"/>
  <c r="N1901" i="24" a="1"/>
  <c r="N1913" i="24" a="1"/>
  <c r="N1886" i="24" a="1"/>
  <c r="N1896" i="24" a="1"/>
  <c r="N1919" i="24" a="1"/>
  <c r="N1891" i="24" a="1"/>
  <c r="N1904" i="24" a="1"/>
  <c r="N1903" i="24" a="1"/>
  <c r="N1912" i="24" a="1"/>
  <c r="N1885" i="24" a="1"/>
  <c r="N1914" i="24" a="1"/>
  <c r="N1897" i="24" a="1"/>
  <c r="N1890" i="24" a="1"/>
  <c r="N1916" i="24" a="1"/>
  <c r="N1902" i="24" a="1"/>
  <c r="N1907" i="24" a="1"/>
  <c r="N1917" i="24" a="1"/>
  <c r="N1899" i="24" a="1"/>
  <c r="N1893" i="24" a="1"/>
  <c r="N1894" i="24" a="1"/>
  <c r="N1909" i="24" a="1"/>
  <c r="N1905" i="24" a="1"/>
  <c r="N1910" i="24" a="1"/>
  <c r="N1906" i="24" a="1"/>
  <c r="N1887" i="24" a="1"/>
  <c r="N1908" i="24" a="1"/>
  <c r="N1915" i="24" a="1"/>
  <c r="N1889" i="24" a="1"/>
  <c r="N1918" i="24" a="1"/>
  <c r="N1888" i="24" a="1"/>
  <c r="N1900" i="24" a="1"/>
  <c r="N1895" i="24" a="1"/>
  <c r="N1898" i="24" a="1"/>
  <c r="N1911" i="24" a="1"/>
  <c r="N1892" i="24" a="1"/>
  <c r="O1920" i="24" a="1"/>
  <c r="O1901" i="24" a="1"/>
  <c r="O1913" i="24" a="1"/>
  <c r="O1886" i="24" a="1"/>
  <c r="O1896" i="24" a="1"/>
  <c r="O1919" i="24" a="1"/>
  <c r="O1891" i="24" a="1"/>
  <c r="O1904" i="24" a="1"/>
  <c r="O1903" i="24" a="1"/>
  <c r="O1912" i="24" a="1"/>
  <c r="O1885" i="24" a="1"/>
  <c r="O1914" i="24" a="1"/>
  <c r="O1897" i="24" a="1"/>
  <c r="O1890" i="24" a="1"/>
  <c r="O1916" i="24" a="1"/>
  <c r="O1902" i="24" a="1"/>
  <c r="O1907" i="24" a="1"/>
  <c r="O1917" i="24" a="1"/>
  <c r="O1899" i="24" a="1"/>
  <c r="O1893" i="24" a="1"/>
  <c r="O1894" i="24" a="1"/>
  <c r="O1909" i="24" a="1"/>
  <c r="O1905" i="24" a="1"/>
  <c r="O1910" i="24" a="1"/>
  <c r="O1906" i="24" a="1"/>
  <c r="O1887" i="24" a="1"/>
  <c r="O1908" i="24" a="1"/>
  <c r="O1915" i="24" a="1"/>
  <c r="O1889" i="24" a="1"/>
  <c r="O1918" i="24" a="1"/>
  <c r="O1888" i="24" a="1"/>
  <c r="O1900" i="24" a="1"/>
  <c r="O1895" i="24" a="1"/>
  <c r="O1898" i="24" a="1"/>
  <c r="O1911" i="24" a="1"/>
  <c r="O1892" i="24" a="1"/>
  <c r="S1920" i="24" a="1"/>
  <c r="S1901" i="24" a="1"/>
  <c r="S1913" i="24" a="1"/>
  <c r="S1886" i="24" a="1"/>
  <c r="S1896" i="24" a="1"/>
  <c r="S1919" i="24" a="1"/>
  <c r="S1891" i="24" a="1"/>
  <c r="S1904" i="24" a="1"/>
  <c r="S1903" i="24" a="1"/>
  <c r="S1912" i="24" a="1"/>
  <c r="S1885" i="24" a="1"/>
  <c r="S1914" i="24" a="1"/>
  <c r="S1897" i="24" a="1"/>
  <c r="S1890" i="24" a="1"/>
  <c r="S1916" i="24" a="1"/>
  <c r="S1902" i="24" a="1"/>
  <c r="S1907" i="24" a="1"/>
  <c r="S1917" i="24" a="1"/>
  <c r="S1899" i="24" a="1"/>
  <c r="S1893" i="24" a="1"/>
  <c r="S1894" i="24" a="1"/>
  <c r="S1909" i="24" a="1"/>
  <c r="S1905" i="24" a="1"/>
  <c r="S1910" i="24" a="1"/>
  <c r="S1906" i="24" a="1"/>
  <c r="S1887" i="24" a="1"/>
  <c r="S1908" i="24" a="1"/>
  <c r="S1915" i="24" a="1"/>
  <c r="S1889" i="24" a="1"/>
  <c r="S1918" i="24" a="1"/>
  <c r="S1888" i="24" a="1"/>
  <c r="S1900" i="24" a="1"/>
  <c r="S1895" i="24" a="1"/>
  <c r="S1898" i="24" a="1"/>
  <c r="S1911" i="24" a="1"/>
  <c r="S1892" i="24" a="1"/>
  <c r="U1920" i="24"/>
  <c r="U1901" i="24"/>
  <c r="U1913" i="24"/>
  <c r="U1886" i="24"/>
  <c r="U1896" i="24"/>
  <c r="U1919" i="24"/>
  <c r="U1891" i="24"/>
  <c r="U1904" i="24"/>
  <c r="U1903" i="24"/>
  <c r="U1912" i="24"/>
  <c r="U1885" i="24"/>
  <c r="U1914" i="24"/>
  <c r="U1897" i="24"/>
  <c r="U1890" i="24"/>
  <c r="U1916" i="24"/>
  <c r="U1902" i="24"/>
  <c r="U1907" i="24"/>
  <c r="U1917" i="24"/>
  <c r="U1899" i="24"/>
  <c r="U1893" i="24"/>
  <c r="U1894" i="24"/>
  <c r="U1909" i="24"/>
  <c r="U1905" i="24"/>
  <c r="U1910" i="24"/>
  <c r="U1906" i="24"/>
  <c r="U1887" i="24"/>
  <c r="U1908" i="24"/>
  <c r="U1915" i="24"/>
  <c r="U1889" i="24"/>
  <c r="U1918" i="24"/>
  <c r="U1888" i="24"/>
  <c r="U1900" i="24"/>
  <c r="U1895" i="24"/>
  <c r="U1898" i="24"/>
  <c r="U1911" i="24"/>
  <c r="U1892" i="24"/>
  <c r="AA3" i="77"/>
  <c r="AA4" i="77"/>
  <c r="AA5" i="77"/>
  <c r="AA6" i="77"/>
  <c r="AA7" i="77"/>
  <c r="AA8" i="77"/>
  <c r="AA9" i="77"/>
  <c r="AA10" i="77"/>
  <c r="AA14" i="77"/>
  <c r="AA12" i="77"/>
  <c r="AA11" i="77"/>
  <c r="AA13" i="77"/>
  <c r="AA15" i="77"/>
  <c r="AA16" i="77"/>
  <c r="AA17" i="77"/>
  <c r="AA18" i="77"/>
  <c r="AA19" i="77"/>
  <c r="AA20" i="77"/>
  <c r="AA21" i="77"/>
  <c r="AA22" i="77"/>
  <c r="AA23" i="77"/>
  <c r="AA24" i="77"/>
  <c r="AA25" i="77"/>
  <c r="AA26" i="77"/>
  <c r="AA27" i="77"/>
  <c r="AA28" i="77"/>
  <c r="AA29" i="77"/>
  <c r="AA30" i="77"/>
  <c r="AA31" i="77"/>
  <c r="AA32" i="77"/>
  <c r="AA33" i="77"/>
  <c r="AA34" i="77"/>
  <c r="AA35" i="77"/>
  <c r="AA36" i="77"/>
  <c r="AA37" i="77"/>
  <c r="AA38" i="77"/>
  <c r="AA39" i="77"/>
  <c r="AA40" i="77"/>
  <c r="AA41" i="77"/>
  <c r="AA42" i="77"/>
  <c r="AA43" i="77"/>
  <c r="AA44" i="77"/>
  <c r="AA45" i="77"/>
  <c r="AA46" i="77"/>
  <c r="AA47" i="77"/>
  <c r="AA48" i="77"/>
  <c r="AA49" i="77"/>
  <c r="AA50" i="77"/>
  <c r="AA51" i="77"/>
  <c r="AA52" i="77"/>
  <c r="AA53" i="77"/>
  <c r="AA54" i="77"/>
  <c r="AA55" i="77"/>
  <c r="AA56" i="77"/>
  <c r="AA57" i="77"/>
  <c r="AA58" i="77"/>
  <c r="AA59" i="77"/>
  <c r="AA60" i="77"/>
  <c r="AA61" i="77"/>
  <c r="AA62" i="77"/>
  <c r="AA63" i="77"/>
  <c r="AA64" i="77"/>
  <c r="AA65" i="77"/>
  <c r="AA66" i="77"/>
  <c r="AA67" i="77"/>
  <c r="AA68" i="77"/>
  <c r="AA69" i="77"/>
  <c r="AA70" i="77"/>
  <c r="AA71" i="77"/>
  <c r="AA72" i="77"/>
  <c r="AA73" i="77"/>
  <c r="AA74" i="77"/>
  <c r="AA75" i="77"/>
  <c r="AA76" i="77"/>
  <c r="AA77" i="77"/>
  <c r="AA78" i="77"/>
  <c r="AA79" i="77"/>
  <c r="AA80" i="77"/>
  <c r="AA81" i="77"/>
  <c r="AA82" i="77"/>
  <c r="AA83" i="77"/>
  <c r="AA84" i="77"/>
  <c r="AA85" i="77"/>
  <c r="AA86" i="77"/>
  <c r="AA87" i="77"/>
  <c r="AA88" i="77"/>
  <c r="AA89" i="77"/>
  <c r="AA90" i="77"/>
  <c r="AA91" i="77"/>
  <c r="AA92" i="77"/>
  <c r="AA93" i="77"/>
  <c r="AA94" i="77"/>
  <c r="AA95" i="77"/>
  <c r="AA96" i="77"/>
  <c r="AA97" i="77"/>
  <c r="AA98" i="77"/>
  <c r="AA99" i="77"/>
  <c r="AA100" i="77"/>
  <c r="AA101" i="77"/>
  <c r="AA102" i="77"/>
  <c r="AA103" i="77"/>
  <c r="AA104" i="77"/>
  <c r="AA105" i="77"/>
  <c r="AA106" i="77"/>
  <c r="AA107" i="77"/>
  <c r="AA108" i="77"/>
  <c r="AA109" i="77"/>
  <c r="AA110" i="77"/>
  <c r="AA111" i="77"/>
  <c r="AA112" i="77"/>
  <c r="AA113" i="77"/>
  <c r="AA114" i="77"/>
  <c r="AA115" i="77"/>
  <c r="AA116" i="77"/>
  <c r="AA117" i="77"/>
  <c r="AA118" i="77"/>
  <c r="AA119" i="77"/>
  <c r="AA120" i="77"/>
  <c r="AA121" i="77"/>
  <c r="AA122" i="77"/>
  <c r="AA123" i="77"/>
  <c r="AA124" i="77"/>
  <c r="AA125" i="77"/>
  <c r="AA126" i="77"/>
  <c r="AA127" i="77"/>
  <c r="AA128" i="77"/>
  <c r="AA129" i="77"/>
  <c r="AA130" i="77"/>
  <c r="AA131" i="77"/>
  <c r="AA132" i="77"/>
  <c r="AA133" i="77"/>
  <c r="AA134" i="77"/>
  <c r="AA135" i="77"/>
  <c r="AA136" i="77"/>
  <c r="AA137" i="77"/>
  <c r="AA139" i="77"/>
  <c r="AA138" i="77"/>
  <c r="AA140" i="77"/>
  <c r="AA141" i="77"/>
  <c r="AA142" i="77"/>
  <c r="AA143" i="77"/>
  <c r="AA144" i="77"/>
  <c r="AA145" i="77"/>
  <c r="AA146" i="77"/>
  <c r="AA147" i="77"/>
  <c r="AA148" i="77"/>
  <c r="AA149" i="77"/>
  <c r="AA150" i="77"/>
  <c r="AA151" i="77"/>
  <c r="AA152" i="77"/>
  <c r="AA153" i="77"/>
  <c r="AA154" i="77"/>
  <c r="AA155" i="77"/>
  <c r="AA156" i="77"/>
  <c r="AA157" i="77"/>
  <c r="AA158" i="77"/>
  <c r="AA159" i="77"/>
  <c r="AA160" i="77"/>
  <c r="AA161" i="77"/>
  <c r="AA162" i="77"/>
  <c r="AA163" i="77"/>
  <c r="AA164" i="77"/>
  <c r="AA165" i="77"/>
  <c r="AA166" i="77"/>
  <c r="AA167" i="77"/>
  <c r="AA168" i="77"/>
  <c r="AA169" i="77"/>
  <c r="AA170" i="77"/>
  <c r="AA171" i="77"/>
  <c r="AA172" i="77"/>
  <c r="AA173" i="77"/>
  <c r="AA174" i="77"/>
  <c r="AA175" i="77"/>
  <c r="AA176" i="77"/>
  <c r="AA177" i="77"/>
  <c r="AA178" i="77"/>
  <c r="AA179" i="77"/>
  <c r="AA180" i="77"/>
  <c r="AA181" i="77"/>
  <c r="AA182" i="77"/>
  <c r="AA183" i="77"/>
  <c r="AA184" i="77"/>
  <c r="AA185" i="77"/>
  <c r="AA186" i="77"/>
  <c r="AA187" i="77"/>
  <c r="AA188" i="77"/>
  <c r="AA189" i="77"/>
  <c r="AA190" i="77"/>
  <c r="AA191" i="77"/>
  <c r="AA193" i="77"/>
  <c r="AA192" i="77"/>
  <c r="AA194" i="77"/>
  <c r="AA195" i="77"/>
  <c r="AA196" i="77"/>
  <c r="AA197" i="77"/>
  <c r="AA198" i="77"/>
  <c r="AA199" i="77"/>
  <c r="AA200" i="77"/>
  <c r="AA201" i="77"/>
  <c r="AA202" i="77"/>
  <c r="AA203" i="77"/>
  <c r="AA204" i="77"/>
  <c r="AA205" i="77"/>
  <c r="AA206" i="77"/>
  <c r="AA207" i="77"/>
  <c r="AA208" i="77"/>
  <c r="AA209" i="77"/>
  <c r="AA210" i="77"/>
  <c r="AA211" i="77"/>
  <c r="AA212" i="77"/>
  <c r="AA213" i="77"/>
  <c r="AA214" i="77"/>
  <c r="AA215" i="77"/>
  <c r="AA216" i="77"/>
  <c r="AA217" i="77"/>
  <c r="AA218" i="77"/>
  <c r="AA219" i="77"/>
  <c r="AA220" i="77"/>
  <c r="AA221" i="77"/>
  <c r="AA222" i="77"/>
  <c r="AA223" i="77"/>
  <c r="AA224" i="77"/>
  <c r="AA225" i="77"/>
  <c r="AA226" i="77"/>
  <c r="AA227" i="77"/>
  <c r="AA228" i="77"/>
  <c r="AA229" i="77"/>
  <c r="AA230" i="77"/>
  <c r="AA231" i="77"/>
  <c r="AA232" i="77"/>
  <c r="AA233" i="77"/>
  <c r="AA234" i="77"/>
  <c r="AA235" i="77"/>
  <c r="AA236" i="77"/>
  <c r="AA237" i="77"/>
  <c r="AA238" i="77"/>
  <c r="AA239" i="77"/>
  <c r="AA240" i="77"/>
  <c r="AA241" i="77"/>
  <c r="AA242" i="77"/>
  <c r="AA243" i="77"/>
  <c r="AA244" i="77"/>
  <c r="AA245" i="77"/>
  <c r="AA246" i="77"/>
  <c r="AA247" i="77"/>
  <c r="AA248" i="77"/>
  <c r="AA249" i="77"/>
  <c r="AA250" i="77"/>
  <c r="AA251" i="77"/>
  <c r="AA252" i="77"/>
  <c r="AA253" i="77"/>
  <c r="AA254" i="77"/>
  <c r="AA256" i="77"/>
  <c r="AA255" i="77"/>
  <c r="AA257" i="77"/>
  <c r="AA258" i="77"/>
  <c r="AA259" i="77"/>
  <c r="AA260" i="77"/>
  <c r="AA261" i="77"/>
  <c r="AA262" i="77"/>
  <c r="AA263" i="77"/>
  <c r="AA264" i="77"/>
  <c r="AA265" i="77"/>
  <c r="AA266" i="77"/>
  <c r="AA267" i="77"/>
  <c r="AA268" i="77"/>
  <c r="AA269" i="77"/>
  <c r="AA270" i="77"/>
  <c r="AA271" i="77"/>
  <c r="AA272" i="77"/>
  <c r="AA273" i="77"/>
  <c r="AA274" i="77"/>
  <c r="AA275" i="77"/>
  <c r="AA276" i="77"/>
  <c r="AA277" i="77"/>
  <c r="AA278" i="77"/>
  <c r="AA279" i="77"/>
  <c r="AA280" i="77"/>
  <c r="AA281" i="77"/>
  <c r="AA282" i="77"/>
  <c r="AA283" i="77"/>
  <c r="AA284" i="77"/>
  <c r="AA285" i="77"/>
  <c r="O73" i="76"/>
  <c r="N73" i="76"/>
  <c r="F1860" i="24"/>
  <c r="F1881" i="24"/>
  <c r="F1864" i="24"/>
  <c r="F1882" i="24"/>
  <c r="F1873" i="24"/>
  <c r="F1859" i="24"/>
  <c r="F1854" i="24"/>
  <c r="F1878" i="24"/>
  <c r="F1861" i="24"/>
  <c r="F1871" i="24"/>
  <c r="F1866" i="24"/>
  <c r="F1865" i="24"/>
  <c r="F1872" i="24"/>
  <c r="F1880" i="24"/>
  <c r="F1877" i="24"/>
  <c r="F1855" i="24"/>
  <c r="F1874" i="24"/>
  <c r="F1875" i="24"/>
  <c r="F1870" i="24"/>
  <c r="F1883" i="24"/>
  <c r="F1879" i="24"/>
  <c r="F1862" i="24"/>
  <c r="F1868" i="24"/>
  <c r="F1863" i="24"/>
  <c r="F1884" i="24"/>
  <c r="F1858" i="24"/>
  <c r="F1867" i="24"/>
  <c r="F1857" i="24"/>
  <c r="F1856" i="24"/>
  <c r="F1869" i="24"/>
  <c r="F1876" i="24"/>
  <c r="H1860" i="24"/>
  <c r="H1881" i="24"/>
  <c r="H1864" i="24"/>
  <c r="H1882" i="24"/>
  <c r="H1873" i="24"/>
  <c r="H1859" i="24"/>
  <c r="H1854" i="24"/>
  <c r="H1878" i="24"/>
  <c r="H1861" i="24"/>
  <c r="H1871" i="24"/>
  <c r="H1866" i="24"/>
  <c r="H1865" i="24"/>
  <c r="H1872" i="24"/>
  <c r="H1880" i="24"/>
  <c r="H1877" i="24"/>
  <c r="H1855" i="24"/>
  <c r="H1874" i="24"/>
  <c r="H1875" i="24"/>
  <c r="H1870" i="24"/>
  <c r="H1883" i="24"/>
  <c r="H1879" i="24"/>
  <c r="H1862" i="24"/>
  <c r="H1868" i="24"/>
  <c r="H1863" i="24"/>
  <c r="H1884" i="24"/>
  <c r="H1858" i="24"/>
  <c r="H1867" i="24"/>
  <c r="H1857" i="24"/>
  <c r="H1856" i="24"/>
  <c r="H1869" i="24"/>
  <c r="H1876" i="24"/>
  <c r="N1860" i="24" a="1"/>
  <c r="N1881" i="24" a="1"/>
  <c r="N1864" i="24" a="1"/>
  <c r="N1882" i="24" a="1"/>
  <c r="N1873" i="24" a="1"/>
  <c r="N1859" i="24" a="1"/>
  <c r="N1854" i="24" a="1"/>
  <c r="N1878" i="24" a="1"/>
  <c r="N1861" i="24" a="1"/>
  <c r="N1871" i="24" a="1"/>
  <c r="N1866" i="24" a="1"/>
  <c r="N1865" i="24" a="1"/>
  <c r="N1872" i="24" a="1"/>
  <c r="N1880" i="24" a="1"/>
  <c r="N1877" i="24" a="1"/>
  <c r="N1855" i="24" a="1"/>
  <c r="N1874" i="24" a="1"/>
  <c r="N1875" i="24" a="1"/>
  <c r="N1870" i="24" a="1"/>
  <c r="N1883" i="24" a="1"/>
  <c r="N1879" i="24" a="1"/>
  <c r="N1862" i="24" a="1"/>
  <c r="N1868" i="24" a="1"/>
  <c r="N1863" i="24" a="1"/>
  <c r="N1884" i="24" a="1"/>
  <c r="N1858" i="24" a="1"/>
  <c r="N1867" i="24" a="1"/>
  <c r="N1857" i="24" a="1"/>
  <c r="N1856" i="24" a="1"/>
  <c r="N1869" i="24" a="1"/>
  <c r="N1876" i="24" a="1"/>
  <c r="O1860" i="24" a="1"/>
  <c r="O1881" i="24" a="1"/>
  <c r="O1864" i="24" a="1"/>
  <c r="O1882" i="24" a="1"/>
  <c r="O1873" i="24" a="1"/>
  <c r="O1859" i="24" a="1"/>
  <c r="O1854" i="24" a="1"/>
  <c r="O1878" i="24" a="1"/>
  <c r="O1861" i="24" a="1"/>
  <c r="O1871" i="24" a="1"/>
  <c r="O1866" i="24" a="1"/>
  <c r="O1865" i="24" a="1"/>
  <c r="O1872" i="24" a="1"/>
  <c r="O1880" i="24" a="1"/>
  <c r="O1877" i="24" a="1"/>
  <c r="O1855" i="24" a="1"/>
  <c r="O1874" i="24" a="1"/>
  <c r="O1875" i="24" a="1"/>
  <c r="O1870" i="24" a="1"/>
  <c r="O1883" i="24" a="1"/>
  <c r="O1879" i="24" a="1"/>
  <c r="O1862" i="24" a="1"/>
  <c r="O1868" i="24" a="1"/>
  <c r="O1863" i="24" a="1"/>
  <c r="O1884" i="24" a="1"/>
  <c r="O1858" i="24" a="1"/>
  <c r="O1867" i="24" a="1"/>
  <c r="O1857" i="24" a="1"/>
  <c r="O1856" i="24" a="1"/>
  <c r="O1869" i="24" a="1"/>
  <c r="O1876" i="24" a="1"/>
  <c r="S1860" i="24" a="1"/>
  <c r="S1881" i="24" a="1"/>
  <c r="S1864" i="24" a="1"/>
  <c r="S1882" i="24" a="1"/>
  <c r="S1873" i="24" a="1"/>
  <c r="S1859" i="24" a="1"/>
  <c r="S1854" i="24" a="1"/>
  <c r="S1878" i="24" a="1"/>
  <c r="S1861" i="24" a="1"/>
  <c r="S1871" i="24" a="1"/>
  <c r="S1866" i="24" a="1"/>
  <c r="S1865" i="24" a="1"/>
  <c r="S1872" i="24" a="1"/>
  <c r="S1880" i="24" a="1"/>
  <c r="S1877" i="24" a="1"/>
  <c r="S1855" i="24" a="1"/>
  <c r="S1874" i="24" a="1"/>
  <c r="S1875" i="24" a="1"/>
  <c r="S1870" i="24" a="1"/>
  <c r="S1883" i="24" a="1"/>
  <c r="S1879" i="24" a="1"/>
  <c r="S1862" i="24" a="1"/>
  <c r="S1868" i="24" a="1"/>
  <c r="S1863" i="24" a="1"/>
  <c r="S1884" i="24" a="1"/>
  <c r="S1858" i="24" a="1"/>
  <c r="S1867" i="24" a="1"/>
  <c r="S1857" i="24" a="1"/>
  <c r="S1856" i="24" a="1"/>
  <c r="S1869" i="24" a="1"/>
  <c r="S1876" i="24" a="1"/>
  <c r="U1860" i="24"/>
  <c r="U1881" i="24"/>
  <c r="U1864" i="24"/>
  <c r="U1882" i="24"/>
  <c r="U1873" i="24"/>
  <c r="U1859" i="24"/>
  <c r="U1854" i="24"/>
  <c r="U1878" i="24"/>
  <c r="U1861" i="24"/>
  <c r="U1871" i="24"/>
  <c r="U1866" i="24"/>
  <c r="U1865" i="24"/>
  <c r="U1872" i="24"/>
  <c r="U1880" i="24"/>
  <c r="U1877" i="24"/>
  <c r="U1855" i="24"/>
  <c r="U1874" i="24"/>
  <c r="U1875" i="24"/>
  <c r="U1870" i="24"/>
  <c r="U1883" i="24"/>
  <c r="U1879" i="24"/>
  <c r="U1862" i="24"/>
  <c r="U1868" i="24"/>
  <c r="U1863" i="24"/>
  <c r="U1884" i="24"/>
  <c r="U1858" i="24"/>
  <c r="U1867" i="24"/>
  <c r="U1857" i="24"/>
  <c r="U1856" i="24"/>
  <c r="U1869" i="24"/>
  <c r="U1876" i="24"/>
  <c r="F1849" i="24"/>
  <c r="F1846" i="24"/>
  <c r="F1852" i="24"/>
  <c r="F1836" i="24"/>
  <c r="F1848" i="24"/>
  <c r="F1833" i="24"/>
  <c r="F1842" i="24"/>
  <c r="F1840" i="24"/>
  <c r="F1837" i="24"/>
  <c r="F1844" i="24"/>
  <c r="F1834" i="24"/>
  <c r="F1835" i="24"/>
  <c r="F1845" i="24"/>
  <c r="F1838" i="24"/>
  <c r="F1850" i="24"/>
  <c r="F1853" i="24"/>
  <c r="F1841" i="24"/>
  <c r="F1851" i="24"/>
  <c r="F1839" i="24"/>
  <c r="F1847" i="24"/>
  <c r="F1843" i="24"/>
  <c r="H1849" i="24"/>
  <c r="H1846" i="24"/>
  <c r="H1852" i="24"/>
  <c r="H1836" i="24"/>
  <c r="H1848" i="24"/>
  <c r="H1833" i="24"/>
  <c r="H1842" i="24"/>
  <c r="H1840" i="24"/>
  <c r="H1837" i="24"/>
  <c r="H1844" i="24"/>
  <c r="H1834" i="24"/>
  <c r="H1835" i="24"/>
  <c r="H1845" i="24"/>
  <c r="H1838" i="24"/>
  <c r="H1850" i="24"/>
  <c r="H1853" i="24"/>
  <c r="H1841" i="24"/>
  <c r="H1851" i="24"/>
  <c r="H1839" i="24"/>
  <c r="H1847" i="24"/>
  <c r="H1843" i="24"/>
  <c r="N1849" i="24" a="1"/>
  <c r="N1846" i="24" a="1"/>
  <c r="N1852" i="24" a="1"/>
  <c r="N1836" i="24" a="1"/>
  <c r="N1848" i="24" a="1"/>
  <c r="N1833" i="24" a="1"/>
  <c r="N1842" i="24" a="1"/>
  <c r="N1840" i="24" a="1"/>
  <c r="N1837" i="24" a="1"/>
  <c r="N1844" i="24" a="1"/>
  <c r="N1834" i="24" a="1"/>
  <c r="N1835" i="24" a="1"/>
  <c r="N1845" i="24" a="1"/>
  <c r="N1838" i="24" a="1"/>
  <c r="N1850" i="24" a="1"/>
  <c r="N1853" i="24" a="1"/>
  <c r="N1841" i="24" a="1"/>
  <c r="N1851" i="24" a="1"/>
  <c r="N1839" i="24" a="1"/>
  <c r="N1847" i="24" a="1"/>
  <c r="N1843" i="24" a="1"/>
  <c r="O1849" i="24" a="1"/>
  <c r="O1846" i="24" a="1"/>
  <c r="O1852" i="24" a="1"/>
  <c r="O1836" i="24" a="1"/>
  <c r="O1848" i="24" a="1"/>
  <c r="O1833" i="24" a="1"/>
  <c r="O1842" i="24" a="1"/>
  <c r="O1840" i="24" a="1"/>
  <c r="O1837" i="24" a="1"/>
  <c r="O1844" i="24" a="1"/>
  <c r="O1834" i="24" a="1"/>
  <c r="O1835" i="24" a="1"/>
  <c r="O1845" i="24" a="1"/>
  <c r="O1838" i="24" a="1"/>
  <c r="O1850" i="24" a="1"/>
  <c r="O1853" i="24" a="1"/>
  <c r="O1841" i="24" a="1"/>
  <c r="O1851" i="24" a="1"/>
  <c r="O1839" i="24" a="1"/>
  <c r="O1847" i="24" a="1"/>
  <c r="O1843" i="24" a="1"/>
  <c r="S1849" i="24" a="1"/>
  <c r="S1846" i="24" a="1"/>
  <c r="S1852" i="24" a="1"/>
  <c r="S1836" i="24" a="1"/>
  <c r="S1848" i="24" a="1"/>
  <c r="S1833" i="24" a="1"/>
  <c r="S1842" i="24" a="1"/>
  <c r="S1840" i="24" a="1"/>
  <c r="S1837" i="24" a="1"/>
  <c r="S1844" i="24" a="1"/>
  <c r="S1834" i="24" a="1"/>
  <c r="S1835" i="24" a="1"/>
  <c r="S1845" i="24" a="1"/>
  <c r="S1838" i="24" a="1"/>
  <c r="S1850" i="24" a="1"/>
  <c r="S1853" i="24" a="1"/>
  <c r="S1841" i="24" a="1"/>
  <c r="S1851" i="24" a="1"/>
  <c r="S1839" i="24" a="1"/>
  <c r="S1847" i="24" a="1"/>
  <c r="S1843" i="24" a="1"/>
  <c r="U1849" i="24"/>
  <c r="U1846" i="24"/>
  <c r="U1852" i="24"/>
  <c r="U1836" i="24"/>
  <c r="U1848" i="24"/>
  <c r="U1833" i="24"/>
  <c r="U1842" i="24"/>
  <c r="U1840" i="24"/>
  <c r="U1837" i="24"/>
  <c r="U1844" i="24"/>
  <c r="U1834" i="24"/>
  <c r="U1835" i="24"/>
  <c r="U1845" i="24"/>
  <c r="U1838" i="24"/>
  <c r="U1850" i="24"/>
  <c r="U1853" i="24"/>
  <c r="U1841" i="24"/>
  <c r="U1851" i="24"/>
  <c r="U1839" i="24"/>
  <c r="U1847" i="24"/>
  <c r="U1843" i="24"/>
  <c r="F1774" i="24"/>
  <c r="F1767" i="24"/>
  <c r="F1795" i="24"/>
  <c r="F1788" i="24"/>
  <c r="F1782" i="24"/>
  <c r="F1801" i="24"/>
  <c r="F1797" i="24"/>
  <c r="F1768" i="24"/>
  <c r="F1789" i="24"/>
  <c r="F1769" i="24"/>
  <c r="F1808" i="24"/>
  <c r="F1822" i="24"/>
  <c r="F1831" i="24"/>
  <c r="F1821" i="24"/>
  <c r="F1827" i="24"/>
  <c r="F1832" i="24"/>
  <c r="F1804" i="24"/>
  <c r="F1828" i="24"/>
  <c r="F1813" i="24"/>
  <c r="F1806" i="24"/>
  <c r="F1818" i="24"/>
  <c r="F1819" i="24"/>
  <c r="F1811" i="24"/>
  <c r="F1802" i="24"/>
  <c r="F1820" i="24"/>
  <c r="F1823" i="24"/>
  <c r="F1824" i="24"/>
  <c r="F1826" i="24"/>
  <c r="F1817" i="24"/>
  <c r="F1830" i="24"/>
  <c r="F1815" i="24"/>
  <c r="F1825" i="24"/>
  <c r="F1810" i="24"/>
  <c r="F1809" i="24"/>
  <c r="F1829" i="24"/>
  <c r="F1812" i="24"/>
  <c r="F1805" i="24"/>
  <c r="F1803" i="24"/>
  <c r="F1814" i="24"/>
  <c r="F1816" i="24"/>
  <c r="F1807" i="24"/>
  <c r="H1774" i="24"/>
  <c r="H1767" i="24"/>
  <c r="H1795" i="24"/>
  <c r="H1788" i="24"/>
  <c r="H1782" i="24"/>
  <c r="H1801" i="24"/>
  <c r="H1797" i="24"/>
  <c r="H1768" i="24"/>
  <c r="H1789" i="24"/>
  <c r="H1769" i="24"/>
  <c r="H1808" i="24"/>
  <c r="H1822" i="24"/>
  <c r="H1831" i="24"/>
  <c r="H1821" i="24"/>
  <c r="H1827" i="24"/>
  <c r="H1832" i="24"/>
  <c r="H1804" i="24"/>
  <c r="H1828" i="24"/>
  <c r="H1813" i="24"/>
  <c r="H1806" i="24"/>
  <c r="H1818" i="24"/>
  <c r="H1819" i="24"/>
  <c r="H1811" i="24"/>
  <c r="H1802" i="24"/>
  <c r="H1820" i="24"/>
  <c r="H1823" i="24"/>
  <c r="H1824" i="24"/>
  <c r="H1826" i="24"/>
  <c r="H1817" i="24"/>
  <c r="H1830" i="24"/>
  <c r="H1815" i="24"/>
  <c r="H1825" i="24"/>
  <c r="H1810" i="24"/>
  <c r="H1809" i="24"/>
  <c r="H1829" i="24"/>
  <c r="H1812" i="24"/>
  <c r="H1805" i="24"/>
  <c r="H1803" i="24"/>
  <c r="H1814" i="24"/>
  <c r="H1816" i="24"/>
  <c r="H1807" i="24"/>
  <c r="N1774" i="24" a="1"/>
  <c r="N1767" i="24" a="1"/>
  <c r="N1795" i="24" a="1"/>
  <c r="N1788" i="24" a="1"/>
  <c r="N1782" i="24" a="1"/>
  <c r="N1801" i="24" a="1"/>
  <c r="N1797" i="24" a="1"/>
  <c r="N1768" i="24" a="1"/>
  <c r="N1789" i="24" a="1"/>
  <c r="N1769" i="24" a="1"/>
  <c r="N1808" i="24" a="1"/>
  <c r="N1822" i="24" a="1"/>
  <c r="N1831" i="24" a="1"/>
  <c r="N1821" i="24" a="1"/>
  <c r="N1827" i="24" a="1"/>
  <c r="N1832" i="24" a="1"/>
  <c r="N1804" i="24" a="1"/>
  <c r="N1828" i="24" a="1"/>
  <c r="N1813" i="24" a="1"/>
  <c r="N1806" i="24" a="1"/>
  <c r="N1818" i="24" a="1"/>
  <c r="N1819" i="24" a="1"/>
  <c r="N1811" i="24" a="1"/>
  <c r="N1802" i="24" a="1"/>
  <c r="N1820" i="24" a="1"/>
  <c r="N1823" i="24" a="1"/>
  <c r="N1824" i="24" a="1"/>
  <c r="N1826" i="24" a="1"/>
  <c r="N1817" i="24" a="1"/>
  <c r="N1830" i="24" a="1"/>
  <c r="N1815" i="24" a="1"/>
  <c r="N1825" i="24" a="1"/>
  <c r="N1810" i="24" a="1"/>
  <c r="N1809" i="24" a="1"/>
  <c r="N1829" i="24" a="1"/>
  <c r="N1812" i="24" a="1"/>
  <c r="N1805" i="24" a="1"/>
  <c r="N1803" i="24" a="1"/>
  <c r="N1814" i="24" a="1"/>
  <c r="N1816" i="24" a="1"/>
  <c r="N1807" i="24" a="1"/>
  <c r="O1774" i="24" a="1"/>
  <c r="O1767" i="24" a="1"/>
  <c r="O1795" i="24" a="1"/>
  <c r="O1788" i="24" a="1"/>
  <c r="O1782" i="24" a="1"/>
  <c r="O1801" i="24" a="1"/>
  <c r="O1797" i="24" a="1"/>
  <c r="O1768" i="24" a="1"/>
  <c r="O1789" i="24" a="1"/>
  <c r="O1769" i="24" a="1"/>
  <c r="O1808" i="24" a="1"/>
  <c r="O1822" i="24" a="1"/>
  <c r="O1831" i="24" a="1"/>
  <c r="O1821" i="24" a="1"/>
  <c r="O1827" i="24" a="1"/>
  <c r="O1832" i="24" a="1"/>
  <c r="O1804" i="24" a="1"/>
  <c r="O1828" i="24" a="1"/>
  <c r="O1813" i="24" a="1"/>
  <c r="O1806" i="24" a="1"/>
  <c r="O1818" i="24" a="1"/>
  <c r="O1819" i="24" a="1"/>
  <c r="O1811" i="24" a="1"/>
  <c r="O1802" i="24" a="1"/>
  <c r="O1820" i="24" a="1"/>
  <c r="O1823" i="24" a="1"/>
  <c r="O1824" i="24" a="1"/>
  <c r="O1826" i="24" a="1"/>
  <c r="O1817" i="24" a="1"/>
  <c r="O1830" i="24" a="1"/>
  <c r="O1815" i="24" a="1"/>
  <c r="O1825" i="24" a="1"/>
  <c r="O1810" i="24" a="1"/>
  <c r="O1809" i="24" a="1"/>
  <c r="O1829" i="24" a="1"/>
  <c r="O1812" i="24" a="1"/>
  <c r="O1805" i="24" a="1"/>
  <c r="O1803" i="24" a="1"/>
  <c r="O1814" i="24" a="1"/>
  <c r="O1816" i="24" a="1"/>
  <c r="O1807" i="24" a="1"/>
  <c r="S1774" i="24" a="1"/>
  <c r="S1767" i="24" a="1"/>
  <c r="S1795" i="24" a="1"/>
  <c r="S1788" i="24" a="1"/>
  <c r="S1782" i="24" a="1"/>
  <c r="S1801" i="24" a="1"/>
  <c r="S1797" i="24" a="1"/>
  <c r="S1768" i="24" a="1"/>
  <c r="S1789" i="24" a="1"/>
  <c r="S1769" i="24" a="1"/>
  <c r="S1808" i="24" a="1"/>
  <c r="S1822" i="24" a="1"/>
  <c r="S1831" i="24" a="1"/>
  <c r="S1821" i="24" a="1"/>
  <c r="S1827" i="24" a="1"/>
  <c r="S1832" i="24" a="1"/>
  <c r="S1804" i="24" a="1"/>
  <c r="S1828" i="24" a="1"/>
  <c r="S1813" i="24" a="1"/>
  <c r="S1806" i="24" a="1"/>
  <c r="S1818" i="24" a="1"/>
  <c r="S1819" i="24" a="1"/>
  <c r="S1811" i="24" a="1"/>
  <c r="S1802" i="24" a="1"/>
  <c r="S1820" i="24" a="1"/>
  <c r="S1823" i="24" a="1"/>
  <c r="S1824" i="24" a="1"/>
  <c r="S1826" i="24" a="1"/>
  <c r="S1817" i="24" a="1"/>
  <c r="S1830" i="24" a="1"/>
  <c r="S1815" i="24" a="1"/>
  <c r="S1825" i="24" a="1"/>
  <c r="S1810" i="24" a="1"/>
  <c r="S1809" i="24" a="1"/>
  <c r="S1829" i="24" a="1"/>
  <c r="S1812" i="24" a="1"/>
  <c r="S1805" i="24" a="1"/>
  <c r="S1803" i="24" a="1"/>
  <c r="S1814" i="24" a="1"/>
  <c r="S1816" i="24" a="1"/>
  <c r="S1807" i="24" a="1"/>
  <c r="U1774" i="24"/>
  <c r="U1767" i="24"/>
  <c r="U1795" i="24"/>
  <c r="U1788" i="24"/>
  <c r="U1782" i="24"/>
  <c r="U1801" i="24"/>
  <c r="U1797" i="24"/>
  <c r="U1768" i="24"/>
  <c r="U1789" i="24"/>
  <c r="U1769" i="24"/>
  <c r="U1808" i="24"/>
  <c r="U1822" i="24"/>
  <c r="U1831" i="24"/>
  <c r="U1821" i="24"/>
  <c r="U1827" i="24"/>
  <c r="U1832" i="24"/>
  <c r="U1804" i="24"/>
  <c r="U1828" i="24"/>
  <c r="U1813" i="24"/>
  <c r="U1806" i="24"/>
  <c r="U1818" i="24"/>
  <c r="U1819" i="24"/>
  <c r="U1811" i="24"/>
  <c r="U1802" i="24"/>
  <c r="U1820" i="24"/>
  <c r="U1823" i="24"/>
  <c r="U1824" i="24"/>
  <c r="U1826" i="24"/>
  <c r="U1817" i="24"/>
  <c r="U1830" i="24"/>
  <c r="U1815" i="24"/>
  <c r="U1825" i="24"/>
  <c r="U1810" i="24"/>
  <c r="U1809" i="24"/>
  <c r="U1829" i="24"/>
  <c r="U1812" i="24"/>
  <c r="U1805" i="24"/>
  <c r="U1803" i="24"/>
  <c r="U1814" i="24"/>
  <c r="U1816" i="24"/>
  <c r="U1807" i="24"/>
  <c r="F1734" i="24"/>
  <c r="F1740" i="24"/>
  <c r="F1754" i="24"/>
  <c r="F1750" i="24"/>
  <c r="F1749" i="24"/>
  <c r="F1755" i="24"/>
  <c r="F1765" i="24"/>
  <c r="F1738" i="24"/>
  <c r="F1737" i="24"/>
  <c r="F1735" i="24"/>
  <c r="F1778" i="24"/>
  <c r="F1772" i="24"/>
  <c r="F1784" i="24"/>
  <c r="F1791" i="24"/>
  <c r="F1779" i="24"/>
  <c r="F1794" i="24"/>
  <c r="F1780" i="24"/>
  <c r="F1787" i="24"/>
  <c r="F1773" i="24"/>
  <c r="F1781" i="24"/>
  <c r="F1799" i="24"/>
  <c r="F1790" i="24"/>
  <c r="F1796" i="24"/>
  <c r="F1785" i="24"/>
  <c r="F1786" i="24"/>
  <c r="F1792" i="24"/>
  <c r="F1776" i="24"/>
  <c r="F1777" i="24"/>
  <c r="F1766" i="24"/>
  <c r="F1770" i="24"/>
  <c r="F1783" i="24"/>
  <c r="F1800" i="24"/>
  <c r="F1793" i="24"/>
  <c r="F1771" i="24"/>
  <c r="F1798" i="24"/>
  <c r="F1775" i="24"/>
  <c r="H1734" i="24"/>
  <c r="H1740" i="24"/>
  <c r="H1754" i="24"/>
  <c r="H1750" i="24"/>
  <c r="H1749" i="24"/>
  <c r="H1755" i="24"/>
  <c r="H1765" i="24"/>
  <c r="H1738" i="24"/>
  <c r="H1737" i="24"/>
  <c r="H1735" i="24"/>
  <c r="H1778" i="24"/>
  <c r="H1772" i="24"/>
  <c r="H1784" i="24"/>
  <c r="H1791" i="24"/>
  <c r="H1779" i="24"/>
  <c r="H1794" i="24"/>
  <c r="H1780" i="24"/>
  <c r="H1787" i="24"/>
  <c r="H1773" i="24"/>
  <c r="H1781" i="24"/>
  <c r="H1799" i="24"/>
  <c r="H1790" i="24"/>
  <c r="H1796" i="24"/>
  <c r="H1785" i="24"/>
  <c r="H1786" i="24"/>
  <c r="H1792" i="24"/>
  <c r="H1776" i="24"/>
  <c r="H1777" i="24"/>
  <c r="H1766" i="24"/>
  <c r="H1770" i="24"/>
  <c r="H1783" i="24"/>
  <c r="H1800" i="24"/>
  <c r="H1793" i="24"/>
  <c r="H1771" i="24"/>
  <c r="H1798" i="24"/>
  <c r="H1775" i="24"/>
  <c r="N1734" i="24" a="1"/>
  <c r="N1740" i="24" a="1"/>
  <c r="N1754" i="24" a="1"/>
  <c r="N1750" i="24" a="1"/>
  <c r="N1749" i="24" a="1"/>
  <c r="N1755" i="24" a="1"/>
  <c r="N1765" i="24" a="1"/>
  <c r="N1738" i="24" a="1"/>
  <c r="N1737" i="24" a="1"/>
  <c r="N1735" i="24" a="1"/>
  <c r="N1778" i="24" a="1"/>
  <c r="N1772" i="24" a="1"/>
  <c r="N1784" i="24" a="1"/>
  <c r="N1791" i="24" a="1"/>
  <c r="N1779" i="24" a="1"/>
  <c r="N1794" i="24" a="1"/>
  <c r="N1780" i="24" a="1"/>
  <c r="N1787" i="24" a="1"/>
  <c r="N1773" i="24" a="1"/>
  <c r="N1781" i="24" a="1"/>
  <c r="N1799" i="24" a="1"/>
  <c r="N1790" i="24" a="1"/>
  <c r="N1796" i="24" a="1"/>
  <c r="N1785" i="24" a="1"/>
  <c r="N1786" i="24" a="1"/>
  <c r="N1792" i="24" a="1"/>
  <c r="N1776" i="24" a="1"/>
  <c r="N1777" i="24" a="1"/>
  <c r="N1766" i="24" a="1"/>
  <c r="N1770" i="24" a="1"/>
  <c r="N1783" i="24" a="1"/>
  <c r="N1800" i="24" a="1"/>
  <c r="N1793" i="24" a="1"/>
  <c r="N1771" i="24" a="1"/>
  <c r="N1798" i="24" a="1"/>
  <c r="N1775" i="24" a="1"/>
  <c r="O1734" i="24" a="1"/>
  <c r="O1740" i="24" a="1"/>
  <c r="O1754" i="24" a="1"/>
  <c r="O1750" i="24" a="1"/>
  <c r="O1749" i="24" a="1"/>
  <c r="O1755" i="24" a="1"/>
  <c r="O1765" i="24" a="1"/>
  <c r="O1738" i="24" a="1"/>
  <c r="O1737" i="24" a="1"/>
  <c r="O1735" i="24" a="1"/>
  <c r="O1778" i="24" a="1"/>
  <c r="O1772" i="24" a="1"/>
  <c r="O1784" i="24" a="1"/>
  <c r="O1791" i="24" a="1"/>
  <c r="O1779" i="24" a="1"/>
  <c r="O1794" i="24" a="1"/>
  <c r="O1780" i="24" a="1"/>
  <c r="O1787" i="24" a="1"/>
  <c r="O1773" i="24" a="1"/>
  <c r="O1781" i="24" a="1"/>
  <c r="O1799" i="24" a="1"/>
  <c r="O1790" i="24" a="1"/>
  <c r="O1796" i="24" a="1"/>
  <c r="O1785" i="24" a="1"/>
  <c r="O1786" i="24" a="1"/>
  <c r="O1792" i="24" a="1"/>
  <c r="O1776" i="24" a="1"/>
  <c r="O1777" i="24" a="1"/>
  <c r="O1766" i="24" a="1"/>
  <c r="O1770" i="24" a="1"/>
  <c r="O1783" i="24" a="1"/>
  <c r="O1800" i="24" a="1"/>
  <c r="O1793" i="24" a="1"/>
  <c r="O1771" i="24" a="1"/>
  <c r="O1798" i="24" a="1"/>
  <c r="O1775" i="24" a="1"/>
  <c r="S1734" i="24" a="1"/>
  <c r="S1740" i="24" a="1"/>
  <c r="S1754" i="24" a="1"/>
  <c r="S1750" i="24" a="1"/>
  <c r="S1749" i="24" a="1"/>
  <c r="S1755" i="24" a="1"/>
  <c r="S1765" i="24" a="1"/>
  <c r="S1738" i="24" a="1"/>
  <c r="S1737" i="24" a="1"/>
  <c r="S1735" i="24" a="1"/>
  <c r="S1778" i="24" a="1"/>
  <c r="S1772" i="24" a="1"/>
  <c r="S1784" i="24" a="1"/>
  <c r="S1791" i="24" a="1"/>
  <c r="S1779" i="24" a="1"/>
  <c r="S1794" i="24" a="1"/>
  <c r="S1780" i="24" a="1"/>
  <c r="S1787" i="24" a="1"/>
  <c r="S1773" i="24" a="1"/>
  <c r="S1781" i="24" a="1"/>
  <c r="S1799" i="24" a="1"/>
  <c r="S1790" i="24" a="1"/>
  <c r="S1796" i="24" a="1"/>
  <c r="S1785" i="24" a="1"/>
  <c r="S1786" i="24" a="1"/>
  <c r="S1792" i="24" a="1"/>
  <c r="S1776" i="24" a="1"/>
  <c r="S1777" i="24" a="1"/>
  <c r="S1766" i="24" a="1"/>
  <c r="S1770" i="24" a="1"/>
  <c r="S1783" i="24" a="1"/>
  <c r="S1800" i="24" a="1"/>
  <c r="S1793" i="24" a="1"/>
  <c r="S1771" i="24" a="1"/>
  <c r="S1798" i="24" a="1"/>
  <c r="S1775" i="24" a="1"/>
  <c r="U1734" i="24"/>
  <c r="U1740" i="24"/>
  <c r="U1754" i="24"/>
  <c r="U1750" i="24"/>
  <c r="U1749" i="24"/>
  <c r="U1755" i="24"/>
  <c r="U1765" i="24"/>
  <c r="U1738" i="24"/>
  <c r="U1737" i="24"/>
  <c r="U1735" i="24"/>
  <c r="U1778" i="24"/>
  <c r="U1772" i="24"/>
  <c r="U1784" i="24"/>
  <c r="U1791" i="24"/>
  <c r="U1779" i="24"/>
  <c r="U1794" i="24"/>
  <c r="U1780" i="24"/>
  <c r="U1787" i="24"/>
  <c r="U1773" i="24"/>
  <c r="U1781" i="24"/>
  <c r="U1799" i="24"/>
  <c r="U1790" i="24"/>
  <c r="U1796" i="24"/>
  <c r="U1785" i="24"/>
  <c r="U1786" i="24"/>
  <c r="U1792" i="24"/>
  <c r="U1776" i="24"/>
  <c r="U1777" i="24"/>
  <c r="U1766" i="24"/>
  <c r="U1770" i="24"/>
  <c r="U1783" i="24"/>
  <c r="U1800" i="24"/>
  <c r="U1793" i="24"/>
  <c r="U1771" i="24"/>
  <c r="U1798" i="24"/>
  <c r="U1775" i="24"/>
  <c r="F1763" i="24"/>
  <c r="F1764" i="24"/>
  <c r="F1752" i="24"/>
  <c r="F1736" i="24"/>
  <c r="F1745" i="24"/>
  <c r="F1747" i="24"/>
  <c r="F1732" i="24"/>
  <c r="F1746" i="24"/>
  <c r="F1757" i="24"/>
  <c r="F1758" i="24"/>
  <c r="F1756" i="24"/>
  <c r="F1760" i="24"/>
  <c r="F1751" i="24"/>
  <c r="F1762" i="24"/>
  <c r="F1761" i="24"/>
  <c r="F1741" i="24"/>
  <c r="F1743" i="24"/>
  <c r="F1739" i="24"/>
  <c r="F1753" i="24"/>
  <c r="F1742" i="24"/>
  <c r="F1759" i="24"/>
  <c r="F1744" i="24"/>
  <c r="F1733" i="24"/>
  <c r="F1748" i="24"/>
  <c r="F1719" i="24"/>
  <c r="F1718" i="24"/>
  <c r="F1724" i="24"/>
  <c r="F1720" i="24"/>
  <c r="F1721" i="24"/>
  <c r="F1723" i="24"/>
  <c r="F1722" i="24"/>
  <c r="F1729" i="24"/>
  <c r="F1731" i="24"/>
  <c r="F1728" i="24"/>
  <c r="F1726" i="24"/>
  <c r="F1727" i="24"/>
  <c r="F1725" i="24"/>
  <c r="F1730" i="24"/>
  <c r="H1763" i="24"/>
  <c r="H1764" i="24"/>
  <c r="H1752" i="24"/>
  <c r="H1736" i="24"/>
  <c r="H1745" i="24"/>
  <c r="H1747" i="24"/>
  <c r="H1732" i="24"/>
  <c r="H1746" i="24"/>
  <c r="H1757" i="24"/>
  <c r="H1758" i="24"/>
  <c r="H1756" i="24"/>
  <c r="H1760" i="24"/>
  <c r="H1751" i="24"/>
  <c r="H1762" i="24"/>
  <c r="H1761" i="24"/>
  <c r="H1741" i="24"/>
  <c r="H1743" i="24"/>
  <c r="H1739" i="24"/>
  <c r="H1753" i="24"/>
  <c r="H1742" i="24"/>
  <c r="H1759" i="24"/>
  <c r="H1744" i="24"/>
  <c r="H1733" i="24"/>
  <c r="H1748" i="24"/>
  <c r="H1719" i="24"/>
  <c r="H1718" i="24"/>
  <c r="H1724" i="24"/>
  <c r="H1720" i="24"/>
  <c r="H1721" i="24"/>
  <c r="H1723" i="24"/>
  <c r="H1722" i="24"/>
  <c r="H1729" i="24"/>
  <c r="H1731" i="24"/>
  <c r="H1728" i="24"/>
  <c r="H1726" i="24"/>
  <c r="H1727" i="24"/>
  <c r="H1725" i="24"/>
  <c r="H1730" i="24"/>
  <c r="N1763" i="24" a="1"/>
  <c r="N1764" i="24" a="1"/>
  <c r="N1752" i="24" a="1"/>
  <c r="N1736" i="24" a="1"/>
  <c r="N1745" i="24" a="1"/>
  <c r="N1747" i="24" a="1"/>
  <c r="N1732" i="24" a="1"/>
  <c r="N1746" i="24" a="1"/>
  <c r="N1757" i="24" a="1"/>
  <c r="N1758" i="24" a="1"/>
  <c r="N1756" i="24" a="1"/>
  <c r="N1760" i="24" a="1"/>
  <c r="N1751" i="24" a="1"/>
  <c r="N1762" i="24" a="1"/>
  <c r="N1761" i="24" a="1"/>
  <c r="N1741" i="24" a="1"/>
  <c r="N1743" i="24" a="1"/>
  <c r="N1739" i="24" a="1"/>
  <c r="N1753" i="24" a="1"/>
  <c r="N1742" i="24" a="1"/>
  <c r="N1759" i="24" a="1"/>
  <c r="N1744" i="24" a="1"/>
  <c r="N1733" i="24" a="1"/>
  <c r="N1748" i="24" a="1"/>
  <c r="N1719" i="24" a="1"/>
  <c r="N1718" i="24" a="1"/>
  <c r="N1724" i="24" a="1"/>
  <c r="N1720" i="24" a="1"/>
  <c r="N1721" i="24" a="1"/>
  <c r="N1723" i="24" a="1"/>
  <c r="N1722" i="24" a="1"/>
  <c r="N1729" i="24" a="1"/>
  <c r="N1731" i="24" a="1"/>
  <c r="N1728" i="24" a="1"/>
  <c r="N1726" i="24" a="1"/>
  <c r="N1727" i="24" a="1"/>
  <c r="N1725" i="24" a="1"/>
  <c r="N1730" i="24" a="1"/>
  <c r="O1763" i="24" a="1"/>
  <c r="O1764" i="24" a="1"/>
  <c r="O1752" i="24" a="1"/>
  <c r="O1736" i="24" a="1"/>
  <c r="O1745" i="24" a="1"/>
  <c r="O1747" i="24" a="1"/>
  <c r="O1732" i="24" a="1"/>
  <c r="O1746" i="24" a="1"/>
  <c r="O1757" i="24" a="1"/>
  <c r="O1758" i="24" a="1"/>
  <c r="O1756" i="24" a="1"/>
  <c r="O1760" i="24" a="1"/>
  <c r="O1751" i="24" a="1"/>
  <c r="O1762" i="24" a="1"/>
  <c r="O1761" i="24" a="1"/>
  <c r="O1741" i="24" a="1"/>
  <c r="O1743" i="24" a="1"/>
  <c r="O1739" i="24" a="1"/>
  <c r="O1753" i="24" a="1"/>
  <c r="O1742" i="24" a="1"/>
  <c r="O1759" i="24" a="1"/>
  <c r="O1744" i="24" a="1"/>
  <c r="O1733" i="24" a="1"/>
  <c r="O1748" i="24" a="1"/>
  <c r="O1719" i="24" a="1"/>
  <c r="O1718" i="24" a="1"/>
  <c r="O1724" i="24" a="1"/>
  <c r="O1720" i="24" a="1"/>
  <c r="O1721" i="24" a="1"/>
  <c r="O1723" i="24" a="1"/>
  <c r="O1722" i="24" a="1"/>
  <c r="O1729" i="24" a="1"/>
  <c r="O1731" i="24" a="1"/>
  <c r="O1728" i="24" a="1"/>
  <c r="O1726" i="24" a="1"/>
  <c r="O1727" i="24" a="1"/>
  <c r="O1725" i="24" a="1"/>
  <c r="O1730" i="24" a="1"/>
  <c r="S1763" i="24" a="1"/>
  <c r="S1764" i="24" a="1"/>
  <c r="S1752" i="24" a="1"/>
  <c r="S1736" i="24" a="1"/>
  <c r="S1745" i="24" a="1"/>
  <c r="S1747" i="24" a="1"/>
  <c r="S1732" i="24" a="1"/>
  <c r="S1746" i="24" a="1"/>
  <c r="S1757" i="24" a="1"/>
  <c r="S1758" i="24" a="1"/>
  <c r="S1756" i="24" a="1"/>
  <c r="S1760" i="24" a="1"/>
  <c r="S1751" i="24" a="1"/>
  <c r="S1762" i="24" a="1"/>
  <c r="S1761" i="24" a="1"/>
  <c r="S1741" i="24" a="1"/>
  <c r="S1743" i="24" a="1"/>
  <c r="S1739" i="24" a="1"/>
  <c r="S1753" i="24" a="1"/>
  <c r="S1742" i="24" a="1"/>
  <c r="S1759" i="24" a="1"/>
  <c r="S1744" i="24" a="1"/>
  <c r="S1733" i="24" a="1"/>
  <c r="S1748" i="24" a="1"/>
  <c r="S1719" i="24" a="1"/>
  <c r="S1718" i="24" a="1"/>
  <c r="S1724" i="24" a="1"/>
  <c r="S1720" i="24" a="1"/>
  <c r="S1721" i="24" a="1"/>
  <c r="S1723" i="24" a="1"/>
  <c r="S1722" i="24" a="1"/>
  <c r="S1729" i="24" a="1"/>
  <c r="S1731" i="24" a="1"/>
  <c r="S1728" i="24" a="1"/>
  <c r="S1726" i="24" a="1"/>
  <c r="S1727" i="24" a="1"/>
  <c r="S1725" i="24" a="1"/>
  <c r="S1730" i="24" a="1"/>
  <c r="U1763" i="24"/>
  <c r="U1764" i="24"/>
  <c r="U1752" i="24"/>
  <c r="U1736" i="24"/>
  <c r="U1745" i="24"/>
  <c r="U1747" i="24"/>
  <c r="U1732" i="24"/>
  <c r="U1746" i="24"/>
  <c r="U1757" i="24"/>
  <c r="U1758" i="24"/>
  <c r="U1756" i="24"/>
  <c r="U1760" i="24"/>
  <c r="U1751" i="24"/>
  <c r="U1762" i="24"/>
  <c r="U1761" i="24"/>
  <c r="U1741" i="24"/>
  <c r="U1743" i="24"/>
  <c r="U1739" i="24"/>
  <c r="U1753" i="24"/>
  <c r="U1742" i="24"/>
  <c r="U1759" i="24"/>
  <c r="U1744" i="24"/>
  <c r="U1733" i="24"/>
  <c r="U1748" i="24"/>
  <c r="U1719" i="24"/>
  <c r="U1718" i="24"/>
  <c r="U1724" i="24"/>
  <c r="U1720" i="24"/>
  <c r="U1721" i="24"/>
  <c r="U1723" i="24"/>
  <c r="U1722" i="24"/>
  <c r="U1729" i="24"/>
  <c r="U1731" i="24"/>
  <c r="U1728" i="24"/>
  <c r="U1726" i="24"/>
  <c r="U1727" i="24"/>
  <c r="U1725" i="24"/>
  <c r="U1730" i="24"/>
  <c r="F1701" i="24"/>
  <c r="F1690" i="24"/>
  <c r="F1697" i="24"/>
  <c r="F1686" i="24"/>
  <c r="F1683" i="24"/>
  <c r="F1716" i="24"/>
  <c r="F1702" i="24"/>
  <c r="F1706" i="24"/>
  <c r="F1717" i="24"/>
  <c r="F1703" i="24"/>
  <c r="F1714" i="24"/>
  <c r="F1710" i="24"/>
  <c r="F1679" i="24"/>
  <c r="F1708" i="24"/>
  <c r="F1678" i="24"/>
  <c r="F1681" i="24"/>
  <c r="F1709" i="24"/>
  <c r="F1698" i="24"/>
  <c r="F1715" i="24"/>
  <c r="F1699" i="24"/>
  <c r="F1705" i="24"/>
  <c r="F1694" i="24"/>
  <c r="F1707" i="24"/>
  <c r="F1695" i="24"/>
  <c r="F1696" i="24"/>
  <c r="F1693" i="24"/>
  <c r="F1685" i="24"/>
  <c r="F1704" i="24"/>
  <c r="F1712" i="24"/>
  <c r="F1691" i="24"/>
  <c r="F1711" i="24"/>
  <c r="F1713" i="24"/>
  <c r="F1689" i="24"/>
  <c r="F1692" i="24"/>
  <c r="F1680" i="24"/>
  <c r="F1684" i="24"/>
  <c r="F1682" i="24"/>
  <c r="F1688" i="24"/>
  <c r="F1700" i="24"/>
  <c r="F1687" i="24"/>
  <c r="F1659" i="24"/>
  <c r="F1675" i="24"/>
  <c r="F1672" i="24"/>
  <c r="F1669" i="24"/>
  <c r="F1657" i="24"/>
  <c r="F1677" i="24"/>
  <c r="F1656" i="24"/>
  <c r="F1661" i="24"/>
  <c r="H1701" i="24"/>
  <c r="H1690" i="24"/>
  <c r="H1697" i="24"/>
  <c r="H1686" i="24"/>
  <c r="H1683" i="24"/>
  <c r="H1716" i="24"/>
  <c r="H1702" i="24"/>
  <c r="H1706" i="24"/>
  <c r="H1717" i="24"/>
  <c r="H1703" i="24"/>
  <c r="H1714" i="24"/>
  <c r="H1710" i="24"/>
  <c r="H1679" i="24"/>
  <c r="H1708" i="24"/>
  <c r="H1678" i="24"/>
  <c r="H1681" i="24"/>
  <c r="H1709" i="24"/>
  <c r="H1698" i="24"/>
  <c r="H1715" i="24"/>
  <c r="H1699" i="24"/>
  <c r="H1705" i="24"/>
  <c r="H1694" i="24"/>
  <c r="H1707" i="24"/>
  <c r="H1695" i="24"/>
  <c r="H1696" i="24"/>
  <c r="H1693" i="24"/>
  <c r="H1685" i="24"/>
  <c r="H1704" i="24"/>
  <c r="H1712" i="24"/>
  <c r="H1691" i="24"/>
  <c r="H1711" i="24"/>
  <c r="H1713" i="24"/>
  <c r="H1689" i="24"/>
  <c r="H1692" i="24"/>
  <c r="H1680" i="24"/>
  <c r="H1684" i="24"/>
  <c r="H1682" i="24"/>
  <c r="H1688" i="24"/>
  <c r="H1700" i="24"/>
  <c r="H1687" i="24"/>
  <c r="H1659" i="24"/>
  <c r="H1675" i="24"/>
  <c r="H1672" i="24"/>
  <c r="H1669" i="24"/>
  <c r="H1657" i="24"/>
  <c r="H1677" i="24"/>
  <c r="H1656" i="24"/>
  <c r="H1661" i="24"/>
  <c r="N1701" i="24" a="1"/>
  <c r="N1690" i="24" a="1"/>
  <c r="N1697" i="24" a="1"/>
  <c r="N1686" i="24" a="1"/>
  <c r="N1683" i="24" a="1"/>
  <c r="N1716" i="24" a="1"/>
  <c r="N1702" i="24" a="1"/>
  <c r="N1706" i="24" a="1"/>
  <c r="N1717" i="24" a="1"/>
  <c r="N1703" i="24" a="1"/>
  <c r="N1714" i="24" a="1"/>
  <c r="N1710" i="24" a="1"/>
  <c r="N1679" i="24" a="1"/>
  <c r="N1708" i="24" a="1"/>
  <c r="N1678" i="24" a="1"/>
  <c r="N1681" i="24" a="1"/>
  <c r="N1709" i="24" a="1"/>
  <c r="N1698" i="24" a="1"/>
  <c r="N1715" i="24" a="1"/>
  <c r="N1699" i="24" a="1"/>
  <c r="N1705" i="24" a="1"/>
  <c r="N1694" i="24" a="1"/>
  <c r="N1707" i="24" a="1"/>
  <c r="N1695" i="24" a="1"/>
  <c r="N1696" i="24" a="1"/>
  <c r="N1693" i="24" a="1"/>
  <c r="N1685" i="24" a="1"/>
  <c r="N1704" i="24" a="1"/>
  <c r="N1712" i="24" a="1"/>
  <c r="N1691" i="24" a="1"/>
  <c r="N1711" i="24" a="1"/>
  <c r="N1713" i="24" a="1"/>
  <c r="N1689" i="24" a="1"/>
  <c r="N1692" i="24" a="1"/>
  <c r="N1680" i="24" a="1"/>
  <c r="N1684" i="24" a="1"/>
  <c r="N1682" i="24" a="1"/>
  <c r="N1688" i="24" a="1"/>
  <c r="N1700" i="24" a="1"/>
  <c r="N1687" i="24" a="1"/>
  <c r="N1659" i="24" a="1"/>
  <c r="N1675" i="24" a="1"/>
  <c r="N1672" i="24" a="1"/>
  <c r="N1669" i="24" a="1"/>
  <c r="N1657" i="24" a="1"/>
  <c r="N1677" i="24" a="1"/>
  <c r="N1656" i="24" a="1"/>
  <c r="N1661" i="24" a="1"/>
  <c r="O1701" i="24" a="1"/>
  <c r="O1690" i="24" a="1"/>
  <c r="O1697" i="24" a="1"/>
  <c r="O1686" i="24" a="1"/>
  <c r="O1683" i="24" a="1"/>
  <c r="O1716" i="24" a="1"/>
  <c r="O1702" i="24" a="1"/>
  <c r="O1706" i="24" a="1"/>
  <c r="O1717" i="24" a="1"/>
  <c r="O1703" i="24" a="1"/>
  <c r="O1714" i="24" a="1"/>
  <c r="O1710" i="24" a="1"/>
  <c r="O1679" i="24" a="1"/>
  <c r="O1708" i="24" a="1"/>
  <c r="O1678" i="24" a="1"/>
  <c r="O1681" i="24" a="1"/>
  <c r="O1709" i="24" a="1"/>
  <c r="O1698" i="24" a="1"/>
  <c r="O1715" i="24" a="1"/>
  <c r="O1699" i="24" a="1"/>
  <c r="O1705" i="24" a="1"/>
  <c r="O1694" i="24" a="1"/>
  <c r="O1707" i="24" a="1"/>
  <c r="O1695" i="24" a="1"/>
  <c r="O1696" i="24" a="1"/>
  <c r="O1693" i="24" a="1"/>
  <c r="O1685" i="24" a="1"/>
  <c r="O1704" i="24" a="1"/>
  <c r="O1712" i="24" a="1"/>
  <c r="O1691" i="24" a="1"/>
  <c r="O1711" i="24" a="1"/>
  <c r="O1713" i="24" a="1"/>
  <c r="O1689" i="24" a="1"/>
  <c r="O1692" i="24" a="1"/>
  <c r="O1680" i="24" a="1"/>
  <c r="O1684" i="24" a="1"/>
  <c r="O1682" i="24" a="1"/>
  <c r="O1688" i="24" a="1"/>
  <c r="O1700" i="24" a="1"/>
  <c r="O1687" i="24" a="1"/>
  <c r="O1659" i="24" a="1"/>
  <c r="O1675" i="24" a="1"/>
  <c r="O1672" i="24" a="1"/>
  <c r="O1669" i="24" a="1"/>
  <c r="O1657" i="24" a="1"/>
  <c r="O1677" i="24" a="1"/>
  <c r="O1656" i="24" a="1"/>
  <c r="O1661" i="24" a="1"/>
  <c r="S1701" i="24" a="1"/>
  <c r="S1690" i="24" a="1"/>
  <c r="S1697" i="24" a="1"/>
  <c r="S1686" i="24" a="1"/>
  <c r="S1683" i="24" a="1"/>
  <c r="S1716" i="24" a="1"/>
  <c r="S1702" i="24" a="1"/>
  <c r="S1706" i="24" a="1"/>
  <c r="S1717" i="24" a="1"/>
  <c r="S1703" i="24" a="1"/>
  <c r="S1714" i="24" a="1"/>
  <c r="S1710" i="24" a="1"/>
  <c r="S1679" i="24" a="1"/>
  <c r="S1708" i="24" a="1"/>
  <c r="S1678" i="24" a="1"/>
  <c r="S1681" i="24" a="1"/>
  <c r="S1709" i="24" a="1"/>
  <c r="S1698" i="24" a="1"/>
  <c r="S1715" i="24" a="1"/>
  <c r="S1699" i="24" a="1"/>
  <c r="S1705" i="24" a="1"/>
  <c r="S1694" i="24" a="1"/>
  <c r="S1707" i="24" a="1"/>
  <c r="S1695" i="24" a="1"/>
  <c r="S1696" i="24" a="1"/>
  <c r="S1693" i="24" a="1"/>
  <c r="S1685" i="24" a="1"/>
  <c r="S1704" i="24" a="1"/>
  <c r="S1712" i="24" a="1"/>
  <c r="S1691" i="24" a="1"/>
  <c r="S1711" i="24" a="1"/>
  <c r="S1713" i="24" a="1"/>
  <c r="S1689" i="24" a="1"/>
  <c r="S1692" i="24" a="1"/>
  <c r="S1680" i="24" a="1"/>
  <c r="S1684" i="24" a="1"/>
  <c r="S1682" i="24" a="1"/>
  <c r="S1688" i="24" a="1"/>
  <c r="S1700" i="24" a="1"/>
  <c r="S1687" i="24" a="1"/>
  <c r="S1659" i="24" a="1"/>
  <c r="S1675" i="24" a="1"/>
  <c r="S1672" i="24" a="1"/>
  <c r="S1669" i="24" a="1"/>
  <c r="S1657" i="24" a="1"/>
  <c r="S1677" i="24" a="1"/>
  <c r="S1656" i="24" a="1"/>
  <c r="S1661" i="24" a="1"/>
  <c r="U1701" i="24"/>
  <c r="U1690" i="24"/>
  <c r="U1697" i="24"/>
  <c r="U1686" i="24"/>
  <c r="U1683" i="24"/>
  <c r="U1716" i="24"/>
  <c r="U1702" i="24"/>
  <c r="U1706" i="24"/>
  <c r="U1717" i="24"/>
  <c r="U1703" i="24"/>
  <c r="U1714" i="24"/>
  <c r="U1710" i="24"/>
  <c r="U1679" i="24"/>
  <c r="U1708" i="24"/>
  <c r="U1678" i="24"/>
  <c r="U1681" i="24"/>
  <c r="U1709" i="24"/>
  <c r="U1698" i="24"/>
  <c r="U1715" i="24"/>
  <c r="U1699" i="24"/>
  <c r="U1705" i="24"/>
  <c r="U1694" i="24"/>
  <c r="U1707" i="24"/>
  <c r="U1695" i="24"/>
  <c r="U1696" i="24"/>
  <c r="U1693" i="24"/>
  <c r="U1685" i="24"/>
  <c r="U1704" i="24"/>
  <c r="U1712" i="24"/>
  <c r="U1691" i="24"/>
  <c r="U1711" i="24"/>
  <c r="U1713" i="24"/>
  <c r="U1689" i="24"/>
  <c r="U1692" i="24"/>
  <c r="U1680" i="24"/>
  <c r="U1684" i="24"/>
  <c r="U1682" i="24"/>
  <c r="U1688" i="24"/>
  <c r="U1700" i="24"/>
  <c r="U1687" i="24"/>
  <c r="U1659" i="24"/>
  <c r="U1675" i="24"/>
  <c r="U1672" i="24"/>
  <c r="U1669" i="24"/>
  <c r="U1657" i="24"/>
  <c r="U1677" i="24"/>
  <c r="U1656" i="24"/>
  <c r="U1661" i="24"/>
  <c r="F1664" i="24"/>
  <c r="F1668" i="24"/>
  <c r="F1665" i="24"/>
  <c r="F1666" i="24"/>
  <c r="F1673" i="24"/>
  <c r="F1676" i="24"/>
  <c r="F1674" i="24"/>
  <c r="F1662" i="24"/>
  <c r="F1667" i="24"/>
  <c r="F1670" i="24"/>
  <c r="F1660" i="24"/>
  <c r="F1671" i="24"/>
  <c r="F1663" i="24"/>
  <c r="F1658" i="24"/>
  <c r="H1664" i="24"/>
  <c r="H1668" i="24"/>
  <c r="H1665" i="24"/>
  <c r="H1666" i="24"/>
  <c r="H1673" i="24"/>
  <c r="H1676" i="24"/>
  <c r="H1674" i="24"/>
  <c r="H1662" i="24"/>
  <c r="H1667" i="24"/>
  <c r="H1670" i="24"/>
  <c r="H1660" i="24"/>
  <c r="H1671" i="24"/>
  <c r="H1663" i="24"/>
  <c r="H1658" i="24"/>
  <c r="N1664" i="24" a="1"/>
  <c r="N1668" i="24" a="1"/>
  <c r="N1665" i="24" a="1"/>
  <c r="N1666" i="24" a="1"/>
  <c r="N1673" i="24" a="1"/>
  <c r="N1676" i="24" a="1"/>
  <c r="N1674" i="24" a="1"/>
  <c r="N1662" i="24" a="1"/>
  <c r="N1667" i="24" a="1"/>
  <c r="N1670" i="24" a="1"/>
  <c r="N1660" i="24" a="1"/>
  <c r="N1671" i="24" a="1"/>
  <c r="N1663" i="24" a="1"/>
  <c r="N1658" i="24" a="1"/>
  <c r="O1664" i="24" a="1"/>
  <c r="O1668" i="24" a="1"/>
  <c r="O1665" i="24" a="1"/>
  <c r="O1666" i="24" a="1"/>
  <c r="O1673" i="24" a="1"/>
  <c r="O1676" i="24" a="1"/>
  <c r="O1674" i="24" a="1"/>
  <c r="O1662" i="24" a="1"/>
  <c r="O1667" i="24" a="1"/>
  <c r="O1670" i="24" a="1"/>
  <c r="O1660" i="24" a="1"/>
  <c r="O1671" i="24" a="1"/>
  <c r="O1663" i="24" a="1"/>
  <c r="O1658" i="24" a="1"/>
  <c r="S1664" i="24" a="1"/>
  <c r="S1668" i="24" a="1"/>
  <c r="S1665" i="24" a="1"/>
  <c r="S1666" i="24" a="1"/>
  <c r="S1673" i="24" a="1"/>
  <c r="S1676" i="24" a="1"/>
  <c r="S1674" i="24" a="1"/>
  <c r="S1662" i="24" a="1"/>
  <c r="S1667" i="24" a="1"/>
  <c r="S1670" i="24" a="1"/>
  <c r="S1660" i="24" a="1"/>
  <c r="S1671" i="24" a="1"/>
  <c r="S1663" i="24" a="1"/>
  <c r="S1658" i="24" a="1"/>
  <c r="U1664" i="24"/>
  <c r="U1668" i="24"/>
  <c r="U1665" i="24"/>
  <c r="U1666" i="24"/>
  <c r="U1673" i="24"/>
  <c r="U1676" i="24"/>
  <c r="U1674" i="24"/>
  <c r="U1662" i="24"/>
  <c r="U1667" i="24"/>
  <c r="U1670" i="24"/>
  <c r="U1660" i="24"/>
  <c r="U1671" i="24"/>
  <c r="U1663" i="24"/>
  <c r="U1658" i="24"/>
  <c r="F1654" i="24"/>
  <c r="F1632" i="24"/>
  <c r="F1633" i="24"/>
  <c r="F1655" i="24"/>
  <c r="F1651" i="24"/>
  <c r="F1634" i="24"/>
  <c r="F1652" i="24"/>
  <c r="F1653" i="24"/>
  <c r="F1641" i="24"/>
  <c r="F1644" i="24"/>
  <c r="F1645" i="24"/>
  <c r="F1642" i="24"/>
  <c r="F1639" i="24"/>
  <c r="F1649" i="24"/>
  <c r="F1646" i="24"/>
  <c r="F1640" i="24"/>
  <c r="F1635" i="24"/>
  <c r="F1648" i="24"/>
  <c r="F1638" i="24"/>
  <c r="F1643" i="24"/>
  <c r="F1636" i="24"/>
  <c r="F1650" i="24"/>
  <c r="F1647" i="24"/>
  <c r="F1637" i="24"/>
  <c r="F1626" i="24"/>
  <c r="F1631" i="24"/>
  <c r="F1628" i="24"/>
  <c r="F1629" i="24"/>
  <c r="F1627" i="24"/>
  <c r="F1630" i="24"/>
  <c r="H1654" i="24"/>
  <c r="H1632" i="24"/>
  <c r="H1633" i="24"/>
  <c r="H1655" i="24"/>
  <c r="H1651" i="24"/>
  <c r="H1634" i="24"/>
  <c r="H1652" i="24"/>
  <c r="H1653" i="24"/>
  <c r="H1641" i="24"/>
  <c r="H1644" i="24"/>
  <c r="H1645" i="24"/>
  <c r="H1642" i="24"/>
  <c r="H1639" i="24"/>
  <c r="H1649" i="24"/>
  <c r="H1646" i="24"/>
  <c r="H1640" i="24"/>
  <c r="H1635" i="24"/>
  <c r="H1648" i="24"/>
  <c r="H1638" i="24"/>
  <c r="H1643" i="24"/>
  <c r="H1636" i="24"/>
  <c r="H1650" i="24"/>
  <c r="H1647" i="24"/>
  <c r="H1637" i="24"/>
  <c r="H1626" i="24"/>
  <c r="H1631" i="24"/>
  <c r="H1628" i="24"/>
  <c r="H1629" i="24"/>
  <c r="H1627" i="24"/>
  <c r="H1630" i="24"/>
  <c r="N1654" i="24" a="1"/>
  <c r="N1632" i="24" a="1"/>
  <c r="N1633" i="24" a="1"/>
  <c r="N1655" i="24" a="1"/>
  <c r="N1651" i="24" a="1"/>
  <c r="N1634" i="24" a="1"/>
  <c r="N1652" i="24" a="1"/>
  <c r="N1653" i="24" a="1"/>
  <c r="N1641" i="24" a="1"/>
  <c r="N1644" i="24" a="1"/>
  <c r="N1645" i="24" a="1"/>
  <c r="N1642" i="24" a="1"/>
  <c r="N1639" i="24" a="1"/>
  <c r="N1649" i="24" a="1"/>
  <c r="N1646" i="24" a="1"/>
  <c r="N1640" i="24" a="1"/>
  <c r="N1635" i="24" a="1"/>
  <c r="N1648" i="24" a="1"/>
  <c r="N1638" i="24" a="1"/>
  <c r="N1643" i="24" a="1"/>
  <c r="N1636" i="24" a="1"/>
  <c r="N1650" i="24" a="1"/>
  <c r="N1647" i="24" a="1"/>
  <c r="N1637" i="24" a="1"/>
  <c r="N1626" i="24" a="1"/>
  <c r="N1631" i="24" a="1"/>
  <c r="N1628" i="24" a="1"/>
  <c r="N1629" i="24" a="1"/>
  <c r="N1627" i="24" a="1"/>
  <c r="N1630" i="24" a="1"/>
  <c r="O1654" i="24" a="1"/>
  <c r="O1632" i="24" a="1"/>
  <c r="O1633" i="24" a="1"/>
  <c r="O1655" i="24" a="1"/>
  <c r="O1651" i="24" a="1"/>
  <c r="O1634" i="24" a="1"/>
  <c r="O1652" i="24" a="1"/>
  <c r="O1653" i="24" a="1"/>
  <c r="O1641" i="24" a="1"/>
  <c r="O1644" i="24" a="1"/>
  <c r="O1645" i="24" a="1"/>
  <c r="O1642" i="24" a="1"/>
  <c r="O1639" i="24" a="1"/>
  <c r="O1649" i="24" a="1"/>
  <c r="O1646" i="24" a="1"/>
  <c r="O1640" i="24" a="1"/>
  <c r="O1635" i="24" a="1"/>
  <c r="O1648" i="24" a="1"/>
  <c r="O1638" i="24" a="1"/>
  <c r="O1643" i="24" a="1"/>
  <c r="O1636" i="24" a="1"/>
  <c r="O1650" i="24" a="1"/>
  <c r="O1647" i="24" a="1"/>
  <c r="O1637" i="24" a="1"/>
  <c r="O1626" i="24" a="1"/>
  <c r="O1631" i="24" a="1"/>
  <c r="O1628" i="24" a="1"/>
  <c r="O1629" i="24" a="1"/>
  <c r="O1627" i="24" a="1"/>
  <c r="O1630" i="24" a="1"/>
  <c r="S1654" i="24" a="1"/>
  <c r="S1632" i="24" a="1"/>
  <c r="S1633" i="24" a="1"/>
  <c r="S1655" i="24" a="1"/>
  <c r="S1651" i="24" a="1"/>
  <c r="S1634" i="24" a="1"/>
  <c r="S1652" i="24" a="1"/>
  <c r="S1653" i="24" a="1"/>
  <c r="S1641" i="24" a="1"/>
  <c r="S1644" i="24" a="1"/>
  <c r="S1645" i="24" a="1"/>
  <c r="S1642" i="24" a="1"/>
  <c r="S1639" i="24" a="1"/>
  <c r="S1649" i="24" a="1"/>
  <c r="S1646" i="24" a="1"/>
  <c r="S1640" i="24" a="1"/>
  <c r="S1635" i="24" a="1"/>
  <c r="S1648" i="24" a="1"/>
  <c r="S1638" i="24" a="1"/>
  <c r="S1643" i="24" a="1"/>
  <c r="S1636" i="24" a="1"/>
  <c r="S1650" i="24" a="1"/>
  <c r="S1647" i="24" a="1"/>
  <c r="S1637" i="24" a="1"/>
  <c r="S1626" i="24" a="1"/>
  <c r="S1631" i="24" a="1"/>
  <c r="S1628" i="24" a="1"/>
  <c r="S1629" i="24" a="1"/>
  <c r="S1627" i="24" a="1"/>
  <c r="S1630" i="24" a="1"/>
  <c r="U1654" i="24"/>
  <c r="U1632" i="24"/>
  <c r="U1633" i="24"/>
  <c r="U1655" i="24"/>
  <c r="U1651" i="24"/>
  <c r="U1634" i="24"/>
  <c r="U1652" i="24"/>
  <c r="U1653" i="24"/>
  <c r="U1641" i="24"/>
  <c r="U1644" i="24"/>
  <c r="U1645" i="24"/>
  <c r="U1642" i="24"/>
  <c r="U1639" i="24"/>
  <c r="U1649" i="24"/>
  <c r="U1646" i="24"/>
  <c r="U1640" i="24"/>
  <c r="U1635" i="24"/>
  <c r="U1648" i="24"/>
  <c r="U1638" i="24"/>
  <c r="U1643" i="24"/>
  <c r="U1636" i="24"/>
  <c r="U1650" i="24"/>
  <c r="U1647" i="24"/>
  <c r="U1637" i="24"/>
  <c r="U1626" i="24"/>
  <c r="U1631" i="24"/>
  <c r="U1628" i="24"/>
  <c r="U1629" i="24"/>
  <c r="U1627" i="24"/>
  <c r="U1630" i="24"/>
  <c r="F1588" i="24"/>
  <c r="F1590" i="24"/>
  <c r="F1587" i="24"/>
  <c r="F1585" i="24"/>
  <c r="F1583" i="24"/>
  <c r="F1593" i="24"/>
  <c r="F1586" i="24"/>
  <c r="F1589" i="24"/>
  <c r="F1592" i="24"/>
  <c r="F1591" i="24"/>
  <c r="F1594" i="24"/>
  <c r="F1584" i="24"/>
  <c r="F1607" i="24"/>
  <c r="F1595" i="24"/>
  <c r="F1602" i="24"/>
  <c r="F1612" i="24"/>
  <c r="F1625" i="24"/>
  <c r="F1611" i="24"/>
  <c r="F1613" i="24"/>
  <c r="F1614" i="24"/>
  <c r="F1615" i="24"/>
  <c r="F1619" i="24"/>
  <c r="F1596" i="24"/>
  <c r="F1608" i="24"/>
  <c r="F1618" i="24"/>
  <c r="F1616" i="24"/>
  <c r="F1623" i="24"/>
  <c r="F1624" i="24"/>
  <c r="F1601" i="24"/>
  <c r="F1604" i="24"/>
  <c r="F1599" i="24"/>
  <c r="F1600" i="24"/>
  <c r="F1606" i="24"/>
  <c r="F1605" i="24"/>
  <c r="F1617" i="24"/>
  <c r="F1609" i="24"/>
  <c r="F1610" i="24"/>
  <c r="F1597" i="24"/>
  <c r="F1620" i="24"/>
  <c r="F1621" i="24"/>
  <c r="F1598" i="24"/>
  <c r="F1622" i="24"/>
  <c r="F1603" i="24"/>
  <c r="H1588" i="24"/>
  <c r="H1590" i="24"/>
  <c r="H1587" i="24"/>
  <c r="H1585" i="24"/>
  <c r="H1583" i="24"/>
  <c r="H1593" i="24"/>
  <c r="H1586" i="24"/>
  <c r="H1589" i="24"/>
  <c r="H1592" i="24"/>
  <c r="H1591" i="24"/>
  <c r="H1594" i="24"/>
  <c r="H1584" i="24"/>
  <c r="H1607" i="24"/>
  <c r="H1595" i="24"/>
  <c r="H1602" i="24"/>
  <c r="H1612" i="24"/>
  <c r="H1625" i="24"/>
  <c r="H1611" i="24"/>
  <c r="H1613" i="24"/>
  <c r="H1614" i="24"/>
  <c r="H1615" i="24"/>
  <c r="H1619" i="24"/>
  <c r="H1596" i="24"/>
  <c r="H1608" i="24"/>
  <c r="H1618" i="24"/>
  <c r="H1616" i="24"/>
  <c r="H1623" i="24"/>
  <c r="H1624" i="24"/>
  <c r="H1601" i="24"/>
  <c r="H1604" i="24"/>
  <c r="H1599" i="24"/>
  <c r="H1600" i="24"/>
  <c r="H1606" i="24"/>
  <c r="H1605" i="24"/>
  <c r="H1617" i="24"/>
  <c r="H1609" i="24"/>
  <c r="H1610" i="24"/>
  <c r="H1597" i="24"/>
  <c r="H1620" i="24"/>
  <c r="H1621" i="24"/>
  <c r="H1598" i="24"/>
  <c r="H1622" i="24"/>
  <c r="H1603" i="24"/>
  <c r="N1588" i="24" a="1"/>
  <c r="N1590" i="24" a="1"/>
  <c r="N1587" i="24" a="1"/>
  <c r="N1585" i="24" a="1"/>
  <c r="N1583" i="24" a="1"/>
  <c r="N1593" i="24" a="1"/>
  <c r="N1586" i="24" a="1"/>
  <c r="N1589" i="24" a="1"/>
  <c r="N1592" i="24" a="1"/>
  <c r="N1591" i="24" a="1"/>
  <c r="N1594" i="24" a="1"/>
  <c r="N1584" i="24" a="1"/>
  <c r="N1607" i="24" a="1"/>
  <c r="N1595" i="24" a="1"/>
  <c r="N1602" i="24" a="1"/>
  <c r="N1612" i="24" a="1"/>
  <c r="N1625" i="24" a="1"/>
  <c r="N1611" i="24" a="1"/>
  <c r="N1613" i="24" a="1"/>
  <c r="N1614" i="24" a="1"/>
  <c r="N1615" i="24" a="1"/>
  <c r="N1619" i="24" a="1"/>
  <c r="N1596" i="24" a="1"/>
  <c r="N1608" i="24" a="1"/>
  <c r="N1618" i="24" a="1"/>
  <c r="N1616" i="24" a="1"/>
  <c r="N1623" i="24" a="1"/>
  <c r="N1624" i="24" a="1"/>
  <c r="N1601" i="24" a="1"/>
  <c r="N1604" i="24" a="1"/>
  <c r="N1599" i="24" a="1"/>
  <c r="N1600" i="24" a="1"/>
  <c r="N1606" i="24" a="1"/>
  <c r="N1605" i="24" a="1"/>
  <c r="N1617" i="24" a="1"/>
  <c r="N1609" i="24" a="1"/>
  <c r="N1610" i="24" a="1"/>
  <c r="N1597" i="24" a="1"/>
  <c r="N1620" i="24" a="1"/>
  <c r="N1621" i="24" a="1"/>
  <c r="N1598" i="24" a="1"/>
  <c r="N1622" i="24" a="1"/>
  <c r="N1603" i="24" a="1"/>
  <c r="O1588" i="24" a="1"/>
  <c r="O1590" i="24" a="1"/>
  <c r="O1587" i="24" a="1"/>
  <c r="O1585" i="24" a="1"/>
  <c r="O1583" i="24" a="1"/>
  <c r="O1593" i="24" a="1"/>
  <c r="O1586" i="24" a="1"/>
  <c r="O1589" i="24" a="1"/>
  <c r="O1592" i="24" a="1"/>
  <c r="O1591" i="24" a="1"/>
  <c r="O1594" i="24" a="1"/>
  <c r="O1584" i="24" a="1"/>
  <c r="O1607" i="24" a="1"/>
  <c r="O1595" i="24" a="1"/>
  <c r="O1602" i="24" a="1"/>
  <c r="O1612" i="24" a="1"/>
  <c r="O1625" i="24" a="1"/>
  <c r="O1611" i="24" a="1"/>
  <c r="O1613" i="24" a="1"/>
  <c r="O1614" i="24" a="1"/>
  <c r="O1615" i="24" a="1"/>
  <c r="O1619" i="24" a="1"/>
  <c r="O1596" i="24" a="1"/>
  <c r="O1608" i="24" a="1"/>
  <c r="O1618" i="24" a="1"/>
  <c r="O1616" i="24" a="1"/>
  <c r="O1623" i="24" a="1"/>
  <c r="O1624" i="24" a="1"/>
  <c r="O1601" i="24" a="1"/>
  <c r="O1604" i="24" a="1"/>
  <c r="O1599" i="24" a="1"/>
  <c r="O1600" i="24" a="1"/>
  <c r="O1606" i="24" a="1"/>
  <c r="O1605" i="24" a="1"/>
  <c r="O1617" i="24" a="1"/>
  <c r="O1609" i="24" a="1"/>
  <c r="O1610" i="24" a="1"/>
  <c r="O1597" i="24" a="1"/>
  <c r="O1620" i="24" a="1"/>
  <c r="O1621" i="24" a="1"/>
  <c r="O1598" i="24" a="1"/>
  <c r="O1622" i="24" a="1"/>
  <c r="O1603" i="24" a="1"/>
  <c r="S1588" i="24" a="1"/>
  <c r="S1590" i="24" a="1"/>
  <c r="S1587" i="24" a="1"/>
  <c r="S1585" i="24" a="1"/>
  <c r="S1583" i="24" a="1"/>
  <c r="S1593" i="24" a="1"/>
  <c r="S1586" i="24" a="1"/>
  <c r="S1589" i="24" a="1"/>
  <c r="S1592" i="24" a="1"/>
  <c r="S1591" i="24" a="1"/>
  <c r="S1594" i="24" a="1"/>
  <c r="S1584" i="24" a="1"/>
  <c r="S1607" i="24" a="1"/>
  <c r="S1595" i="24" a="1"/>
  <c r="S1602" i="24" a="1"/>
  <c r="S1612" i="24" a="1"/>
  <c r="S1625" i="24" a="1"/>
  <c r="S1611" i="24" a="1"/>
  <c r="S1613" i="24" a="1"/>
  <c r="S1614" i="24" a="1"/>
  <c r="S1615" i="24" a="1"/>
  <c r="S1619" i="24" a="1"/>
  <c r="S1596" i="24" a="1"/>
  <c r="S1608" i="24" a="1"/>
  <c r="S1618" i="24" a="1"/>
  <c r="S1616" i="24" a="1"/>
  <c r="S1623" i="24" a="1"/>
  <c r="S1624" i="24" a="1"/>
  <c r="S1601" i="24" a="1"/>
  <c r="S1604" i="24" a="1"/>
  <c r="S1599" i="24" a="1"/>
  <c r="S1600" i="24" a="1"/>
  <c r="S1606" i="24" a="1"/>
  <c r="S1605" i="24" a="1"/>
  <c r="S1617" i="24" a="1"/>
  <c r="S1609" i="24" a="1"/>
  <c r="S1610" i="24" a="1"/>
  <c r="S1597" i="24" a="1"/>
  <c r="S1620" i="24" a="1"/>
  <c r="S1621" i="24" a="1"/>
  <c r="S1598" i="24" a="1"/>
  <c r="S1622" i="24" a="1"/>
  <c r="S1603" i="24" a="1"/>
  <c r="U1588" i="24"/>
  <c r="U1590" i="24"/>
  <c r="U1587" i="24"/>
  <c r="U1585" i="24"/>
  <c r="U1583" i="24"/>
  <c r="U1593" i="24"/>
  <c r="U1586" i="24"/>
  <c r="U1589" i="24"/>
  <c r="U1592" i="24"/>
  <c r="U1591" i="24"/>
  <c r="U1594" i="24"/>
  <c r="U1584" i="24"/>
  <c r="U1607" i="24"/>
  <c r="U1595" i="24"/>
  <c r="U1602" i="24"/>
  <c r="U1612" i="24"/>
  <c r="U1625" i="24"/>
  <c r="U1611" i="24"/>
  <c r="U1613" i="24"/>
  <c r="U1614" i="24"/>
  <c r="U1615" i="24"/>
  <c r="U1619" i="24"/>
  <c r="U1596" i="24"/>
  <c r="U1608" i="24"/>
  <c r="U1618" i="24"/>
  <c r="U1616" i="24"/>
  <c r="U1623" i="24"/>
  <c r="U1624" i="24"/>
  <c r="U1601" i="24"/>
  <c r="U1604" i="24"/>
  <c r="U1599" i="24"/>
  <c r="U1600" i="24"/>
  <c r="U1606" i="24"/>
  <c r="U1605" i="24"/>
  <c r="U1617" i="24"/>
  <c r="U1609" i="24"/>
  <c r="U1610" i="24"/>
  <c r="U1597" i="24"/>
  <c r="U1620" i="24"/>
  <c r="U1621" i="24"/>
  <c r="U1598" i="24"/>
  <c r="U1622" i="24"/>
  <c r="U1603" i="24"/>
  <c r="F1573" i="24"/>
  <c r="F1566" i="24"/>
  <c r="F1574" i="24"/>
  <c r="F1577" i="24"/>
  <c r="F1562" i="24"/>
  <c r="F1571" i="24"/>
  <c r="F1580" i="24"/>
  <c r="F1581" i="24"/>
  <c r="F1572" i="24"/>
  <c r="F1570" i="24"/>
  <c r="F1564" i="24"/>
  <c r="F1563" i="24"/>
  <c r="F1575" i="24"/>
  <c r="F1579" i="24"/>
  <c r="F1578" i="24"/>
  <c r="F1568" i="24"/>
  <c r="F1576" i="24"/>
  <c r="F1582" i="24"/>
  <c r="F1567" i="24"/>
  <c r="F1569" i="24"/>
  <c r="F1565" i="24"/>
  <c r="H1573" i="24"/>
  <c r="H1566" i="24"/>
  <c r="H1574" i="24"/>
  <c r="H1577" i="24"/>
  <c r="H1562" i="24"/>
  <c r="H1571" i="24"/>
  <c r="H1580" i="24"/>
  <c r="H1581" i="24"/>
  <c r="H1572" i="24"/>
  <c r="H1570" i="24"/>
  <c r="H1564" i="24"/>
  <c r="H1563" i="24"/>
  <c r="H1575" i="24"/>
  <c r="H1579" i="24"/>
  <c r="H1578" i="24"/>
  <c r="H1568" i="24"/>
  <c r="H1576" i="24"/>
  <c r="H1582" i="24"/>
  <c r="H1567" i="24"/>
  <c r="H1569" i="24"/>
  <c r="H1565" i="24"/>
  <c r="N1573" i="24" a="1"/>
  <c r="N1566" i="24" a="1"/>
  <c r="N1574" i="24" a="1"/>
  <c r="N1577" i="24" a="1"/>
  <c r="N1562" i="24" a="1"/>
  <c r="N1571" i="24" a="1"/>
  <c r="N1580" i="24" a="1"/>
  <c r="N1581" i="24" a="1"/>
  <c r="N1572" i="24" a="1"/>
  <c r="N1570" i="24" a="1"/>
  <c r="N1564" i="24" a="1"/>
  <c r="N1563" i="24" a="1"/>
  <c r="N1575" i="24" a="1"/>
  <c r="N1579" i="24" a="1"/>
  <c r="N1578" i="24" a="1"/>
  <c r="N1568" i="24" a="1"/>
  <c r="N1576" i="24" a="1"/>
  <c r="N1582" i="24" a="1"/>
  <c r="N1567" i="24" a="1"/>
  <c r="N1569" i="24" a="1"/>
  <c r="N1565" i="24" a="1"/>
  <c r="O1573" i="24" a="1"/>
  <c r="O1566" i="24" a="1"/>
  <c r="O1574" i="24" a="1"/>
  <c r="O1577" i="24" a="1"/>
  <c r="O1562" i="24" a="1"/>
  <c r="O1571" i="24" a="1"/>
  <c r="O1580" i="24" a="1"/>
  <c r="O1581" i="24" a="1"/>
  <c r="O1572" i="24" a="1"/>
  <c r="O1570" i="24" a="1"/>
  <c r="O1564" i="24" a="1"/>
  <c r="O1563" i="24" a="1"/>
  <c r="O1575" i="24" a="1"/>
  <c r="O1579" i="24" a="1"/>
  <c r="O1578" i="24" a="1"/>
  <c r="O1568" i="24" a="1"/>
  <c r="O1576" i="24" a="1"/>
  <c r="O1582" i="24" a="1"/>
  <c r="O1567" i="24" a="1"/>
  <c r="O1569" i="24" a="1"/>
  <c r="O1565" i="24" a="1"/>
  <c r="S1573" i="24" a="1"/>
  <c r="S1566" i="24" a="1"/>
  <c r="S1574" i="24" a="1"/>
  <c r="S1577" i="24" a="1"/>
  <c r="S1562" i="24" a="1"/>
  <c r="S1571" i="24" a="1"/>
  <c r="S1580" i="24" a="1"/>
  <c r="S1581" i="24" a="1"/>
  <c r="S1572" i="24" a="1"/>
  <c r="S1570" i="24" a="1"/>
  <c r="S1564" i="24" a="1"/>
  <c r="S1563" i="24" a="1"/>
  <c r="S1575" i="24" a="1"/>
  <c r="S1579" i="24" a="1"/>
  <c r="S1578" i="24" a="1"/>
  <c r="S1568" i="24" a="1"/>
  <c r="S1576" i="24" a="1"/>
  <c r="S1582" i="24" a="1"/>
  <c r="S1567" i="24" a="1"/>
  <c r="S1569" i="24" a="1"/>
  <c r="S1565" i="24" a="1"/>
  <c r="U1573" i="24"/>
  <c r="U1566" i="24"/>
  <c r="U1574" i="24"/>
  <c r="U1577" i="24"/>
  <c r="U1562" i="24"/>
  <c r="U1571" i="24"/>
  <c r="U1580" i="24"/>
  <c r="U1581" i="24"/>
  <c r="U1572" i="24"/>
  <c r="U1570" i="24"/>
  <c r="U1564" i="24"/>
  <c r="U1563" i="24"/>
  <c r="U1575" i="24"/>
  <c r="U1579" i="24"/>
  <c r="U1578" i="24"/>
  <c r="U1568" i="24"/>
  <c r="U1576" i="24"/>
  <c r="U1582" i="24"/>
  <c r="U1567" i="24"/>
  <c r="U1569" i="24"/>
  <c r="U1565" i="24"/>
  <c r="F1545" i="24"/>
  <c r="F1551" i="24"/>
  <c r="F1549" i="24"/>
  <c r="F1555" i="24"/>
  <c r="F1560" i="24"/>
  <c r="F1546" i="24"/>
  <c r="F1558" i="24"/>
  <c r="F1554" i="24"/>
  <c r="F1556" i="24"/>
  <c r="F1561" i="24"/>
  <c r="F1540" i="24"/>
  <c r="F1539" i="24"/>
  <c r="F1557" i="24"/>
  <c r="F1544" i="24"/>
  <c r="F1548" i="24"/>
  <c r="F1559" i="24"/>
  <c r="F1550" i="24"/>
  <c r="F1538" i="24"/>
  <c r="F1541" i="24"/>
  <c r="F1543" i="24"/>
  <c r="F1552" i="24"/>
  <c r="F1542" i="24"/>
  <c r="F1547" i="24"/>
  <c r="F1553" i="24"/>
  <c r="H1545" i="24"/>
  <c r="H1551" i="24"/>
  <c r="H1549" i="24"/>
  <c r="H1555" i="24"/>
  <c r="H1560" i="24"/>
  <c r="H1546" i="24"/>
  <c r="H1558" i="24"/>
  <c r="H1554" i="24"/>
  <c r="H1556" i="24"/>
  <c r="H1561" i="24"/>
  <c r="H1540" i="24"/>
  <c r="H1539" i="24"/>
  <c r="H1557" i="24"/>
  <c r="H1544" i="24"/>
  <c r="H1548" i="24"/>
  <c r="H1559" i="24"/>
  <c r="H1550" i="24"/>
  <c r="H1538" i="24"/>
  <c r="H1541" i="24"/>
  <c r="H1543" i="24"/>
  <c r="H1552" i="24"/>
  <c r="H1542" i="24"/>
  <c r="H1547" i="24"/>
  <c r="H1553" i="24"/>
  <c r="N1545" i="24" a="1"/>
  <c r="N1551" i="24" a="1"/>
  <c r="N1549" i="24" a="1"/>
  <c r="N1555" i="24" a="1"/>
  <c r="N1560" i="24" a="1"/>
  <c r="N1546" i="24" a="1"/>
  <c r="N1558" i="24" a="1"/>
  <c r="N1554" i="24" a="1"/>
  <c r="N1556" i="24" a="1"/>
  <c r="N1561" i="24" a="1"/>
  <c r="N1540" i="24" a="1"/>
  <c r="N1539" i="24" a="1"/>
  <c r="N1557" i="24" a="1"/>
  <c r="N1544" i="24" a="1"/>
  <c r="N1548" i="24" a="1"/>
  <c r="N1559" i="24" a="1"/>
  <c r="N1550" i="24" a="1"/>
  <c r="N1538" i="24" a="1"/>
  <c r="N1541" i="24" a="1"/>
  <c r="N1543" i="24" a="1"/>
  <c r="N1552" i="24" a="1"/>
  <c r="N1542" i="24" a="1"/>
  <c r="N1547" i="24" a="1"/>
  <c r="N1553" i="24" a="1"/>
  <c r="O1545" i="24" a="1"/>
  <c r="O1551" i="24" a="1"/>
  <c r="O1549" i="24" a="1"/>
  <c r="O1555" i="24" a="1"/>
  <c r="O1560" i="24" a="1"/>
  <c r="O1546" i="24" a="1"/>
  <c r="O1558" i="24" a="1"/>
  <c r="O1554" i="24" a="1"/>
  <c r="O1556" i="24" a="1"/>
  <c r="O1561" i="24" a="1"/>
  <c r="O1540" i="24" a="1"/>
  <c r="O1539" i="24" a="1"/>
  <c r="O1557" i="24" a="1"/>
  <c r="O1544" i="24" a="1"/>
  <c r="O1548" i="24" a="1"/>
  <c r="O1559" i="24" a="1"/>
  <c r="O1550" i="24" a="1"/>
  <c r="O1538" i="24" a="1"/>
  <c r="O1541" i="24" a="1"/>
  <c r="O1543" i="24" a="1"/>
  <c r="O1552" i="24" a="1"/>
  <c r="O1542" i="24" a="1"/>
  <c r="O1547" i="24" a="1"/>
  <c r="O1553" i="24" a="1"/>
  <c r="S1545" i="24" a="1"/>
  <c r="S1551" i="24" a="1"/>
  <c r="S1549" i="24" a="1"/>
  <c r="S1555" i="24" a="1"/>
  <c r="S1560" i="24" a="1"/>
  <c r="S1546" i="24" a="1"/>
  <c r="S1558" i="24" a="1"/>
  <c r="S1554" i="24" a="1"/>
  <c r="S1556" i="24" a="1"/>
  <c r="S1561" i="24" a="1"/>
  <c r="S1540" i="24" a="1"/>
  <c r="S1539" i="24" a="1"/>
  <c r="S1557" i="24" a="1"/>
  <c r="S1544" i="24" a="1"/>
  <c r="S1548" i="24" a="1"/>
  <c r="S1559" i="24" a="1"/>
  <c r="S1550" i="24" a="1"/>
  <c r="S1538" i="24" a="1"/>
  <c r="S1541" i="24" a="1"/>
  <c r="S1543" i="24" a="1"/>
  <c r="S1552" i="24" a="1"/>
  <c r="S1542" i="24" a="1"/>
  <c r="S1547" i="24" a="1"/>
  <c r="S1553" i="24" a="1"/>
  <c r="U1545" i="24"/>
  <c r="U1551" i="24"/>
  <c r="U1549" i="24"/>
  <c r="U1555" i="24"/>
  <c r="U1560" i="24"/>
  <c r="U1546" i="24"/>
  <c r="U1558" i="24"/>
  <c r="U1554" i="24"/>
  <c r="U1556" i="24"/>
  <c r="U1561" i="24"/>
  <c r="U1540" i="24"/>
  <c r="U1539" i="24"/>
  <c r="U1557" i="24"/>
  <c r="U1544" i="24"/>
  <c r="U1548" i="24"/>
  <c r="U1559" i="24"/>
  <c r="U1550" i="24"/>
  <c r="U1538" i="24"/>
  <c r="U1541" i="24"/>
  <c r="U1543" i="24"/>
  <c r="U1552" i="24"/>
  <c r="U1542" i="24"/>
  <c r="U1547" i="24"/>
  <c r="U1553" i="24"/>
  <c r="F1522" i="24"/>
  <c r="F1523" i="24"/>
  <c r="F1524" i="24"/>
  <c r="F1525" i="24"/>
  <c r="F1526" i="24"/>
  <c r="F1529" i="24"/>
  <c r="F1537" i="24"/>
  <c r="F1530" i="24"/>
  <c r="F1511" i="24"/>
  <c r="F1518" i="24"/>
  <c r="F1519" i="24"/>
  <c r="F1531" i="24"/>
  <c r="F1535" i="24"/>
  <c r="F1521" i="24"/>
  <c r="F1528" i="24"/>
  <c r="F1512" i="24"/>
  <c r="F1516" i="24"/>
  <c r="F1536" i="24"/>
  <c r="F1515" i="24"/>
  <c r="F1520" i="24"/>
  <c r="F1513" i="24"/>
  <c r="F1506" i="24"/>
  <c r="F1510" i="24"/>
  <c r="F1527" i="24"/>
  <c r="F1508" i="24"/>
  <c r="F1507" i="24"/>
  <c r="F1532" i="24"/>
  <c r="F1509" i="24"/>
  <c r="F1517" i="24"/>
  <c r="F1533" i="24"/>
  <c r="F1534" i="24"/>
  <c r="F1514" i="24"/>
  <c r="H1522" i="24"/>
  <c r="H1523" i="24"/>
  <c r="H1524" i="24"/>
  <c r="H1525" i="24"/>
  <c r="H1526" i="24"/>
  <c r="H1529" i="24"/>
  <c r="H1537" i="24"/>
  <c r="H1530" i="24"/>
  <c r="H1511" i="24"/>
  <c r="H1518" i="24"/>
  <c r="H1519" i="24"/>
  <c r="H1531" i="24"/>
  <c r="H1535" i="24"/>
  <c r="H1521" i="24"/>
  <c r="H1528" i="24"/>
  <c r="H1512" i="24"/>
  <c r="H1516" i="24"/>
  <c r="H1536" i="24"/>
  <c r="H1515" i="24"/>
  <c r="H1520" i="24"/>
  <c r="H1513" i="24"/>
  <c r="H1506" i="24"/>
  <c r="H1510" i="24"/>
  <c r="H1527" i="24"/>
  <c r="H1508" i="24"/>
  <c r="H1507" i="24"/>
  <c r="H1532" i="24"/>
  <c r="H1509" i="24"/>
  <c r="H1517" i="24"/>
  <c r="H1533" i="24"/>
  <c r="H1534" i="24"/>
  <c r="H1514" i="24"/>
  <c r="N1522" i="24" a="1"/>
  <c r="N1523" i="24" a="1"/>
  <c r="N1524" i="24" a="1"/>
  <c r="N1525" i="24" a="1"/>
  <c r="N1526" i="24" a="1"/>
  <c r="N1529" i="24" a="1"/>
  <c r="N1537" i="24" a="1"/>
  <c r="N1530" i="24" a="1"/>
  <c r="N1511" i="24" a="1"/>
  <c r="N1518" i="24" a="1"/>
  <c r="N1519" i="24" a="1"/>
  <c r="N1531" i="24" a="1"/>
  <c r="N1535" i="24" a="1"/>
  <c r="N1521" i="24" a="1"/>
  <c r="N1528" i="24" a="1"/>
  <c r="N1512" i="24" a="1"/>
  <c r="N1516" i="24" a="1"/>
  <c r="N1536" i="24" a="1"/>
  <c r="N1515" i="24" a="1"/>
  <c r="N1520" i="24" a="1"/>
  <c r="N1513" i="24" a="1"/>
  <c r="N1506" i="24" a="1"/>
  <c r="N1510" i="24" a="1"/>
  <c r="N1527" i="24" a="1"/>
  <c r="N1508" i="24" a="1"/>
  <c r="N1507" i="24" a="1"/>
  <c r="N1532" i="24" a="1"/>
  <c r="N1509" i="24" a="1"/>
  <c r="N1517" i="24" a="1"/>
  <c r="N1533" i="24" a="1"/>
  <c r="N1534" i="24" a="1"/>
  <c r="N1514" i="24" a="1"/>
  <c r="O1522" i="24" a="1"/>
  <c r="O1523" i="24" a="1"/>
  <c r="O1524" i="24" a="1"/>
  <c r="O1525" i="24" a="1"/>
  <c r="O1526" i="24" a="1"/>
  <c r="O1529" i="24" a="1"/>
  <c r="O1537" i="24" a="1"/>
  <c r="O1530" i="24" a="1"/>
  <c r="O1511" i="24" a="1"/>
  <c r="O1518" i="24" a="1"/>
  <c r="O1519" i="24" a="1"/>
  <c r="O1531" i="24" a="1"/>
  <c r="O1535" i="24" a="1"/>
  <c r="O1521" i="24" a="1"/>
  <c r="O1528" i="24" a="1"/>
  <c r="O1512" i="24" a="1"/>
  <c r="O1516" i="24" a="1"/>
  <c r="O1536" i="24" a="1"/>
  <c r="O1515" i="24" a="1"/>
  <c r="O1520" i="24" a="1"/>
  <c r="O1513" i="24" a="1"/>
  <c r="O1506" i="24" a="1"/>
  <c r="O1510" i="24" a="1"/>
  <c r="O1527" i="24" a="1"/>
  <c r="O1508" i="24" a="1"/>
  <c r="O1507" i="24" a="1"/>
  <c r="O1532" i="24" a="1"/>
  <c r="O1509" i="24" a="1"/>
  <c r="O1517" i="24" a="1"/>
  <c r="O1533" i="24" a="1"/>
  <c r="O1534" i="24" a="1"/>
  <c r="O1514" i="24" a="1"/>
  <c r="S1522" i="24" a="1"/>
  <c r="S1523" i="24" a="1"/>
  <c r="S1524" i="24" a="1"/>
  <c r="S1525" i="24" a="1"/>
  <c r="S1526" i="24" a="1"/>
  <c r="S1529" i="24" a="1"/>
  <c r="S1537" i="24" a="1"/>
  <c r="S1530" i="24" a="1"/>
  <c r="S1511" i="24" a="1"/>
  <c r="S1518" i="24" a="1"/>
  <c r="S1519" i="24" a="1"/>
  <c r="S1531" i="24" a="1"/>
  <c r="S1535" i="24" a="1"/>
  <c r="S1521" i="24" a="1"/>
  <c r="S1528" i="24" a="1"/>
  <c r="S1512" i="24" a="1"/>
  <c r="S1516" i="24" a="1"/>
  <c r="S1536" i="24" a="1"/>
  <c r="S1515" i="24" a="1"/>
  <c r="S1520" i="24" a="1"/>
  <c r="S1513" i="24" a="1"/>
  <c r="S1506" i="24" a="1"/>
  <c r="S1510" i="24" a="1"/>
  <c r="S1527" i="24" a="1"/>
  <c r="S1508" i="24" a="1"/>
  <c r="S1507" i="24" a="1"/>
  <c r="S1532" i="24" a="1"/>
  <c r="S1509" i="24" a="1"/>
  <c r="S1517" i="24" a="1"/>
  <c r="S1533" i="24" a="1"/>
  <c r="S1534" i="24" a="1"/>
  <c r="S1514" i="24" a="1"/>
  <c r="U1522" i="24"/>
  <c r="U1523" i="24"/>
  <c r="U1524" i="24"/>
  <c r="U1525" i="24"/>
  <c r="U1526" i="24"/>
  <c r="U1529" i="24"/>
  <c r="U1537" i="24"/>
  <c r="U1530" i="24"/>
  <c r="U1511" i="24"/>
  <c r="U1518" i="24"/>
  <c r="U1519" i="24"/>
  <c r="U1531" i="24"/>
  <c r="U1535" i="24"/>
  <c r="U1521" i="24"/>
  <c r="U1528" i="24"/>
  <c r="U1512" i="24"/>
  <c r="U1516" i="24"/>
  <c r="U1536" i="24"/>
  <c r="U1515" i="24"/>
  <c r="U1520" i="24"/>
  <c r="U1513" i="24"/>
  <c r="U1506" i="24"/>
  <c r="U1510" i="24"/>
  <c r="U1527" i="24"/>
  <c r="U1508" i="24"/>
  <c r="U1507" i="24"/>
  <c r="U1532" i="24"/>
  <c r="U1509" i="24"/>
  <c r="U1517" i="24"/>
  <c r="U1533" i="24"/>
  <c r="U1534" i="24"/>
  <c r="U1514" i="24"/>
  <c r="F1493" i="24"/>
  <c r="H1493" i="24"/>
  <c r="J1493" i="24"/>
  <c r="N1493" i="24" s="1" a="1"/>
  <c r="K1493" i="24"/>
  <c r="O1493" i="24" a="1"/>
  <c r="S1493" i="24" a="1"/>
  <c r="U1493" i="24"/>
  <c r="F1496" i="24"/>
  <c r="F1499" i="24"/>
  <c r="F1497" i="24"/>
  <c r="F1500" i="24"/>
  <c r="F1505" i="24"/>
  <c r="F1494" i="24"/>
  <c r="F1503" i="24"/>
  <c r="F1501" i="24"/>
  <c r="F1498" i="24"/>
  <c r="F1502" i="24"/>
  <c r="F1495" i="24"/>
  <c r="F1504" i="24"/>
  <c r="H1496" i="24"/>
  <c r="H1499" i="24"/>
  <c r="H1497" i="24"/>
  <c r="H1500" i="24"/>
  <c r="H1505" i="24"/>
  <c r="H1494" i="24"/>
  <c r="H1503" i="24"/>
  <c r="H1501" i="24"/>
  <c r="H1498" i="24"/>
  <c r="H1502" i="24"/>
  <c r="H1495" i="24"/>
  <c r="H1504" i="24"/>
  <c r="N1496" i="24" a="1"/>
  <c r="N1499" i="24" a="1"/>
  <c r="N1497" i="24" a="1"/>
  <c r="N1500" i="24" a="1"/>
  <c r="N1505" i="24" a="1"/>
  <c r="N1494" i="24" a="1"/>
  <c r="N1503" i="24" a="1"/>
  <c r="N1501" i="24" a="1"/>
  <c r="N1498" i="24" a="1"/>
  <c r="N1502" i="24" a="1"/>
  <c r="N1495" i="24" a="1"/>
  <c r="N1504" i="24" a="1"/>
  <c r="O1496" i="24" a="1"/>
  <c r="O1499" i="24" a="1"/>
  <c r="O1497" i="24" a="1"/>
  <c r="O1500" i="24" a="1"/>
  <c r="O1505" i="24" a="1"/>
  <c r="O1494" i="24" a="1"/>
  <c r="O1503" i="24" a="1"/>
  <c r="O1501" i="24" a="1"/>
  <c r="O1498" i="24" a="1"/>
  <c r="O1502" i="24" a="1"/>
  <c r="O1495" i="24" a="1"/>
  <c r="O1504" i="24" a="1"/>
  <c r="S1496" i="24" a="1"/>
  <c r="S1499" i="24" a="1"/>
  <c r="S1497" i="24" a="1"/>
  <c r="S1500" i="24" a="1"/>
  <c r="S1505" i="24" a="1"/>
  <c r="S1494" i="24" a="1"/>
  <c r="S1503" i="24" a="1"/>
  <c r="S1501" i="24" a="1"/>
  <c r="S1498" i="24" a="1"/>
  <c r="S1502" i="24" a="1"/>
  <c r="S1495" i="24" a="1"/>
  <c r="S1504" i="24" a="1"/>
  <c r="U1496" i="24"/>
  <c r="U1499" i="24"/>
  <c r="U1497" i="24"/>
  <c r="U1500" i="24"/>
  <c r="U1505" i="24"/>
  <c r="U1494" i="24"/>
  <c r="U1503" i="24"/>
  <c r="U1501" i="24"/>
  <c r="U1498" i="24"/>
  <c r="U1502" i="24"/>
  <c r="U1495" i="24"/>
  <c r="U1504" i="24"/>
  <c r="R58" i="76"/>
  <c r="R57" i="76"/>
  <c r="R56" i="76"/>
  <c r="H1491" i="24"/>
  <c r="H1484" i="24"/>
  <c r="H1488" i="24"/>
  <c r="H1492" i="24"/>
  <c r="H1485" i="24"/>
  <c r="H1478" i="24"/>
  <c r="H1487" i="24"/>
  <c r="H1489" i="24"/>
  <c r="H1490" i="24"/>
  <c r="H1479" i="24"/>
  <c r="H1480" i="24"/>
  <c r="H1481" i="24"/>
  <c r="H1482" i="24"/>
  <c r="H1486" i="24"/>
  <c r="H1483" i="24"/>
  <c r="H1453" i="24"/>
  <c r="H1452" i="24"/>
  <c r="H1451" i="24"/>
  <c r="H1447" i="24"/>
  <c r="H1445" i="24"/>
  <c r="H1449" i="24"/>
  <c r="H1446" i="24"/>
  <c r="H1448" i="24"/>
  <c r="H1450" i="24"/>
  <c r="H1463" i="24"/>
  <c r="H1457" i="24"/>
  <c r="H1471" i="24"/>
  <c r="H1475" i="24"/>
  <c r="H1472" i="24"/>
  <c r="H1464" i="24"/>
  <c r="H1458" i="24"/>
  <c r="H1456" i="24"/>
  <c r="H1465" i="24"/>
  <c r="H1470" i="24"/>
  <c r="H1476" i="24"/>
  <c r="H1477" i="24"/>
  <c r="H1460" i="24"/>
  <c r="H1466" i="24"/>
  <c r="H1474" i="24"/>
  <c r="H1455" i="24"/>
  <c r="H1459" i="24"/>
  <c r="H1461" i="24"/>
  <c r="H1467" i="24"/>
  <c r="H1468" i="24"/>
  <c r="H1454" i="24"/>
  <c r="H1462" i="24"/>
  <c r="H1469" i="24"/>
  <c r="H1473" i="24"/>
  <c r="H1424" i="24"/>
  <c r="H1440" i="24"/>
  <c r="H1429" i="24"/>
  <c r="H1438" i="24"/>
  <c r="H1441" i="24"/>
  <c r="H1430" i="24"/>
  <c r="H1433" i="24"/>
  <c r="H1442" i="24"/>
  <c r="H1431" i="24"/>
  <c r="H1443" i="24"/>
  <c r="H1427" i="24"/>
  <c r="H1426" i="24"/>
  <c r="H1444" i="24"/>
  <c r="H1435" i="24"/>
  <c r="H1436" i="24"/>
  <c r="H1439" i="24"/>
  <c r="H1428" i="24"/>
  <c r="H1432" i="24"/>
  <c r="H1422" i="24"/>
  <c r="H1434" i="24"/>
  <c r="H1425" i="24"/>
  <c r="H1437" i="24"/>
  <c r="H1423" i="24"/>
  <c r="H1411" i="24"/>
  <c r="H1417" i="24"/>
  <c r="H1405" i="24"/>
  <c r="H1412" i="24"/>
  <c r="H1416" i="24"/>
  <c r="H1407" i="24"/>
  <c r="H1408" i="24"/>
  <c r="H1404" i="24"/>
  <c r="H1418" i="24"/>
  <c r="H1410" i="24"/>
  <c r="H1406" i="24"/>
  <c r="H1409" i="24"/>
  <c r="H1420" i="24"/>
  <c r="H1415" i="24"/>
  <c r="H1421" i="24"/>
  <c r="H1419" i="24"/>
  <c r="H1413" i="24"/>
  <c r="H1403" i="24"/>
  <c r="H1414" i="24"/>
  <c r="H1389" i="24"/>
  <c r="H1397" i="24"/>
  <c r="H1382" i="24"/>
  <c r="H1390" i="24"/>
  <c r="H1394" i="24"/>
  <c r="H1385" i="24"/>
  <c r="H1381" i="24"/>
  <c r="H1383" i="24"/>
  <c r="H1378" i="24"/>
  <c r="H1401" i="24"/>
  <c r="H1402" i="24"/>
  <c r="H1393" i="24"/>
  <c r="H1375" i="24"/>
  <c r="H1398" i="24"/>
  <c r="H1386" i="24"/>
  <c r="H1391" i="24"/>
  <c r="H1384" i="24"/>
  <c r="H1392" i="24"/>
  <c r="H1387" i="24"/>
  <c r="H1400" i="24"/>
  <c r="H1395" i="24"/>
  <c r="H1376" i="24"/>
  <c r="H1377" i="24"/>
  <c r="H1399" i="24"/>
  <c r="H1388" i="24"/>
  <c r="H1379" i="24"/>
  <c r="H1396" i="24"/>
  <c r="H1380" i="24"/>
  <c r="AA306" i="61"/>
  <c r="AA305" i="61"/>
  <c r="AA304" i="61"/>
  <c r="AA303" i="61"/>
  <c r="AA302" i="61"/>
  <c r="AA301" i="61"/>
  <c r="AA300" i="61"/>
  <c r="AA299" i="61"/>
  <c r="AA298" i="61"/>
  <c r="AA297" i="61"/>
  <c r="AA296" i="61"/>
  <c r="AA295" i="61"/>
  <c r="AA294" i="61"/>
  <c r="AA293" i="61"/>
  <c r="AA292" i="61"/>
  <c r="AA291" i="61"/>
  <c r="AA290" i="61"/>
  <c r="AA289" i="61"/>
  <c r="AA288" i="61"/>
  <c r="AA287" i="61"/>
  <c r="AA286" i="61"/>
  <c r="AA285" i="61"/>
  <c r="AA284" i="61"/>
  <c r="AA283" i="61"/>
  <c r="AA282" i="61"/>
  <c r="AA281" i="61"/>
  <c r="AA280" i="61"/>
  <c r="AA279" i="61"/>
  <c r="AA278" i="61"/>
  <c r="AA277" i="61"/>
  <c r="AA276" i="61"/>
  <c r="AA275" i="61"/>
  <c r="AA274" i="61"/>
  <c r="AA273" i="61"/>
  <c r="AA272" i="61"/>
  <c r="AA271" i="61"/>
  <c r="AA270" i="61"/>
  <c r="AA269" i="61"/>
  <c r="AA268" i="61"/>
  <c r="AA267" i="61"/>
  <c r="AA266" i="61"/>
  <c r="AA265" i="61"/>
  <c r="AA264" i="61"/>
  <c r="AA263" i="61"/>
  <c r="AA262" i="61"/>
  <c r="AA261" i="61"/>
  <c r="AA260" i="61"/>
  <c r="AA259" i="61"/>
  <c r="AA258" i="61"/>
  <c r="AA257" i="61"/>
  <c r="AA256" i="61"/>
  <c r="AA255" i="61"/>
  <c r="AA254" i="61"/>
  <c r="AA253" i="61"/>
  <c r="AA252" i="61"/>
  <c r="AA251" i="61"/>
  <c r="AA250" i="61"/>
  <c r="AA249" i="61"/>
  <c r="AA248" i="61"/>
  <c r="AA247" i="61"/>
  <c r="AA246" i="61"/>
  <c r="AA245" i="61"/>
  <c r="AA244" i="61"/>
  <c r="AA243" i="61"/>
  <c r="AA242" i="61"/>
  <c r="AA241" i="61"/>
  <c r="AA240" i="61"/>
  <c r="AA239" i="61"/>
  <c r="AA238" i="61"/>
  <c r="AA237" i="61"/>
  <c r="AA236" i="61"/>
  <c r="AA235" i="61"/>
  <c r="AA234" i="61"/>
  <c r="AA233" i="61"/>
  <c r="AA232" i="61"/>
  <c r="AA231" i="61"/>
  <c r="AA230" i="61"/>
  <c r="AA229" i="61"/>
  <c r="AA228" i="61"/>
  <c r="AA227" i="61"/>
  <c r="AA226" i="61"/>
  <c r="AA225" i="61"/>
  <c r="AA224" i="61"/>
  <c r="AA223" i="61"/>
  <c r="AA222" i="61"/>
  <c r="AA221" i="61"/>
  <c r="AA220" i="61"/>
  <c r="AA219" i="61"/>
  <c r="AA218" i="61"/>
  <c r="AA217" i="61"/>
  <c r="AA216" i="61"/>
  <c r="AA215" i="61"/>
  <c r="AA214" i="61"/>
  <c r="AA213" i="61"/>
  <c r="AA212" i="61"/>
  <c r="AA211" i="61"/>
  <c r="AA210" i="61"/>
  <c r="AA209" i="61"/>
  <c r="AA208" i="61"/>
  <c r="AA207" i="61"/>
  <c r="AA206" i="61"/>
  <c r="AA205" i="61"/>
  <c r="AA204" i="61"/>
  <c r="AA203" i="61"/>
  <c r="AA202" i="61"/>
  <c r="AA201" i="61"/>
  <c r="AA200" i="61"/>
  <c r="AA199" i="61"/>
  <c r="AA198" i="61"/>
  <c r="AA197" i="61"/>
  <c r="AA196" i="61"/>
  <c r="AA195" i="61"/>
  <c r="AA194" i="61"/>
  <c r="AA193" i="61"/>
  <c r="AA192" i="61"/>
  <c r="AA191" i="61"/>
  <c r="AA190" i="61"/>
  <c r="AA189" i="61"/>
  <c r="AA188" i="61"/>
  <c r="AA187" i="61"/>
  <c r="AA186" i="61"/>
  <c r="AA185" i="61"/>
  <c r="AA184" i="61"/>
  <c r="AA183" i="61"/>
  <c r="AA182" i="61"/>
  <c r="AA181" i="61"/>
  <c r="AA180" i="61"/>
  <c r="AA179" i="61"/>
  <c r="AA178" i="61"/>
  <c r="AA177" i="61"/>
  <c r="AA176" i="61"/>
  <c r="AA175" i="61"/>
  <c r="AA174" i="61"/>
  <c r="AA173" i="61"/>
  <c r="AA172" i="61"/>
  <c r="AA171" i="61"/>
  <c r="AA170" i="61"/>
  <c r="AA169" i="61"/>
  <c r="AA168" i="61"/>
  <c r="AA167" i="61"/>
  <c r="AA166" i="61"/>
  <c r="AA165" i="61"/>
  <c r="AA164" i="61"/>
  <c r="AA163" i="61"/>
  <c r="AA162" i="61"/>
  <c r="AA161" i="61"/>
  <c r="AA160" i="61"/>
  <c r="AA159" i="61"/>
  <c r="AA158" i="61"/>
  <c r="AA157" i="61"/>
  <c r="AA156" i="61"/>
  <c r="AA155" i="61"/>
  <c r="AA154" i="61"/>
  <c r="AA153" i="61"/>
  <c r="AA152" i="61"/>
  <c r="AA151" i="61"/>
  <c r="AA150" i="61"/>
  <c r="AA149" i="61"/>
  <c r="AA148" i="61"/>
  <c r="AA147" i="61"/>
  <c r="AA146" i="61"/>
  <c r="AA145" i="61"/>
  <c r="AA144" i="61"/>
  <c r="AA143" i="61"/>
  <c r="AA142" i="61"/>
  <c r="AA141" i="61"/>
  <c r="AA140" i="61"/>
  <c r="AA139" i="61"/>
  <c r="AA138" i="61"/>
  <c r="AA137" i="61"/>
  <c r="AA136" i="61"/>
  <c r="AA135" i="61"/>
  <c r="AA134" i="61"/>
  <c r="AA133" i="61"/>
  <c r="AA132" i="61"/>
  <c r="AA131" i="61"/>
  <c r="AA130" i="61"/>
  <c r="AA129" i="61"/>
  <c r="AA128" i="61"/>
  <c r="AA127" i="61"/>
  <c r="AA126" i="61"/>
  <c r="AA125" i="61"/>
  <c r="AA124" i="61"/>
  <c r="AA123" i="61"/>
  <c r="AA122" i="61"/>
  <c r="AA121" i="61"/>
  <c r="AA120" i="61"/>
  <c r="AA119" i="61"/>
  <c r="AA118" i="61"/>
  <c r="AA117" i="61"/>
  <c r="AA116" i="61"/>
  <c r="AA115" i="61"/>
  <c r="AA114" i="61"/>
  <c r="AA113" i="61"/>
  <c r="AA112" i="61"/>
  <c r="AA111" i="61"/>
  <c r="AA110" i="61"/>
  <c r="AA109" i="61"/>
  <c r="AA108" i="61"/>
  <c r="AA107" i="61"/>
  <c r="AA106" i="61"/>
  <c r="AA105" i="61"/>
  <c r="AA104" i="61"/>
  <c r="AA103" i="61"/>
  <c r="AA102" i="61"/>
  <c r="AA101" i="61"/>
  <c r="AA100" i="61"/>
  <c r="AA99" i="61"/>
  <c r="AA98" i="61"/>
  <c r="AA97" i="61"/>
  <c r="J62" i="71"/>
  <c r="J61" i="71"/>
  <c r="J60" i="71"/>
  <c r="J59" i="71"/>
  <c r="J58" i="71"/>
  <c r="J57" i="71"/>
  <c r="J56" i="71"/>
  <c r="J55" i="71"/>
  <c r="J54" i="71"/>
  <c r="J53" i="71"/>
  <c r="J52" i="71"/>
  <c r="J51" i="71"/>
  <c r="J50" i="71"/>
  <c r="J49" i="71"/>
  <c r="H1370" i="24"/>
  <c r="H1362" i="24"/>
  <c r="H1364" i="24"/>
  <c r="H1365" i="24"/>
  <c r="H1373" i="24"/>
  <c r="H1361" i="24"/>
  <c r="H1350" i="24"/>
  <c r="H1371" i="24"/>
  <c r="H1369" i="24"/>
  <c r="H1354" i="24"/>
  <c r="H1360" i="24"/>
  <c r="H1353" i="24"/>
  <c r="H1355" i="24"/>
  <c r="H1374" i="24"/>
  <c r="H1366" i="24"/>
  <c r="H1351" i="24"/>
  <c r="H1352" i="24"/>
  <c r="H1358" i="24"/>
  <c r="H1357" i="24"/>
  <c r="H1372" i="24"/>
  <c r="H1359" i="24"/>
  <c r="H1363" i="24"/>
  <c r="H1356" i="24"/>
  <c r="H1367" i="24"/>
  <c r="H1368" i="24"/>
  <c r="H1348" i="24"/>
  <c r="H1341" i="24"/>
  <c r="H1349" i="24"/>
  <c r="H1343" i="24"/>
  <c r="H1344" i="24"/>
  <c r="H1342" i="24"/>
  <c r="H1347" i="24"/>
  <c r="H1346" i="24"/>
  <c r="H1345" i="24"/>
  <c r="H1336" i="24"/>
  <c r="H1338" i="24"/>
  <c r="H1335" i="24"/>
  <c r="H1334" i="24"/>
  <c r="H1339" i="24"/>
  <c r="H1337" i="24"/>
  <c r="H1332" i="24"/>
  <c r="H1333" i="24"/>
  <c r="H1340" i="24"/>
  <c r="H1323" i="24"/>
  <c r="H1330" i="24"/>
  <c r="H1322" i="24"/>
  <c r="H1320" i="24"/>
  <c r="H1321" i="24"/>
  <c r="H1329" i="24"/>
  <c r="H1326" i="24"/>
  <c r="H1318" i="24"/>
  <c r="H1325" i="24"/>
  <c r="H1324" i="24"/>
  <c r="H1328" i="24"/>
  <c r="H1327" i="24"/>
  <c r="H1331" i="24"/>
  <c r="H1319" i="24"/>
  <c r="H1309" i="24"/>
  <c r="H1308" i="24"/>
  <c r="H1303" i="24"/>
  <c r="H1315" i="24"/>
  <c r="H1316" i="24"/>
  <c r="H1312" i="24"/>
  <c r="H1301" i="24"/>
  <c r="H1311" i="24"/>
  <c r="H1310" i="24"/>
  <c r="H1297" i="24"/>
  <c r="H1313" i="24"/>
  <c r="H1302" i="24"/>
  <c r="H1314" i="24"/>
  <c r="H1304" i="24"/>
  <c r="H1298" i="24"/>
  <c r="H1299" i="24"/>
  <c r="H1300" i="24"/>
  <c r="H1307" i="24"/>
  <c r="H1317" i="24"/>
  <c r="H1305" i="24"/>
  <c r="H1306" i="24"/>
  <c r="H1292" i="24"/>
  <c r="H1294" i="24"/>
  <c r="H1275" i="24"/>
  <c r="H1284" i="24"/>
  <c r="H1274" i="24"/>
  <c r="H1287" i="24"/>
  <c r="H1289" i="24"/>
  <c r="H1278" i="24"/>
  <c r="H1295" i="24"/>
  <c r="H1290" i="24"/>
  <c r="H1288" i="24"/>
  <c r="H1291" i="24"/>
  <c r="H1272" i="24"/>
  <c r="H1293" i="24"/>
  <c r="H1282" i="24"/>
  <c r="H1281" i="24"/>
  <c r="H1280" i="24"/>
  <c r="H1296" i="24"/>
  <c r="H1276" i="24"/>
  <c r="H1277" i="24"/>
  <c r="H1273" i="24"/>
  <c r="H1286" i="24"/>
  <c r="H1285" i="24"/>
  <c r="H1279" i="24"/>
  <c r="H1283" i="24"/>
  <c r="H1262" i="24"/>
  <c r="H1257" i="24"/>
  <c r="H1266" i="24"/>
  <c r="H1265" i="24"/>
  <c r="H1259" i="24"/>
  <c r="H1268" i="24"/>
  <c r="H1270" i="24"/>
  <c r="H1256" i="24"/>
  <c r="H1258" i="24"/>
  <c r="H1267" i="24"/>
  <c r="H1261" i="24"/>
  <c r="H1260" i="24"/>
  <c r="H1271" i="24"/>
  <c r="H1253" i="24"/>
  <c r="H1254" i="24"/>
  <c r="H1269" i="24"/>
  <c r="H1264" i="24"/>
  <c r="H1263" i="24"/>
  <c r="H1255" i="24"/>
  <c r="H1168" i="24"/>
  <c r="H1167" i="24"/>
  <c r="H1165" i="24"/>
  <c r="H1171" i="24"/>
  <c r="H1173" i="24"/>
  <c r="H1179" i="24"/>
  <c r="H1217" i="24"/>
  <c r="H1203" i="24"/>
  <c r="H1216" i="24"/>
  <c r="H1215" i="24"/>
  <c r="H1208" i="24"/>
  <c r="H1197" i="24"/>
  <c r="H1142" i="24"/>
  <c r="H1127" i="24"/>
  <c r="H1159" i="24"/>
  <c r="H1148" i="24"/>
  <c r="H1137" i="24"/>
  <c r="H1156" i="24"/>
  <c r="H1163" i="24"/>
  <c r="H1130" i="24"/>
  <c r="H1236" i="24"/>
  <c r="H1252" i="24"/>
  <c r="H1249" i="24"/>
  <c r="H1246" i="24"/>
  <c r="H1244" i="24"/>
  <c r="H1243" i="24"/>
  <c r="H1251" i="24"/>
  <c r="H1245" i="24"/>
  <c r="H1237" i="24"/>
  <c r="H1239" i="24"/>
  <c r="H1235" i="24"/>
  <c r="H1241" i="24"/>
  <c r="H1247" i="24"/>
  <c r="H1242" i="24"/>
  <c r="H1238" i="24"/>
  <c r="H1240" i="24"/>
  <c r="H1248" i="24"/>
  <c r="H1250" i="24"/>
  <c r="H1227" i="24"/>
  <c r="H1206" i="24"/>
  <c r="H1201" i="24"/>
  <c r="H1207" i="24"/>
  <c r="H1205" i="24"/>
  <c r="H1214" i="24"/>
  <c r="H1212" i="24"/>
  <c r="H1230" i="24"/>
  <c r="H1232" i="24"/>
  <c r="H1218" i="24"/>
  <c r="H1223" i="24"/>
  <c r="H1204" i="24"/>
  <c r="H1226" i="24"/>
  <c r="H1231" i="24"/>
  <c r="H1211" i="24"/>
  <c r="H1199" i="24"/>
  <c r="H1225" i="24"/>
  <c r="H1200" i="24"/>
  <c r="H1224" i="24"/>
  <c r="H1222" i="24"/>
  <c r="H1213" i="24"/>
  <c r="H1221" i="24"/>
  <c r="H1196" i="24"/>
  <c r="H1229" i="24"/>
  <c r="H1210" i="24"/>
  <c r="H1209" i="24"/>
  <c r="H1220" i="24"/>
  <c r="H1228" i="24"/>
  <c r="H1202" i="24"/>
  <c r="H1219" i="24"/>
  <c r="H1233" i="24"/>
  <c r="H1198" i="24"/>
  <c r="H1234" i="24"/>
  <c r="H1166" i="24"/>
  <c r="H1195" i="24"/>
  <c r="H1194" i="24"/>
  <c r="H1180" i="24"/>
  <c r="H1182" i="24"/>
  <c r="H1181" i="24"/>
  <c r="H1185" i="24"/>
  <c r="H1176" i="24"/>
  <c r="H1191" i="24"/>
  <c r="H1186" i="24"/>
  <c r="H1172" i="24"/>
  <c r="H1188" i="24"/>
  <c r="H1187" i="24"/>
  <c r="H1192" i="24"/>
  <c r="H1175" i="24"/>
  <c r="H1177" i="24"/>
  <c r="H1193" i="24"/>
  <c r="H1190" i="24"/>
  <c r="H1164" i="24"/>
  <c r="H1170" i="24"/>
  <c r="H1183" i="24"/>
  <c r="H1174" i="24"/>
  <c r="H1178" i="24"/>
  <c r="H1189" i="24"/>
  <c r="H1184" i="24"/>
  <c r="H1169" i="24"/>
  <c r="H1129" i="24"/>
  <c r="H1134" i="24"/>
  <c r="H1145" i="24"/>
  <c r="H1150" i="24"/>
  <c r="H1146" i="24"/>
  <c r="H1143" i="24"/>
  <c r="H1147" i="24"/>
  <c r="H1126" i="24"/>
  <c r="H1132" i="24"/>
  <c r="H1133" i="24"/>
  <c r="H1160" i="24"/>
  <c r="H1152" i="24"/>
  <c r="H1149" i="24"/>
  <c r="H1158" i="24"/>
  <c r="H1151" i="24"/>
  <c r="H1138" i="24"/>
  <c r="H1161" i="24"/>
  <c r="H1131" i="24"/>
  <c r="H1122" i="24"/>
  <c r="H1125" i="24"/>
  <c r="H1153" i="24"/>
  <c r="H1144" i="24"/>
  <c r="H1157" i="24"/>
  <c r="H1154" i="24"/>
  <c r="H1141" i="24"/>
  <c r="H1140" i="24"/>
  <c r="H1123" i="24"/>
  <c r="H1139" i="24"/>
  <c r="H1136" i="24"/>
  <c r="H1124" i="24"/>
  <c r="H1135" i="24"/>
  <c r="H1128" i="24"/>
  <c r="H1162" i="24"/>
  <c r="H1155" i="24"/>
  <c r="H1121" i="24"/>
  <c r="H1120" i="24"/>
  <c r="H1119" i="24"/>
  <c r="H1118" i="24"/>
  <c r="H1117" i="24"/>
  <c r="H1116" i="24"/>
  <c r="H1115" i="24"/>
  <c r="H1098" i="24"/>
  <c r="H1103" i="24"/>
  <c r="H1094" i="24"/>
  <c r="H1102" i="24"/>
  <c r="H1101" i="24"/>
  <c r="H1113" i="24"/>
  <c r="H1108" i="24"/>
  <c r="H1109" i="24"/>
  <c r="H1093" i="24"/>
  <c r="H1097" i="24"/>
  <c r="H1100" i="24"/>
  <c r="H1114" i="24"/>
  <c r="H1110" i="24"/>
  <c r="H1099" i="24"/>
  <c r="H1104" i="24"/>
  <c r="H1106" i="24"/>
  <c r="H1095" i="24"/>
  <c r="H1111" i="24"/>
  <c r="H1112" i="24"/>
  <c r="H1096" i="24"/>
  <c r="H1107" i="24"/>
  <c r="H1105" i="24"/>
  <c r="H1082" i="24"/>
  <c r="H1070" i="24"/>
  <c r="H1076" i="24"/>
  <c r="H1092" i="24"/>
  <c r="H1073" i="24"/>
  <c r="H1087" i="24"/>
  <c r="H1071" i="24"/>
  <c r="H1075" i="24"/>
  <c r="H1072" i="24"/>
  <c r="H1084" i="24"/>
  <c r="H1078" i="24"/>
  <c r="H1077" i="24"/>
  <c r="H1091" i="24"/>
  <c r="H1085" i="24"/>
  <c r="H1088" i="24"/>
  <c r="H1080" i="24"/>
  <c r="H1081" i="24"/>
  <c r="H1074" i="24"/>
  <c r="H1086" i="24"/>
  <c r="H1079" i="24"/>
  <c r="H1090" i="24"/>
  <c r="H1083" i="24"/>
  <c r="H1089" i="24"/>
  <c r="H1058" i="24"/>
  <c r="H1045" i="24"/>
  <c r="H1049" i="24"/>
  <c r="H1063" i="24"/>
  <c r="H1060" i="24"/>
  <c r="H1062" i="24"/>
  <c r="H1047" i="24"/>
  <c r="H1053" i="24"/>
  <c r="H1056" i="24"/>
  <c r="H1044" i="24"/>
  <c r="H1051" i="24"/>
  <c r="H1059" i="24"/>
  <c r="H1046" i="24"/>
  <c r="H1055" i="24"/>
  <c r="H1066" i="24"/>
  <c r="H1050" i="24"/>
  <c r="H1069" i="24"/>
  <c r="H1061" i="24"/>
  <c r="H1067" i="24"/>
  <c r="H1068" i="24"/>
  <c r="H1052" i="24"/>
  <c r="H1048" i="24"/>
  <c r="H1065" i="24"/>
  <c r="H1057" i="24"/>
  <c r="H1054" i="24"/>
  <c r="H1064" i="24"/>
  <c r="H1025" i="24"/>
  <c r="H1030" i="24"/>
  <c r="H1034" i="24"/>
  <c r="H1043" i="24"/>
  <c r="H1029" i="24"/>
  <c r="H1012" i="24"/>
  <c r="H1023" i="24"/>
  <c r="H1017" i="24"/>
  <c r="H1033" i="24"/>
  <c r="H1041" i="24"/>
  <c r="H1022" i="24"/>
  <c r="H1027" i="24"/>
  <c r="H1004" i="24"/>
  <c r="H1032" i="24"/>
  <c r="H1040" i="24"/>
  <c r="H1020" i="24"/>
  <c r="H1008" i="24"/>
  <c r="H1042" i="24"/>
  <c r="H1036" i="24"/>
  <c r="H1024" i="24"/>
  <c r="H1021" i="24"/>
  <c r="H1013" i="24"/>
  <c r="H1026" i="24"/>
  <c r="H1035" i="24"/>
  <c r="H1010" i="24"/>
  <c r="H1037" i="24"/>
  <c r="H1003" i="24"/>
  <c r="H1009" i="24"/>
  <c r="H1019" i="24"/>
  <c r="H1028" i="24"/>
  <c r="H1018" i="24"/>
  <c r="H1016" i="24"/>
  <c r="H1005" i="24"/>
  <c r="H1006" i="24"/>
  <c r="H1039" i="24"/>
  <c r="H1011" i="24"/>
  <c r="H1007" i="24"/>
  <c r="H1031" i="24"/>
  <c r="H1015" i="24"/>
  <c r="H1014" i="24"/>
  <c r="H1038" i="24"/>
  <c r="H984" i="24"/>
  <c r="H996" i="24"/>
  <c r="H1000" i="24"/>
  <c r="H988" i="24"/>
  <c r="H983" i="24"/>
  <c r="H985" i="24"/>
  <c r="H992" i="24"/>
  <c r="H993" i="24"/>
  <c r="H995" i="24"/>
  <c r="H1001" i="24"/>
  <c r="H991" i="24"/>
  <c r="H990" i="24"/>
  <c r="H989" i="24"/>
  <c r="H981" i="24"/>
  <c r="H987" i="24"/>
  <c r="H997" i="24"/>
  <c r="H998" i="24"/>
  <c r="H1002" i="24"/>
  <c r="H979" i="24"/>
  <c r="H999" i="24"/>
  <c r="H982" i="24"/>
  <c r="H994" i="24"/>
  <c r="H980" i="24"/>
  <c r="H986" i="24"/>
  <c r="H968" i="24"/>
  <c r="H966" i="24"/>
  <c r="H975" i="24"/>
  <c r="H970" i="24"/>
  <c r="H973" i="24"/>
  <c r="H978" i="24"/>
  <c r="H974" i="24"/>
  <c r="H977" i="24"/>
  <c r="H976" i="24"/>
  <c r="H972" i="24"/>
  <c r="H971" i="24"/>
  <c r="H965" i="24"/>
  <c r="H969" i="24"/>
  <c r="H967" i="24"/>
  <c r="H948" i="24"/>
  <c r="H964" i="24"/>
  <c r="H960" i="24"/>
  <c r="H945" i="24"/>
  <c r="H959" i="24"/>
  <c r="H956" i="24"/>
  <c r="H951" i="24"/>
  <c r="H962" i="24"/>
  <c r="H950" i="24"/>
  <c r="H955" i="24"/>
  <c r="H961" i="24"/>
  <c r="H949" i="24"/>
  <c r="H957" i="24"/>
  <c r="H947" i="24"/>
  <c r="H946" i="24"/>
  <c r="H963" i="24"/>
  <c r="H958" i="24"/>
  <c r="H952" i="24"/>
  <c r="H954" i="24"/>
  <c r="H953" i="24"/>
  <c r="H916" i="24"/>
  <c r="H924" i="24"/>
  <c r="H932" i="24"/>
  <c r="H926" i="24"/>
  <c r="H925" i="24"/>
  <c r="H930" i="24"/>
  <c r="H933" i="24"/>
  <c r="H927" i="24"/>
  <c r="H923" i="24"/>
  <c r="H944" i="24"/>
  <c r="H937" i="24"/>
  <c r="H912" i="24"/>
  <c r="H911" i="24"/>
  <c r="H943" i="24"/>
  <c r="H929" i="24"/>
  <c r="H942" i="24"/>
  <c r="H918" i="24"/>
  <c r="H921" i="24"/>
  <c r="H931" i="24"/>
  <c r="H935" i="24"/>
  <c r="H920" i="24"/>
  <c r="H941" i="24"/>
  <c r="H936" i="24"/>
  <c r="H917" i="24"/>
  <c r="H940" i="24"/>
  <c r="H928" i="24"/>
  <c r="H934" i="24"/>
  <c r="H939" i="24"/>
  <c r="H919" i="24"/>
  <c r="H938" i="24"/>
  <c r="H915" i="24"/>
  <c r="H914" i="24"/>
  <c r="H922" i="24"/>
  <c r="H913" i="24"/>
  <c r="H909" i="24"/>
  <c r="H910" i="24"/>
  <c r="H901" i="24"/>
  <c r="H904" i="24"/>
  <c r="H906" i="24"/>
  <c r="H903" i="24"/>
  <c r="H902" i="24"/>
  <c r="H908" i="24"/>
  <c r="H905" i="24"/>
  <c r="H900" i="24"/>
  <c r="H907" i="24"/>
  <c r="H880" i="24"/>
  <c r="H892" i="24"/>
  <c r="H895" i="24"/>
  <c r="H889" i="24"/>
  <c r="H883" i="24"/>
  <c r="H899" i="24"/>
  <c r="H888" i="24"/>
  <c r="H885" i="24"/>
  <c r="H894" i="24"/>
  <c r="H887" i="24"/>
  <c r="H884" i="24"/>
  <c r="H893" i="24"/>
  <c r="H898" i="24"/>
  <c r="H896" i="24"/>
  <c r="H878" i="24"/>
  <c r="H897" i="24"/>
  <c r="H890" i="24"/>
  <c r="H891" i="24"/>
  <c r="H882" i="24"/>
  <c r="H881" i="24"/>
  <c r="H886" i="24"/>
  <c r="H879" i="24"/>
  <c r="H872" i="24"/>
  <c r="H876" i="24"/>
  <c r="H867" i="24"/>
  <c r="H873" i="24"/>
  <c r="H874" i="24"/>
  <c r="H877" i="24"/>
  <c r="H875" i="24"/>
  <c r="H866" i="24"/>
  <c r="H870" i="24"/>
  <c r="H871" i="24"/>
  <c r="H869" i="24"/>
  <c r="H868" i="24"/>
  <c r="H862" i="24"/>
  <c r="H863" i="24"/>
  <c r="H860" i="24"/>
  <c r="H861" i="24"/>
  <c r="H865" i="24"/>
  <c r="H864" i="24"/>
  <c r="H856" i="24"/>
  <c r="H854" i="24"/>
  <c r="H853" i="24"/>
  <c r="H851" i="24"/>
  <c r="H855" i="24"/>
  <c r="H852" i="24"/>
  <c r="H857" i="24"/>
  <c r="H859" i="24"/>
  <c r="H850" i="24"/>
  <c r="H858" i="24"/>
  <c r="H839" i="24"/>
  <c r="H843" i="24"/>
  <c r="H842" i="24"/>
  <c r="H845" i="24"/>
  <c r="H844" i="24"/>
  <c r="H848" i="24"/>
  <c r="H849" i="24"/>
  <c r="H840" i="24"/>
  <c r="H841" i="24"/>
  <c r="H846" i="24"/>
  <c r="H847" i="24"/>
  <c r="H821" i="24"/>
  <c r="H832" i="24"/>
  <c r="H835" i="24"/>
  <c r="H826" i="24"/>
  <c r="H833" i="24"/>
  <c r="H831" i="24"/>
  <c r="H830" i="24"/>
  <c r="H825" i="24"/>
  <c r="H834" i="24"/>
  <c r="H838" i="24"/>
  <c r="H837" i="24"/>
  <c r="H827" i="24"/>
  <c r="H824" i="24"/>
  <c r="H822" i="24"/>
  <c r="H828" i="24"/>
  <c r="H829" i="24"/>
  <c r="H820" i="24"/>
  <c r="H819" i="24"/>
  <c r="H836" i="24"/>
  <c r="H823" i="24"/>
  <c r="H814" i="24"/>
  <c r="H808" i="24"/>
  <c r="H807" i="24"/>
  <c r="H806" i="24"/>
  <c r="H811" i="24"/>
  <c r="H809" i="24"/>
  <c r="H810" i="24"/>
  <c r="H818" i="24"/>
  <c r="H816" i="24"/>
  <c r="H815" i="24"/>
  <c r="H812" i="24"/>
  <c r="H813" i="24"/>
  <c r="H817" i="24"/>
  <c r="H805" i="24"/>
  <c r="H804" i="24"/>
  <c r="H800" i="24"/>
  <c r="H776" i="24"/>
  <c r="H781" i="24"/>
  <c r="H801" i="24"/>
  <c r="H798" i="24"/>
  <c r="H784" i="24"/>
  <c r="H786" i="24"/>
  <c r="H788" i="24"/>
  <c r="H783" i="24"/>
  <c r="H793" i="24"/>
  <c r="H794" i="24"/>
  <c r="H803" i="24"/>
  <c r="H779" i="24"/>
  <c r="H791" i="24"/>
  <c r="H787" i="24"/>
  <c r="H789" i="24"/>
  <c r="H802" i="24"/>
  <c r="H799" i="24"/>
  <c r="H797" i="24"/>
  <c r="H775" i="24"/>
  <c r="H792" i="24"/>
  <c r="H780" i="24"/>
  <c r="H796" i="24"/>
  <c r="H777" i="24"/>
  <c r="H795" i="24"/>
  <c r="H782" i="24"/>
  <c r="H785" i="24"/>
  <c r="H790" i="24"/>
  <c r="H778" i="24"/>
  <c r="H774" i="24"/>
  <c r="H767" i="24"/>
  <c r="H768" i="24"/>
  <c r="H769" i="24"/>
  <c r="H772" i="24"/>
  <c r="H773" i="24"/>
  <c r="H771" i="24"/>
  <c r="H770" i="24"/>
  <c r="H752" i="24"/>
  <c r="H754" i="24"/>
  <c r="H763" i="24"/>
  <c r="H762" i="24"/>
  <c r="H756" i="24"/>
  <c r="H748" i="24"/>
  <c r="H760" i="24"/>
  <c r="H764" i="24"/>
  <c r="H765" i="24"/>
  <c r="H766" i="24"/>
  <c r="H755" i="24"/>
  <c r="H758" i="24"/>
  <c r="H749" i="24"/>
  <c r="H759" i="24"/>
  <c r="H761" i="24"/>
  <c r="H751" i="24"/>
  <c r="H753" i="24"/>
  <c r="H750" i="24"/>
  <c r="H757" i="24"/>
  <c r="H739" i="24"/>
  <c r="H741" i="24"/>
  <c r="H742" i="24"/>
  <c r="H734" i="24"/>
  <c r="H735" i="24"/>
  <c r="H731" i="24"/>
  <c r="H740" i="24"/>
  <c r="H736" i="24"/>
  <c r="H733" i="24"/>
  <c r="H738" i="24"/>
  <c r="H746" i="24"/>
  <c r="H737" i="24"/>
  <c r="H732" i="24"/>
  <c r="H743" i="24"/>
  <c r="H730" i="24"/>
  <c r="H747" i="24"/>
  <c r="H745" i="24"/>
  <c r="H744" i="24"/>
  <c r="H729" i="24"/>
  <c r="H717" i="24"/>
  <c r="H713" i="24"/>
  <c r="H708" i="24"/>
  <c r="H719" i="24"/>
  <c r="H712" i="24"/>
  <c r="H709" i="24"/>
  <c r="H711" i="24"/>
  <c r="H718" i="24"/>
  <c r="H707" i="24"/>
  <c r="H721" i="24"/>
  <c r="H727" i="24"/>
  <c r="H714" i="24"/>
  <c r="H728" i="24"/>
  <c r="H710" i="24"/>
  <c r="H726" i="24"/>
  <c r="H716" i="24"/>
  <c r="H715" i="24"/>
  <c r="H720" i="24"/>
  <c r="H724" i="24"/>
  <c r="H725" i="24"/>
  <c r="H723" i="24"/>
  <c r="H722" i="24"/>
  <c r="H697" i="24"/>
  <c r="H692" i="24"/>
  <c r="H695" i="24"/>
  <c r="H700" i="24"/>
  <c r="H703" i="24"/>
  <c r="H705" i="24"/>
  <c r="H698" i="24"/>
  <c r="H691" i="24"/>
  <c r="H702" i="24"/>
  <c r="H706" i="24"/>
  <c r="H699" i="24"/>
  <c r="H701" i="24"/>
  <c r="H696" i="24"/>
  <c r="H694" i="24"/>
  <c r="H693" i="24"/>
  <c r="H690" i="24"/>
  <c r="H689" i="24"/>
  <c r="H704" i="24"/>
  <c r="H688" i="24"/>
  <c r="H685" i="24"/>
  <c r="H686" i="24"/>
  <c r="H681" i="24"/>
  <c r="H682" i="24"/>
  <c r="H687" i="24"/>
  <c r="H683" i="24"/>
  <c r="H676" i="24"/>
  <c r="H679" i="24"/>
  <c r="H684" i="24"/>
  <c r="H678" i="24"/>
  <c r="H677" i="24"/>
  <c r="H680" i="24"/>
  <c r="H673" i="24"/>
  <c r="H669" i="24"/>
  <c r="H666" i="24"/>
  <c r="H675" i="24"/>
  <c r="H672" i="24"/>
  <c r="H667" i="24"/>
  <c r="H668" i="24"/>
  <c r="H670" i="24"/>
  <c r="H671" i="24"/>
  <c r="H674" i="24"/>
  <c r="H659" i="24"/>
  <c r="H655" i="24"/>
  <c r="H657" i="24"/>
  <c r="H656" i="24"/>
  <c r="H661" i="24"/>
  <c r="H654" i="24"/>
  <c r="H665" i="24"/>
  <c r="H658" i="24"/>
  <c r="H664" i="24"/>
  <c r="H660" i="24"/>
  <c r="H653" i="24"/>
  <c r="H663" i="24"/>
  <c r="H662" i="24"/>
  <c r="H645" i="24"/>
  <c r="H644" i="24"/>
  <c r="H646" i="24"/>
  <c r="H639" i="24"/>
  <c r="H643" i="24"/>
  <c r="H652" i="24"/>
  <c r="H638" i="24"/>
  <c r="H636" i="24"/>
  <c r="H641" i="24"/>
  <c r="H650" i="24"/>
  <c r="H637" i="24"/>
  <c r="H649" i="24"/>
  <c r="H647" i="24"/>
  <c r="H648" i="24"/>
  <c r="H640" i="24"/>
  <c r="H642" i="24"/>
  <c r="H635" i="24"/>
  <c r="H651" i="24"/>
  <c r="H634" i="24"/>
  <c r="H622" i="24"/>
  <c r="H628" i="24"/>
  <c r="H627" i="24"/>
  <c r="H630" i="24"/>
  <c r="H631" i="24"/>
  <c r="H629" i="24"/>
  <c r="H625" i="24"/>
  <c r="H633" i="24"/>
  <c r="H623" i="24"/>
  <c r="H621" i="24"/>
  <c r="H626" i="24"/>
  <c r="H632" i="24"/>
  <c r="H624" i="24"/>
  <c r="H617" i="24"/>
  <c r="H592" i="24"/>
  <c r="H612" i="24"/>
  <c r="H603" i="24"/>
  <c r="H602" i="24"/>
  <c r="H609" i="24"/>
  <c r="H595" i="24"/>
  <c r="H596" i="24"/>
  <c r="H616" i="24"/>
  <c r="H613" i="24"/>
  <c r="H614" i="24"/>
  <c r="H607" i="24"/>
  <c r="H611" i="24"/>
  <c r="H606" i="24"/>
  <c r="H597" i="24"/>
  <c r="H601" i="24"/>
  <c r="H605" i="24"/>
  <c r="H600" i="24"/>
  <c r="H619" i="24"/>
  <c r="H618" i="24"/>
  <c r="H620" i="24"/>
  <c r="H593" i="24"/>
  <c r="H608" i="24"/>
  <c r="H599" i="24"/>
  <c r="H598" i="24"/>
  <c r="H610" i="24"/>
  <c r="H594" i="24"/>
  <c r="H604" i="24"/>
  <c r="H615" i="24"/>
  <c r="H588" i="24"/>
  <c r="H590" i="24"/>
  <c r="H589" i="24"/>
  <c r="H591" i="24"/>
  <c r="H585" i="24"/>
  <c r="H576" i="24"/>
  <c r="H586" i="24"/>
  <c r="H582" i="24"/>
  <c r="H581" i="24"/>
  <c r="H584" i="24"/>
  <c r="H575" i="24"/>
  <c r="H587" i="24"/>
  <c r="H577" i="24"/>
  <c r="H579" i="24"/>
  <c r="H583" i="24"/>
  <c r="H580" i="24"/>
  <c r="H578" i="24"/>
  <c r="H558" i="24"/>
  <c r="H560" i="24"/>
  <c r="H562" i="24"/>
  <c r="H568" i="24"/>
  <c r="H567" i="24"/>
  <c r="H569" i="24"/>
  <c r="H571" i="24"/>
  <c r="H556" i="24"/>
  <c r="H574" i="24"/>
  <c r="H572" i="24"/>
  <c r="H564" i="24"/>
  <c r="H563" i="24"/>
  <c r="H570" i="24"/>
  <c r="H559" i="24"/>
  <c r="H566" i="24"/>
  <c r="H557" i="24"/>
  <c r="H561" i="24"/>
  <c r="H565" i="24"/>
  <c r="H573" i="24"/>
  <c r="H536" i="24"/>
  <c r="H533" i="24"/>
  <c r="H527" i="24"/>
  <c r="H550" i="24"/>
  <c r="H552" i="24"/>
  <c r="H551" i="24"/>
  <c r="H543" i="24"/>
  <c r="H525" i="24"/>
  <c r="H549" i="24"/>
  <c r="H526" i="24"/>
  <c r="H555" i="24"/>
  <c r="H540" i="24"/>
  <c r="H548" i="24"/>
  <c r="H547" i="24"/>
  <c r="H531" i="24"/>
  <c r="H539" i="24"/>
  <c r="H545" i="24"/>
  <c r="H528" i="24"/>
  <c r="H530" i="24"/>
  <c r="H532" i="24"/>
  <c r="H546" i="24"/>
  <c r="H542" i="24"/>
  <c r="H554" i="24"/>
  <c r="H535" i="24"/>
  <c r="H553" i="24"/>
  <c r="H534" i="24"/>
  <c r="H538" i="24"/>
  <c r="H537" i="24"/>
  <c r="H544" i="24"/>
  <c r="H541" i="24"/>
  <c r="H529" i="24"/>
  <c r="H514" i="24"/>
  <c r="H522" i="24"/>
  <c r="H524" i="24"/>
  <c r="H510" i="24"/>
  <c r="H515" i="24"/>
  <c r="H516" i="24"/>
  <c r="H521" i="24"/>
  <c r="H520" i="24"/>
  <c r="H513" i="24"/>
  <c r="H512" i="24"/>
  <c r="H518" i="24"/>
  <c r="H523" i="24"/>
  <c r="H517" i="24"/>
  <c r="H511" i="24"/>
  <c r="H519" i="24"/>
  <c r="H507" i="24"/>
  <c r="H508" i="24"/>
  <c r="H509" i="24"/>
  <c r="H504" i="24"/>
  <c r="H502" i="24"/>
  <c r="H503" i="24"/>
  <c r="H506" i="24"/>
  <c r="H505" i="24"/>
  <c r="H501" i="24"/>
  <c r="H500" i="24"/>
  <c r="H499" i="24"/>
  <c r="H498" i="24"/>
  <c r="H495" i="24"/>
  <c r="H494" i="24"/>
  <c r="H490" i="24"/>
  <c r="H488" i="24"/>
  <c r="H497" i="24"/>
  <c r="H493" i="24"/>
  <c r="H496" i="24"/>
  <c r="H492" i="24"/>
  <c r="H489" i="24"/>
  <c r="H491" i="24"/>
  <c r="H487" i="24"/>
  <c r="H478" i="24"/>
  <c r="H485" i="24"/>
  <c r="H482" i="24"/>
  <c r="H479" i="24"/>
  <c r="H476" i="24"/>
  <c r="H468" i="24"/>
  <c r="H475" i="24"/>
  <c r="H469" i="24"/>
  <c r="H480" i="24"/>
  <c r="H483" i="24"/>
  <c r="H471" i="24"/>
  <c r="H472" i="24"/>
  <c r="H466" i="24"/>
  <c r="H467" i="24"/>
  <c r="H474" i="24"/>
  <c r="H470" i="24"/>
  <c r="H465" i="24"/>
  <c r="H477" i="24"/>
  <c r="H473" i="24"/>
  <c r="H481" i="24"/>
  <c r="H484" i="24"/>
  <c r="H486" i="24"/>
  <c r="H438" i="24"/>
  <c r="H459" i="24"/>
  <c r="H441" i="24"/>
  <c r="H440" i="24"/>
  <c r="H449" i="24"/>
  <c r="H439" i="24"/>
  <c r="H443" i="24"/>
  <c r="H448" i="24"/>
  <c r="H447" i="24"/>
  <c r="H446" i="24"/>
  <c r="H463" i="24"/>
  <c r="H454" i="24"/>
  <c r="H464" i="24"/>
  <c r="H460" i="24"/>
  <c r="H444" i="24"/>
  <c r="H462" i="24"/>
  <c r="H457" i="24"/>
  <c r="H456" i="24"/>
  <c r="H452" i="24"/>
  <c r="H445" i="24"/>
  <c r="H458" i="24"/>
  <c r="H453" i="24"/>
  <c r="H451" i="24"/>
  <c r="H450" i="24"/>
  <c r="H442" i="24"/>
  <c r="H461" i="24"/>
  <c r="H437" i="24"/>
  <c r="H455" i="24"/>
  <c r="H433" i="24"/>
  <c r="H436" i="24"/>
  <c r="H432" i="24"/>
  <c r="H428" i="24"/>
  <c r="H424" i="24"/>
  <c r="H434" i="24"/>
  <c r="H435" i="24"/>
  <c r="H431" i="24"/>
  <c r="H429" i="24"/>
  <c r="H430" i="24"/>
  <c r="H427" i="24"/>
  <c r="H426" i="24"/>
  <c r="H425" i="24"/>
  <c r="H423" i="24"/>
  <c r="H421" i="24"/>
  <c r="H422" i="24"/>
  <c r="H420" i="24"/>
  <c r="H419" i="24"/>
  <c r="H418" i="24"/>
  <c r="H415" i="24"/>
  <c r="H409" i="24"/>
  <c r="H416" i="24"/>
  <c r="H411" i="24"/>
  <c r="H406" i="24"/>
  <c r="H413" i="24"/>
  <c r="H410" i="24"/>
  <c r="H408" i="24"/>
  <c r="H412" i="24"/>
  <c r="H414" i="24"/>
  <c r="H407" i="24"/>
  <c r="H417" i="24"/>
  <c r="H389" i="24"/>
  <c r="H403" i="24"/>
  <c r="H404" i="24"/>
  <c r="H388" i="24"/>
  <c r="H397" i="24"/>
  <c r="H398" i="24"/>
  <c r="H384" i="24"/>
  <c r="H402" i="24"/>
  <c r="H395" i="24"/>
  <c r="H394" i="24"/>
  <c r="H396" i="24"/>
  <c r="H385" i="24"/>
  <c r="H401" i="24"/>
  <c r="H393" i="24"/>
  <c r="H392" i="24"/>
  <c r="H400" i="24"/>
  <c r="H390" i="24"/>
  <c r="H391" i="24"/>
  <c r="H387" i="24"/>
  <c r="H382" i="24"/>
  <c r="H383" i="24"/>
  <c r="H386" i="24"/>
  <c r="H405" i="24"/>
  <c r="H399" i="24"/>
  <c r="H375" i="24"/>
  <c r="H374" i="24"/>
  <c r="H370" i="24"/>
  <c r="H369" i="24"/>
  <c r="H368" i="24"/>
  <c r="H380" i="24"/>
  <c r="H381" i="24"/>
  <c r="H367" i="24"/>
  <c r="H366" i="24"/>
  <c r="H379" i="24"/>
  <c r="H373" i="24"/>
  <c r="H376" i="24"/>
  <c r="H372" i="24"/>
  <c r="H377" i="24"/>
  <c r="H378" i="24"/>
  <c r="H371" i="24"/>
  <c r="H365" i="24"/>
  <c r="H346" i="24"/>
  <c r="H343" i="24"/>
  <c r="H342" i="24"/>
  <c r="H358" i="24"/>
  <c r="H362" i="24"/>
  <c r="H357" i="24"/>
  <c r="H363" i="24"/>
  <c r="H352" i="24"/>
  <c r="H345" i="24"/>
  <c r="H340" i="24"/>
  <c r="H341" i="24"/>
  <c r="H351" i="24"/>
  <c r="H350" i="24"/>
  <c r="H356" i="24"/>
  <c r="H353" i="24"/>
  <c r="H349" i="24"/>
  <c r="H360" i="24"/>
  <c r="H347" i="24"/>
  <c r="H361" i="24"/>
  <c r="H355" i="24"/>
  <c r="H348" i="24"/>
  <c r="H354" i="24"/>
  <c r="H339" i="24"/>
  <c r="H364" i="24"/>
  <c r="H359" i="24"/>
  <c r="H344" i="24"/>
  <c r="H333" i="24"/>
  <c r="H331" i="24"/>
  <c r="H326" i="24"/>
  <c r="H332" i="24"/>
  <c r="H328" i="24"/>
  <c r="H337" i="24"/>
  <c r="H324" i="24"/>
  <c r="H327" i="24"/>
  <c r="H338" i="24"/>
  <c r="H329" i="24"/>
  <c r="H325" i="24"/>
  <c r="H330" i="24"/>
  <c r="H334" i="24"/>
  <c r="H336" i="24"/>
  <c r="H335" i="24"/>
  <c r="H323" i="24"/>
  <c r="H322" i="24"/>
  <c r="H302" i="24"/>
  <c r="H320" i="24"/>
  <c r="H312" i="24"/>
  <c r="H306" i="24"/>
  <c r="H300" i="24"/>
  <c r="H303" i="24"/>
  <c r="H305" i="24"/>
  <c r="H317" i="24"/>
  <c r="H313" i="24"/>
  <c r="H301" i="24"/>
  <c r="H304" i="24"/>
  <c r="H319" i="24"/>
  <c r="H316" i="24"/>
  <c r="H318" i="24"/>
  <c r="H307" i="24"/>
  <c r="H299" i="24"/>
  <c r="H308" i="24"/>
  <c r="H321" i="24"/>
  <c r="H309" i="24"/>
  <c r="H297" i="24"/>
  <c r="H311" i="24"/>
  <c r="H310" i="24"/>
  <c r="H298" i="24"/>
  <c r="H315" i="24"/>
  <c r="H314" i="24"/>
  <c r="H277" i="24"/>
  <c r="H289" i="24"/>
  <c r="H295" i="24"/>
  <c r="H276" i="24"/>
  <c r="H278" i="24"/>
  <c r="H282" i="24"/>
  <c r="H288" i="24"/>
  <c r="H280" i="24"/>
  <c r="H293" i="24"/>
  <c r="H284" i="24"/>
  <c r="H291" i="24"/>
  <c r="H283" i="24"/>
  <c r="H292" i="24"/>
  <c r="H294" i="24"/>
  <c r="H290" i="24"/>
  <c r="H286" i="24"/>
  <c r="H285" i="24"/>
  <c r="H296" i="24"/>
  <c r="H281" i="24"/>
  <c r="H287" i="24"/>
  <c r="H279" i="24"/>
  <c r="H266" i="24"/>
  <c r="H260" i="24"/>
  <c r="H271" i="24"/>
  <c r="H259" i="24"/>
  <c r="H263" i="24"/>
  <c r="H262" i="24"/>
  <c r="H272" i="24"/>
  <c r="H275" i="24"/>
  <c r="H261" i="24"/>
  <c r="H274" i="24"/>
  <c r="H270" i="24"/>
  <c r="H268" i="24"/>
  <c r="H273" i="24"/>
  <c r="H265" i="24"/>
  <c r="H264" i="24"/>
  <c r="H267" i="24"/>
  <c r="H269" i="24"/>
  <c r="H232" i="24"/>
  <c r="H244" i="24"/>
  <c r="H252" i="24"/>
  <c r="H255" i="24"/>
  <c r="H243" i="24"/>
  <c r="H254" i="24"/>
  <c r="H247" i="24"/>
  <c r="H251" i="24"/>
  <c r="H250" i="24"/>
  <c r="H240" i="24"/>
  <c r="H234" i="24"/>
  <c r="H242" i="24"/>
  <c r="H241" i="24"/>
  <c r="H253" i="24"/>
  <c r="H236" i="24"/>
  <c r="H237" i="24"/>
  <c r="H245" i="24"/>
  <c r="H246" i="24"/>
  <c r="H256" i="24"/>
  <c r="H239" i="24"/>
  <c r="H257" i="24"/>
  <c r="H249" i="24"/>
  <c r="H258" i="24"/>
  <c r="H238" i="24"/>
  <c r="H248" i="24"/>
  <c r="H233" i="24"/>
  <c r="H235" i="24"/>
  <c r="H227" i="24"/>
  <c r="H230" i="24"/>
  <c r="H197" i="24"/>
  <c r="H206" i="24"/>
  <c r="H208" i="24"/>
  <c r="H200" i="24"/>
  <c r="H225" i="24"/>
  <c r="H213" i="24"/>
  <c r="H212" i="24"/>
  <c r="H215" i="24"/>
  <c r="H207" i="24"/>
  <c r="H218" i="24"/>
  <c r="H210" i="24"/>
  <c r="H198" i="24"/>
  <c r="H217" i="24"/>
  <c r="H216" i="24"/>
  <c r="H203" i="24"/>
  <c r="H205" i="24"/>
  <c r="H221" i="24"/>
  <c r="H219" i="24"/>
  <c r="H226" i="24"/>
  <c r="H201" i="24"/>
  <c r="H199" i="24"/>
  <c r="H209" i="24"/>
  <c r="H231" i="24"/>
  <c r="H214" i="24"/>
  <c r="H229" i="24"/>
  <c r="H196" i="24"/>
  <c r="H220" i="24"/>
  <c r="H223" i="24"/>
  <c r="H228" i="24"/>
  <c r="H195" i="24"/>
  <c r="H202" i="24"/>
  <c r="H224" i="24"/>
  <c r="H204" i="24"/>
  <c r="H222" i="24"/>
  <c r="H211" i="24"/>
  <c r="H194" i="24"/>
  <c r="H190" i="24"/>
  <c r="H189" i="24"/>
  <c r="H171" i="24"/>
  <c r="H167" i="24"/>
  <c r="H166" i="24"/>
  <c r="H188" i="24"/>
  <c r="H182" i="24"/>
  <c r="H186" i="24"/>
  <c r="H169" i="24"/>
  <c r="H174" i="24"/>
  <c r="H176" i="24"/>
  <c r="H179" i="24"/>
  <c r="H177" i="24"/>
  <c r="H184" i="24"/>
  <c r="H185" i="24"/>
  <c r="H168" i="24"/>
  <c r="H173" i="24"/>
  <c r="H181" i="24"/>
  <c r="H165" i="24"/>
  <c r="H180" i="24"/>
  <c r="H193" i="24"/>
  <c r="H192" i="24"/>
  <c r="H178" i="24"/>
  <c r="H187" i="24"/>
  <c r="H191" i="24"/>
  <c r="H170" i="24"/>
  <c r="H175" i="24"/>
  <c r="H172" i="24"/>
  <c r="H164" i="24"/>
  <c r="H183" i="24"/>
  <c r="H156" i="24"/>
  <c r="H161" i="24"/>
  <c r="H154" i="24"/>
  <c r="H150" i="24"/>
  <c r="H155" i="24"/>
  <c r="H159" i="24"/>
  <c r="H157" i="24"/>
  <c r="H163" i="24"/>
  <c r="H158" i="24"/>
  <c r="H149" i="24"/>
  <c r="H152" i="24"/>
  <c r="H153" i="24"/>
  <c r="H151" i="24"/>
  <c r="H162" i="24"/>
  <c r="H160" i="24"/>
  <c r="H140" i="24"/>
  <c r="H146" i="24"/>
  <c r="H131" i="24"/>
  <c r="H143" i="24"/>
  <c r="H128" i="24"/>
  <c r="H142" i="24"/>
  <c r="H139" i="24"/>
  <c r="H141" i="24"/>
  <c r="H148" i="24"/>
  <c r="H137" i="24"/>
  <c r="H132" i="24"/>
  <c r="H145" i="24"/>
  <c r="H138" i="24"/>
  <c r="H135" i="24"/>
  <c r="H129" i="24"/>
  <c r="H144" i="24"/>
  <c r="H136" i="24"/>
  <c r="H134" i="24"/>
  <c r="H130" i="24"/>
  <c r="H147" i="24"/>
  <c r="H133" i="24"/>
  <c r="H123" i="24"/>
  <c r="H122" i="24"/>
  <c r="H125" i="24"/>
  <c r="H126" i="24"/>
  <c r="H121" i="24"/>
  <c r="H124" i="24"/>
  <c r="H127" i="24"/>
  <c r="H111" i="24"/>
  <c r="H117" i="24"/>
  <c r="H110" i="24"/>
  <c r="H112" i="24"/>
  <c r="H113" i="24"/>
  <c r="H116" i="24"/>
  <c r="H118" i="24"/>
  <c r="H108" i="24"/>
  <c r="H119" i="24"/>
  <c r="H109" i="24"/>
  <c r="H120" i="24"/>
  <c r="H115" i="24"/>
  <c r="H114" i="24"/>
  <c r="H94" i="24"/>
  <c r="H96" i="24"/>
  <c r="H105" i="24"/>
  <c r="H93" i="24"/>
  <c r="H101" i="24"/>
  <c r="H97" i="24"/>
  <c r="H92" i="24"/>
  <c r="H99" i="24"/>
  <c r="H95" i="24"/>
  <c r="H104" i="24"/>
  <c r="H98" i="24"/>
  <c r="H91" i="24"/>
  <c r="H102" i="24"/>
  <c r="H106" i="24"/>
  <c r="H90" i="24"/>
  <c r="H103" i="24"/>
  <c r="H107" i="24"/>
  <c r="H100" i="24"/>
  <c r="H76" i="24"/>
  <c r="H74" i="24"/>
  <c r="H75" i="24"/>
  <c r="H82" i="24"/>
  <c r="H73" i="24"/>
  <c r="H81" i="24"/>
  <c r="H79" i="24"/>
  <c r="H85" i="24"/>
  <c r="H83" i="24"/>
  <c r="H77" i="24"/>
  <c r="H84" i="24"/>
  <c r="H72" i="24"/>
  <c r="H80" i="24"/>
  <c r="H89" i="24"/>
  <c r="H88" i="24"/>
  <c r="H78" i="24"/>
  <c r="H86" i="24"/>
  <c r="H87" i="24"/>
  <c r="H71" i="24"/>
  <c r="H56" i="24"/>
  <c r="H57" i="24"/>
  <c r="H66" i="24"/>
  <c r="H62" i="24"/>
  <c r="H59" i="24"/>
  <c r="H67" i="24"/>
  <c r="H61" i="24"/>
  <c r="H63" i="24"/>
  <c r="H54" i="24"/>
  <c r="H70" i="24"/>
  <c r="H64" i="24"/>
  <c r="H69" i="24"/>
  <c r="H60" i="24"/>
  <c r="H65" i="24"/>
  <c r="H58" i="24"/>
  <c r="H55" i="24"/>
  <c r="H68" i="24"/>
  <c r="H49" i="24"/>
  <c r="H44" i="24"/>
  <c r="H47" i="24"/>
  <c r="H42" i="24"/>
  <c r="H53" i="24"/>
  <c r="H50" i="24"/>
  <c r="H37" i="24"/>
  <c r="H34" i="24"/>
  <c r="H41" i="24"/>
  <c r="H40" i="24"/>
  <c r="H36" i="24"/>
  <c r="H35" i="24"/>
  <c r="H46" i="24"/>
  <c r="H38" i="24"/>
  <c r="H45" i="24"/>
  <c r="H51" i="24"/>
  <c r="H48" i="24"/>
  <c r="H43" i="24"/>
  <c r="H39" i="24"/>
  <c r="H52" i="24"/>
  <c r="H31" i="24"/>
  <c r="H24" i="24"/>
  <c r="H18" i="24"/>
  <c r="H21" i="24"/>
  <c r="H25" i="24"/>
  <c r="H9" i="24"/>
  <c r="H15" i="24"/>
  <c r="H22" i="24"/>
  <c r="H16" i="24"/>
  <c r="H17" i="24"/>
  <c r="H27" i="24"/>
  <c r="H23" i="24"/>
  <c r="H12" i="24"/>
  <c r="H13" i="24"/>
  <c r="H26" i="24"/>
  <c r="H32" i="24"/>
  <c r="H8" i="24"/>
  <c r="H11" i="24"/>
  <c r="H14" i="24"/>
  <c r="H10" i="24"/>
  <c r="H6" i="24"/>
  <c r="H19" i="24"/>
  <c r="H5" i="24"/>
  <c r="H29" i="24"/>
  <c r="H7" i="24"/>
  <c r="H30" i="24"/>
  <c r="H20" i="24"/>
  <c r="H33" i="24"/>
  <c r="H28" i="24"/>
  <c r="F1491" i="24"/>
  <c r="F1484" i="24"/>
  <c r="F1488" i="24"/>
  <c r="F1492" i="24"/>
  <c r="F1485" i="24"/>
  <c r="F1478" i="24"/>
  <c r="F1487" i="24"/>
  <c r="F1489" i="24"/>
  <c r="F1490" i="24"/>
  <c r="F1479" i="24"/>
  <c r="F1480" i="24"/>
  <c r="F1481" i="24"/>
  <c r="F1482" i="24"/>
  <c r="F1486" i="24"/>
  <c r="F1483" i="24"/>
  <c r="F1453" i="24"/>
  <c r="F1452" i="24"/>
  <c r="F1451" i="24"/>
  <c r="F1447" i="24"/>
  <c r="F1445" i="24"/>
  <c r="F1449" i="24"/>
  <c r="F1446" i="24"/>
  <c r="F1448" i="24"/>
  <c r="F1450" i="24"/>
  <c r="N1491" i="24" a="1"/>
  <c r="N1484" i="24" a="1"/>
  <c r="N1488" i="24" a="1"/>
  <c r="N1492" i="24" a="1"/>
  <c r="N1485" i="24" a="1"/>
  <c r="N1478" i="24" a="1"/>
  <c r="N1487" i="24" a="1"/>
  <c r="N1489" i="24" a="1"/>
  <c r="N1490" i="24" a="1"/>
  <c r="N1479" i="24" a="1"/>
  <c r="N1480" i="24" a="1"/>
  <c r="N1481" i="24" a="1"/>
  <c r="N1482" i="24" a="1"/>
  <c r="N1486" i="24" a="1"/>
  <c r="N1483" i="24" a="1"/>
  <c r="N1453" i="24" a="1"/>
  <c r="N1452" i="24" a="1"/>
  <c r="N1451" i="24" a="1"/>
  <c r="N1447" i="24" a="1"/>
  <c r="N1445" i="24" a="1"/>
  <c r="N1449" i="24" a="1"/>
  <c r="N1446" i="24" a="1"/>
  <c r="N1448" i="24" a="1"/>
  <c r="N1450" i="24" a="1"/>
  <c r="O1491" i="24" a="1"/>
  <c r="O1484" i="24" a="1"/>
  <c r="O1488" i="24" a="1"/>
  <c r="O1492" i="24" a="1"/>
  <c r="O1485" i="24" a="1"/>
  <c r="O1478" i="24" a="1"/>
  <c r="O1487" i="24" a="1"/>
  <c r="O1489" i="24" a="1"/>
  <c r="O1490" i="24" a="1"/>
  <c r="O1479" i="24" a="1"/>
  <c r="O1480" i="24" a="1"/>
  <c r="O1481" i="24" a="1"/>
  <c r="O1482" i="24" a="1"/>
  <c r="O1486" i="24" a="1"/>
  <c r="O1483" i="24" a="1"/>
  <c r="O1453" i="24" a="1"/>
  <c r="O1452" i="24" a="1"/>
  <c r="O1451" i="24" a="1"/>
  <c r="O1447" i="24" a="1"/>
  <c r="O1445" i="24" a="1"/>
  <c r="O1449" i="24" a="1"/>
  <c r="O1446" i="24" a="1"/>
  <c r="O1448" i="24" a="1"/>
  <c r="O1450" i="24" a="1"/>
  <c r="S1491" i="24" a="1"/>
  <c r="S1484" i="24" a="1"/>
  <c r="S1488" i="24" a="1"/>
  <c r="S1492" i="24" a="1"/>
  <c r="S1485" i="24" a="1"/>
  <c r="S1478" i="24" a="1"/>
  <c r="S1487" i="24" a="1"/>
  <c r="S1489" i="24" a="1"/>
  <c r="S1490" i="24" a="1"/>
  <c r="S1479" i="24" a="1"/>
  <c r="S1480" i="24" a="1"/>
  <c r="S1481" i="24" a="1"/>
  <c r="S1482" i="24" a="1"/>
  <c r="S1486" i="24" a="1"/>
  <c r="S1483" i="24" a="1"/>
  <c r="S1453" i="24" a="1"/>
  <c r="S1452" i="24" a="1"/>
  <c r="S1451" i="24" a="1"/>
  <c r="S1447" i="24" a="1"/>
  <c r="S1445" i="24" a="1"/>
  <c r="S1449" i="24" a="1"/>
  <c r="S1446" i="24" a="1"/>
  <c r="S1448" i="24" a="1"/>
  <c r="S1450" i="24" a="1"/>
  <c r="U1491" i="24"/>
  <c r="U1484" i="24"/>
  <c r="U1488" i="24"/>
  <c r="U1492" i="24"/>
  <c r="U1485" i="24"/>
  <c r="U1478" i="24"/>
  <c r="U1487" i="24"/>
  <c r="U1489" i="24"/>
  <c r="U1490" i="24"/>
  <c r="U1479" i="24"/>
  <c r="U1480" i="24"/>
  <c r="U1481" i="24"/>
  <c r="U1482" i="24"/>
  <c r="U1486" i="24"/>
  <c r="U1483" i="24"/>
  <c r="U1453" i="24"/>
  <c r="U1452" i="24"/>
  <c r="U1451" i="24"/>
  <c r="U1447" i="24"/>
  <c r="U1445" i="24"/>
  <c r="U1449" i="24"/>
  <c r="U1446" i="24"/>
  <c r="U1448" i="24"/>
  <c r="U1450" i="24"/>
  <c r="F1463" i="24"/>
  <c r="F1457" i="24"/>
  <c r="F1471" i="24"/>
  <c r="F1475" i="24"/>
  <c r="F1472" i="24"/>
  <c r="F1464" i="24"/>
  <c r="F1458" i="24"/>
  <c r="F1456" i="24"/>
  <c r="F1465" i="24"/>
  <c r="F1470" i="24"/>
  <c r="F1476" i="24"/>
  <c r="F1477" i="24"/>
  <c r="F1460" i="24"/>
  <c r="F1466" i="24"/>
  <c r="F1474" i="24"/>
  <c r="F1455" i="24"/>
  <c r="F1459" i="24"/>
  <c r="F1461" i="24"/>
  <c r="F1467" i="24"/>
  <c r="F1468" i="24"/>
  <c r="F1454" i="24"/>
  <c r="F1462" i="24"/>
  <c r="F1469" i="24"/>
  <c r="F1473" i="24"/>
  <c r="N1463" i="24" a="1"/>
  <c r="N1457" i="24" a="1"/>
  <c r="N1471" i="24" a="1"/>
  <c r="N1475" i="24" a="1"/>
  <c r="N1472" i="24" a="1"/>
  <c r="N1464" i="24" a="1"/>
  <c r="N1458" i="24" a="1"/>
  <c r="N1456" i="24" a="1"/>
  <c r="N1465" i="24" a="1"/>
  <c r="N1470" i="24" a="1"/>
  <c r="N1476" i="24" a="1"/>
  <c r="N1477" i="24" a="1"/>
  <c r="N1460" i="24" a="1"/>
  <c r="N1466" i="24" a="1"/>
  <c r="N1474" i="24" a="1"/>
  <c r="N1455" i="24" a="1"/>
  <c r="N1459" i="24" a="1"/>
  <c r="N1461" i="24" a="1"/>
  <c r="N1467" i="24" a="1"/>
  <c r="N1468" i="24" a="1"/>
  <c r="N1454" i="24" a="1"/>
  <c r="N1462" i="24" a="1"/>
  <c r="N1469" i="24" a="1"/>
  <c r="N1473" i="24" a="1"/>
  <c r="O1463" i="24" a="1"/>
  <c r="O1457" i="24" a="1"/>
  <c r="O1471" i="24" a="1"/>
  <c r="O1475" i="24" a="1"/>
  <c r="O1472" i="24" a="1"/>
  <c r="O1464" i="24" a="1"/>
  <c r="O1458" i="24" a="1"/>
  <c r="O1456" i="24" a="1"/>
  <c r="O1465" i="24" a="1"/>
  <c r="O1470" i="24" a="1"/>
  <c r="O1476" i="24" a="1"/>
  <c r="O1477" i="24" a="1"/>
  <c r="O1460" i="24" a="1"/>
  <c r="O1466" i="24" a="1"/>
  <c r="O1474" i="24" a="1"/>
  <c r="O1455" i="24" a="1"/>
  <c r="O1459" i="24" a="1"/>
  <c r="O1461" i="24" a="1"/>
  <c r="O1467" i="24" a="1"/>
  <c r="O1468" i="24" a="1"/>
  <c r="O1454" i="24" a="1"/>
  <c r="O1462" i="24" a="1"/>
  <c r="O1469" i="24" a="1"/>
  <c r="O1473" i="24" a="1"/>
  <c r="S1463" i="24" a="1"/>
  <c r="S1457" i="24" a="1"/>
  <c r="S1471" i="24" a="1"/>
  <c r="S1475" i="24" a="1"/>
  <c r="S1472" i="24" a="1"/>
  <c r="S1464" i="24" a="1"/>
  <c r="S1458" i="24" a="1"/>
  <c r="S1456" i="24" a="1"/>
  <c r="S1465" i="24" a="1"/>
  <c r="S1470" i="24" a="1"/>
  <c r="S1476" i="24" a="1"/>
  <c r="S1477" i="24" a="1"/>
  <c r="S1460" i="24" a="1"/>
  <c r="S1466" i="24" a="1"/>
  <c r="S1474" i="24" a="1"/>
  <c r="S1455" i="24" a="1"/>
  <c r="S1459" i="24" a="1"/>
  <c r="S1461" i="24" a="1"/>
  <c r="S1467" i="24" a="1"/>
  <c r="S1468" i="24" a="1"/>
  <c r="S1454" i="24" a="1"/>
  <c r="S1462" i="24" a="1"/>
  <c r="S1469" i="24" a="1"/>
  <c r="S1473" i="24" a="1"/>
  <c r="U1463" i="24"/>
  <c r="U1457" i="24"/>
  <c r="U1471" i="24"/>
  <c r="U1475" i="24"/>
  <c r="U1472" i="24"/>
  <c r="U1464" i="24"/>
  <c r="U1458" i="24"/>
  <c r="U1456" i="24"/>
  <c r="U1465" i="24"/>
  <c r="U1470" i="24"/>
  <c r="U1476" i="24"/>
  <c r="U1477" i="24"/>
  <c r="U1460" i="24"/>
  <c r="U1466" i="24"/>
  <c r="U1474" i="24"/>
  <c r="U1455" i="24"/>
  <c r="U1459" i="24"/>
  <c r="U1461" i="24"/>
  <c r="U1467" i="24"/>
  <c r="U1468" i="24"/>
  <c r="U1454" i="24"/>
  <c r="U1462" i="24"/>
  <c r="U1469" i="24"/>
  <c r="U1473" i="24"/>
  <c r="F1424" i="24"/>
  <c r="N1424" i="24" a="1"/>
  <c r="O1424" i="24" a="1"/>
  <c r="S1424" i="24" a="1"/>
  <c r="U1424" i="24"/>
  <c r="F1440" i="24"/>
  <c r="F1429" i="24"/>
  <c r="F1438" i="24"/>
  <c r="F1441" i="24"/>
  <c r="F1430" i="24"/>
  <c r="F1433" i="24"/>
  <c r="F1442" i="24"/>
  <c r="F1431" i="24"/>
  <c r="F1443" i="24"/>
  <c r="F1427" i="24"/>
  <c r="F1426" i="24"/>
  <c r="F1444" i="24"/>
  <c r="F1435" i="24"/>
  <c r="F1436" i="24"/>
  <c r="F1439" i="24"/>
  <c r="F1428" i="24"/>
  <c r="F1432" i="24"/>
  <c r="F1422" i="24"/>
  <c r="F1434" i="24"/>
  <c r="F1425" i="24"/>
  <c r="F1437" i="24"/>
  <c r="F1423" i="24"/>
  <c r="N1440" i="24" a="1"/>
  <c r="N1429" i="24" a="1"/>
  <c r="N1438" i="24" a="1"/>
  <c r="N1441" i="24" a="1"/>
  <c r="N1430" i="24" a="1"/>
  <c r="N1433" i="24" a="1"/>
  <c r="N1442" i="24" a="1"/>
  <c r="N1431" i="24" a="1"/>
  <c r="N1443" i="24" a="1"/>
  <c r="N1427" i="24" a="1"/>
  <c r="N1426" i="24" a="1"/>
  <c r="N1444" i="24" a="1"/>
  <c r="N1435" i="24" a="1"/>
  <c r="N1436" i="24" a="1"/>
  <c r="N1439" i="24" a="1"/>
  <c r="N1428" i="24" a="1"/>
  <c r="N1432" i="24" a="1"/>
  <c r="N1422" i="24" a="1"/>
  <c r="N1434" i="24" a="1"/>
  <c r="N1425" i="24" a="1"/>
  <c r="N1437" i="24" a="1"/>
  <c r="N1423" i="24" a="1"/>
  <c r="O1440" i="24" a="1"/>
  <c r="O1429" i="24" a="1"/>
  <c r="O1438" i="24" a="1"/>
  <c r="O1441" i="24" a="1"/>
  <c r="O1430" i="24" a="1"/>
  <c r="O1433" i="24" a="1"/>
  <c r="O1442" i="24" a="1"/>
  <c r="O1431" i="24" a="1"/>
  <c r="O1443" i="24" a="1"/>
  <c r="O1427" i="24" a="1"/>
  <c r="O1426" i="24" a="1"/>
  <c r="O1444" i="24" a="1"/>
  <c r="O1435" i="24" a="1"/>
  <c r="O1436" i="24" a="1"/>
  <c r="O1439" i="24" a="1"/>
  <c r="O1428" i="24" a="1"/>
  <c r="O1432" i="24" a="1"/>
  <c r="O1422" i="24" a="1"/>
  <c r="O1434" i="24" a="1"/>
  <c r="O1425" i="24" a="1"/>
  <c r="O1437" i="24" a="1"/>
  <c r="O1423" i="24" a="1"/>
  <c r="S1440" i="24" a="1"/>
  <c r="S1429" i="24" a="1"/>
  <c r="S1438" i="24" a="1"/>
  <c r="S1441" i="24" a="1"/>
  <c r="S1430" i="24" a="1"/>
  <c r="S1433" i="24" a="1"/>
  <c r="S1442" i="24" a="1"/>
  <c r="S1431" i="24" a="1"/>
  <c r="S1443" i="24" a="1"/>
  <c r="S1427" i="24" a="1"/>
  <c r="S1426" i="24" a="1"/>
  <c r="S1444" i="24" a="1"/>
  <c r="S1435" i="24" a="1"/>
  <c r="S1436" i="24" a="1"/>
  <c r="S1439" i="24" a="1"/>
  <c r="S1428" i="24" a="1"/>
  <c r="S1432" i="24" a="1"/>
  <c r="S1422" i="24" a="1"/>
  <c r="S1434" i="24" a="1"/>
  <c r="S1425" i="24" a="1"/>
  <c r="S1437" i="24" a="1"/>
  <c r="S1423" i="24" a="1"/>
  <c r="U1440" i="24"/>
  <c r="U1429" i="24"/>
  <c r="U1438" i="24"/>
  <c r="U1441" i="24"/>
  <c r="U1430" i="24"/>
  <c r="U1433" i="24"/>
  <c r="U1442" i="24"/>
  <c r="U1431" i="24"/>
  <c r="U1443" i="24"/>
  <c r="U1427" i="24"/>
  <c r="U1426" i="24"/>
  <c r="U1444" i="24"/>
  <c r="U1435" i="24"/>
  <c r="U1436" i="24"/>
  <c r="U1439" i="24"/>
  <c r="U1428" i="24"/>
  <c r="U1432" i="24"/>
  <c r="U1422" i="24"/>
  <c r="U1434" i="24"/>
  <c r="U1425" i="24"/>
  <c r="U1437" i="24"/>
  <c r="U1423" i="24"/>
  <c r="F1411" i="24"/>
  <c r="F1417" i="24"/>
  <c r="F1405" i="24"/>
  <c r="F1412" i="24"/>
  <c r="F1416" i="24"/>
  <c r="F1407" i="24"/>
  <c r="F1408" i="24"/>
  <c r="F1404" i="24"/>
  <c r="F1418" i="24"/>
  <c r="F1410" i="24"/>
  <c r="F1406" i="24"/>
  <c r="F1409" i="24"/>
  <c r="F1420" i="24"/>
  <c r="F1415" i="24"/>
  <c r="F1421" i="24"/>
  <c r="F1419" i="24"/>
  <c r="F1413" i="24"/>
  <c r="F1403" i="24"/>
  <c r="F1414" i="24"/>
  <c r="N1416" i="24" a="1"/>
  <c r="N1404" i="24" a="1"/>
  <c r="N1409" i="24" a="1"/>
  <c r="N1415" i="24" a="1"/>
  <c r="N1421" i="24" a="1"/>
  <c r="N1414" i="24" a="1"/>
  <c r="N1411" i="24" a="1"/>
  <c r="N1417" i="24" a="1"/>
  <c r="N1405" i="24" a="1"/>
  <c r="N1412" i="24" a="1"/>
  <c r="N1407" i="24" a="1"/>
  <c r="N1408" i="24" a="1"/>
  <c r="N1418" i="24" a="1"/>
  <c r="N1410" i="24" a="1"/>
  <c r="N1406" i="24" a="1"/>
  <c r="N1420" i="24" a="1"/>
  <c r="N1419" i="24" a="1"/>
  <c r="N1413" i="24" a="1"/>
  <c r="N1403" i="24" a="1"/>
  <c r="O1411" i="24" a="1"/>
  <c r="O1417" i="24" a="1"/>
  <c r="O1405" i="24" a="1"/>
  <c r="O1412" i="24" a="1"/>
  <c r="O1416" i="24" a="1"/>
  <c r="O1407" i="24" a="1"/>
  <c r="O1408" i="24" a="1"/>
  <c r="O1404" i="24" a="1"/>
  <c r="O1418" i="24" a="1"/>
  <c r="O1410" i="24" a="1"/>
  <c r="O1406" i="24" a="1"/>
  <c r="O1409" i="24" a="1"/>
  <c r="O1420" i="24" a="1"/>
  <c r="O1415" i="24" a="1"/>
  <c r="O1421" i="24" a="1"/>
  <c r="O1419" i="24" a="1"/>
  <c r="O1413" i="24" a="1"/>
  <c r="O1403" i="24" a="1"/>
  <c r="O1414" i="24" a="1"/>
  <c r="S1411" i="24" a="1"/>
  <c r="S1417" i="24" a="1"/>
  <c r="S1405" i="24" a="1"/>
  <c r="S1412" i="24" a="1"/>
  <c r="S1416" i="24" a="1"/>
  <c r="S1407" i="24" a="1"/>
  <c r="S1408" i="24" a="1"/>
  <c r="S1404" i="24" a="1"/>
  <c r="S1418" i="24" a="1"/>
  <c r="S1410" i="24" a="1"/>
  <c r="S1406" i="24" a="1"/>
  <c r="S1409" i="24" a="1"/>
  <c r="S1420" i="24" a="1"/>
  <c r="S1415" i="24" a="1"/>
  <c r="S1421" i="24" a="1"/>
  <c r="S1419" i="24" a="1"/>
  <c r="S1413" i="24" a="1"/>
  <c r="S1403" i="24" a="1"/>
  <c r="S1414" i="24" a="1"/>
  <c r="U1411" i="24"/>
  <c r="U1417" i="24"/>
  <c r="U1405" i="24"/>
  <c r="U1412" i="24"/>
  <c r="U1416" i="24"/>
  <c r="U1407" i="24"/>
  <c r="U1408" i="24"/>
  <c r="U1404" i="24"/>
  <c r="U1418" i="24"/>
  <c r="U1410" i="24"/>
  <c r="U1406" i="24"/>
  <c r="U1409" i="24"/>
  <c r="U1420" i="24"/>
  <c r="U1415" i="24"/>
  <c r="U1421" i="24"/>
  <c r="U1419" i="24"/>
  <c r="U1413" i="24"/>
  <c r="U1403" i="24"/>
  <c r="U1414" i="24"/>
  <c r="F1389" i="24"/>
  <c r="F1397" i="24"/>
  <c r="F1382" i="24"/>
  <c r="F1390" i="24"/>
  <c r="F1394" i="24"/>
  <c r="F1385" i="24"/>
  <c r="F1381" i="24"/>
  <c r="F1383" i="24"/>
  <c r="F1378" i="24"/>
  <c r="F1401" i="24"/>
  <c r="F1402" i="24"/>
  <c r="F1393" i="24"/>
  <c r="F1375" i="24"/>
  <c r="F1398" i="24"/>
  <c r="F1386" i="24"/>
  <c r="F1391" i="24"/>
  <c r="F1384" i="24"/>
  <c r="F1392" i="24"/>
  <c r="F1387" i="24"/>
  <c r="F1400" i="24"/>
  <c r="F1395" i="24"/>
  <c r="F1376" i="24"/>
  <c r="F1377" i="24"/>
  <c r="F1399" i="24"/>
  <c r="F1388" i="24"/>
  <c r="F1379" i="24"/>
  <c r="F1396" i="24"/>
  <c r="F1380" i="24"/>
  <c r="N1383" i="24" a="1"/>
  <c r="N1378" i="24" a="1"/>
  <c r="N1401" i="24" a="1"/>
  <c r="N1402" i="24" a="1"/>
  <c r="N1393" i="24" a="1"/>
  <c r="N1398" i="24" a="1"/>
  <c r="N1386" i="24" a="1"/>
  <c r="N1391" i="24" a="1"/>
  <c r="N1376" i="24" a="1"/>
  <c r="N1377" i="24" a="1"/>
  <c r="N1389" i="24" a="1"/>
  <c r="N1397" i="24" a="1"/>
  <c r="N1382" i="24" a="1"/>
  <c r="N1390" i="24" a="1"/>
  <c r="N1394" i="24" a="1"/>
  <c r="N1385" i="24" a="1"/>
  <c r="N1381" i="24" a="1"/>
  <c r="N1375" i="24" a="1"/>
  <c r="N1384" i="24" a="1"/>
  <c r="N1392" i="24" a="1"/>
  <c r="N1387" i="24" a="1"/>
  <c r="N1400" i="24" a="1"/>
  <c r="N1395" i="24" a="1"/>
  <c r="N1399" i="24" a="1"/>
  <c r="N1388" i="24" a="1"/>
  <c r="N1379" i="24" a="1"/>
  <c r="N1396" i="24" a="1"/>
  <c r="N1380" i="24" a="1"/>
  <c r="O1389" i="24" a="1"/>
  <c r="O1397" i="24" a="1"/>
  <c r="O1382" i="24" a="1"/>
  <c r="O1390" i="24" a="1"/>
  <c r="O1394" i="24" a="1"/>
  <c r="O1385" i="24" a="1"/>
  <c r="O1381" i="24" a="1"/>
  <c r="O1383" i="24" a="1"/>
  <c r="O1378" i="24" a="1"/>
  <c r="O1401" i="24" a="1"/>
  <c r="O1402" i="24" a="1"/>
  <c r="O1393" i="24" a="1"/>
  <c r="O1375" i="24" a="1"/>
  <c r="O1398" i="24" a="1"/>
  <c r="O1386" i="24" a="1"/>
  <c r="O1391" i="24" a="1"/>
  <c r="O1384" i="24" a="1"/>
  <c r="O1392" i="24" a="1"/>
  <c r="O1387" i="24" a="1"/>
  <c r="O1400" i="24" a="1"/>
  <c r="O1395" i="24" a="1"/>
  <c r="O1376" i="24" a="1"/>
  <c r="O1377" i="24" a="1"/>
  <c r="O1399" i="24" a="1"/>
  <c r="O1388" i="24" a="1"/>
  <c r="O1379" i="24" a="1"/>
  <c r="O1396" i="24" a="1"/>
  <c r="O1380" i="24" a="1"/>
  <c r="S1389" i="24" a="1"/>
  <c r="S1397" i="24" a="1"/>
  <c r="S1382" i="24" a="1"/>
  <c r="S1390" i="24" a="1"/>
  <c r="S1394" i="24" a="1"/>
  <c r="S1385" i="24" a="1"/>
  <c r="S1381" i="24" a="1"/>
  <c r="S1383" i="24" a="1"/>
  <c r="S1378" i="24" a="1"/>
  <c r="S1401" i="24" a="1"/>
  <c r="S1402" i="24" a="1"/>
  <c r="S1393" i="24" a="1"/>
  <c r="S1375" i="24" a="1"/>
  <c r="S1398" i="24" a="1"/>
  <c r="S1386" i="24" a="1"/>
  <c r="S1391" i="24" a="1"/>
  <c r="S1384" i="24" a="1"/>
  <c r="S1392" i="24" a="1"/>
  <c r="S1387" i="24" a="1"/>
  <c r="S1400" i="24" a="1"/>
  <c r="S1395" i="24" a="1"/>
  <c r="S1376" i="24" a="1"/>
  <c r="S1377" i="24" a="1"/>
  <c r="S1399" i="24" a="1"/>
  <c r="S1388" i="24" a="1"/>
  <c r="S1379" i="24" a="1"/>
  <c r="S1396" i="24" a="1"/>
  <c r="S1380" i="24" a="1"/>
  <c r="U1389" i="24"/>
  <c r="U1397" i="24"/>
  <c r="U1382" i="24"/>
  <c r="U1390" i="24"/>
  <c r="U1394" i="24"/>
  <c r="U1385" i="24"/>
  <c r="U1381" i="24"/>
  <c r="U1383" i="24"/>
  <c r="U1378" i="24"/>
  <c r="U1401" i="24"/>
  <c r="U1402" i="24"/>
  <c r="U1393" i="24"/>
  <c r="U1375" i="24"/>
  <c r="U1398" i="24"/>
  <c r="U1386" i="24"/>
  <c r="U1391" i="24"/>
  <c r="U1384" i="24"/>
  <c r="U1392" i="24"/>
  <c r="U1387" i="24"/>
  <c r="U1400" i="24"/>
  <c r="U1395" i="24"/>
  <c r="U1376" i="24"/>
  <c r="U1377" i="24"/>
  <c r="U1399" i="24"/>
  <c r="U1388" i="24"/>
  <c r="U1379" i="24"/>
  <c r="U1396" i="24"/>
  <c r="U1380" i="24"/>
  <c r="R12" i="44" a="1"/>
  <c r="R11" i="44" a="1"/>
  <c r="R10" i="44" a="1"/>
  <c r="R9" i="44" a="1"/>
  <c r="R8" i="44" a="1"/>
  <c r="B497" i="75"/>
  <c r="B487" i="75"/>
  <c r="B477" i="75"/>
  <c r="B467" i="75"/>
  <c r="B457" i="75"/>
  <c r="B447" i="75"/>
  <c r="N455" i="75" s="1"/>
  <c r="M446" i="75"/>
  <c r="M445" i="75"/>
  <c r="M444" i="75"/>
  <c r="M443" i="75"/>
  <c r="M442" i="75"/>
  <c r="M441" i="75"/>
  <c r="M440" i="75"/>
  <c r="M439" i="75"/>
  <c r="M438" i="75"/>
  <c r="B437" i="75"/>
  <c r="N440" i="75" s="1"/>
  <c r="M436" i="75"/>
  <c r="M435" i="75"/>
  <c r="M434" i="75"/>
  <c r="M433" i="75"/>
  <c r="M432" i="75"/>
  <c r="M431" i="75"/>
  <c r="M430" i="75"/>
  <c r="M429" i="75"/>
  <c r="M428" i="75"/>
  <c r="B427" i="75"/>
  <c r="N429" i="75" s="1"/>
  <c r="M426" i="75"/>
  <c r="M425" i="75"/>
  <c r="M424" i="75"/>
  <c r="M423" i="75"/>
  <c r="M422" i="75"/>
  <c r="M421" i="75"/>
  <c r="M420" i="75"/>
  <c r="M419" i="75"/>
  <c r="M418" i="75"/>
  <c r="B417" i="75"/>
  <c r="N418" i="75" s="1"/>
  <c r="M416" i="75"/>
  <c r="M415" i="75"/>
  <c r="M414" i="75"/>
  <c r="M413" i="75"/>
  <c r="M412" i="75"/>
  <c r="M411" i="75"/>
  <c r="M410" i="75"/>
  <c r="M409" i="75"/>
  <c r="M408" i="75"/>
  <c r="B407" i="75"/>
  <c r="N407" i="75" s="1"/>
  <c r="M406" i="75"/>
  <c r="M405" i="75"/>
  <c r="M404" i="75"/>
  <c r="M403" i="75"/>
  <c r="M402" i="75"/>
  <c r="M401" i="75"/>
  <c r="M400" i="75"/>
  <c r="M399" i="75"/>
  <c r="M398" i="75"/>
  <c r="B397" i="75"/>
  <c r="N404" i="75" s="1"/>
  <c r="M396" i="75"/>
  <c r="M395" i="75"/>
  <c r="M394" i="75"/>
  <c r="M393" i="75"/>
  <c r="M392" i="75"/>
  <c r="M391" i="75"/>
  <c r="M390" i="75"/>
  <c r="M389" i="75"/>
  <c r="M388" i="75"/>
  <c r="B387" i="75"/>
  <c r="N396" i="75" s="1"/>
  <c r="M386" i="75"/>
  <c r="M385" i="75"/>
  <c r="M384" i="75"/>
  <c r="M383" i="75"/>
  <c r="M382" i="75"/>
  <c r="M381" i="75"/>
  <c r="M380" i="75"/>
  <c r="M379" i="75"/>
  <c r="M378" i="75"/>
  <c r="B377" i="75"/>
  <c r="N385" i="75" s="1"/>
  <c r="M376" i="75"/>
  <c r="M375" i="75"/>
  <c r="M374" i="75"/>
  <c r="M373" i="75"/>
  <c r="M372" i="75"/>
  <c r="M371" i="75"/>
  <c r="M370" i="75"/>
  <c r="M369" i="75"/>
  <c r="M368" i="75"/>
  <c r="B367" i="75"/>
  <c r="N374" i="75" s="1"/>
  <c r="M366" i="75"/>
  <c r="M365" i="75"/>
  <c r="M364" i="75"/>
  <c r="M363" i="75"/>
  <c r="M362" i="75"/>
  <c r="M361" i="75"/>
  <c r="M360" i="75"/>
  <c r="M359" i="75"/>
  <c r="M358" i="75"/>
  <c r="B357" i="75"/>
  <c r="N363" i="75" s="1"/>
  <c r="M356" i="75"/>
  <c r="M355" i="75"/>
  <c r="M354" i="75"/>
  <c r="M353" i="75"/>
  <c r="M352" i="75"/>
  <c r="M351" i="75"/>
  <c r="M350" i="75"/>
  <c r="M349" i="75"/>
  <c r="M348" i="75"/>
  <c r="B347" i="75"/>
  <c r="N352" i="75" s="1"/>
  <c r="M346" i="75"/>
  <c r="M345" i="75"/>
  <c r="M344" i="75"/>
  <c r="M343" i="75"/>
  <c r="M342" i="75"/>
  <c r="M341" i="75"/>
  <c r="M340" i="75"/>
  <c r="M339" i="75"/>
  <c r="M338" i="75"/>
  <c r="B337" i="75"/>
  <c r="N341" i="75" s="1"/>
  <c r="B325" i="75"/>
  <c r="N325" i="75" s="1"/>
  <c r="L318" i="75"/>
  <c r="N127" i="75"/>
  <c r="L3" i="75"/>
  <c r="J160" i="70"/>
  <c r="I160" i="70"/>
  <c r="G160" i="70"/>
  <c r="F160" i="70"/>
  <c r="E160" i="70"/>
  <c r="D160" i="70"/>
  <c r="C160" i="70"/>
  <c r="B160" i="70"/>
  <c r="A160" i="70"/>
  <c r="J159" i="70"/>
  <c r="I159" i="70"/>
  <c r="G159" i="70"/>
  <c r="F159" i="70"/>
  <c r="E159" i="70"/>
  <c r="D159" i="70"/>
  <c r="C159" i="70"/>
  <c r="B159" i="70"/>
  <c r="A159" i="70"/>
  <c r="J158" i="70"/>
  <c r="I158" i="70"/>
  <c r="G158" i="70"/>
  <c r="F158" i="70"/>
  <c r="E158" i="70"/>
  <c r="D158" i="70"/>
  <c r="C158" i="70"/>
  <c r="B158" i="70"/>
  <c r="A158" i="70"/>
  <c r="J157" i="70"/>
  <c r="I157" i="70"/>
  <c r="G157" i="70"/>
  <c r="E157" i="70"/>
  <c r="D157" i="70"/>
  <c r="C157" i="70"/>
  <c r="B157" i="70"/>
  <c r="A157" i="70"/>
  <c r="J156" i="70"/>
  <c r="I156" i="70"/>
  <c r="G156" i="70"/>
  <c r="E156" i="70"/>
  <c r="D156" i="70"/>
  <c r="C156" i="70"/>
  <c r="B156" i="70"/>
  <c r="A156" i="70"/>
  <c r="J155" i="70"/>
  <c r="I155" i="70"/>
  <c r="G155" i="70"/>
  <c r="E155" i="70"/>
  <c r="D155" i="70"/>
  <c r="C155" i="70"/>
  <c r="B155" i="70"/>
  <c r="A155" i="70"/>
  <c r="J154" i="70"/>
  <c r="I154" i="70"/>
  <c r="G154" i="70"/>
  <c r="E154" i="70"/>
  <c r="D154" i="70"/>
  <c r="C154" i="70"/>
  <c r="B154" i="70"/>
  <c r="A154" i="70"/>
  <c r="J153" i="70"/>
  <c r="I153" i="70"/>
  <c r="G153" i="70"/>
  <c r="E153" i="70"/>
  <c r="D153" i="70"/>
  <c r="C153" i="70"/>
  <c r="B153" i="70"/>
  <c r="A153" i="70"/>
  <c r="J152" i="70"/>
  <c r="I152" i="70"/>
  <c r="G152" i="70"/>
  <c r="E152" i="70"/>
  <c r="D152" i="70"/>
  <c r="C152" i="70"/>
  <c r="B152" i="70"/>
  <c r="A152" i="70"/>
  <c r="J151" i="70"/>
  <c r="I151" i="70"/>
  <c r="G151" i="70"/>
  <c r="E151" i="70"/>
  <c r="D151" i="70"/>
  <c r="C151" i="70"/>
  <c r="B151" i="70"/>
  <c r="A151" i="70"/>
  <c r="J150" i="70"/>
  <c r="I150" i="70"/>
  <c r="G150" i="70"/>
  <c r="E150" i="70"/>
  <c r="D150" i="70"/>
  <c r="C150" i="70"/>
  <c r="B150" i="70"/>
  <c r="A150" i="70"/>
  <c r="J149" i="70"/>
  <c r="I149" i="70"/>
  <c r="G149" i="70"/>
  <c r="E149" i="70"/>
  <c r="D149" i="70"/>
  <c r="C149" i="70"/>
  <c r="B149" i="70"/>
  <c r="A149" i="70"/>
  <c r="J148" i="70"/>
  <c r="I148" i="70"/>
  <c r="G148" i="70"/>
  <c r="E148" i="70"/>
  <c r="D148" i="70"/>
  <c r="C148" i="70"/>
  <c r="B148" i="70"/>
  <c r="A148" i="70"/>
  <c r="J147" i="70"/>
  <c r="I147" i="70"/>
  <c r="G147" i="70"/>
  <c r="E147" i="70"/>
  <c r="D147" i="70"/>
  <c r="C147" i="70"/>
  <c r="B147" i="70"/>
  <c r="A147" i="70"/>
  <c r="J146" i="70"/>
  <c r="I146" i="70"/>
  <c r="G146" i="70"/>
  <c r="E146" i="70"/>
  <c r="D146" i="70"/>
  <c r="C146" i="70"/>
  <c r="B146" i="70"/>
  <c r="A146" i="70"/>
  <c r="J145" i="70"/>
  <c r="I145" i="70"/>
  <c r="G145" i="70"/>
  <c r="E145" i="70"/>
  <c r="D145" i="70"/>
  <c r="C145" i="70"/>
  <c r="B145" i="70"/>
  <c r="A145" i="70"/>
  <c r="J144" i="70"/>
  <c r="I144" i="70"/>
  <c r="G144" i="70"/>
  <c r="E144" i="70"/>
  <c r="D144" i="70"/>
  <c r="C144" i="70"/>
  <c r="B144" i="70"/>
  <c r="A144" i="70"/>
  <c r="J143" i="70"/>
  <c r="I143" i="70"/>
  <c r="G143" i="70"/>
  <c r="E143" i="70"/>
  <c r="D143" i="70"/>
  <c r="C143" i="70"/>
  <c r="B143" i="70"/>
  <c r="A143" i="70"/>
  <c r="J142" i="70"/>
  <c r="I142" i="70"/>
  <c r="G142" i="70"/>
  <c r="E142" i="70"/>
  <c r="D142" i="70"/>
  <c r="C142" i="70"/>
  <c r="B142" i="70"/>
  <c r="A142" i="70"/>
  <c r="J141" i="70"/>
  <c r="I141" i="70"/>
  <c r="G141" i="70"/>
  <c r="E141" i="70"/>
  <c r="D141" i="70"/>
  <c r="C141" i="70"/>
  <c r="B141" i="70"/>
  <c r="A141" i="70"/>
  <c r="J140" i="70"/>
  <c r="I140" i="70"/>
  <c r="G140" i="70"/>
  <c r="E140" i="70"/>
  <c r="D140" i="70"/>
  <c r="C140" i="70"/>
  <c r="B140" i="70"/>
  <c r="A140" i="70"/>
  <c r="J139" i="70"/>
  <c r="I139" i="70"/>
  <c r="G139" i="70"/>
  <c r="E139" i="70"/>
  <c r="D139" i="70"/>
  <c r="C139" i="70"/>
  <c r="B139" i="70"/>
  <c r="A139" i="70"/>
  <c r="J138" i="70"/>
  <c r="I138" i="70"/>
  <c r="G138" i="70"/>
  <c r="E138" i="70"/>
  <c r="D138" i="70"/>
  <c r="C138" i="70"/>
  <c r="B138" i="70"/>
  <c r="A138" i="70"/>
  <c r="J137" i="70"/>
  <c r="I137" i="70"/>
  <c r="G137" i="70"/>
  <c r="E137" i="70"/>
  <c r="D137" i="70"/>
  <c r="C137" i="70"/>
  <c r="B137" i="70"/>
  <c r="A137" i="70"/>
  <c r="J136" i="70"/>
  <c r="I136" i="70"/>
  <c r="G136" i="70"/>
  <c r="E136" i="70"/>
  <c r="D136" i="70"/>
  <c r="C136" i="70"/>
  <c r="B136" i="70"/>
  <c r="A136" i="70"/>
  <c r="J135" i="70"/>
  <c r="I135" i="70"/>
  <c r="G135" i="70"/>
  <c r="E135" i="70"/>
  <c r="D135" i="70"/>
  <c r="C135" i="70"/>
  <c r="B135" i="70"/>
  <c r="A135" i="70"/>
  <c r="J134" i="70"/>
  <c r="I134" i="70"/>
  <c r="G134" i="70"/>
  <c r="E134" i="70"/>
  <c r="D134" i="70"/>
  <c r="C134" i="70"/>
  <c r="B134" i="70"/>
  <c r="A134" i="70"/>
  <c r="J133" i="70"/>
  <c r="I133" i="70"/>
  <c r="G133" i="70"/>
  <c r="E133" i="70"/>
  <c r="D133" i="70"/>
  <c r="C133" i="70"/>
  <c r="B133" i="70"/>
  <c r="A133" i="70"/>
  <c r="J132" i="70"/>
  <c r="I132" i="70"/>
  <c r="G132" i="70"/>
  <c r="E132" i="70"/>
  <c r="D132" i="70"/>
  <c r="C132" i="70"/>
  <c r="B132" i="70"/>
  <c r="A132" i="70"/>
  <c r="J131" i="70"/>
  <c r="I131" i="70"/>
  <c r="G131" i="70"/>
  <c r="E131" i="70"/>
  <c r="D131" i="70"/>
  <c r="C131" i="70"/>
  <c r="B131" i="70"/>
  <c r="A131" i="70"/>
  <c r="J130" i="70"/>
  <c r="I130" i="70"/>
  <c r="G130" i="70"/>
  <c r="E130" i="70"/>
  <c r="D130" i="70"/>
  <c r="C130" i="70"/>
  <c r="B130" i="70"/>
  <c r="A130" i="70"/>
  <c r="J129" i="70"/>
  <c r="I129" i="70"/>
  <c r="G129" i="70"/>
  <c r="E129" i="70"/>
  <c r="D129" i="70"/>
  <c r="C129" i="70"/>
  <c r="B129" i="70"/>
  <c r="A129" i="70"/>
  <c r="J128" i="70"/>
  <c r="I128" i="70"/>
  <c r="G128" i="70"/>
  <c r="E128" i="70"/>
  <c r="D128" i="70"/>
  <c r="C128" i="70"/>
  <c r="B128" i="70"/>
  <c r="A128" i="70"/>
  <c r="J127" i="70"/>
  <c r="I127" i="70"/>
  <c r="G127" i="70"/>
  <c r="E127" i="70"/>
  <c r="D127" i="70"/>
  <c r="C127" i="70"/>
  <c r="B127" i="70"/>
  <c r="A127" i="70"/>
  <c r="J126" i="70"/>
  <c r="I126" i="70"/>
  <c r="G126" i="70"/>
  <c r="E126" i="70"/>
  <c r="D126" i="70"/>
  <c r="C126" i="70"/>
  <c r="B126" i="70"/>
  <c r="A126" i="70"/>
  <c r="J125" i="70"/>
  <c r="I125" i="70"/>
  <c r="G125" i="70"/>
  <c r="E125" i="70"/>
  <c r="D125" i="70"/>
  <c r="C125" i="70"/>
  <c r="B125" i="70"/>
  <c r="A125" i="70"/>
  <c r="J124" i="70"/>
  <c r="I124" i="70"/>
  <c r="G124" i="70"/>
  <c r="E124" i="70"/>
  <c r="D124" i="70"/>
  <c r="C124" i="70"/>
  <c r="B124" i="70"/>
  <c r="A124" i="70"/>
  <c r="J123" i="70"/>
  <c r="I123" i="70"/>
  <c r="G123" i="70"/>
  <c r="E123" i="70"/>
  <c r="D123" i="70"/>
  <c r="C123" i="70"/>
  <c r="B123" i="70"/>
  <c r="A123" i="70"/>
  <c r="J122" i="70"/>
  <c r="I122" i="70"/>
  <c r="G122" i="70"/>
  <c r="E122" i="70"/>
  <c r="D122" i="70"/>
  <c r="C122" i="70"/>
  <c r="B122" i="70"/>
  <c r="A122" i="70"/>
  <c r="J121" i="70"/>
  <c r="I121" i="70"/>
  <c r="G121" i="70"/>
  <c r="E121" i="70"/>
  <c r="D121" i="70"/>
  <c r="C121" i="70"/>
  <c r="B121" i="70"/>
  <c r="A121" i="70"/>
  <c r="J120" i="70"/>
  <c r="I120" i="70"/>
  <c r="G120" i="70"/>
  <c r="E120" i="70"/>
  <c r="D120" i="70"/>
  <c r="C120" i="70"/>
  <c r="B120" i="70"/>
  <c r="A120" i="70"/>
  <c r="J119" i="70"/>
  <c r="I119" i="70"/>
  <c r="G119" i="70"/>
  <c r="E119" i="70"/>
  <c r="D119" i="70"/>
  <c r="C119" i="70"/>
  <c r="B119" i="70"/>
  <c r="A119" i="70"/>
  <c r="J118" i="70"/>
  <c r="I118" i="70"/>
  <c r="G118" i="70"/>
  <c r="E118" i="70"/>
  <c r="D118" i="70"/>
  <c r="C118" i="70"/>
  <c r="B118" i="70"/>
  <c r="A118" i="70"/>
  <c r="J117" i="70"/>
  <c r="I117" i="70"/>
  <c r="G117" i="70"/>
  <c r="E117" i="70"/>
  <c r="D117" i="70"/>
  <c r="C117" i="70"/>
  <c r="B117" i="70"/>
  <c r="A117" i="70"/>
  <c r="J116" i="70"/>
  <c r="I116" i="70"/>
  <c r="G116" i="70"/>
  <c r="E116" i="70"/>
  <c r="D116" i="70"/>
  <c r="C116" i="70"/>
  <c r="B116" i="70"/>
  <c r="A116" i="70"/>
  <c r="J115" i="70"/>
  <c r="I115" i="70"/>
  <c r="G115" i="70"/>
  <c r="E115" i="70"/>
  <c r="D115" i="70"/>
  <c r="C115" i="70"/>
  <c r="B115" i="70"/>
  <c r="A115" i="70"/>
  <c r="J114" i="70"/>
  <c r="I114" i="70"/>
  <c r="G114" i="70"/>
  <c r="E114" i="70"/>
  <c r="D114" i="70"/>
  <c r="C114" i="70"/>
  <c r="B114" i="70"/>
  <c r="A114" i="70"/>
  <c r="J113" i="70"/>
  <c r="I113" i="70"/>
  <c r="G113" i="70"/>
  <c r="E113" i="70"/>
  <c r="D113" i="70"/>
  <c r="C113" i="70"/>
  <c r="B113" i="70"/>
  <c r="A113" i="70"/>
  <c r="J112" i="70"/>
  <c r="I112" i="70"/>
  <c r="G112" i="70"/>
  <c r="E112" i="70"/>
  <c r="D112" i="70"/>
  <c r="C112" i="70"/>
  <c r="B112" i="70"/>
  <c r="A112" i="70"/>
  <c r="J111" i="70"/>
  <c r="I111" i="70"/>
  <c r="G111" i="70"/>
  <c r="E111" i="70"/>
  <c r="D111" i="70"/>
  <c r="C111" i="70"/>
  <c r="B111" i="70"/>
  <c r="A111" i="70"/>
  <c r="J110" i="70"/>
  <c r="I110" i="70"/>
  <c r="G110" i="70"/>
  <c r="E110" i="70"/>
  <c r="D110" i="70"/>
  <c r="C110" i="70"/>
  <c r="B110" i="70"/>
  <c r="A110" i="70"/>
  <c r="J109" i="70"/>
  <c r="I109" i="70"/>
  <c r="G109" i="70"/>
  <c r="E109" i="70"/>
  <c r="D109" i="70"/>
  <c r="C109" i="70"/>
  <c r="B109" i="70"/>
  <c r="A109" i="70"/>
  <c r="J108" i="70"/>
  <c r="I108" i="70"/>
  <c r="G108" i="70"/>
  <c r="E108" i="70"/>
  <c r="D108" i="70"/>
  <c r="C108" i="70"/>
  <c r="B108" i="70"/>
  <c r="A108" i="70"/>
  <c r="J107" i="70"/>
  <c r="I107" i="70"/>
  <c r="G107" i="70"/>
  <c r="E107" i="70"/>
  <c r="D107" i="70"/>
  <c r="C107" i="70"/>
  <c r="B107" i="70"/>
  <c r="A107" i="70"/>
  <c r="J106" i="70"/>
  <c r="I106" i="70"/>
  <c r="G106" i="70"/>
  <c r="E106" i="70"/>
  <c r="D106" i="70"/>
  <c r="C106" i="70"/>
  <c r="B106" i="70"/>
  <c r="A106" i="70"/>
  <c r="J105" i="70"/>
  <c r="I105" i="70"/>
  <c r="G105" i="70"/>
  <c r="E105" i="70"/>
  <c r="D105" i="70"/>
  <c r="C105" i="70"/>
  <c r="B105" i="70"/>
  <c r="A105" i="70"/>
  <c r="J104" i="70"/>
  <c r="I104" i="70"/>
  <c r="G104" i="70"/>
  <c r="E104" i="70"/>
  <c r="D104" i="70"/>
  <c r="C104" i="70"/>
  <c r="B104" i="70"/>
  <c r="A104" i="70"/>
  <c r="J103" i="70"/>
  <c r="I103" i="70"/>
  <c r="G103" i="70"/>
  <c r="E103" i="70"/>
  <c r="D103" i="70"/>
  <c r="C103" i="70"/>
  <c r="B103" i="70"/>
  <c r="A103" i="70"/>
  <c r="J102" i="70"/>
  <c r="I102" i="70"/>
  <c r="G102" i="70"/>
  <c r="E102" i="70"/>
  <c r="D102" i="70"/>
  <c r="C102" i="70"/>
  <c r="B102" i="70"/>
  <c r="A102" i="70"/>
  <c r="J101" i="70"/>
  <c r="I101" i="70"/>
  <c r="G101" i="70"/>
  <c r="E101" i="70"/>
  <c r="D101" i="70"/>
  <c r="C101" i="70"/>
  <c r="B101" i="70"/>
  <c r="A101" i="70"/>
  <c r="J100" i="70"/>
  <c r="I100" i="70"/>
  <c r="G100" i="70"/>
  <c r="E100" i="70"/>
  <c r="D100" i="70"/>
  <c r="C100" i="70"/>
  <c r="B100" i="70"/>
  <c r="A100" i="70"/>
  <c r="J99" i="70"/>
  <c r="I99" i="70"/>
  <c r="G99" i="70"/>
  <c r="E99" i="70"/>
  <c r="D99" i="70"/>
  <c r="C99" i="70"/>
  <c r="B99" i="70"/>
  <c r="A99" i="70"/>
  <c r="J98" i="70"/>
  <c r="I98" i="70"/>
  <c r="G98" i="70"/>
  <c r="E98" i="70"/>
  <c r="D98" i="70"/>
  <c r="C98" i="70"/>
  <c r="B98" i="70"/>
  <c r="A98" i="70"/>
  <c r="J97" i="70"/>
  <c r="I97" i="70"/>
  <c r="G97" i="70"/>
  <c r="E97" i="70"/>
  <c r="D97" i="70"/>
  <c r="C97" i="70"/>
  <c r="B97" i="70"/>
  <c r="A97" i="70"/>
  <c r="J96" i="70"/>
  <c r="I96" i="70"/>
  <c r="G96" i="70"/>
  <c r="E96" i="70"/>
  <c r="D96" i="70"/>
  <c r="C96" i="70"/>
  <c r="B96" i="70"/>
  <c r="A96" i="70"/>
  <c r="J95" i="70"/>
  <c r="I95" i="70"/>
  <c r="G95" i="70"/>
  <c r="E95" i="70"/>
  <c r="D95" i="70"/>
  <c r="C95" i="70"/>
  <c r="B95" i="70"/>
  <c r="A95" i="70"/>
  <c r="J94" i="70"/>
  <c r="I94" i="70"/>
  <c r="G94" i="70"/>
  <c r="E94" i="70"/>
  <c r="D94" i="70"/>
  <c r="C94" i="70"/>
  <c r="B94" i="70"/>
  <c r="A94" i="70"/>
  <c r="J93" i="70"/>
  <c r="I93" i="70"/>
  <c r="G93" i="70"/>
  <c r="E93" i="70"/>
  <c r="D93" i="70"/>
  <c r="C93" i="70"/>
  <c r="B93" i="70"/>
  <c r="A93" i="70"/>
  <c r="J92" i="70"/>
  <c r="I92" i="70"/>
  <c r="G92" i="70"/>
  <c r="E92" i="70"/>
  <c r="D92" i="70"/>
  <c r="C92" i="70"/>
  <c r="B92" i="70"/>
  <c r="A92" i="70"/>
  <c r="J91" i="70"/>
  <c r="I91" i="70"/>
  <c r="G91" i="70"/>
  <c r="E91" i="70"/>
  <c r="D91" i="70"/>
  <c r="C91" i="70"/>
  <c r="B91" i="70"/>
  <c r="A91" i="70"/>
  <c r="J90" i="70"/>
  <c r="I90" i="70"/>
  <c r="G90" i="70"/>
  <c r="E90" i="70"/>
  <c r="D90" i="70"/>
  <c r="C90" i="70"/>
  <c r="B90" i="70"/>
  <c r="A90" i="70"/>
  <c r="J89" i="70"/>
  <c r="I89" i="70"/>
  <c r="G89" i="70"/>
  <c r="E89" i="70"/>
  <c r="D89" i="70"/>
  <c r="C89" i="70"/>
  <c r="B89" i="70"/>
  <c r="A89" i="70"/>
  <c r="J88" i="70"/>
  <c r="I88" i="70"/>
  <c r="G88" i="70"/>
  <c r="E88" i="70"/>
  <c r="D88" i="70"/>
  <c r="C88" i="70"/>
  <c r="B88" i="70"/>
  <c r="A88" i="70"/>
  <c r="J87" i="70"/>
  <c r="I87" i="70"/>
  <c r="G87" i="70"/>
  <c r="E87" i="70"/>
  <c r="D87" i="70"/>
  <c r="C87" i="70"/>
  <c r="B87" i="70"/>
  <c r="A87" i="70"/>
  <c r="J86" i="70"/>
  <c r="I86" i="70"/>
  <c r="G86" i="70"/>
  <c r="E86" i="70"/>
  <c r="D86" i="70"/>
  <c r="C86" i="70"/>
  <c r="B86" i="70"/>
  <c r="A86" i="70"/>
  <c r="J85" i="70"/>
  <c r="I85" i="70"/>
  <c r="G85" i="70"/>
  <c r="E85" i="70"/>
  <c r="D85" i="70"/>
  <c r="C85" i="70"/>
  <c r="B85" i="70"/>
  <c r="A85" i="70"/>
  <c r="J84" i="70"/>
  <c r="I84" i="70"/>
  <c r="G84" i="70"/>
  <c r="E84" i="70"/>
  <c r="D84" i="70"/>
  <c r="C84" i="70"/>
  <c r="B84" i="70"/>
  <c r="A84" i="70"/>
  <c r="J83" i="70"/>
  <c r="I83" i="70"/>
  <c r="G83" i="70"/>
  <c r="E83" i="70"/>
  <c r="D83" i="70"/>
  <c r="C83" i="70"/>
  <c r="B83" i="70"/>
  <c r="A83" i="70"/>
  <c r="J82" i="70"/>
  <c r="I82" i="70"/>
  <c r="G82" i="70"/>
  <c r="E82" i="70"/>
  <c r="D82" i="70"/>
  <c r="C82" i="70"/>
  <c r="B82" i="70"/>
  <c r="A82" i="70"/>
  <c r="J81" i="70"/>
  <c r="I81" i="70"/>
  <c r="G81" i="70"/>
  <c r="E81" i="70"/>
  <c r="D81" i="70"/>
  <c r="C81" i="70"/>
  <c r="B81" i="70"/>
  <c r="A81" i="70"/>
  <c r="J80" i="70"/>
  <c r="I80" i="70"/>
  <c r="G80" i="70"/>
  <c r="E80" i="70"/>
  <c r="D80" i="70"/>
  <c r="C80" i="70"/>
  <c r="B80" i="70"/>
  <c r="A80" i="70"/>
  <c r="J79" i="70"/>
  <c r="I79" i="70"/>
  <c r="G79" i="70"/>
  <c r="E79" i="70"/>
  <c r="D79" i="70"/>
  <c r="C79" i="70"/>
  <c r="B79" i="70"/>
  <c r="A79" i="70"/>
  <c r="J78" i="70"/>
  <c r="I78" i="70"/>
  <c r="G78" i="70"/>
  <c r="E78" i="70"/>
  <c r="D78" i="70"/>
  <c r="C78" i="70"/>
  <c r="B78" i="70"/>
  <c r="A78" i="70"/>
  <c r="J77" i="70"/>
  <c r="I77" i="70"/>
  <c r="G77" i="70"/>
  <c r="E77" i="70"/>
  <c r="D77" i="70"/>
  <c r="C77" i="70"/>
  <c r="B77" i="70"/>
  <c r="A77" i="70"/>
  <c r="J76" i="70"/>
  <c r="I76" i="70"/>
  <c r="G76" i="70"/>
  <c r="E76" i="70"/>
  <c r="D76" i="70"/>
  <c r="C76" i="70"/>
  <c r="B76" i="70"/>
  <c r="A76" i="70"/>
  <c r="J75" i="70"/>
  <c r="I75" i="70"/>
  <c r="G75" i="70"/>
  <c r="E75" i="70"/>
  <c r="D75" i="70"/>
  <c r="C75" i="70"/>
  <c r="B75" i="70"/>
  <c r="A75" i="70"/>
  <c r="J74" i="70"/>
  <c r="I74" i="70"/>
  <c r="G74" i="70"/>
  <c r="E74" i="70"/>
  <c r="D74" i="70"/>
  <c r="C74" i="70"/>
  <c r="B74" i="70"/>
  <c r="A74" i="70"/>
  <c r="J73" i="70"/>
  <c r="I73" i="70"/>
  <c r="G73" i="70"/>
  <c r="E73" i="70"/>
  <c r="D73" i="70"/>
  <c r="C73" i="70"/>
  <c r="B73" i="70"/>
  <c r="A73" i="70"/>
  <c r="J72" i="70"/>
  <c r="I72" i="70"/>
  <c r="G72" i="70"/>
  <c r="E72" i="70"/>
  <c r="D72" i="70"/>
  <c r="C72" i="70"/>
  <c r="B72" i="70"/>
  <c r="A72" i="70"/>
  <c r="J71" i="70"/>
  <c r="I71" i="70"/>
  <c r="G71" i="70"/>
  <c r="E71" i="70"/>
  <c r="D71" i="70"/>
  <c r="C71" i="70"/>
  <c r="B71" i="70"/>
  <c r="A71" i="70"/>
  <c r="J70" i="70"/>
  <c r="I70" i="70"/>
  <c r="G70" i="70"/>
  <c r="E70" i="70"/>
  <c r="D70" i="70"/>
  <c r="C70" i="70"/>
  <c r="B70" i="70"/>
  <c r="A70" i="70"/>
  <c r="J69" i="70"/>
  <c r="I69" i="70"/>
  <c r="G69" i="70"/>
  <c r="E69" i="70"/>
  <c r="D69" i="70"/>
  <c r="C69" i="70"/>
  <c r="B69" i="70"/>
  <c r="A69" i="70"/>
  <c r="J68" i="70"/>
  <c r="I68" i="70"/>
  <c r="G68" i="70"/>
  <c r="E68" i="70"/>
  <c r="D68" i="70"/>
  <c r="C68" i="70"/>
  <c r="B68" i="70"/>
  <c r="A68" i="70"/>
  <c r="J67" i="70"/>
  <c r="I67" i="70"/>
  <c r="G67" i="70"/>
  <c r="E67" i="70"/>
  <c r="D67" i="70"/>
  <c r="C67" i="70"/>
  <c r="B67" i="70"/>
  <c r="A67" i="70"/>
  <c r="J66" i="70"/>
  <c r="I66" i="70"/>
  <c r="G66" i="70"/>
  <c r="E66" i="70"/>
  <c r="D66" i="70"/>
  <c r="C66" i="70"/>
  <c r="B66" i="70"/>
  <c r="A66" i="70"/>
  <c r="J65" i="70"/>
  <c r="I65" i="70"/>
  <c r="G65" i="70"/>
  <c r="E65" i="70"/>
  <c r="D65" i="70"/>
  <c r="C65" i="70"/>
  <c r="B65" i="70"/>
  <c r="A65" i="70"/>
  <c r="J64" i="70"/>
  <c r="I64" i="70"/>
  <c r="G64" i="70"/>
  <c r="E64" i="70"/>
  <c r="D64" i="70"/>
  <c r="C64" i="70"/>
  <c r="B64" i="70"/>
  <c r="A64" i="70"/>
  <c r="J63" i="70"/>
  <c r="I63" i="70"/>
  <c r="G63" i="70"/>
  <c r="E63" i="70"/>
  <c r="D63" i="70"/>
  <c r="C63" i="70"/>
  <c r="B63" i="70"/>
  <c r="A63" i="70"/>
  <c r="J62" i="70"/>
  <c r="I62" i="70"/>
  <c r="G62" i="70"/>
  <c r="E62" i="70"/>
  <c r="D62" i="70"/>
  <c r="C62" i="70"/>
  <c r="B62" i="70"/>
  <c r="A62" i="70"/>
  <c r="J61" i="70"/>
  <c r="I61" i="70"/>
  <c r="G61" i="70"/>
  <c r="E61" i="70"/>
  <c r="D61" i="70"/>
  <c r="C61" i="70"/>
  <c r="B61" i="70"/>
  <c r="A61" i="70"/>
  <c r="J60" i="70"/>
  <c r="I60" i="70"/>
  <c r="G60" i="70"/>
  <c r="E60" i="70"/>
  <c r="D60" i="70"/>
  <c r="C60" i="70"/>
  <c r="B60" i="70"/>
  <c r="A60" i="70"/>
  <c r="J59" i="70"/>
  <c r="I59" i="70"/>
  <c r="G59" i="70"/>
  <c r="E59" i="70"/>
  <c r="D59" i="70"/>
  <c r="C59" i="70"/>
  <c r="B59" i="70"/>
  <c r="A59" i="70"/>
  <c r="J58" i="70"/>
  <c r="I58" i="70"/>
  <c r="G58" i="70"/>
  <c r="E58" i="70"/>
  <c r="D58" i="70"/>
  <c r="C58" i="70"/>
  <c r="B58" i="70"/>
  <c r="A58" i="70"/>
  <c r="J57" i="70"/>
  <c r="I57" i="70"/>
  <c r="G57" i="70"/>
  <c r="E57" i="70"/>
  <c r="D57" i="70"/>
  <c r="C57" i="70"/>
  <c r="B57" i="70"/>
  <c r="A57" i="70"/>
  <c r="J56" i="70"/>
  <c r="I56" i="70"/>
  <c r="G56" i="70"/>
  <c r="E56" i="70"/>
  <c r="D56" i="70"/>
  <c r="C56" i="70"/>
  <c r="B56" i="70"/>
  <c r="A56" i="70"/>
  <c r="J55" i="70"/>
  <c r="I55" i="70"/>
  <c r="G55" i="70"/>
  <c r="E55" i="70"/>
  <c r="D55" i="70"/>
  <c r="C55" i="70"/>
  <c r="B55" i="70"/>
  <c r="A55" i="70"/>
  <c r="J54" i="70"/>
  <c r="I54" i="70"/>
  <c r="G54" i="70"/>
  <c r="E54" i="70"/>
  <c r="D54" i="70"/>
  <c r="C54" i="70"/>
  <c r="B54" i="70"/>
  <c r="A54" i="70"/>
  <c r="J53" i="70"/>
  <c r="I53" i="70"/>
  <c r="G53" i="70"/>
  <c r="E53" i="70"/>
  <c r="D53" i="70"/>
  <c r="C53" i="70"/>
  <c r="B53" i="70"/>
  <c r="A53" i="70"/>
  <c r="J52" i="70"/>
  <c r="I52" i="70"/>
  <c r="G52" i="70"/>
  <c r="E52" i="70"/>
  <c r="D52" i="70"/>
  <c r="C52" i="70"/>
  <c r="B52" i="70"/>
  <c r="A52" i="70"/>
  <c r="J51" i="70"/>
  <c r="I51" i="70"/>
  <c r="G51" i="70"/>
  <c r="E51" i="70"/>
  <c r="D51" i="70"/>
  <c r="C51" i="70"/>
  <c r="B51" i="70"/>
  <c r="A51" i="70"/>
  <c r="J50" i="70"/>
  <c r="I50" i="70"/>
  <c r="G50" i="70"/>
  <c r="E50" i="70"/>
  <c r="D50" i="70"/>
  <c r="C50" i="70"/>
  <c r="B50" i="70"/>
  <c r="A50" i="70"/>
  <c r="J49" i="70"/>
  <c r="I49" i="70"/>
  <c r="G49" i="70"/>
  <c r="E49" i="70"/>
  <c r="D49" i="70"/>
  <c r="C49" i="70"/>
  <c r="B49" i="70"/>
  <c r="A49" i="70"/>
  <c r="J48" i="70"/>
  <c r="I48" i="70"/>
  <c r="G48" i="70"/>
  <c r="E48" i="70"/>
  <c r="D48" i="70"/>
  <c r="C48" i="70"/>
  <c r="B48" i="70"/>
  <c r="A48" i="70"/>
  <c r="J47" i="70"/>
  <c r="I47" i="70"/>
  <c r="G47" i="70"/>
  <c r="E47" i="70"/>
  <c r="D47" i="70"/>
  <c r="C47" i="70"/>
  <c r="B47" i="70"/>
  <c r="A47" i="70"/>
  <c r="J46" i="70"/>
  <c r="I46" i="70"/>
  <c r="G46" i="70"/>
  <c r="E46" i="70"/>
  <c r="D46" i="70"/>
  <c r="C46" i="70"/>
  <c r="B46" i="70"/>
  <c r="A46" i="70"/>
  <c r="J45" i="70"/>
  <c r="I45" i="70"/>
  <c r="G45" i="70"/>
  <c r="E45" i="70"/>
  <c r="D45" i="70"/>
  <c r="C45" i="70"/>
  <c r="B45" i="70"/>
  <c r="A45" i="70"/>
  <c r="J44" i="70"/>
  <c r="I44" i="70"/>
  <c r="G44" i="70"/>
  <c r="E44" i="70"/>
  <c r="D44" i="70"/>
  <c r="C44" i="70"/>
  <c r="B44" i="70"/>
  <c r="A44" i="70"/>
  <c r="J43" i="70"/>
  <c r="I43" i="70"/>
  <c r="G43" i="70"/>
  <c r="E43" i="70"/>
  <c r="D43" i="70"/>
  <c r="C43" i="70"/>
  <c r="B43" i="70"/>
  <c r="A43" i="70"/>
  <c r="J42" i="70"/>
  <c r="I42" i="70"/>
  <c r="G42" i="70"/>
  <c r="E42" i="70"/>
  <c r="D42" i="70"/>
  <c r="C42" i="70"/>
  <c r="B42" i="70"/>
  <c r="A42" i="70"/>
  <c r="J41" i="70"/>
  <c r="I41" i="70"/>
  <c r="G41" i="70"/>
  <c r="E41" i="70"/>
  <c r="D41" i="70"/>
  <c r="C41" i="70"/>
  <c r="B41" i="70"/>
  <c r="A41" i="70"/>
  <c r="J40" i="70"/>
  <c r="I40" i="70"/>
  <c r="G40" i="70"/>
  <c r="E40" i="70"/>
  <c r="D40" i="70"/>
  <c r="C40" i="70"/>
  <c r="B40" i="70"/>
  <c r="A40" i="70"/>
  <c r="J39" i="70"/>
  <c r="I39" i="70"/>
  <c r="G39" i="70"/>
  <c r="E39" i="70"/>
  <c r="D39" i="70"/>
  <c r="C39" i="70"/>
  <c r="B39" i="70"/>
  <c r="A39" i="70"/>
  <c r="J38" i="70"/>
  <c r="I38" i="70"/>
  <c r="G38" i="70"/>
  <c r="E38" i="70"/>
  <c r="D38" i="70"/>
  <c r="C38" i="70"/>
  <c r="B38" i="70"/>
  <c r="A38" i="70"/>
  <c r="J37" i="70"/>
  <c r="I37" i="70"/>
  <c r="G37" i="70"/>
  <c r="E37" i="70"/>
  <c r="D37" i="70"/>
  <c r="C37" i="70"/>
  <c r="B37" i="70"/>
  <c r="A37" i="70"/>
  <c r="J36" i="70"/>
  <c r="I36" i="70"/>
  <c r="G36" i="70"/>
  <c r="E36" i="70"/>
  <c r="D36" i="70"/>
  <c r="C36" i="70"/>
  <c r="B36" i="70"/>
  <c r="A36" i="70"/>
  <c r="J35" i="70"/>
  <c r="I35" i="70"/>
  <c r="G35" i="70"/>
  <c r="E35" i="70"/>
  <c r="D35" i="70"/>
  <c r="C35" i="70"/>
  <c r="B35" i="70"/>
  <c r="A35" i="70"/>
  <c r="J34" i="70"/>
  <c r="I34" i="70"/>
  <c r="G34" i="70"/>
  <c r="E34" i="70"/>
  <c r="D34" i="70"/>
  <c r="C34" i="70"/>
  <c r="B34" i="70"/>
  <c r="A34" i="70"/>
  <c r="J33" i="70"/>
  <c r="I33" i="70"/>
  <c r="G33" i="70"/>
  <c r="E33" i="70"/>
  <c r="D33" i="70"/>
  <c r="C33" i="70"/>
  <c r="B33" i="70"/>
  <c r="A33" i="70"/>
  <c r="J32" i="70"/>
  <c r="I32" i="70"/>
  <c r="G32" i="70"/>
  <c r="E32" i="70"/>
  <c r="D32" i="70"/>
  <c r="C32" i="70"/>
  <c r="B32" i="70"/>
  <c r="A32" i="70"/>
  <c r="J31" i="70"/>
  <c r="I31" i="70"/>
  <c r="G31" i="70"/>
  <c r="E31" i="70"/>
  <c r="D31" i="70"/>
  <c r="C31" i="70"/>
  <c r="B31" i="70"/>
  <c r="A31" i="70"/>
  <c r="J30" i="70"/>
  <c r="I30" i="70"/>
  <c r="G30" i="70"/>
  <c r="E30" i="70"/>
  <c r="D30" i="70"/>
  <c r="C30" i="70"/>
  <c r="B30" i="70"/>
  <c r="A30" i="70"/>
  <c r="J29" i="70"/>
  <c r="I29" i="70"/>
  <c r="G29" i="70"/>
  <c r="E29" i="70"/>
  <c r="D29" i="70"/>
  <c r="C29" i="70"/>
  <c r="B29" i="70"/>
  <c r="A29" i="70"/>
  <c r="J28" i="70"/>
  <c r="I28" i="70"/>
  <c r="G28" i="70"/>
  <c r="E28" i="70"/>
  <c r="D28" i="70"/>
  <c r="C28" i="70"/>
  <c r="B28" i="70"/>
  <c r="A28" i="70"/>
  <c r="J27" i="70"/>
  <c r="I27" i="70"/>
  <c r="G27" i="70"/>
  <c r="E27" i="70"/>
  <c r="D27" i="70"/>
  <c r="C27" i="70"/>
  <c r="B27" i="70"/>
  <c r="A27" i="70"/>
  <c r="J26" i="70"/>
  <c r="I26" i="70"/>
  <c r="G26" i="70"/>
  <c r="E26" i="70"/>
  <c r="D26" i="70"/>
  <c r="C26" i="70"/>
  <c r="B26" i="70"/>
  <c r="A26" i="70"/>
  <c r="J25" i="70"/>
  <c r="I25" i="70"/>
  <c r="G25" i="70"/>
  <c r="E25" i="70"/>
  <c r="D25" i="70"/>
  <c r="C25" i="70"/>
  <c r="B25" i="70"/>
  <c r="A25" i="70"/>
  <c r="J24" i="70"/>
  <c r="I24" i="70"/>
  <c r="G24" i="70"/>
  <c r="E24" i="70"/>
  <c r="D24" i="70"/>
  <c r="C24" i="70"/>
  <c r="B24" i="70"/>
  <c r="A24" i="70"/>
  <c r="J23" i="70"/>
  <c r="I23" i="70"/>
  <c r="G23" i="70"/>
  <c r="E23" i="70"/>
  <c r="D23" i="70"/>
  <c r="C23" i="70"/>
  <c r="B23" i="70"/>
  <c r="A23" i="70"/>
  <c r="J22" i="70"/>
  <c r="I22" i="70"/>
  <c r="G22" i="70"/>
  <c r="E22" i="70"/>
  <c r="D22" i="70"/>
  <c r="C22" i="70"/>
  <c r="B22" i="70"/>
  <c r="A22" i="70"/>
  <c r="J21" i="70"/>
  <c r="I21" i="70"/>
  <c r="G21" i="70"/>
  <c r="E21" i="70"/>
  <c r="D21" i="70"/>
  <c r="C21" i="70"/>
  <c r="B21" i="70"/>
  <c r="A21" i="70"/>
  <c r="J20" i="70"/>
  <c r="I20" i="70"/>
  <c r="G20" i="70"/>
  <c r="E20" i="70"/>
  <c r="D20" i="70"/>
  <c r="C20" i="70"/>
  <c r="B20" i="70"/>
  <c r="A20" i="70"/>
  <c r="J19" i="70"/>
  <c r="I19" i="70"/>
  <c r="G19" i="70"/>
  <c r="E19" i="70"/>
  <c r="D19" i="70"/>
  <c r="C19" i="70"/>
  <c r="B19" i="70"/>
  <c r="A19" i="70"/>
  <c r="J18" i="70"/>
  <c r="I18" i="70"/>
  <c r="G18" i="70"/>
  <c r="E18" i="70"/>
  <c r="D18" i="70"/>
  <c r="C18" i="70"/>
  <c r="B18" i="70"/>
  <c r="A18" i="70"/>
  <c r="J17" i="70"/>
  <c r="I17" i="70"/>
  <c r="G17" i="70"/>
  <c r="E17" i="70"/>
  <c r="D17" i="70"/>
  <c r="C17" i="70"/>
  <c r="B17" i="70"/>
  <c r="A17" i="70"/>
  <c r="J16" i="70"/>
  <c r="I16" i="70"/>
  <c r="G16" i="70"/>
  <c r="E16" i="70"/>
  <c r="D16" i="70"/>
  <c r="C16" i="70"/>
  <c r="B16" i="70"/>
  <c r="A16" i="70"/>
  <c r="J15" i="70"/>
  <c r="I15" i="70"/>
  <c r="G15" i="70"/>
  <c r="E15" i="70"/>
  <c r="D15" i="70"/>
  <c r="C15" i="70"/>
  <c r="B15" i="70"/>
  <c r="A15" i="70"/>
  <c r="J14" i="70"/>
  <c r="I14" i="70"/>
  <c r="G14" i="70"/>
  <c r="E14" i="70"/>
  <c r="D14" i="70"/>
  <c r="C14" i="70"/>
  <c r="B14" i="70"/>
  <c r="A14" i="70"/>
  <c r="J13" i="70"/>
  <c r="I13" i="70"/>
  <c r="G13" i="70"/>
  <c r="E13" i="70"/>
  <c r="D13" i="70"/>
  <c r="C13" i="70"/>
  <c r="B13" i="70"/>
  <c r="A13" i="70"/>
  <c r="J12" i="70"/>
  <c r="I12" i="70"/>
  <c r="G12" i="70"/>
  <c r="E12" i="70"/>
  <c r="D12" i="70"/>
  <c r="C12" i="70"/>
  <c r="B12" i="70"/>
  <c r="A12" i="70"/>
  <c r="J11" i="70"/>
  <c r="I11" i="70"/>
  <c r="G11" i="70"/>
  <c r="E11" i="70"/>
  <c r="D11" i="70"/>
  <c r="C11" i="70"/>
  <c r="B11" i="70"/>
  <c r="A11" i="70"/>
  <c r="J10" i="70"/>
  <c r="I10" i="70"/>
  <c r="G10" i="70"/>
  <c r="E10" i="70"/>
  <c r="D10" i="70"/>
  <c r="C10" i="70"/>
  <c r="B10" i="70"/>
  <c r="A10" i="70"/>
  <c r="J9" i="70"/>
  <c r="I9" i="70"/>
  <c r="G9" i="70"/>
  <c r="E9" i="70"/>
  <c r="D9" i="70"/>
  <c r="C9" i="70"/>
  <c r="B9" i="70"/>
  <c r="A9" i="70"/>
  <c r="J8" i="70"/>
  <c r="I8" i="70"/>
  <c r="G8" i="70"/>
  <c r="E8" i="70"/>
  <c r="D8" i="70"/>
  <c r="C8" i="70"/>
  <c r="B8" i="70"/>
  <c r="A8" i="70"/>
  <c r="J7" i="70"/>
  <c r="I7" i="70"/>
  <c r="G7" i="70"/>
  <c r="E7" i="70"/>
  <c r="D7" i="70"/>
  <c r="C7" i="70"/>
  <c r="B7" i="70"/>
  <c r="A7" i="70"/>
  <c r="J6" i="70"/>
  <c r="I6" i="70"/>
  <c r="G6" i="70"/>
  <c r="E6" i="70"/>
  <c r="D6" i="70"/>
  <c r="C6" i="70"/>
  <c r="B6" i="70"/>
  <c r="A6" i="70"/>
  <c r="J5" i="70"/>
  <c r="I5" i="70"/>
  <c r="G5" i="70"/>
  <c r="E5" i="70"/>
  <c r="D5" i="70"/>
  <c r="C5" i="70"/>
  <c r="B5" i="70"/>
  <c r="A5" i="70"/>
  <c r="J4" i="70"/>
  <c r="I4" i="70"/>
  <c r="G4" i="70"/>
  <c r="E4" i="70"/>
  <c r="D4" i="70"/>
  <c r="C4" i="70"/>
  <c r="B4" i="70"/>
  <c r="A4" i="70"/>
  <c r="X262" i="3"/>
  <c r="W262" i="3"/>
  <c r="U262" i="3"/>
  <c r="X261" i="3"/>
  <c r="W261" i="3"/>
  <c r="U261" i="3"/>
  <c r="X260" i="3"/>
  <c r="W260" i="3"/>
  <c r="U260" i="3"/>
  <c r="X259" i="3"/>
  <c r="W259" i="3"/>
  <c r="U259" i="3"/>
  <c r="X258" i="3"/>
  <c r="W258" i="3"/>
  <c r="U258" i="3"/>
  <c r="X257" i="3"/>
  <c r="W257" i="3"/>
  <c r="U257" i="3"/>
  <c r="X256" i="3"/>
  <c r="W256" i="3"/>
  <c r="U256" i="3"/>
  <c r="X255" i="3"/>
  <c r="W255" i="3"/>
  <c r="U255" i="3"/>
  <c r="X254" i="3"/>
  <c r="W254" i="3"/>
  <c r="U254" i="3"/>
  <c r="X253" i="3"/>
  <c r="W253" i="3"/>
  <c r="U253" i="3"/>
  <c r="X252" i="3"/>
  <c r="W252" i="3"/>
  <c r="U252" i="3"/>
  <c r="X251" i="3"/>
  <c r="W251" i="3"/>
  <c r="U251" i="3"/>
  <c r="X250" i="3"/>
  <c r="W250" i="3"/>
  <c r="U250" i="3"/>
  <c r="X249" i="3"/>
  <c r="W249" i="3"/>
  <c r="U249" i="3"/>
  <c r="X248" i="3"/>
  <c r="W248" i="3"/>
  <c r="U248" i="3"/>
  <c r="X247" i="3"/>
  <c r="W247" i="3"/>
  <c r="U247" i="3"/>
  <c r="X246" i="3"/>
  <c r="W246" i="3"/>
  <c r="U246" i="3"/>
  <c r="X245" i="3"/>
  <c r="W245" i="3"/>
  <c r="U245" i="3"/>
  <c r="X244" i="3"/>
  <c r="W244" i="3"/>
  <c r="U244" i="3"/>
  <c r="X243" i="3"/>
  <c r="W243" i="3"/>
  <c r="U243" i="3"/>
  <c r="X242" i="3"/>
  <c r="W242" i="3"/>
  <c r="U242" i="3"/>
  <c r="X241" i="3"/>
  <c r="W241" i="3"/>
  <c r="U241" i="3"/>
  <c r="X240" i="3"/>
  <c r="W240" i="3"/>
  <c r="U240" i="3"/>
  <c r="X239" i="3"/>
  <c r="W239" i="3"/>
  <c r="U239" i="3"/>
  <c r="X238" i="3"/>
  <c r="W238" i="3"/>
  <c r="U238" i="3"/>
  <c r="X237" i="3"/>
  <c r="W237" i="3"/>
  <c r="U237" i="3"/>
  <c r="X236" i="3"/>
  <c r="W236" i="3"/>
  <c r="U236" i="3"/>
  <c r="X235" i="3"/>
  <c r="W235" i="3"/>
  <c r="U235" i="3"/>
  <c r="X234" i="3"/>
  <c r="W234" i="3"/>
  <c r="U234" i="3"/>
  <c r="X233" i="3"/>
  <c r="W233" i="3"/>
  <c r="U233" i="3"/>
  <c r="X232" i="3"/>
  <c r="W232" i="3"/>
  <c r="U232" i="3"/>
  <c r="X231" i="3"/>
  <c r="W231" i="3"/>
  <c r="U231" i="3"/>
  <c r="X230" i="3"/>
  <c r="W230" i="3"/>
  <c r="U230" i="3"/>
  <c r="X229" i="3"/>
  <c r="W229" i="3"/>
  <c r="U229" i="3"/>
  <c r="X228" i="3"/>
  <c r="W228" i="3"/>
  <c r="U228" i="3"/>
  <c r="X227" i="3"/>
  <c r="W227" i="3"/>
  <c r="U227" i="3"/>
  <c r="X226" i="3"/>
  <c r="W226" i="3"/>
  <c r="U226" i="3"/>
  <c r="X225" i="3"/>
  <c r="W225" i="3"/>
  <c r="U225" i="3"/>
  <c r="X224" i="3"/>
  <c r="W224" i="3"/>
  <c r="U224" i="3"/>
  <c r="X223" i="3"/>
  <c r="W223" i="3"/>
  <c r="U223" i="3"/>
  <c r="X222" i="3"/>
  <c r="W222" i="3"/>
  <c r="U222" i="3"/>
  <c r="X221" i="3"/>
  <c r="W221" i="3"/>
  <c r="U221" i="3"/>
  <c r="X220" i="3"/>
  <c r="W220" i="3"/>
  <c r="U220" i="3"/>
  <c r="X219" i="3"/>
  <c r="W219" i="3"/>
  <c r="U219" i="3"/>
  <c r="X218" i="3"/>
  <c r="W218" i="3"/>
  <c r="U218" i="3"/>
  <c r="X217" i="3"/>
  <c r="W217" i="3"/>
  <c r="U217" i="3"/>
  <c r="X216" i="3"/>
  <c r="W216" i="3"/>
  <c r="U216" i="3"/>
  <c r="X215" i="3"/>
  <c r="W215" i="3"/>
  <c r="U215" i="3"/>
  <c r="X214" i="3"/>
  <c r="W214" i="3"/>
  <c r="U214" i="3"/>
  <c r="X213" i="3"/>
  <c r="W213" i="3"/>
  <c r="U213" i="3"/>
  <c r="X212" i="3"/>
  <c r="W212" i="3"/>
  <c r="U212" i="3"/>
  <c r="X211" i="3"/>
  <c r="W211" i="3"/>
  <c r="X210" i="3"/>
  <c r="W210" i="3"/>
  <c r="U210" i="3"/>
  <c r="X209" i="3"/>
  <c r="W209" i="3"/>
  <c r="U209" i="3"/>
  <c r="X208" i="3"/>
  <c r="W208" i="3"/>
  <c r="U208" i="3"/>
  <c r="X207" i="3"/>
  <c r="W207" i="3"/>
  <c r="U207" i="3"/>
  <c r="X206" i="3"/>
  <c r="W206" i="3"/>
  <c r="U206" i="3"/>
  <c r="X205" i="3"/>
  <c r="W205" i="3"/>
  <c r="U205" i="3"/>
  <c r="X204" i="3"/>
  <c r="W204" i="3"/>
  <c r="U204" i="3"/>
  <c r="X203" i="3"/>
  <c r="W203" i="3"/>
  <c r="U203" i="3"/>
  <c r="X202" i="3"/>
  <c r="W202" i="3"/>
  <c r="U202" i="3"/>
  <c r="X201" i="3"/>
  <c r="W201" i="3"/>
  <c r="U201" i="3"/>
  <c r="X200" i="3"/>
  <c r="W200" i="3"/>
  <c r="U200" i="3"/>
  <c r="X199" i="3"/>
  <c r="W199" i="3"/>
  <c r="U199" i="3"/>
  <c r="X198" i="3"/>
  <c r="W198" i="3"/>
  <c r="U198" i="3"/>
  <c r="X197" i="3"/>
  <c r="W197" i="3"/>
  <c r="U197" i="3"/>
  <c r="X196" i="3"/>
  <c r="W196" i="3"/>
  <c r="U196" i="3"/>
  <c r="X195" i="3"/>
  <c r="W195" i="3"/>
  <c r="U195" i="3"/>
  <c r="X194" i="3"/>
  <c r="W194" i="3"/>
  <c r="U194" i="3"/>
  <c r="X193" i="3"/>
  <c r="W193" i="3"/>
  <c r="U193" i="3"/>
  <c r="X192" i="3"/>
  <c r="W192" i="3"/>
  <c r="U192" i="3"/>
  <c r="X191" i="3"/>
  <c r="W191" i="3"/>
  <c r="U191" i="3"/>
  <c r="X190" i="3"/>
  <c r="W190" i="3"/>
  <c r="U190" i="3"/>
  <c r="X189" i="3"/>
  <c r="W189" i="3"/>
  <c r="U189" i="3"/>
  <c r="X188" i="3"/>
  <c r="W188" i="3"/>
  <c r="U188" i="3"/>
  <c r="X187" i="3"/>
  <c r="W187" i="3"/>
  <c r="U187" i="3"/>
  <c r="X186" i="3"/>
  <c r="W186" i="3"/>
  <c r="U186" i="3"/>
  <c r="X185" i="3"/>
  <c r="W185" i="3"/>
  <c r="U185" i="3"/>
  <c r="X184" i="3"/>
  <c r="W184" i="3"/>
  <c r="U184" i="3"/>
  <c r="X183" i="3"/>
  <c r="W183" i="3"/>
  <c r="U183" i="3"/>
  <c r="X182" i="3"/>
  <c r="W182" i="3"/>
  <c r="U182" i="3"/>
  <c r="X181" i="3"/>
  <c r="W181" i="3"/>
  <c r="U181" i="3"/>
  <c r="X180" i="3"/>
  <c r="W180" i="3"/>
  <c r="U180" i="3"/>
  <c r="X179" i="3"/>
  <c r="W179" i="3"/>
  <c r="U179" i="3"/>
  <c r="X178" i="3"/>
  <c r="W178" i="3"/>
  <c r="U178" i="3"/>
  <c r="X177" i="3"/>
  <c r="W177" i="3"/>
  <c r="U177" i="3"/>
  <c r="X176" i="3"/>
  <c r="W176" i="3"/>
  <c r="U176" i="3"/>
  <c r="X175" i="3"/>
  <c r="W175" i="3"/>
  <c r="U175" i="3"/>
  <c r="X174" i="3"/>
  <c r="W174" i="3"/>
  <c r="U174" i="3"/>
  <c r="X173" i="3"/>
  <c r="W173" i="3"/>
  <c r="U173" i="3"/>
  <c r="X172" i="3"/>
  <c r="W172" i="3"/>
  <c r="U172" i="3"/>
  <c r="X171" i="3"/>
  <c r="W171" i="3"/>
  <c r="U171" i="3"/>
  <c r="X170" i="3"/>
  <c r="W170" i="3"/>
  <c r="U170" i="3"/>
  <c r="X169" i="3"/>
  <c r="W169" i="3"/>
  <c r="U169" i="3"/>
  <c r="X168" i="3"/>
  <c r="W168" i="3"/>
  <c r="U168" i="3"/>
  <c r="X167" i="3"/>
  <c r="W167" i="3"/>
  <c r="U167" i="3"/>
  <c r="X166" i="3"/>
  <c r="W166" i="3"/>
  <c r="U166" i="3"/>
  <c r="X165" i="3"/>
  <c r="W165" i="3"/>
  <c r="U165" i="3"/>
  <c r="X164" i="3"/>
  <c r="W164" i="3"/>
  <c r="U164" i="3"/>
  <c r="X163" i="3"/>
  <c r="W163" i="3"/>
  <c r="U163" i="3"/>
  <c r="X162" i="3"/>
  <c r="W162" i="3"/>
  <c r="U162" i="3"/>
  <c r="X161" i="3"/>
  <c r="W161" i="3"/>
  <c r="U161" i="3"/>
  <c r="X160" i="3"/>
  <c r="W160" i="3"/>
  <c r="U160" i="3"/>
  <c r="X159" i="3"/>
  <c r="W159" i="3"/>
  <c r="X158" i="3"/>
  <c r="W158" i="3"/>
  <c r="U158" i="3"/>
  <c r="X157" i="3"/>
  <c r="W157" i="3"/>
  <c r="U157" i="3"/>
  <c r="X156" i="3"/>
  <c r="W156" i="3"/>
  <c r="U156" i="3"/>
  <c r="X155" i="3"/>
  <c r="W155" i="3"/>
  <c r="U155" i="3"/>
  <c r="X154" i="3"/>
  <c r="W154" i="3"/>
  <c r="U154" i="3"/>
  <c r="X153" i="3"/>
  <c r="W153" i="3"/>
  <c r="U153" i="3"/>
  <c r="X152" i="3"/>
  <c r="W152" i="3"/>
  <c r="U152" i="3"/>
  <c r="X151" i="3"/>
  <c r="W151" i="3"/>
  <c r="U151" i="3"/>
  <c r="X150" i="3"/>
  <c r="W150" i="3"/>
  <c r="U150" i="3"/>
  <c r="X149" i="3"/>
  <c r="W149" i="3"/>
  <c r="U149" i="3"/>
  <c r="X148" i="3"/>
  <c r="W148" i="3"/>
  <c r="U148" i="3"/>
  <c r="X147" i="3"/>
  <c r="W147" i="3"/>
  <c r="U147" i="3"/>
  <c r="X146" i="3"/>
  <c r="W146" i="3"/>
  <c r="U146" i="3"/>
  <c r="X145" i="3"/>
  <c r="W145" i="3"/>
  <c r="U145" i="3"/>
  <c r="X144" i="3"/>
  <c r="W144" i="3"/>
  <c r="U144" i="3"/>
  <c r="X143" i="3"/>
  <c r="W143" i="3"/>
  <c r="U143" i="3"/>
  <c r="X142" i="3"/>
  <c r="W142" i="3"/>
  <c r="U142" i="3"/>
  <c r="X141" i="3"/>
  <c r="W141" i="3"/>
  <c r="U141" i="3"/>
  <c r="X140" i="3"/>
  <c r="W140" i="3"/>
  <c r="U140" i="3"/>
  <c r="X139" i="3"/>
  <c r="W139" i="3"/>
  <c r="U139" i="3"/>
  <c r="X138" i="3"/>
  <c r="W138" i="3"/>
  <c r="U138" i="3"/>
  <c r="X137" i="3"/>
  <c r="W137" i="3"/>
  <c r="U137" i="3"/>
  <c r="X136" i="3"/>
  <c r="W136" i="3"/>
  <c r="U136" i="3"/>
  <c r="X135" i="3"/>
  <c r="W135" i="3"/>
  <c r="U135" i="3"/>
  <c r="X134" i="3"/>
  <c r="W134" i="3"/>
  <c r="U134" i="3"/>
  <c r="X133" i="3"/>
  <c r="W133" i="3"/>
  <c r="U133" i="3"/>
  <c r="X132" i="3"/>
  <c r="W132" i="3"/>
  <c r="U132" i="3"/>
  <c r="X131" i="3"/>
  <c r="W131" i="3"/>
  <c r="U131" i="3"/>
  <c r="X130" i="3"/>
  <c r="W130" i="3"/>
  <c r="U130" i="3"/>
  <c r="X129" i="3"/>
  <c r="W129" i="3"/>
  <c r="U129" i="3"/>
  <c r="X128" i="3"/>
  <c r="W128" i="3"/>
  <c r="U128" i="3"/>
  <c r="X127" i="3"/>
  <c r="W127" i="3"/>
  <c r="U127" i="3"/>
  <c r="X126" i="3"/>
  <c r="W126" i="3"/>
  <c r="U126" i="3"/>
  <c r="X125" i="3"/>
  <c r="W125" i="3"/>
  <c r="U125" i="3"/>
  <c r="X124" i="3"/>
  <c r="W124" i="3"/>
  <c r="U124" i="3"/>
  <c r="X123" i="3"/>
  <c r="W123" i="3"/>
  <c r="U123" i="3"/>
  <c r="X122" i="3"/>
  <c r="W122" i="3"/>
  <c r="U122" i="3"/>
  <c r="X121" i="3"/>
  <c r="W121" i="3"/>
  <c r="U121" i="3"/>
  <c r="X120" i="3"/>
  <c r="W120" i="3"/>
  <c r="U120" i="3"/>
  <c r="X119" i="3"/>
  <c r="W119" i="3"/>
  <c r="U119" i="3"/>
  <c r="X118" i="3"/>
  <c r="W118" i="3"/>
  <c r="U118" i="3"/>
  <c r="X117" i="3"/>
  <c r="W117" i="3"/>
  <c r="U117" i="3"/>
  <c r="X116" i="3"/>
  <c r="W116" i="3"/>
  <c r="U116" i="3"/>
  <c r="X115" i="3"/>
  <c r="W115" i="3"/>
  <c r="U115" i="3"/>
  <c r="X114" i="3"/>
  <c r="W114" i="3"/>
  <c r="U114" i="3"/>
  <c r="X113" i="3"/>
  <c r="W113" i="3"/>
  <c r="U113" i="3"/>
  <c r="X112" i="3"/>
  <c r="W112" i="3"/>
  <c r="U112" i="3"/>
  <c r="X111" i="3"/>
  <c r="W111" i="3"/>
  <c r="U111" i="3"/>
  <c r="X110" i="3"/>
  <c r="W110" i="3"/>
  <c r="U110" i="3"/>
  <c r="X109" i="3"/>
  <c r="W109" i="3"/>
  <c r="U109" i="3"/>
  <c r="X108" i="3"/>
  <c r="W108" i="3"/>
  <c r="U108" i="3"/>
  <c r="X107" i="3"/>
  <c r="W107" i="3"/>
  <c r="X106" i="3"/>
  <c r="W106" i="3"/>
  <c r="U106" i="3"/>
  <c r="X105" i="3"/>
  <c r="W105" i="3"/>
  <c r="U105" i="3"/>
  <c r="X104" i="3"/>
  <c r="W104" i="3"/>
  <c r="U104" i="3"/>
  <c r="X103" i="3"/>
  <c r="W103" i="3"/>
  <c r="U103" i="3"/>
  <c r="X102" i="3"/>
  <c r="W102" i="3"/>
  <c r="U102" i="3"/>
  <c r="X101" i="3"/>
  <c r="W101" i="3"/>
  <c r="U101" i="3"/>
  <c r="X100" i="3"/>
  <c r="W100" i="3"/>
  <c r="U100" i="3"/>
  <c r="X99" i="3"/>
  <c r="W99" i="3"/>
  <c r="U99" i="3"/>
  <c r="X98" i="3"/>
  <c r="W98" i="3"/>
  <c r="U98" i="3"/>
  <c r="X97" i="3"/>
  <c r="W97" i="3"/>
  <c r="U97" i="3"/>
  <c r="X96" i="3"/>
  <c r="W96" i="3"/>
  <c r="U96" i="3"/>
  <c r="X95" i="3"/>
  <c r="W95" i="3"/>
  <c r="U95" i="3"/>
  <c r="X94" i="3"/>
  <c r="W94" i="3"/>
  <c r="U94" i="3"/>
  <c r="X93" i="3"/>
  <c r="W93" i="3"/>
  <c r="U93" i="3"/>
  <c r="X92" i="3"/>
  <c r="W92" i="3"/>
  <c r="U92" i="3"/>
  <c r="X91" i="3"/>
  <c r="W91" i="3"/>
  <c r="U91" i="3"/>
  <c r="X90" i="3"/>
  <c r="W90" i="3"/>
  <c r="U90" i="3"/>
  <c r="X89" i="3"/>
  <c r="W89" i="3"/>
  <c r="U89" i="3"/>
  <c r="X88" i="3"/>
  <c r="W88" i="3"/>
  <c r="U88" i="3"/>
  <c r="X87" i="3"/>
  <c r="W87" i="3"/>
  <c r="U87" i="3"/>
  <c r="X86" i="3"/>
  <c r="W86" i="3"/>
  <c r="U86" i="3"/>
  <c r="X85" i="3"/>
  <c r="W85" i="3"/>
  <c r="U85" i="3"/>
  <c r="X84" i="3"/>
  <c r="W84" i="3"/>
  <c r="U84" i="3"/>
  <c r="X83" i="3"/>
  <c r="W83" i="3"/>
  <c r="U83" i="3"/>
  <c r="X82" i="3"/>
  <c r="W82" i="3"/>
  <c r="U82" i="3"/>
  <c r="X81" i="3"/>
  <c r="W81" i="3"/>
  <c r="U81" i="3"/>
  <c r="X80" i="3"/>
  <c r="W80" i="3"/>
  <c r="U80" i="3"/>
  <c r="X79" i="3"/>
  <c r="W79" i="3"/>
  <c r="U79" i="3"/>
  <c r="X78" i="3"/>
  <c r="W78" i="3"/>
  <c r="U78" i="3"/>
  <c r="X77" i="3"/>
  <c r="W77" i="3"/>
  <c r="U77" i="3"/>
  <c r="X76" i="3"/>
  <c r="W76" i="3"/>
  <c r="U76" i="3"/>
  <c r="X75" i="3"/>
  <c r="W75" i="3"/>
  <c r="U75" i="3"/>
  <c r="X74" i="3"/>
  <c r="W74" i="3"/>
  <c r="U74" i="3"/>
  <c r="X73" i="3"/>
  <c r="W73" i="3"/>
  <c r="U73" i="3"/>
  <c r="X72" i="3"/>
  <c r="W72" i="3"/>
  <c r="U72" i="3"/>
  <c r="X71" i="3"/>
  <c r="W71" i="3"/>
  <c r="U71" i="3"/>
  <c r="X70" i="3"/>
  <c r="W70" i="3"/>
  <c r="U70" i="3"/>
  <c r="X69" i="3"/>
  <c r="W69" i="3"/>
  <c r="U69" i="3"/>
  <c r="X68" i="3"/>
  <c r="W68" i="3"/>
  <c r="U68" i="3"/>
  <c r="X67" i="3"/>
  <c r="W67" i="3"/>
  <c r="U67" i="3"/>
  <c r="X66" i="3"/>
  <c r="W66" i="3"/>
  <c r="U66" i="3"/>
  <c r="X65" i="3"/>
  <c r="W65" i="3"/>
  <c r="U65" i="3"/>
  <c r="X64" i="3"/>
  <c r="W64" i="3"/>
  <c r="U64" i="3"/>
  <c r="X63" i="3"/>
  <c r="W63" i="3"/>
  <c r="U63" i="3"/>
  <c r="X62" i="3"/>
  <c r="W62" i="3"/>
  <c r="U62" i="3"/>
  <c r="X61" i="3"/>
  <c r="W61" i="3"/>
  <c r="U61" i="3"/>
  <c r="X60" i="3"/>
  <c r="W60" i="3"/>
  <c r="U60" i="3"/>
  <c r="X59" i="3"/>
  <c r="W59" i="3"/>
  <c r="U59" i="3"/>
  <c r="X58" i="3"/>
  <c r="W58" i="3"/>
  <c r="U58" i="3"/>
  <c r="X57" i="3"/>
  <c r="W57" i="3"/>
  <c r="U57" i="3"/>
  <c r="X56" i="3"/>
  <c r="W56" i="3"/>
  <c r="U56" i="3"/>
  <c r="X55" i="3"/>
  <c r="W55" i="3"/>
  <c r="X54" i="3"/>
  <c r="W54" i="3"/>
  <c r="U54" i="3"/>
  <c r="X53" i="3"/>
  <c r="W53" i="3"/>
  <c r="U53" i="3"/>
  <c r="X52" i="3"/>
  <c r="W52" i="3"/>
  <c r="U52" i="3"/>
  <c r="X51" i="3"/>
  <c r="W51" i="3"/>
  <c r="U51" i="3"/>
  <c r="X50" i="3"/>
  <c r="W50" i="3"/>
  <c r="U50" i="3"/>
  <c r="X49" i="3"/>
  <c r="W49" i="3"/>
  <c r="U49" i="3"/>
  <c r="X48" i="3"/>
  <c r="W48" i="3"/>
  <c r="U48" i="3"/>
  <c r="X47" i="3"/>
  <c r="W47" i="3"/>
  <c r="U47" i="3"/>
  <c r="X46" i="3"/>
  <c r="W46" i="3"/>
  <c r="U46" i="3"/>
  <c r="X45" i="3"/>
  <c r="W45" i="3"/>
  <c r="U45" i="3"/>
  <c r="X44" i="3"/>
  <c r="W44" i="3"/>
  <c r="U44" i="3"/>
  <c r="X43" i="3"/>
  <c r="W43" i="3"/>
  <c r="U43" i="3"/>
  <c r="X42" i="3"/>
  <c r="W42" i="3"/>
  <c r="U42" i="3"/>
  <c r="X41" i="3"/>
  <c r="W41" i="3"/>
  <c r="U41" i="3"/>
  <c r="X40" i="3"/>
  <c r="W40" i="3"/>
  <c r="U40" i="3"/>
  <c r="X39" i="3"/>
  <c r="W39" i="3"/>
  <c r="U39" i="3"/>
  <c r="X38" i="3"/>
  <c r="W38" i="3"/>
  <c r="U38" i="3"/>
  <c r="X37" i="3"/>
  <c r="W37" i="3"/>
  <c r="U37" i="3"/>
  <c r="X36" i="3"/>
  <c r="W36" i="3"/>
  <c r="U36" i="3"/>
  <c r="X35" i="3"/>
  <c r="W35" i="3"/>
  <c r="U35" i="3"/>
  <c r="X34" i="3"/>
  <c r="W34" i="3"/>
  <c r="U34" i="3"/>
  <c r="X33" i="3"/>
  <c r="W33" i="3"/>
  <c r="U33" i="3"/>
  <c r="X32" i="3"/>
  <c r="W32" i="3"/>
  <c r="U32" i="3"/>
  <c r="X31" i="3"/>
  <c r="W31" i="3"/>
  <c r="U31" i="3"/>
  <c r="X30" i="3"/>
  <c r="W30" i="3"/>
  <c r="U30" i="3"/>
  <c r="X29" i="3"/>
  <c r="W29" i="3"/>
  <c r="U29" i="3"/>
  <c r="X28" i="3"/>
  <c r="W28" i="3"/>
  <c r="U28" i="3"/>
  <c r="X27" i="3"/>
  <c r="W27" i="3"/>
  <c r="U27" i="3"/>
  <c r="X26" i="3"/>
  <c r="W26" i="3"/>
  <c r="U26" i="3"/>
  <c r="X25" i="3"/>
  <c r="W25" i="3"/>
  <c r="U25" i="3"/>
  <c r="X24" i="3"/>
  <c r="W24" i="3"/>
  <c r="U24" i="3"/>
  <c r="X23" i="3"/>
  <c r="W23" i="3"/>
  <c r="U23" i="3"/>
  <c r="X22" i="3"/>
  <c r="W22" i="3"/>
  <c r="U22" i="3"/>
  <c r="X21" i="3"/>
  <c r="W21" i="3"/>
  <c r="U21" i="3"/>
  <c r="X20" i="3"/>
  <c r="W20" i="3"/>
  <c r="U20" i="3"/>
  <c r="X19" i="3"/>
  <c r="W19" i="3"/>
  <c r="U19" i="3"/>
  <c r="X18" i="3"/>
  <c r="W18" i="3"/>
  <c r="U18" i="3"/>
  <c r="X17" i="3"/>
  <c r="W17" i="3"/>
  <c r="U17" i="3"/>
  <c r="X16" i="3"/>
  <c r="W16" i="3"/>
  <c r="U16" i="3"/>
  <c r="X15" i="3"/>
  <c r="W15" i="3"/>
  <c r="U15" i="3"/>
  <c r="X14" i="3"/>
  <c r="W14" i="3"/>
  <c r="U14" i="3"/>
  <c r="X13" i="3"/>
  <c r="W13" i="3"/>
  <c r="U13" i="3"/>
  <c r="X12" i="3"/>
  <c r="W12" i="3"/>
  <c r="U12" i="3"/>
  <c r="X11" i="3"/>
  <c r="W11" i="3"/>
  <c r="U11" i="3"/>
  <c r="X10" i="3"/>
  <c r="W10" i="3"/>
  <c r="U10" i="3"/>
  <c r="X9" i="3"/>
  <c r="W9" i="3"/>
  <c r="U9" i="3"/>
  <c r="X8" i="3"/>
  <c r="W8" i="3"/>
  <c r="U8" i="3"/>
  <c r="X7" i="3"/>
  <c r="W7" i="3"/>
  <c r="U7" i="3"/>
  <c r="X6" i="3"/>
  <c r="W6" i="3"/>
  <c r="U6" i="3"/>
  <c r="X5" i="3"/>
  <c r="W5" i="3"/>
  <c r="U5" i="3"/>
  <c r="X4" i="3"/>
  <c r="W4" i="3"/>
  <c r="U4" i="3"/>
  <c r="W3" i="3"/>
  <c r="O364" i="61"/>
  <c r="M364" i="61"/>
  <c r="L364" i="61"/>
  <c r="K364" i="61"/>
  <c r="J364" i="61"/>
  <c r="I364" i="61"/>
  <c r="H364" i="61"/>
  <c r="G364" i="61"/>
  <c r="F364" i="61"/>
  <c r="E364" i="61"/>
  <c r="D364" i="61"/>
  <c r="C364" i="61"/>
  <c r="O363" i="61"/>
  <c r="M363" i="61"/>
  <c r="L363" i="61"/>
  <c r="K363" i="61"/>
  <c r="J363" i="61"/>
  <c r="I363" i="61"/>
  <c r="H363" i="61"/>
  <c r="G363" i="61"/>
  <c r="F363" i="61"/>
  <c r="E363" i="61"/>
  <c r="D363" i="61"/>
  <c r="C363" i="61"/>
  <c r="O362" i="61"/>
  <c r="M362" i="61"/>
  <c r="L362" i="61"/>
  <c r="K362" i="61"/>
  <c r="J362" i="61"/>
  <c r="I362" i="61"/>
  <c r="H362" i="61"/>
  <c r="G362" i="61"/>
  <c r="F362" i="61"/>
  <c r="E362" i="61"/>
  <c r="D362" i="61"/>
  <c r="C362" i="61"/>
  <c r="O361" i="61"/>
  <c r="M361" i="61"/>
  <c r="L361" i="61"/>
  <c r="K361" i="61"/>
  <c r="J361" i="61"/>
  <c r="I361" i="61"/>
  <c r="H361" i="61"/>
  <c r="G361" i="61"/>
  <c r="F361" i="61"/>
  <c r="E361" i="61"/>
  <c r="D361" i="61"/>
  <c r="C361" i="61"/>
  <c r="O360" i="61"/>
  <c r="M360" i="61"/>
  <c r="L360" i="61"/>
  <c r="K360" i="61"/>
  <c r="J360" i="61"/>
  <c r="I360" i="61"/>
  <c r="H360" i="61"/>
  <c r="G360" i="61"/>
  <c r="F360" i="61"/>
  <c r="E360" i="61"/>
  <c r="D360" i="61"/>
  <c r="C360" i="61"/>
  <c r="O359" i="61"/>
  <c r="M359" i="61"/>
  <c r="L359" i="61"/>
  <c r="K359" i="61"/>
  <c r="J359" i="61"/>
  <c r="I359" i="61"/>
  <c r="H359" i="61"/>
  <c r="G359" i="61"/>
  <c r="F359" i="61"/>
  <c r="E359" i="61"/>
  <c r="D359" i="61"/>
  <c r="C359" i="61"/>
  <c r="O358" i="61"/>
  <c r="M358" i="61"/>
  <c r="L358" i="61"/>
  <c r="K358" i="61"/>
  <c r="J358" i="61"/>
  <c r="I358" i="61"/>
  <c r="H358" i="61"/>
  <c r="G358" i="61"/>
  <c r="F358" i="61"/>
  <c r="E358" i="61"/>
  <c r="D358" i="61"/>
  <c r="C358" i="61"/>
  <c r="O357" i="61"/>
  <c r="M357" i="61"/>
  <c r="L357" i="61"/>
  <c r="K357" i="61"/>
  <c r="J357" i="61"/>
  <c r="I357" i="61"/>
  <c r="H357" i="61"/>
  <c r="G357" i="61"/>
  <c r="F357" i="61"/>
  <c r="E357" i="61"/>
  <c r="D357" i="61"/>
  <c r="C357" i="61"/>
  <c r="O356" i="61"/>
  <c r="M356" i="61"/>
  <c r="L356" i="61"/>
  <c r="K356" i="61"/>
  <c r="J356" i="61"/>
  <c r="I356" i="61"/>
  <c r="H356" i="61"/>
  <c r="G356" i="61"/>
  <c r="F356" i="61"/>
  <c r="E356" i="61"/>
  <c r="D356" i="61"/>
  <c r="C356" i="61"/>
  <c r="O355" i="61"/>
  <c r="M355" i="61"/>
  <c r="L355" i="61"/>
  <c r="K355" i="61"/>
  <c r="J355" i="61"/>
  <c r="I355" i="61"/>
  <c r="H355" i="61"/>
  <c r="G355" i="61"/>
  <c r="F355" i="61"/>
  <c r="E355" i="61"/>
  <c r="D355" i="61"/>
  <c r="C355" i="61"/>
  <c r="B355" i="61"/>
  <c r="O354" i="61"/>
  <c r="M354" i="61"/>
  <c r="L354" i="61"/>
  <c r="K354" i="61"/>
  <c r="J354" i="61"/>
  <c r="I354" i="61"/>
  <c r="H354" i="61"/>
  <c r="G354" i="61"/>
  <c r="F354" i="61"/>
  <c r="E354" i="61"/>
  <c r="D354" i="61"/>
  <c r="C354" i="61"/>
  <c r="O353" i="61"/>
  <c r="M353" i="61"/>
  <c r="L353" i="61"/>
  <c r="K353" i="61"/>
  <c r="J353" i="61"/>
  <c r="I353" i="61"/>
  <c r="H353" i="61"/>
  <c r="G353" i="61"/>
  <c r="F353" i="61"/>
  <c r="E353" i="61"/>
  <c r="D353" i="61"/>
  <c r="C353" i="61"/>
  <c r="O352" i="61"/>
  <c r="M352" i="61"/>
  <c r="L352" i="61"/>
  <c r="K352" i="61"/>
  <c r="J352" i="61"/>
  <c r="I352" i="61"/>
  <c r="H352" i="61"/>
  <c r="G352" i="61"/>
  <c r="F352" i="61"/>
  <c r="E352" i="61"/>
  <c r="D352" i="61"/>
  <c r="C352" i="61"/>
  <c r="O351" i="61"/>
  <c r="M351" i="61"/>
  <c r="L351" i="61"/>
  <c r="K351" i="61"/>
  <c r="J351" i="61"/>
  <c r="I351" i="61"/>
  <c r="H351" i="61"/>
  <c r="G351" i="61"/>
  <c r="F351" i="61"/>
  <c r="E351" i="61"/>
  <c r="D351" i="61"/>
  <c r="C351" i="61"/>
  <c r="O350" i="61"/>
  <c r="M350" i="61"/>
  <c r="L350" i="61"/>
  <c r="K350" i="61"/>
  <c r="J350" i="61"/>
  <c r="I350" i="61"/>
  <c r="H350" i="61"/>
  <c r="G350" i="61"/>
  <c r="F350" i="61"/>
  <c r="E350" i="61"/>
  <c r="D350" i="61"/>
  <c r="C350" i="61"/>
  <c r="O349" i="61"/>
  <c r="M349" i="61"/>
  <c r="L349" i="61"/>
  <c r="K349" i="61"/>
  <c r="J349" i="61"/>
  <c r="I349" i="61"/>
  <c r="H349" i="61"/>
  <c r="G349" i="61"/>
  <c r="F349" i="61"/>
  <c r="E349" i="61"/>
  <c r="D349" i="61"/>
  <c r="C349" i="61"/>
  <c r="O348" i="61"/>
  <c r="M348" i="61"/>
  <c r="L348" i="61"/>
  <c r="K348" i="61"/>
  <c r="J348" i="61"/>
  <c r="I348" i="61"/>
  <c r="H348" i="61"/>
  <c r="G348" i="61"/>
  <c r="F348" i="61"/>
  <c r="E348" i="61"/>
  <c r="D348" i="61"/>
  <c r="C348" i="61"/>
  <c r="O347" i="61"/>
  <c r="M347" i="61"/>
  <c r="L347" i="61"/>
  <c r="K347" i="61"/>
  <c r="J347" i="61"/>
  <c r="I347" i="61"/>
  <c r="H347" i="61"/>
  <c r="G347" i="61"/>
  <c r="F347" i="61"/>
  <c r="E347" i="61"/>
  <c r="D347" i="61"/>
  <c r="C347" i="61"/>
  <c r="O346" i="61"/>
  <c r="M346" i="61"/>
  <c r="L346" i="61"/>
  <c r="K346" i="61"/>
  <c r="J346" i="61"/>
  <c r="I346" i="61"/>
  <c r="H346" i="61"/>
  <c r="G346" i="61"/>
  <c r="F346" i="61"/>
  <c r="E346" i="61"/>
  <c r="D346" i="61"/>
  <c r="C346" i="61"/>
  <c r="O345" i="61"/>
  <c r="M345" i="61"/>
  <c r="L345" i="61"/>
  <c r="K345" i="61"/>
  <c r="J345" i="61"/>
  <c r="I345" i="61"/>
  <c r="H345" i="61"/>
  <c r="G345" i="61"/>
  <c r="F345" i="61"/>
  <c r="E345" i="61"/>
  <c r="D345" i="61"/>
  <c r="C345" i="61"/>
  <c r="B345" i="61"/>
  <c r="O344" i="61"/>
  <c r="M344" i="61"/>
  <c r="L344" i="61"/>
  <c r="K344" i="61"/>
  <c r="J344" i="61"/>
  <c r="I344" i="61"/>
  <c r="H344" i="61"/>
  <c r="G344" i="61"/>
  <c r="F344" i="61"/>
  <c r="E344" i="61"/>
  <c r="D344" i="61"/>
  <c r="C344" i="61"/>
  <c r="O343" i="61"/>
  <c r="M343" i="61"/>
  <c r="L343" i="61"/>
  <c r="K343" i="61"/>
  <c r="J343" i="61"/>
  <c r="I343" i="61"/>
  <c r="H343" i="61"/>
  <c r="G343" i="61"/>
  <c r="F343" i="61"/>
  <c r="E343" i="61"/>
  <c r="D343" i="61"/>
  <c r="C343" i="61"/>
  <c r="O342" i="61"/>
  <c r="M342" i="61"/>
  <c r="L342" i="61"/>
  <c r="K342" i="61"/>
  <c r="J342" i="61"/>
  <c r="I342" i="61"/>
  <c r="H342" i="61"/>
  <c r="G342" i="61"/>
  <c r="F342" i="61"/>
  <c r="E342" i="61"/>
  <c r="D342" i="61"/>
  <c r="C342" i="61"/>
  <c r="O341" i="61"/>
  <c r="M341" i="61"/>
  <c r="L341" i="61"/>
  <c r="K341" i="61"/>
  <c r="J341" i="61"/>
  <c r="I341" i="61"/>
  <c r="H341" i="61"/>
  <c r="G341" i="61"/>
  <c r="F341" i="61"/>
  <c r="E341" i="61"/>
  <c r="D341" i="61"/>
  <c r="C341" i="61"/>
  <c r="O340" i="61"/>
  <c r="M340" i="61"/>
  <c r="L340" i="61"/>
  <c r="K340" i="61"/>
  <c r="J340" i="61"/>
  <c r="I340" i="61"/>
  <c r="H340" i="61"/>
  <c r="G340" i="61"/>
  <c r="F340" i="61"/>
  <c r="E340" i="61"/>
  <c r="D340" i="61"/>
  <c r="C340" i="61"/>
  <c r="O339" i="61"/>
  <c r="M339" i="61"/>
  <c r="L339" i="61"/>
  <c r="K339" i="61"/>
  <c r="J339" i="61"/>
  <c r="I339" i="61"/>
  <c r="H339" i="61"/>
  <c r="G339" i="61"/>
  <c r="F339" i="61"/>
  <c r="E339" i="61"/>
  <c r="D339" i="61"/>
  <c r="C339" i="61"/>
  <c r="O338" i="61"/>
  <c r="M338" i="61"/>
  <c r="L338" i="61"/>
  <c r="K338" i="61"/>
  <c r="J338" i="61"/>
  <c r="I338" i="61"/>
  <c r="H338" i="61"/>
  <c r="G338" i="61"/>
  <c r="F338" i="61"/>
  <c r="E338" i="61"/>
  <c r="D338" i="61"/>
  <c r="C338" i="61"/>
  <c r="O337" i="61"/>
  <c r="M337" i="61"/>
  <c r="L337" i="61"/>
  <c r="K337" i="61"/>
  <c r="J337" i="61"/>
  <c r="I337" i="61"/>
  <c r="H337" i="61"/>
  <c r="G337" i="61"/>
  <c r="F337" i="61"/>
  <c r="E337" i="61"/>
  <c r="D337" i="61"/>
  <c r="C337" i="61"/>
  <c r="O336" i="61"/>
  <c r="M336" i="61"/>
  <c r="L336" i="61"/>
  <c r="K336" i="61"/>
  <c r="J336" i="61"/>
  <c r="I336" i="61"/>
  <c r="H336" i="61"/>
  <c r="G336" i="61"/>
  <c r="F336" i="61"/>
  <c r="E336" i="61"/>
  <c r="D336" i="61"/>
  <c r="C336" i="61"/>
  <c r="O335" i="61"/>
  <c r="M335" i="61"/>
  <c r="L335" i="61"/>
  <c r="K335" i="61"/>
  <c r="J335" i="61"/>
  <c r="I335" i="61"/>
  <c r="H335" i="61"/>
  <c r="G335" i="61"/>
  <c r="F335" i="61"/>
  <c r="E335" i="61"/>
  <c r="D335" i="61"/>
  <c r="C335" i="61"/>
  <c r="B335" i="61"/>
  <c r="O334" i="61"/>
  <c r="M334" i="61"/>
  <c r="L334" i="61"/>
  <c r="K334" i="61"/>
  <c r="J334" i="61"/>
  <c r="I334" i="61"/>
  <c r="H334" i="61"/>
  <c r="G334" i="61"/>
  <c r="F334" i="61"/>
  <c r="E334" i="61"/>
  <c r="D334" i="61"/>
  <c r="C334" i="61"/>
  <c r="O333" i="61"/>
  <c r="M333" i="61"/>
  <c r="L333" i="61"/>
  <c r="K333" i="61"/>
  <c r="J333" i="61"/>
  <c r="I333" i="61"/>
  <c r="H333" i="61"/>
  <c r="G333" i="61"/>
  <c r="F333" i="61"/>
  <c r="E333" i="61"/>
  <c r="D333" i="61"/>
  <c r="C333" i="61"/>
  <c r="O332" i="61"/>
  <c r="M332" i="61"/>
  <c r="L332" i="61"/>
  <c r="K332" i="61"/>
  <c r="J332" i="61"/>
  <c r="I332" i="61"/>
  <c r="H332" i="61"/>
  <c r="G332" i="61"/>
  <c r="F332" i="61"/>
  <c r="E332" i="61"/>
  <c r="D332" i="61"/>
  <c r="C332" i="61"/>
  <c r="O331" i="61"/>
  <c r="M331" i="61"/>
  <c r="L331" i="61"/>
  <c r="K331" i="61"/>
  <c r="J331" i="61"/>
  <c r="I331" i="61"/>
  <c r="H331" i="61"/>
  <c r="G331" i="61"/>
  <c r="F331" i="61"/>
  <c r="E331" i="61"/>
  <c r="D331" i="61"/>
  <c r="C331" i="61"/>
  <c r="O330" i="61"/>
  <c r="M330" i="61"/>
  <c r="L330" i="61"/>
  <c r="K330" i="61"/>
  <c r="J330" i="61"/>
  <c r="I330" i="61"/>
  <c r="H330" i="61"/>
  <c r="G330" i="61"/>
  <c r="F330" i="61"/>
  <c r="E330" i="61"/>
  <c r="D330" i="61"/>
  <c r="C330" i="61"/>
  <c r="O329" i="61"/>
  <c r="M329" i="61"/>
  <c r="L329" i="61"/>
  <c r="K329" i="61"/>
  <c r="J329" i="61"/>
  <c r="I329" i="61"/>
  <c r="H329" i="61"/>
  <c r="G329" i="61"/>
  <c r="F329" i="61"/>
  <c r="E329" i="61"/>
  <c r="D329" i="61"/>
  <c r="C329" i="61"/>
  <c r="O328" i="61"/>
  <c r="M328" i="61"/>
  <c r="L328" i="61"/>
  <c r="K328" i="61"/>
  <c r="J328" i="61"/>
  <c r="I328" i="61"/>
  <c r="H328" i="61"/>
  <c r="G328" i="61"/>
  <c r="F328" i="61"/>
  <c r="E328" i="61"/>
  <c r="D328" i="61"/>
  <c r="C328" i="61"/>
  <c r="O327" i="61"/>
  <c r="M327" i="61"/>
  <c r="L327" i="61"/>
  <c r="K327" i="61"/>
  <c r="J327" i="61"/>
  <c r="I327" i="61"/>
  <c r="H327" i="61"/>
  <c r="G327" i="61"/>
  <c r="F327" i="61"/>
  <c r="E327" i="61"/>
  <c r="D327" i="61"/>
  <c r="C327" i="61"/>
  <c r="O326" i="61"/>
  <c r="M326" i="61"/>
  <c r="L326" i="61"/>
  <c r="K326" i="61"/>
  <c r="J326" i="61"/>
  <c r="I326" i="61"/>
  <c r="H326" i="61"/>
  <c r="G326" i="61"/>
  <c r="F326" i="61"/>
  <c r="E326" i="61"/>
  <c r="D326" i="61"/>
  <c r="C326" i="61"/>
  <c r="O325" i="61"/>
  <c r="M325" i="61"/>
  <c r="L325" i="61"/>
  <c r="K325" i="61"/>
  <c r="J325" i="61"/>
  <c r="I325" i="61"/>
  <c r="H325" i="61"/>
  <c r="G325" i="61"/>
  <c r="F325" i="61"/>
  <c r="E325" i="61"/>
  <c r="D325" i="61"/>
  <c r="C325" i="61"/>
  <c r="B325" i="61"/>
  <c r="O324" i="61"/>
  <c r="M324" i="61"/>
  <c r="L324" i="61"/>
  <c r="K324" i="61"/>
  <c r="J324" i="61"/>
  <c r="I324" i="61"/>
  <c r="H324" i="61"/>
  <c r="G324" i="61"/>
  <c r="F324" i="61"/>
  <c r="E324" i="61"/>
  <c r="D324" i="61"/>
  <c r="C324" i="61"/>
  <c r="O323" i="61"/>
  <c r="M323" i="61"/>
  <c r="L323" i="61"/>
  <c r="K323" i="61"/>
  <c r="J323" i="61"/>
  <c r="I323" i="61"/>
  <c r="H323" i="61"/>
  <c r="G323" i="61"/>
  <c r="F323" i="61"/>
  <c r="E323" i="61"/>
  <c r="D323" i="61"/>
  <c r="C323" i="61"/>
  <c r="O322" i="61"/>
  <c r="M322" i="61"/>
  <c r="L322" i="61"/>
  <c r="K322" i="61"/>
  <c r="J322" i="61"/>
  <c r="I322" i="61"/>
  <c r="H322" i="61"/>
  <c r="G322" i="61"/>
  <c r="F322" i="61"/>
  <c r="E322" i="61"/>
  <c r="D322" i="61"/>
  <c r="C322" i="61"/>
  <c r="O321" i="61"/>
  <c r="M321" i="61"/>
  <c r="L321" i="61"/>
  <c r="K321" i="61"/>
  <c r="J321" i="61"/>
  <c r="I321" i="61"/>
  <c r="H321" i="61"/>
  <c r="G321" i="61"/>
  <c r="F321" i="61"/>
  <c r="E321" i="61"/>
  <c r="D321" i="61"/>
  <c r="C321" i="61"/>
  <c r="O320" i="61"/>
  <c r="M320" i="61"/>
  <c r="L320" i="61"/>
  <c r="K320" i="61"/>
  <c r="J320" i="61"/>
  <c r="I320" i="61"/>
  <c r="H320" i="61"/>
  <c r="G320" i="61"/>
  <c r="F320" i="61"/>
  <c r="E320" i="61"/>
  <c r="D320" i="61"/>
  <c r="C320" i="61"/>
  <c r="O319" i="61"/>
  <c r="M319" i="61"/>
  <c r="L319" i="61"/>
  <c r="K319" i="61"/>
  <c r="J319" i="61"/>
  <c r="I319" i="61"/>
  <c r="H319" i="61"/>
  <c r="G319" i="61"/>
  <c r="F319" i="61"/>
  <c r="E319" i="61"/>
  <c r="D319" i="61"/>
  <c r="C319" i="61"/>
  <c r="O318" i="61"/>
  <c r="M318" i="61"/>
  <c r="L318" i="61"/>
  <c r="K318" i="61"/>
  <c r="J318" i="61"/>
  <c r="I318" i="61"/>
  <c r="H318" i="61"/>
  <c r="G318" i="61"/>
  <c r="F318" i="61"/>
  <c r="E318" i="61"/>
  <c r="D318" i="61"/>
  <c r="C318" i="61"/>
  <c r="O317" i="61"/>
  <c r="M317" i="61"/>
  <c r="L317" i="61"/>
  <c r="K317" i="61"/>
  <c r="J317" i="61"/>
  <c r="I317" i="61"/>
  <c r="H317" i="61"/>
  <c r="G317" i="61"/>
  <c r="F317" i="61"/>
  <c r="E317" i="61"/>
  <c r="D317" i="61"/>
  <c r="C317" i="61"/>
  <c r="O316" i="61"/>
  <c r="M316" i="61"/>
  <c r="L316" i="61"/>
  <c r="K316" i="61"/>
  <c r="J316" i="61"/>
  <c r="I316" i="61"/>
  <c r="H316" i="61"/>
  <c r="G316" i="61"/>
  <c r="F316" i="61"/>
  <c r="E316" i="61"/>
  <c r="D316" i="61"/>
  <c r="C316" i="61"/>
  <c r="O315" i="61"/>
  <c r="M315" i="61"/>
  <c r="L315" i="61"/>
  <c r="K315" i="61"/>
  <c r="J315" i="61"/>
  <c r="I315" i="61"/>
  <c r="H315" i="61"/>
  <c r="G315" i="61"/>
  <c r="F315" i="61"/>
  <c r="E315" i="61"/>
  <c r="D315" i="61"/>
  <c r="C315" i="61"/>
  <c r="B315" i="61"/>
  <c r="O314" i="61"/>
  <c r="M314" i="61"/>
  <c r="L314" i="61"/>
  <c r="K314" i="61"/>
  <c r="J314" i="61"/>
  <c r="I314" i="61"/>
  <c r="H314" i="61"/>
  <c r="G314" i="61"/>
  <c r="F314" i="61"/>
  <c r="E314" i="61"/>
  <c r="D314" i="61"/>
  <c r="C314" i="61"/>
  <c r="O313" i="61"/>
  <c r="M313" i="61"/>
  <c r="L313" i="61"/>
  <c r="K313" i="61"/>
  <c r="J313" i="61"/>
  <c r="I313" i="61"/>
  <c r="H313" i="61"/>
  <c r="G313" i="61"/>
  <c r="F313" i="61"/>
  <c r="E313" i="61"/>
  <c r="D313" i="61"/>
  <c r="C313" i="61"/>
  <c r="O312" i="61"/>
  <c r="M312" i="61"/>
  <c r="L312" i="61"/>
  <c r="K312" i="61"/>
  <c r="J312" i="61"/>
  <c r="I312" i="61"/>
  <c r="H312" i="61"/>
  <c r="G312" i="61"/>
  <c r="F312" i="61"/>
  <c r="E312" i="61"/>
  <c r="D312" i="61"/>
  <c r="C312" i="61"/>
  <c r="O311" i="61"/>
  <c r="M311" i="61"/>
  <c r="L311" i="61"/>
  <c r="K311" i="61"/>
  <c r="J311" i="61"/>
  <c r="I311" i="61"/>
  <c r="H311" i="61"/>
  <c r="G311" i="61"/>
  <c r="F311" i="61"/>
  <c r="E311" i="61"/>
  <c r="D311" i="61"/>
  <c r="C311" i="61"/>
  <c r="O310" i="61"/>
  <c r="M310" i="61"/>
  <c r="L310" i="61"/>
  <c r="K310" i="61"/>
  <c r="J310" i="61"/>
  <c r="I310" i="61"/>
  <c r="H310" i="61"/>
  <c r="G310" i="61"/>
  <c r="F310" i="61"/>
  <c r="E310" i="61"/>
  <c r="D310" i="61"/>
  <c r="C310" i="61"/>
  <c r="O309" i="61"/>
  <c r="M309" i="61"/>
  <c r="L309" i="61"/>
  <c r="K309" i="61"/>
  <c r="J309" i="61"/>
  <c r="I309" i="61"/>
  <c r="H309" i="61"/>
  <c r="G309" i="61"/>
  <c r="F309" i="61"/>
  <c r="E309" i="61"/>
  <c r="D309" i="61"/>
  <c r="C309" i="61"/>
  <c r="O308" i="61"/>
  <c r="M308" i="61"/>
  <c r="L308" i="61"/>
  <c r="K308" i="61"/>
  <c r="J308" i="61"/>
  <c r="I308" i="61"/>
  <c r="H308" i="61"/>
  <c r="G308" i="61"/>
  <c r="F308" i="61"/>
  <c r="E308" i="61"/>
  <c r="D308" i="61"/>
  <c r="C308" i="61"/>
  <c r="O307" i="61"/>
  <c r="M307" i="61"/>
  <c r="L307" i="61"/>
  <c r="K307" i="61"/>
  <c r="J307" i="61"/>
  <c r="I307" i="61"/>
  <c r="H307" i="61"/>
  <c r="G307" i="61"/>
  <c r="F307" i="61"/>
  <c r="E307" i="61"/>
  <c r="D307" i="61"/>
  <c r="C307" i="61"/>
  <c r="AU306" i="61"/>
  <c r="AT306" i="61"/>
  <c r="S306" i="61"/>
  <c r="O306" i="61"/>
  <c r="M306" i="61"/>
  <c r="L306" i="61"/>
  <c r="K306" i="61"/>
  <c r="J306" i="61"/>
  <c r="I306" i="61"/>
  <c r="H306" i="61"/>
  <c r="G306" i="61"/>
  <c r="F306" i="61"/>
  <c r="E306" i="61"/>
  <c r="D306" i="61"/>
  <c r="C306" i="61"/>
  <c r="AU305" i="61"/>
  <c r="AT305" i="61"/>
  <c r="S305" i="61"/>
  <c r="O305" i="61"/>
  <c r="M305" i="61"/>
  <c r="L305" i="61"/>
  <c r="K305" i="61"/>
  <c r="J305" i="61"/>
  <c r="I305" i="61"/>
  <c r="H305" i="61"/>
  <c r="G305" i="61"/>
  <c r="F305" i="61"/>
  <c r="E305" i="61"/>
  <c r="D305" i="61"/>
  <c r="C305" i="61"/>
  <c r="B305" i="61"/>
  <c r="AU304" i="61"/>
  <c r="AT304" i="61"/>
  <c r="S304" i="61"/>
  <c r="O304" i="61"/>
  <c r="N304" i="61"/>
  <c r="M304" i="61"/>
  <c r="L304" i="61"/>
  <c r="K304" i="61"/>
  <c r="J304" i="61"/>
  <c r="I304" i="61"/>
  <c r="H304" i="61"/>
  <c r="G304" i="61"/>
  <c r="F304" i="61"/>
  <c r="E304" i="61"/>
  <c r="D304" i="61"/>
  <c r="C304" i="61"/>
  <c r="AU303" i="61"/>
  <c r="AT303" i="61"/>
  <c r="S303" i="61"/>
  <c r="O303" i="61"/>
  <c r="N303" i="61"/>
  <c r="M303" i="61"/>
  <c r="L303" i="61"/>
  <c r="K303" i="61"/>
  <c r="J303" i="61"/>
  <c r="I303" i="61"/>
  <c r="H303" i="61"/>
  <c r="G303" i="61"/>
  <c r="F303" i="61"/>
  <c r="E303" i="61"/>
  <c r="D303" i="61"/>
  <c r="C303" i="61"/>
  <c r="AU302" i="61"/>
  <c r="AT302" i="61"/>
  <c r="S302" i="61"/>
  <c r="O302" i="61"/>
  <c r="N302" i="61"/>
  <c r="M302" i="61"/>
  <c r="L302" i="61"/>
  <c r="K302" i="61"/>
  <c r="J302" i="61"/>
  <c r="I302" i="61"/>
  <c r="H302" i="61"/>
  <c r="G302" i="61"/>
  <c r="F302" i="61"/>
  <c r="E302" i="61"/>
  <c r="D302" i="61"/>
  <c r="C302" i="61"/>
  <c r="AU301" i="61"/>
  <c r="AT301" i="61"/>
  <c r="S301" i="61"/>
  <c r="O301" i="61"/>
  <c r="N301" i="61"/>
  <c r="M301" i="61"/>
  <c r="L301" i="61"/>
  <c r="K301" i="61"/>
  <c r="J301" i="61"/>
  <c r="I301" i="61"/>
  <c r="H301" i="61"/>
  <c r="G301" i="61"/>
  <c r="F301" i="61"/>
  <c r="E301" i="61"/>
  <c r="D301" i="61"/>
  <c r="C301" i="61"/>
  <c r="AU300" i="61"/>
  <c r="AT300" i="61"/>
  <c r="S300" i="61"/>
  <c r="O300" i="61"/>
  <c r="N300" i="61"/>
  <c r="M300" i="61"/>
  <c r="L300" i="61"/>
  <c r="K300" i="61"/>
  <c r="J300" i="61"/>
  <c r="I300" i="61"/>
  <c r="H300" i="61"/>
  <c r="G300" i="61"/>
  <c r="F300" i="61"/>
  <c r="E300" i="61"/>
  <c r="D300" i="61"/>
  <c r="C300" i="61"/>
  <c r="AU299" i="61"/>
  <c r="AT299" i="61"/>
  <c r="S299" i="61"/>
  <c r="O299" i="61"/>
  <c r="N299" i="61"/>
  <c r="M299" i="61"/>
  <c r="L299" i="61"/>
  <c r="K299" i="61"/>
  <c r="J299" i="61"/>
  <c r="I299" i="61"/>
  <c r="H299" i="61"/>
  <c r="G299" i="61"/>
  <c r="F299" i="61"/>
  <c r="E299" i="61"/>
  <c r="D299" i="61"/>
  <c r="C299" i="61"/>
  <c r="AU298" i="61"/>
  <c r="AT298" i="61"/>
  <c r="S298" i="61"/>
  <c r="O298" i="61"/>
  <c r="N298" i="61"/>
  <c r="M298" i="61"/>
  <c r="L298" i="61"/>
  <c r="K298" i="61"/>
  <c r="J298" i="61"/>
  <c r="I298" i="61"/>
  <c r="H298" i="61"/>
  <c r="G298" i="61"/>
  <c r="F298" i="61"/>
  <c r="E298" i="61"/>
  <c r="D298" i="61"/>
  <c r="C298" i="61"/>
  <c r="AU297" i="61"/>
  <c r="AT297" i="61"/>
  <c r="S297" i="61"/>
  <c r="O297" i="61"/>
  <c r="N297" i="61"/>
  <c r="M297" i="61"/>
  <c r="L297" i="61"/>
  <c r="K297" i="61"/>
  <c r="J297" i="61"/>
  <c r="I297" i="61"/>
  <c r="H297" i="61"/>
  <c r="G297" i="61"/>
  <c r="F297" i="61"/>
  <c r="E297" i="61"/>
  <c r="D297" i="61"/>
  <c r="C297" i="61"/>
  <c r="AU296" i="61"/>
  <c r="AT296" i="61"/>
  <c r="S296" i="61"/>
  <c r="O296" i="61"/>
  <c r="N296" i="61"/>
  <c r="M296" i="61"/>
  <c r="L296" i="61"/>
  <c r="K296" i="61"/>
  <c r="J296" i="61"/>
  <c r="I296" i="61"/>
  <c r="H296" i="61"/>
  <c r="G296" i="61"/>
  <c r="F296" i="61"/>
  <c r="E296" i="61"/>
  <c r="D296" i="61"/>
  <c r="C296" i="61"/>
  <c r="AU295" i="61"/>
  <c r="AT295" i="61"/>
  <c r="S295" i="61"/>
  <c r="O295" i="61"/>
  <c r="M295" i="61"/>
  <c r="L295" i="61"/>
  <c r="K295" i="61"/>
  <c r="J295" i="61"/>
  <c r="I295" i="61"/>
  <c r="H295" i="61"/>
  <c r="G295" i="61"/>
  <c r="F295" i="61"/>
  <c r="E295" i="61"/>
  <c r="D295" i="61"/>
  <c r="C295" i="61"/>
  <c r="B295" i="61"/>
  <c r="AU294" i="61"/>
  <c r="AT294" i="61"/>
  <c r="S294" i="61"/>
  <c r="O294" i="61"/>
  <c r="N294" i="61"/>
  <c r="M294" i="61"/>
  <c r="L294" i="61"/>
  <c r="K294" i="61"/>
  <c r="J294" i="61"/>
  <c r="I294" i="61"/>
  <c r="H294" i="61"/>
  <c r="G294" i="61"/>
  <c r="F294" i="61"/>
  <c r="E294" i="61"/>
  <c r="D294" i="61"/>
  <c r="C294" i="61"/>
  <c r="AU293" i="61"/>
  <c r="AT293" i="61"/>
  <c r="S293" i="61"/>
  <c r="O293" i="61"/>
  <c r="N293" i="61"/>
  <c r="M293" i="61"/>
  <c r="L293" i="61"/>
  <c r="K293" i="61"/>
  <c r="J293" i="61"/>
  <c r="I293" i="61"/>
  <c r="H293" i="61"/>
  <c r="G293" i="61"/>
  <c r="F293" i="61"/>
  <c r="E293" i="61"/>
  <c r="D293" i="61"/>
  <c r="C293" i="61"/>
  <c r="AU292" i="61"/>
  <c r="AT292" i="61"/>
  <c r="S292" i="61"/>
  <c r="O292" i="61"/>
  <c r="N292" i="61"/>
  <c r="M292" i="61"/>
  <c r="L292" i="61"/>
  <c r="K292" i="61"/>
  <c r="J292" i="61"/>
  <c r="I292" i="61"/>
  <c r="H292" i="61"/>
  <c r="G292" i="61"/>
  <c r="F292" i="61"/>
  <c r="E292" i="61"/>
  <c r="D292" i="61"/>
  <c r="C292" i="61"/>
  <c r="AU291" i="61"/>
  <c r="AT291" i="61"/>
  <c r="S291" i="61"/>
  <c r="O291" i="61"/>
  <c r="N291" i="61"/>
  <c r="M291" i="61"/>
  <c r="L291" i="61"/>
  <c r="K291" i="61"/>
  <c r="J291" i="61"/>
  <c r="I291" i="61"/>
  <c r="H291" i="61"/>
  <c r="G291" i="61"/>
  <c r="F291" i="61"/>
  <c r="E291" i="61"/>
  <c r="D291" i="61"/>
  <c r="C291" i="61"/>
  <c r="AU290" i="61"/>
  <c r="AT290" i="61"/>
  <c r="S290" i="61"/>
  <c r="O290" i="61"/>
  <c r="N290" i="61"/>
  <c r="M290" i="61"/>
  <c r="L290" i="61"/>
  <c r="K290" i="61"/>
  <c r="J290" i="61"/>
  <c r="I290" i="61"/>
  <c r="H290" i="61"/>
  <c r="G290" i="61"/>
  <c r="F290" i="61"/>
  <c r="E290" i="61"/>
  <c r="D290" i="61"/>
  <c r="C290" i="61"/>
  <c r="AU289" i="61"/>
  <c r="AT289" i="61"/>
  <c r="S289" i="61"/>
  <c r="O289" i="61"/>
  <c r="N289" i="61"/>
  <c r="M289" i="61"/>
  <c r="L289" i="61"/>
  <c r="K289" i="61"/>
  <c r="J289" i="61"/>
  <c r="I289" i="61"/>
  <c r="H289" i="61"/>
  <c r="G289" i="61"/>
  <c r="F289" i="61"/>
  <c r="E289" i="61"/>
  <c r="D289" i="61"/>
  <c r="C289" i="61"/>
  <c r="AU288" i="61"/>
  <c r="AT288" i="61"/>
  <c r="S288" i="61"/>
  <c r="O288" i="61"/>
  <c r="N288" i="61"/>
  <c r="M288" i="61"/>
  <c r="L288" i="61"/>
  <c r="K288" i="61"/>
  <c r="J288" i="61"/>
  <c r="I288" i="61"/>
  <c r="H288" i="61"/>
  <c r="G288" i="61"/>
  <c r="F288" i="61"/>
  <c r="E288" i="61"/>
  <c r="D288" i="61"/>
  <c r="C288" i="61"/>
  <c r="AU287" i="61"/>
  <c r="AT287" i="61"/>
  <c r="S287" i="61"/>
  <c r="O287" i="61"/>
  <c r="N287" i="61"/>
  <c r="M287" i="61"/>
  <c r="L287" i="61"/>
  <c r="K287" i="61"/>
  <c r="J287" i="61"/>
  <c r="I287" i="61"/>
  <c r="H287" i="61"/>
  <c r="G287" i="61"/>
  <c r="F287" i="61"/>
  <c r="E287" i="61"/>
  <c r="D287" i="61"/>
  <c r="C287" i="61"/>
  <c r="AU286" i="61"/>
  <c r="AT286" i="61"/>
  <c r="S286" i="61"/>
  <c r="O286" i="61"/>
  <c r="N286" i="61"/>
  <c r="M286" i="61"/>
  <c r="L286" i="61"/>
  <c r="K286" i="61"/>
  <c r="J286" i="61"/>
  <c r="I286" i="61"/>
  <c r="H286" i="61"/>
  <c r="G286" i="61"/>
  <c r="F286" i="61"/>
  <c r="E286" i="61"/>
  <c r="D286" i="61"/>
  <c r="C286" i="61"/>
  <c r="AU285" i="61"/>
  <c r="AT285" i="61"/>
  <c r="S285" i="61"/>
  <c r="O285" i="61"/>
  <c r="M285" i="61"/>
  <c r="L285" i="61"/>
  <c r="K285" i="61"/>
  <c r="J285" i="61"/>
  <c r="I285" i="61"/>
  <c r="H285" i="61"/>
  <c r="G285" i="61"/>
  <c r="F285" i="61"/>
  <c r="E285" i="61"/>
  <c r="D285" i="61"/>
  <c r="C285" i="61"/>
  <c r="B285" i="61"/>
  <c r="AU284" i="61"/>
  <c r="AT284" i="61"/>
  <c r="S284" i="61"/>
  <c r="O284" i="61"/>
  <c r="N284" i="61"/>
  <c r="M284" i="61"/>
  <c r="L284" i="61"/>
  <c r="K284" i="61"/>
  <c r="J284" i="61"/>
  <c r="I284" i="61"/>
  <c r="H284" i="61"/>
  <c r="G284" i="61"/>
  <c r="F284" i="61"/>
  <c r="E284" i="61"/>
  <c r="D284" i="61"/>
  <c r="C284" i="61"/>
  <c r="AU283" i="61"/>
  <c r="AT283" i="61"/>
  <c r="S283" i="61"/>
  <c r="O283" i="61"/>
  <c r="N283" i="61"/>
  <c r="M283" i="61"/>
  <c r="L283" i="61"/>
  <c r="K283" i="61"/>
  <c r="J283" i="61"/>
  <c r="I283" i="61"/>
  <c r="H283" i="61"/>
  <c r="G283" i="61"/>
  <c r="F283" i="61"/>
  <c r="E283" i="61"/>
  <c r="D283" i="61"/>
  <c r="C283" i="61"/>
  <c r="AU282" i="61"/>
  <c r="AT282" i="61"/>
  <c r="S282" i="61"/>
  <c r="O282" i="61"/>
  <c r="N282" i="61"/>
  <c r="M282" i="61"/>
  <c r="L282" i="61"/>
  <c r="K282" i="61"/>
  <c r="J282" i="61"/>
  <c r="I282" i="61"/>
  <c r="H282" i="61"/>
  <c r="G282" i="61"/>
  <c r="F282" i="61"/>
  <c r="E282" i="61"/>
  <c r="D282" i="61"/>
  <c r="C282" i="61"/>
  <c r="AU281" i="61"/>
  <c r="AT281" i="61"/>
  <c r="S281" i="61"/>
  <c r="O281" i="61"/>
  <c r="N281" i="61"/>
  <c r="M281" i="61"/>
  <c r="L281" i="61"/>
  <c r="K281" i="61"/>
  <c r="J281" i="61"/>
  <c r="I281" i="61"/>
  <c r="H281" i="61"/>
  <c r="G281" i="61"/>
  <c r="F281" i="61"/>
  <c r="E281" i="61"/>
  <c r="D281" i="61"/>
  <c r="C281" i="61"/>
  <c r="AU280" i="61"/>
  <c r="AT280" i="61"/>
  <c r="S280" i="61"/>
  <c r="O280" i="61"/>
  <c r="N280" i="61"/>
  <c r="M280" i="61"/>
  <c r="L280" i="61"/>
  <c r="K280" i="61"/>
  <c r="J280" i="61"/>
  <c r="I280" i="61"/>
  <c r="H280" i="61"/>
  <c r="G280" i="61"/>
  <c r="F280" i="61"/>
  <c r="E280" i="61"/>
  <c r="D280" i="61"/>
  <c r="C280" i="61"/>
  <c r="AU279" i="61"/>
  <c r="AT279" i="61"/>
  <c r="S279" i="61"/>
  <c r="O279" i="61"/>
  <c r="N279" i="61"/>
  <c r="M279" i="61"/>
  <c r="L279" i="61"/>
  <c r="K279" i="61"/>
  <c r="J279" i="61"/>
  <c r="I279" i="61"/>
  <c r="H279" i="61"/>
  <c r="G279" i="61"/>
  <c r="F279" i="61"/>
  <c r="E279" i="61"/>
  <c r="D279" i="61"/>
  <c r="C279" i="61"/>
  <c r="AU278" i="61"/>
  <c r="AT278" i="61"/>
  <c r="S278" i="61"/>
  <c r="O278" i="61"/>
  <c r="N278" i="61"/>
  <c r="M278" i="61"/>
  <c r="L278" i="61"/>
  <c r="K278" i="61"/>
  <c r="J278" i="61"/>
  <c r="I278" i="61"/>
  <c r="H278" i="61"/>
  <c r="G278" i="61"/>
  <c r="F278" i="61"/>
  <c r="E278" i="61"/>
  <c r="D278" i="61"/>
  <c r="C278" i="61"/>
  <c r="AU277" i="61"/>
  <c r="AT277" i="61"/>
  <c r="S277" i="61"/>
  <c r="O277" i="61"/>
  <c r="N277" i="61"/>
  <c r="M277" i="61"/>
  <c r="L277" i="61"/>
  <c r="K277" i="61"/>
  <c r="J277" i="61"/>
  <c r="I277" i="61"/>
  <c r="H277" i="61"/>
  <c r="G277" i="61"/>
  <c r="F277" i="61"/>
  <c r="E277" i="61"/>
  <c r="D277" i="61"/>
  <c r="C277" i="61"/>
  <c r="AU276" i="61"/>
  <c r="AT276" i="61"/>
  <c r="S276" i="61"/>
  <c r="O276" i="61"/>
  <c r="N276" i="61"/>
  <c r="M276" i="61"/>
  <c r="L276" i="61"/>
  <c r="K276" i="61"/>
  <c r="J276" i="61"/>
  <c r="I276" i="61"/>
  <c r="H276" i="61"/>
  <c r="G276" i="61"/>
  <c r="F276" i="61"/>
  <c r="E276" i="61"/>
  <c r="D276" i="61"/>
  <c r="C276" i="61"/>
  <c r="AU275" i="61"/>
  <c r="AT275" i="61"/>
  <c r="S275" i="61"/>
  <c r="O275" i="61"/>
  <c r="M275" i="61"/>
  <c r="L275" i="61"/>
  <c r="K275" i="61"/>
  <c r="J275" i="61"/>
  <c r="I275" i="61"/>
  <c r="H275" i="61"/>
  <c r="G275" i="61"/>
  <c r="F275" i="61"/>
  <c r="E275" i="61"/>
  <c r="D275" i="61"/>
  <c r="C275" i="61"/>
  <c r="B275" i="61"/>
  <c r="AU274" i="61"/>
  <c r="AT274" i="61"/>
  <c r="S274" i="61"/>
  <c r="O274" i="61"/>
  <c r="N274" i="61"/>
  <c r="M274" i="61"/>
  <c r="L274" i="61"/>
  <c r="K274" i="61"/>
  <c r="J274" i="61"/>
  <c r="I274" i="61"/>
  <c r="H274" i="61"/>
  <c r="G274" i="61"/>
  <c r="F274" i="61"/>
  <c r="E274" i="61"/>
  <c r="D274" i="61"/>
  <c r="C274" i="61"/>
  <c r="AU273" i="61"/>
  <c r="AT273" i="61"/>
  <c r="S273" i="61"/>
  <c r="O273" i="61"/>
  <c r="N273" i="61"/>
  <c r="M273" i="61"/>
  <c r="L273" i="61"/>
  <c r="K273" i="61"/>
  <c r="J273" i="61"/>
  <c r="I273" i="61"/>
  <c r="H273" i="61"/>
  <c r="G273" i="61"/>
  <c r="F273" i="61"/>
  <c r="E273" i="61"/>
  <c r="D273" i="61"/>
  <c r="C273" i="61"/>
  <c r="AU272" i="61"/>
  <c r="AT272" i="61"/>
  <c r="S272" i="61"/>
  <c r="O272" i="61"/>
  <c r="N272" i="61"/>
  <c r="M272" i="61"/>
  <c r="L272" i="61"/>
  <c r="K272" i="61"/>
  <c r="J272" i="61"/>
  <c r="I272" i="61"/>
  <c r="H272" i="61"/>
  <c r="G272" i="61"/>
  <c r="F272" i="61"/>
  <c r="E272" i="61"/>
  <c r="D272" i="61"/>
  <c r="C272" i="61"/>
  <c r="AU271" i="61"/>
  <c r="AT271" i="61"/>
  <c r="S271" i="61"/>
  <c r="O271" i="61"/>
  <c r="N271" i="61"/>
  <c r="M271" i="61"/>
  <c r="L271" i="61"/>
  <c r="K271" i="61"/>
  <c r="J271" i="61"/>
  <c r="I271" i="61"/>
  <c r="H271" i="61"/>
  <c r="G271" i="61"/>
  <c r="F271" i="61"/>
  <c r="E271" i="61"/>
  <c r="D271" i="61"/>
  <c r="C271" i="61"/>
  <c r="AU270" i="61"/>
  <c r="AT270" i="61"/>
  <c r="S270" i="61"/>
  <c r="O270" i="61"/>
  <c r="N270" i="61"/>
  <c r="M270" i="61"/>
  <c r="L270" i="61"/>
  <c r="K270" i="61"/>
  <c r="J270" i="61"/>
  <c r="I270" i="61"/>
  <c r="H270" i="61"/>
  <c r="G270" i="61"/>
  <c r="F270" i="61"/>
  <c r="E270" i="61"/>
  <c r="D270" i="61"/>
  <c r="C270" i="61"/>
  <c r="AU269" i="61"/>
  <c r="AT269" i="61"/>
  <c r="S269" i="61"/>
  <c r="O269" i="61"/>
  <c r="N269" i="61"/>
  <c r="M269" i="61"/>
  <c r="L269" i="61"/>
  <c r="K269" i="61"/>
  <c r="J269" i="61"/>
  <c r="I269" i="61"/>
  <c r="H269" i="61"/>
  <c r="G269" i="61"/>
  <c r="F269" i="61"/>
  <c r="E269" i="61"/>
  <c r="D269" i="61"/>
  <c r="C269" i="61"/>
  <c r="AU268" i="61"/>
  <c r="AT268" i="61"/>
  <c r="S268" i="61"/>
  <c r="O268" i="61"/>
  <c r="N268" i="61"/>
  <c r="M268" i="61"/>
  <c r="L268" i="61"/>
  <c r="K268" i="61"/>
  <c r="J268" i="61"/>
  <c r="I268" i="61"/>
  <c r="H268" i="61"/>
  <c r="G268" i="61"/>
  <c r="F268" i="61"/>
  <c r="E268" i="61"/>
  <c r="D268" i="61"/>
  <c r="C268" i="61"/>
  <c r="AU267" i="61"/>
  <c r="AT267" i="61"/>
  <c r="S267" i="61"/>
  <c r="O267" i="61"/>
  <c r="N267" i="61"/>
  <c r="M267" i="61"/>
  <c r="L267" i="61"/>
  <c r="K267" i="61"/>
  <c r="J267" i="61"/>
  <c r="I267" i="61"/>
  <c r="H267" i="61"/>
  <c r="G267" i="61"/>
  <c r="F267" i="61"/>
  <c r="E267" i="61"/>
  <c r="D267" i="61"/>
  <c r="C267" i="61"/>
  <c r="AU266" i="61"/>
  <c r="AT266" i="61"/>
  <c r="S266" i="61"/>
  <c r="O266" i="61"/>
  <c r="N266" i="61"/>
  <c r="M266" i="61"/>
  <c r="L266" i="61"/>
  <c r="K266" i="61"/>
  <c r="J266" i="61"/>
  <c r="I266" i="61"/>
  <c r="H266" i="61"/>
  <c r="G266" i="61"/>
  <c r="F266" i="61"/>
  <c r="E266" i="61"/>
  <c r="D266" i="61"/>
  <c r="C266" i="61"/>
  <c r="AU265" i="61"/>
  <c r="AT265" i="61"/>
  <c r="S265" i="61"/>
  <c r="O265" i="61"/>
  <c r="M265" i="61"/>
  <c r="L265" i="61"/>
  <c r="K265" i="61"/>
  <c r="J265" i="61"/>
  <c r="I265" i="61"/>
  <c r="H265" i="61"/>
  <c r="G265" i="61"/>
  <c r="F265" i="61"/>
  <c r="E265" i="61"/>
  <c r="D265" i="61"/>
  <c r="C265" i="61"/>
  <c r="B265" i="61"/>
  <c r="AU264" i="61"/>
  <c r="AT264" i="61"/>
  <c r="S264" i="61"/>
  <c r="O264" i="61"/>
  <c r="N264" i="61"/>
  <c r="M264" i="61"/>
  <c r="L264" i="61"/>
  <c r="K264" i="61"/>
  <c r="J264" i="61"/>
  <c r="I264" i="61"/>
  <c r="H264" i="61"/>
  <c r="G264" i="61"/>
  <c r="F264" i="61"/>
  <c r="E264" i="61"/>
  <c r="D264" i="61"/>
  <c r="C264" i="61"/>
  <c r="AU263" i="61"/>
  <c r="AT263" i="61"/>
  <c r="S263" i="61"/>
  <c r="O263" i="61"/>
  <c r="N263" i="61"/>
  <c r="M263" i="61"/>
  <c r="L263" i="61"/>
  <c r="K263" i="61"/>
  <c r="J263" i="61"/>
  <c r="I263" i="61"/>
  <c r="H263" i="61"/>
  <c r="G263" i="61"/>
  <c r="F263" i="61"/>
  <c r="E263" i="61"/>
  <c r="D263" i="61"/>
  <c r="C263" i="61"/>
  <c r="AU262" i="61"/>
  <c r="AT262" i="61"/>
  <c r="S262" i="61"/>
  <c r="O262" i="61"/>
  <c r="N262" i="61"/>
  <c r="M262" i="61"/>
  <c r="L262" i="61"/>
  <c r="K262" i="61"/>
  <c r="J262" i="61"/>
  <c r="I262" i="61"/>
  <c r="H262" i="61"/>
  <c r="G262" i="61"/>
  <c r="F262" i="61"/>
  <c r="E262" i="61"/>
  <c r="D262" i="61"/>
  <c r="C262" i="61"/>
  <c r="AU261" i="61"/>
  <c r="AT261" i="61"/>
  <c r="S261" i="61"/>
  <c r="O261" i="61"/>
  <c r="N261" i="61"/>
  <c r="M261" i="61"/>
  <c r="L261" i="61"/>
  <c r="K261" i="61"/>
  <c r="J261" i="61"/>
  <c r="I261" i="61"/>
  <c r="H261" i="61"/>
  <c r="G261" i="61"/>
  <c r="F261" i="61"/>
  <c r="E261" i="61"/>
  <c r="D261" i="61"/>
  <c r="C261" i="61"/>
  <c r="AU260" i="61"/>
  <c r="AT260" i="61"/>
  <c r="S260" i="61"/>
  <c r="O260" i="61"/>
  <c r="N260" i="61"/>
  <c r="M260" i="61"/>
  <c r="L260" i="61"/>
  <c r="K260" i="61"/>
  <c r="J260" i="61"/>
  <c r="I260" i="61"/>
  <c r="H260" i="61"/>
  <c r="G260" i="61"/>
  <c r="F260" i="61"/>
  <c r="E260" i="61"/>
  <c r="D260" i="61"/>
  <c r="C260" i="61"/>
  <c r="AU259" i="61"/>
  <c r="AT259" i="61"/>
  <c r="S259" i="61"/>
  <c r="O259" i="61"/>
  <c r="N259" i="61"/>
  <c r="M259" i="61"/>
  <c r="L259" i="61"/>
  <c r="K259" i="61"/>
  <c r="J259" i="61"/>
  <c r="I259" i="61"/>
  <c r="H259" i="61"/>
  <c r="G259" i="61"/>
  <c r="F259" i="61"/>
  <c r="E259" i="61"/>
  <c r="D259" i="61"/>
  <c r="C259" i="61"/>
  <c r="AU258" i="61"/>
  <c r="AT258" i="61"/>
  <c r="S258" i="61"/>
  <c r="O258" i="61"/>
  <c r="N258" i="61"/>
  <c r="M258" i="61"/>
  <c r="L258" i="61"/>
  <c r="K258" i="61"/>
  <c r="J258" i="61"/>
  <c r="I258" i="61"/>
  <c r="H258" i="61"/>
  <c r="G258" i="61"/>
  <c r="F258" i="61"/>
  <c r="E258" i="61"/>
  <c r="D258" i="61"/>
  <c r="C258" i="61"/>
  <c r="AU257" i="61"/>
  <c r="AT257" i="61"/>
  <c r="S257" i="61"/>
  <c r="O257" i="61"/>
  <c r="N257" i="61"/>
  <c r="M257" i="61"/>
  <c r="L257" i="61"/>
  <c r="K257" i="61"/>
  <c r="J257" i="61"/>
  <c r="I257" i="61"/>
  <c r="H257" i="61"/>
  <c r="G257" i="61"/>
  <c r="F257" i="61"/>
  <c r="E257" i="61"/>
  <c r="D257" i="61"/>
  <c r="C257" i="61"/>
  <c r="AU256" i="61"/>
  <c r="AT256" i="61"/>
  <c r="S256" i="61"/>
  <c r="O256" i="61"/>
  <c r="N256" i="61"/>
  <c r="M256" i="61"/>
  <c r="L256" i="61"/>
  <c r="K256" i="61"/>
  <c r="J256" i="61"/>
  <c r="I256" i="61"/>
  <c r="H256" i="61"/>
  <c r="G256" i="61"/>
  <c r="F256" i="61"/>
  <c r="E256" i="61"/>
  <c r="D256" i="61"/>
  <c r="C256" i="61"/>
  <c r="AU255" i="61"/>
  <c r="AT255" i="61"/>
  <c r="S255" i="61"/>
  <c r="O255" i="61"/>
  <c r="M255" i="61"/>
  <c r="L255" i="61"/>
  <c r="K255" i="61"/>
  <c r="J255" i="61"/>
  <c r="I255" i="61"/>
  <c r="H255" i="61"/>
  <c r="G255" i="61"/>
  <c r="F255" i="61"/>
  <c r="E255" i="61"/>
  <c r="D255" i="61"/>
  <c r="C255" i="61"/>
  <c r="B255" i="61"/>
  <c r="AU254" i="61"/>
  <c r="AT254" i="61"/>
  <c r="S254" i="61"/>
  <c r="O254" i="61"/>
  <c r="N254" i="61"/>
  <c r="M254" i="61"/>
  <c r="L254" i="61"/>
  <c r="K254" i="61"/>
  <c r="J254" i="61"/>
  <c r="I254" i="61"/>
  <c r="H254" i="61"/>
  <c r="G254" i="61"/>
  <c r="F254" i="61"/>
  <c r="E254" i="61"/>
  <c r="D254" i="61"/>
  <c r="C254" i="61"/>
  <c r="AU253" i="61"/>
  <c r="AT253" i="61"/>
  <c r="S253" i="61"/>
  <c r="O253" i="61"/>
  <c r="N253" i="61"/>
  <c r="M253" i="61"/>
  <c r="L253" i="61"/>
  <c r="K253" i="61"/>
  <c r="J253" i="61"/>
  <c r="I253" i="61"/>
  <c r="H253" i="61"/>
  <c r="G253" i="61"/>
  <c r="F253" i="61"/>
  <c r="E253" i="61"/>
  <c r="D253" i="61"/>
  <c r="C253" i="61"/>
  <c r="AU252" i="61"/>
  <c r="AT252" i="61"/>
  <c r="S252" i="61"/>
  <c r="O252" i="61"/>
  <c r="N252" i="61"/>
  <c r="M252" i="61"/>
  <c r="L252" i="61"/>
  <c r="K252" i="61"/>
  <c r="J252" i="61"/>
  <c r="I252" i="61"/>
  <c r="H252" i="61"/>
  <c r="G252" i="61"/>
  <c r="F252" i="61"/>
  <c r="E252" i="61"/>
  <c r="D252" i="61"/>
  <c r="C252" i="61"/>
  <c r="AU251" i="61"/>
  <c r="AT251" i="61"/>
  <c r="S251" i="61"/>
  <c r="O251" i="61"/>
  <c r="N251" i="61"/>
  <c r="M251" i="61"/>
  <c r="L251" i="61"/>
  <c r="K251" i="61"/>
  <c r="J251" i="61"/>
  <c r="I251" i="61"/>
  <c r="H251" i="61"/>
  <c r="G251" i="61"/>
  <c r="F251" i="61"/>
  <c r="E251" i="61"/>
  <c r="D251" i="61"/>
  <c r="C251" i="61"/>
  <c r="AU250" i="61"/>
  <c r="AT250" i="61"/>
  <c r="S250" i="61"/>
  <c r="O250" i="61"/>
  <c r="N250" i="61"/>
  <c r="M250" i="61"/>
  <c r="L250" i="61"/>
  <c r="K250" i="61"/>
  <c r="J250" i="61"/>
  <c r="I250" i="61"/>
  <c r="H250" i="61"/>
  <c r="G250" i="61"/>
  <c r="F250" i="61"/>
  <c r="E250" i="61"/>
  <c r="D250" i="61"/>
  <c r="C250" i="61"/>
  <c r="AU249" i="61"/>
  <c r="AT249" i="61"/>
  <c r="S249" i="61"/>
  <c r="O249" i="61"/>
  <c r="N249" i="61"/>
  <c r="M249" i="61"/>
  <c r="L249" i="61"/>
  <c r="K249" i="61"/>
  <c r="J249" i="61"/>
  <c r="I249" i="61"/>
  <c r="H249" i="61"/>
  <c r="G249" i="61"/>
  <c r="F249" i="61"/>
  <c r="E249" i="61"/>
  <c r="D249" i="61"/>
  <c r="C249" i="61"/>
  <c r="AU248" i="61"/>
  <c r="AT248" i="61"/>
  <c r="S248" i="61"/>
  <c r="O248" i="61"/>
  <c r="N248" i="61"/>
  <c r="M248" i="61"/>
  <c r="L248" i="61"/>
  <c r="K248" i="61"/>
  <c r="J248" i="61"/>
  <c r="I248" i="61"/>
  <c r="H248" i="61"/>
  <c r="G248" i="61"/>
  <c r="F248" i="61"/>
  <c r="E248" i="61"/>
  <c r="D248" i="61"/>
  <c r="C248" i="61"/>
  <c r="AU247" i="61"/>
  <c r="AT247" i="61"/>
  <c r="S247" i="61"/>
  <c r="O247" i="61"/>
  <c r="N247" i="61"/>
  <c r="M247" i="61"/>
  <c r="L247" i="61"/>
  <c r="K247" i="61"/>
  <c r="J247" i="61"/>
  <c r="I247" i="61"/>
  <c r="H247" i="61"/>
  <c r="G247" i="61"/>
  <c r="F247" i="61"/>
  <c r="E247" i="61"/>
  <c r="D247" i="61"/>
  <c r="C247" i="61"/>
  <c r="AU246" i="61"/>
  <c r="AT246" i="61"/>
  <c r="S246" i="61"/>
  <c r="O246" i="61"/>
  <c r="N246" i="61"/>
  <c r="M246" i="61"/>
  <c r="L246" i="61"/>
  <c r="K246" i="61"/>
  <c r="J246" i="61"/>
  <c r="I246" i="61"/>
  <c r="H246" i="61"/>
  <c r="G246" i="61"/>
  <c r="F246" i="61"/>
  <c r="E246" i="61"/>
  <c r="D246" i="61"/>
  <c r="C246" i="61"/>
  <c r="AU245" i="61"/>
  <c r="AT245" i="61"/>
  <c r="S245" i="61"/>
  <c r="O245" i="61"/>
  <c r="M245" i="61"/>
  <c r="L245" i="61"/>
  <c r="K245" i="61"/>
  <c r="J245" i="61"/>
  <c r="I245" i="61"/>
  <c r="H245" i="61"/>
  <c r="G245" i="61"/>
  <c r="F245" i="61"/>
  <c r="E245" i="61"/>
  <c r="D245" i="61"/>
  <c r="C245" i="61"/>
  <c r="B245" i="61"/>
  <c r="AU244" i="61"/>
  <c r="AT244" i="61"/>
  <c r="S244" i="61"/>
  <c r="O244" i="61"/>
  <c r="N244" i="61"/>
  <c r="M244" i="61"/>
  <c r="L244" i="61"/>
  <c r="K244" i="61"/>
  <c r="J244" i="61"/>
  <c r="I244" i="61"/>
  <c r="H244" i="61"/>
  <c r="G244" i="61"/>
  <c r="F244" i="61"/>
  <c r="E244" i="61"/>
  <c r="D244" i="61"/>
  <c r="C244" i="61"/>
  <c r="AU243" i="61"/>
  <c r="AT243" i="61"/>
  <c r="S243" i="61"/>
  <c r="O243" i="61"/>
  <c r="N243" i="61"/>
  <c r="M243" i="61"/>
  <c r="L243" i="61"/>
  <c r="K243" i="61"/>
  <c r="J243" i="61"/>
  <c r="I243" i="61"/>
  <c r="H243" i="61"/>
  <c r="G243" i="61"/>
  <c r="F243" i="61"/>
  <c r="E243" i="61"/>
  <c r="D243" i="61"/>
  <c r="C243" i="61"/>
  <c r="AU242" i="61"/>
  <c r="AT242" i="61"/>
  <c r="S242" i="61"/>
  <c r="O242" i="61"/>
  <c r="N242" i="61"/>
  <c r="M242" i="61"/>
  <c r="L242" i="61"/>
  <c r="K242" i="61"/>
  <c r="J242" i="61"/>
  <c r="I242" i="61"/>
  <c r="H242" i="61"/>
  <c r="G242" i="61"/>
  <c r="F242" i="61"/>
  <c r="E242" i="61"/>
  <c r="D242" i="61"/>
  <c r="C242" i="61"/>
  <c r="AU241" i="61"/>
  <c r="AT241" i="61"/>
  <c r="S241" i="61"/>
  <c r="O241" i="61"/>
  <c r="N241" i="61"/>
  <c r="M241" i="61"/>
  <c r="L241" i="61"/>
  <c r="K241" i="61"/>
  <c r="J241" i="61"/>
  <c r="I241" i="61"/>
  <c r="H241" i="61"/>
  <c r="G241" i="61"/>
  <c r="F241" i="61"/>
  <c r="E241" i="61"/>
  <c r="D241" i="61"/>
  <c r="C241" i="61"/>
  <c r="AU240" i="61"/>
  <c r="AT240" i="61"/>
  <c r="S240" i="61"/>
  <c r="O240" i="61"/>
  <c r="N240" i="61"/>
  <c r="M240" i="61"/>
  <c r="L240" i="61"/>
  <c r="K240" i="61"/>
  <c r="J240" i="61"/>
  <c r="I240" i="61"/>
  <c r="H240" i="61"/>
  <c r="G240" i="61"/>
  <c r="F240" i="61"/>
  <c r="E240" i="61"/>
  <c r="D240" i="61"/>
  <c r="C240" i="61"/>
  <c r="AU239" i="61"/>
  <c r="AT239" i="61"/>
  <c r="S239" i="61"/>
  <c r="O239" i="61"/>
  <c r="N239" i="61"/>
  <c r="M239" i="61"/>
  <c r="L239" i="61"/>
  <c r="K239" i="61"/>
  <c r="J239" i="61"/>
  <c r="I239" i="61"/>
  <c r="H239" i="61"/>
  <c r="G239" i="61"/>
  <c r="F239" i="61"/>
  <c r="E239" i="61"/>
  <c r="D239" i="61"/>
  <c r="C239" i="61"/>
  <c r="AU238" i="61"/>
  <c r="AT238" i="61"/>
  <c r="S238" i="61"/>
  <c r="O238" i="61"/>
  <c r="N238" i="61"/>
  <c r="M238" i="61"/>
  <c r="L238" i="61"/>
  <c r="K238" i="61"/>
  <c r="J238" i="61"/>
  <c r="I238" i="61"/>
  <c r="H238" i="61"/>
  <c r="G238" i="61"/>
  <c r="F238" i="61"/>
  <c r="E238" i="61"/>
  <c r="D238" i="61"/>
  <c r="C238" i="61"/>
  <c r="AU237" i="61"/>
  <c r="AT237" i="61"/>
  <c r="S237" i="61"/>
  <c r="O237" i="61"/>
  <c r="N237" i="61"/>
  <c r="M237" i="61"/>
  <c r="L237" i="61"/>
  <c r="K237" i="61"/>
  <c r="J237" i="61"/>
  <c r="I237" i="61"/>
  <c r="H237" i="61"/>
  <c r="G237" i="61"/>
  <c r="F237" i="61"/>
  <c r="E237" i="61"/>
  <c r="D237" i="61"/>
  <c r="C237" i="61"/>
  <c r="AU236" i="61"/>
  <c r="AT236" i="61"/>
  <c r="S236" i="61"/>
  <c r="O236" i="61"/>
  <c r="N236" i="61"/>
  <c r="M236" i="61"/>
  <c r="L236" i="61"/>
  <c r="K236" i="61"/>
  <c r="J236" i="61"/>
  <c r="I236" i="61"/>
  <c r="H236" i="61"/>
  <c r="G236" i="61"/>
  <c r="F236" i="61"/>
  <c r="E236" i="61"/>
  <c r="D236" i="61"/>
  <c r="C236" i="61"/>
  <c r="AU235" i="61"/>
  <c r="AT235" i="61"/>
  <c r="S235" i="61"/>
  <c r="O235" i="61"/>
  <c r="M235" i="61"/>
  <c r="L235" i="61"/>
  <c r="K235" i="61"/>
  <c r="J235" i="61"/>
  <c r="I235" i="61"/>
  <c r="H235" i="61"/>
  <c r="G235" i="61"/>
  <c r="F235" i="61"/>
  <c r="E235" i="61"/>
  <c r="D235" i="61"/>
  <c r="C235" i="61"/>
  <c r="B235" i="61"/>
  <c r="AU234" i="61"/>
  <c r="AT234" i="61"/>
  <c r="S234" i="61"/>
  <c r="O234" i="61"/>
  <c r="N234" i="61"/>
  <c r="M234" i="61"/>
  <c r="L234" i="61"/>
  <c r="K234" i="61"/>
  <c r="J234" i="61"/>
  <c r="I234" i="61"/>
  <c r="H234" i="61"/>
  <c r="G234" i="61"/>
  <c r="F234" i="61"/>
  <c r="E234" i="61"/>
  <c r="D234" i="61"/>
  <c r="C234" i="61"/>
  <c r="AU233" i="61"/>
  <c r="AT233" i="61"/>
  <c r="S233" i="61"/>
  <c r="O233" i="61"/>
  <c r="N233" i="61"/>
  <c r="M233" i="61"/>
  <c r="L233" i="61"/>
  <c r="K233" i="61"/>
  <c r="J233" i="61"/>
  <c r="I233" i="61"/>
  <c r="H233" i="61"/>
  <c r="G233" i="61"/>
  <c r="F233" i="61"/>
  <c r="E233" i="61"/>
  <c r="D233" i="61"/>
  <c r="C233" i="61"/>
  <c r="AU232" i="61"/>
  <c r="AT232" i="61"/>
  <c r="S232" i="61"/>
  <c r="O232" i="61"/>
  <c r="N232" i="61"/>
  <c r="M232" i="61"/>
  <c r="L232" i="61"/>
  <c r="K232" i="61"/>
  <c r="J232" i="61"/>
  <c r="I232" i="61"/>
  <c r="H232" i="61"/>
  <c r="G232" i="61"/>
  <c r="F232" i="61"/>
  <c r="E232" i="61"/>
  <c r="D232" i="61"/>
  <c r="C232" i="61"/>
  <c r="AU231" i="61"/>
  <c r="AT231" i="61"/>
  <c r="S231" i="61"/>
  <c r="O231" i="61"/>
  <c r="N231" i="61"/>
  <c r="M231" i="61"/>
  <c r="L231" i="61"/>
  <c r="K231" i="61"/>
  <c r="J231" i="61"/>
  <c r="I231" i="61"/>
  <c r="H231" i="61"/>
  <c r="G231" i="61"/>
  <c r="F231" i="61"/>
  <c r="E231" i="61"/>
  <c r="D231" i="61"/>
  <c r="C231" i="61"/>
  <c r="AU230" i="61"/>
  <c r="AT230" i="61"/>
  <c r="S230" i="61"/>
  <c r="O230" i="61"/>
  <c r="N230" i="61"/>
  <c r="M230" i="61"/>
  <c r="L230" i="61"/>
  <c r="K230" i="61"/>
  <c r="J230" i="61"/>
  <c r="I230" i="61"/>
  <c r="H230" i="61"/>
  <c r="G230" i="61"/>
  <c r="F230" i="61"/>
  <c r="E230" i="61"/>
  <c r="D230" i="61"/>
  <c r="C230" i="61"/>
  <c r="AU229" i="61"/>
  <c r="AT229" i="61"/>
  <c r="S229" i="61"/>
  <c r="O229" i="61"/>
  <c r="N229" i="61"/>
  <c r="M229" i="61"/>
  <c r="L229" i="61"/>
  <c r="K229" i="61"/>
  <c r="J229" i="61"/>
  <c r="I229" i="61"/>
  <c r="H229" i="61"/>
  <c r="G229" i="61"/>
  <c r="F229" i="61"/>
  <c r="E229" i="61"/>
  <c r="D229" i="61"/>
  <c r="C229" i="61"/>
  <c r="AU228" i="61"/>
  <c r="AT228" i="61"/>
  <c r="S228" i="61"/>
  <c r="O228" i="61"/>
  <c r="N228" i="61"/>
  <c r="M228" i="61"/>
  <c r="L228" i="61"/>
  <c r="K228" i="61"/>
  <c r="J228" i="61"/>
  <c r="I228" i="61"/>
  <c r="H228" i="61"/>
  <c r="G228" i="61"/>
  <c r="F228" i="61"/>
  <c r="E228" i="61"/>
  <c r="D228" i="61"/>
  <c r="C228" i="61"/>
  <c r="AU227" i="61"/>
  <c r="AT227" i="61"/>
  <c r="S227" i="61"/>
  <c r="O227" i="61"/>
  <c r="N227" i="61"/>
  <c r="M227" i="61"/>
  <c r="L227" i="61"/>
  <c r="K227" i="61"/>
  <c r="J227" i="61"/>
  <c r="I227" i="61"/>
  <c r="H227" i="61"/>
  <c r="G227" i="61"/>
  <c r="F227" i="61"/>
  <c r="E227" i="61"/>
  <c r="D227" i="61"/>
  <c r="C227" i="61"/>
  <c r="AU226" i="61"/>
  <c r="AT226" i="61"/>
  <c r="S226" i="61"/>
  <c r="O226" i="61"/>
  <c r="N226" i="61"/>
  <c r="M226" i="61"/>
  <c r="L226" i="61"/>
  <c r="K226" i="61"/>
  <c r="J226" i="61"/>
  <c r="I226" i="61"/>
  <c r="H226" i="61"/>
  <c r="G226" i="61"/>
  <c r="F226" i="61"/>
  <c r="E226" i="61"/>
  <c r="D226" i="61"/>
  <c r="C226" i="61"/>
  <c r="AU225" i="61"/>
  <c r="AT225" i="61"/>
  <c r="S225" i="61"/>
  <c r="O225" i="61"/>
  <c r="N225" i="61"/>
  <c r="M225" i="61"/>
  <c r="L225" i="61"/>
  <c r="K225" i="61"/>
  <c r="J225" i="61"/>
  <c r="I225" i="61"/>
  <c r="H225" i="61"/>
  <c r="G225" i="61"/>
  <c r="F225" i="61"/>
  <c r="E225" i="61"/>
  <c r="D225" i="61"/>
  <c r="C225" i="61"/>
  <c r="AU224" i="61"/>
  <c r="AT224" i="61"/>
  <c r="S224" i="61"/>
  <c r="O224" i="61"/>
  <c r="N224" i="61"/>
  <c r="M224" i="61"/>
  <c r="L224" i="61"/>
  <c r="K224" i="61"/>
  <c r="J224" i="61"/>
  <c r="I224" i="61"/>
  <c r="H224" i="61"/>
  <c r="G224" i="61"/>
  <c r="F224" i="61"/>
  <c r="E224" i="61"/>
  <c r="D224" i="61"/>
  <c r="C224" i="61"/>
  <c r="AU223" i="61"/>
  <c r="AT223" i="61"/>
  <c r="S223" i="61"/>
  <c r="O223" i="61"/>
  <c r="N223" i="61"/>
  <c r="M223" i="61"/>
  <c r="L223" i="61"/>
  <c r="K223" i="61"/>
  <c r="J223" i="61"/>
  <c r="I223" i="61"/>
  <c r="H223" i="61"/>
  <c r="G223" i="61"/>
  <c r="F223" i="61"/>
  <c r="E223" i="61"/>
  <c r="D223" i="61"/>
  <c r="C223" i="61"/>
  <c r="AU222" i="61"/>
  <c r="AT222" i="61"/>
  <c r="S222" i="61"/>
  <c r="O222" i="61"/>
  <c r="N222" i="61"/>
  <c r="M222" i="61"/>
  <c r="L222" i="61"/>
  <c r="K222" i="61"/>
  <c r="J222" i="61"/>
  <c r="I222" i="61"/>
  <c r="H222" i="61"/>
  <c r="G222" i="61"/>
  <c r="F222" i="61"/>
  <c r="E222" i="61"/>
  <c r="D222" i="61"/>
  <c r="C222" i="61"/>
  <c r="AU221" i="61"/>
  <c r="AT221" i="61"/>
  <c r="S221" i="61"/>
  <c r="O221" i="61"/>
  <c r="N221" i="61"/>
  <c r="M221" i="61"/>
  <c r="L221" i="61"/>
  <c r="K221" i="61"/>
  <c r="J221" i="61"/>
  <c r="I221" i="61"/>
  <c r="H221" i="61"/>
  <c r="G221" i="61"/>
  <c r="F221" i="61"/>
  <c r="E221" i="61"/>
  <c r="D221" i="61"/>
  <c r="C221" i="61"/>
  <c r="AU220" i="61"/>
  <c r="AT220" i="61"/>
  <c r="S220" i="61"/>
  <c r="O220" i="61"/>
  <c r="N220" i="61"/>
  <c r="M220" i="61"/>
  <c r="L220" i="61"/>
  <c r="K220" i="61"/>
  <c r="J220" i="61"/>
  <c r="I220" i="61"/>
  <c r="H220" i="61"/>
  <c r="G220" i="61"/>
  <c r="F220" i="61"/>
  <c r="E220" i="61"/>
  <c r="D220" i="61"/>
  <c r="C220" i="61"/>
  <c r="AU219" i="61"/>
  <c r="AT219" i="61"/>
  <c r="S219" i="61"/>
  <c r="O219" i="61"/>
  <c r="N219" i="61"/>
  <c r="M219" i="61"/>
  <c r="L219" i="61"/>
  <c r="K219" i="61"/>
  <c r="J219" i="61"/>
  <c r="I219" i="61"/>
  <c r="H219" i="61"/>
  <c r="G219" i="61"/>
  <c r="F219" i="61"/>
  <c r="E219" i="61"/>
  <c r="D219" i="61"/>
  <c r="C219" i="61"/>
  <c r="AU218" i="61"/>
  <c r="AT218" i="61"/>
  <c r="S218" i="61"/>
  <c r="O218" i="61"/>
  <c r="N218" i="61"/>
  <c r="M218" i="61"/>
  <c r="L218" i="61"/>
  <c r="K218" i="61"/>
  <c r="J218" i="61"/>
  <c r="I218" i="61"/>
  <c r="H218" i="61"/>
  <c r="G218" i="61"/>
  <c r="F218" i="61"/>
  <c r="E218" i="61"/>
  <c r="D218" i="61"/>
  <c r="C218" i="61"/>
  <c r="AU217" i="61"/>
  <c r="AT217" i="61"/>
  <c r="S217" i="61"/>
  <c r="O217" i="61"/>
  <c r="M217" i="61"/>
  <c r="L217" i="61"/>
  <c r="K217" i="61"/>
  <c r="J217" i="61"/>
  <c r="I217" i="61"/>
  <c r="H217" i="61"/>
  <c r="G217" i="61"/>
  <c r="F217" i="61"/>
  <c r="E217" i="61"/>
  <c r="D217" i="61"/>
  <c r="C217" i="61"/>
  <c r="B217" i="61"/>
  <c r="AU216" i="61"/>
  <c r="AT216" i="61"/>
  <c r="S216" i="61"/>
  <c r="O216" i="61"/>
  <c r="N216" i="61"/>
  <c r="M216" i="61"/>
  <c r="L216" i="61"/>
  <c r="K216" i="61"/>
  <c r="J216" i="61"/>
  <c r="I216" i="61"/>
  <c r="H216" i="61"/>
  <c r="G216" i="61"/>
  <c r="F216" i="61"/>
  <c r="E216" i="61"/>
  <c r="D216" i="61"/>
  <c r="C216" i="61"/>
  <c r="AU215" i="61"/>
  <c r="AT215" i="61"/>
  <c r="S215" i="61"/>
  <c r="O215" i="61"/>
  <c r="N215" i="61"/>
  <c r="M215" i="61"/>
  <c r="L215" i="61"/>
  <c r="K215" i="61"/>
  <c r="J215" i="61"/>
  <c r="I215" i="61"/>
  <c r="H215" i="61"/>
  <c r="G215" i="61"/>
  <c r="F215" i="61"/>
  <c r="E215" i="61"/>
  <c r="D215" i="61"/>
  <c r="C215" i="61"/>
  <c r="AU214" i="61"/>
  <c r="AT214" i="61"/>
  <c r="S214" i="61"/>
  <c r="O214" i="61"/>
  <c r="N214" i="61"/>
  <c r="M214" i="61"/>
  <c r="L214" i="61"/>
  <c r="K214" i="61"/>
  <c r="J214" i="61"/>
  <c r="I214" i="61"/>
  <c r="H214" i="61"/>
  <c r="G214" i="61"/>
  <c r="F214" i="61"/>
  <c r="E214" i="61"/>
  <c r="D214" i="61"/>
  <c r="C214" i="61"/>
  <c r="AU213" i="61"/>
  <c r="AT213" i="61"/>
  <c r="S213" i="61"/>
  <c r="O213" i="61"/>
  <c r="N213" i="61"/>
  <c r="M213" i="61"/>
  <c r="L213" i="61"/>
  <c r="K213" i="61"/>
  <c r="J213" i="61"/>
  <c r="I213" i="61"/>
  <c r="H213" i="61"/>
  <c r="G213" i="61"/>
  <c r="F213" i="61"/>
  <c r="E213" i="61"/>
  <c r="D213" i="61"/>
  <c r="C213" i="61"/>
  <c r="AU212" i="61"/>
  <c r="AT212" i="61"/>
  <c r="S212" i="61"/>
  <c r="O212" i="61"/>
  <c r="N212" i="61"/>
  <c r="M212" i="61"/>
  <c r="L212" i="61"/>
  <c r="K212" i="61"/>
  <c r="J212" i="61"/>
  <c r="I212" i="61"/>
  <c r="H212" i="61"/>
  <c r="G212" i="61"/>
  <c r="F212" i="61"/>
  <c r="E212" i="61"/>
  <c r="D212" i="61"/>
  <c r="C212" i="61"/>
  <c r="AU211" i="61"/>
  <c r="AT211" i="61"/>
  <c r="S211" i="61"/>
  <c r="O211" i="61"/>
  <c r="N211" i="61"/>
  <c r="M211" i="61"/>
  <c r="L211" i="61"/>
  <c r="K211" i="61"/>
  <c r="J211" i="61"/>
  <c r="I211" i="61"/>
  <c r="H211" i="61"/>
  <c r="G211" i="61"/>
  <c r="F211" i="61"/>
  <c r="E211" i="61"/>
  <c r="D211" i="61"/>
  <c r="C211" i="61"/>
  <c r="AU210" i="61"/>
  <c r="AT210" i="61"/>
  <c r="S210" i="61"/>
  <c r="O210" i="61"/>
  <c r="N210" i="61"/>
  <c r="M210" i="61"/>
  <c r="L210" i="61"/>
  <c r="K210" i="61"/>
  <c r="J210" i="61"/>
  <c r="I210" i="61"/>
  <c r="H210" i="61"/>
  <c r="G210" i="61"/>
  <c r="F210" i="61"/>
  <c r="E210" i="61"/>
  <c r="D210" i="61"/>
  <c r="C210" i="61"/>
  <c r="AU209" i="61"/>
  <c r="AT209" i="61"/>
  <c r="S209" i="61"/>
  <c r="O209" i="61"/>
  <c r="N209" i="61"/>
  <c r="M209" i="61"/>
  <c r="L209" i="61"/>
  <c r="K209" i="61"/>
  <c r="J209" i="61"/>
  <c r="I209" i="61"/>
  <c r="H209" i="61"/>
  <c r="G209" i="61"/>
  <c r="F209" i="61"/>
  <c r="E209" i="61"/>
  <c r="D209" i="61"/>
  <c r="C209" i="61"/>
  <c r="AU208" i="61"/>
  <c r="AT208" i="61"/>
  <c r="S208" i="61"/>
  <c r="O208" i="61"/>
  <c r="N208" i="61"/>
  <c r="M208" i="61"/>
  <c r="L208" i="61"/>
  <c r="K208" i="61"/>
  <c r="J208" i="61"/>
  <c r="I208" i="61"/>
  <c r="H208" i="61"/>
  <c r="G208" i="61"/>
  <c r="F208" i="61"/>
  <c r="E208" i="61"/>
  <c r="D208" i="61"/>
  <c r="C208" i="61"/>
  <c r="AU207" i="61"/>
  <c r="AT207" i="61"/>
  <c r="S207" i="61"/>
  <c r="O207" i="61"/>
  <c r="N207" i="61"/>
  <c r="M207" i="61"/>
  <c r="L207" i="61"/>
  <c r="K207" i="61"/>
  <c r="J207" i="61"/>
  <c r="I207" i="61"/>
  <c r="H207" i="61"/>
  <c r="G207" i="61"/>
  <c r="F207" i="61"/>
  <c r="E207" i="61"/>
  <c r="D207" i="61"/>
  <c r="C207" i="61"/>
  <c r="AU206" i="61"/>
  <c r="AT206" i="61"/>
  <c r="S206" i="61"/>
  <c r="O206" i="61"/>
  <c r="N206" i="61"/>
  <c r="M206" i="61"/>
  <c r="L206" i="61"/>
  <c r="K206" i="61"/>
  <c r="J206" i="61"/>
  <c r="I206" i="61"/>
  <c r="H206" i="61"/>
  <c r="G206" i="61"/>
  <c r="F206" i="61"/>
  <c r="E206" i="61"/>
  <c r="D206" i="61"/>
  <c r="C206" i="61"/>
  <c r="AU205" i="61"/>
  <c r="AT205" i="61"/>
  <c r="S205" i="61"/>
  <c r="O205" i="61"/>
  <c r="N205" i="61"/>
  <c r="M205" i="61"/>
  <c r="L205" i="61"/>
  <c r="K205" i="61"/>
  <c r="J205" i="61"/>
  <c r="I205" i="61"/>
  <c r="H205" i="61"/>
  <c r="G205" i="61"/>
  <c r="F205" i="61"/>
  <c r="E205" i="61"/>
  <c r="D205" i="61"/>
  <c r="C205" i="61"/>
  <c r="AU204" i="61"/>
  <c r="AT204" i="61"/>
  <c r="S204" i="61"/>
  <c r="O204" i="61"/>
  <c r="N204" i="61"/>
  <c r="M204" i="61"/>
  <c r="L204" i="61"/>
  <c r="K204" i="61"/>
  <c r="J204" i="61"/>
  <c r="I204" i="61"/>
  <c r="H204" i="61"/>
  <c r="G204" i="61"/>
  <c r="F204" i="61"/>
  <c r="E204" i="61"/>
  <c r="D204" i="61"/>
  <c r="C204" i="61"/>
  <c r="AU203" i="61"/>
  <c r="AT203" i="61"/>
  <c r="S203" i="61"/>
  <c r="O203" i="61"/>
  <c r="N203" i="61"/>
  <c r="M203" i="61"/>
  <c r="L203" i="61"/>
  <c r="K203" i="61"/>
  <c r="J203" i="61"/>
  <c r="I203" i="61"/>
  <c r="H203" i="61"/>
  <c r="G203" i="61"/>
  <c r="F203" i="61"/>
  <c r="E203" i="61"/>
  <c r="D203" i="61"/>
  <c r="C203" i="61"/>
  <c r="AU202" i="61"/>
  <c r="AT202" i="61"/>
  <c r="S202" i="61"/>
  <c r="O202" i="61"/>
  <c r="N202" i="61"/>
  <c r="M202" i="61"/>
  <c r="L202" i="61"/>
  <c r="K202" i="61"/>
  <c r="J202" i="61"/>
  <c r="I202" i="61"/>
  <c r="H202" i="61"/>
  <c r="G202" i="61"/>
  <c r="F202" i="61"/>
  <c r="E202" i="61"/>
  <c r="D202" i="61"/>
  <c r="C202" i="61"/>
  <c r="AU201" i="61"/>
  <c r="AT201" i="61"/>
  <c r="S201" i="61"/>
  <c r="O201" i="61"/>
  <c r="N201" i="61"/>
  <c r="M201" i="61"/>
  <c r="L201" i="61"/>
  <c r="K201" i="61"/>
  <c r="J201" i="61"/>
  <c r="I201" i="61"/>
  <c r="H201" i="61"/>
  <c r="G201" i="61"/>
  <c r="F201" i="61"/>
  <c r="E201" i="61"/>
  <c r="D201" i="61"/>
  <c r="C201" i="61"/>
  <c r="AU200" i="61"/>
  <c r="AT200" i="61"/>
  <c r="S200" i="61"/>
  <c r="O200" i="61"/>
  <c r="N200" i="61"/>
  <c r="M200" i="61"/>
  <c r="L200" i="61"/>
  <c r="K200" i="61"/>
  <c r="J200" i="61"/>
  <c r="I200" i="61"/>
  <c r="H200" i="61"/>
  <c r="G200" i="61"/>
  <c r="F200" i="61"/>
  <c r="E200" i="61"/>
  <c r="D200" i="61"/>
  <c r="C200" i="61"/>
  <c r="AU199" i="61"/>
  <c r="AT199" i="61"/>
  <c r="S199" i="61"/>
  <c r="O199" i="61"/>
  <c r="N199" i="61"/>
  <c r="M199" i="61"/>
  <c r="L199" i="61"/>
  <c r="K199" i="61"/>
  <c r="J199" i="61"/>
  <c r="I199" i="61"/>
  <c r="H199" i="61"/>
  <c r="G199" i="61"/>
  <c r="F199" i="61"/>
  <c r="E199" i="61"/>
  <c r="D199" i="61"/>
  <c r="C199" i="61"/>
  <c r="AU198" i="61"/>
  <c r="AT198" i="61"/>
  <c r="S198" i="61"/>
  <c r="O198" i="61"/>
  <c r="N198" i="61"/>
  <c r="M198" i="61"/>
  <c r="L198" i="61"/>
  <c r="K198" i="61"/>
  <c r="J198" i="61"/>
  <c r="I198" i="61"/>
  <c r="H198" i="61"/>
  <c r="G198" i="61"/>
  <c r="F198" i="61"/>
  <c r="E198" i="61"/>
  <c r="D198" i="61"/>
  <c r="C198" i="61"/>
  <c r="AU197" i="61"/>
  <c r="AT197" i="61"/>
  <c r="S197" i="61"/>
  <c r="O197" i="61"/>
  <c r="M197" i="61"/>
  <c r="L197" i="61"/>
  <c r="K197" i="61"/>
  <c r="J197" i="61"/>
  <c r="I197" i="61"/>
  <c r="H197" i="61"/>
  <c r="G197" i="61"/>
  <c r="F197" i="61"/>
  <c r="E197" i="61"/>
  <c r="D197" i="61"/>
  <c r="C197" i="61"/>
  <c r="B197" i="61"/>
  <c r="AU196" i="61"/>
  <c r="AT196" i="61"/>
  <c r="S196" i="61"/>
  <c r="O196" i="61"/>
  <c r="N196" i="61"/>
  <c r="M196" i="61"/>
  <c r="L196" i="61"/>
  <c r="K196" i="61"/>
  <c r="J196" i="61"/>
  <c r="I196" i="61"/>
  <c r="H196" i="61"/>
  <c r="G196" i="61"/>
  <c r="F196" i="61"/>
  <c r="E196" i="61"/>
  <c r="D196" i="61"/>
  <c r="C196" i="61"/>
  <c r="AU195" i="61"/>
  <c r="AT195" i="61"/>
  <c r="S195" i="61"/>
  <c r="O195" i="61"/>
  <c r="N195" i="61"/>
  <c r="M195" i="61"/>
  <c r="L195" i="61"/>
  <c r="K195" i="61"/>
  <c r="J195" i="61"/>
  <c r="I195" i="61"/>
  <c r="H195" i="61"/>
  <c r="G195" i="61"/>
  <c r="F195" i="61"/>
  <c r="E195" i="61"/>
  <c r="D195" i="61"/>
  <c r="C195" i="61"/>
  <c r="AU194" i="61"/>
  <c r="AT194" i="61"/>
  <c r="S194" i="61"/>
  <c r="O194" i="61"/>
  <c r="N194" i="61"/>
  <c r="M194" i="61"/>
  <c r="L194" i="61"/>
  <c r="K194" i="61"/>
  <c r="J194" i="61"/>
  <c r="I194" i="61"/>
  <c r="H194" i="61"/>
  <c r="G194" i="61"/>
  <c r="F194" i="61"/>
  <c r="E194" i="61"/>
  <c r="D194" i="61"/>
  <c r="C194" i="61"/>
  <c r="AU193" i="61"/>
  <c r="AT193" i="61"/>
  <c r="S193" i="61"/>
  <c r="O193" i="61"/>
  <c r="N193" i="61"/>
  <c r="M193" i="61"/>
  <c r="L193" i="61"/>
  <c r="K193" i="61"/>
  <c r="J193" i="61"/>
  <c r="I193" i="61"/>
  <c r="H193" i="61"/>
  <c r="G193" i="61"/>
  <c r="F193" i="61"/>
  <c r="E193" i="61"/>
  <c r="D193" i="61"/>
  <c r="C193" i="61"/>
  <c r="AU192" i="61"/>
  <c r="AT192" i="61"/>
  <c r="S192" i="61"/>
  <c r="O192" i="61"/>
  <c r="N192" i="61"/>
  <c r="M192" i="61"/>
  <c r="L192" i="61"/>
  <c r="K192" i="61"/>
  <c r="J192" i="61"/>
  <c r="I192" i="61"/>
  <c r="H192" i="61"/>
  <c r="G192" i="61"/>
  <c r="F192" i="61"/>
  <c r="E192" i="61"/>
  <c r="D192" i="61"/>
  <c r="C192" i="61"/>
  <c r="AU191" i="61"/>
  <c r="AT191" i="61"/>
  <c r="S191" i="61"/>
  <c r="O191" i="61"/>
  <c r="N191" i="61"/>
  <c r="M191" i="61"/>
  <c r="L191" i="61"/>
  <c r="K191" i="61"/>
  <c r="J191" i="61"/>
  <c r="I191" i="61"/>
  <c r="H191" i="61"/>
  <c r="G191" i="61"/>
  <c r="F191" i="61"/>
  <c r="E191" i="61"/>
  <c r="D191" i="61"/>
  <c r="C191" i="61"/>
  <c r="AU190" i="61"/>
  <c r="AT190" i="61"/>
  <c r="S190" i="61"/>
  <c r="O190" i="61"/>
  <c r="N190" i="61"/>
  <c r="M190" i="61"/>
  <c r="L190" i="61"/>
  <c r="K190" i="61"/>
  <c r="J190" i="61"/>
  <c r="I190" i="61"/>
  <c r="H190" i="61"/>
  <c r="G190" i="61"/>
  <c r="F190" i="61"/>
  <c r="E190" i="61"/>
  <c r="D190" i="61"/>
  <c r="C190" i="61"/>
  <c r="AU189" i="61"/>
  <c r="AT189" i="61"/>
  <c r="S189" i="61"/>
  <c r="O189" i="61"/>
  <c r="N189" i="61"/>
  <c r="M189" i="61"/>
  <c r="L189" i="61"/>
  <c r="K189" i="61"/>
  <c r="J189" i="61"/>
  <c r="I189" i="61"/>
  <c r="H189" i="61"/>
  <c r="G189" i="61"/>
  <c r="F189" i="61"/>
  <c r="E189" i="61"/>
  <c r="D189" i="61"/>
  <c r="C189" i="61"/>
  <c r="AU188" i="61"/>
  <c r="AT188" i="61"/>
  <c r="S188" i="61"/>
  <c r="O188" i="61"/>
  <c r="N188" i="61"/>
  <c r="M188" i="61"/>
  <c r="L188" i="61"/>
  <c r="K188" i="61"/>
  <c r="J188" i="61"/>
  <c r="I188" i="61"/>
  <c r="H188" i="61"/>
  <c r="G188" i="61"/>
  <c r="F188" i="61"/>
  <c r="E188" i="61"/>
  <c r="D188" i="61"/>
  <c r="C188" i="61"/>
  <c r="AU187" i="61"/>
  <c r="AT187" i="61"/>
  <c r="S187" i="61"/>
  <c r="O187" i="61"/>
  <c r="N187" i="61"/>
  <c r="M187" i="61"/>
  <c r="L187" i="61"/>
  <c r="K187" i="61"/>
  <c r="J187" i="61"/>
  <c r="I187" i="61"/>
  <c r="H187" i="61"/>
  <c r="G187" i="61"/>
  <c r="F187" i="61"/>
  <c r="E187" i="61"/>
  <c r="D187" i="61"/>
  <c r="C187" i="61"/>
  <c r="AU186" i="61"/>
  <c r="AT186" i="61"/>
  <c r="S186" i="61"/>
  <c r="O186" i="61"/>
  <c r="N186" i="61"/>
  <c r="M186" i="61"/>
  <c r="L186" i="61"/>
  <c r="K186" i="61"/>
  <c r="J186" i="61"/>
  <c r="I186" i="61"/>
  <c r="H186" i="61"/>
  <c r="G186" i="61"/>
  <c r="F186" i="61"/>
  <c r="E186" i="61"/>
  <c r="D186" i="61"/>
  <c r="C186" i="61"/>
  <c r="AU185" i="61"/>
  <c r="AT185" i="61"/>
  <c r="S185" i="61"/>
  <c r="O185" i="61"/>
  <c r="N185" i="61"/>
  <c r="M185" i="61"/>
  <c r="L185" i="61"/>
  <c r="K185" i="61"/>
  <c r="J185" i="61"/>
  <c r="I185" i="61"/>
  <c r="H185" i="61"/>
  <c r="G185" i="61"/>
  <c r="F185" i="61"/>
  <c r="E185" i="61"/>
  <c r="D185" i="61"/>
  <c r="C185" i="61"/>
  <c r="AU184" i="61"/>
  <c r="AT184" i="61"/>
  <c r="S184" i="61"/>
  <c r="O184" i="61"/>
  <c r="N184" i="61"/>
  <c r="M184" i="61"/>
  <c r="L184" i="61"/>
  <c r="K184" i="61"/>
  <c r="J184" i="61"/>
  <c r="I184" i="61"/>
  <c r="H184" i="61"/>
  <c r="G184" i="61"/>
  <c r="F184" i="61"/>
  <c r="E184" i="61"/>
  <c r="D184" i="61"/>
  <c r="C184" i="61"/>
  <c r="AU183" i="61"/>
  <c r="AT183" i="61"/>
  <c r="S183" i="61"/>
  <c r="O183" i="61"/>
  <c r="N183" i="61"/>
  <c r="M183" i="61"/>
  <c r="L183" i="61"/>
  <c r="K183" i="61"/>
  <c r="J183" i="61"/>
  <c r="I183" i="61"/>
  <c r="H183" i="61"/>
  <c r="G183" i="61"/>
  <c r="F183" i="61"/>
  <c r="E183" i="61"/>
  <c r="D183" i="61"/>
  <c r="C183" i="61"/>
  <c r="AU182" i="61"/>
  <c r="AT182" i="61"/>
  <c r="S182" i="61"/>
  <c r="O182" i="61"/>
  <c r="N182" i="61"/>
  <c r="M182" i="61"/>
  <c r="L182" i="61"/>
  <c r="K182" i="61"/>
  <c r="J182" i="61"/>
  <c r="I182" i="61"/>
  <c r="H182" i="61"/>
  <c r="G182" i="61"/>
  <c r="F182" i="61"/>
  <c r="E182" i="61"/>
  <c r="D182" i="61"/>
  <c r="C182" i="61"/>
  <c r="AU181" i="61"/>
  <c r="AT181" i="61"/>
  <c r="S181" i="61"/>
  <c r="O181" i="61"/>
  <c r="N181" i="61"/>
  <c r="M181" i="61"/>
  <c r="L181" i="61"/>
  <c r="K181" i="61"/>
  <c r="J181" i="61"/>
  <c r="I181" i="61"/>
  <c r="H181" i="61"/>
  <c r="G181" i="61"/>
  <c r="F181" i="61"/>
  <c r="E181" i="61"/>
  <c r="D181" i="61"/>
  <c r="C181" i="61"/>
  <c r="AU180" i="61"/>
  <c r="AT180" i="61"/>
  <c r="S180" i="61"/>
  <c r="O180" i="61"/>
  <c r="N180" i="61"/>
  <c r="M180" i="61"/>
  <c r="L180" i="61"/>
  <c r="K180" i="61"/>
  <c r="J180" i="61"/>
  <c r="I180" i="61"/>
  <c r="H180" i="61"/>
  <c r="G180" i="61"/>
  <c r="F180" i="61"/>
  <c r="E180" i="61"/>
  <c r="D180" i="61"/>
  <c r="C180" i="61"/>
  <c r="AU179" i="61"/>
  <c r="AT179" i="61"/>
  <c r="S179" i="61"/>
  <c r="O179" i="61"/>
  <c r="N179" i="61"/>
  <c r="M179" i="61"/>
  <c r="L179" i="61"/>
  <c r="K179" i="61"/>
  <c r="J179" i="61"/>
  <c r="I179" i="61"/>
  <c r="H179" i="61"/>
  <c r="G179" i="61"/>
  <c r="F179" i="61"/>
  <c r="E179" i="61"/>
  <c r="D179" i="61"/>
  <c r="C179" i="61"/>
  <c r="AU178" i="61"/>
  <c r="AT178" i="61"/>
  <c r="S178" i="61"/>
  <c r="O178" i="61"/>
  <c r="N178" i="61"/>
  <c r="M178" i="61"/>
  <c r="L178" i="61"/>
  <c r="K178" i="61"/>
  <c r="J178" i="61"/>
  <c r="I178" i="61"/>
  <c r="H178" i="61"/>
  <c r="G178" i="61"/>
  <c r="F178" i="61"/>
  <c r="E178" i="61"/>
  <c r="D178" i="61"/>
  <c r="C178" i="61"/>
  <c r="AU177" i="61"/>
  <c r="AT177" i="61"/>
  <c r="S177" i="61"/>
  <c r="O177" i="61"/>
  <c r="M177" i="61"/>
  <c r="L177" i="61"/>
  <c r="K177" i="61"/>
  <c r="J177" i="61"/>
  <c r="I177" i="61"/>
  <c r="H177" i="61"/>
  <c r="G177" i="61"/>
  <c r="F177" i="61"/>
  <c r="E177" i="61"/>
  <c r="D177" i="61"/>
  <c r="C177" i="61"/>
  <c r="B177" i="61"/>
  <c r="AU176" i="61"/>
  <c r="AT176" i="61"/>
  <c r="S176" i="61"/>
  <c r="O176" i="61"/>
  <c r="N176" i="61"/>
  <c r="M176" i="61"/>
  <c r="L176" i="61"/>
  <c r="K176" i="61"/>
  <c r="J176" i="61"/>
  <c r="I176" i="61"/>
  <c r="H176" i="61"/>
  <c r="G176" i="61"/>
  <c r="F176" i="61"/>
  <c r="E176" i="61"/>
  <c r="D176" i="61"/>
  <c r="C176" i="61"/>
  <c r="AU175" i="61"/>
  <c r="AT175" i="61"/>
  <c r="S175" i="61"/>
  <c r="O175" i="61"/>
  <c r="N175" i="61"/>
  <c r="M175" i="61"/>
  <c r="L175" i="61"/>
  <c r="K175" i="61"/>
  <c r="J175" i="61"/>
  <c r="I175" i="61"/>
  <c r="H175" i="61"/>
  <c r="G175" i="61"/>
  <c r="F175" i="61"/>
  <c r="E175" i="61"/>
  <c r="D175" i="61"/>
  <c r="C175" i="61"/>
  <c r="AU174" i="61"/>
  <c r="AT174" i="61"/>
  <c r="S174" i="61"/>
  <c r="O174" i="61"/>
  <c r="N174" i="61"/>
  <c r="M174" i="61"/>
  <c r="L174" i="61"/>
  <c r="K174" i="61"/>
  <c r="J174" i="61"/>
  <c r="I174" i="61"/>
  <c r="H174" i="61"/>
  <c r="G174" i="61"/>
  <c r="F174" i="61"/>
  <c r="E174" i="61"/>
  <c r="D174" i="61"/>
  <c r="C174" i="61"/>
  <c r="AU173" i="61"/>
  <c r="AT173" i="61"/>
  <c r="S173" i="61"/>
  <c r="O173" i="61"/>
  <c r="N173" i="61"/>
  <c r="M173" i="61"/>
  <c r="L173" i="61"/>
  <c r="K173" i="61"/>
  <c r="J173" i="61"/>
  <c r="I173" i="61"/>
  <c r="H173" i="61"/>
  <c r="G173" i="61"/>
  <c r="F173" i="61"/>
  <c r="E173" i="61"/>
  <c r="D173" i="61"/>
  <c r="C173" i="61"/>
  <c r="AU172" i="61"/>
  <c r="AT172" i="61"/>
  <c r="S172" i="61"/>
  <c r="O172" i="61"/>
  <c r="N172" i="61"/>
  <c r="M172" i="61"/>
  <c r="L172" i="61"/>
  <c r="K172" i="61"/>
  <c r="J172" i="61"/>
  <c r="I172" i="61"/>
  <c r="H172" i="61"/>
  <c r="G172" i="61"/>
  <c r="F172" i="61"/>
  <c r="E172" i="61"/>
  <c r="D172" i="61"/>
  <c r="C172" i="61"/>
  <c r="AU171" i="61"/>
  <c r="AT171" i="61"/>
  <c r="S171" i="61"/>
  <c r="O171" i="61"/>
  <c r="N171" i="61"/>
  <c r="M171" i="61"/>
  <c r="L171" i="61"/>
  <c r="K171" i="61"/>
  <c r="J171" i="61"/>
  <c r="I171" i="61"/>
  <c r="H171" i="61"/>
  <c r="G171" i="61"/>
  <c r="F171" i="61"/>
  <c r="E171" i="61"/>
  <c r="D171" i="61"/>
  <c r="C171" i="61"/>
  <c r="AU170" i="61"/>
  <c r="AT170" i="61"/>
  <c r="S170" i="61"/>
  <c r="O170" i="61"/>
  <c r="N170" i="61"/>
  <c r="M170" i="61"/>
  <c r="L170" i="61"/>
  <c r="K170" i="61"/>
  <c r="J170" i="61"/>
  <c r="I170" i="61"/>
  <c r="H170" i="61"/>
  <c r="G170" i="61"/>
  <c r="F170" i="61"/>
  <c r="E170" i="61"/>
  <c r="D170" i="61"/>
  <c r="C170" i="61"/>
  <c r="AU169" i="61"/>
  <c r="AT169" i="61"/>
  <c r="S169" i="61"/>
  <c r="O169" i="61"/>
  <c r="N169" i="61"/>
  <c r="M169" i="61"/>
  <c r="L169" i="61"/>
  <c r="K169" i="61"/>
  <c r="J169" i="61"/>
  <c r="I169" i="61"/>
  <c r="H169" i="61"/>
  <c r="G169" i="61"/>
  <c r="F169" i="61"/>
  <c r="E169" i="61"/>
  <c r="D169" i="61"/>
  <c r="C169" i="61"/>
  <c r="AU168" i="61"/>
  <c r="AT168" i="61"/>
  <c r="S168" i="61"/>
  <c r="O168" i="61"/>
  <c r="N168" i="61"/>
  <c r="M168" i="61"/>
  <c r="L168" i="61"/>
  <c r="K168" i="61"/>
  <c r="J168" i="61"/>
  <c r="I168" i="61"/>
  <c r="H168" i="61"/>
  <c r="G168" i="61"/>
  <c r="F168" i="61"/>
  <c r="E168" i="61"/>
  <c r="D168" i="61"/>
  <c r="C168" i="61"/>
  <c r="AU167" i="61"/>
  <c r="AT167" i="61"/>
  <c r="S167" i="61"/>
  <c r="O167" i="61"/>
  <c r="N167" i="61"/>
  <c r="M167" i="61"/>
  <c r="L167" i="61"/>
  <c r="K167" i="61"/>
  <c r="J167" i="61"/>
  <c r="I167" i="61"/>
  <c r="H167" i="61"/>
  <c r="G167" i="61"/>
  <c r="F167" i="61"/>
  <c r="E167" i="61"/>
  <c r="D167" i="61"/>
  <c r="C167" i="61"/>
  <c r="AU166" i="61"/>
  <c r="AT166" i="61"/>
  <c r="S166" i="61"/>
  <c r="O166" i="61"/>
  <c r="N166" i="61"/>
  <c r="M166" i="61"/>
  <c r="L166" i="61"/>
  <c r="K166" i="61"/>
  <c r="J166" i="61"/>
  <c r="I166" i="61"/>
  <c r="H166" i="61"/>
  <c r="G166" i="61"/>
  <c r="F166" i="61"/>
  <c r="E166" i="61"/>
  <c r="D166" i="61"/>
  <c r="C166" i="61"/>
  <c r="AU165" i="61"/>
  <c r="AT165" i="61"/>
  <c r="S165" i="61"/>
  <c r="O165" i="61"/>
  <c r="N165" i="61"/>
  <c r="M165" i="61"/>
  <c r="L165" i="61"/>
  <c r="K165" i="61"/>
  <c r="J165" i="61"/>
  <c r="I165" i="61"/>
  <c r="H165" i="61"/>
  <c r="G165" i="61"/>
  <c r="F165" i="61"/>
  <c r="E165" i="61"/>
  <c r="D165" i="61"/>
  <c r="C165" i="61"/>
  <c r="AU164" i="61"/>
  <c r="AT164" i="61"/>
  <c r="S164" i="61"/>
  <c r="O164" i="61"/>
  <c r="N164" i="61"/>
  <c r="M164" i="61"/>
  <c r="L164" i="61"/>
  <c r="K164" i="61"/>
  <c r="J164" i="61"/>
  <c r="I164" i="61"/>
  <c r="H164" i="61"/>
  <c r="G164" i="61"/>
  <c r="F164" i="61"/>
  <c r="E164" i="61"/>
  <c r="D164" i="61"/>
  <c r="C164" i="61"/>
  <c r="AU163" i="61"/>
  <c r="AT163" i="61"/>
  <c r="S163" i="61"/>
  <c r="O163" i="61"/>
  <c r="N163" i="61"/>
  <c r="M163" i="61"/>
  <c r="L163" i="61"/>
  <c r="K163" i="61"/>
  <c r="J163" i="61"/>
  <c r="I163" i="61"/>
  <c r="H163" i="61"/>
  <c r="G163" i="61"/>
  <c r="F163" i="61"/>
  <c r="E163" i="61"/>
  <c r="D163" i="61"/>
  <c r="C163" i="61"/>
  <c r="AU162" i="61"/>
  <c r="AT162" i="61"/>
  <c r="S162" i="61"/>
  <c r="O162" i="61"/>
  <c r="N162" i="61"/>
  <c r="M162" i="61"/>
  <c r="L162" i="61"/>
  <c r="K162" i="61"/>
  <c r="J162" i="61"/>
  <c r="I162" i="61"/>
  <c r="H162" i="61"/>
  <c r="G162" i="61"/>
  <c r="F162" i="61"/>
  <c r="E162" i="61"/>
  <c r="D162" i="61"/>
  <c r="C162" i="61"/>
  <c r="AU161" i="61"/>
  <c r="AT161" i="61"/>
  <c r="S161" i="61"/>
  <c r="O161" i="61"/>
  <c r="N161" i="61"/>
  <c r="M161" i="61"/>
  <c r="L161" i="61"/>
  <c r="K161" i="61"/>
  <c r="J161" i="61"/>
  <c r="I161" i="61"/>
  <c r="H161" i="61"/>
  <c r="G161" i="61"/>
  <c r="F161" i="61"/>
  <c r="E161" i="61"/>
  <c r="D161" i="61"/>
  <c r="C161" i="61"/>
  <c r="AU160" i="61"/>
  <c r="AT160" i="61"/>
  <c r="S160" i="61"/>
  <c r="O160" i="61"/>
  <c r="N160" i="61"/>
  <c r="M160" i="61"/>
  <c r="L160" i="61"/>
  <c r="K160" i="61"/>
  <c r="J160" i="61"/>
  <c r="I160" i="61"/>
  <c r="H160" i="61"/>
  <c r="G160" i="61"/>
  <c r="F160" i="61"/>
  <c r="E160" i="61"/>
  <c r="D160" i="61"/>
  <c r="C160" i="61"/>
  <c r="AU159" i="61"/>
  <c r="AT159" i="61"/>
  <c r="S159" i="61"/>
  <c r="O159" i="61"/>
  <c r="N159" i="61"/>
  <c r="M159" i="61"/>
  <c r="L159" i="61"/>
  <c r="K159" i="61"/>
  <c r="J159" i="61"/>
  <c r="I159" i="61"/>
  <c r="H159" i="61"/>
  <c r="G159" i="61"/>
  <c r="F159" i="61"/>
  <c r="E159" i="61"/>
  <c r="D159" i="61"/>
  <c r="C159" i="61"/>
  <c r="AU158" i="61"/>
  <c r="AT158" i="61"/>
  <c r="S158" i="61"/>
  <c r="O158" i="61"/>
  <c r="N158" i="61"/>
  <c r="M158" i="61"/>
  <c r="L158" i="61"/>
  <c r="K158" i="61"/>
  <c r="J158" i="61"/>
  <c r="I158" i="61"/>
  <c r="H158" i="61"/>
  <c r="G158" i="61"/>
  <c r="F158" i="61"/>
  <c r="E158" i="61"/>
  <c r="D158" i="61"/>
  <c r="C158" i="61"/>
  <c r="AU157" i="61"/>
  <c r="AT157" i="61"/>
  <c r="S157" i="61"/>
  <c r="O157" i="61"/>
  <c r="M157" i="61"/>
  <c r="L157" i="61"/>
  <c r="K157" i="61"/>
  <c r="J157" i="61"/>
  <c r="I157" i="61"/>
  <c r="H157" i="61"/>
  <c r="G157" i="61"/>
  <c r="F157" i="61"/>
  <c r="E157" i="61"/>
  <c r="D157" i="61"/>
  <c r="C157" i="61"/>
  <c r="B157" i="61"/>
  <c r="AU156" i="61"/>
  <c r="AT156" i="61"/>
  <c r="S156" i="61"/>
  <c r="O156" i="61"/>
  <c r="M156" i="61"/>
  <c r="L156" i="61"/>
  <c r="K156" i="61"/>
  <c r="J156" i="61"/>
  <c r="I156" i="61"/>
  <c r="H156" i="61"/>
  <c r="G156" i="61"/>
  <c r="F156" i="61"/>
  <c r="E156" i="61"/>
  <c r="D156" i="61"/>
  <c r="C156" i="61"/>
  <c r="AU155" i="61"/>
  <c r="AT155" i="61"/>
  <c r="S155" i="61"/>
  <c r="O155" i="61"/>
  <c r="M155" i="61"/>
  <c r="L155" i="61"/>
  <c r="K155" i="61"/>
  <c r="J155" i="61"/>
  <c r="I155" i="61"/>
  <c r="H155" i="61"/>
  <c r="G155" i="61"/>
  <c r="F155" i="61"/>
  <c r="E155" i="61"/>
  <c r="D155" i="61"/>
  <c r="C155" i="61"/>
  <c r="AU154" i="61"/>
  <c r="AT154" i="61"/>
  <c r="S154" i="61"/>
  <c r="O154" i="61"/>
  <c r="M154" i="61"/>
  <c r="L154" i="61"/>
  <c r="K154" i="61"/>
  <c r="J154" i="61"/>
  <c r="I154" i="61"/>
  <c r="H154" i="61"/>
  <c r="G154" i="61"/>
  <c r="F154" i="61"/>
  <c r="E154" i="61"/>
  <c r="D154" i="61"/>
  <c r="C154" i="61"/>
  <c r="AU153" i="61"/>
  <c r="AT153" i="61"/>
  <c r="S153" i="61"/>
  <c r="O153" i="61"/>
  <c r="M153" i="61"/>
  <c r="L153" i="61"/>
  <c r="K153" i="61"/>
  <c r="J153" i="61"/>
  <c r="I153" i="61"/>
  <c r="H153" i="61"/>
  <c r="G153" i="61"/>
  <c r="F153" i="61"/>
  <c r="E153" i="61"/>
  <c r="D153" i="61"/>
  <c r="C153" i="61"/>
  <c r="AU152" i="61"/>
  <c r="AT152" i="61"/>
  <c r="S152" i="61"/>
  <c r="O152" i="61"/>
  <c r="M152" i="61"/>
  <c r="L152" i="61"/>
  <c r="K152" i="61"/>
  <c r="J152" i="61"/>
  <c r="I152" i="61"/>
  <c r="H152" i="61"/>
  <c r="G152" i="61"/>
  <c r="F152" i="61"/>
  <c r="E152" i="61"/>
  <c r="D152" i="61"/>
  <c r="C152" i="61"/>
  <c r="AU151" i="61"/>
  <c r="AT151" i="61"/>
  <c r="S151" i="61"/>
  <c r="O151" i="61"/>
  <c r="M151" i="61"/>
  <c r="L151" i="61"/>
  <c r="K151" i="61"/>
  <c r="J151" i="61"/>
  <c r="I151" i="61"/>
  <c r="H151" i="61"/>
  <c r="G151" i="61"/>
  <c r="F151" i="61"/>
  <c r="E151" i="61"/>
  <c r="D151" i="61"/>
  <c r="C151" i="61"/>
  <c r="AU150" i="61"/>
  <c r="AT150" i="61"/>
  <c r="S150" i="61"/>
  <c r="O150" i="61"/>
  <c r="M150" i="61"/>
  <c r="L150" i="61"/>
  <c r="K150" i="61"/>
  <c r="J150" i="61"/>
  <c r="I150" i="61"/>
  <c r="H150" i="61"/>
  <c r="G150" i="61"/>
  <c r="F150" i="61"/>
  <c r="E150" i="61"/>
  <c r="D150" i="61"/>
  <c r="C150" i="61"/>
  <c r="AU149" i="61"/>
  <c r="AT149" i="61"/>
  <c r="S149" i="61"/>
  <c r="O149" i="61"/>
  <c r="M149" i="61"/>
  <c r="L149" i="61"/>
  <c r="K149" i="61"/>
  <c r="J149" i="61"/>
  <c r="I149" i="61"/>
  <c r="H149" i="61"/>
  <c r="G149" i="61"/>
  <c r="F149" i="61"/>
  <c r="E149" i="61"/>
  <c r="D149" i="61"/>
  <c r="C149" i="61"/>
  <c r="AU148" i="61"/>
  <c r="AT148" i="61"/>
  <c r="S148" i="61"/>
  <c r="O148" i="61"/>
  <c r="M148" i="61"/>
  <c r="L148" i="61"/>
  <c r="K148" i="61"/>
  <c r="J148" i="61"/>
  <c r="I148" i="61"/>
  <c r="H148" i="61"/>
  <c r="G148" i="61"/>
  <c r="F148" i="61"/>
  <c r="E148" i="61"/>
  <c r="D148" i="61"/>
  <c r="C148" i="61"/>
  <c r="AU147" i="61"/>
  <c r="AT147" i="61"/>
  <c r="S147" i="61"/>
  <c r="O147" i="61"/>
  <c r="M147" i="61"/>
  <c r="L147" i="61"/>
  <c r="K147" i="61"/>
  <c r="J147" i="61"/>
  <c r="I147" i="61"/>
  <c r="H147" i="61"/>
  <c r="G147" i="61"/>
  <c r="F147" i="61"/>
  <c r="E147" i="61"/>
  <c r="D147" i="61"/>
  <c r="C147" i="61"/>
  <c r="AU146" i="61"/>
  <c r="AT146" i="61"/>
  <c r="S146" i="61"/>
  <c r="O146" i="61"/>
  <c r="M146" i="61"/>
  <c r="L146" i="61"/>
  <c r="K146" i="61"/>
  <c r="J146" i="61"/>
  <c r="I146" i="61"/>
  <c r="H146" i="61"/>
  <c r="G146" i="61"/>
  <c r="F146" i="61"/>
  <c r="E146" i="61"/>
  <c r="D146" i="61"/>
  <c r="C146" i="61"/>
  <c r="AU145" i="61"/>
  <c r="AT145" i="61"/>
  <c r="S145" i="61"/>
  <c r="O145" i="61"/>
  <c r="M145" i="61"/>
  <c r="L145" i="61"/>
  <c r="K145" i="61"/>
  <c r="J145" i="61"/>
  <c r="I145" i="61"/>
  <c r="H145" i="61"/>
  <c r="G145" i="61"/>
  <c r="F145" i="61"/>
  <c r="E145" i="61"/>
  <c r="D145" i="61"/>
  <c r="C145" i="61"/>
  <c r="AU144" i="61"/>
  <c r="AT144" i="61"/>
  <c r="S144" i="61"/>
  <c r="O144" i="61"/>
  <c r="M144" i="61"/>
  <c r="L144" i="61"/>
  <c r="K144" i="61"/>
  <c r="J144" i="61"/>
  <c r="I144" i="61"/>
  <c r="H144" i="61"/>
  <c r="G144" i="61"/>
  <c r="F144" i="61"/>
  <c r="E144" i="61"/>
  <c r="D144" i="61"/>
  <c r="C144" i="61"/>
  <c r="AU143" i="61"/>
  <c r="AT143" i="61"/>
  <c r="S143" i="61"/>
  <c r="O143" i="61"/>
  <c r="M143" i="61"/>
  <c r="L143" i="61"/>
  <c r="K143" i="61"/>
  <c r="J143" i="61"/>
  <c r="I143" i="61"/>
  <c r="H143" i="61"/>
  <c r="G143" i="61"/>
  <c r="F143" i="61"/>
  <c r="E143" i="61"/>
  <c r="D143" i="61"/>
  <c r="C143" i="61"/>
  <c r="AU142" i="61"/>
  <c r="AT142" i="61"/>
  <c r="S142" i="61"/>
  <c r="O142" i="61"/>
  <c r="M142" i="61"/>
  <c r="L142" i="61"/>
  <c r="K142" i="61"/>
  <c r="J142" i="61"/>
  <c r="I142" i="61"/>
  <c r="H142" i="61"/>
  <c r="G142" i="61"/>
  <c r="F142" i="61"/>
  <c r="E142" i="61"/>
  <c r="D142" i="61"/>
  <c r="C142" i="61"/>
  <c r="AU141" i="61"/>
  <c r="AT141" i="61"/>
  <c r="S141" i="61"/>
  <c r="O141" i="61"/>
  <c r="M141" i="61"/>
  <c r="L141" i="61"/>
  <c r="K141" i="61"/>
  <c r="J141" i="61"/>
  <c r="I141" i="61"/>
  <c r="H141" i="61"/>
  <c r="G141" i="61"/>
  <c r="F141" i="61"/>
  <c r="E141" i="61"/>
  <c r="D141" i="61"/>
  <c r="C141" i="61"/>
  <c r="AU140" i="61"/>
  <c r="AT140" i="61"/>
  <c r="S140" i="61"/>
  <c r="O140" i="61"/>
  <c r="M140" i="61"/>
  <c r="L140" i="61"/>
  <c r="K140" i="61"/>
  <c r="J140" i="61"/>
  <c r="I140" i="61"/>
  <c r="H140" i="61"/>
  <c r="G140" i="61"/>
  <c r="F140" i="61"/>
  <c r="E140" i="61"/>
  <c r="D140" i="61"/>
  <c r="C140" i="61"/>
  <c r="AU139" i="61"/>
  <c r="AT139" i="61"/>
  <c r="S139" i="61"/>
  <c r="O139" i="61"/>
  <c r="M139" i="61"/>
  <c r="L139" i="61"/>
  <c r="K139" i="61"/>
  <c r="J139" i="61"/>
  <c r="I139" i="61"/>
  <c r="H139" i="61"/>
  <c r="G139" i="61"/>
  <c r="F139" i="61"/>
  <c r="E139" i="61"/>
  <c r="D139" i="61"/>
  <c r="C139" i="61"/>
  <c r="AU138" i="61"/>
  <c r="AT138" i="61"/>
  <c r="S138" i="61"/>
  <c r="O138" i="61"/>
  <c r="M138" i="61"/>
  <c r="L138" i="61"/>
  <c r="K138" i="61"/>
  <c r="J138" i="61"/>
  <c r="I138" i="61"/>
  <c r="H138" i="61"/>
  <c r="G138" i="61"/>
  <c r="F138" i="61"/>
  <c r="E138" i="61"/>
  <c r="D138" i="61"/>
  <c r="C138" i="61"/>
  <c r="AU137" i="61"/>
  <c r="AT137" i="61"/>
  <c r="S137" i="61"/>
  <c r="O137" i="61"/>
  <c r="M137" i="61"/>
  <c r="L137" i="61"/>
  <c r="K137" i="61"/>
  <c r="J137" i="61"/>
  <c r="I137" i="61"/>
  <c r="H137" i="61"/>
  <c r="G137" i="61"/>
  <c r="F137" i="61"/>
  <c r="E137" i="61"/>
  <c r="D137" i="61"/>
  <c r="C137" i="61"/>
  <c r="B137" i="61"/>
  <c r="AU136" i="61"/>
  <c r="AT136" i="61"/>
  <c r="S136" i="61"/>
  <c r="AU135" i="61"/>
  <c r="AT135" i="61"/>
  <c r="S135" i="61"/>
  <c r="AU134" i="61"/>
  <c r="AT134" i="61"/>
  <c r="S134" i="61"/>
  <c r="AU133" i="61"/>
  <c r="AT133" i="61"/>
  <c r="S133" i="61"/>
  <c r="AU132" i="61"/>
  <c r="AT132" i="61"/>
  <c r="S132" i="61"/>
  <c r="AU131" i="61"/>
  <c r="AT131" i="61"/>
  <c r="S131" i="61"/>
  <c r="AU130" i="61"/>
  <c r="AT130" i="61"/>
  <c r="S130" i="61"/>
  <c r="AU129" i="61"/>
  <c r="AT129" i="61"/>
  <c r="S129" i="61"/>
  <c r="AU128" i="61"/>
  <c r="AT128" i="61"/>
  <c r="S128" i="61"/>
  <c r="AU127" i="61"/>
  <c r="AT127" i="61"/>
  <c r="S127" i="61"/>
  <c r="AU126" i="61"/>
  <c r="AT126" i="61"/>
  <c r="S126" i="61"/>
  <c r="AU125" i="61"/>
  <c r="AT125" i="61"/>
  <c r="S125" i="61"/>
  <c r="AU124" i="61"/>
  <c r="AT124" i="61"/>
  <c r="S124" i="61"/>
  <c r="AU123" i="61"/>
  <c r="AT123" i="61"/>
  <c r="S123" i="61"/>
  <c r="AU122" i="61"/>
  <c r="AT122" i="61"/>
  <c r="S122" i="61"/>
  <c r="AU121" i="61"/>
  <c r="AT121" i="61"/>
  <c r="S121" i="61"/>
  <c r="AU120" i="61"/>
  <c r="AT120" i="61"/>
  <c r="S120" i="61"/>
  <c r="AU119" i="61"/>
  <c r="AT119" i="61"/>
  <c r="S119" i="61"/>
  <c r="AU118" i="61"/>
  <c r="AT118" i="61"/>
  <c r="S118" i="61"/>
  <c r="AU117" i="61"/>
  <c r="AT117" i="61"/>
  <c r="S117" i="61"/>
  <c r="AU116" i="61"/>
  <c r="AT116" i="61"/>
  <c r="S116" i="61"/>
  <c r="AU115" i="61"/>
  <c r="AT115" i="61"/>
  <c r="S115" i="61"/>
  <c r="AU114" i="61"/>
  <c r="AT114" i="61"/>
  <c r="S114" i="61"/>
  <c r="M114" i="61"/>
  <c r="AU113" i="61"/>
  <c r="AT113" i="61"/>
  <c r="S113" i="61"/>
  <c r="AU112" i="61"/>
  <c r="AT112" i="61"/>
  <c r="S112" i="61"/>
  <c r="AU111" i="61"/>
  <c r="AT111" i="61"/>
  <c r="S111" i="61"/>
  <c r="AU110" i="61"/>
  <c r="AT110" i="61"/>
  <c r="S110" i="61"/>
  <c r="AU109" i="61"/>
  <c r="AT109" i="61"/>
  <c r="S109" i="61"/>
  <c r="AU108" i="61"/>
  <c r="AT108" i="61"/>
  <c r="S108" i="61"/>
  <c r="AU107" i="61"/>
  <c r="AT107" i="61"/>
  <c r="S107" i="61"/>
  <c r="AU106" i="61"/>
  <c r="AT106" i="61"/>
  <c r="S106" i="61"/>
  <c r="AU105" i="61"/>
  <c r="AT105" i="61"/>
  <c r="S105" i="61"/>
  <c r="AU104" i="61"/>
  <c r="AT104" i="61"/>
  <c r="S104" i="61"/>
  <c r="AU103" i="61"/>
  <c r="AT103" i="61"/>
  <c r="S103" i="61"/>
  <c r="AU102" i="61"/>
  <c r="AT102" i="61"/>
  <c r="S102" i="61"/>
  <c r="AU101" i="61"/>
  <c r="AT101" i="61"/>
  <c r="S101" i="61"/>
  <c r="AU100" i="61"/>
  <c r="AT100" i="61"/>
  <c r="S100" i="61"/>
  <c r="AU99" i="61"/>
  <c r="AT99" i="61"/>
  <c r="S99" i="61"/>
  <c r="AU98" i="61"/>
  <c r="AT98" i="61"/>
  <c r="S98" i="61"/>
  <c r="AU97" i="61"/>
  <c r="AT97" i="61"/>
  <c r="S97" i="61"/>
  <c r="AU96" i="61"/>
  <c r="AT96" i="61"/>
  <c r="S96" i="61"/>
  <c r="AU95" i="61"/>
  <c r="AT95" i="61"/>
  <c r="S95" i="61"/>
  <c r="AU94" i="61"/>
  <c r="AT94" i="61"/>
  <c r="S94" i="61"/>
  <c r="AU93" i="61"/>
  <c r="AT93" i="61"/>
  <c r="S93" i="61"/>
  <c r="AU92" i="61"/>
  <c r="AT92" i="61"/>
  <c r="S92" i="61"/>
  <c r="AU91" i="61"/>
  <c r="AT91" i="61"/>
  <c r="S91" i="61"/>
  <c r="AU90" i="61"/>
  <c r="AT90" i="61"/>
  <c r="S90" i="61"/>
  <c r="AU89" i="61"/>
  <c r="AT89" i="61"/>
  <c r="S89" i="61"/>
  <c r="AU88" i="61"/>
  <c r="AT88" i="61"/>
  <c r="S88" i="61"/>
  <c r="AU87" i="61"/>
  <c r="AT87" i="61"/>
  <c r="S87" i="61"/>
  <c r="AU86" i="61"/>
  <c r="AT86" i="61"/>
  <c r="S86" i="61"/>
  <c r="AU85" i="61"/>
  <c r="AT85" i="61"/>
  <c r="S85" i="61"/>
  <c r="AU84" i="61"/>
  <c r="AT84" i="61"/>
  <c r="S84" i="61"/>
  <c r="AU83" i="61"/>
  <c r="AT83" i="61"/>
  <c r="S83" i="61"/>
  <c r="AU82" i="61"/>
  <c r="AT82" i="61"/>
  <c r="S82" i="61"/>
  <c r="AU81" i="61"/>
  <c r="AT81" i="61"/>
  <c r="S81" i="61"/>
  <c r="AU80" i="61"/>
  <c r="AT80" i="61"/>
  <c r="S80" i="61"/>
  <c r="AU79" i="61"/>
  <c r="AT79" i="61"/>
  <c r="S79" i="61"/>
  <c r="AU78" i="61"/>
  <c r="AT78" i="61"/>
  <c r="S78" i="61"/>
  <c r="AU77" i="61"/>
  <c r="AT77" i="61"/>
  <c r="S77" i="61"/>
  <c r="AU76" i="61"/>
  <c r="AT76" i="61"/>
  <c r="S76" i="61"/>
  <c r="AU75" i="61"/>
  <c r="AT75" i="61"/>
  <c r="S75" i="61"/>
  <c r="AU74" i="61"/>
  <c r="AT74" i="61"/>
  <c r="S74" i="61"/>
  <c r="AU73" i="61"/>
  <c r="AT73" i="61"/>
  <c r="S73" i="61"/>
  <c r="AU72" i="61"/>
  <c r="AT72" i="61"/>
  <c r="S72" i="61"/>
  <c r="AU71" i="61"/>
  <c r="AT71" i="61"/>
  <c r="S71" i="61"/>
  <c r="AU70" i="61"/>
  <c r="AT70" i="61"/>
  <c r="S70" i="61"/>
  <c r="AU69" i="61"/>
  <c r="AT69" i="61"/>
  <c r="S69" i="61"/>
  <c r="AU68" i="61"/>
  <c r="AT68" i="61"/>
  <c r="S68" i="61"/>
  <c r="AU67" i="61"/>
  <c r="AT67" i="61"/>
  <c r="S67" i="61"/>
  <c r="AU66" i="61"/>
  <c r="AT66" i="61"/>
  <c r="S66" i="61"/>
  <c r="AU65" i="61"/>
  <c r="AT65" i="61"/>
  <c r="S65" i="61"/>
  <c r="AU64" i="61"/>
  <c r="AT64" i="61"/>
  <c r="S64" i="61"/>
  <c r="AU63" i="61"/>
  <c r="AT63" i="61"/>
  <c r="S63" i="61"/>
  <c r="AU62" i="61"/>
  <c r="AT62" i="61"/>
  <c r="S62" i="61"/>
  <c r="AU61" i="61"/>
  <c r="AT61" i="61"/>
  <c r="S61" i="61"/>
  <c r="AU60" i="61"/>
  <c r="AT60" i="61"/>
  <c r="S60" i="61"/>
  <c r="AU59" i="61"/>
  <c r="AT59" i="61"/>
  <c r="S59" i="61"/>
  <c r="AU58" i="61"/>
  <c r="AT58" i="61"/>
  <c r="S58" i="61"/>
  <c r="AU57" i="61"/>
  <c r="AT57" i="61"/>
  <c r="S57" i="61"/>
  <c r="AU56" i="61"/>
  <c r="AT56" i="61"/>
  <c r="S56" i="61"/>
  <c r="AU55" i="61"/>
  <c r="AT55" i="61"/>
  <c r="S55" i="61"/>
  <c r="AU54" i="61"/>
  <c r="AT54" i="61"/>
  <c r="S54" i="61"/>
  <c r="AU53" i="61"/>
  <c r="AT53" i="61"/>
  <c r="S53" i="61"/>
  <c r="AU52" i="61"/>
  <c r="AT52" i="61"/>
  <c r="S52" i="61"/>
  <c r="AU51" i="61"/>
  <c r="AT51" i="61"/>
  <c r="S51" i="61"/>
  <c r="AU50" i="61"/>
  <c r="AT50" i="61"/>
  <c r="S50" i="61"/>
  <c r="AU49" i="61"/>
  <c r="AT49" i="61"/>
  <c r="S49" i="61"/>
  <c r="AU48" i="61"/>
  <c r="AT48" i="61"/>
  <c r="S48" i="61"/>
  <c r="M48" i="61"/>
  <c r="AU47" i="61"/>
  <c r="AT47" i="61"/>
  <c r="S47" i="61"/>
  <c r="AU46" i="61"/>
  <c r="AT46" i="61"/>
  <c r="S46" i="61"/>
  <c r="AU45" i="61"/>
  <c r="AT45" i="61"/>
  <c r="S45" i="61"/>
  <c r="AU44" i="61"/>
  <c r="AT44" i="61"/>
  <c r="S44" i="61"/>
  <c r="AU43" i="61"/>
  <c r="AT43" i="61"/>
  <c r="S43" i="61"/>
  <c r="AU42" i="61"/>
  <c r="AT42" i="61"/>
  <c r="S42" i="61"/>
  <c r="AU41" i="61"/>
  <c r="AT41" i="61"/>
  <c r="S41" i="61"/>
  <c r="AU40" i="61"/>
  <c r="AT40" i="61"/>
  <c r="S40" i="61"/>
  <c r="AU39" i="61"/>
  <c r="AT39" i="61"/>
  <c r="S39" i="61"/>
  <c r="AU38" i="61"/>
  <c r="AT38" i="61"/>
  <c r="S38" i="61"/>
  <c r="AU37" i="61"/>
  <c r="AT37" i="61"/>
  <c r="S37" i="61"/>
  <c r="AU36" i="61"/>
  <c r="AT36" i="61"/>
  <c r="S36" i="61"/>
  <c r="AU35" i="61"/>
  <c r="AT35" i="61"/>
  <c r="S35" i="61"/>
  <c r="AU34" i="61"/>
  <c r="AT34" i="61"/>
  <c r="S34" i="61"/>
  <c r="AU33" i="61"/>
  <c r="AT33" i="61"/>
  <c r="S33" i="61"/>
  <c r="AU32" i="61"/>
  <c r="AT32" i="61"/>
  <c r="S32" i="61"/>
  <c r="AU31" i="61"/>
  <c r="AT31" i="61"/>
  <c r="S31" i="61"/>
  <c r="AU30" i="61"/>
  <c r="AT30" i="61"/>
  <c r="S30" i="61"/>
  <c r="AU29" i="61"/>
  <c r="AT29" i="61"/>
  <c r="S29" i="61"/>
  <c r="AU28" i="61"/>
  <c r="AT28" i="61"/>
  <c r="S28" i="61"/>
  <c r="AU27" i="61"/>
  <c r="AT27" i="61"/>
  <c r="S27" i="61"/>
  <c r="AU26" i="61"/>
  <c r="AT26" i="61"/>
  <c r="S26" i="61"/>
  <c r="AU25" i="61"/>
  <c r="AT25" i="61"/>
  <c r="S25" i="61"/>
  <c r="AU24" i="61"/>
  <c r="AT24" i="61"/>
  <c r="S24" i="61"/>
  <c r="AU23" i="61"/>
  <c r="AT23" i="61"/>
  <c r="S23" i="61"/>
  <c r="AU22" i="61"/>
  <c r="AT22" i="61"/>
  <c r="S22" i="61"/>
  <c r="AU21" i="61"/>
  <c r="AT21" i="61"/>
  <c r="S21" i="61"/>
  <c r="AU20" i="61"/>
  <c r="AT20" i="61"/>
  <c r="S20" i="61"/>
  <c r="AU19" i="61"/>
  <c r="AT19" i="61"/>
  <c r="S19" i="61"/>
  <c r="AU18" i="61"/>
  <c r="AT18" i="61"/>
  <c r="S18" i="61"/>
  <c r="AU17" i="61"/>
  <c r="AT17" i="61"/>
  <c r="S17" i="61"/>
  <c r="AU16" i="61"/>
  <c r="AT16" i="61"/>
  <c r="S16" i="61"/>
  <c r="AU15" i="61"/>
  <c r="AT15" i="61"/>
  <c r="S15" i="61"/>
  <c r="AU14" i="61"/>
  <c r="AT14" i="61"/>
  <c r="S14" i="61"/>
  <c r="AU13" i="61"/>
  <c r="AT13" i="61"/>
  <c r="S13" i="61"/>
  <c r="AU12" i="61"/>
  <c r="AT12" i="61"/>
  <c r="S12" i="61"/>
  <c r="AU11" i="61"/>
  <c r="AT11" i="61"/>
  <c r="S11" i="61"/>
  <c r="AU10" i="61"/>
  <c r="AT10" i="61"/>
  <c r="S10" i="61"/>
  <c r="AU9" i="61"/>
  <c r="AT9" i="61"/>
  <c r="S9" i="61"/>
  <c r="AU8" i="61"/>
  <c r="AT8" i="61"/>
  <c r="S8" i="61"/>
  <c r="AU7" i="61"/>
  <c r="AT7" i="61"/>
  <c r="S7" i="61"/>
  <c r="AU6" i="61"/>
  <c r="AT6" i="61"/>
  <c r="S6" i="61"/>
  <c r="AU5" i="61"/>
  <c r="AT5" i="61"/>
  <c r="S5" i="61"/>
  <c r="AU4" i="61"/>
  <c r="AT4" i="61"/>
  <c r="S4" i="61"/>
  <c r="M2" i="61"/>
  <c r="C4" i="62"/>
  <c r="C3" i="62" s="1"/>
  <c r="B320" i="76"/>
  <c r="N324" i="76" s="1"/>
  <c r="B310" i="76"/>
  <c r="B300" i="76"/>
  <c r="N304" i="76" s="1"/>
  <c r="B290" i="76"/>
  <c r="N294" i="76" s="1"/>
  <c r="B280" i="76"/>
  <c r="N288" i="76" s="1"/>
  <c r="B270" i="76"/>
  <c r="N277" i="76" s="1"/>
  <c r="M261" i="76"/>
  <c r="M262" i="76" s="1"/>
  <c r="M263" i="76" s="1"/>
  <c r="M264" i="76" s="1"/>
  <c r="M265" i="76" s="1"/>
  <c r="M266" i="76" s="1"/>
  <c r="M267" i="76" s="1"/>
  <c r="M268" i="76" s="1"/>
  <c r="M269" i="76" s="1"/>
  <c r="B260" i="76"/>
  <c r="M251" i="76"/>
  <c r="M252" i="76" s="1"/>
  <c r="M253" i="76" s="1"/>
  <c r="B250" i="76"/>
  <c r="N250" i="76" s="1"/>
  <c r="M241" i="76"/>
  <c r="M242" i="76" s="1"/>
  <c r="M243" i="76" s="1"/>
  <c r="M244" i="76" s="1"/>
  <c r="M245" i="76" s="1"/>
  <c r="M246" i="76" s="1"/>
  <c r="M247" i="76" s="1"/>
  <c r="M248" i="76" s="1"/>
  <c r="M249" i="76" s="1"/>
  <c r="B240" i="76"/>
  <c r="M231" i="76"/>
  <c r="M232" i="76" s="1"/>
  <c r="M233" i="76" s="1"/>
  <c r="M234" i="76" s="1"/>
  <c r="M235" i="76" s="1"/>
  <c r="M236" i="76" s="1"/>
  <c r="M237" i="76" s="1"/>
  <c r="M238" i="76" s="1"/>
  <c r="M239" i="76" s="1"/>
  <c r="B230" i="76"/>
  <c r="M221" i="76"/>
  <c r="M222" i="76" s="1"/>
  <c r="B220" i="76"/>
  <c r="N220" i="76" s="1"/>
  <c r="M211" i="76"/>
  <c r="B210" i="76"/>
  <c r="N210" i="76" s="1"/>
  <c r="M201" i="76"/>
  <c r="M202" i="76" s="1"/>
  <c r="M203" i="76" s="1"/>
  <c r="M204" i="76" s="1"/>
  <c r="M205" i="76" s="1"/>
  <c r="M206" i="76" s="1"/>
  <c r="M207" i="76" s="1"/>
  <c r="B200" i="76"/>
  <c r="M191" i="76"/>
  <c r="M192" i="76" s="1"/>
  <c r="M193" i="76" s="1"/>
  <c r="M194" i="76" s="1"/>
  <c r="M195" i="76" s="1"/>
  <c r="M196" i="76" s="1"/>
  <c r="M197" i="76" s="1"/>
  <c r="M198" i="76" s="1"/>
  <c r="B190" i="76"/>
  <c r="M181" i="76"/>
  <c r="M182" i="76" s="1"/>
  <c r="M183" i="76" s="1"/>
  <c r="M184" i="76" s="1"/>
  <c r="M185" i="76" s="1"/>
  <c r="M186" i="76" s="1"/>
  <c r="M187" i="76" s="1"/>
  <c r="M188" i="76" s="1"/>
  <c r="M189" i="76" s="1"/>
  <c r="B180" i="76"/>
  <c r="M171" i="76"/>
  <c r="M172" i="76" s="1"/>
  <c r="M173" i="76" s="1"/>
  <c r="M174" i="76" s="1"/>
  <c r="B170" i="76"/>
  <c r="N170" i="76" s="1"/>
  <c r="M161" i="76"/>
  <c r="M162" i="76" s="1"/>
  <c r="M163" i="76" s="1"/>
  <c r="B160" i="76"/>
  <c r="B148" i="76"/>
  <c r="N157" i="76" s="1"/>
  <c r="N1" i="76"/>
  <c r="R45" i="76"/>
  <c r="Q45" i="76"/>
  <c r="P45" i="76"/>
  <c r="R44" i="76"/>
  <c r="Q44" i="76"/>
  <c r="P44" i="76"/>
  <c r="R43" i="76"/>
  <c r="Q43" i="76"/>
  <c r="P43" i="76"/>
  <c r="R42" i="76"/>
  <c r="Q42" i="76"/>
  <c r="P42" i="76"/>
  <c r="R41" i="76"/>
  <c r="Q41" i="76"/>
  <c r="P41" i="76"/>
  <c r="R40" i="76"/>
  <c r="Q40" i="76"/>
  <c r="P40" i="76"/>
  <c r="R39" i="76"/>
  <c r="Q39" i="76"/>
  <c r="P39" i="76"/>
  <c r="R38" i="76"/>
  <c r="Q38" i="76"/>
  <c r="P38" i="76"/>
  <c r="X37" i="76"/>
  <c r="W37" i="76"/>
  <c r="R37" i="76"/>
  <c r="Q37" i="76"/>
  <c r="P37" i="76"/>
  <c r="X36" i="76"/>
  <c r="W36" i="76"/>
  <c r="R36" i="76"/>
  <c r="Q36" i="76"/>
  <c r="P36" i="76"/>
  <c r="R35" i="76"/>
  <c r="Q35" i="76"/>
  <c r="P35" i="76"/>
  <c r="R34" i="76"/>
  <c r="Q34" i="76"/>
  <c r="P34" i="76"/>
  <c r="R33" i="76"/>
  <c r="Q33" i="76"/>
  <c r="P33" i="76"/>
  <c r="R32" i="76"/>
  <c r="Q32" i="76"/>
  <c r="P32" i="76"/>
  <c r="R31" i="76"/>
  <c r="Q31" i="76"/>
  <c r="P31" i="76"/>
  <c r="R30" i="76"/>
  <c r="Q30" i="76"/>
  <c r="P30" i="76"/>
  <c r="X29" i="76"/>
  <c r="W29" i="76"/>
  <c r="R29" i="76"/>
  <c r="Q29" i="76"/>
  <c r="P29" i="76"/>
  <c r="X28" i="76"/>
  <c r="W28" i="76"/>
  <c r="R28" i="76"/>
  <c r="Q28" i="76"/>
  <c r="P28" i="76"/>
  <c r="R27" i="76"/>
  <c r="Q27" i="76"/>
  <c r="P27" i="76"/>
  <c r="R26" i="76"/>
  <c r="Q26" i="76"/>
  <c r="P26" i="76"/>
  <c r="N19" i="76"/>
  <c r="O19" i="76" s="1"/>
  <c r="N16" i="76"/>
  <c r="O16" i="76" s="1"/>
  <c r="N15" i="76"/>
  <c r="O15" i="76" s="1"/>
  <c r="N14" i="76"/>
  <c r="O14" i="76" s="1"/>
  <c r="P11" i="76"/>
  <c r="P9" i="76"/>
  <c r="P8" i="76"/>
  <c r="S7" i="76"/>
  <c r="S5" i="76" s="1"/>
  <c r="R7" i="76"/>
  <c r="R5" i="76" s="1"/>
  <c r="Q7" i="76"/>
  <c r="Q5" i="76" s="1"/>
  <c r="P3" i="76"/>
  <c r="B497" i="73"/>
  <c r="B487" i="73"/>
  <c r="B477" i="73"/>
  <c r="B467" i="73"/>
  <c r="B457" i="73"/>
  <c r="B447" i="73"/>
  <c r="N455" i="73" s="1"/>
  <c r="M446" i="73"/>
  <c r="M445" i="73"/>
  <c r="M444" i="73"/>
  <c r="M443" i="73"/>
  <c r="M442" i="73"/>
  <c r="M441" i="73"/>
  <c r="M440" i="73"/>
  <c r="M439" i="73"/>
  <c r="M438" i="73"/>
  <c r="B437" i="73"/>
  <c r="N444" i="73" s="1"/>
  <c r="M436" i="73"/>
  <c r="M435" i="73"/>
  <c r="M434" i="73"/>
  <c r="M433" i="73"/>
  <c r="M432" i="73"/>
  <c r="M431" i="73"/>
  <c r="M430" i="73"/>
  <c r="M429" i="73"/>
  <c r="M428" i="73"/>
  <c r="B427" i="73"/>
  <c r="N433" i="73" s="1"/>
  <c r="M426" i="73"/>
  <c r="M425" i="73"/>
  <c r="M424" i="73"/>
  <c r="M423" i="73"/>
  <c r="M422" i="73"/>
  <c r="M421" i="73"/>
  <c r="M420" i="73"/>
  <c r="M419" i="73"/>
  <c r="M418" i="73"/>
  <c r="B417" i="73"/>
  <c r="N422" i="73" s="1"/>
  <c r="M416" i="73"/>
  <c r="M415" i="73"/>
  <c r="M414" i="73"/>
  <c r="M413" i="73"/>
  <c r="M412" i="73"/>
  <c r="M411" i="73"/>
  <c r="M410" i="73"/>
  <c r="M409" i="73"/>
  <c r="M408" i="73"/>
  <c r="B407" i="73"/>
  <c r="N411" i="73" s="1"/>
  <c r="M406" i="73"/>
  <c r="M405" i="73"/>
  <c r="M404" i="73"/>
  <c r="M403" i="73"/>
  <c r="M402" i="73"/>
  <c r="M401" i="73"/>
  <c r="M400" i="73"/>
  <c r="M399" i="73"/>
  <c r="M398" i="73"/>
  <c r="B397" i="73"/>
  <c r="N400" i="73" s="1"/>
  <c r="M396" i="73"/>
  <c r="M395" i="73"/>
  <c r="M394" i="73"/>
  <c r="M393" i="73"/>
  <c r="M392" i="73"/>
  <c r="M391" i="73"/>
  <c r="M390" i="73"/>
  <c r="M389" i="73"/>
  <c r="M388" i="73"/>
  <c r="B387" i="73"/>
  <c r="N389" i="73" s="1"/>
  <c r="M386" i="73"/>
  <c r="M385" i="73"/>
  <c r="M384" i="73"/>
  <c r="M383" i="73"/>
  <c r="M382" i="73"/>
  <c r="M381" i="73"/>
  <c r="M380" i="73"/>
  <c r="M379" i="73"/>
  <c r="M378" i="73"/>
  <c r="B377" i="73"/>
  <c r="N378" i="73" s="1"/>
  <c r="M376" i="73"/>
  <c r="M375" i="73"/>
  <c r="M374" i="73"/>
  <c r="M373" i="73"/>
  <c r="M372" i="73"/>
  <c r="M371" i="73"/>
  <c r="M370" i="73"/>
  <c r="M369" i="73"/>
  <c r="M368" i="73"/>
  <c r="B367" i="73"/>
  <c r="N367" i="73" s="1"/>
  <c r="M366" i="73"/>
  <c r="M365" i="73"/>
  <c r="M364" i="73"/>
  <c r="M363" i="73"/>
  <c r="M362" i="73"/>
  <c r="M361" i="73"/>
  <c r="M360" i="73"/>
  <c r="M359" i="73"/>
  <c r="M358" i="73"/>
  <c r="B357" i="73"/>
  <c r="N366" i="73" s="1"/>
  <c r="M356" i="73"/>
  <c r="M355" i="73"/>
  <c r="M354" i="73"/>
  <c r="M353" i="73"/>
  <c r="M352" i="73"/>
  <c r="M351" i="73"/>
  <c r="M350" i="73"/>
  <c r="M349" i="73"/>
  <c r="M348" i="73"/>
  <c r="B347" i="73"/>
  <c r="N356" i="73" s="1"/>
  <c r="M346" i="73"/>
  <c r="M345" i="73"/>
  <c r="M344" i="73"/>
  <c r="M343" i="73"/>
  <c r="M342" i="73"/>
  <c r="M341" i="73"/>
  <c r="M340" i="73"/>
  <c r="M339" i="73"/>
  <c r="M338" i="73"/>
  <c r="B337" i="73"/>
  <c r="N337" i="73" s="1"/>
  <c r="B325" i="73"/>
  <c r="N336" i="73" s="1"/>
  <c r="L318" i="73"/>
  <c r="N127" i="73"/>
  <c r="L3" i="73"/>
  <c r="Q62" i="71"/>
  <c r="P62" i="71"/>
  <c r="B62" i="71"/>
  <c r="Q61" i="71"/>
  <c r="P61" i="71"/>
  <c r="B61" i="71"/>
  <c r="Q60" i="71"/>
  <c r="P60" i="71"/>
  <c r="B60" i="71"/>
  <c r="Q59" i="71"/>
  <c r="P59" i="71"/>
  <c r="B59" i="71"/>
  <c r="Q58" i="71"/>
  <c r="P58" i="71"/>
  <c r="B58" i="71"/>
  <c r="Q57" i="71"/>
  <c r="P57" i="71"/>
  <c r="B57" i="71"/>
  <c r="Q56" i="71"/>
  <c r="P56" i="71"/>
  <c r="B56" i="71"/>
  <c r="Q55" i="71"/>
  <c r="P55" i="71"/>
  <c r="B55" i="71"/>
  <c r="Q54" i="71"/>
  <c r="P54" i="71"/>
  <c r="B54" i="71"/>
  <c r="Q53" i="71"/>
  <c r="P53" i="71"/>
  <c r="B53" i="71"/>
  <c r="Q52" i="71"/>
  <c r="P52" i="71"/>
  <c r="B52" i="71"/>
  <c r="Q51" i="71"/>
  <c r="P51" i="71"/>
  <c r="B51" i="71"/>
  <c r="Q50" i="71"/>
  <c r="P50" i="71"/>
  <c r="B50" i="71"/>
  <c r="Q49" i="71"/>
  <c r="P49" i="71"/>
  <c r="B49" i="71"/>
  <c r="Q48" i="71"/>
  <c r="P48" i="71"/>
  <c r="B48" i="71"/>
  <c r="Q47" i="71"/>
  <c r="P47" i="71"/>
  <c r="B47" i="71"/>
  <c r="Q46" i="71"/>
  <c r="P46" i="71"/>
  <c r="B46" i="71"/>
  <c r="Q45" i="71"/>
  <c r="P45" i="71"/>
  <c r="B45" i="71"/>
  <c r="Q44" i="71"/>
  <c r="P44" i="71"/>
  <c r="B44" i="71"/>
  <c r="Q17" i="71"/>
  <c r="P17" i="71"/>
  <c r="Q16" i="71"/>
  <c r="P16" i="71"/>
  <c r="Q5" i="71"/>
  <c r="P5" i="71"/>
  <c r="Q22" i="71"/>
  <c r="P22" i="71"/>
  <c r="Q7" i="71"/>
  <c r="P7" i="71"/>
  <c r="Q30" i="71"/>
  <c r="P30" i="71"/>
  <c r="Q9" i="71"/>
  <c r="P9" i="71"/>
  <c r="Q43" i="71"/>
  <c r="P43" i="71"/>
  <c r="Q42" i="71"/>
  <c r="P42" i="71"/>
  <c r="Q15" i="71"/>
  <c r="P15" i="71"/>
  <c r="Q11" i="71"/>
  <c r="P11" i="71"/>
  <c r="Q20" i="71"/>
  <c r="P20" i="71"/>
  <c r="Q39" i="71"/>
  <c r="P39" i="71"/>
  <c r="Q18" i="71"/>
  <c r="P18" i="71"/>
  <c r="Q13" i="71"/>
  <c r="P13" i="71"/>
  <c r="Q27" i="71"/>
  <c r="P27" i="71"/>
  <c r="B27" i="71" s="1"/>
  <c r="Q33" i="71"/>
  <c r="P33" i="71"/>
  <c r="Q23" i="71"/>
  <c r="P23" i="71"/>
  <c r="B23" i="71" s="1"/>
  <c r="Q8" i="71"/>
  <c r="P8" i="71"/>
  <c r="B8" i="71" s="1"/>
  <c r="Q10" i="71"/>
  <c r="P10" i="71"/>
  <c r="B10" i="71" s="1"/>
  <c r="Q25" i="71"/>
  <c r="P25" i="71"/>
  <c r="Q34" i="71"/>
  <c r="P34" i="71"/>
  <c r="B34" i="71" s="1"/>
  <c r="Q40" i="71"/>
  <c r="P40" i="71"/>
  <c r="B40" i="71" s="1"/>
  <c r="Q12" i="71"/>
  <c r="P12" i="71"/>
  <c r="B12" i="71" s="1"/>
  <c r="Q32" i="71"/>
  <c r="P32" i="71"/>
  <c r="B32" i="71" s="1"/>
  <c r="Q29" i="71"/>
  <c r="P29" i="71"/>
  <c r="Q3" i="71"/>
  <c r="P3" i="71"/>
  <c r="B3" i="71" s="1"/>
  <c r="Q4" i="71"/>
  <c r="P4" i="71"/>
  <c r="B4" i="71" s="1"/>
  <c r="Q28" i="71"/>
  <c r="P28" i="71"/>
  <c r="B28" i="71" s="1"/>
  <c r="Q38" i="71"/>
  <c r="P38" i="71"/>
  <c r="B38" i="71" s="1"/>
  <c r="Q21" i="71"/>
  <c r="P21" i="71"/>
  <c r="B21" i="71" s="1"/>
  <c r="Q41" i="71"/>
  <c r="P41" i="71"/>
  <c r="B41" i="71" s="1"/>
  <c r="Q19" i="71"/>
  <c r="P19" i="71"/>
  <c r="B19" i="71" s="1"/>
  <c r="Q31" i="71"/>
  <c r="P31" i="71"/>
  <c r="B31" i="71" s="1"/>
  <c r="Q26" i="71"/>
  <c r="P26" i="71"/>
  <c r="B26" i="71" s="1"/>
  <c r="Q24" i="71"/>
  <c r="P24" i="71"/>
  <c r="B24" i="71" s="1"/>
  <c r="Q14" i="71"/>
  <c r="P14" i="71"/>
  <c r="B14" i="71" s="1"/>
  <c r="Q35" i="71"/>
  <c r="P35" i="71"/>
  <c r="B35" i="71" s="1"/>
  <c r="Q6" i="71"/>
  <c r="P6" i="71"/>
  <c r="B6" i="71" s="1"/>
  <c r="Q36" i="71"/>
  <c r="P36" i="71"/>
  <c r="B36" i="71" s="1"/>
  <c r="Q37" i="71"/>
  <c r="P37" i="71"/>
  <c r="B37" i="71" s="1"/>
  <c r="H1" i="71"/>
  <c r="P7" i="76" s="1"/>
  <c r="U1370" i="24"/>
  <c r="S1370" i="24" a="1"/>
  <c r="O1370" i="24" a="1"/>
  <c r="N1370" i="24" a="1"/>
  <c r="F1370" i="24"/>
  <c r="U1362" i="24"/>
  <c r="S1362" i="24" a="1"/>
  <c r="O1362" i="24" a="1"/>
  <c r="N1362" i="24" a="1"/>
  <c r="F1362" i="24"/>
  <c r="U1364" i="24"/>
  <c r="S1364" i="24" a="1"/>
  <c r="O1364" i="24" a="1"/>
  <c r="N1364" i="24" a="1"/>
  <c r="F1364" i="24"/>
  <c r="U1365" i="24"/>
  <c r="S1365" i="24" a="1"/>
  <c r="O1365" i="24" a="1"/>
  <c r="N1365" i="24" a="1"/>
  <c r="F1365" i="24"/>
  <c r="U1373" i="24"/>
  <c r="S1373" i="24" a="1"/>
  <c r="O1373" i="24" a="1"/>
  <c r="N1373" i="24" a="1"/>
  <c r="F1373" i="24"/>
  <c r="U1361" i="24"/>
  <c r="S1361" i="24" a="1"/>
  <c r="O1361" i="24" a="1"/>
  <c r="N1361" i="24" a="1"/>
  <c r="F1361" i="24"/>
  <c r="U1350" i="24"/>
  <c r="S1350" i="24" a="1"/>
  <c r="O1350" i="24" a="1"/>
  <c r="N1350" i="24" a="1"/>
  <c r="F1350" i="24"/>
  <c r="U1371" i="24"/>
  <c r="S1371" i="24" a="1"/>
  <c r="O1371" i="24" a="1"/>
  <c r="N1371" i="24" a="1"/>
  <c r="F1371" i="24"/>
  <c r="U1369" i="24"/>
  <c r="S1369" i="24" a="1"/>
  <c r="O1369" i="24" a="1"/>
  <c r="N1369" i="24" a="1"/>
  <c r="F1369" i="24"/>
  <c r="U1354" i="24"/>
  <c r="S1354" i="24" a="1"/>
  <c r="O1354" i="24" a="1"/>
  <c r="N1354" i="24" a="1"/>
  <c r="F1354" i="24"/>
  <c r="U1360" i="24"/>
  <c r="S1360" i="24" a="1"/>
  <c r="O1360" i="24" a="1"/>
  <c r="N1360" i="24" a="1"/>
  <c r="F1360" i="24"/>
  <c r="U1353" i="24"/>
  <c r="S1353" i="24" a="1"/>
  <c r="O1353" i="24" a="1"/>
  <c r="N1353" i="24" a="1"/>
  <c r="F1353" i="24"/>
  <c r="U1355" i="24"/>
  <c r="S1355" i="24" a="1"/>
  <c r="O1355" i="24" a="1"/>
  <c r="N1355" i="24" a="1"/>
  <c r="F1355" i="24"/>
  <c r="U1374" i="24"/>
  <c r="S1374" i="24" a="1"/>
  <c r="O1374" i="24" a="1"/>
  <c r="N1374" i="24" a="1"/>
  <c r="F1374" i="24"/>
  <c r="U1366" i="24"/>
  <c r="S1366" i="24" a="1"/>
  <c r="O1366" i="24" a="1"/>
  <c r="N1366" i="24" a="1"/>
  <c r="F1366" i="24"/>
  <c r="U1351" i="24"/>
  <c r="S1351" i="24" a="1"/>
  <c r="O1351" i="24" a="1"/>
  <c r="N1351" i="24" a="1"/>
  <c r="F1351" i="24"/>
  <c r="U1352" i="24"/>
  <c r="S1352" i="24" a="1"/>
  <c r="O1352" i="24" a="1"/>
  <c r="N1352" i="24" a="1"/>
  <c r="F1352" i="24"/>
  <c r="U1358" i="24"/>
  <c r="S1358" i="24" a="1"/>
  <c r="O1358" i="24" a="1"/>
  <c r="N1358" i="24" a="1"/>
  <c r="F1358" i="24"/>
  <c r="U1357" i="24"/>
  <c r="S1357" i="24" a="1"/>
  <c r="O1357" i="24" a="1"/>
  <c r="N1357" i="24" a="1"/>
  <c r="F1357" i="24"/>
  <c r="U1372" i="24"/>
  <c r="S1372" i="24" a="1"/>
  <c r="O1372" i="24" a="1"/>
  <c r="N1372" i="24" a="1"/>
  <c r="F1372" i="24"/>
  <c r="U1359" i="24"/>
  <c r="S1359" i="24" a="1"/>
  <c r="O1359" i="24" a="1"/>
  <c r="N1359" i="24" a="1"/>
  <c r="F1359" i="24"/>
  <c r="U1363" i="24"/>
  <c r="S1363" i="24" a="1"/>
  <c r="O1363" i="24" a="1"/>
  <c r="N1363" i="24" a="1"/>
  <c r="F1363" i="24"/>
  <c r="U1356" i="24"/>
  <c r="S1356" i="24" a="1"/>
  <c r="O1356" i="24" a="1"/>
  <c r="N1356" i="24" a="1"/>
  <c r="F1356" i="24"/>
  <c r="U1367" i="24"/>
  <c r="S1367" i="24" a="1"/>
  <c r="O1367" i="24" a="1"/>
  <c r="N1367" i="24" a="1"/>
  <c r="F1367" i="24"/>
  <c r="U1368" i="24"/>
  <c r="S1368" i="24" a="1"/>
  <c r="O1368" i="24" a="1"/>
  <c r="N1368" i="24" a="1"/>
  <c r="F1368" i="24"/>
  <c r="U1348" i="24"/>
  <c r="S1348" i="24" a="1"/>
  <c r="O1348" i="24" a="1"/>
  <c r="N1348" i="24" a="1"/>
  <c r="F1348" i="24"/>
  <c r="U1341" i="24"/>
  <c r="S1341" i="24" a="1"/>
  <c r="O1341" i="24" a="1"/>
  <c r="N1341" i="24" a="1"/>
  <c r="F1341" i="24"/>
  <c r="U1349" i="24"/>
  <c r="S1349" i="24" a="1"/>
  <c r="O1349" i="24" a="1"/>
  <c r="N1349" i="24" a="1"/>
  <c r="F1349" i="24"/>
  <c r="U1343" i="24"/>
  <c r="S1343" i="24" a="1"/>
  <c r="O1343" i="24" a="1"/>
  <c r="N1343" i="24" a="1"/>
  <c r="F1343" i="24"/>
  <c r="U1344" i="24"/>
  <c r="S1344" i="24" a="1"/>
  <c r="O1344" i="24" a="1"/>
  <c r="N1344" i="24" a="1"/>
  <c r="F1344" i="24"/>
  <c r="U1342" i="24"/>
  <c r="S1342" i="24" a="1"/>
  <c r="O1342" i="24" a="1"/>
  <c r="N1342" i="24" a="1"/>
  <c r="F1342" i="24"/>
  <c r="U1347" i="24"/>
  <c r="S1347" i="24" a="1"/>
  <c r="O1347" i="24" a="1"/>
  <c r="N1347" i="24" a="1"/>
  <c r="F1347" i="24"/>
  <c r="U1346" i="24"/>
  <c r="S1346" i="24" a="1"/>
  <c r="O1346" i="24" a="1"/>
  <c r="N1346" i="24" a="1"/>
  <c r="F1346" i="24"/>
  <c r="U1345" i="24"/>
  <c r="S1345" i="24" a="1"/>
  <c r="O1345" i="24" a="1"/>
  <c r="N1345" i="24" a="1"/>
  <c r="F1345" i="24"/>
  <c r="U1336" i="24"/>
  <c r="S1336" i="24" a="1"/>
  <c r="O1336" i="24" a="1"/>
  <c r="N1336" i="24" a="1"/>
  <c r="F1336" i="24"/>
  <c r="U1338" i="24"/>
  <c r="S1338" i="24" a="1"/>
  <c r="O1338" i="24" a="1"/>
  <c r="N1338" i="24" a="1"/>
  <c r="F1338" i="24"/>
  <c r="U1335" i="24"/>
  <c r="S1335" i="24" a="1"/>
  <c r="O1335" i="24" a="1"/>
  <c r="N1335" i="24" a="1"/>
  <c r="F1335" i="24"/>
  <c r="U1334" i="24"/>
  <c r="S1334" i="24" a="1"/>
  <c r="O1334" i="24" a="1"/>
  <c r="N1334" i="24" a="1"/>
  <c r="F1334" i="24"/>
  <c r="U1339" i="24"/>
  <c r="S1339" i="24" a="1"/>
  <c r="O1339" i="24" a="1"/>
  <c r="N1339" i="24" a="1"/>
  <c r="F1339" i="24"/>
  <c r="U1337" i="24"/>
  <c r="S1337" i="24" a="1"/>
  <c r="O1337" i="24" a="1"/>
  <c r="N1337" i="24" a="1"/>
  <c r="F1337" i="24"/>
  <c r="U1332" i="24"/>
  <c r="S1332" i="24" a="1"/>
  <c r="O1332" i="24" a="1"/>
  <c r="N1332" i="24" a="1"/>
  <c r="F1332" i="24"/>
  <c r="U1333" i="24"/>
  <c r="S1333" i="24" a="1"/>
  <c r="O1333" i="24" a="1"/>
  <c r="N1333" i="24" a="1"/>
  <c r="F1333" i="24"/>
  <c r="U1340" i="24"/>
  <c r="S1340" i="24" a="1"/>
  <c r="O1340" i="24" a="1"/>
  <c r="N1340" i="24" a="1"/>
  <c r="F1340" i="24"/>
  <c r="U1323" i="24"/>
  <c r="S1323" i="24" a="1"/>
  <c r="O1323" i="24" a="1"/>
  <c r="N1323" i="24" a="1"/>
  <c r="F1323" i="24"/>
  <c r="U1330" i="24"/>
  <c r="S1330" i="24" a="1"/>
  <c r="O1330" i="24" a="1"/>
  <c r="N1330" i="24" a="1"/>
  <c r="F1330" i="24"/>
  <c r="U1322" i="24"/>
  <c r="S1322" i="24" a="1"/>
  <c r="O1322" i="24" a="1"/>
  <c r="N1322" i="24" a="1"/>
  <c r="F1322" i="24"/>
  <c r="U1320" i="24"/>
  <c r="S1320" i="24" a="1"/>
  <c r="O1320" i="24" a="1"/>
  <c r="N1320" i="24" a="1"/>
  <c r="F1320" i="24"/>
  <c r="U1321" i="24"/>
  <c r="S1321" i="24" a="1"/>
  <c r="O1321" i="24" a="1"/>
  <c r="N1321" i="24" a="1"/>
  <c r="F1321" i="24"/>
  <c r="U1329" i="24"/>
  <c r="S1329" i="24" a="1"/>
  <c r="O1329" i="24" a="1"/>
  <c r="N1329" i="24" a="1"/>
  <c r="F1329" i="24"/>
  <c r="U1326" i="24"/>
  <c r="S1326" i="24" a="1"/>
  <c r="O1326" i="24" a="1"/>
  <c r="N1326" i="24" a="1"/>
  <c r="F1326" i="24"/>
  <c r="U1318" i="24"/>
  <c r="S1318" i="24" a="1"/>
  <c r="O1318" i="24" a="1"/>
  <c r="N1318" i="24" a="1"/>
  <c r="F1318" i="24"/>
  <c r="U1325" i="24"/>
  <c r="S1325" i="24" a="1"/>
  <c r="O1325" i="24" a="1"/>
  <c r="N1325" i="24" a="1"/>
  <c r="F1325" i="24"/>
  <c r="U1324" i="24"/>
  <c r="S1324" i="24" a="1"/>
  <c r="O1324" i="24" a="1"/>
  <c r="N1324" i="24" a="1"/>
  <c r="F1324" i="24"/>
  <c r="U1328" i="24"/>
  <c r="S1328" i="24" a="1"/>
  <c r="O1328" i="24" a="1"/>
  <c r="N1328" i="24" a="1"/>
  <c r="F1328" i="24"/>
  <c r="U1327" i="24"/>
  <c r="S1327" i="24" a="1"/>
  <c r="O1327" i="24" a="1"/>
  <c r="N1327" i="24" a="1"/>
  <c r="F1327" i="24"/>
  <c r="U1331" i="24"/>
  <c r="S1331" i="24" a="1"/>
  <c r="O1331" i="24" a="1"/>
  <c r="N1331" i="24" a="1"/>
  <c r="F1331" i="24"/>
  <c r="U1319" i="24"/>
  <c r="S1319" i="24" a="1"/>
  <c r="O1319" i="24" a="1"/>
  <c r="N1319" i="24" a="1"/>
  <c r="F1319" i="24"/>
  <c r="U1309" i="24"/>
  <c r="S1309" i="24" a="1"/>
  <c r="O1309" i="24" a="1"/>
  <c r="N1309" i="24" a="1"/>
  <c r="F1309" i="24"/>
  <c r="U1308" i="24"/>
  <c r="S1308" i="24" a="1"/>
  <c r="O1308" i="24" a="1"/>
  <c r="N1308" i="24" a="1"/>
  <c r="F1308" i="24"/>
  <c r="U1303" i="24"/>
  <c r="S1303" i="24" a="1"/>
  <c r="O1303" i="24" a="1"/>
  <c r="N1303" i="24" a="1"/>
  <c r="F1303" i="24"/>
  <c r="U1315" i="24"/>
  <c r="S1315" i="24" a="1"/>
  <c r="O1315" i="24" a="1"/>
  <c r="N1315" i="24" a="1"/>
  <c r="F1315" i="24"/>
  <c r="U1316" i="24"/>
  <c r="S1316" i="24" a="1"/>
  <c r="O1316" i="24" a="1"/>
  <c r="N1316" i="24" a="1"/>
  <c r="F1316" i="24"/>
  <c r="U1312" i="24"/>
  <c r="S1312" i="24" a="1"/>
  <c r="O1312" i="24" a="1"/>
  <c r="N1312" i="24" a="1"/>
  <c r="F1312" i="24"/>
  <c r="U1301" i="24"/>
  <c r="S1301" i="24" a="1"/>
  <c r="O1301" i="24" a="1"/>
  <c r="N1301" i="24" a="1"/>
  <c r="F1301" i="24"/>
  <c r="U1311" i="24"/>
  <c r="S1311" i="24" a="1"/>
  <c r="O1311" i="24" a="1"/>
  <c r="N1311" i="24" a="1"/>
  <c r="F1311" i="24"/>
  <c r="U1310" i="24"/>
  <c r="S1310" i="24" a="1"/>
  <c r="O1310" i="24" a="1"/>
  <c r="N1310" i="24" a="1"/>
  <c r="F1310" i="24"/>
  <c r="U1297" i="24"/>
  <c r="S1297" i="24" a="1"/>
  <c r="O1297" i="24" a="1"/>
  <c r="N1297" i="24" a="1"/>
  <c r="F1297" i="24"/>
  <c r="U1313" i="24"/>
  <c r="S1313" i="24" a="1"/>
  <c r="O1313" i="24" a="1"/>
  <c r="N1313" i="24" a="1"/>
  <c r="F1313" i="24"/>
  <c r="U1302" i="24"/>
  <c r="S1302" i="24" a="1"/>
  <c r="O1302" i="24" a="1"/>
  <c r="N1302" i="24" a="1"/>
  <c r="F1302" i="24"/>
  <c r="U1314" i="24"/>
  <c r="S1314" i="24" a="1"/>
  <c r="O1314" i="24" a="1"/>
  <c r="N1314" i="24" a="1"/>
  <c r="F1314" i="24"/>
  <c r="U1304" i="24"/>
  <c r="S1304" i="24" a="1"/>
  <c r="O1304" i="24" a="1"/>
  <c r="N1304" i="24" a="1"/>
  <c r="F1304" i="24"/>
  <c r="U1298" i="24"/>
  <c r="S1298" i="24" a="1"/>
  <c r="O1298" i="24" a="1"/>
  <c r="N1298" i="24" a="1"/>
  <c r="F1298" i="24"/>
  <c r="U1299" i="24"/>
  <c r="S1299" i="24" a="1"/>
  <c r="O1299" i="24" a="1"/>
  <c r="N1299" i="24" a="1"/>
  <c r="F1299" i="24"/>
  <c r="U1300" i="24"/>
  <c r="S1300" i="24" a="1"/>
  <c r="O1300" i="24" a="1"/>
  <c r="N1300" i="24" a="1"/>
  <c r="F1300" i="24"/>
  <c r="U1307" i="24"/>
  <c r="S1307" i="24" a="1"/>
  <c r="O1307" i="24" a="1"/>
  <c r="N1307" i="24" a="1"/>
  <c r="F1307" i="24"/>
  <c r="U1317" i="24"/>
  <c r="S1317" i="24" a="1"/>
  <c r="O1317" i="24" a="1"/>
  <c r="N1317" i="24" a="1"/>
  <c r="F1317" i="24"/>
  <c r="U1305" i="24"/>
  <c r="S1305" i="24" a="1"/>
  <c r="O1305" i="24" a="1"/>
  <c r="N1305" i="24" a="1"/>
  <c r="F1305" i="24"/>
  <c r="U1306" i="24"/>
  <c r="S1306" i="24" a="1"/>
  <c r="O1306" i="24" a="1"/>
  <c r="N1306" i="24" a="1"/>
  <c r="F1306" i="24"/>
  <c r="U1292" i="24"/>
  <c r="S1292" i="24" a="1"/>
  <c r="O1292" i="24" a="1"/>
  <c r="N1292" i="24" a="1"/>
  <c r="F1292" i="24"/>
  <c r="U1294" i="24"/>
  <c r="S1294" i="24" a="1"/>
  <c r="O1294" i="24" a="1"/>
  <c r="N1294" i="24" a="1"/>
  <c r="F1294" i="24"/>
  <c r="U1275" i="24"/>
  <c r="S1275" i="24" a="1"/>
  <c r="O1275" i="24" a="1"/>
  <c r="N1275" i="24" a="1"/>
  <c r="F1275" i="24"/>
  <c r="U1284" i="24"/>
  <c r="S1284" i="24" a="1"/>
  <c r="O1284" i="24" a="1"/>
  <c r="N1284" i="24" a="1"/>
  <c r="F1284" i="24"/>
  <c r="U1274" i="24"/>
  <c r="S1274" i="24" a="1"/>
  <c r="O1274" i="24" a="1"/>
  <c r="N1274" i="24" a="1"/>
  <c r="F1274" i="24"/>
  <c r="U1287" i="24"/>
  <c r="S1287" i="24" a="1"/>
  <c r="O1287" i="24" a="1"/>
  <c r="N1287" i="24" a="1"/>
  <c r="F1287" i="24"/>
  <c r="U1289" i="24"/>
  <c r="S1289" i="24" a="1"/>
  <c r="O1289" i="24" a="1"/>
  <c r="N1289" i="24" a="1"/>
  <c r="F1289" i="24"/>
  <c r="U1278" i="24"/>
  <c r="S1278" i="24" a="1"/>
  <c r="O1278" i="24" a="1"/>
  <c r="N1278" i="24" a="1"/>
  <c r="F1278" i="24"/>
  <c r="U1295" i="24"/>
  <c r="S1295" i="24" a="1"/>
  <c r="O1295" i="24" a="1"/>
  <c r="N1295" i="24" a="1"/>
  <c r="F1295" i="24"/>
  <c r="U1290" i="24"/>
  <c r="S1290" i="24" a="1"/>
  <c r="O1290" i="24" a="1"/>
  <c r="N1290" i="24" a="1"/>
  <c r="F1290" i="24"/>
  <c r="U1288" i="24"/>
  <c r="S1288" i="24" a="1"/>
  <c r="O1288" i="24" a="1"/>
  <c r="N1288" i="24" a="1"/>
  <c r="F1288" i="24"/>
  <c r="U1291" i="24"/>
  <c r="S1291" i="24" a="1"/>
  <c r="O1291" i="24" a="1"/>
  <c r="N1291" i="24" a="1"/>
  <c r="F1291" i="24"/>
  <c r="U1272" i="24"/>
  <c r="S1272" i="24" a="1"/>
  <c r="O1272" i="24" a="1"/>
  <c r="N1272" i="24" a="1"/>
  <c r="F1272" i="24"/>
  <c r="U1293" i="24"/>
  <c r="S1293" i="24" a="1"/>
  <c r="O1293" i="24" a="1"/>
  <c r="N1293" i="24" a="1"/>
  <c r="F1293" i="24"/>
  <c r="U1282" i="24"/>
  <c r="S1282" i="24" a="1"/>
  <c r="O1282" i="24" a="1"/>
  <c r="N1282" i="24" a="1"/>
  <c r="F1282" i="24"/>
  <c r="U1281" i="24"/>
  <c r="S1281" i="24" a="1"/>
  <c r="O1281" i="24" a="1"/>
  <c r="N1281" i="24" a="1"/>
  <c r="F1281" i="24"/>
  <c r="U1280" i="24"/>
  <c r="S1280" i="24" a="1"/>
  <c r="O1280" i="24" a="1"/>
  <c r="N1280" i="24" a="1"/>
  <c r="F1280" i="24"/>
  <c r="U1296" i="24"/>
  <c r="S1296" i="24" a="1"/>
  <c r="O1296" i="24" a="1"/>
  <c r="N1296" i="24" a="1"/>
  <c r="F1296" i="24"/>
  <c r="U1276" i="24"/>
  <c r="S1276" i="24" a="1"/>
  <c r="O1276" i="24" a="1"/>
  <c r="N1276" i="24" a="1"/>
  <c r="F1276" i="24"/>
  <c r="U1277" i="24"/>
  <c r="S1277" i="24" a="1"/>
  <c r="O1277" i="24" a="1"/>
  <c r="N1277" i="24" a="1"/>
  <c r="F1277" i="24"/>
  <c r="U1273" i="24"/>
  <c r="S1273" i="24" a="1"/>
  <c r="O1273" i="24" a="1"/>
  <c r="N1273" i="24" a="1"/>
  <c r="F1273" i="24"/>
  <c r="U1286" i="24"/>
  <c r="S1286" i="24" a="1"/>
  <c r="O1286" i="24" a="1"/>
  <c r="N1286" i="24" a="1"/>
  <c r="F1286" i="24"/>
  <c r="U1285" i="24"/>
  <c r="S1285" i="24" a="1"/>
  <c r="O1285" i="24" a="1"/>
  <c r="N1285" i="24" a="1"/>
  <c r="F1285" i="24"/>
  <c r="U1279" i="24"/>
  <c r="S1279" i="24" a="1"/>
  <c r="O1279" i="24" a="1"/>
  <c r="N1279" i="24" a="1"/>
  <c r="F1279" i="24"/>
  <c r="U1283" i="24"/>
  <c r="S1283" i="24" a="1"/>
  <c r="O1283" i="24" a="1"/>
  <c r="N1283" i="24" a="1"/>
  <c r="F1283" i="24"/>
  <c r="U1262" i="24"/>
  <c r="S1262" i="24" a="1"/>
  <c r="O1262" i="24" a="1"/>
  <c r="N1262" i="24" a="1"/>
  <c r="F1262" i="24"/>
  <c r="U1257" i="24"/>
  <c r="S1257" i="24" a="1"/>
  <c r="O1257" i="24" a="1"/>
  <c r="N1257" i="24" a="1"/>
  <c r="F1257" i="24"/>
  <c r="U1266" i="24"/>
  <c r="S1266" i="24" a="1"/>
  <c r="O1266" i="24" a="1"/>
  <c r="N1266" i="24" a="1"/>
  <c r="F1266" i="24"/>
  <c r="U1265" i="24"/>
  <c r="S1265" i="24" a="1"/>
  <c r="O1265" i="24" a="1"/>
  <c r="N1265" i="24" a="1"/>
  <c r="F1265" i="24"/>
  <c r="U1259" i="24"/>
  <c r="S1259" i="24" a="1"/>
  <c r="O1259" i="24" a="1"/>
  <c r="N1259" i="24" a="1"/>
  <c r="F1259" i="24"/>
  <c r="U1268" i="24"/>
  <c r="S1268" i="24" a="1"/>
  <c r="O1268" i="24" a="1"/>
  <c r="N1268" i="24" a="1"/>
  <c r="F1268" i="24"/>
  <c r="U1270" i="24"/>
  <c r="S1270" i="24" a="1"/>
  <c r="O1270" i="24" a="1"/>
  <c r="N1270" i="24" a="1"/>
  <c r="F1270" i="24"/>
  <c r="U1256" i="24"/>
  <c r="S1256" i="24" a="1"/>
  <c r="O1256" i="24" a="1"/>
  <c r="N1256" i="24" a="1"/>
  <c r="F1256" i="24"/>
  <c r="U1258" i="24"/>
  <c r="S1258" i="24" a="1"/>
  <c r="O1258" i="24" a="1"/>
  <c r="N1258" i="24" a="1"/>
  <c r="F1258" i="24"/>
  <c r="U1267" i="24"/>
  <c r="S1267" i="24" a="1"/>
  <c r="O1267" i="24" a="1"/>
  <c r="N1267" i="24" a="1"/>
  <c r="F1267" i="24"/>
  <c r="U1261" i="24"/>
  <c r="S1261" i="24" a="1"/>
  <c r="O1261" i="24" a="1"/>
  <c r="N1261" i="24" a="1"/>
  <c r="F1261" i="24"/>
  <c r="U1260" i="24"/>
  <c r="S1260" i="24" a="1"/>
  <c r="O1260" i="24" a="1"/>
  <c r="N1260" i="24" a="1"/>
  <c r="F1260" i="24"/>
  <c r="U1271" i="24"/>
  <c r="S1271" i="24" a="1"/>
  <c r="O1271" i="24" a="1"/>
  <c r="N1271" i="24" a="1"/>
  <c r="F1271" i="24"/>
  <c r="U1253" i="24"/>
  <c r="S1253" i="24" a="1"/>
  <c r="O1253" i="24" a="1"/>
  <c r="N1253" i="24" a="1"/>
  <c r="F1253" i="24"/>
  <c r="U1254" i="24"/>
  <c r="S1254" i="24" a="1"/>
  <c r="O1254" i="24" a="1"/>
  <c r="N1254" i="24" a="1"/>
  <c r="F1254" i="24"/>
  <c r="U1269" i="24"/>
  <c r="S1269" i="24" a="1"/>
  <c r="O1269" i="24" a="1"/>
  <c r="N1269" i="24" a="1"/>
  <c r="F1269" i="24"/>
  <c r="U1264" i="24"/>
  <c r="S1264" i="24" a="1"/>
  <c r="O1264" i="24" a="1"/>
  <c r="N1264" i="24" a="1"/>
  <c r="F1264" i="24"/>
  <c r="U1263" i="24"/>
  <c r="S1263" i="24" a="1"/>
  <c r="O1263" i="24" a="1"/>
  <c r="N1263" i="24" a="1"/>
  <c r="F1263" i="24"/>
  <c r="U1255" i="24"/>
  <c r="S1255" i="24" a="1"/>
  <c r="O1255" i="24" a="1"/>
  <c r="N1255" i="24" a="1"/>
  <c r="F1255" i="24"/>
  <c r="U1168" i="24"/>
  <c r="S1168" i="24" a="1"/>
  <c r="O1168" i="24" a="1"/>
  <c r="N1168" i="24" a="1"/>
  <c r="F1168" i="24"/>
  <c r="U1167" i="24"/>
  <c r="S1167" i="24" a="1"/>
  <c r="O1167" i="24" a="1"/>
  <c r="N1167" i="24" a="1"/>
  <c r="F1167" i="24"/>
  <c r="U1165" i="24"/>
  <c r="S1165" i="24" a="1"/>
  <c r="O1165" i="24" a="1"/>
  <c r="N1165" i="24" a="1"/>
  <c r="F1165" i="24"/>
  <c r="U1171" i="24"/>
  <c r="S1171" i="24" a="1"/>
  <c r="O1171" i="24" a="1"/>
  <c r="N1171" i="24" a="1"/>
  <c r="F1171" i="24"/>
  <c r="U1173" i="24"/>
  <c r="S1173" i="24" a="1"/>
  <c r="O1173" i="24" a="1"/>
  <c r="N1173" i="24" a="1"/>
  <c r="F1173" i="24"/>
  <c r="U1179" i="24"/>
  <c r="S1179" i="24" a="1"/>
  <c r="O1179" i="24" a="1"/>
  <c r="N1179" i="24" a="1"/>
  <c r="F1179" i="24"/>
  <c r="U1217" i="24"/>
  <c r="S1217" i="24" a="1"/>
  <c r="O1217" i="24" a="1"/>
  <c r="N1217" i="24" a="1"/>
  <c r="F1217" i="24"/>
  <c r="U1203" i="24"/>
  <c r="S1203" i="24" a="1"/>
  <c r="O1203" i="24" a="1"/>
  <c r="N1203" i="24" a="1"/>
  <c r="F1203" i="24"/>
  <c r="U1216" i="24"/>
  <c r="S1216" i="24" a="1"/>
  <c r="O1216" i="24" a="1"/>
  <c r="N1216" i="24" a="1"/>
  <c r="F1216" i="24"/>
  <c r="U1215" i="24"/>
  <c r="S1215" i="24" a="1"/>
  <c r="O1215" i="24" a="1"/>
  <c r="N1215" i="24" a="1"/>
  <c r="F1215" i="24"/>
  <c r="U1208" i="24"/>
  <c r="S1208" i="24" a="1"/>
  <c r="O1208" i="24" a="1"/>
  <c r="N1208" i="24" a="1"/>
  <c r="F1208" i="24"/>
  <c r="U1197" i="24"/>
  <c r="S1197" i="24" a="1"/>
  <c r="O1197" i="24" a="1"/>
  <c r="N1197" i="24" a="1"/>
  <c r="F1197" i="24"/>
  <c r="U1142" i="24"/>
  <c r="S1142" i="24" a="1"/>
  <c r="O1142" i="24" a="1"/>
  <c r="N1142" i="24" a="1"/>
  <c r="F1142" i="24"/>
  <c r="U1127" i="24"/>
  <c r="S1127" i="24" a="1"/>
  <c r="O1127" i="24" a="1"/>
  <c r="N1127" i="24" a="1"/>
  <c r="F1127" i="24"/>
  <c r="U1159" i="24"/>
  <c r="S1159" i="24" a="1"/>
  <c r="O1159" i="24" a="1"/>
  <c r="N1159" i="24" a="1"/>
  <c r="F1159" i="24"/>
  <c r="U1148" i="24"/>
  <c r="S1148" i="24" a="1"/>
  <c r="O1148" i="24" a="1"/>
  <c r="N1148" i="24" a="1"/>
  <c r="F1148" i="24"/>
  <c r="U1137" i="24"/>
  <c r="S1137" i="24" a="1"/>
  <c r="O1137" i="24" a="1"/>
  <c r="N1137" i="24" a="1"/>
  <c r="F1137" i="24"/>
  <c r="U1156" i="24"/>
  <c r="S1156" i="24" a="1"/>
  <c r="O1156" i="24" a="1"/>
  <c r="N1156" i="24" a="1"/>
  <c r="F1156" i="24"/>
  <c r="U1163" i="24"/>
  <c r="S1163" i="24" a="1"/>
  <c r="O1163" i="24" a="1"/>
  <c r="N1163" i="24" a="1"/>
  <c r="F1163" i="24"/>
  <c r="U1130" i="24"/>
  <c r="S1130" i="24" a="1"/>
  <c r="O1130" i="24" a="1"/>
  <c r="N1130" i="24" a="1"/>
  <c r="F1130" i="24"/>
  <c r="U1236" i="24"/>
  <c r="S1236" i="24" a="1"/>
  <c r="O1236" i="24" a="1"/>
  <c r="N1236" i="24" a="1"/>
  <c r="F1236" i="24"/>
  <c r="U1252" i="24"/>
  <c r="S1252" i="24" a="1"/>
  <c r="O1252" i="24" a="1"/>
  <c r="N1252" i="24" a="1"/>
  <c r="F1252" i="24"/>
  <c r="U1249" i="24"/>
  <c r="S1249" i="24" a="1"/>
  <c r="O1249" i="24" a="1"/>
  <c r="N1249" i="24" a="1"/>
  <c r="F1249" i="24"/>
  <c r="U1246" i="24"/>
  <c r="S1246" i="24" a="1"/>
  <c r="O1246" i="24" a="1"/>
  <c r="N1246" i="24" a="1"/>
  <c r="F1246" i="24"/>
  <c r="U1244" i="24"/>
  <c r="S1244" i="24" a="1"/>
  <c r="O1244" i="24" a="1"/>
  <c r="N1244" i="24" a="1"/>
  <c r="F1244" i="24"/>
  <c r="U1243" i="24"/>
  <c r="S1243" i="24" a="1"/>
  <c r="O1243" i="24" a="1"/>
  <c r="N1243" i="24" a="1"/>
  <c r="F1243" i="24"/>
  <c r="U1251" i="24"/>
  <c r="S1251" i="24" a="1"/>
  <c r="O1251" i="24" a="1"/>
  <c r="N1251" i="24" a="1"/>
  <c r="F1251" i="24"/>
  <c r="U1245" i="24"/>
  <c r="S1245" i="24" a="1"/>
  <c r="O1245" i="24" a="1"/>
  <c r="N1245" i="24" a="1"/>
  <c r="F1245" i="24"/>
  <c r="U1237" i="24"/>
  <c r="S1237" i="24" a="1"/>
  <c r="O1237" i="24" a="1"/>
  <c r="N1237" i="24" a="1"/>
  <c r="F1237" i="24"/>
  <c r="U1239" i="24"/>
  <c r="S1239" i="24" a="1"/>
  <c r="O1239" i="24" a="1"/>
  <c r="N1239" i="24" a="1"/>
  <c r="F1239" i="24"/>
  <c r="U1235" i="24"/>
  <c r="S1235" i="24" a="1"/>
  <c r="O1235" i="24" a="1"/>
  <c r="N1235" i="24" a="1"/>
  <c r="F1235" i="24"/>
  <c r="U1241" i="24"/>
  <c r="S1241" i="24" a="1"/>
  <c r="O1241" i="24" a="1"/>
  <c r="N1241" i="24" a="1"/>
  <c r="F1241" i="24"/>
  <c r="U1247" i="24"/>
  <c r="S1247" i="24" a="1"/>
  <c r="O1247" i="24" a="1"/>
  <c r="N1247" i="24" a="1"/>
  <c r="F1247" i="24"/>
  <c r="U1242" i="24"/>
  <c r="S1242" i="24" a="1"/>
  <c r="O1242" i="24" a="1"/>
  <c r="N1242" i="24" a="1"/>
  <c r="F1242" i="24"/>
  <c r="U1238" i="24"/>
  <c r="S1238" i="24" a="1"/>
  <c r="O1238" i="24" a="1"/>
  <c r="N1238" i="24" a="1"/>
  <c r="F1238" i="24"/>
  <c r="U1240" i="24"/>
  <c r="S1240" i="24" a="1"/>
  <c r="O1240" i="24" a="1"/>
  <c r="N1240" i="24" a="1"/>
  <c r="F1240" i="24"/>
  <c r="U1248" i="24"/>
  <c r="S1248" i="24" a="1"/>
  <c r="O1248" i="24" a="1"/>
  <c r="N1248" i="24" a="1"/>
  <c r="F1248" i="24"/>
  <c r="U1250" i="24"/>
  <c r="S1250" i="24" a="1"/>
  <c r="O1250" i="24" a="1"/>
  <c r="N1250" i="24" a="1"/>
  <c r="F1250" i="24"/>
  <c r="U1227" i="24"/>
  <c r="S1227" i="24" a="1"/>
  <c r="O1227" i="24" a="1"/>
  <c r="N1227" i="24" a="1"/>
  <c r="F1227" i="24"/>
  <c r="U1206" i="24"/>
  <c r="S1206" i="24" a="1"/>
  <c r="O1206" i="24" a="1"/>
  <c r="N1206" i="24" a="1"/>
  <c r="F1206" i="24"/>
  <c r="U1201" i="24"/>
  <c r="S1201" i="24" a="1"/>
  <c r="O1201" i="24" a="1"/>
  <c r="N1201" i="24" a="1"/>
  <c r="F1201" i="24"/>
  <c r="U1207" i="24"/>
  <c r="S1207" i="24" a="1"/>
  <c r="O1207" i="24" a="1"/>
  <c r="N1207" i="24" a="1"/>
  <c r="F1207" i="24"/>
  <c r="U1205" i="24"/>
  <c r="S1205" i="24" a="1"/>
  <c r="O1205" i="24" a="1"/>
  <c r="N1205" i="24" a="1"/>
  <c r="F1205" i="24"/>
  <c r="U1214" i="24"/>
  <c r="S1214" i="24" a="1"/>
  <c r="O1214" i="24" a="1"/>
  <c r="N1214" i="24" a="1"/>
  <c r="F1214" i="24"/>
  <c r="U1212" i="24"/>
  <c r="S1212" i="24" a="1"/>
  <c r="O1212" i="24" a="1"/>
  <c r="N1212" i="24" a="1"/>
  <c r="F1212" i="24"/>
  <c r="U1230" i="24"/>
  <c r="S1230" i="24" a="1"/>
  <c r="O1230" i="24" a="1"/>
  <c r="N1230" i="24" a="1"/>
  <c r="F1230" i="24"/>
  <c r="U1232" i="24"/>
  <c r="S1232" i="24" a="1"/>
  <c r="O1232" i="24" a="1"/>
  <c r="N1232" i="24" a="1"/>
  <c r="F1232" i="24"/>
  <c r="U1218" i="24"/>
  <c r="S1218" i="24" a="1"/>
  <c r="O1218" i="24" a="1"/>
  <c r="N1218" i="24" a="1"/>
  <c r="F1218" i="24"/>
  <c r="U1223" i="24"/>
  <c r="S1223" i="24" a="1"/>
  <c r="O1223" i="24" a="1"/>
  <c r="N1223" i="24" a="1"/>
  <c r="F1223" i="24"/>
  <c r="U1204" i="24"/>
  <c r="S1204" i="24" a="1"/>
  <c r="O1204" i="24" a="1"/>
  <c r="N1204" i="24" a="1"/>
  <c r="F1204" i="24"/>
  <c r="U1226" i="24"/>
  <c r="S1226" i="24" a="1"/>
  <c r="O1226" i="24" a="1"/>
  <c r="N1226" i="24" a="1"/>
  <c r="F1226" i="24"/>
  <c r="U1231" i="24"/>
  <c r="S1231" i="24" a="1"/>
  <c r="O1231" i="24" a="1"/>
  <c r="N1231" i="24" a="1"/>
  <c r="F1231" i="24"/>
  <c r="U1211" i="24"/>
  <c r="S1211" i="24" a="1"/>
  <c r="O1211" i="24" a="1"/>
  <c r="N1211" i="24" a="1"/>
  <c r="F1211" i="24"/>
  <c r="U1199" i="24"/>
  <c r="S1199" i="24" a="1"/>
  <c r="O1199" i="24" a="1"/>
  <c r="N1199" i="24" a="1"/>
  <c r="F1199" i="24"/>
  <c r="U1225" i="24"/>
  <c r="S1225" i="24" a="1"/>
  <c r="O1225" i="24" a="1"/>
  <c r="N1225" i="24" a="1"/>
  <c r="F1225" i="24"/>
  <c r="U1200" i="24"/>
  <c r="S1200" i="24" a="1"/>
  <c r="O1200" i="24" a="1"/>
  <c r="N1200" i="24" a="1"/>
  <c r="F1200" i="24"/>
  <c r="U1224" i="24"/>
  <c r="S1224" i="24" a="1"/>
  <c r="O1224" i="24" a="1"/>
  <c r="N1224" i="24" a="1"/>
  <c r="F1224" i="24"/>
  <c r="U1222" i="24"/>
  <c r="S1222" i="24" a="1"/>
  <c r="O1222" i="24" a="1"/>
  <c r="N1222" i="24" a="1"/>
  <c r="F1222" i="24"/>
  <c r="U1213" i="24"/>
  <c r="S1213" i="24" a="1"/>
  <c r="O1213" i="24" a="1"/>
  <c r="N1213" i="24" a="1"/>
  <c r="F1213" i="24"/>
  <c r="U1221" i="24"/>
  <c r="S1221" i="24" a="1"/>
  <c r="O1221" i="24" a="1"/>
  <c r="N1221" i="24" a="1"/>
  <c r="F1221" i="24"/>
  <c r="U1196" i="24"/>
  <c r="S1196" i="24" a="1"/>
  <c r="O1196" i="24" a="1"/>
  <c r="N1196" i="24" a="1"/>
  <c r="F1196" i="24"/>
  <c r="U1229" i="24"/>
  <c r="S1229" i="24" a="1"/>
  <c r="O1229" i="24" a="1"/>
  <c r="N1229" i="24" a="1"/>
  <c r="F1229" i="24"/>
  <c r="U1210" i="24"/>
  <c r="S1210" i="24" a="1"/>
  <c r="O1210" i="24" a="1"/>
  <c r="N1210" i="24" a="1"/>
  <c r="F1210" i="24"/>
  <c r="U1209" i="24"/>
  <c r="S1209" i="24" a="1"/>
  <c r="O1209" i="24" a="1"/>
  <c r="N1209" i="24" a="1"/>
  <c r="F1209" i="24"/>
  <c r="U1220" i="24"/>
  <c r="S1220" i="24" a="1"/>
  <c r="O1220" i="24" a="1"/>
  <c r="N1220" i="24" a="1"/>
  <c r="F1220" i="24"/>
  <c r="U1228" i="24"/>
  <c r="S1228" i="24" a="1"/>
  <c r="O1228" i="24" a="1"/>
  <c r="N1228" i="24" a="1"/>
  <c r="F1228" i="24"/>
  <c r="U1202" i="24"/>
  <c r="S1202" i="24" a="1"/>
  <c r="O1202" i="24" a="1"/>
  <c r="N1202" i="24" a="1"/>
  <c r="F1202" i="24"/>
  <c r="U1219" i="24"/>
  <c r="S1219" i="24" a="1"/>
  <c r="O1219" i="24" a="1"/>
  <c r="N1219" i="24" a="1"/>
  <c r="F1219" i="24"/>
  <c r="U1233" i="24"/>
  <c r="S1233" i="24" a="1"/>
  <c r="O1233" i="24" a="1"/>
  <c r="N1233" i="24" a="1"/>
  <c r="F1233" i="24"/>
  <c r="U1198" i="24"/>
  <c r="S1198" i="24" a="1"/>
  <c r="O1198" i="24" a="1"/>
  <c r="N1198" i="24" a="1"/>
  <c r="F1198" i="24"/>
  <c r="U1234" i="24"/>
  <c r="S1234" i="24" a="1"/>
  <c r="O1234" i="24" a="1"/>
  <c r="N1234" i="24" a="1"/>
  <c r="F1234" i="24"/>
  <c r="U1166" i="24"/>
  <c r="S1166" i="24" a="1"/>
  <c r="O1166" i="24" a="1"/>
  <c r="K1166" i="24"/>
  <c r="J1166" i="24"/>
  <c r="N1166" i="24" s="1" a="1"/>
  <c r="F1166" i="24"/>
  <c r="U1195" i="24"/>
  <c r="S1195" i="24" a="1"/>
  <c r="O1195" i="24" a="1"/>
  <c r="K1195" i="24"/>
  <c r="J1195" i="24"/>
  <c r="N1195" i="24" s="1" a="1"/>
  <c r="F1195" i="24"/>
  <c r="U1194" i="24"/>
  <c r="S1194" i="24" a="1"/>
  <c r="O1194" i="24" a="1"/>
  <c r="K1194" i="24"/>
  <c r="J1194" i="24"/>
  <c r="N1194" i="24" s="1" a="1"/>
  <c r="F1194" i="24"/>
  <c r="U1180" i="24"/>
  <c r="S1180" i="24" a="1"/>
  <c r="O1180" i="24" a="1"/>
  <c r="J1180" i="24"/>
  <c r="N1180" i="24" s="1" a="1"/>
  <c r="F1180" i="24"/>
  <c r="U1182" i="24"/>
  <c r="S1182" i="24" a="1"/>
  <c r="O1182" i="24" a="1"/>
  <c r="K1182" i="24"/>
  <c r="J1182" i="24"/>
  <c r="N1182" i="24" s="1" a="1"/>
  <c r="F1182" i="24"/>
  <c r="U1181" i="24"/>
  <c r="S1181" i="24" a="1"/>
  <c r="O1181" i="24" a="1"/>
  <c r="K1181" i="24"/>
  <c r="J1181" i="24"/>
  <c r="N1181" i="24" s="1" a="1"/>
  <c r="F1181" i="24"/>
  <c r="U1185" i="24"/>
  <c r="S1185" i="24" a="1"/>
  <c r="O1185" i="24" a="1"/>
  <c r="K1185" i="24"/>
  <c r="J1185" i="24"/>
  <c r="N1185" i="24" s="1" a="1"/>
  <c r="F1185" i="24"/>
  <c r="U1176" i="24"/>
  <c r="S1176" i="24" a="1"/>
  <c r="O1176" i="24" a="1"/>
  <c r="K1176" i="24"/>
  <c r="J1176" i="24"/>
  <c r="N1176" i="24" s="1" a="1"/>
  <c r="F1176" i="24"/>
  <c r="U1191" i="24"/>
  <c r="S1191" i="24" a="1"/>
  <c r="O1191" i="24" a="1"/>
  <c r="N1191" i="24" a="1"/>
  <c r="F1191" i="24"/>
  <c r="U1186" i="24"/>
  <c r="S1186" i="24" a="1"/>
  <c r="O1186" i="24" a="1"/>
  <c r="N1186" i="24" a="1"/>
  <c r="K1186" i="24"/>
  <c r="F1186" i="24"/>
  <c r="U1172" i="24"/>
  <c r="S1172" i="24" a="1"/>
  <c r="O1172" i="24" a="1"/>
  <c r="K1172" i="24"/>
  <c r="J1172" i="24"/>
  <c r="N1172" i="24" s="1" a="1"/>
  <c r="F1172" i="24"/>
  <c r="U1188" i="24"/>
  <c r="S1188" i="24" a="1"/>
  <c r="O1188" i="24" a="1"/>
  <c r="K1188" i="24"/>
  <c r="J1188" i="24"/>
  <c r="N1188" i="24" s="1" a="1"/>
  <c r="F1188" i="24"/>
  <c r="U1187" i="24"/>
  <c r="S1187" i="24" a="1"/>
  <c r="O1187" i="24" a="1"/>
  <c r="K1187" i="24"/>
  <c r="J1187" i="24"/>
  <c r="N1187" i="24" s="1" a="1"/>
  <c r="F1187" i="24"/>
  <c r="U1192" i="24"/>
  <c r="S1192" i="24" a="1"/>
  <c r="O1192" i="24" a="1"/>
  <c r="K1192" i="24"/>
  <c r="J1192" i="24"/>
  <c r="N1192" i="24" s="1" a="1"/>
  <c r="F1192" i="24"/>
  <c r="U1175" i="24"/>
  <c r="S1175" i="24" a="1"/>
  <c r="O1175" i="24" a="1"/>
  <c r="J1175" i="24"/>
  <c r="N1175" i="24" s="1" a="1"/>
  <c r="F1175" i="24"/>
  <c r="U1177" i="24"/>
  <c r="S1177" i="24" a="1"/>
  <c r="O1177" i="24" a="1"/>
  <c r="K1177" i="24"/>
  <c r="J1177" i="24"/>
  <c r="N1177" i="24" s="1" a="1"/>
  <c r="F1177" i="24"/>
  <c r="U1193" i="24"/>
  <c r="S1193" i="24" a="1"/>
  <c r="O1193" i="24" a="1"/>
  <c r="K1193" i="24"/>
  <c r="J1193" i="24"/>
  <c r="N1193" i="24" s="1" a="1"/>
  <c r="F1193" i="24"/>
  <c r="U1190" i="24"/>
  <c r="S1190" i="24" a="1"/>
  <c r="O1190" i="24" a="1"/>
  <c r="K1190" i="24"/>
  <c r="J1190" i="24"/>
  <c r="N1190" i="24" s="1" a="1"/>
  <c r="F1190" i="24"/>
  <c r="U1164" i="24"/>
  <c r="S1164" i="24" a="1"/>
  <c r="O1164" i="24" a="1"/>
  <c r="K1164" i="24"/>
  <c r="J1164" i="24"/>
  <c r="N1164" i="24" s="1" a="1"/>
  <c r="F1164" i="24"/>
  <c r="U1170" i="24"/>
  <c r="S1170" i="24" a="1"/>
  <c r="O1170" i="24" a="1"/>
  <c r="K1170" i="24"/>
  <c r="J1170" i="24"/>
  <c r="N1170" i="24" s="1" a="1"/>
  <c r="F1170" i="24"/>
  <c r="U1183" i="24"/>
  <c r="S1183" i="24" a="1"/>
  <c r="O1183" i="24" a="1"/>
  <c r="J1183" i="24"/>
  <c r="N1183" i="24" s="1" a="1"/>
  <c r="F1183" i="24"/>
  <c r="U1174" i="24"/>
  <c r="S1174" i="24" a="1"/>
  <c r="O1174" i="24" a="1"/>
  <c r="K1174" i="24"/>
  <c r="J1174" i="24"/>
  <c r="N1174" i="24" s="1" a="1"/>
  <c r="F1174" i="24"/>
  <c r="U1178" i="24"/>
  <c r="S1178" i="24" a="1"/>
  <c r="O1178" i="24" a="1"/>
  <c r="K1178" i="24"/>
  <c r="J1178" i="24"/>
  <c r="N1178" i="24" s="1" a="1"/>
  <c r="F1178" i="24"/>
  <c r="U1189" i="24"/>
  <c r="S1189" i="24" a="1"/>
  <c r="O1189" i="24" a="1"/>
  <c r="K1189" i="24"/>
  <c r="J1189" i="24"/>
  <c r="N1189" i="24" s="1" a="1"/>
  <c r="F1189" i="24"/>
  <c r="U1184" i="24"/>
  <c r="S1184" i="24" a="1"/>
  <c r="O1184" i="24" a="1"/>
  <c r="N1184" i="24" a="1"/>
  <c r="F1184" i="24"/>
  <c r="U1169" i="24"/>
  <c r="S1169" i="24" a="1"/>
  <c r="O1169" i="24" a="1"/>
  <c r="K1169" i="24"/>
  <c r="J1169" i="24"/>
  <c r="N1169" i="24" s="1" a="1"/>
  <c r="F1169" i="24"/>
  <c r="U1129" i="24"/>
  <c r="S1129" i="24" a="1"/>
  <c r="O1129" i="24" a="1"/>
  <c r="K1129" i="24"/>
  <c r="J1129" i="24"/>
  <c r="F1129" i="24"/>
  <c r="U1134" i="24"/>
  <c r="S1134" i="24" a="1"/>
  <c r="O1134" i="24" a="1"/>
  <c r="K1134" i="24"/>
  <c r="J1134" i="24"/>
  <c r="N1134" i="24" s="1" a="1"/>
  <c r="F1134" i="24"/>
  <c r="U1145" i="24"/>
  <c r="S1145" i="24" a="1"/>
  <c r="O1145" i="24" a="1"/>
  <c r="N1145" i="24" a="1"/>
  <c r="F1145" i="24"/>
  <c r="U1150" i="24"/>
  <c r="S1150" i="24" a="1"/>
  <c r="O1150" i="24" a="1"/>
  <c r="K1150" i="24"/>
  <c r="J1150" i="24"/>
  <c r="N1150" i="24" s="1" a="1"/>
  <c r="F1150" i="24"/>
  <c r="U1146" i="24"/>
  <c r="S1146" i="24" a="1"/>
  <c r="O1146" i="24" a="1"/>
  <c r="J1146" i="24"/>
  <c r="N1146" i="24" s="1" a="1"/>
  <c r="F1146" i="24"/>
  <c r="U1143" i="24"/>
  <c r="S1143" i="24" a="1"/>
  <c r="O1143" i="24" a="1"/>
  <c r="K1143" i="24"/>
  <c r="J1143" i="24"/>
  <c r="N1143" i="24" s="1" a="1"/>
  <c r="F1143" i="24"/>
  <c r="U1147" i="24"/>
  <c r="S1147" i="24" a="1"/>
  <c r="O1147" i="24" a="1"/>
  <c r="K1147" i="24"/>
  <c r="J1147" i="24"/>
  <c r="N1147" i="24" s="1" a="1"/>
  <c r="F1147" i="24"/>
  <c r="U1126" i="24"/>
  <c r="S1126" i="24" a="1"/>
  <c r="O1126" i="24" a="1"/>
  <c r="K1126" i="24"/>
  <c r="J1126" i="24"/>
  <c r="N1126" i="24" s="1" a="1"/>
  <c r="F1126" i="24"/>
  <c r="U1132" i="24"/>
  <c r="S1132" i="24" a="1"/>
  <c r="O1132" i="24" a="1"/>
  <c r="N1132" i="24" a="1"/>
  <c r="F1132" i="24"/>
  <c r="U1133" i="24"/>
  <c r="S1133" i="24" a="1"/>
  <c r="O1133" i="24" a="1"/>
  <c r="N1133" i="24" a="1"/>
  <c r="F1133" i="24"/>
  <c r="U1160" i="24"/>
  <c r="S1160" i="24" a="1"/>
  <c r="O1160" i="24" a="1"/>
  <c r="N1160" i="24" a="1"/>
  <c r="F1160" i="24"/>
  <c r="U1152" i="24"/>
  <c r="S1152" i="24" a="1"/>
  <c r="O1152" i="24" a="1"/>
  <c r="K1152" i="24"/>
  <c r="J1152" i="24"/>
  <c r="N1152" i="24" s="1" a="1"/>
  <c r="F1152" i="24"/>
  <c r="U1149" i="24"/>
  <c r="S1149" i="24" a="1"/>
  <c r="O1149" i="24" a="1"/>
  <c r="K1149" i="24"/>
  <c r="J1149" i="24"/>
  <c r="N1149" i="24" s="1" a="1"/>
  <c r="F1149" i="24"/>
  <c r="U1158" i="24"/>
  <c r="S1158" i="24" a="1"/>
  <c r="O1158" i="24" a="1"/>
  <c r="N1158" i="24" a="1"/>
  <c r="F1158" i="24"/>
  <c r="U1151" i="24"/>
  <c r="S1151" i="24" a="1"/>
  <c r="O1151" i="24" a="1"/>
  <c r="N1151" i="24" a="1"/>
  <c r="F1151" i="24"/>
  <c r="U1138" i="24"/>
  <c r="S1138" i="24" a="1"/>
  <c r="O1138" i="24" a="1"/>
  <c r="K1138" i="24"/>
  <c r="J1138" i="24"/>
  <c r="N1138" i="24" s="1" a="1"/>
  <c r="F1138" i="24"/>
  <c r="U1161" i="24"/>
  <c r="S1161" i="24" a="1"/>
  <c r="O1161" i="24" a="1"/>
  <c r="J1161" i="24"/>
  <c r="N1161" i="24" s="1" a="1"/>
  <c r="F1161" i="24"/>
  <c r="U1131" i="24"/>
  <c r="S1131" i="24" a="1"/>
  <c r="O1131" i="24" a="1"/>
  <c r="J1131" i="24"/>
  <c r="N1131" i="24" s="1" a="1"/>
  <c r="F1131" i="24"/>
  <c r="U1122" i="24"/>
  <c r="S1122" i="24" a="1"/>
  <c r="O1122" i="24" a="1"/>
  <c r="K1122" i="24"/>
  <c r="J1122" i="24"/>
  <c r="N1122" i="24" s="1" a="1"/>
  <c r="F1122" i="24"/>
  <c r="U1125" i="24"/>
  <c r="S1125" i="24" a="1"/>
  <c r="O1125" i="24" a="1"/>
  <c r="K1125" i="24"/>
  <c r="J1125" i="24"/>
  <c r="N1125" i="24" s="1" a="1"/>
  <c r="F1125" i="24"/>
  <c r="U1153" i="24"/>
  <c r="S1153" i="24" a="1"/>
  <c r="O1153" i="24" a="1"/>
  <c r="K1153" i="24"/>
  <c r="J1153" i="24"/>
  <c r="N1153" i="24" s="1" a="1"/>
  <c r="F1153" i="24"/>
  <c r="U1144" i="24"/>
  <c r="S1144" i="24" a="1"/>
  <c r="O1144" i="24" a="1"/>
  <c r="K1144" i="24"/>
  <c r="J1144" i="24"/>
  <c r="N1144" i="24" s="1" a="1"/>
  <c r="F1144" i="24"/>
  <c r="U1157" i="24"/>
  <c r="S1157" i="24" a="1"/>
  <c r="O1157" i="24" a="1"/>
  <c r="K1157" i="24"/>
  <c r="J1157" i="24"/>
  <c r="N1157" i="24" s="1" a="1"/>
  <c r="F1157" i="24"/>
  <c r="U1154" i="24"/>
  <c r="S1154" i="24" a="1"/>
  <c r="O1154" i="24" a="1"/>
  <c r="K1154" i="24"/>
  <c r="J1154" i="24"/>
  <c r="N1154" i="24" s="1" a="1"/>
  <c r="F1154" i="24"/>
  <c r="U1141" i="24"/>
  <c r="S1141" i="24" a="1"/>
  <c r="O1141" i="24" a="1"/>
  <c r="K1141" i="24"/>
  <c r="J1141" i="24"/>
  <c r="N1141" i="24" s="1" a="1"/>
  <c r="F1141" i="24"/>
  <c r="U1140" i="24"/>
  <c r="S1140" i="24" a="1"/>
  <c r="O1140" i="24" a="1"/>
  <c r="K1140" i="24"/>
  <c r="J1140" i="24"/>
  <c r="N1140" i="24" s="1" a="1"/>
  <c r="F1140" i="24"/>
  <c r="U1123" i="24"/>
  <c r="S1123" i="24" a="1"/>
  <c r="O1123" i="24" a="1"/>
  <c r="K1123" i="24"/>
  <c r="J1123" i="24"/>
  <c r="N1123" i="24" s="1" a="1"/>
  <c r="F1123" i="24"/>
  <c r="U1139" i="24"/>
  <c r="S1139" i="24" a="1"/>
  <c r="O1139" i="24" a="1"/>
  <c r="K1139" i="24"/>
  <c r="J1139" i="24"/>
  <c r="N1139" i="24" s="1" a="1"/>
  <c r="F1139" i="24"/>
  <c r="U1136" i="24"/>
  <c r="S1136" i="24" a="1"/>
  <c r="O1136" i="24" a="1"/>
  <c r="K1136" i="24"/>
  <c r="J1136" i="24"/>
  <c r="N1136" i="24" s="1" a="1"/>
  <c r="F1136" i="24"/>
  <c r="U1124" i="24"/>
  <c r="S1124" i="24" a="1"/>
  <c r="O1124" i="24" a="1"/>
  <c r="K1124" i="24"/>
  <c r="J1124" i="24"/>
  <c r="N1124" i="24" s="1" a="1"/>
  <c r="F1124" i="24"/>
  <c r="U1135" i="24"/>
  <c r="S1135" i="24" a="1"/>
  <c r="O1135" i="24" a="1"/>
  <c r="J1135" i="24"/>
  <c r="N1135" i="24" s="1" a="1"/>
  <c r="F1135" i="24"/>
  <c r="U1128" i="24"/>
  <c r="S1128" i="24" a="1"/>
  <c r="O1128" i="24" a="1"/>
  <c r="K1128" i="24"/>
  <c r="J1128" i="24"/>
  <c r="N1128" i="24" s="1" a="1"/>
  <c r="F1128" i="24"/>
  <c r="U1162" i="24"/>
  <c r="S1162" i="24" a="1"/>
  <c r="O1162" i="24" a="1"/>
  <c r="N1162" i="24" a="1"/>
  <c r="F1162" i="24"/>
  <c r="U1155" i="24"/>
  <c r="S1155" i="24" a="1"/>
  <c r="O1155" i="24" a="1"/>
  <c r="K1155" i="24"/>
  <c r="J1155" i="24"/>
  <c r="N1155" i="24" s="1" a="1"/>
  <c r="F1155" i="24"/>
  <c r="U1121" i="24"/>
  <c r="S1121" i="24" a="1"/>
  <c r="O1121" i="24" a="1"/>
  <c r="K1121" i="24"/>
  <c r="J1121" i="24"/>
  <c r="N1121" i="24" s="1" a="1"/>
  <c r="F1121" i="24"/>
  <c r="U1120" i="24"/>
  <c r="S1120" i="24" a="1"/>
  <c r="O1120" i="24" a="1"/>
  <c r="N1120" i="24" a="1"/>
  <c r="F1120" i="24"/>
  <c r="U1119" i="24"/>
  <c r="S1119" i="24" a="1"/>
  <c r="O1119" i="24" a="1"/>
  <c r="K1119" i="24"/>
  <c r="J1119" i="24"/>
  <c r="N1119" i="24" s="1" a="1"/>
  <c r="F1119" i="24"/>
  <c r="U1118" i="24"/>
  <c r="S1118" i="24" a="1"/>
  <c r="O1118" i="24" a="1"/>
  <c r="N1118" i="24" a="1"/>
  <c r="F1118" i="24"/>
  <c r="U1117" i="24"/>
  <c r="S1117" i="24" a="1"/>
  <c r="O1117" i="24" a="1"/>
  <c r="K1117" i="24"/>
  <c r="J1117" i="24"/>
  <c r="N1117" i="24" s="1" a="1"/>
  <c r="F1117" i="24"/>
  <c r="U1116" i="24"/>
  <c r="S1116" i="24" a="1"/>
  <c r="O1116" i="24" a="1"/>
  <c r="K1116" i="24"/>
  <c r="J1116" i="24"/>
  <c r="N1116" i="24" s="1" a="1"/>
  <c r="F1116" i="24"/>
  <c r="U1115" i="24"/>
  <c r="S1115" i="24" a="1"/>
  <c r="O1115" i="24" a="1"/>
  <c r="K1115" i="24"/>
  <c r="J1115" i="24"/>
  <c r="N1115" i="24" s="1" a="1"/>
  <c r="F1115" i="24"/>
  <c r="U1098" i="24"/>
  <c r="S1098" i="24" a="1"/>
  <c r="O1098" i="24" a="1"/>
  <c r="K1098" i="24"/>
  <c r="J1098" i="24"/>
  <c r="N1098" i="24" s="1" a="1"/>
  <c r="F1098" i="24"/>
  <c r="U1103" i="24"/>
  <c r="S1103" i="24" a="1"/>
  <c r="O1103" i="24" a="1"/>
  <c r="K1103" i="24"/>
  <c r="J1103" i="24"/>
  <c r="N1103" i="24" s="1" a="1"/>
  <c r="F1103" i="24"/>
  <c r="U1094" i="24"/>
  <c r="S1094" i="24" a="1"/>
  <c r="O1094" i="24" a="1"/>
  <c r="K1094" i="24"/>
  <c r="J1094" i="24"/>
  <c r="N1094" i="24" s="1" a="1"/>
  <c r="F1094" i="24"/>
  <c r="U1102" i="24"/>
  <c r="S1102" i="24" a="1"/>
  <c r="O1102" i="24" a="1"/>
  <c r="K1102" i="24"/>
  <c r="J1102" i="24"/>
  <c r="N1102" i="24" s="1" a="1"/>
  <c r="F1102" i="24"/>
  <c r="U1101" i="24"/>
  <c r="S1101" i="24" a="1"/>
  <c r="O1101" i="24" a="1"/>
  <c r="N1101" i="24" a="1"/>
  <c r="F1101" i="24"/>
  <c r="U1113" i="24"/>
  <c r="S1113" i="24" a="1"/>
  <c r="O1113" i="24" a="1"/>
  <c r="K1113" i="24"/>
  <c r="J1113" i="24"/>
  <c r="N1113" i="24" s="1" a="1"/>
  <c r="F1113" i="24"/>
  <c r="U1108" i="24"/>
  <c r="S1108" i="24" a="1"/>
  <c r="O1108" i="24" a="1"/>
  <c r="N1108" i="24" a="1"/>
  <c r="F1108" i="24"/>
  <c r="U1109" i="24"/>
  <c r="S1109" i="24" a="1"/>
  <c r="O1109" i="24" a="1"/>
  <c r="K1109" i="24"/>
  <c r="J1109" i="24"/>
  <c r="N1109" i="24" s="1" a="1"/>
  <c r="F1109" i="24"/>
  <c r="U1093" i="24"/>
  <c r="S1093" i="24" a="1"/>
  <c r="O1093" i="24" a="1"/>
  <c r="N1093" i="24" a="1"/>
  <c r="F1093" i="24"/>
  <c r="U1097" i="24"/>
  <c r="S1097" i="24" a="1"/>
  <c r="O1097" i="24" a="1"/>
  <c r="J1097" i="24"/>
  <c r="N1097" i="24" s="1" a="1"/>
  <c r="F1097" i="24"/>
  <c r="U1100" i="24"/>
  <c r="S1100" i="24" a="1"/>
  <c r="O1100" i="24" a="1"/>
  <c r="K1100" i="24"/>
  <c r="J1100" i="24"/>
  <c r="N1100" i="24" s="1" a="1"/>
  <c r="F1100" i="24"/>
  <c r="U1114" i="24"/>
  <c r="S1114" i="24" a="1"/>
  <c r="O1114" i="24" a="1"/>
  <c r="N1114" i="24" a="1"/>
  <c r="F1114" i="24"/>
  <c r="U1110" i="24"/>
  <c r="S1110" i="24" a="1"/>
  <c r="O1110" i="24" a="1"/>
  <c r="K1110" i="24"/>
  <c r="J1110" i="24"/>
  <c r="N1110" i="24" s="1" a="1"/>
  <c r="F1110" i="24"/>
  <c r="U1099" i="24"/>
  <c r="S1099" i="24" a="1"/>
  <c r="O1099" i="24" a="1"/>
  <c r="K1099" i="24"/>
  <c r="J1099" i="24"/>
  <c r="N1099" i="24" s="1" a="1"/>
  <c r="F1099" i="24"/>
  <c r="U1104" i="24"/>
  <c r="S1104" i="24" a="1"/>
  <c r="O1104" i="24" a="1"/>
  <c r="K1104" i="24"/>
  <c r="J1104" i="24"/>
  <c r="N1104" i="24" s="1" a="1"/>
  <c r="F1104" i="24"/>
  <c r="U1106" i="24"/>
  <c r="S1106" i="24" a="1"/>
  <c r="O1106" i="24" a="1"/>
  <c r="K1106" i="24"/>
  <c r="J1106" i="24"/>
  <c r="N1106" i="24" s="1" a="1"/>
  <c r="F1106" i="24"/>
  <c r="U1095" i="24"/>
  <c r="S1095" i="24" a="1"/>
  <c r="O1095" i="24" a="1"/>
  <c r="K1095" i="24"/>
  <c r="J1095" i="24"/>
  <c r="N1095" i="24" s="1" a="1"/>
  <c r="F1095" i="24"/>
  <c r="U1111" i="24"/>
  <c r="S1111" i="24" a="1"/>
  <c r="O1111" i="24" a="1"/>
  <c r="N1111" i="24" a="1"/>
  <c r="F1111" i="24"/>
  <c r="U1112" i="24"/>
  <c r="S1112" i="24" a="1"/>
  <c r="O1112" i="24" a="1"/>
  <c r="K1112" i="24"/>
  <c r="J1112" i="24"/>
  <c r="N1112" i="24" s="1" a="1"/>
  <c r="F1112" i="24"/>
  <c r="U1096" i="24"/>
  <c r="S1096" i="24" a="1"/>
  <c r="O1096" i="24" a="1"/>
  <c r="K1096" i="24"/>
  <c r="J1096" i="24"/>
  <c r="N1096" i="24" s="1" a="1"/>
  <c r="F1096" i="24"/>
  <c r="U1107" i="24"/>
  <c r="S1107" i="24" a="1"/>
  <c r="O1107" i="24" a="1"/>
  <c r="N1107" i="24" a="1"/>
  <c r="F1107" i="24"/>
  <c r="U1105" i="24"/>
  <c r="S1105" i="24" a="1"/>
  <c r="O1105" i="24" a="1"/>
  <c r="K1105" i="24"/>
  <c r="J1105" i="24"/>
  <c r="N1105" i="24" s="1" a="1"/>
  <c r="F1105" i="24"/>
  <c r="U1082" i="24"/>
  <c r="S1082" i="24" a="1"/>
  <c r="O1082" i="24" a="1"/>
  <c r="N1082" i="24" a="1"/>
  <c r="F1082" i="24"/>
  <c r="U1070" i="24"/>
  <c r="S1070" i="24" a="1"/>
  <c r="O1070" i="24" a="1"/>
  <c r="K1070" i="24"/>
  <c r="J1070" i="24"/>
  <c r="N1070" i="24" s="1" a="1"/>
  <c r="F1070" i="24"/>
  <c r="U1076" i="24"/>
  <c r="S1076" i="24" a="1"/>
  <c r="O1076" i="24" a="1"/>
  <c r="J1076" i="24"/>
  <c r="N1076" i="24" s="1" a="1"/>
  <c r="F1076" i="24"/>
  <c r="U1092" i="24"/>
  <c r="S1092" i="24" a="1"/>
  <c r="O1092" i="24" a="1"/>
  <c r="K1092" i="24"/>
  <c r="J1092" i="24"/>
  <c r="N1092" i="24" s="1" a="1"/>
  <c r="F1092" i="24"/>
  <c r="U1073" i="24"/>
  <c r="S1073" i="24" a="1"/>
  <c r="O1073" i="24" a="1"/>
  <c r="K1073" i="24"/>
  <c r="J1073" i="24"/>
  <c r="N1073" i="24" s="1" a="1"/>
  <c r="F1073" i="24"/>
  <c r="U1087" i="24"/>
  <c r="S1087" i="24" a="1"/>
  <c r="O1087" i="24" a="1"/>
  <c r="N1087" i="24" a="1"/>
  <c r="F1087" i="24"/>
  <c r="U1071" i="24"/>
  <c r="S1071" i="24" a="1"/>
  <c r="O1071" i="24" a="1"/>
  <c r="K1071" i="24"/>
  <c r="J1071" i="24"/>
  <c r="N1071" i="24" s="1" a="1"/>
  <c r="F1071" i="24"/>
  <c r="U1075" i="24"/>
  <c r="S1075" i="24" a="1"/>
  <c r="O1075" i="24" a="1"/>
  <c r="K1075" i="24"/>
  <c r="J1075" i="24"/>
  <c r="N1075" i="24" s="1" a="1"/>
  <c r="F1075" i="24"/>
  <c r="U1072" i="24"/>
  <c r="S1072" i="24" a="1"/>
  <c r="O1072" i="24" a="1"/>
  <c r="K1072" i="24"/>
  <c r="J1072" i="24"/>
  <c r="N1072" i="24" s="1" a="1"/>
  <c r="F1072" i="24"/>
  <c r="U1084" i="24"/>
  <c r="S1084" i="24" a="1"/>
  <c r="O1084" i="24" a="1"/>
  <c r="K1084" i="24"/>
  <c r="J1084" i="24"/>
  <c r="N1084" i="24" s="1" a="1"/>
  <c r="F1084" i="24"/>
  <c r="U1078" i="24"/>
  <c r="S1078" i="24" a="1"/>
  <c r="O1078" i="24" a="1"/>
  <c r="K1078" i="24"/>
  <c r="J1078" i="24"/>
  <c r="N1078" i="24" s="1" a="1"/>
  <c r="F1078" i="24"/>
  <c r="U1077" i="24"/>
  <c r="S1077" i="24" a="1"/>
  <c r="O1077" i="24" a="1"/>
  <c r="K1077" i="24"/>
  <c r="J1077" i="24"/>
  <c r="N1077" i="24" s="1" a="1"/>
  <c r="F1077" i="24"/>
  <c r="U1091" i="24"/>
  <c r="S1091" i="24" a="1"/>
  <c r="O1091" i="24" a="1"/>
  <c r="K1091" i="24"/>
  <c r="J1091" i="24"/>
  <c r="N1091" i="24" s="1" a="1"/>
  <c r="F1091" i="24"/>
  <c r="U1085" i="24"/>
  <c r="S1085" i="24" a="1"/>
  <c r="O1085" i="24" a="1"/>
  <c r="K1085" i="24"/>
  <c r="J1085" i="24"/>
  <c r="N1085" i="24" s="1" a="1"/>
  <c r="F1085" i="24"/>
  <c r="U1088" i="24"/>
  <c r="S1088" i="24" a="1"/>
  <c r="O1088" i="24" a="1"/>
  <c r="K1088" i="24"/>
  <c r="J1088" i="24"/>
  <c r="N1088" i="24" s="1" a="1"/>
  <c r="F1088" i="24"/>
  <c r="U1080" i="24"/>
  <c r="S1080" i="24" a="1"/>
  <c r="O1080" i="24" a="1"/>
  <c r="K1080" i="24"/>
  <c r="J1080" i="24"/>
  <c r="N1080" i="24" s="1" a="1"/>
  <c r="F1080" i="24"/>
  <c r="U1081" i="24"/>
  <c r="S1081" i="24" a="1"/>
  <c r="O1081" i="24" a="1"/>
  <c r="K1081" i="24"/>
  <c r="J1081" i="24"/>
  <c r="N1081" i="24" s="1" a="1"/>
  <c r="F1081" i="24"/>
  <c r="U1074" i="24"/>
  <c r="S1074" i="24" a="1"/>
  <c r="O1074" i="24" a="1"/>
  <c r="K1074" i="24"/>
  <c r="J1074" i="24"/>
  <c r="N1074" i="24" s="1" a="1"/>
  <c r="F1074" i="24"/>
  <c r="U1086" i="24"/>
  <c r="S1086" i="24" a="1"/>
  <c r="O1086" i="24" a="1"/>
  <c r="K1086" i="24"/>
  <c r="J1086" i="24"/>
  <c r="N1086" i="24" s="1" a="1"/>
  <c r="F1086" i="24"/>
  <c r="U1079" i="24"/>
  <c r="S1079" i="24" a="1"/>
  <c r="O1079" i="24" a="1"/>
  <c r="K1079" i="24"/>
  <c r="J1079" i="24"/>
  <c r="N1079" i="24" s="1" a="1"/>
  <c r="F1079" i="24"/>
  <c r="U1090" i="24"/>
  <c r="S1090" i="24" a="1"/>
  <c r="O1090" i="24" a="1"/>
  <c r="J1090" i="24"/>
  <c r="N1090" i="24" s="1" a="1"/>
  <c r="F1090" i="24"/>
  <c r="U1083" i="24"/>
  <c r="S1083" i="24" a="1"/>
  <c r="O1083" i="24" a="1"/>
  <c r="K1083" i="24"/>
  <c r="J1083" i="24"/>
  <c r="N1083" i="24" s="1" a="1"/>
  <c r="F1083" i="24"/>
  <c r="U1089" i="24"/>
  <c r="S1089" i="24" a="1"/>
  <c r="O1089" i="24" a="1"/>
  <c r="K1089" i="24"/>
  <c r="J1089" i="24"/>
  <c r="N1089" i="24" s="1" a="1"/>
  <c r="F1089" i="24"/>
  <c r="U1058" i="24"/>
  <c r="S1058" i="24" a="1"/>
  <c r="O1058" i="24" a="1"/>
  <c r="K1058" i="24"/>
  <c r="J1058" i="24"/>
  <c r="N1058" i="24" s="1" a="1"/>
  <c r="F1058" i="24"/>
  <c r="U1045" i="24"/>
  <c r="S1045" i="24" a="1"/>
  <c r="O1045" i="24" a="1"/>
  <c r="K1045" i="24"/>
  <c r="J1045" i="24"/>
  <c r="N1045" i="24" s="1" a="1"/>
  <c r="F1045" i="24"/>
  <c r="U1049" i="24"/>
  <c r="S1049" i="24" a="1"/>
  <c r="O1049" i="24" a="1"/>
  <c r="K1049" i="24"/>
  <c r="J1049" i="24"/>
  <c r="N1049" i="24" s="1" a="1"/>
  <c r="F1049" i="24"/>
  <c r="U1063" i="24"/>
  <c r="S1063" i="24" a="1"/>
  <c r="O1063" i="24" a="1"/>
  <c r="J1063" i="24"/>
  <c r="N1063" i="24" s="1" a="1"/>
  <c r="F1063" i="24"/>
  <c r="U1060" i="24"/>
  <c r="S1060" i="24" a="1"/>
  <c r="O1060" i="24" a="1"/>
  <c r="K1060" i="24"/>
  <c r="J1060" i="24"/>
  <c r="N1060" i="24" s="1" a="1"/>
  <c r="F1060" i="24"/>
  <c r="U1062" i="24"/>
  <c r="S1062" i="24" a="1"/>
  <c r="O1062" i="24" a="1"/>
  <c r="K1062" i="24"/>
  <c r="J1062" i="24"/>
  <c r="F1062" i="24"/>
  <c r="U1047" i="24"/>
  <c r="S1047" i="24" a="1"/>
  <c r="O1047" i="24" a="1"/>
  <c r="K1047" i="24"/>
  <c r="J1047" i="24"/>
  <c r="N1047" i="24" s="1" a="1"/>
  <c r="F1047" i="24"/>
  <c r="U1053" i="24"/>
  <c r="S1053" i="24" a="1"/>
  <c r="O1053" i="24" a="1"/>
  <c r="K1053" i="24"/>
  <c r="J1053" i="24"/>
  <c r="N1053" i="24" s="1" a="1"/>
  <c r="F1053" i="24"/>
  <c r="U1056" i="24"/>
  <c r="S1056" i="24" a="1"/>
  <c r="O1056" i="24" a="1"/>
  <c r="K1056" i="24"/>
  <c r="J1056" i="24"/>
  <c r="N1056" i="24" s="1" a="1"/>
  <c r="F1056" i="24"/>
  <c r="U1044" i="24"/>
  <c r="S1044" i="24" a="1"/>
  <c r="O1044" i="24" a="1"/>
  <c r="K1044" i="24"/>
  <c r="J1044" i="24"/>
  <c r="N1044" i="24" s="1" a="1"/>
  <c r="F1044" i="24"/>
  <c r="U1051" i="24"/>
  <c r="S1051" i="24" a="1"/>
  <c r="O1051" i="24" a="1"/>
  <c r="K1051" i="24"/>
  <c r="J1051" i="24"/>
  <c r="N1051" i="24" s="1" a="1"/>
  <c r="F1051" i="24"/>
  <c r="U1059" i="24"/>
  <c r="S1059" i="24" a="1"/>
  <c r="O1059" i="24" a="1"/>
  <c r="K1059" i="24"/>
  <c r="J1059" i="24"/>
  <c r="N1059" i="24" s="1" a="1"/>
  <c r="F1059" i="24"/>
  <c r="U1046" i="24"/>
  <c r="S1046" i="24" a="1"/>
  <c r="O1046" i="24" a="1"/>
  <c r="K1046" i="24"/>
  <c r="J1046" i="24"/>
  <c r="N1046" i="24" s="1" a="1"/>
  <c r="F1046" i="24"/>
  <c r="U1055" i="24"/>
  <c r="S1055" i="24" a="1"/>
  <c r="O1055" i="24" a="1"/>
  <c r="K1055" i="24"/>
  <c r="J1055" i="24"/>
  <c r="N1055" i="24" s="1" a="1"/>
  <c r="F1055" i="24"/>
  <c r="U1066" i="24"/>
  <c r="S1066" i="24" a="1"/>
  <c r="O1066" i="24" a="1"/>
  <c r="K1066" i="24"/>
  <c r="J1066" i="24"/>
  <c r="N1066" i="24" s="1" a="1"/>
  <c r="F1066" i="24"/>
  <c r="U1050" i="24"/>
  <c r="S1050" i="24" a="1"/>
  <c r="O1050" i="24" a="1"/>
  <c r="K1050" i="24"/>
  <c r="J1050" i="24"/>
  <c r="N1050" i="24" s="1" a="1"/>
  <c r="F1050" i="24"/>
  <c r="U1069" i="24"/>
  <c r="S1069" i="24" a="1"/>
  <c r="O1069" i="24" a="1"/>
  <c r="K1069" i="24"/>
  <c r="J1069" i="24"/>
  <c r="N1069" i="24" s="1" a="1"/>
  <c r="F1069" i="24"/>
  <c r="U1061" i="24"/>
  <c r="S1061" i="24" a="1"/>
  <c r="O1061" i="24" a="1"/>
  <c r="K1061" i="24"/>
  <c r="J1061" i="24"/>
  <c r="N1061" i="24" s="1" a="1"/>
  <c r="F1061" i="24"/>
  <c r="U1067" i="24"/>
  <c r="S1067" i="24" a="1"/>
  <c r="O1067" i="24" a="1"/>
  <c r="K1067" i="24"/>
  <c r="J1067" i="24"/>
  <c r="N1067" i="24" s="1" a="1"/>
  <c r="F1067" i="24"/>
  <c r="U1068" i="24"/>
  <c r="S1068" i="24" a="1"/>
  <c r="O1068" i="24" a="1"/>
  <c r="K1068" i="24"/>
  <c r="J1068" i="24"/>
  <c r="N1068" i="24" s="1" a="1"/>
  <c r="F1068" i="24"/>
  <c r="U1052" i="24"/>
  <c r="S1052" i="24" a="1"/>
  <c r="O1052" i="24" a="1"/>
  <c r="K1052" i="24"/>
  <c r="J1052" i="24"/>
  <c r="N1052" i="24" s="1" a="1"/>
  <c r="F1052" i="24"/>
  <c r="U1048" i="24"/>
  <c r="S1048" i="24" a="1"/>
  <c r="O1048" i="24" a="1"/>
  <c r="K1048" i="24"/>
  <c r="J1048" i="24"/>
  <c r="N1048" i="24" s="1" a="1"/>
  <c r="F1048" i="24"/>
  <c r="U1065" i="24"/>
  <c r="S1065" i="24" a="1"/>
  <c r="O1065" i="24" a="1"/>
  <c r="K1065" i="24"/>
  <c r="J1065" i="24"/>
  <c r="N1065" i="24" s="1" a="1"/>
  <c r="F1065" i="24"/>
  <c r="U1057" i="24"/>
  <c r="S1057" i="24" a="1"/>
  <c r="O1057" i="24" a="1"/>
  <c r="K1057" i="24"/>
  <c r="J1057" i="24"/>
  <c r="N1057" i="24" s="1" a="1"/>
  <c r="F1057" i="24"/>
  <c r="U1054" i="24"/>
  <c r="S1054" i="24" a="1"/>
  <c r="O1054" i="24" a="1"/>
  <c r="K1054" i="24"/>
  <c r="J1054" i="24"/>
  <c r="N1054" i="24" s="1" a="1"/>
  <c r="F1054" i="24"/>
  <c r="U1064" i="24"/>
  <c r="S1064" i="24" a="1"/>
  <c r="O1064" i="24" a="1"/>
  <c r="K1064" i="24"/>
  <c r="J1064" i="24"/>
  <c r="N1064" i="24" s="1" a="1"/>
  <c r="F1064" i="24"/>
  <c r="U1025" i="24"/>
  <c r="S1025" i="24" a="1"/>
  <c r="O1025" i="24" a="1"/>
  <c r="K1025" i="24"/>
  <c r="J1025" i="24"/>
  <c r="N1025" i="24" s="1" a="1"/>
  <c r="F1025" i="24"/>
  <c r="U1030" i="24"/>
  <c r="S1030" i="24" a="1"/>
  <c r="O1030" i="24" a="1"/>
  <c r="K1030" i="24"/>
  <c r="J1030" i="24"/>
  <c r="N1030" i="24" s="1" a="1"/>
  <c r="F1030" i="24"/>
  <c r="U1034" i="24"/>
  <c r="S1034" i="24" a="1"/>
  <c r="O1034" i="24" a="1"/>
  <c r="K1034" i="24"/>
  <c r="J1034" i="24"/>
  <c r="N1034" i="24" s="1" a="1"/>
  <c r="F1034" i="24"/>
  <c r="U1043" i="24"/>
  <c r="S1043" i="24" a="1"/>
  <c r="O1043" i="24" a="1"/>
  <c r="K1043" i="24"/>
  <c r="J1043" i="24"/>
  <c r="N1043" i="24" s="1" a="1"/>
  <c r="F1043" i="24"/>
  <c r="U1029" i="24"/>
  <c r="S1029" i="24" a="1"/>
  <c r="O1029" i="24" a="1"/>
  <c r="K1029" i="24"/>
  <c r="J1029" i="24"/>
  <c r="N1029" i="24" s="1" a="1"/>
  <c r="F1029" i="24"/>
  <c r="U1012" i="24"/>
  <c r="S1012" i="24" a="1"/>
  <c r="O1012" i="24" a="1"/>
  <c r="K1012" i="24"/>
  <c r="J1012" i="24"/>
  <c r="N1012" i="24" s="1" a="1"/>
  <c r="F1012" i="24"/>
  <c r="U1023" i="24"/>
  <c r="S1023" i="24" a="1"/>
  <c r="O1023" i="24" a="1"/>
  <c r="K1023" i="24"/>
  <c r="J1023" i="24"/>
  <c r="N1023" i="24" s="1" a="1"/>
  <c r="F1023" i="24"/>
  <c r="U1017" i="24"/>
  <c r="S1017" i="24" a="1"/>
  <c r="O1017" i="24" a="1"/>
  <c r="K1017" i="24"/>
  <c r="J1017" i="24"/>
  <c r="N1017" i="24" s="1" a="1"/>
  <c r="F1017" i="24"/>
  <c r="U1033" i="24"/>
  <c r="S1033" i="24" a="1"/>
  <c r="O1033" i="24" a="1"/>
  <c r="K1033" i="24"/>
  <c r="J1033" i="24"/>
  <c r="N1033" i="24" s="1" a="1"/>
  <c r="F1033" i="24"/>
  <c r="U1041" i="24"/>
  <c r="S1041" i="24" a="1"/>
  <c r="O1041" i="24" a="1"/>
  <c r="K1041" i="24"/>
  <c r="J1041" i="24"/>
  <c r="N1041" i="24" s="1" a="1"/>
  <c r="F1041" i="24"/>
  <c r="U1022" i="24"/>
  <c r="S1022" i="24" a="1"/>
  <c r="O1022" i="24" a="1"/>
  <c r="K1022" i="24"/>
  <c r="J1022" i="24"/>
  <c r="N1022" i="24" s="1" a="1"/>
  <c r="F1022" i="24"/>
  <c r="U1027" i="24"/>
  <c r="S1027" i="24" a="1"/>
  <c r="O1027" i="24" a="1"/>
  <c r="K1027" i="24"/>
  <c r="J1027" i="24"/>
  <c r="N1027" i="24" s="1" a="1"/>
  <c r="F1027" i="24"/>
  <c r="U1004" i="24"/>
  <c r="S1004" i="24" a="1"/>
  <c r="O1004" i="24" a="1"/>
  <c r="K1004" i="24"/>
  <c r="J1004" i="24"/>
  <c r="N1004" i="24" s="1" a="1"/>
  <c r="F1004" i="24"/>
  <c r="U1032" i="24"/>
  <c r="S1032" i="24" a="1"/>
  <c r="O1032" i="24" a="1"/>
  <c r="K1032" i="24"/>
  <c r="J1032" i="24"/>
  <c r="N1032" i="24" s="1" a="1"/>
  <c r="F1032" i="24"/>
  <c r="U1040" i="24"/>
  <c r="S1040" i="24" a="1"/>
  <c r="O1040" i="24" a="1"/>
  <c r="K1040" i="24"/>
  <c r="J1040" i="24"/>
  <c r="N1040" i="24" s="1" a="1"/>
  <c r="F1040" i="24"/>
  <c r="U1020" i="24"/>
  <c r="S1020" i="24" a="1"/>
  <c r="O1020" i="24" a="1"/>
  <c r="J1020" i="24"/>
  <c r="N1020" i="24" s="1" a="1"/>
  <c r="F1020" i="24"/>
  <c r="U1008" i="24"/>
  <c r="S1008" i="24" a="1"/>
  <c r="O1008" i="24" a="1"/>
  <c r="K1008" i="24"/>
  <c r="J1008" i="24"/>
  <c r="N1008" i="24" s="1" a="1"/>
  <c r="F1008" i="24"/>
  <c r="U1042" i="24"/>
  <c r="S1042" i="24" a="1"/>
  <c r="O1042" i="24" a="1"/>
  <c r="K1042" i="24"/>
  <c r="J1042" i="24"/>
  <c r="N1042" i="24" s="1" a="1"/>
  <c r="F1042" i="24"/>
  <c r="U1036" i="24"/>
  <c r="S1036" i="24" a="1"/>
  <c r="O1036" i="24" a="1"/>
  <c r="K1036" i="24"/>
  <c r="J1036" i="24"/>
  <c r="N1036" i="24" s="1" a="1"/>
  <c r="F1036" i="24"/>
  <c r="U1024" i="24"/>
  <c r="S1024" i="24" a="1"/>
  <c r="O1024" i="24" a="1"/>
  <c r="K1024" i="24"/>
  <c r="J1024" i="24"/>
  <c r="N1024" i="24" s="1" a="1"/>
  <c r="F1024" i="24"/>
  <c r="U1021" i="24"/>
  <c r="S1021" i="24" a="1"/>
  <c r="O1021" i="24" a="1"/>
  <c r="K1021" i="24"/>
  <c r="J1021" i="24"/>
  <c r="N1021" i="24" s="1" a="1"/>
  <c r="F1021" i="24"/>
  <c r="U1013" i="24"/>
  <c r="S1013" i="24" a="1"/>
  <c r="O1013" i="24" a="1"/>
  <c r="K1013" i="24"/>
  <c r="J1013" i="24"/>
  <c r="N1013" i="24" s="1" a="1"/>
  <c r="F1013" i="24"/>
  <c r="U1026" i="24"/>
  <c r="S1026" i="24" a="1"/>
  <c r="O1026" i="24" a="1"/>
  <c r="K1026" i="24"/>
  <c r="J1026" i="24"/>
  <c r="N1026" i="24" s="1" a="1"/>
  <c r="F1026" i="24"/>
  <c r="U1035" i="24"/>
  <c r="S1035" i="24" a="1"/>
  <c r="O1035" i="24" a="1"/>
  <c r="N1035" i="24" a="1"/>
  <c r="F1035" i="24"/>
  <c r="U1010" i="24"/>
  <c r="S1010" i="24" a="1"/>
  <c r="O1010" i="24" a="1"/>
  <c r="N1010" i="24" a="1"/>
  <c r="F1010" i="24"/>
  <c r="U1037" i="24"/>
  <c r="S1037" i="24" a="1"/>
  <c r="O1037" i="24" a="1"/>
  <c r="K1037" i="24"/>
  <c r="J1037" i="24"/>
  <c r="N1037" i="24" s="1" a="1"/>
  <c r="F1037" i="24"/>
  <c r="U1003" i="24"/>
  <c r="S1003" i="24" a="1"/>
  <c r="O1003" i="24" a="1"/>
  <c r="K1003" i="24"/>
  <c r="J1003" i="24"/>
  <c r="N1003" i="24" s="1" a="1"/>
  <c r="F1003" i="24"/>
  <c r="U1009" i="24"/>
  <c r="S1009" i="24" a="1"/>
  <c r="O1009" i="24" a="1"/>
  <c r="K1009" i="24"/>
  <c r="J1009" i="24"/>
  <c r="N1009" i="24" s="1" a="1"/>
  <c r="F1009" i="24"/>
  <c r="U1019" i="24"/>
  <c r="S1019" i="24" a="1"/>
  <c r="O1019" i="24" a="1"/>
  <c r="K1019" i="24"/>
  <c r="J1019" i="24"/>
  <c r="N1019" i="24" s="1" a="1"/>
  <c r="F1019" i="24"/>
  <c r="U1028" i="24"/>
  <c r="S1028" i="24" a="1"/>
  <c r="O1028" i="24" a="1"/>
  <c r="K1028" i="24"/>
  <c r="J1028" i="24"/>
  <c r="N1028" i="24" s="1" a="1"/>
  <c r="F1028" i="24"/>
  <c r="U1018" i="24"/>
  <c r="S1018" i="24" a="1"/>
  <c r="O1018" i="24" a="1"/>
  <c r="K1018" i="24"/>
  <c r="J1018" i="24"/>
  <c r="N1018" i="24" s="1" a="1"/>
  <c r="F1018" i="24"/>
  <c r="U1016" i="24"/>
  <c r="S1016" i="24" a="1"/>
  <c r="O1016" i="24" a="1"/>
  <c r="K1016" i="24"/>
  <c r="J1016" i="24"/>
  <c r="N1016" i="24" s="1" a="1"/>
  <c r="F1016" i="24"/>
  <c r="U1005" i="24"/>
  <c r="S1005" i="24" a="1"/>
  <c r="O1005" i="24" a="1"/>
  <c r="K1005" i="24"/>
  <c r="J1005" i="24"/>
  <c r="N1005" i="24" s="1" a="1"/>
  <c r="F1005" i="24"/>
  <c r="U1006" i="24"/>
  <c r="S1006" i="24" a="1"/>
  <c r="O1006" i="24" a="1"/>
  <c r="N1006" i="24" a="1"/>
  <c r="F1006" i="24"/>
  <c r="U1039" i="24"/>
  <c r="S1039" i="24" a="1"/>
  <c r="O1039" i="24" a="1"/>
  <c r="K1039" i="24"/>
  <c r="J1039" i="24"/>
  <c r="N1039" i="24" s="1" a="1"/>
  <c r="F1039" i="24"/>
  <c r="U1011" i="24"/>
  <c r="S1011" i="24" a="1"/>
  <c r="O1011" i="24" a="1"/>
  <c r="K1011" i="24"/>
  <c r="J1011" i="24"/>
  <c r="N1011" i="24" s="1" a="1"/>
  <c r="F1011" i="24"/>
  <c r="U1007" i="24"/>
  <c r="S1007" i="24" a="1"/>
  <c r="O1007" i="24" a="1"/>
  <c r="K1007" i="24"/>
  <c r="J1007" i="24"/>
  <c r="N1007" i="24" s="1" a="1"/>
  <c r="F1007" i="24"/>
  <c r="U1031" i="24"/>
  <c r="S1031" i="24" a="1"/>
  <c r="O1031" i="24" a="1"/>
  <c r="K1031" i="24"/>
  <c r="J1031" i="24"/>
  <c r="N1031" i="24" s="1" a="1"/>
  <c r="F1031" i="24"/>
  <c r="U1015" i="24"/>
  <c r="S1015" i="24" a="1"/>
  <c r="O1015" i="24" a="1"/>
  <c r="K1015" i="24"/>
  <c r="J1015" i="24"/>
  <c r="N1015" i="24" s="1" a="1"/>
  <c r="F1015" i="24"/>
  <c r="U1014" i="24"/>
  <c r="S1014" i="24" a="1"/>
  <c r="O1014" i="24" a="1"/>
  <c r="K1014" i="24"/>
  <c r="J1014" i="24"/>
  <c r="N1014" i="24" s="1" a="1"/>
  <c r="F1014" i="24"/>
  <c r="U1038" i="24"/>
  <c r="S1038" i="24" a="1"/>
  <c r="O1038" i="24" a="1"/>
  <c r="K1038" i="24"/>
  <c r="J1038" i="24"/>
  <c r="N1038" i="24" s="1" a="1"/>
  <c r="F1038" i="24"/>
  <c r="U984" i="24"/>
  <c r="S984" i="24" a="1"/>
  <c r="O984" i="24" a="1"/>
  <c r="K984" i="24"/>
  <c r="J984" i="24"/>
  <c r="N984" i="24" s="1" a="1"/>
  <c r="F984" i="24"/>
  <c r="U996" i="24"/>
  <c r="S996" i="24" a="1"/>
  <c r="O996" i="24" a="1"/>
  <c r="K996" i="24"/>
  <c r="J996" i="24"/>
  <c r="N996" i="24" s="1" a="1"/>
  <c r="F996" i="24"/>
  <c r="U1000" i="24"/>
  <c r="S1000" i="24" a="1"/>
  <c r="O1000" i="24" a="1"/>
  <c r="K1000" i="24"/>
  <c r="J1000" i="24"/>
  <c r="N1000" i="24" s="1" a="1"/>
  <c r="F1000" i="24"/>
  <c r="U988" i="24"/>
  <c r="S988" i="24" a="1"/>
  <c r="O988" i="24" a="1"/>
  <c r="K988" i="24"/>
  <c r="J988" i="24"/>
  <c r="N988" i="24" s="1" a="1"/>
  <c r="F988" i="24"/>
  <c r="U983" i="24"/>
  <c r="S983" i="24" a="1"/>
  <c r="O983" i="24" a="1"/>
  <c r="K983" i="24"/>
  <c r="J983" i="24"/>
  <c r="N983" i="24" s="1" a="1"/>
  <c r="F983" i="24"/>
  <c r="U985" i="24"/>
  <c r="S985" i="24" a="1"/>
  <c r="O985" i="24" a="1"/>
  <c r="K985" i="24"/>
  <c r="J985" i="24"/>
  <c r="N985" i="24" s="1" a="1"/>
  <c r="F985" i="24"/>
  <c r="U992" i="24"/>
  <c r="S992" i="24" a="1"/>
  <c r="O992" i="24" a="1"/>
  <c r="K992" i="24"/>
  <c r="J992" i="24"/>
  <c r="N992" i="24" s="1" a="1"/>
  <c r="F992" i="24"/>
  <c r="U993" i="24"/>
  <c r="S993" i="24" a="1"/>
  <c r="O993" i="24" a="1"/>
  <c r="K993" i="24"/>
  <c r="J993" i="24"/>
  <c r="N993" i="24" s="1" a="1"/>
  <c r="F993" i="24"/>
  <c r="U995" i="24"/>
  <c r="S995" i="24" a="1"/>
  <c r="O995" i="24" a="1"/>
  <c r="K995" i="24"/>
  <c r="J995" i="24"/>
  <c r="N995" i="24" s="1" a="1"/>
  <c r="F995" i="24"/>
  <c r="U1001" i="24"/>
  <c r="S1001" i="24" a="1"/>
  <c r="O1001" i="24" a="1"/>
  <c r="K1001" i="24"/>
  <c r="J1001" i="24"/>
  <c r="N1001" i="24" s="1" a="1"/>
  <c r="F1001" i="24"/>
  <c r="U991" i="24"/>
  <c r="S991" i="24" a="1"/>
  <c r="O991" i="24" a="1"/>
  <c r="K991" i="24"/>
  <c r="J991" i="24"/>
  <c r="N991" i="24" s="1" a="1"/>
  <c r="F991" i="24"/>
  <c r="U990" i="24"/>
  <c r="S990" i="24" a="1"/>
  <c r="O990" i="24" a="1"/>
  <c r="J990" i="24"/>
  <c r="N990" i="24" s="1" a="1"/>
  <c r="F990" i="24"/>
  <c r="U989" i="24"/>
  <c r="S989" i="24" a="1"/>
  <c r="O989" i="24" a="1"/>
  <c r="K989" i="24"/>
  <c r="J989" i="24"/>
  <c r="N989" i="24" s="1" a="1"/>
  <c r="F989" i="24"/>
  <c r="U981" i="24"/>
  <c r="S981" i="24" a="1"/>
  <c r="O981" i="24" a="1"/>
  <c r="K981" i="24"/>
  <c r="J981" i="24"/>
  <c r="N981" i="24" s="1" a="1"/>
  <c r="F981" i="24"/>
  <c r="U987" i="24"/>
  <c r="S987" i="24" a="1"/>
  <c r="O987" i="24" a="1"/>
  <c r="K987" i="24"/>
  <c r="J987" i="24"/>
  <c r="N987" i="24" s="1" a="1"/>
  <c r="F987" i="24"/>
  <c r="U997" i="24"/>
  <c r="S997" i="24" a="1"/>
  <c r="O997" i="24" a="1"/>
  <c r="K997" i="24"/>
  <c r="J997" i="24"/>
  <c r="N997" i="24" s="1" a="1"/>
  <c r="F997" i="24"/>
  <c r="U998" i="24"/>
  <c r="S998" i="24" a="1"/>
  <c r="O998" i="24" a="1"/>
  <c r="K998" i="24"/>
  <c r="J998" i="24"/>
  <c r="N998" i="24" s="1" a="1"/>
  <c r="F998" i="24"/>
  <c r="U1002" i="24"/>
  <c r="S1002" i="24" a="1"/>
  <c r="O1002" i="24" a="1"/>
  <c r="K1002" i="24"/>
  <c r="J1002" i="24"/>
  <c r="N1002" i="24" s="1" a="1"/>
  <c r="F1002" i="24"/>
  <c r="U979" i="24"/>
  <c r="S979" i="24" a="1"/>
  <c r="O979" i="24" a="1"/>
  <c r="K979" i="24"/>
  <c r="J979" i="24"/>
  <c r="N979" i="24" s="1" a="1"/>
  <c r="F979" i="24"/>
  <c r="U999" i="24"/>
  <c r="S999" i="24" a="1"/>
  <c r="O999" i="24" a="1"/>
  <c r="K999" i="24"/>
  <c r="J999" i="24"/>
  <c r="N999" i="24" s="1" a="1"/>
  <c r="F999" i="24"/>
  <c r="U982" i="24"/>
  <c r="S982" i="24" a="1"/>
  <c r="O982" i="24" a="1"/>
  <c r="K982" i="24"/>
  <c r="J982" i="24"/>
  <c r="N982" i="24" s="1" a="1"/>
  <c r="F982" i="24"/>
  <c r="U994" i="24"/>
  <c r="S994" i="24" a="1"/>
  <c r="O994" i="24" a="1"/>
  <c r="K994" i="24"/>
  <c r="J994" i="24"/>
  <c r="N994" i="24" s="1" a="1"/>
  <c r="F994" i="24"/>
  <c r="U980" i="24"/>
  <c r="S980" i="24" a="1"/>
  <c r="O980" i="24" a="1"/>
  <c r="K980" i="24"/>
  <c r="J980" i="24"/>
  <c r="N980" i="24" s="1" a="1"/>
  <c r="F980" i="24"/>
  <c r="U986" i="24"/>
  <c r="S986" i="24" a="1"/>
  <c r="O986" i="24" a="1"/>
  <c r="K986" i="24"/>
  <c r="J986" i="24"/>
  <c r="N986" i="24" s="1" a="1"/>
  <c r="F986" i="24"/>
  <c r="U968" i="24"/>
  <c r="S968" i="24" a="1"/>
  <c r="O968" i="24" a="1"/>
  <c r="N968" i="24" a="1"/>
  <c r="F968" i="24"/>
  <c r="U966" i="24"/>
  <c r="S966" i="24" a="1"/>
  <c r="O966" i="24" a="1"/>
  <c r="K966" i="24"/>
  <c r="J966" i="24"/>
  <c r="N966" i="24" s="1" a="1"/>
  <c r="F966" i="24"/>
  <c r="U975" i="24"/>
  <c r="S975" i="24" a="1"/>
  <c r="O975" i="24" a="1"/>
  <c r="K975" i="24"/>
  <c r="J975" i="24"/>
  <c r="N975" i="24" s="1" a="1"/>
  <c r="F975" i="24"/>
  <c r="U970" i="24"/>
  <c r="S970" i="24" a="1"/>
  <c r="O970" i="24" a="1"/>
  <c r="K970" i="24"/>
  <c r="J970" i="24"/>
  <c r="N970" i="24" s="1" a="1"/>
  <c r="F970" i="24"/>
  <c r="U973" i="24"/>
  <c r="S973" i="24" a="1"/>
  <c r="O973" i="24" a="1"/>
  <c r="K973" i="24"/>
  <c r="J973" i="24"/>
  <c r="N973" i="24" s="1" a="1"/>
  <c r="F973" i="24"/>
  <c r="U978" i="24"/>
  <c r="S978" i="24" a="1"/>
  <c r="O978" i="24" a="1"/>
  <c r="N978" i="24" a="1"/>
  <c r="F978" i="24"/>
  <c r="U974" i="24"/>
  <c r="S974" i="24" a="1"/>
  <c r="O974" i="24" a="1"/>
  <c r="K974" i="24"/>
  <c r="J974" i="24"/>
  <c r="N974" i="24" s="1" a="1"/>
  <c r="F974" i="24"/>
  <c r="U977" i="24"/>
  <c r="S977" i="24" a="1"/>
  <c r="O977" i="24" a="1"/>
  <c r="K977" i="24"/>
  <c r="J977" i="24"/>
  <c r="N977" i="24" s="1" a="1"/>
  <c r="F977" i="24"/>
  <c r="U976" i="24"/>
  <c r="S976" i="24" a="1"/>
  <c r="O976" i="24" a="1"/>
  <c r="N976" i="24" a="1"/>
  <c r="F976" i="24"/>
  <c r="U972" i="24"/>
  <c r="S972" i="24" a="1"/>
  <c r="O972" i="24" a="1"/>
  <c r="J972" i="24"/>
  <c r="N972" i="24" s="1" a="1"/>
  <c r="F972" i="24"/>
  <c r="U971" i="24"/>
  <c r="S971" i="24" a="1"/>
  <c r="O971" i="24" a="1"/>
  <c r="K971" i="24"/>
  <c r="J971" i="24"/>
  <c r="N971" i="24" s="1" a="1"/>
  <c r="F971" i="24"/>
  <c r="U965" i="24"/>
  <c r="S965" i="24" a="1"/>
  <c r="O965" i="24" a="1"/>
  <c r="K965" i="24"/>
  <c r="J965" i="24"/>
  <c r="N965" i="24" s="1" a="1"/>
  <c r="F965" i="24"/>
  <c r="U969" i="24"/>
  <c r="S969" i="24" a="1"/>
  <c r="O969" i="24" a="1"/>
  <c r="K969" i="24"/>
  <c r="J969" i="24"/>
  <c r="N969" i="24" s="1" a="1"/>
  <c r="F969" i="24"/>
  <c r="U967" i="24"/>
  <c r="S967" i="24" a="1"/>
  <c r="O967" i="24" a="1"/>
  <c r="K967" i="24"/>
  <c r="J967" i="24"/>
  <c r="N967" i="24" s="1" a="1"/>
  <c r="F967" i="24"/>
  <c r="U948" i="24"/>
  <c r="S948" i="24" a="1"/>
  <c r="O948" i="24" a="1"/>
  <c r="K948" i="24"/>
  <c r="J948" i="24"/>
  <c r="N948" i="24" s="1" a="1"/>
  <c r="F948" i="24"/>
  <c r="U964" i="24"/>
  <c r="S964" i="24" a="1"/>
  <c r="O964" i="24" a="1"/>
  <c r="N964" i="24" a="1"/>
  <c r="F964" i="24"/>
  <c r="U960" i="24"/>
  <c r="S960" i="24" a="1"/>
  <c r="O960" i="24" a="1"/>
  <c r="K960" i="24"/>
  <c r="J960" i="24"/>
  <c r="N960" i="24" s="1" a="1"/>
  <c r="F960" i="24"/>
  <c r="U945" i="24"/>
  <c r="S945" i="24" a="1"/>
  <c r="O945" i="24" a="1"/>
  <c r="K945" i="24"/>
  <c r="J945" i="24"/>
  <c r="N945" i="24" s="1" a="1"/>
  <c r="F945" i="24"/>
  <c r="U959" i="24"/>
  <c r="S959" i="24" a="1"/>
  <c r="O959" i="24" a="1"/>
  <c r="K959" i="24"/>
  <c r="J959" i="24"/>
  <c r="N959" i="24" s="1" a="1"/>
  <c r="F959" i="24"/>
  <c r="U956" i="24"/>
  <c r="S956" i="24" a="1"/>
  <c r="O956" i="24" a="1"/>
  <c r="K956" i="24"/>
  <c r="J956" i="24"/>
  <c r="N956" i="24" s="1" a="1"/>
  <c r="F956" i="24"/>
  <c r="U951" i="24"/>
  <c r="S951" i="24" a="1"/>
  <c r="O951" i="24" a="1"/>
  <c r="K951" i="24"/>
  <c r="J951" i="24"/>
  <c r="N951" i="24" s="1" a="1"/>
  <c r="F951" i="24"/>
  <c r="U962" i="24"/>
  <c r="S962" i="24" a="1"/>
  <c r="O962" i="24" a="1"/>
  <c r="K962" i="24"/>
  <c r="J962" i="24"/>
  <c r="N962" i="24" s="1" a="1"/>
  <c r="F962" i="24"/>
  <c r="U950" i="24"/>
  <c r="S950" i="24" a="1"/>
  <c r="O950" i="24" a="1"/>
  <c r="K950" i="24"/>
  <c r="J950" i="24"/>
  <c r="N950" i="24" s="1" a="1"/>
  <c r="F950" i="24"/>
  <c r="U955" i="24"/>
  <c r="S955" i="24" a="1"/>
  <c r="O955" i="24" a="1"/>
  <c r="K955" i="24"/>
  <c r="J955" i="24"/>
  <c r="N955" i="24" s="1" a="1"/>
  <c r="F955" i="24"/>
  <c r="U961" i="24"/>
  <c r="S961" i="24" a="1"/>
  <c r="O961" i="24" a="1"/>
  <c r="K961" i="24"/>
  <c r="J961" i="24"/>
  <c r="N961" i="24" s="1" a="1"/>
  <c r="F961" i="24"/>
  <c r="U949" i="24"/>
  <c r="S949" i="24" a="1"/>
  <c r="O949" i="24" a="1"/>
  <c r="K949" i="24"/>
  <c r="J949" i="24"/>
  <c r="N949" i="24" s="1" a="1"/>
  <c r="F949" i="24"/>
  <c r="U957" i="24"/>
  <c r="S957" i="24" a="1"/>
  <c r="O957" i="24" a="1"/>
  <c r="K957" i="24"/>
  <c r="J957" i="24"/>
  <c r="N957" i="24" s="1" a="1"/>
  <c r="F957" i="24"/>
  <c r="U947" i="24"/>
  <c r="S947" i="24" a="1"/>
  <c r="O947" i="24" a="1"/>
  <c r="K947" i="24"/>
  <c r="J947" i="24"/>
  <c r="N947" i="24" s="1" a="1"/>
  <c r="F947" i="24"/>
  <c r="U946" i="24"/>
  <c r="S946" i="24" a="1"/>
  <c r="O946" i="24" a="1"/>
  <c r="K946" i="24"/>
  <c r="J946" i="24"/>
  <c r="N946" i="24" s="1" a="1"/>
  <c r="F946" i="24"/>
  <c r="U963" i="24"/>
  <c r="S963" i="24" a="1"/>
  <c r="O963" i="24" a="1"/>
  <c r="N963" i="24" a="1"/>
  <c r="F963" i="24"/>
  <c r="U958" i="24"/>
  <c r="S958" i="24" a="1"/>
  <c r="O958" i="24" a="1"/>
  <c r="K958" i="24"/>
  <c r="J958" i="24"/>
  <c r="N958" i="24" s="1" a="1"/>
  <c r="F958" i="24"/>
  <c r="U952" i="24"/>
  <c r="S952" i="24" a="1"/>
  <c r="O952" i="24" a="1"/>
  <c r="K952" i="24"/>
  <c r="J952" i="24"/>
  <c r="N952" i="24" s="1" a="1"/>
  <c r="F952" i="24"/>
  <c r="U954" i="24"/>
  <c r="S954" i="24" a="1"/>
  <c r="O954" i="24" a="1"/>
  <c r="K954" i="24"/>
  <c r="J954" i="24"/>
  <c r="N954" i="24" s="1" a="1"/>
  <c r="F954" i="24"/>
  <c r="U953" i="24"/>
  <c r="S953" i="24" a="1"/>
  <c r="O953" i="24" a="1"/>
  <c r="N953" i="24" a="1"/>
  <c r="K953" i="24"/>
  <c r="F953" i="24"/>
  <c r="U916" i="24"/>
  <c r="S916" i="24" a="1"/>
  <c r="O916" i="24" a="1"/>
  <c r="K916" i="24"/>
  <c r="J916" i="24"/>
  <c r="N916" i="24" s="1" a="1"/>
  <c r="F916" i="24"/>
  <c r="U924" i="24"/>
  <c r="S924" i="24" a="1"/>
  <c r="O924" i="24" a="1"/>
  <c r="K924" i="24"/>
  <c r="J924" i="24"/>
  <c r="N924" i="24" s="1" a="1"/>
  <c r="F924" i="24"/>
  <c r="U932" i="24"/>
  <c r="S932" i="24" a="1"/>
  <c r="O932" i="24" a="1"/>
  <c r="K932" i="24"/>
  <c r="J932" i="24"/>
  <c r="N932" i="24" s="1" a="1"/>
  <c r="F932" i="24"/>
  <c r="U926" i="24"/>
  <c r="S926" i="24" a="1"/>
  <c r="O926" i="24" a="1"/>
  <c r="K926" i="24"/>
  <c r="J926" i="24"/>
  <c r="N926" i="24" s="1" a="1"/>
  <c r="F926" i="24"/>
  <c r="U925" i="24"/>
  <c r="S925" i="24" a="1"/>
  <c r="O925" i="24" a="1"/>
  <c r="K925" i="24"/>
  <c r="J925" i="24"/>
  <c r="N925" i="24" s="1" a="1"/>
  <c r="F925" i="24"/>
  <c r="U930" i="24"/>
  <c r="S930" i="24" a="1"/>
  <c r="O930" i="24" a="1"/>
  <c r="K930" i="24"/>
  <c r="J930" i="24"/>
  <c r="N930" i="24" s="1" a="1"/>
  <c r="F930" i="24"/>
  <c r="U933" i="24"/>
  <c r="S933" i="24" a="1"/>
  <c r="O933" i="24" a="1"/>
  <c r="K933" i="24"/>
  <c r="J933" i="24"/>
  <c r="N933" i="24" s="1" a="1"/>
  <c r="F933" i="24"/>
  <c r="U927" i="24"/>
  <c r="S927" i="24" a="1"/>
  <c r="O927" i="24" a="1"/>
  <c r="N927" i="24" a="1"/>
  <c r="F927" i="24"/>
  <c r="U923" i="24"/>
  <c r="S923" i="24" a="1"/>
  <c r="O923" i="24" a="1"/>
  <c r="K923" i="24"/>
  <c r="J923" i="24"/>
  <c r="N923" i="24" s="1" a="1"/>
  <c r="F923" i="24"/>
  <c r="U944" i="24"/>
  <c r="S944" i="24" a="1"/>
  <c r="O944" i="24" a="1"/>
  <c r="K944" i="24"/>
  <c r="J944" i="24"/>
  <c r="N944" i="24" s="1" a="1"/>
  <c r="F944" i="24"/>
  <c r="U937" i="24"/>
  <c r="S937" i="24" a="1"/>
  <c r="O937" i="24" a="1"/>
  <c r="N937" i="24" a="1"/>
  <c r="F937" i="24"/>
  <c r="U912" i="24"/>
  <c r="S912" i="24" a="1"/>
  <c r="O912" i="24" a="1"/>
  <c r="K912" i="24"/>
  <c r="J912" i="24"/>
  <c r="N912" i="24" s="1" a="1"/>
  <c r="F912" i="24"/>
  <c r="U911" i="24"/>
  <c r="S911" i="24" a="1"/>
  <c r="O911" i="24" a="1"/>
  <c r="K911" i="24"/>
  <c r="J911" i="24"/>
  <c r="N911" i="24" s="1" a="1"/>
  <c r="F911" i="24"/>
  <c r="U943" i="24"/>
  <c r="S943" i="24" a="1"/>
  <c r="O943" i="24" a="1"/>
  <c r="K943" i="24"/>
  <c r="J943" i="24"/>
  <c r="N943" i="24" s="1" a="1"/>
  <c r="F943" i="24"/>
  <c r="U929" i="24"/>
  <c r="S929" i="24" a="1"/>
  <c r="O929" i="24" a="1"/>
  <c r="K929" i="24"/>
  <c r="J929" i="24"/>
  <c r="N929" i="24" s="1" a="1"/>
  <c r="F929" i="24"/>
  <c r="U942" i="24"/>
  <c r="S942" i="24" a="1"/>
  <c r="O942" i="24" a="1"/>
  <c r="K942" i="24"/>
  <c r="J942" i="24"/>
  <c r="N942" i="24" s="1" a="1"/>
  <c r="F942" i="24"/>
  <c r="U918" i="24"/>
  <c r="S918" i="24" a="1"/>
  <c r="O918" i="24" a="1"/>
  <c r="K918" i="24"/>
  <c r="J918" i="24"/>
  <c r="N918" i="24" s="1" a="1"/>
  <c r="F918" i="24"/>
  <c r="U921" i="24"/>
  <c r="S921" i="24" a="1"/>
  <c r="O921" i="24" a="1"/>
  <c r="K921" i="24"/>
  <c r="J921" i="24"/>
  <c r="N921" i="24" s="1" a="1"/>
  <c r="F921" i="24"/>
  <c r="U931" i="24"/>
  <c r="S931" i="24" a="1"/>
  <c r="O931" i="24" a="1"/>
  <c r="K931" i="24"/>
  <c r="J931" i="24"/>
  <c r="N931" i="24" s="1" a="1"/>
  <c r="F931" i="24"/>
  <c r="U935" i="24"/>
  <c r="S935" i="24" a="1"/>
  <c r="O935" i="24" a="1"/>
  <c r="K935" i="24"/>
  <c r="J935" i="24"/>
  <c r="N935" i="24" s="1" a="1"/>
  <c r="F935" i="24"/>
  <c r="U920" i="24"/>
  <c r="S920" i="24" a="1"/>
  <c r="O920" i="24" a="1"/>
  <c r="N920" i="24" a="1"/>
  <c r="F920" i="24"/>
  <c r="U941" i="24"/>
  <c r="S941" i="24" a="1"/>
  <c r="O941" i="24" a="1"/>
  <c r="K941" i="24"/>
  <c r="J941" i="24"/>
  <c r="N941" i="24" s="1" a="1"/>
  <c r="F941" i="24"/>
  <c r="U936" i="24"/>
  <c r="S936" i="24" a="1"/>
  <c r="O936" i="24" a="1"/>
  <c r="K936" i="24"/>
  <c r="J936" i="24"/>
  <c r="N936" i="24" s="1" a="1"/>
  <c r="F936" i="24"/>
  <c r="U917" i="24"/>
  <c r="S917" i="24" a="1"/>
  <c r="O917" i="24" a="1"/>
  <c r="N917" i="24" a="1"/>
  <c r="F917" i="24"/>
  <c r="U940" i="24"/>
  <c r="S940" i="24" a="1"/>
  <c r="O940" i="24" a="1"/>
  <c r="K940" i="24"/>
  <c r="J940" i="24"/>
  <c r="N940" i="24" s="1" a="1"/>
  <c r="F940" i="24"/>
  <c r="U928" i="24"/>
  <c r="S928" i="24" a="1"/>
  <c r="O928" i="24" a="1"/>
  <c r="K928" i="24"/>
  <c r="J928" i="24"/>
  <c r="N928" i="24" s="1" a="1"/>
  <c r="F928" i="24"/>
  <c r="U934" i="24"/>
  <c r="S934" i="24" a="1"/>
  <c r="O934" i="24" a="1"/>
  <c r="N934" i="24" a="1"/>
  <c r="K934" i="24"/>
  <c r="F934" i="24"/>
  <c r="U939" i="24"/>
  <c r="S939" i="24" a="1"/>
  <c r="O939" i="24" a="1"/>
  <c r="K939" i="24"/>
  <c r="J939" i="24"/>
  <c r="N939" i="24" s="1" a="1"/>
  <c r="F939" i="24"/>
  <c r="U919" i="24"/>
  <c r="S919" i="24" a="1"/>
  <c r="O919" i="24" a="1"/>
  <c r="K919" i="24"/>
  <c r="J919" i="24"/>
  <c r="N919" i="24" s="1" a="1"/>
  <c r="F919" i="24"/>
  <c r="U938" i="24"/>
  <c r="S938" i="24" a="1"/>
  <c r="O938" i="24" a="1"/>
  <c r="K938" i="24"/>
  <c r="J938" i="24"/>
  <c r="N938" i="24" s="1" a="1"/>
  <c r="F938" i="24"/>
  <c r="U915" i="24"/>
  <c r="S915" i="24" a="1"/>
  <c r="O915" i="24" a="1"/>
  <c r="K915" i="24"/>
  <c r="J915" i="24"/>
  <c r="N915" i="24" s="1" a="1"/>
  <c r="F915" i="24"/>
  <c r="U914" i="24"/>
  <c r="S914" i="24" a="1"/>
  <c r="O914" i="24" a="1"/>
  <c r="K914" i="24"/>
  <c r="J914" i="24"/>
  <c r="N914" i="24" s="1" a="1"/>
  <c r="F914" i="24"/>
  <c r="U922" i="24"/>
  <c r="S922" i="24" a="1"/>
  <c r="O922" i="24" a="1"/>
  <c r="K922" i="24"/>
  <c r="J922" i="24"/>
  <c r="N922" i="24" s="1" a="1"/>
  <c r="F922" i="24"/>
  <c r="U913" i="24"/>
  <c r="S913" i="24" a="1"/>
  <c r="O913" i="24" a="1"/>
  <c r="K913" i="24"/>
  <c r="J913" i="24"/>
  <c r="N913" i="24" s="1" a="1"/>
  <c r="F913" i="24"/>
  <c r="U909" i="24"/>
  <c r="S909" i="24" a="1"/>
  <c r="O909" i="24" a="1"/>
  <c r="N909" i="24" a="1"/>
  <c r="F909" i="24"/>
  <c r="U910" i="24"/>
  <c r="S910" i="24" a="1"/>
  <c r="O910" i="24" a="1"/>
  <c r="N910" i="24" a="1"/>
  <c r="F910" i="24"/>
  <c r="U901" i="24"/>
  <c r="S901" i="24" a="1"/>
  <c r="O901" i="24" a="1"/>
  <c r="K901" i="24"/>
  <c r="J901" i="24"/>
  <c r="N901" i="24" s="1" a="1"/>
  <c r="F901" i="24"/>
  <c r="U904" i="24"/>
  <c r="S904" i="24" a="1"/>
  <c r="O904" i="24" a="1"/>
  <c r="K904" i="24"/>
  <c r="J904" i="24"/>
  <c r="N904" i="24" s="1" a="1"/>
  <c r="F904" i="24"/>
  <c r="U906" i="24"/>
  <c r="S906" i="24" a="1"/>
  <c r="O906" i="24" a="1"/>
  <c r="N906" i="24" a="1"/>
  <c r="F906" i="24"/>
  <c r="U903" i="24"/>
  <c r="S903" i="24" a="1"/>
  <c r="O903" i="24" a="1"/>
  <c r="K903" i="24"/>
  <c r="J903" i="24"/>
  <c r="N903" i="24" s="1" a="1"/>
  <c r="F903" i="24"/>
  <c r="U902" i="24"/>
  <c r="S902" i="24" a="1"/>
  <c r="O902" i="24" a="1"/>
  <c r="K902" i="24"/>
  <c r="J902" i="24"/>
  <c r="N902" i="24" s="1" a="1"/>
  <c r="F902" i="24"/>
  <c r="U908" i="24"/>
  <c r="S908" i="24" a="1"/>
  <c r="O908" i="24" a="1"/>
  <c r="N908" i="24" a="1"/>
  <c r="F908" i="24"/>
  <c r="U905" i="24"/>
  <c r="S905" i="24" a="1"/>
  <c r="O905" i="24" a="1"/>
  <c r="K905" i="24"/>
  <c r="J905" i="24"/>
  <c r="N905" i="24" s="1" a="1"/>
  <c r="F905" i="24"/>
  <c r="U900" i="24"/>
  <c r="S900" i="24" a="1"/>
  <c r="O900" i="24" a="1"/>
  <c r="N900" i="24" a="1"/>
  <c r="F900" i="24"/>
  <c r="U907" i="24"/>
  <c r="S907" i="24" a="1"/>
  <c r="O907" i="24" a="1"/>
  <c r="K907" i="24"/>
  <c r="J907" i="24"/>
  <c r="N907" i="24" s="1" a="1"/>
  <c r="F907" i="24"/>
  <c r="U880" i="24"/>
  <c r="S880" i="24" a="1"/>
  <c r="O880" i="24" a="1"/>
  <c r="N880" i="24" a="1"/>
  <c r="F880" i="24"/>
  <c r="U892" i="24"/>
  <c r="S892" i="24" a="1"/>
  <c r="O892" i="24" a="1"/>
  <c r="K892" i="24"/>
  <c r="J892" i="24"/>
  <c r="N892" i="24" s="1" a="1"/>
  <c r="F892" i="24"/>
  <c r="U895" i="24"/>
  <c r="S895" i="24" a="1"/>
  <c r="O895" i="24" a="1"/>
  <c r="K895" i="24"/>
  <c r="J895" i="24"/>
  <c r="N895" i="24" s="1" a="1"/>
  <c r="F895" i="24"/>
  <c r="U889" i="24"/>
  <c r="S889" i="24" a="1"/>
  <c r="O889" i="24" a="1"/>
  <c r="K889" i="24"/>
  <c r="J889" i="24"/>
  <c r="N889" i="24" s="1" a="1"/>
  <c r="F889" i="24"/>
  <c r="U883" i="24"/>
  <c r="S883" i="24" a="1"/>
  <c r="O883" i="24" a="1"/>
  <c r="K883" i="24"/>
  <c r="J883" i="24"/>
  <c r="N883" i="24" s="1" a="1"/>
  <c r="F883" i="24"/>
  <c r="U899" i="24"/>
  <c r="S899" i="24" a="1"/>
  <c r="O899" i="24" a="1"/>
  <c r="N899" i="24" a="1"/>
  <c r="F899" i="24"/>
  <c r="U888" i="24"/>
  <c r="S888" i="24" a="1"/>
  <c r="O888" i="24" a="1"/>
  <c r="K888" i="24"/>
  <c r="J888" i="24"/>
  <c r="N888" i="24" s="1" a="1"/>
  <c r="F888" i="24"/>
  <c r="U885" i="24"/>
  <c r="S885" i="24" a="1"/>
  <c r="O885" i="24" a="1"/>
  <c r="K885" i="24"/>
  <c r="J885" i="24"/>
  <c r="N885" i="24" s="1" a="1"/>
  <c r="F885" i="24"/>
  <c r="U894" i="24"/>
  <c r="S894" i="24" a="1"/>
  <c r="O894" i="24" a="1"/>
  <c r="K894" i="24"/>
  <c r="J894" i="24"/>
  <c r="N894" i="24" s="1" a="1"/>
  <c r="F894" i="24"/>
  <c r="U887" i="24"/>
  <c r="S887" i="24" a="1"/>
  <c r="O887" i="24" a="1"/>
  <c r="N887" i="24" a="1"/>
  <c r="F887" i="24"/>
  <c r="U884" i="24"/>
  <c r="S884" i="24" a="1"/>
  <c r="O884" i="24" a="1"/>
  <c r="J884" i="24"/>
  <c r="N884" i="24" s="1" a="1"/>
  <c r="F884" i="24"/>
  <c r="U893" i="24"/>
  <c r="S893" i="24" a="1"/>
  <c r="O893" i="24" a="1"/>
  <c r="K893" i="24"/>
  <c r="J893" i="24"/>
  <c r="N893" i="24" s="1" a="1"/>
  <c r="F893" i="24"/>
  <c r="U898" i="24"/>
  <c r="S898" i="24" a="1"/>
  <c r="O898" i="24" a="1"/>
  <c r="K898" i="24"/>
  <c r="J898" i="24"/>
  <c r="N898" i="24" s="1" a="1"/>
  <c r="F898" i="24"/>
  <c r="U896" i="24"/>
  <c r="S896" i="24" a="1"/>
  <c r="O896" i="24" a="1"/>
  <c r="K896" i="24"/>
  <c r="J896" i="24"/>
  <c r="N896" i="24" s="1" a="1"/>
  <c r="F896" i="24"/>
  <c r="U878" i="24"/>
  <c r="S878" i="24" a="1"/>
  <c r="O878" i="24" a="1"/>
  <c r="K878" i="24"/>
  <c r="J878" i="24"/>
  <c r="N878" i="24" s="1" a="1"/>
  <c r="F878" i="24"/>
  <c r="U897" i="24"/>
  <c r="S897" i="24" a="1"/>
  <c r="O897" i="24" a="1"/>
  <c r="K897" i="24"/>
  <c r="J897" i="24"/>
  <c r="N897" i="24" s="1" a="1"/>
  <c r="F897" i="24"/>
  <c r="U890" i="24"/>
  <c r="S890" i="24" a="1"/>
  <c r="O890" i="24" a="1"/>
  <c r="K890" i="24"/>
  <c r="J890" i="24"/>
  <c r="N890" i="24" s="1" a="1"/>
  <c r="F890" i="24"/>
  <c r="U891" i="24"/>
  <c r="S891" i="24" a="1"/>
  <c r="O891" i="24" a="1"/>
  <c r="K891" i="24"/>
  <c r="J891" i="24"/>
  <c r="N891" i="24" s="1" a="1"/>
  <c r="F891" i="24"/>
  <c r="U882" i="24"/>
  <c r="S882" i="24" a="1"/>
  <c r="O882" i="24" a="1"/>
  <c r="K882" i="24"/>
  <c r="J882" i="24"/>
  <c r="N882" i="24" s="1" a="1"/>
  <c r="F882" i="24"/>
  <c r="U881" i="24"/>
  <c r="S881" i="24" a="1"/>
  <c r="O881" i="24" a="1"/>
  <c r="K881" i="24"/>
  <c r="J881" i="24"/>
  <c r="N881" i="24" s="1" a="1"/>
  <c r="F881" i="24"/>
  <c r="U886" i="24"/>
  <c r="S886" i="24" a="1"/>
  <c r="O886" i="24" a="1"/>
  <c r="K886" i="24"/>
  <c r="J886" i="24"/>
  <c r="N886" i="24" s="1" a="1"/>
  <c r="F886" i="24"/>
  <c r="U879" i="24"/>
  <c r="S879" i="24" a="1"/>
  <c r="O879" i="24" a="1"/>
  <c r="K879" i="24"/>
  <c r="J879" i="24"/>
  <c r="N879" i="24" s="1" a="1"/>
  <c r="F879" i="24"/>
  <c r="U872" i="24"/>
  <c r="S872" i="24" a="1"/>
  <c r="O872" i="24" a="1"/>
  <c r="K872" i="24"/>
  <c r="J872" i="24"/>
  <c r="N872" i="24" s="1" a="1"/>
  <c r="F872" i="24"/>
  <c r="U876" i="24"/>
  <c r="S876" i="24" a="1"/>
  <c r="O876" i="24" a="1"/>
  <c r="K876" i="24"/>
  <c r="J876" i="24"/>
  <c r="N876" i="24" s="1" a="1"/>
  <c r="F876" i="24"/>
  <c r="U867" i="24"/>
  <c r="S867" i="24" a="1"/>
  <c r="O867" i="24" a="1"/>
  <c r="K867" i="24"/>
  <c r="J867" i="24"/>
  <c r="N867" i="24" s="1" a="1"/>
  <c r="F867" i="24"/>
  <c r="U873" i="24"/>
  <c r="S873" i="24" a="1"/>
  <c r="O873" i="24" a="1"/>
  <c r="K873" i="24"/>
  <c r="J873" i="24"/>
  <c r="N873" i="24" s="1" a="1"/>
  <c r="F873" i="24"/>
  <c r="U874" i="24"/>
  <c r="S874" i="24" a="1"/>
  <c r="O874" i="24" a="1"/>
  <c r="K874" i="24"/>
  <c r="J874" i="24"/>
  <c r="N874" i="24" s="1" a="1"/>
  <c r="F874" i="24"/>
  <c r="U877" i="24"/>
  <c r="S877" i="24" a="1"/>
  <c r="O877" i="24" a="1"/>
  <c r="K877" i="24"/>
  <c r="J877" i="24"/>
  <c r="N877" i="24" s="1" a="1"/>
  <c r="F877" i="24"/>
  <c r="U875" i="24"/>
  <c r="S875" i="24" a="1"/>
  <c r="O875" i="24" a="1"/>
  <c r="K875" i="24"/>
  <c r="J875" i="24"/>
  <c r="N875" i="24" s="1" a="1"/>
  <c r="F875" i="24"/>
  <c r="U866" i="24"/>
  <c r="S866" i="24" a="1"/>
  <c r="O866" i="24" a="1"/>
  <c r="K866" i="24"/>
  <c r="J866" i="24"/>
  <c r="N866" i="24" s="1" a="1"/>
  <c r="F866" i="24"/>
  <c r="U870" i="24"/>
  <c r="S870" i="24" a="1"/>
  <c r="O870" i="24" a="1"/>
  <c r="K870" i="24"/>
  <c r="J870" i="24"/>
  <c r="N870" i="24" s="1" a="1"/>
  <c r="F870" i="24"/>
  <c r="U871" i="24"/>
  <c r="S871" i="24" a="1"/>
  <c r="O871" i="24" a="1"/>
  <c r="K871" i="24"/>
  <c r="J871" i="24"/>
  <c r="N871" i="24" s="1" a="1"/>
  <c r="F871" i="24"/>
  <c r="U869" i="24"/>
  <c r="S869" i="24" a="1"/>
  <c r="O869" i="24" a="1"/>
  <c r="K869" i="24"/>
  <c r="J869" i="24"/>
  <c r="N869" i="24" s="1" a="1"/>
  <c r="F869" i="24"/>
  <c r="U868" i="24"/>
  <c r="S868" i="24" a="1"/>
  <c r="O868" i="24" a="1"/>
  <c r="K868" i="24"/>
  <c r="J868" i="24"/>
  <c r="N868" i="24" s="1" a="1"/>
  <c r="F868" i="24"/>
  <c r="U862" i="24"/>
  <c r="S862" i="24" a="1"/>
  <c r="O862" i="24" a="1"/>
  <c r="K862" i="24"/>
  <c r="J862" i="24"/>
  <c r="N862" i="24" s="1" a="1"/>
  <c r="F862" i="24"/>
  <c r="U863" i="24"/>
  <c r="S863" i="24" a="1"/>
  <c r="O863" i="24" a="1"/>
  <c r="K863" i="24"/>
  <c r="J863" i="24"/>
  <c r="N863" i="24" s="1" a="1"/>
  <c r="F863" i="24"/>
  <c r="U860" i="24"/>
  <c r="S860" i="24" a="1"/>
  <c r="O860" i="24" a="1"/>
  <c r="K860" i="24"/>
  <c r="J860" i="24"/>
  <c r="N860" i="24" s="1" a="1"/>
  <c r="F860" i="24"/>
  <c r="U861" i="24"/>
  <c r="S861" i="24" a="1"/>
  <c r="O861" i="24" a="1"/>
  <c r="K861" i="24"/>
  <c r="J861" i="24"/>
  <c r="N861" i="24" s="1" a="1"/>
  <c r="F861" i="24"/>
  <c r="U865" i="24"/>
  <c r="S865" i="24" a="1"/>
  <c r="O865" i="24" a="1"/>
  <c r="K865" i="24"/>
  <c r="J865" i="24"/>
  <c r="N865" i="24" s="1" a="1"/>
  <c r="F865" i="24"/>
  <c r="U864" i="24"/>
  <c r="S864" i="24" a="1"/>
  <c r="O864" i="24" a="1"/>
  <c r="K864" i="24"/>
  <c r="J864" i="24"/>
  <c r="N864" i="24" s="1" a="1"/>
  <c r="F864" i="24"/>
  <c r="U856" i="24"/>
  <c r="S856" i="24" a="1"/>
  <c r="O856" i="24" a="1"/>
  <c r="K856" i="24"/>
  <c r="J856" i="24"/>
  <c r="N856" i="24" s="1" a="1"/>
  <c r="F856" i="24"/>
  <c r="U854" i="24"/>
  <c r="S854" i="24" a="1"/>
  <c r="O854" i="24" a="1"/>
  <c r="K854" i="24"/>
  <c r="J854" i="24"/>
  <c r="N854" i="24" s="1" a="1"/>
  <c r="F854" i="24"/>
  <c r="U853" i="24"/>
  <c r="S853" i="24" a="1"/>
  <c r="O853" i="24" a="1"/>
  <c r="N853" i="24" a="1"/>
  <c r="F853" i="24"/>
  <c r="U851" i="24"/>
  <c r="S851" i="24" a="1"/>
  <c r="O851" i="24" a="1"/>
  <c r="K851" i="24"/>
  <c r="J851" i="24"/>
  <c r="N851" i="24" s="1" a="1"/>
  <c r="F851" i="24"/>
  <c r="U855" i="24"/>
  <c r="S855" i="24" a="1"/>
  <c r="O855" i="24" a="1"/>
  <c r="K855" i="24"/>
  <c r="J855" i="24"/>
  <c r="N855" i="24" s="1" a="1"/>
  <c r="F855" i="24"/>
  <c r="U852" i="24"/>
  <c r="S852" i="24" a="1"/>
  <c r="O852" i="24" a="1"/>
  <c r="N852" i="24" a="1"/>
  <c r="K852" i="24"/>
  <c r="F852" i="24"/>
  <c r="U857" i="24"/>
  <c r="S857" i="24" a="1"/>
  <c r="O857" i="24" a="1"/>
  <c r="N857" i="24" a="1"/>
  <c r="F857" i="24"/>
  <c r="U859" i="24"/>
  <c r="S859" i="24" a="1"/>
  <c r="O859" i="24" a="1"/>
  <c r="K859" i="24"/>
  <c r="J859" i="24"/>
  <c r="N859" i="24" s="1" a="1"/>
  <c r="F859" i="24"/>
  <c r="U850" i="24"/>
  <c r="S850" i="24" a="1"/>
  <c r="O850" i="24" a="1"/>
  <c r="K850" i="24"/>
  <c r="J850" i="24"/>
  <c r="N850" i="24" s="1" a="1"/>
  <c r="F850" i="24"/>
  <c r="U858" i="24"/>
  <c r="S858" i="24" a="1"/>
  <c r="O858" i="24" a="1"/>
  <c r="K858" i="24"/>
  <c r="J858" i="24"/>
  <c r="N858" i="24" s="1" a="1"/>
  <c r="F858" i="24"/>
  <c r="U839" i="24"/>
  <c r="S839" i="24" a="1"/>
  <c r="O839" i="24" a="1"/>
  <c r="K839" i="24"/>
  <c r="J839" i="24"/>
  <c r="N839" i="24" s="1" a="1"/>
  <c r="F839" i="24"/>
  <c r="U843" i="24"/>
  <c r="S843" i="24" a="1"/>
  <c r="O843" i="24" a="1"/>
  <c r="N843" i="24" a="1"/>
  <c r="F843" i="24"/>
  <c r="U842" i="24"/>
  <c r="S842" i="24" a="1"/>
  <c r="O842" i="24" a="1"/>
  <c r="N842" i="24" a="1"/>
  <c r="F842" i="24"/>
  <c r="U845" i="24"/>
  <c r="S845" i="24" a="1"/>
  <c r="O845" i="24" a="1"/>
  <c r="K845" i="24"/>
  <c r="J845" i="24"/>
  <c r="N845" i="24" s="1" a="1"/>
  <c r="F845" i="24"/>
  <c r="U844" i="24"/>
  <c r="S844" i="24" a="1"/>
  <c r="O844" i="24" a="1"/>
  <c r="K844" i="24"/>
  <c r="J844" i="24"/>
  <c r="N844" i="24" s="1" a="1"/>
  <c r="F844" i="24"/>
  <c r="U848" i="24"/>
  <c r="S848" i="24" a="1"/>
  <c r="O848" i="24" a="1"/>
  <c r="K848" i="24"/>
  <c r="J848" i="24"/>
  <c r="N848" i="24" s="1" a="1"/>
  <c r="F848" i="24"/>
  <c r="U849" i="24"/>
  <c r="S849" i="24" a="1"/>
  <c r="O849" i="24" a="1"/>
  <c r="N849" i="24" a="1"/>
  <c r="F849" i="24"/>
  <c r="U840" i="24"/>
  <c r="S840" i="24" a="1"/>
  <c r="O840" i="24" a="1"/>
  <c r="K840" i="24"/>
  <c r="J840" i="24"/>
  <c r="N840" i="24" s="1" a="1"/>
  <c r="F840" i="24"/>
  <c r="U841" i="24"/>
  <c r="S841" i="24" a="1"/>
  <c r="O841" i="24" a="1"/>
  <c r="K841" i="24"/>
  <c r="J841" i="24"/>
  <c r="N841" i="24" s="1" a="1"/>
  <c r="F841" i="24"/>
  <c r="U846" i="24"/>
  <c r="S846" i="24" a="1"/>
  <c r="O846" i="24" a="1"/>
  <c r="K846" i="24"/>
  <c r="J846" i="24"/>
  <c r="N846" i="24" s="1" a="1"/>
  <c r="F846" i="24"/>
  <c r="U847" i="24"/>
  <c r="S847" i="24" a="1"/>
  <c r="O847" i="24" a="1"/>
  <c r="K847" i="24"/>
  <c r="J847" i="24"/>
  <c r="N847" i="24" s="1" a="1"/>
  <c r="F847" i="24"/>
  <c r="U821" i="24"/>
  <c r="S821" i="24" a="1"/>
  <c r="O821" i="24" a="1"/>
  <c r="K821" i="24"/>
  <c r="J821" i="24"/>
  <c r="N821" i="24" s="1" a="1"/>
  <c r="F821" i="24"/>
  <c r="U832" i="24"/>
  <c r="S832" i="24" a="1"/>
  <c r="O832" i="24" a="1"/>
  <c r="K832" i="24"/>
  <c r="J832" i="24"/>
  <c r="N832" i="24" s="1" a="1"/>
  <c r="F832" i="24"/>
  <c r="U835" i="24"/>
  <c r="S835" i="24" a="1"/>
  <c r="O835" i="24" a="1"/>
  <c r="K835" i="24"/>
  <c r="J835" i="24"/>
  <c r="N835" i="24" s="1" a="1"/>
  <c r="F835" i="24"/>
  <c r="U826" i="24"/>
  <c r="S826" i="24" a="1"/>
  <c r="O826" i="24" a="1"/>
  <c r="K826" i="24"/>
  <c r="J826" i="24"/>
  <c r="N826" i="24" s="1" a="1"/>
  <c r="F826" i="24"/>
  <c r="U833" i="24"/>
  <c r="S833" i="24" a="1"/>
  <c r="O833" i="24" a="1"/>
  <c r="K833" i="24"/>
  <c r="J833" i="24"/>
  <c r="N833" i="24" s="1" a="1"/>
  <c r="F833" i="24"/>
  <c r="U831" i="24"/>
  <c r="S831" i="24" a="1"/>
  <c r="O831" i="24" a="1"/>
  <c r="K831" i="24"/>
  <c r="J831" i="24"/>
  <c r="N831" i="24" s="1" a="1"/>
  <c r="F831" i="24"/>
  <c r="U830" i="24"/>
  <c r="S830" i="24" a="1"/>
  <c r="O830" i="24" a="1"/>
  <c r="K830" i="24"/>
  <c r="J830" i="24"/>
  <c r="N830" i="24" s="1" a="1"/>
  <c r="F830" i="24"/>
  <c r="U825" i="24"/>
  <c r="S825" i="24" a="1"/>
  <c r="O825" i="24" a="1"/>
  <c r="K825" i="24"/>
  <c r="J825" i="24"/>
  <c r="N825" i="24" s="1" a="1"/>
  <c r="F825" i="24"/>
  <c r="U834" i="24"/>
  <c r="S834" i="24" a="1"/>
  <c r="O834" i="24" a="1"/>
  <c r="N834" i="24" a="1"/>
  <c r="F834" i="24"/>
  <c r="U838" i="24"/>
  <c r="S838" i="24" a="1"/>
  <c r="O838" i="24" a="1"/>
  <c r="N838" i="24" a="1"/>
  <c r="F838" i="24"/>
  <c r="U837" i="24"/>
  <c r="S837" i="24" a="1"/>
  <c r="O837" i="24" a="1"/>
  <c r="K837" i="24"/>
  <c r="J837" i="24"/>
  <c r="N837" i="24" s="1" a="1"/>
  <c r="F837" i="24"/>
  <c r="U827" i="24"/>
  <c r="S827" i="24" a="1"/>
  <c r="O827" i="24" a="1"/>
  <c r="K827" i="24"/>
  <c r="J827" i="24"/>
  <c r="N827" i="24" s="1" a="1"/>
  <c r="F827" i="24"/>
  <c r="U824" i="24"/>
  <c r="S824" i="24" a="1"/>
  <c r="O824" i="24" a="1"/>
  <c r="N824" i="24" a="1"/>
  <c r="F824" i="24"/>
  <c r="U822" i="24"/>
  <c r="S822" i="24" a="1"/>
  <c r="O822" i="24" a="1"/>
  <c r="K822" i="24"/>
  <c r="J822" i="24"/>
  <c r="N822" i="24" s="1" a="1"/>
  <c r="F822" i="24"/>
  <c r="U828" i="24"/>
  <c r="S828" i="24" a="1"/>
  <c r="O828" i="24" a="1"/>
  <c r="K828" i="24"/>
  <c r="J828" i="24"/>
  <c r="N828" i="24" s="1" a="1"/>
  <c r="F828" i="24"/>
  <c r="U829" i="24"/>
  <c r="S829" i="24" a="1"/>
  <c r="O829" i="24" a="1"/>
  <c r="J829" i="24"/>
  <c r="N829" i="24" s="1" a="1"/>
  <c r="F829" i="24"/>
  <c r="U820" i="24"/>
  <c r="S820" i="24" a="1"/>
  <c r="O820" i="24" a="1"/>
  <c r="K820" i="24"/>
  <c r="J820" i="24"/>
  <c r="N820" i="24" s="1" a="1"/>
  <c r="F820" i="24"/>
  <c r="U819" i="24"/>
  <c r="S819" i="24" a="1"/>
  <c r="O819" i="24" a="1"/>
  <c r="K819" i="24"/>
  <c r="J819" i="24"/>
  <c r="N819" i="24" s="1" a="1"/>
  <c r="F819" i="24"/>
  <c r="U836" i="24"/>
  <c r="S836" i="24" a="1"/>
  <c r="O836" i="24" a="1"/>
  <c r="K836" i="24"/>
  <c r="J836" i="24"/>
  <c r="N836" i="24" s="1" a="1"/>
  <c r="F836" i="24"/>
  <c r="U823" i="24"/>
  <c r="S823" i="24" a="1"/>
  <c r="O823" i="24" a="1"/>
  <c r="K823" i="24"/>
  <c r="J823" i="24"/>
  <c r="N823" i="24" s="1" a="1"/>
  <c r="F823" i="24"/>
  <c r="U814" i="24"/>
  <c r="S814" i="24" a="1"/>
  <c r="O814" i="24" a="1"/>
  <c r="K814" i="24"/>
  <c r="J814" i="24"/>
  <c r="N814" i="24" s="1" a="1"/>
  <c r="F814" i="24"/>
  <c r="U808" i="24"/>
  <c r="S808" i="24" a="1"/>
  <c r="O808" i="24" a="1"/>
  <c r="K808" i="24"/>
  <c r="J808" i="24"/>
  <c r="N808" i="24" s="1" a="1"/>
  <c r="F808" i="24"/>
  <c r="U807" i="24"/>
  <c r="S807" i="24" a="1"/>
  <c r="O807" i="24" a="1"/>
  <c r="K807" i="24"/>
  <c r="J807" i="24"/>
  <c r="N807" i="24" s="1" a="1"/>
  <c r="F807" i="24"/>
  <c r="U806" i="24"/>
  <c r="S806" i="24" a="1"/>
  <c r="O806" i="24" a="1"/>
  <c r="K806" i="24"/>
  <c r="J806" i="24"/>
  <c r="N806" i="24" s="1" a="1"/>
  <c r="F806" i="24"/>
  <c r="U811" i="24"/>
  <c r="S811" i="24" a="1"/>
  <c r="O811" i="24" a="1"/>
  <c r="K811" i="24"/>
  <c r="J811" i="24"/>
  <c r="N811" i="24" s="1" a="1"/>
  <c r="F811" i="24"/>
  <c r="U809" i="24"/>
  <c r="S809" i="24" a="1"/>
  <c r="O809" i="24" a="1"/>
  <c r="N809" i="24" a="1"/>
  <c r="F809" i="24"/>
  <c r="U810" i="24"/>
  <c r="S810" i="24" a="1"/>
  <c r="O810" i="24" a="1"/>
  <c r="K810" i="24"/>
  <c r="J810" i="24"/>
  <c r="N810" i="24" s="1" a="1"/>
  <c r="F810" i="24"/>
  <c r="U818" i="24"/>
  <c r="S818" i="24" a="1"/>
  <c r="O818" i="24" a="1"/>
  <c r="K818" i="24"/>
  <c r="J818" i="24"/>
  <c r="N818" i="24" s="1" a="1"/>
  <c r="F818" i="24"/>
  <c r="U816" i="24"/>
  <c r="S816" i="24" a="1"/>
  <c r="O816" i="24" a="1"/>
  <c r="K816" i="24"/>
  <c r="J816" i="24"/>
  <c r="N816" i="24" s="1" a="1"/>
  <c r="F816" i="24"/>
  <c r="U815" i="24"/>
  <c r="S815" i="24" a="1"/>
  <c r="O815" i="24" a="1"/>
  <c r="K815" i="24"/>
  <c r="J815" i="24"/>
  <c r="N815" i="24" s="1" a="1"/>
  <c r="F815" i="24"/>
  <c r="U812" i="24"/>
  <c r="S812" i="24" a="1"/>
  <c r="O812" i="24" a="1"/>
  <c r="J812" i="24"/>
  <c r="N812" i="24" s="1" a="1"/>
  <c r="F812" i="24"/>
  <c r="U813" i="24"/>
  <c r="S813" i="24" a="1"/>
  <c r="O813" i="24" a="1"/>
  <c r="K813" i="24"/>
  <c r="J813" i="24"/>
  <c r="N813" i="24" s="1" a="1"/>
  <c r="F813" i="24"/>
  <c r="U817" i="24"/>
  <c r="S817" i="24" a="1"/>
  <c r="O817" i="24" a="1"/>
  <c r="J817" i="24"/>
  <c r="N817" i="24" s="1" a="1"/>
  <c r="F817" i="24"/>
  <c r="U805" i="24"/>
  <c r="S805" i="24" a="1"/>
  <c r="O805" i="24" a="1"/>
  <c r="K805" i="24"/>
  <c r="J805" i="24"/>
  <c r="N805" i="24" s="1" a="1"/>
  <c r="F805" i="24"/>
  <c r="U804" i="24"/>
  <c r="S804" i="24" a="1"/>
  <c r="O804" i="24" a="1"/>
  <c r="J804" i="24"/>
  <c r="N804" i="24" s="1" a="1"/>
  <c r="F804" i="24"/>
  <c r="U800" i="24"/>
  <c r="S800" i="24" a="1"/>
  <c r="O800" i="24" a="1"/>
  <c r="N800" i="24" a="1"/>
  <c r="F800" i="24"/>
  <c r="U776" i="24"/>
  <c r="S776" i="24" a="1"/>
  <c r="O776" i="24" a="1"/>
  <c r="K776" i="24"/>
  <c r="J776" i="24"/>
  <c r="N776" i="24" s="1" a="1"/>
  <c r="F776" i="24"/>
  <c r="U781" i="24"/>
  <c r="S781" i="24" a="1"/>
  <c r="O781" i="24" a="1"/>
  <c r="K781" i="24"/>
  <c r="J781" i="24"/>
  <c r="N781" i="24" s="1" a="1"/>
  <c r="F781" i="24"/>
  <c r="U801" i="24"/>
  <c r="S801" i="24" a="1"/>
  <c r="O801" i="24" a="1"/>
  <c r="N801" i="24" a="1"/>
  <c r="F801" i="24"/>
  <c r="U798" i="24"/>
  <c r="S798" i="24" a="1"/>
  <c r="O798" i="24" a="1"/>
  <c r="K798" i="24"/>
  <c r="J798" i="24"/>
  <c r="N798" i="24" s="1" a="1"/>
  <c r="F798" i="24"/>
  <c r="U784" i="24"/>
  <c r="S784" i="24" a="1"/>
  <c r="O784" i="24" a="1"/>
  <c r="K784" i="24"/>
  <c r="J784" i="24"/>
  <c r="N784" i="24" s="1" a="1"/>
  <c r="F784" i="24"/>
  <c r="U786" i="24"/>
  <c r="S786" i="24" a="1"/>
  <c r="O786" i="24" a="1"/>
  <c r="K786" i="24"/>
  <c r="J786" i="24"/>
  <c r="N786" i="24" s="1" a="1"/>
  <c r="F786" i="24"/>
  <c r="U788" i="24"/>
  <c r="S788" i="24" a="1"/>
  <c r="O788" i="24" a="1"/>
  <c r="K788" i="24"/>
  <c r="J788" i="24"/>
  <c r="N788" i="24" s="1" a="1"/>
  <c r="F788" i="24"/>
  <c r="U783" i="24"/>
  <c r="S783" i="24" a="1"/>
  <c r="O783" i="24" a="1"/>
  <c r="K783" i="24"/>
  <c r="J783" i="24"/>
  <c r="N783" i="24" s="1" a="1"/>
  <c r="F783" i="24"/>
  <c r="U793" i="24"/>
  <c r="S793" i="24" a="1"/>
  <c r="O793" i="24" a="1"/>
  <c r="J793" i="24"/>
  <c r="N793" i="24" s="1" a="1"/>
  <c r="F793" i="24"/>
  <c r="U794" i="24"/>
  <c r="S794" i="24" a="1"/>
  <c r="O794" i="24" a="1"/>
  <c r="K794" i="24"/>
  <c r="J794" i="24"/>
  <c r="N794" i="24" s="1" a="1"/>
  <c r="F794" i="24"/>
  <c r="U803" i="24"/>
  <c r="S803" i="24" a="1"/>
  <c r="O803" i="24" a="1"/>
  <c r="N803" i="24" a="1"/>
  <c r="F803" i="24"/>
  <c r="U779" i="24"/>
  <c r="S779" i="24" a="1"/>
  <c r="O779" i="24" a="1"/>
  <c r="K779" i="24"/>
  <c r="J779" i="24"/>
  <c r="N779" i="24" s="1" a="1"/>
  <c r="F779" i="24"/>
  <c r="U791" i="24"/>
  <c r="S791" i="24" a="1"/>
  <c r="O791" i="24" a="1"/>
  <c r="K791" i="24"/>
  <c r="J791" i="24"/>
  <c r="N791" i="24" s="1" a="1"/>
  <c r="F791" i="24"/>
  <c r="U787" i="24"/>
  <c r="S787" i="24" a="1"/>
  <c r="O787" i="24" a="1"/>
  <c r="K787" i="24"/>
  <c r="J787" i="24"/>
  <c r="N787" i="24" s="1" a="1"/>
  <c r="F787" i="24"/>
  <c r="U789" i="24"/>
  <c r="S789" i="24" a="1"/>
  <c r="O789" i="24" a="1"/>
  <c r="N789" i="24" a="1"/>
  <c r="F789" i="24"/>
  <c r="U802" i="24"/>
  <c r="S802" i="24" a="1"/>
  <c r="O802" i="24" a="1"/>
  <c r="N802" i="24" a="1"/>
  <c r="F802" i="24"/>
  <c r="U799" i="24"/>
  <c r="S799" i="24" a="1"/>
  <c r="O799" i="24" a="1"/>
  <c r="K799" i="24"/>
  <c r="J799" i="24"/>
  <c r="N799" i="24" s="1" a="1"/>
  <c r="F799" i="24"/>
  <c r="U797" i="24"/>
  <c r="S797" i="24" a="1"/>
  <c r="O797" i="24" a="1"/>
  <c r="N797" i="24" a="1"/>
  <c r="F797" i="24"/>
  <c r="U775" i="24"/>
  <c r="S775" i="24" a="1"/>
  <c r="O775" i="24" a="1"/>
  <c r="K775" i="24"/>
  <c r="J775" i="24"/>
  <c r="N775" i="24" s="1" a="1"/>
  <c r="F775" i="24"/>
  <c r="U792" i="24"/>
  <c r="S792" i="24" a="1"/>
  <c r="O792" i="24" a="1"/>
  <c r="K792" i="24"/>
  <c r="J792" i="24"/>
  <c r="N792" i="24" s="1" a="1"/>
  <c r="F792" i="24"/>
  <c r="U780" i="24"/>
  <c r="S780" i="24" a="1"/>
  <c r="O780" i="24" a="1"/>
  <c r="K780" i="24"/>
  <c r="J780" i="24"/>
  <c r="N780" i="24" s="1" a="1"/>
  <c r="F780" i="24"/>
  <c r="U796" i="24"/>
  <c r="S796" i="24" a="1"/>
  <c r="O796" i="24" a="1"/>
  <c r="N796" i="24" a="1"/>
  <c r="F796" i="24"/>
  <c r="U777" i="24"/>
  <c r="S777" i="24" a="1"/>
  <c r="O777" i="24" a="1"/>
  <c r="K777" i="24"/>
  <c r="J777" i="24"/>
  <c r="N777" i="24" s="1" a="1"/>
  <c r="F777" i="24"/>
  <c r="U795" i="24"/>
  <c r="S795" i="24" a="1"/>
  <c r="O795" i="24" a="1"/>
  <c r="K795" i="24"/>
  <c r="J795" i="24"/>
  <c r="N795" i="24" s="1" a="1"/>
  <c r="F795" i="24"/>
  <c r="U782" i="24"/>
  <c r="S782" i="24" a="1"/>
  <c r="O782" i="24" a="1"/>
  <c r="K782" i="24"/>
  <c r="J782" i="24"/>
  <c r="N782" i="24" s="1" a="1"/>
  <c r="F782" i="24"/>
  <c r="U785" i="24"/>
  <c r="S785" i="24" a="1"/>
  <c r="O785" i="24" a="1"/>
  <c r="K785" i="24"/>
  <c r="J785" i="24"/>
  <c r="N785" i="24" s="1" a="1"/>
  <c r="F785" i="24"/>
  <c r="U790" i="24"/>
  <c r="S790" i="24" a="1"/>
  <c r="O790" i="24" a="1"/>
  <c r="K790" i="24"/>
  <c r="J790" i="24"/>
  <c r="N790" i="24" s="1" a="1"/>
  <c r="F790" i="24"/>
  <c r="U778" i="24"/>
  <c r="S778" i="24" a="1"/>
  <c r="O778" i="24" a="1"/>
  <c r="K778" i="24"/>
  <c r="J778" i="24"/>
  <c r="F778" i="24"/>
  <c r="U774" i="24"/>
  <c r="S774" i="24" a="1"/>
  <c r="O774" i="24" a="1"/>
  <c r="N774" i="24" a="1"/>
  <c r="F774" i="24"/>
  <c r="U767" i="24"/>
  <c r="S767" i="24" a="1"/>
  <c r="O767" i="24" a="1"/>
  <c r="K767" i="24"/>
  <c r="J767" i="24"/>
  <c r="N767" i="24" s="1" a="1"/>
  <c r="F767" i="24"/>
  <c r="U768" i="24"/>
  <c r="S768" i="24" a="1"/>
  <c r="O768" i="24" a="1"/>
  <c r="K768" i="24"/>
  <c r="J768" i="24"/>
  <c r="N768" i="24" s="1" a="1"/>
  <c r="F768" i="24"/>
  <c r="U769" i="24"/>
  <c r="S769" i="24" a="1"/>
  <c r="O769" i="24" a="1"/>
  <c r="K769" i="24"/>
  <c r="J769" i="24"/>
  <c r="N769" i="24" s="1" a="1"/>
  <c r="F769" i="24"/>
  <c r="U772" i="24"/>
  <c r="S772" i="24" a="1"/>
  <c r="O772" i="24" a="1"/>
  <c r="K772" i="24"/>
  <c r="J772" i="24"/>
  <c r="N772" i="24" s="1" a="1"/>
  <c r="F772" i="24"/>
  <c r="U773" i="24"/>
  <c r="S773" i="24" a="1"/>
  <c r="O773" i="24" a="1"/>
  <c r="K773" i="24"/>
  <c r="J773" i="24"/>
  <c r="N773" i="24" s="1" a="1"/>
  <c r="F773" i="24"/>
  <c r="U771" i="24"/>
  <c r="S771" i="24" a="1"/>
  <c r="O771" i="24" a="1"/>
  <c r="K771" i="24"/>
  <c r="J771" i="24"/>
  <c r="N771" i="24" s="1" a="1"/>
  <c r="F771" i="24"/>
  <c r="U770" i="24"/>
  <c r="S770" i="24" a="1"/>
  <c r="O770" i="24" a="1"/>
  <c r="K770" i="24"/>
  <c r="J770" i="24"/>
  <c r="N770" i="24" s="1" a="1"/>
  <c r="F770" i="24"/>
  <c r="U752" i="24"/>
  <c r="S752" i="24" a="1"/>
  <c r="O752" i="24" a="1"/>
  <c r="K752" i="24"/>
  <c r="J752" i="24"/>
  <c r="N752" i="24" s="1" a="1"/>
  <c r="F752" i="24"/>
  <c r="U754" i="24"/>
  <c r="S754" i="24" a="1"/>
  <c r="O754" i="24" a="1"/>
  <c r="K754" i="24"/>
  <c r="J754" i="24"/>
  <c r="N754" i="24" s="1" a="1"/>
  <c r="F754" i="24"/>
  <c r="U763" i="24"/>
  <c r="S763" i="24" a="1"/>
  <c r="O763" i="24" a="1"/>
  <c r="N763" i="24" a="1"/>
  <c r="F763" i="24"/>
  <c r="U762" i="24"/>
  <c r="S762" i="24" a="1"/>
  <c r="O762" i="24" a="1"/>
  <c r="K762" i="24"/>
  <c r="J762" i="24"/>
  <c r="N762" i="24" s="1" a="1"/>
  <c r="F762" i="24"/>
  <c r="U756" i="24"/>
  <c r="S756" i="24" a="1"/>
  <c r="O756" i="24" a="1"/>
  <c r="K756" i="24"/>
  <c r="J756" i="24"/>
  <c r="N756" i="24" s="1" a="1"/>
  <c r="F756" i="24"/>
  <c r="U748" i="24"/>
  <c r="S748" i="24" a="1"/>
  <c r="O748" i="24" a="1"/>
  <c r="N748" i="24" a="1"/>
  <c r="F748" i="24"/>
  <c r="U760" i="24"/>
  <c r="S760" i="24" a="1"/>
  <c r="O760" i="24" a="1"/>
  <c r="K760" i="24"/>
  <c r="J760" i="24"/>
  <c r="N760" i="24" s="1" a="1"/>
  <c r="F760" i="24"/>
  <c r="U764" i="24"/>
  <c r="S764" i="24" a="1"/>
  <c r="O764" i="24" a="1"/>
  <c r="N764" i="24" a="1"/>
  <c r="K764" i="24"/>
  <c r="F764" i="24"/>
  <c r="U765" i="24"/>
  <c r="S765" i="24" a="1"/>
  <c r="O765" i="24" a="1"/>
  <c r="K765" i="24"/>
  <c r="J765" i="24"/>
  <c r="N765" i="24" s="1" a="1"/>
  <c r="F765" i="24"/>
  <c r="U766" i="24"/>
  <c r="S766" i="24" a="1"/>
  <c r="O766" i="24" a="1"/>
  <c r="K766" i="24"/>
  <c r="J766" i="24"/>
  <c r="N766" i="24" s="1" a="1"/>
  <c r="F766" i="24"/>
  <c r="U755" i="24"/>
  <c r="S755" i="24" a="1"/>
  <c r="O755" i="24" a="1"/>
  <c r="K755" i="24"/>
  <c r="J755" i="24"/>
  <c r="N755" i="24" s="1" a="1"/>
  <c r="F755" i="24"/>
  <c r="U758" i="24"/>
  <c r="S758" i="24" a="1"/>
  <c r="O758" i="24" a="1"/>
  <c r="K758" i="24"/>
  <c r="J758" i="24"/>
  <c r="N758" i="24" s="1" a="1"/>
  <c r="F758" i="24"/>
  <c r="U749" i="24"/>
  <c r="S749" i="24" a="1"/>
  <c r="O749" i="24" a="1"/>
  <c r="K749" i="24"/>
  <c r="J749" i="24"/>
  <c r="N749" i="24" s="1" a="1"/>
  <c r="F749" i="24"/>
  <c r="U759" i="24"/>
  <c r="S759" i="24" a="1"/>
  <c r="O759" i="24" a="1"/>
  <c r="K759" i="24"/>
  <c r="J759" i="24"/>
  <c r="N759" i="24" s="1" a="1"/>
  <c r="F759" i="24"/>
  <c r="U761" i="24"/>
  <c r="S761" i="24" a="1"/>
  <c r="O761" i="24" a="1"/>
  <c r="K761" i="24"/>
  <c r="J761" i="24"/>
  <c r="N761" i="24" s="1" a="1"/>
  <c r="F761" i="24"/>
  <c r="U751" i="24"/>
  <c r="S751" i="24" a="1"/>
  <c r="O751" i="24" a="1"/>
  <c r="K751" i="24"/>
  <c r="J751" i="24"/>
  <c r="N751" i="24" s="1" a="1"/>
  <c r="F751" i="24"/>
  <c r="U753" i="24"/>
  <c r="S753" i="24" a="1"/>
  <c r="O753" i="24" a="1"/>
  <c r="K753" i="24"/>
  <c r="J753" i="24"/>
  <c r="N753" i="24" s="1" a="1"/>
  <c r="F753" i="24"/>
  <c r="U750" i="24"/>
  <c r="S750" i="24" a="1"/>
  <c r="O750" i="24" a="1"/>
  <c r="J750" i="24"/>
  <c r="N750" i="24" s="1" a="1"/>
  <c r="F750" i="24"/>
  <c r="U757" i="24"/>
  <c r="S757" i="24" a="1"/>
  <c r="O757" i="24" a="1"/>
  <c r="K757" i="24"/>
  <c r="J757" i="24"/>
  <c r="N757" i="24" s="1" a="1"/>
  <c r="F757" i="24"/>
  <c r="U739" i="24"/>
  <c r="S739" i="24" a="1"/>
  <c r="O739" i="24" a="1"/>
  <c r="J739" i="24"/>
  <c r="F739" i="24"/>
  <c r="U741" i="24"/>
  <c r="S741" i="24" a="1"/>
  <c r="O741" i="24" a="1"/>
  <c r="K741" i="24"/>
  <c r="J741" i="24"/>
  <c r="N741" i="24" s="1" a="1"/>
  <c r="F741" i="24"/>
  <c r="U742" i="24"/>
  <c r="S742" i="24" a="1"/>
  <c r="O742" i="24" a="1"/>
  <c r="K742" i="24"/>
  <c r="J742" i="24"/>
  <c r="N742" i="24" s="1" a="1"/>
  <c r="F742" i="24"/>
  <c r="U734" i="24"/>
  <c r="S734" i="24" a="1"/>
  <c r="O734" i="24" a="1"/>
  <c r="J734" i="24"/>
  <c r="N734" i="24" s="1" a="1"/>
  <c r="F734" i="24"/>
  <c r="U735" i="24"/>
  <c r="S735" i="24" a="1"/>
  <c r="O735" i="24" a="1"/>
  <c r="K735" i="24"/>
  <c r="J735" i="24"/>
  <c r="N735" i="24" s="1" a="1"/>
  <c r="F735" i="24"/>
  <c r="U731" i="24"/>
  <c r="S731" i="24" a="1"/>
  <c r="O731" i="24" a="1"/>
  <c r="K731" i="24"/>
  <c r="J731" i="24"/>
  <c r="N731" i="24" s="1" a="1"/>
  <c r="F731" i="24"/>
  <c r="U740" i="24"/>
  <c r="S740" i="24" a="1"/>
  <c r="O740" i="24" a="1"/>
  <c r="K740" i="24"/>
  <c r="J740" i="24"/>
  <c r="N740" i="24" s="1" a="1"/>
  <c r="F740" i="24"/>
  <c r="U736" i="24"/>
  <c r="S736" i="24" a="1"/>
  <c r="O736" i="24" a="1"/>
  <c r="K736" i="24"/>
  <c r="J736" i="24"/>
  <c r="N736" i="24" s="1" a="1"/>
  <c r="F736" i="24"/>
  <c r="U733" i="24"/>
  <c r="S733" i="24" a="1"/>
  <c r="O733" i="24" a="1"/>
  <c r="K733" i="24"/>
  <c r="J733" i="24"/>
  <c r="N733" i="24" s="1" a="1"/>
  <c r="F733" i="24"/>
  <c r="U738" i="24"/>
  <c r="S738" i="24" a="1"/>
  <c r="O738" i="24" a="1"/>
  <c r="K738" i="24"/>
  <c r="J738" i="24"/>
  <c r="N738" i="24" s="1" a="1"/>
  <c r="F738" i="24"/>
  <c r="U746" i="24"/>
  <c r="S746" i="24" a="1"/>
  <c r="O746" i="24" a="1"/>
  <c r="N746" i="24" a="1"/>
  <c r="F746" i="24"/>
  <c r="U737" i="24"/>
  <c r="S737" i="24" a="1"/>
  <c r="O737" i="24" a="1"/>
  <c r="K737" i="24"/>
  <c r="J737" i="24"/>
  <c r="N737" i="24" s="1" a="1"/>
  <c r="F737" i="24"/>
  <c r="U732" i="24"/>
  <c r="S732" i="24" a="1"/>
  <c r="O732" i="24" a="1"/>
  <c r="K732" i="24"/>
  <c r="J732" i="24"/>
  <c r="N732" i="24" s="1" a="1"/>
  <c r="F732" i="24"/>
  <c r="U743" i="24"/>
  <c r="S743" i="24" a="1"/>
  <c r="O743" i="24" a="1"/>
  <c r="K743" i="24"/>
  <c r="J743" i="24"/>
  <c r="N743" i="24" s="1" a="1"/>
  <c r="F743" i="24"/>
  <c r="U730" i="24"/>
  <c r="S730" i="24" a="1"/>
  <c r="O730" i="24" a="1"/>
  <c r="K730" i="24"/>
  <c r="J730" i="24"/>
  <c r="N730" i="24" s="1" a="1"/>
  <c r="F730" i="24"/>
  <c r="U747" i="24"/>
  <c r="S747" i="24" a="1"/>
  <c r="O747" i="24" a="1"/>
  <c r="K747" i="24"/>
  <c r="J747" i="24"/>
  <c r="N747" i="24" s="1" a="1"/>
  <c r="F747" i="24"/>
  <c r="U745" i="24"/>
  <c r="S745" i="24" a="1"/>
  <c r="O745" i="24" a="1"/>
  <c r="K745" i="24"/>
  <c r="J745" i="24"/>
  <c r="N745" i="24" s="1" a="1"/>
  <c r="F745" i="24"/>
  <c r="U744" i="24"/>
  <c r="S744" i="24" a="1"/>
  <c r="O744" i="24" a="1"/>
  <c r="K744" i="24"/>
  <c r="J744" i="24"/>
  <c r="N744" i="24" s="1" a="1"/>
  <c r="F744" i="24"/>
  <c r="U729" i="24"/>
  <c r="S729" i="24" a="1"/>
  <c r="O729" i="24" a="1"/>
  <c r="N729" i="24" a="1"/>
  <c r="F729" i="24"/>
  <c r="U717" i="24"/>
  <c r="S717" i="24" a="1"/>
  <c r="O717" i="24" a="1"/>
  <c r="K717" i="24"/>
  <c r="J717" i="24"/>
  <c r="N717" i="24" s="1" a="1"/>
  <c r="F717" i="24"/>
  <c r="U713" i="24"/>
  <c r="S713" i="24" a="1"/>
  <c r="O713" i="24" a="1"/>
  <c r="K713" i="24"/>
  <c r="J713" i="24"/>
  <c r="N713" i="24" s="1" a="1"/>
  <c r="F713" i="24"/>
  <c r="U708" i="24"/>
  <c r="S708" i="24" a="1"/>
  <c r="O708" i="24" a="1"/>
  <c r="K708" i="24"/>
  <c r="J708" i="24"/>
  <c r="N708" i="24" s="1" a="1"/>
  <c r="F708" i="24"/>
  <c r="U719" i="24"/>
  <c r="S719" i="24" a="1"/>
  <c r="O719" i="24" a="1"/>
  <c r="N719" i="24" a="1"/>
  <c r="F719" i="24"/>
  <c r="U712" i="24"/>
  <c r="S712" i="24" a="1"/>
  <c r="O712" i="24" a="1"/>
  <c r="J712" i="24"/>
  <c r="N712" i="24" s="1" a="1"/>
  <c r="F712" i="24"/>
  <c r="U709" i="24"/>
  <c r="S709" i="24" a="1"/>
  <c r="O709" i="24" a="1"/>
  <c r="K709" i="24"/>
  <c r="J709" i="24"/>
  <c r="N709" i="24" s="1" a="1"/>
  <c r="F709" i="24"/>
  <c r="U711" i="24"/>
  <c r="S711" i="24" a="1"/>
  <c r="O711" i="24" a="1"/>
  <c r="K711" i="24"/>
  <c r="J711" i="24"/>
  <c r="N711" i="24" s="1" a="1"/>
  <c r="F711" i="24"/>
  <c r="U718" i="24"/>
  <c r="S718" i="24" a="1"/>
  <c r="O718" i="24" a="1"/>
  <c r="J718" i="24"/>
  <c r="N718" i="24" s="1" a="1"/>
  <c r="F718" i="24"/>
  <c r="U707" i="24"/>
  <c r="S707" i="24" a="1"/>
  <c r="O707" i="24" a="1"/>
  <c r="K707" i="24"/>
  <c r="J707" i="24"/>
  <c r="N707" i="24" s="1" a="1"/>
  <c r="F707" i="24"/>
  <c r="U721" i="24"/>
  <c r="S721" i="24" a="1"/>
  <c r="O721" i="24" a="1"/>
  <c r="N721" i="24" a="1"/>
  <c r="F721" i="24"/>
  <c r="U727" i="24"/>
  <c r="S727" i="24" a="1"/>
  <c r="O727" i="24" a="1"/>
  <c r="J727" i="24"/>
  <c r="N727" i="24" s="1" a="1"/>
  <c r="F727" i="24"/>
  <c r="U714" i="24"/>
  <c r="S714" i="24" a="1"/>
  <c r="O714" i="24" a="1"/>
  <c r="K714" i="24"/>
  <c r="J714" i="24"/>
  <c r="N714" i="24" s="1" a="1"/>
  <c r="F714" i="24"/>
  <c r="U728" i="24"/>
  <c r="S728" i="24" a="1"/>
  <c r="O728" i="24" a="1"/>
  <c r="N728" i="24" a="1"/>
  <c r="F728" i="24"/>
  <c r="U710" i="24"/>
  <c r="S710" i="24" a="1"/>
  <c r="O710" i="24" a="1"/>
  <c r="N710" i="24" a="1"/>
  <c r="F710" i="24"/>
  <c r="U726" i="24"/>
  <c r="S726" i="24" a="1"/>
  <c r="O726" i="24" a="1"/>
  <c r="K726" i="24"/>
  <c r="J726" i="24"/>
  <c r="N726" i="24" s="1" a="1"/>
  <c r="F726" i="24"/>
  <c r="U716" i="24"/>
  <c r="S716" i="24" a="1"/>
  <c r="O716" i="24" a="1"/>
  <c r="K716" i="24"/>
  <c r="J716" i="24"/>
  <c r="N716" i="24" s="1" a="1"/>
  <c r="F716" i="24"/>
  <c r="U715" i="24"/>
  <c r="S715" i="24" a="1"/>
  <c r="O715" i="24" a="1"/>
  <c r="K715" i="24"/>
  <c r="J715" i="24"/>
  <c r="N715" i="24" s="1" a="1"/>
  <c r="F715" i="24"/>
  <c r="U720" i="24"/>
  <c r="S720" i="24" a="1"/>
  <c r="O720" i="24" a="1"/>
  <c r="N720" i="24" a="1"/>
  <c r="F720" i="24"/>
  <c r="U724" i="24"/>
  <c r="S724" i="24" a="1"/>
  <c r="O724" i="24" a="1"/>
  <c r="K724" i="24"/>
  <c r="J724" i="24"/>
  <c r="N724" i="24" s="1" a="1"/>
  <c r="F724" i="24"/>
  <c r="U725" i="24"/>
  <c r="S725" i="24" a="1"/>
  <c r="O725" i="24" a="1"/>
  <c r="N725" i="24" a="1"/>
  <c r="F725" i="24"/>
  <c r="U723" i="24"/>
  <c r="S723" i="24" a="1"/>
  <c r="O723" i="24" a="1"/>
  <c r="N723" i="24" a="1"/>
  <c r="F723" i="24"/>
  <c r="U722" i="24"/>
  <c r="S722" i="24" a="1"/>
  <c r="O722" i="24" a="1"/>
  <c r="K722" i="24"/>
  <c r="J722" i="24"/>
  <c r="N722" i="24" s="1" a="1"/>
  <c r="F722" i="24"/>
  <c r="U697" i="24"/>
  <c r="S697" i="24" a="1"/>
  <c r="O697" i="24" a="1"/>
  <c r="K697" i="24"/>
  <c r="J697" i="24"/>
  <c r="N697" i="24" s="1" a="1"/>
  <c r="F697" i="24"/>
  <c r="U692" i="24"/>
  <c r="S692" i="24" a="1"/>
  <c r="O692" i="24" a="1"/>
  <c r="K692" i="24"/>
  <c r="J692" i="24"/>
  <c r="N692" i="24" s="1" a="1"/>
  <c r="F692" i="24"/>
  <c r="U695" i="24"/>
  <c r="S695" i="24" a="1"/>
  <c r="O695" i="24" a="1"/>
  <c r="K695" i="24"/>
  <c r="J695" i="24"/>
  <c r="N695" i="24" s="1" a="1"/>
  <c r="F695" i="24"/>
  <c r="U700" i="24"/>
  <c r="S700" i="24" a="1"/>
  <c r="O700" i="24" a="1"/>
  <c r="K700" i="24"/>
  <c r="J700" i="24"/>
  <c r="N700" i="24" s="1" a="1"/>
  <c r="F700" i="24"/>
  <c r="U703" i="24"/>
  <c r="S703" i="24" a="1"/>
  <c r="O703" i="24" a="1"/>
  <c r="N703" i="24" a="1"/>
  <c r="F703" i="24"/>
  <c r="U705" i="24"/>
  <c r="S705" i="24" a="1"/>
  <c r="O705" i="24" a="1"/>
  <c r="K705" i="24"/>
  <c r="J705" i="24"/>
  <c r="N705" i="24" s="1" a="1"/>
  <c r="F705" i="24"/>
  <c r="U698" i="24"/>
  <c r="S698" i="24" a="1"/>
  <c r="O698" i="24" a="1"/>
  <c r="K698" i="24"/>
  <c r="J698" i="24"/>
  <c r="N698" i="24" s="1" a="1"/>
  <c r="F698" i="24"/>
  <c r="U691" i="24"/>
  <c r="S691" i="24" a="1"/>
  <c r="O691" i="24" a="1"/>
  <c r="K691" i="24"/>
  <c r="J691" i="24"/>
  <c r="N691" i="24" s="1" a="1"/>
  <c r="F691" i="24"/>
  <c r="U702" i="24"/>
  <c r="S702" i="24" a="1"/>
  <c r="O702" i="24" a="1"/>
  <c r="K702" i="24"/>
  <c r="J702" i="24"/>
  <c r="N702" i="24" s="1" a="1"/>
  <c r="F702" i="24"/>
  <c r="U706" i="24"/>
  <c r="S706" i="24" a="1"/>
  <c r="O706" i="24" a="1"/>
  <c r="K706" i="24"/>
  <c r="J706" i="24"/>
  <c r="N706" i="24" s="1" a="1"/>
  <c r="F706" i="24"/>
  <c r="U699" i="24"/>
  <c r="S699" i="24" a="1"/>
  <c r="O699" i="24" a="1"/>
  <c r="K699" i="24"/>
  <c r="J699" i="24"/>
  <c r="N699" i="24" s="1" a="1"/>
  <c r="F699" i="24"/>
  <c r="U701" i="24"/>
  <c r="S701" i="24" a="1"/>
  <c r="O701" i="24" a="1"/>
  <c r="K701" i="24"/>
  <c r="J701" i="24"/>
  <c r="N701" i="24" s="1" a="1"/>
  <c r="F701" i="24"/>
  <c r="U696" i="24"/>
  <c r="S696" i="24" a="1"/>
  <c r="O696" i="24" a="1"/>
  <c r="K696" i="24"/>
  <c r="J696" i="24"/>
  <c r="N696" i="24" s="1" a="1"/>
  <c r="F696" i="24"/>
  <c r="U694" i="24"/>
  <c r="S694" i="24" a="1"/>
  <c r="O694" i="24" a="1"/>
  <c r="K694" i="24"/>
  <c r="J694" i="24"/>
  <c r="N694" i="24" s="1" a="1"/>
  <c r="F694" i="24"/>
  <c r="U693" i="24"/>
  <c r="S693" i="24" a="1"/>
  <c r="O693" i="24" a="1"/>
  <c r="K693" i="24"/>
  <c r="J693" i="24"/>
  <c r="N693" i="24" s="1" a="1"/>
  <c r="F693" i="24"/>
  <c r="U690" i="24"/>
  <c r="S690" i="24" a="1"/>
  <c r="O690" i="24" a="1"/>
  <c r="N690" i="24" a="1"/>
  <c r="F690" i="24"/>
  <c r="U689" i="24"/>
  <c r="S689" i="24" a="1"/>
  <c r="O689" i="24" a="1"/>
  <c r="J689" i="24"/>
  <c r="N689" i="24" s="1" a="1"/>
  <c r="F689" i="24"/>
  <c r="U704" i="24"/>
  <c r="S704" i="24" a="1"/>
  <c r="O704" i="24" a="1"/>
  <c r="K704" i="24"/>
  <c r="J704" i="24"/>
  <c r="N704" i="24" s="1" a="1"/>
  <c r="F704" i="24"/>
  <c r="U688" i="24"/>
  <c r="S688" i="24" a="1"/>
  <c r="O688" i="24" a="1"/>
  <c r="K688" i="24"/>
  <c r="J688" i="24"/>
  <c r="N688" i="24" s="1" a="1"/>
  <c r="F688" i="24"/>
  <c r="U685" i="24"/>
  <c r="S685" i="24" a="1"/>
  <c r="O685" i="24" a="1"/>
  <c r="K685" i="24"/>
  <c r="J685" i="24"/>
  <c r="N685" i="24" s="1" a="1"/>
  <c r="F685" i="24"/>
  <c r="U686" i="24"/>
  <c r="S686" i="24" a="1"/>
  <c r="O686" i="24" a="1"/>
  <c r="N686" i="24" a="1"/>
  <c r="F686" i="24"/>
  <c r="U681" i="24"/>
  <c r="S681" i="24" a="1"/>
  <c r="O681" i="24" a="1"/>
  <c r="N681" i="24" a="1"/>
  <c r="F681" i="24"/>
  <c r="U682" i="24"/>
  <c r="S682" i="24" a="1"/>
  <c r="O682" i="24" a="1"/>
  <c r="N682" i="24" a="1"/>
  <c r="F682" i="24"/>
  <c r="U687" i="24"/>
  <c r="S687" i="24" a="1"/>
  <c r="O687" i="24" a="1"/>
  <c r="N687" i="24" a="1"/>
  <c r="F687" i="24"/>
  <c r="U683" i="24"/>
  <c r="S683" i="24" a="1"/>
  <c r="O683" i="24" a="1"/>
  <c r="K683" i="24"/>
  <c r="J683" i="24"/>
  <c r="N683" i="24" s="1" a="1"/>
  <c r="F683" i="24"/>
  <c r="U676" i="24"/>
  <c r="S676" i="24" a="1"/>
  <c r="O676" i="24" a="1"/>
  <c r="K676" i="24"/>
  <c r="J676" i="24"/>
  <c r="N676" i="24" s="1" a="1"/>
  <c r="F676" i="24"/>
  <c r="U679" i="24"/>
  <c r="S679" i="24" a="1"/>
  <c r="O679" i="24" a="1"/>
  <c r="K679" i="24"/>
  <c r="J679" i="24"/>
  <c r="N679" i="24" s="1" a="1"/>
  <c r="F679" i="24"/>
  <c r="U684" i="24"/>
  <c r="S684" i="24" a="1"/>
  <c r="O684" i="24" a="1"/>
  <c r="K684" i="24"/>
  <c r="J684" i="24"/>
  <c r="N684" i="24" s="1" a="1"/>
  <c r="F684" i="24"/>
  <c r="U678" i="24"/>
  <c r="S678" i="24" a="1"/>
  <c r="O678" i="24" a="1"/>
  <c r="K678" i="24"/>
  <c r="J678" i="24"/>
  <c r="N678" i="24" s="1" a="1"/>
  <c r="F678" i="24"/>
  <c r="U677" i="24"/>
  <c r="S677" i="24" a="1"/>
  <c r="O677" i="24" a="1"/>
  <c r="K677" i="24"/>
  <c r="J677" i="24"/>
  <c r="N677" i="24" s="1" a="1"/>
  <c r="F677" i="24"/>
  <c r="U680" i="24"/>
  <c r="S680" i="24" a="1"/>
  <c r="O680" i="24" a="1"/>
  <c r="K680" i="24"/>
  <c r="J680" i="24"/>
  <c r="N680" i="24" s="1" a="1"/>
  <c r="F680" i="24"/>
  <c r="U673" i="24"/>
  <c r="S673" i="24" a="1"/>
  <c r="O673" i="24" a="1"/>
  <c r="N673" i="24" a="1"/>
  <c r="F673" i="24"/>
  <c r="U669" i="24"/>
  <c r="S669" i="24" a="1"/>
  <c r="O669" i="24" a="1"/>
  <c r="K669" i="24"/>
  <c r="J669" i="24"/>
  <c r="N669" i="24" s="1" a="1"/>
  <c r="F669" i="24"/>
  <c r="U666" i="24"/>
  <c r="S666" i="24" a="1"/>
  <c r="O666" i="24" a="1"/>
  <c r="K666" i="24"/>
  <c r="J666" i="24"/>
  <c r="N666" i="24" s="1" a="1"/>
  <c r="F666" i="24"/>
  <c r="U675" i="24"/>
  <c r="S675" i="24" a="1"/>
  <c r="O675" i="24" a="1"/>
  <c r="K675" i="24"/>
  <c r="J675" i="24"/>
  <c r="N675" i="24" s="1" a="1"/>
  <c r="F675" i="24"/>
  <c r="U672" i="24"/>
  <c r="S672" i="24" a="1"/>
  <c r="O672" i="24" a="1"/>
  <c r="N672" i="24" a="1"/>
  <c r="F672" i="24"/>
  <c r="U667" i="24"/>
  <c r="S667" i="24" a="1"/>
  <c r="O667" i="24" a="1"/>
  <c r="K667" i="24"/>
  <c r="J667" i="24"/>
  <c r="N667" i="24" s="1" a="1"/>
  <c r="F667" i="24"/>
  <c r="U668" i="24"/>
  <c r="S668" i="24" a="1"/>
  <c r="O668" i="24" a="1"/>
  <c r="K668" i="24"/>
  <c r="J668" i="24"/>
  <c r="N668" i="24" s="1" a="1"/>
  <c r="F668" i="24"/>
  <c r="U670" i="24"/>
  <c r="S670" i="24" a="1"/>
  <c r="O670" i="24" a="1"/>
  <c r="K670" i="24"/>
  <c r="J670" i="24"/>
  <c r="N670" i="24" s="1" a="1"/>
  <c r="F670" i="24"/>
  <c r="U671" i="24"/>
  <c r="S671" i="24" a="1"/>
  <c r="O671" i="24" a="1"/>
  <c r="K671" i="24"/>
  <c r="J671" i="24"/>
  <c r="N671" i="24" s="1" a="1"/>
  <c r="F671" i="24"/>
  <c r="U674" i="24"/>
  <c r="S674" i="24" a="1"/>
  <c r="O674" i="24" a="1"/>
  <c r="K674" i="24"/>
  <c r="J674" i="24"/>
  <c r="N674" i="24" s="1" a="1"/>
  <c r="F674" i="24"/>
  <c r="U659" i="24"/>
  <c r="S659" i="24" a="1"/>
  <c r="O659" i="24" a="1"/>
  <c r="K659" i="24"/>
  <c r="J659" i="24"/>
  <c r="N659" i="24" s="1" a="1"/>
  <c r="F659" i="24"/>
  <c r="U655" i="24"/>
  <c r="S655" i="24" a="1"/>
  <c r="O655" i="24" a="1"/>
  <c r="K655" i="24"/>
  <c r="J655" i="24"/>
  <c r="N655" i="24" s="1" a="1"/>
  <c r="F655" i="24"/>
  <c r="U657" i="24"/>
  <c r="S657" i="24" a="1"/>
  <c r="O657" i="24" a="1"/>
  <c r="K657" i="24"/>
  <c r="J657" i="24"/>
  <c r="N657" i="24" s="1" a="1"/>
  <c r="F657" i="24"/>
  <c r="U656" i="24"/>
  <c r="S656" i="24" a="1"/>
  <c r="O656" i="24" a="1"/>
  <c r="K656" i="24"/>
  <c r="J656" i="24"/>
  <c r="N656" i="24" s="1" a="1"/>
  <c r="F656" i="24"/>
  <c r="U661" i="24"/>
  <c r="S661" i="24" a="1"/>
  <c r="O661" i="24" a="1"/>
  <c r="K661" i="24"/>
  <c r="J661" i="24"/>
  <c r="N661" i="24" s="1" a="1"/>
  <c r="F661" i="24"/>
  <c r="U654" i="24"/>
  <c r="S654" i="24" a="1"/>
  <c r="O654" i="24" a="1"/>
  <c r="N654" i="24" a="1"/>
  <c r="K654" i="24"/>
  <c r="F654" i="24"/>
  <c r="U665" i="24"/>
  <c r="S665" i="24" a="1"/>
  <c r="O665" i="24" a="1"/>
  <c r="K665" i="24"/>
  <c r="J665" i="24"/>
  <c r="N665" i="24" s="1" a="1"/>
  <c r="F665" i="24"/>
  <c r="U658" i="24"/>
  <c r="S658" i="24" a="1"/>
  <c r="O658" i="24" a="1"/>
  <c r="K658" i="24"/>
  <c r="J658" i="24"/>
  <c r="N658" i="24" s="1" a="1"/>
  <c r="F658" i="24"/>
  <c r="U664" i="24"/>
  <c r="S664" i="24" a="1"/>
  <c r="O664" i="24" a="1"/>
  <c r="K664" i="24"/>
  <c r="J664" i="24"/>
  <c r="N664" i="24" s="1" a="1"/>
  <c r="F664" i="24"/>
  <c r="U660" i="24"/>
  <c r="S660" i="24" a="1"/>
  <c r="O660" i="24" a="1"/>
  <c r="K660" i="24"/>
  <c r="J660" i="24"/>
  <c r="N660" i="24" s="1" a="1"/>
  <c r="F660" i="24"/>
  <c r="U653" i="24"/>
  <c r="S653" i="24" a="1"/>
  <c r="O653" i="24" a="1"/>
  <c r="J653" i="24"/>
  <c r="N653" i="24" s="1" a="1"/>
  <c r="F653" i="24"/>
  <c r="U663" i="24"/>
  <c r="S663" i="24" a="1"/>
  <c r="O663" i="24" a="1"/>
  <c r="K663" i="24"/>
  <c r="J663" i="24"/>
  <c r="N663" i="24" s="1" a="1"/>
  <c r="F663" i="24"/>
  <c r="U662" i="24"/>
  <c r="S662" i="24" a="1"/>
  <c r="O662" i="24" a="1"/>
  <c r="K662" i="24"/>
  <c r="J662" i="24"/>
  <c r="N662" i="24" s="1" a="1"/>
  <c r="F662" i="24"/>
  <c r="U645" i="24"/>
  <c r="S645" i="24" a="1"/>
  <c r="O645" i="24" a="1"/>
  <c r="K645" i="24"/>
  <c r="J645" i="24"/>
  <c r="N645" i="24" s="1" a="1"/>
  <c r="F645" i="24"/>
  <c r="U644" i="24"/>
  <c r="S644" i="24" a="1"/>
  <c r="O644" i="24" a="1"/>
  <c r="K644" i="24"/>
  <c r="J644" i="24"/>
  <c r="N644" i="24" s="1" a="1"/>
  <c r="F644" i="24"/>
  <c r="U646" i="24"/>
  <c r="S646" i="24" a="1"/>
  <c r="O646" i="24" a="1"/>
  <c r="K646" i="24"/>
  <c r="J646" i="24"/>
  <c r="N646" i="24" s="1" a="1"/>
  <c r="F646" i="24"/>
  <c r="U639" i="24"/>
  <c r="S639" i="24" a="1"/>
  <c r="O639" i="24" a="1"/>
  <c r="K639" i="24"/>
  <c r="J639" i="24"/>
  <c r="N639" i="24" s="1" a="1"/>
  <c r="F639" i="24"/>
  <c r="U643" i="24"/>
  <c r="S643" i="24" a="1"/>
  <c r="O643" i="24" a="1"/>
  <c r="J643" i="24"/>
  <c r="N643" i="24" s="1" a="1"/>
  <c r="F643" i="24"/>
  <c r="U652" i="24"/>
  <c r="S652" i="24" a="1"/>
  <c r="O652" i="24" a="1"/>
  <c r="K652" i="24"/>
  <c r="J652" i="24"/>
  <c r="N652" i="24" s="1" a="1"/>
  <c r="F652" i="24"/>
  <c r="U638" i="24"/>
  <c r="S638" i="24" a="1"/>
  <c r="O638" i="24" a="1"/>
  <c r="K638" i="24"/>
  <c r="J638" i="24"/>
  <c r="N638" i="24" s="1" a="1"/>
  <c r="F638" i="24"/>
  <c r="U636" i="24"/>
  <c r="S636" i="24" a="1"/>
  <c r="O636" i="24" a="1"/>
  <c r="K636" i="24"/>
  <c r="J636" i="24"/>
  <c r="N636" i="24" s="1" a="1"/>
  <c r="F636" i="24"/>
  <c r="U641" i="24"/>
  <c r="S641" i="24" a="1"/>
  <c r="O641" i="24" a="1"/>
  <c r="K641" i="24"/>
  <c r="J641" i="24"/>
  <c r="N641" i="24" s="1" a="1"/>
  <c r="F641" i="24"/>
  <c r="U650" i="24"/>
  <c r="S650" i="24" a="1"/>
  <c r="O650" i="24" a="1"/>
  <c r="K650" i="24"/>
  <c r="J650" i="24"/>
  <c r="N650" i="24" s="1" a="1"/>
  <c r="F650" i="24"/>
  <c r="U637" i="24"/>
  <c r="S637" i="24" a="1"/>
  <c r="O637" i="24" a="1"/>
  <c r="K637" i="24"/>
  <c r="J637" i="24"/>
  <c r="N637" i="24" s="1" a="1"/>
  <c r="F637" i="24"/>
  <c r="U649" i="24"/>
  <c r="S649" i="24" a="1"/>
  <c r="O649" i="24" a="1"/>
  <c r="K649" i="24"/>
  <c r="J649" i="24"/>
  <c r="N649" i="24" s="1" a="1"/>
  <c r="F649" i="24"/>
  <c r="U647" i="24"/>
  <c r="S647" i="24" a="1"/>
  <c r="O647" i="24" a="1"/>
  <c r="K647" i="24"/>
  <c r="J647" i="24"/>
  <c r="N647" i="24" s="1" a="1"/>
  <c r="F647" i="24"/>
  <c r="U648" i="24"/>
  <c r="S648" i="24" a="1"/>
  <c r="O648" i="24" a="1"/>
  <c r="K648" i="24"/>
  <c r="J648" i="24"/>
  <c r="N648" i="24" s="1" a="1"/>
  <c r="F648" i="24"/>
  <c r="U640" i="24"/>
  <c r="S640" i="24" a="1"/>
  <c r="O640" i="24" a="1"/>
  <c r="K640" i="24"/>
  <c r="J640" i="24"/>
  <c r="N640" i="24" s="1" a="1"/>
  <c r="F640" i="24"/>
  <c r="U642" i="24"/>
  <c r="S642" i="24" a="1"/>
  <c r="O642" i="24" a="1"/>
  <c r="N642" i="24" a="1"/>
  <c r="F642" i="24"/>
  <c r="U635" i="24"/>
  <c r="S635" i="24" a="1"/>
  <c r="O635" i="24" a="1"/>
  <c r="J635" i="24"/>
  <c r="N635" i="24" s="1" a="1"/>
  <c r="F635" i="24"/>
  <c r="U651" i="24"/>
  <c r="S651" i="24" a="1"/>
  <c r="O651" i="24" a="1"/>
  <c r="K651" i="24"/>
  <c r="J651" i="24"/>
  <c r="N651" i="24" s="1" a="1"/>
  <c r="F651" i="24"/>
  <c r="U634" i="24"/>
  <c r="S634" i="24" a="1"/>
  <c r="O634" i="24" a="1"/>
  <c r="N634" i="24" a="1"/>
  <c r="F634" i="24"/>
  <c r="U622" i="24"/>
  <c r="S622" i="24" a="1"/>
  <c r="O622" i="24" a="1"/>
  <c r="K622" i="24"/>
  <c r="J622" i="24"/>
  <c r="N622" i="24" s="1" a="1"/>
  <c r="F622" i="24"/>
  <c r="U628" i="24"/>
  <c r="S628" i="24" a="1"/>
  <c r="O628" i="24" a="1"/>
  <c r="K628" i="24"/>
  <c r="J628" i="24"/>
  <c r="N628" i="24" s="1" a="1"/>
  <c r="F628" i="24"/>
  <c r="U627" i="24"/>
  <c r="S627" i="24" a="1"/>
  <c r="O627" i="24" a="1"/>
  <c r="K627" i="24"/>
  <c r="J627" i="24"/>
  <c r="N627" i="24" s="1" a="1"/>
  <c r="F627" i="24"/>
  <c r="U630" i="24"/>
  <c r="S630" i="24" a="1"/>
  <c r="O630" i="24" a="1"/>
  <c r="K630" i="24"/>
  <c r="J630" i="24"/>
  <c r="N630" i="24" s="1" a="1"/>
  <c r="F630" i="24"/>
  <c r="U631" i="24"/>
  <c r="S631" i="24" a="1"/>
  <c r="O631" i="24" a="1"/>
  <c r="K631" i="24"/>
  <c r="J631" i="24"/>
  <c r="N631" i="24" s="1" a="1"/>
  <c r="F631" i="24"/>
  <c r="U629" i="24"/>
  <c r="S629" i="24" a="1"/>
  <c r="O629" i="24" a="1"/>
  <c r="K629" i="24"/>
  <c r="J629" i="24"/>
  <c r="N629" i="24" s="1" a="1"/>
  <c r="F629" i="24"/>
  <c r="U625" i="24"/>
  <c r="S625" i="24" a="1"/>
  <c r="O625" i="24" a="1"/>
  <c r="N625" i="24" a="1"/>
  <c r="F625" i="24"/>
  <c r="U633" i="24"/>
  <c r="S633" i="24" a="1"/>
  <c r="O633" i="24" a="1"/>
  <c r="K633" i="24"/>
  <c r="J633" i="24"/>
  <c r="N633" i="24" s="1" a="1"/>
  <c r="F633" i="24"/>
  <c r="U623" i="24"/>
  <c r="S623" i="24" a="1"/>
  <c r="O623" i="24" a="1"/>
  <c r="K623" i="24"/>
  <c r="J623" i="24"/>
  <c r="N623" i="24" s="1" a="1"/>
  <c r="F623" i="24"/>
  <c r="U621" i="24"/>
  <c r="S621" i="24" a="1"/>
  <c r="O621" i="24" a="1"/>
  <c r="K621" i="24"/>
  <c r="J621" i="24"/>
  <c r="N621" i="24" s="1" a="1"/>
  <c r="F621" i="24"/>
  <c r="U626" i="24"/>
  <c r="S626" i="24" a="1"/>
  <c r="O626" i="24" a="1"/>
  <c r="N626" i="24" a="1"/>
  <c r="F626" i="24"/>
  <c r="U632" i="24"/>
  <c r="S632" i="24" a="1"/>
  <c r="O632" i="24" a="1"/>
  <c r="N632" i="24" a="1"/>
  <c r="F632" i="24"/>
  <c r="U624" i="24"/>
  <c r="S624" i="24" a="1"/>
  <c r="O624" i="24" a="1"/>
  <c r="K624" i="24"/>
  <c r="J624" i="24"/>
  <c r="N624" i="24" s="1" a="1"/>
  <c r="F624" i="24"/>
  <c r="U617" i="24"/>
  <c r="S617" i="24" a="1"/>
  <c r="O617" i="24" a="1"/>
  <c r="K617" i="24"/>
  <c r="J617" i="24"/>
  <c r="N617" i="24" s="1" a="1"/>
  <c r="F617" i="24"/>
  <c r="U592" i="24"/>
  <c r="S592" i="24" a="1"/>
  <c r="O592" i="24" a="1"/>
  <c r="N592" i="24" a="1"/>
  <c r="F592" i="24"/>
  <c r="U612" i="24"/>
  <c r="S612" i="24" a="1"/>
  <c r="O612" i="24" a="1"/>
  <c r="K612" i="24"/>
  <c r="J612" i="24"/>
  <c r="N612" i="24" s="1" a="1"/>
  <c r="F612" i="24"/>
  <c r="U603" i="24"/>
  <c r="S603" i="24" a="1"/>
  <c r="O603" i="24" a="1"/>
  <c r="K603" i="24"/>
  <c r="J603" i="24"/>
  <c r="N603" i="24" s="1" a="1"/>
  <c r="F603" i="24"/>
  <c r="U602" i="24"/>
  <c r="S602" i="24" a="1"/>
  <c r="O602" i="24" a="1"/>
  <c r="K602" i="24"/>
  <c r="J602" i="24"/>
  <c r="N602" i="24" s="1" a="1"/>
  <c r="F602" i="24"/>
  <c r="U609" i="24"/>
  <c r="S609" i="24" a="1"/>
  <c r="O609" i="24" a="1"/>
  <c r="N609" i="24" a="1"/>
  <c r="K609" i="24"/>
  <c r="F609" i="24"/>
  <c r="U595" i="24"/>
  <c r="S595" i="24" a="1"/>
  <c r="O595" i="24" a="1"/>
  <c r="K595" i="24"/>
  <c r="J595" i="24"/>
  <c r="N595" i="24" s="1" a="1"/>
  <c r="F595" i="24"/>
  <c r="U596" i="24"/>
  <c r="S596" i="24" a="1"/>
  <c r="O596" i="24" a="1"/>
  <c r="K596" i="24"/>
  <c r="J596" i="24"/>
  <c r="N596" i="24" s="1" a="1"/>
  <c r="F596" i="24"/>
  <c r="U616" i="24"/>
  <c r="S616" i="24" a="1"/>
  <c r="O616" i="24" a="1"/>
  <c r="K616" i="24"/>
  <c r="J616" i="24"/>
  <c r="N616" i="24" s="1" a="1"/>
  <c r="F616" i="24"/>
  <c r="U613" i="24"/>
  <c r="S613" i="24" a="1"/>
  <c r="O613" i="24" a="1"/>
  <c r="N613" i="24" a="1"/>
  <c r="F613" i="24"/>
  <c r="U614" i="24"/>
  <c r="S614" i="24" a="1"/>
  <c r="O614" i="24" a="1"/>
  <c r="K614" i="24"/>
  <c r="J614" i="24"/>
  <c r="N614" i="24" s="1" a="1"/>
  <c r="F614" i="24"/>
  <c r="U607" i="24"/>
  <c r="S607" i="24" a="1"/>
  <c r="O607" i="24" a="1"/>
  <c r="K607" i="24"/>
  <c r="J607" i="24"/>
  <c r="N607" i="24" s="1" a="1"/>
  <c r="F607" i="24"/>
  <c r="U611" i="24"/>
  <c r="S611" i="24" a="1"/>
  <c r="O611" i="24" a="1"/>
  <c r="K611" i="24"/>
  <c r="J611" i="24"/>
  <c r="N611" i="24" s="1" a="1"/>
  <c r="F611" i="24"/>
  <c r="U606" i="24"/>
  <c r="S606" i="24" a="1"/>
  <c r="O606" i="24" a="1"/>
  <c r="K606" i="24"/>
  <c r="J606" i="24"/>
  <c r="N606" i="24" s="1" a="1"/>
  <c r="F606" i="24"/>
  <c r="U597" i="24"/>
  <c r="S597" i="24" a="1"/>
  <c r="O597" i="24" a="1"/>
  <c r="K597" i="24"/>
  <c r="J597" i="24"/>
  <c r="N597" i="24" s="1" a="1"/>
  <c r="F597" i="24"/>
  <c r="U601" i="24"/>
  <c r="S601" i="24" a="1"/>
  <c r="O601" i="24" a="1"/>
  <c r="J601" i="24"/>
  <c r="N601" i="24" s="1" a="1"/>
  <c r="F601" i="24"/>
  <c r="U605" i="24"/>
  <c r="S605" i="24" a="1"/>
  <c r="O605" i="24" a="1"/>
  <c r="K605" i="24"/>
  <c r="J605" i="24"/>
  <c r="N605" i="24" s="1" a="1"/>
  <c r="F605" i="24"/>
  <c r="U600" i="24"/>
  <c r="S600" i="24" a="1"/>
  <c r="O600" i="24" a="1"/>
  <c r="K600" i="24"/>
  <c r="J600" i="24"/>
  <c r="N600" i="24" s="1" a="1"/>
  <c r="F600" i="24"/>
  <c r="U619" i="24"/>
  <c r="S619" i="24" a="1"/>
  <c r="O619" i="24" a="1"/>
  <c r="K619" i="24"/>
  <c r="J619" i="24"/>
  <c r="N619" i="24" s="1" a="1"/>
  <c r="F619" i="24"/>
  <c r="U618" i="24"/>
  <c r="S618" i="24" a="1"/>
  <c r="O618" i="24" a="1"/>
  <c r="K618" i="24"/>
  <c r="J618" i="24"/>
  <c r="N618" i="24" s="1" a="1"/>
  <c r="F618" i="24"/>
  <c r="U620" i="24"/>
  <c r="S620" i="24" a="1"/>
  <c r="O620" i="24" a="1"/>
  <c r="K620" i="24"/>
  <c r="J620" i="24"/>
  <c r="N620" i="24" s="1" a="1"/>
  <c r="F620" i="24"/>
  <c r="U593" i="24"/>
  <c r="S593" i="24" a="1"/>
  <c r="O593" i="24" a="1"/>
  <c r="K593" i="24"/>
  <c r="J593" i="24"/>
  <c r="N593" i="24" s="1" a="1"/>
  <c r="F593" i="24"/>
  <c r="U608" i="24"/>
  <c r="S608" i="24" a="1"/>
  <c r="O608" i="24" a="1"/>
  <c r="N608" i="24" a="1"/>
  <c r="F608" i="24"/>
  <c r="U599" i="24"/>
  <c r="S599" i="24" a="1"/>
  <c r="O599" i="24" a="1"/>
  <c r="N599" i="24" a="1"/>
  <c r="F599" i="24"/>
  <c r="U598" i="24"/>
  <c r="S598" i="24" a="1"/>
  <c r="O598" i="24" a="1"/>
  <c r="K598" i="24"/>
  <c r="J598" i="24"/>
  <c r="N598" i="24" s="1" a="1"/>
  <c r="F598" i="24"/>
  <c r="U610" i="24"/>
  <c r="S610" i="24" a="1"/>
  <c r="O610" i="24" a="1"/>
  <c r="K610" i="24"/>
  <c r="J610" i="24"/>
  <c r="N610" i="24" s="1" a="1"/>
  <c r="F610" i="24"/>
  <c r="U594" i="24"/>
  <c r="S594" i="24" a="1"/>
  <c r="O594" i="24" a="1"/>
  <c r="K594" i="24"/>
  <c r="J594" i="24"/>
  <c r="N594" i="24" s="1" a="1"/>
  <c r="F594" i="24"/>
  <c r="U604" i="24"/>
  <c r="S604" i="24" a="1"/>
  <c r="O604" i="24" a="1"/>
  <c r="K604" i="24"/>
  <c r="J604" i="24"/>
  <c r="N604" i="24" s="1" a="1"/>
  <c r="F604" i="24"/>
  <c r="U615" i="24"/>
  <c r="S615" i="24" a="1"/>
  <c r="O615" i="24" a="1"/>
  <c r="K615" i="24"/>
  <c r="J615" i="24"/>
  <c r="N615" i="24" s="1" a="1"/>
  <c r="F615" i="24"/>
  <c r="U588" i="24"/>
  <c r="S588" i="24" a="1"/>
  <c r="O588" i="24" a="1"/>
  <c r="K588" i="24"/>
  <c r="J588" i="24"/>
  <c r="N588" i="24" s="1" a="1"/>
  <c r="F588" i="24"/>
  <c r="U590" i="24"/>
  <c r="S590" i="24" a="1"/>
  <c r="O590" i="24" a="1"/>
  <c r="N590" i="24" a="1"/>
  <c r="F590" i="24"/>
  <c r="U589" i="24"/>
  <c r="S589" i="24" a="1"/>
  <c r="O589" i="24" a="1"/>
  <c r="K589" i="24"/>
  <c r="J589" i="24"/>
  <c r="N589" i="24" s="1" a="1"/>
  <c r="F589" i="24"/>
  <c r="U591" i="24"/>
  <c r="S591" i="24" a="1"/>
  <c r="O591" i="24" a="1"/>
  <c r="K591" i="24"/>
  <c r="J591" i="24"/>
  <c r="N591" i="24" s="1" a="1"/>
  <c r="F591" i="24"/>
  <c r="U585" i="24"/>
  <c r="S585" i="24" a="1"/>
  <c r="O585" i="24" a="1"/>
  <c r="K585" i="24"/>
  <c r="J585" i="24"/>
  <c r="N585" i="24" s="1" a="1"/>
  <c r="F585" i="24"/>
  <c r="U576" i="24"/>
  <c r="S576" i="24" a="1"/>
  <c r="O576" i="24" a="1"/>
  <c r="K576" i="24"/>
  <c r="J576" i="24"/>
  <c r="N576" i="24" s="1" a="1"/>
  <c r="F576" i="24"/>
  <c r="U586" i="24"/>
  <c r="S586" i="24" a="1"/>
  <c r="O586" i="24" a="1"/>
  <c r="K586" i="24"/>
  <c r="J586" i="24"/>
  <c r="N586" i="24" s="1" a="1"/>
  <c r="F586" i="24"/>
  <c r="U582" i="24"/>
  <c r="S582" i="24" a="1"/>
  <c r="O582" i="24" a="1"/>
  <c r="N582" i="24" a="1"/>
  <c r="F582" i="24"/>
  <c r="U581" i="24"/>
  <c r="S581" i="24" a="1"/>
  <c r="O581" i="24" a="1"/>
  <c r="K581" i="24"/>
  <c r="J581" i="24"/>
  <c r="N581" i="24" s="1" a="1"/>
  <c r="F581" i="24"/>
  <c r="U584" i="24"/>
  <c r="S584" i="24" a="1"/>
  <c r="O584" i="24" a="1"/>
  <c r="K584" i="24"/>
  <c r="J584" i="24"/>
  <c r="N584" i="24" s="1" a="1"/>
  <c r="F584" i="24"/>
  <c r="U575" i="24"/>
  <c r="S575" i="24" a="1"/>
  <c r="O575" i="24" a="1"/>
  <c r="N575" i="24" a="1"/>
  <c r="F575" i="24"/>
  <c r="U587" i="24"/>
  <c r="S587" i="24" a="1"/>
  <c r="O587" i="24" a="1"/>
  <c r="K587" i="24"/>
  <c r="J587" i="24"/>
  <c r="N587" i="24" s="1" a="1"/>
  <c r="F587" i="24"/>
  <c r="U577" i="24"/>
  <c r="S577" i="24" a="1"/>
  <c r="O577" i="24" a="1"/>
  <c r="N577" i="24" a="1"/>
  <c r="F577" i="24"/>
  <c r="U579" i="24"/>
  <c r="S579" i="24" a="1"/>
  <c r="O579" i="24" a="1"/>
  <c r="N579" i="24" a="1"/>
  <c r="F579" i="24"/>
  <c r="U583" i="24"/>
  <c r="S583" i="24" a="1"/>
  <c r="O583" i="24" a="1"/>
  <c r="K583" i="24"/>
  <c r="J583" i="24"/>
  <c r="N583" i="24" s="1" a="1"/>
  <c r="F583" i="24"/>
  <c r="U580" i="24"/>
  <c r="S580" i="24" a="1"/>
  <c r="O580" i="24" a="1"/>
  <c r="K580" i="24"/>
  <c r="J580" i="24"/>
  <c r="N580" i="24" s="1" a="1"/>
  <c r="F580" i="24"/>
  <c r="U578" i="24"/>
  <c r="S578" i="24" a="1"/>
  <c r="O578" i="24" a="1"/>
  <c r="N578" i="24" a="1"/>
  <c r="F578" i="24"/>
  <c r="U558" i="24"/>
  <c r="S558" i="24" a="1"/>
  <c r="O558" i="24" a="1"/>
  <c r="N558" i="24" a="1"/>
  <c r="F558" i="24"/>
  <c r="U560" i="24"/>
  <c r="S560" i="24" a="1"/>
  <c r="O560" i="24" a="1"/>
  <c r="K560" i="24"/>
  <c r="J560" i="24"/>
  <c r="N560" i="24" s="1" a="1"/>
  <c r="F560" i="24"/>
  <c r="U562" i="24"/>
  <c r="S562" i="24" a="1"/>
  <c r="O562" i="24" a="1"/>
  <c r="K562" i="24"/>
  <c r="J562" i="24"/>
  <c r="N562" i="24" s="1" a="1"/>
  <c r="F562" i="24"/>
  <c r="U568" i="24"/>
  <c r="S568" i="24" a="1"/>
  <c r="O568" i="24" a="1"/>
  <c r="K568" i="24"/>
  <c r="J568" i="24"/>
  <c r="N568" i="24" s="1" a="1"/>
  <c r="F568" i="24"/>
  <c r="U567" i="24"/>
  <c r="S567" i="24" a="1"/>
  <c r="O567" i="24" a="1"/>
  <c r="K567" i="24"/>
  <c r="J567" i="24"/>
  <c r="N567" i="24" s="1" a="1"/>
  <c r="F567" i="24"/>
  <c r="U569" i="24"/>
  <c r="S569" i="24" a="1"/>
  <c r="O569" i="24" a="1"/>
  <c r="K569" i="24"/>
  <c r="J569" i="24"/>
  <c r="N569" i="24" s="1" a="1"/>
  <c r="F569" i="24"/>
  <c r="U571" i="24"/>
  <c r="S571" i="24" a="1"/>
  <c r="O571" i="24" a="1"/>
  <c r="K571" i="24"/>
  <c r="J571" i="24"/>
  <c r="N571" i="24" s="1" a="1"/>
  <c r="F571" i="24"/>
  <c r="U556" i="24"/>
  <c r="S556" i="24" a="1"/>
  <c r="O556" i="24" a="1"/>
  <c r="K556" i="24"/>
  <c r="J556" i="24"/>
  <c r="N556" i="24" s="1" a="1"/>
  <c r="F556" i="24"/>
  <c r="U574" i="24"/>
  <c r="S574" i="24" a="1"/>
  <c r="O574" i="24" a="1"/>
  <c r="K574" i="24"/>
  <c r="J574" i="24"/>
  <c r="N574" i="24" s="1" a="1"/>
  <c r="F574" i="24"/>
  <c r="U572" i="24"/>
  <c r="S572" i="24" a="1"/>
  <c r="O572" i="24" a="1"/>
  <c r="K572" i="24"/>
  <c r="J572" i="24"/>
  <c r="N572" i="24" s="1" a="1"/>
  <c r="F572" i="24"/>
  <c r="U564" i="24"/>
  <c r="S564" i="24" a="1"/>
  <c r="O564" i="24" a="1"/>
  <c r="N564" i="24" a="1"/>
  <c r="F564" i="24"/>
  <c r="U563" i="24"/>
  <c r="S563" i="24" a="1"/>
  <c r="O563" i="24" a="1"/>
  <c r="K563" i="24"/>
  <c r="J563" i="24"/>
  <c r="N563" i="24" s="1" a="1"/>
  <c r="F563" i="24"/>
  <c r="U570" i="24"/>
  <c r="S570" i="24" a="1"/>
  <c r="O570" i="24" a="1"/>
  <c r="K570" i="24"/>
  <c r="J570" i="24"/>
  <c r="N570" i="24" s="1" a="1"/>
  <c r="F570" i="24"/>
  <c r="U559" i="24"/>
  <c r="S559" i="24" a="1"/>
  <c r="O559" i="24" a="1"/>
  <c r="K559" i="24"/>
  <c r="J559" i="24"/>
  <c r="N559" i="24" s="1" a="1"/>
  <c r="F559" i="24"/>
  <c r="U566" i="24"/>
  <c r="S566" i="24" a="1"/>
  <c r="O566" i="24" a="1"/>
  <c r="K566" i="24"/>
  <c r="J566" i="24"/>
  <c r="N566" i="24" s="1" a="1"/>
  <c r="F566" i="24"/>
  <c r="U557" i="24"/>
  <c r="S557" i="24" a="1"/>
  <c r="O557" i="24" a="1"/>
  <c r="N557" i="24" a="1"/>
  <c r="F557" i="24"/>
  <c r="U561" i="24"/>
  <c r="S561" i="24" a="1"/>
  <c r="O561" i="24" a="1"/>
  <c r="K561" i="24"/>
  <c r="J561" i="24"/>
  <c r="N561" i="24" s="1" a="1"/>
  <c r="F561" i="24"/>
  <c r="U565" i="24"/>
  <c r="S565" i="24" a="1"/>
  <c r="O565" i="24" a="1"/>
  <c r="K565" i="24"/>
  <c r="J565" i="24"/>
  <c r="N565" i="24" s="1" a="1"/>
  <c r="F565" i="24"/>
  <c r="U573" i="24"/>
  <c r="S573" i="24" a="1"/>
  <c r="O573" i="24" a="1"/>
  <c r="K573" i="24"/>
  <c r="J573" i="24"/>
  <c r="N573" i="24" s="1" a="1"/>
  <c r="F573" i="24"/>
  <c r="U536" i="24"/>
  <c r="S536" i="24" a="1"/>
  <c r="O536" i="24" a="1"/>
  <c r="K536" i="24"/>
  <c r="J536" i="24"/>
  <c r="N536" i="24" s="1" a="1"/>
  <c r="F536" i="24"/>
  <c r="U533" i="24"/>
  <c r="S533" i="24" a="1"/>
  <c r="O533" i="24" a="1"/>
  <c r="K533" i="24"/>
  <c r="J533" i="24"/>
  <c r="N533" i="24" s="1" a="1"/>
  <c r="F533" i="24"/>
  <c r="U527" i="24"/>
  <c r="S527" i="24" a="1"/>
  <c r="O527" i="24" a="1"/>
  <c r="K527" i="24"/>
  <c r="J527" i="24"/>
  <c r="N527" i="24" s="1" a="1"/>
  <c r="F527" i="24"/>
  <c r="U550" i="24"/>
  <c r="S550" i="24" a="1"/>
  <c r="O550" i="24" a="1"/>
  <c r="K550" i="24"/>
  <c r="J550" i="24"/>
  <c r="N550" i="24" s="1" a="1"/>
  <c r="F550" i="24"/>
  <c r="U552" i="24"/>
  <c r="S552" i="24" a="1"/>
  <c r="O552" i="24" a="1"/>
  <c r="K552" i="24"/>
  <c r="J552" i="24"/>
  <c r="N552" i="24" s="1" a="1"/>
  <c r="F552" i="24"/>
  <c r="U551" i="24"/>
  <c r="S551" i="24" a="1"/>
  <c r="O551" i="24" a="1"/>
  <c r="J551" i="24"/>
  <c r="N551" i="24" s="1" a="1"/>
  <c r="F551" i="24"/>
  <c r="U543" i="24"/>
  <c r="S543" i="24" a="1"/>
  <c r="O543" i="24" a="1"/>
  <c r="K543" i="24"/>
  <c r="J543" i="24"/>
  <c r="N543" i="24" s="1" a="1"/>
  <c r="F543" i="24"/>
  <c r="U525" i="24"/>
  <c r="S525" i="24" a="1"/>
  <c r="O525" i="24" a="1"/>
  <c r="N525" i="24" a="1"/>
  <c r="F525" i="24"/>
  <c r="U549" i="24"/>
  <c r="S549" i="24" a="1"/>
  <c r="O549" i="24" a="1"/>
  <c r="K549" i="24"/>
  <c r="J549" i="24"/>
  <c r="N549" i="24" s="1" a="1"/>
  <c r="F549" i="24"/>
  <c r="U526" i="24"/>
  <c r="S526" i="24" a="1"/>
  <c r="O526" i="24" a="1"/>
  <c r="K526" i="24"/>
  <c r="J526" i="24"/>
  <c r="N526" i="24" s="1" a="1"/>
  <c r="F526" i="24"/>
  <c r="U555" i="24"/>
  <c r="S555" i="24" a="1"/>
  <c r="O555" i="24" a="1"/>
  <c r="K555" i="24"/>
  <c r="J555" i="24"/>
  <c r="N555" i="24" s="1" a="1"/>
  <c r="F555" i="24"/>
  <c r="U540" i="24"/>
  <c r="S540" i="24" a="1"/>
  <c r="O540" i="24" a="1"/>
  <c r="J540" i="24"/>
  <c r="N540" i="24" s="1" a="1"/>
  <c r="F540" i="24"/>
  <c r="U548" i="24"/>
  <c r="S548" i="24" a="1"/>
  <c r="O548" i="24" a="1"/>
  <c r="J548" i="24"/>
  <c r="N548" i="24" s="1" a="1"/>
  <c r="F548" i="24"/>
  <c r="U547" i="24"/>
  <c r="S547" i="24" a="1"/>
  <c r="O547" i="24" a="1"/>
  <c r="K547" i="24"/>
  <c r="J547" i="24"/>
  <c r="N547" i="24" s="1" a="1"/>
  <c r="F547" i="24"/>
  <c r="U531" i="24"/>
  <c r="S531" i="24" a="1"/>
  <c r="O531" i="24" a="1"/>
  <c r="K531" i="24"/>
  <c r="J531" i="24"/>
  <c r="N531" i="24" s="1" a="1"/>
  <c r="F531" i="24"/>
  <c r="U539" i="24"/>
  <c r="S539" i="24" a="1"/>
  <c r="O539" i="24" a="1"/>
  <c r="K539" i="24"/>
  <c r="J539" i="24"/>
  <c r="N539" i="24" s="1" a="1"/>
  <c r="F539" i="24"/>
  <c r="U545" i="24"/>
  <c r="S545" i="24" a="1"/>
  <c r="O545" i="24" a="1"/>
  <c r="K545" i="24"/>
  <c r="J545" i="24"/>
  <c r="N545" i="24" s="1" a="1"/>
  <c r="F545" i="24"/>
  <c r="U528" i="24"/>
  <c r="S528" i="24" a="1"/>
  <c r="O528" i="24" a="1"/>
  <c r="N528" i="24" a="1"/>
  <c r="F528" i="24"/>
  <c r="U530" i="24"/>
  <c r="S530" i="24" a="1"/>
  <c r="O530" i="24" a="1"/>
  <c r="K530" i="24"/>
  <c r="J530" i="24"/>
  <c r="N530" i="24" s="1" a="1"/>
  <c r="F530" i="24"/>
  <c r="U532" i="24"/>
  <c r="S532" i="24" a="1"/>
  <c r="O532" i="24" a="1"/>
  <c r="J532" i="24"/>
  <c r="N532" i="24" s="1" a="1"/>
  <c r="F532" i="24"/>
  <c r="U546" i="24"/>
  <c r="S546" i="24" a="1"/>
  <c r="O546" i="24" a="1"/>
  <c r="K546" i="24"/>
  <c r="J546" i="24"/>
  <c r="N546" i="24" s="1" a="1"/>
  <c r="F546" i="24"/>
  <c r="U542" i="24"/>
  <c r="S542" i="24" a="1"/>
  <c r="O542" i="24" a="1"/>
  <c r="K542" i="24"/>
  <c r="J542" i="24"/>
  <c r="N542" i="24" s="1" a="1"/>
  <c r="F542" i="24"/>
  <c r="U554" i="24"/>
  <c r="S554" i="24" a="1"/>
  <c r="O554" i="24" a="1"/>
  <c r="K554" i="24"/>
  <c r="J554" i="24"/>
  <c r="N554" i="24" s="1" a="1"/>
  <c r="F554" i="24"/>
  <c r="U535" i="24"/>
  <c r="S535" i="24" a="1"/>
  <c r="O535" i="24" a="1"/>
  <c r="K535" i="24"/>
  <c r="J535" i="24"/>
  <c r="N535" i="24" s="1" a="1"/>
  <c r="F535" i="24"/>
  <c r="U553" i="24"/>
  <c r="S553" i="24" a="1"/>
  <c r="O553" i="24" a="1"/>
  <c r="K553" i="24"/>
  <c r="J553" i="24"/>
  <c r="N553" i="24" s="1" a="1"/>
  <c r="F553" i="24"/>
  <c r="U534" i="24"/>
  <c r="S534" i="24" a="1"/>
  <c r="O534" i="24" a="1"/>
  <c r="K534" i="24"/>
  <c r="J534" i="24"/>
  <c r="N534" i="24" s="1" a="1"/>
  <c r="F534" i="24"/>
  <c r="U538" i="24"/>
  <c r="S538" i="24" a="1"/>
  <c r="O538" i="24" a="1"/>
  <c r="K538" i="24"/>
  <c r="J538" i="24"/>
  <c r="N538" i="24" s="1" a="1"/>
  <c r="F538" i="24"/>
  <c r="U537" i="24"/>
  <c r="S537" i="24" a="1"/>
  <c r="O537" i="24" a="1"/>
  <c r="K537" i="24"/>
  <c r="J537" i="24"/>
  <c r="N537" i="24" s="1" a="1"/>
  <c r="F537" i="24"/>
  <c r="U544" i="24"/>
  <c r="S544" i="24" a="1"/>
  <c r="O544" i="24" a="1"/>
  <c r="N544" i="24" a="1"/>
  <c r="F544" i="24"/>
  <c r="U541" i="24"/>
  <c r="S541" i="24" a="1"/>
  <c r="O541" i="24" a="1"/>
  <c r="K541" i="24"/>
  <c r="J541" i="24"/>
  <c r="N541" i="24" s="1" a="1"/>
  <c r="F541" i="24"/>
  <c r="U529" i="24"/>
  <c r="S529" i="24" a="1"/>
  <c r="O529" i="24" a="1"/>
  <c r="K529" i="24"/>
  <c r="J529" i="24"/>
  <c r="N529" i="24" s="1" a="1"/>
  <c r="F529" i="24"/>
  <c r="U514" i="24"/>
  <c r="S514" i="24" a="1"/>
  <c r="O514" i="24" a="1"/>
  <c r="K514" i="24"/>
  <c r="J514" i="24"/>
  <c r="N514" i="24" s="1" a="1"/>
  <c r="F514" i="24"/>
  <c r="U522" i="24"/>
  <c r="S522" i="24" a="1"/>
  <c r="O522" i="24" a="1"/>
  <c r="K522" i="24"/>
  <c r="J522" i="24"/>
  <c r="N522" i="24" s="1" a="1"/>
  <c r="F522" i="24"/>
  <c r="U524" i="24"/>
  <c r="S524" i="24" a="1"/>
  <c r="O524" i="24" a="1"/>
  <c r="K524" i="24"/>
  <c r="J524" i="24"/>
  <c r="N524" i="24" s="1" a="1"/>
  <c r="F524" i="24"/>
  <c r="U510" i="24"/>
  <c r="S510" i="24" a="1"/>
  <c r="O510" i="24" a="1"/>
  <c r="K510" i="24"/>
  <c r="J510" i="24"/>
  <c r="N510" i="24" s="1" a="1"/>
  <c r="F510" i="24"/>
  <c r="U515" i="24"/>
  <c r="S515" i="24" a="1"/>
  <c r="O515" i="24" a="1"/>
  <c r="K515" i="24"/>
  <c r="J515" i="24"/>
  <c r="N515" i="24" s="1" a="1"/>
  <c r="F515" i="24"/>
  <c r="U516" i="24"/>
  <c r="S516" i="24" a="1"/>
  <c r="O516" i="24" a="1"/>
  <c r="K516" i="24"/>
  <c r="J516" i="24"/>
  <c r="N516" i="24" s="1" a="1"/>
  <c r="F516" i="24"/>
  <c r="U521" i="24"/>
  <c r="S521" i="24" a="1"/>
  <c r="O521" i="24" a="1"/>
  <c r="K521" i="24"/>
  <c r="J521" i="24"/>
  <c r="N521" i="24" s="1" a="1"/>
  <c r="F521" i="24"/>
  <c r="U520" i="24"/>
  <c r="S520" i="24" a="1"/>
  <c r="O520" i="24" a="1"/>
  <c r="K520" i="24"/>
  <c r="J520" i="24"/>
  <c r="N520" i="24" s="1" a="1"/>
  <c r="F520" i="24"/>
  <c r="U513" i="24"/>
  <c r="S513" i="24" a="1"/>
  <c r="O513" i="24" a="1"/>
  <c r="K513" i="24"/>
  <c r="J513" i="24"/>
  <c r="N513" i="24" s="1" a="1"/>
  <c r="F513" i="24"/>
  <c r="U512" i="24"/>
  <c r="S512" i="24" a="1"/>
  <c r="O512" i="24" a="1"/>
  <c r="K512" i="24"/>
  <c r="J512" i="24"/>
  <c r="N512" i="24" s="1" a="1"/>
  <c r="F512" i="24"/>
  <c r="U518" i="24"/>
  <c r="S518" i="24" a="1"/>
  <c r="O518" i="24" a="1"/>
  <c r="K518" i="24"/>
  <c r="J518" i="24"/>
  <c r="N518" i="24" s="1" a="1"/>
  <c r="F518" i="24"/>
  <c r="U523" i="24"/>
  <c r="S523" i="24" a="1"/>
  <c r="O523" i="24" a="1"/>
  <c r="K523" i="24"/>
  <c r="J523" i="24"/>
  <c r="N523" i="24" s="1" a="1"/>
  <c r="F523" i="24"/>
  <c r="U517" i="24"/>
  <c r="S517" i="24" a="1"/>
  <c r="O517" i="24" a="1"/>
  <c r="K517" i="24"/>
  <c r="J517" i="24"/>
  <c r="N517" i="24" s="1" a="1"/>
  <c r="F517" i="24"/>
  <c r="U511" i="24"/>
  <c r="S511" i="24" a="1"/>
  <c r="O511" i="24" a="1"/>
  <c r="K511" i="24"/>
  <c r="J511" i="24"/>
  <c r="N511" i="24" s="1" a="1"/>
  <c r="F511" i="24"/>
  <c r="U519" i="24"/>
  <c r="S519" i="24" a="1"/>
  <c r="O519" i="24" a="1"/>
  <c r="K519" i="24"/>
  <c r="J519" i="24"/>
  <c r="N519" i="24" s="1" a="1"/>
  <c r="F519" i="24"/>
  <c r="U507" i="24"/>
  <c r="S507" i="24" a="1"/>
  <c r="O507" i="24" a="1"/>
  <c r="K507" i="24"/>
  <c r="J507" i="24"/>
  <c r="N507" i="24" s="1" a="1"/>
  <c r="F507" i="24"/>
  <c r="U508" i="24"/>
  <c r="S508" i="24" a="1"/>
  <c r="O508" i="24" a="1"/>
  <c r="K508" i="24"/>
  <c r="J508" i="24"/>
  <c r="N508" i="24" s="1" a="1"/>
  <c r="F508" i="24"/>
  <c r="U509" i="24"/>
  <c r="S509" i="24" a="1"/>
  <c r="O509" i="24" a="1"/>
  <c r="K509" i="24"/>
  <c r="J509" i="24"/>
  <c r="N509" i="24" s="1" a="1"/>
  <c r="F509" i="24"/>
  <c r="U504" i="24"/>
  <c r="S504" i="24" a="1"/>
  <c r="O504" i="24" a="1"/>
  <c r="K504" i="24"/>
  <c r="J504" i="24"/>
  <c r="N504" i="24" s="1" a="1"/>
  <c r="F504" i="24"/>
  <c r="U502" i="24"/>
  <c r="S502" i="24" a="1"/>
  <c r="O502" i="24" a="1"/>
  <c r="K502" i="24"/>
  <c r="J502" i="24"/>
  <c r="N502" i="24" s="1" a="1"/>
  <c r="F502" i="24"/>
  <c r="U503" i="24"/>
  <c r="S503" i="24" a="1"/>
  <c r="O503" i="24" a="1"/>
  <c r="N503" i="24" a="1"/>
  <c r="F503" i="24"/>
  <c r="U506" i="24"/>
  <c r="S506" i="24" a="1"/>
  <c r="O506" i="24" a="1"/>
  <c r="K506" i="24"/>
  <c r="J506" i="24"/>
  <c r="N506" i="24" s="1" a="1"/>
  <c r="F506" i="24"/>
  <c r="U505" i="24"/>
  <c r="S505" i="24" a="1"/>
  <c r="O505" i="24" a="1"/>
  <c r="K505" i="24"/>
  <c r="J505" i="24"/>
  <c r="N505" i="24" s="1" a="1"/>
  <c r="F505" i="24"/>
  <c r="U501" i="24"/>
  <c r="S501" i="24" a="1"/>
  <c r="O501" i="24" a="1"/>
  <c r="K501" i="24"/>
  <c r="J501" i="24"/>
  <c r="N501" i="24" s="1" a="1"/>
  <c r="F501" i="24"/>
  <c r="U500" i="24"/>
  <c r="S500" i="24" a="1"/>
  <c r="O500" i="24" a="1"/>
  <c r="K500" i="24"/>
  <c r="J500" i="24"/>
  <c r="N500" i="24" s="1" a="1"/>
  <c r="F500" i="24"/>
  <c r="U499" i="24"/>
  <c r="S499" i="24" a="1"/>
  <c r="O499" i="24" a="1"/>
  <c r="K499" i="24"/>
  <c r="J499" i="24"/>
  <c r="N499" i="24" s="1" a="1"/>
  <c r="F499" i="24"/>
  <c r="U498" i="24"/>
  <c r="S498" i="24" a="1"/>
  <c r="O498" i="24" a="1"/>
  <c r="K498" i="24"/>
  <c r="J498" i="24"/>
  <c r="N498" i="24" s="1" a="1"/>
  <c r="F498" i="24"/>
  <c r="U495" i="24"/>
  <c r="S495" i="24" a="1"/>
  <c r="O495" i="24" a="1"/>
  <c r="N495" i="24" a="1"/>
  <c r="F495" i="24"/>
  <c r="U494" i="24"/>
  <c r="S494" i="24" a="1"/>
  <c r="O494" i="24" a="1"/>
  <c r="K494" i="24"/>
  <c r="J494" i="24"/>
  <c r="N494" i="24" s="1" a="1"/>
  <c r="F494" i="24"/>
  <c r="U490" i="24"/>
  <c r="S490" i="24" a="1"/>
  <c r="O490" i="24" a="1"/>
  <c r="K490" i="24"/>
  <c r="J490" i="24"/>
  <c r="N490" i="24" s="1" a="1"/>
  <c r="F490" i="24"/>
  <c r="U488" i="24"/>
  <c r="S488" i="24" a="1"/>
  <c r="O488" i="24" a="1"/>
  <c r="N488" i="24" a="1"/>
  <c r="F488" i="24"/>
  <c r="U497" i="24"/>
  <c r="S497" i="24" a="1"/>
  <c r="O497" i="24" a="1"/>
  <c r="K497" i="24"/>
  <c r="J497" i="24"/>
  <c r="N497" i="24" s="1" a="1"/>
  <c r="F497" i="24"/>
  <c r="U493" i="24"/>
  <c r="S493" i="24" a="1"/>
  <c r="O493" i="24" a="1"/>
  <c r="K493" i="24"/>
  <c r="J493" i="24"/>
  <c r="N493" i="24" s="1" a="1"/>
  <c r="F493" i="24"/>
  <c r="U496" i="24"/>
  <c r="S496" i="24" a="1"/>
  <c r="O496" i="24" a="1"/>
  <c r="K496" i="24"/>
  <c r="J496" i="24"/>
  <c r="N496" i="24" s="1" a="1"/>
  <c r="F496" i="24"/>
  <c r="U492" i="24"/>
  <c r="S492" i="24" a="1"/>
  <c r="O492" i="24" a="1"/>
  <c r="K492" i="24"/>
  <c r="J492" i="24"/>
  <c r="N492" i="24" s="1" a="1"/>
  <c r="F492" i="24"/>
  <c r="U489" i="24"/>
  <c r="S489" i="24" a="1"/>
  <c r="O489" i="24" a="1"/>
  <c r="K489" i="24"/>
  <c r="J489" i="24"/>
  <c r="N489" i="24" s="1" a="1"/>
  <c r="F489" i="24"/>
  <c r="U491" i="24"/>
  <c r="S491" i="24" a="1"/>
  <c r="O491" i="24" a="1"/>
  <c r="K491" i="24"/>
  <c r="J491" i="24"/>
  <c r="N491" i="24" s="1" a="1"/>
  <c r="F491" i="24"/>
  <c r="U487" i="24"/>
  <c r="S487" i="24" a="1"/>
  <c r="O487" i="24" a="1"/>
  <c r="K487" i="24"/>
  <c r="J487" i="24"/>
  <c r="N487" i="24" s="1" a="1"/>
  <c r="F487" i="24"/>
  <c r="U478" i="24"/>
  <c r="S478" i="24" a="1"/>
  <c r="O478" i="24" a="1"/>
  <c r="K478" i="24"/>
  <c r="J478" i="24"/>
  <c r="N478" i="24" s="1" a="1"/>
  <c r="F478" i="24"/>
  <c r="U485" i="24"/>
  <c r="S485" i="24" a="1"/>
  <c r="O485" i="24" a="1"/>
  <c r="J485" i="24"/>
  <c r="N485" i="24" s="1" a="1"/>
  <c r="F485" i="24"/>
  <c r="U482" i="24"/>
  <c r="S482" i="24" a="1"/>
  <c r="O482" i="24" a="1"/>
  <c r="J482" i="24"/>
  <c r="N482" i="24" s="1" a="1"/>
  <c r="F482" i="24"/>
  <c r="U479" i="24"/>
  <c r="S479" i="24" a="1"/>
  <c r="O479" i="24" a="1"/>
  <c r="K479" i="24"/>
  <c r="J479" i="24"/>
  <c r="N479" i="24" s="1" a="1"/>
  <c r="F479" i="24"/>
  <c r="U476" i="24"/>
  <c r="S476" i="24" a="1"/>
  <c r="O476" i="24" a="1"/>
  <c r="N476" i="24" a="1"/>
  <c r="F476" i="24"/>
  <c r="U468" i="24"/>
  <c r="S468" i="24" a="1"/>
  <c r="O468" i="24" a="1"/>
  <c r="K468" i="24"/>
  <c r="J468" i="24"/>
  <c r="N468" i="24" s="1" a="1"/>
  <c r="F468" i="24"/>
  <c r="U475" i="24"/>
  <c r="S475" i="24" a="1"/>
  <c r="O475" i="24" a="1"/>
  <c r="K475" i="24"/>
  <c r="J475" i="24"/>
  <c r="N475" i="24" s="1" a="1"/>
  <c r="F475" i="24"/>
  <c r="U469" i="24"/>
  <c r="S469" i="24" a="1"/>
  <c r="O469" i="24" a="1"/>
  <c r="N469" i="24" a="1"/>
  <c r="F469" i="24"/>
  <c r="U480" i="24"/>
  <c r="S480" i="24" a="1"/>
  <c r="O480" i="24" a="1"/>
  <c r="K480" i="24"/>
  <c r="J480" i="24"/>
  <c r="N480" i="24" s="1" a="1"/>
  <c r="F480" i="24"/>
  <c r="U483" i="24"/>
  <c r="S483" i="24" a="1"/>
  <c r="O483" i="24" a="1"/>
  <c r="K483" i="24"/>
  <c r="J483" i="24"/>
  <c r="N483" i="24" s="1" a="1"/>
  <c r="F483" i="24"/>
  <c r="U471" i="24"/>
  <c r="S471" i="24" a="1"/>
  <c r="O471" i="24" a="1"/>
  <c r="K471" i="24"/>
  <c r="J471" i="24"/>
  <c r="N471" i="24" s="1" a="1"/>
  <c r="F471" i="24"/>
  <c r="U472" i="24"/>
  <c r="S472" i="24" a="1"/>
  <c r="O472" i="24" a="1"/>
  <c r="K472" i="24"/>
  <c r="J472" i="24"/>
  <c r="N472" i="24" s="1" a="1"/>
  <c r="F472" i="24"/>
  <c r="U466" i="24"/>
  <c r="S466" i="24" a="1"/>
  <c r="O466" i="24" a="1"/>
  <c r="K466" i="24"/>
  <c r="J466" i="24"/>
  <c r="N466" i="24" s="1" a="1"/>
  <c r="F466" i="24"/>
  <c r="U467" i="24"/>
  <c r="S467" i="24" a="1"/>
  <c r="O467" i="24" a="1"/>
  <c r="K467" i="24"/>
  <c r="J467" i="24"/>
  <c r="N467" i="24" s="1" a="1"/>
  <c r="F467" i="24"/>
  <c r="U474" i="24"/>
  <c r="S474" i="24" a="1"/>
  <c r="O474" i="24" a="1"/>
  <c r="N474" i="24" a="1"/>
  <c r="F474" i="24"/>
  <c r="U470" i="24"/>
  <c r="S470" i="24" a="1"/>
  <c r="O470" i="24" a="1"/>
  <c r="N470" i="24" a="1"/>
  <c r="F470" i="24"/>
  <c r="U465" i="24"/>
  <c r="S465" i="24" a="1"/>
  <c r="O465" i="24" a="1"/>
  <c r="K465" i="24"/>
  <c r="J465" i="24"/>
  <c r="N465" i="24" s="1" a="1"/>
  <c r="F465" i="24"/>
  <c r="U477" i="24"/>
  <c r="S477" i="24" a="1"/>
  <c r="O477" i="24" a="1"/>
  <c r="K477" i="24"/>
  <c r="J477" i="24"/>
  <c r="N477" i="24" s="1" a="1"/>
  <c r="F477" i="24"/>
  <c r="U473" i="24"/>
  <c r="S473" i="24" a="1"/>
  <c r="O473" i="24" a="1"/>
  <c r="K473" i="24"/>
  <c r="J473" i="24"/>
  <c r="N473" i="24" s="1" a="1"/>
  <c r="F473" i="24"/>
  <c r="U481" i="24"/>
  <c r="S481" i="24" a="1"/>
  <c r="O481" i="24" a="1"/>
  <c r="K481" i="24"/>
  <c r="J481" i="24"/>
  <c r="N481" i="24" s="1" a="1"/>
  <c r="F481" i="24"/>
  <c r="U484" i="24"/>
  <c r="S484" i="24" a="1"/>
  <c r="O484" i="24" a="1"/>
  <c r="K484" i="24"/>
  <c r="J484" i="24"/>
  <c r="N484" i="24" s="1" a="1"/>
  <c r="F484" i="24"/>
  <c r="U486" i="24"/>
  <c r="S486" i="24" a="1"/>
  <c r="O486" i="24" a="1"/>
  <c r="K486" i="24"/>
  <c r="J486" i="24"/>
  <c r="N486" i="24" s="1" a="1"/>
  <c r="F486" i="24"/>
  <c r="U438" i="24"/>
  <c r="S438" i="24" a="1"/>
  <c r="O438" i="24" a="1"/>
  <c r="K438" i="24"/>
  <c r="J438" i="24"/>
  <c r="N438" i="24" s="1" a="1"/>
  <c r="F438" i="24"/>
  <c r="U459" i="24"/>
  <c r="S459" i="24" a="1"/>
  <c r="O459" i="24" a="1"/>
  <c r="K459" i="24"/>
  <c r="J459" i="24"/>
  <c r="N459" i="24" s="1" a="1"/>
  <c r="F459" i="24"/>
  <c r="U441" i="24"/>
  <c r="S441" i="24" a="1"/>
  <c r="O441" i="24" a="1"/>
  <c r="K441" i="24"/>
  <c r="J441" i="24"/>
  <c r="N441" i="24" s="1" a="1"/>
  <c r="F441" i="24"/>
  <c r="U440" i="24"/>
  <c r="S440" i="24" a="1"/>
  <c r="O440" i="24" a="1"/>
  <c r="K440" i="24"/>
  <c r="J440" i="24"/>
  <c r="N440" i="24" s="1" a="1"/>
  <c r="F440" i="24"/>
  <c r="U449" i="24"/>
  <c r="S449" i="24" a="1"/>
  <c r="O449" i="24" a="1"/>
  <c r="J449" i="24"/>
  <c r="N449" i="24" s="1" a="1"/>
  <c r="F449" i="24"/>
  <c r="U439" i="24"/>
  <c r="S439" i="24" a="1"/>
  <c r="O439" i="24" a="1"/>
  <c r="N439" i="24" a="1"/>
  <c r="F439" i="24"/>
  <c r="U443" i="24"/>
  <c r="S443" i="24" a="1"/>
  <c r="O443" i="24" a="1"/>
  <c r="K443" i="24"/>
  <c r="J443" i="24"/>
  <c r="N443" i="24" s="1" a="1"/>
  <c r="F443" i="24"/>
  <c r="U448" i="24"/>
  <c r="S448" i="24" a="1"/>
  <c r="O448" i="24" a="1"/>
  <c r="K448" i="24"/>
  <c r="J448" i="24"/>
  <c r="N448" i="24" s="1" a="1"/>
  <c r="F448" i="24"/>
  <c r="U447" i="24"/>
  <c r="S447" i="24" a="1"/>
  <c r="O447" i="24" a="1"/>
  <c r="K447" i="24"/>
  <c r="J447" i="24"/>
  <c r="N447" i="24" s="1" a="1"/>
  <c r="F447" i="24"/>
  <c r="U446" i="24"/>
  <c r="S446" i="24" a="1"/>
  <c r="O446" i="24" a="1"/>
  <c r="K446" i="24"/>
  <c r="J446" i="24"/>
  <c r="N446" i="24" s="1" a="1"/>
  <c r="F446" i="24"/>
  <c r="U463" i="24"/>
  <c r="S463" i="24" a="1"/>
  <c r="O463" i="24" a="1"/>
  <c r="K463" i="24"/>
  <c r="J463" i="24"/>
  <c r="N463" i="24" s="1" a="1"/>
  <c r="F463" i="24"/>
  <c r="U454" i="24"/>
  <c r="S454" i="24" a="1"/>
  <c r="O454" i="24" a="1"/>
  <c r="K454" i="24"/>
  <c r="J454" i="24"/>
  <c r="N454" i="24" s="1" a="1"/>
  <c r="F454" i="24"/>
  <c r="U464" i="24"/>
  <c r="S464" i="24" a="1"/>
  <c r="O464" i="24" a="1"/>
  <c r="K464" i="24"/>
  <c r="J464" i="24"/>
  <c r="N464" i="24" s="1" a="1"/>
  <c r="F464" i="24"/>
  <c r="U460" i="24"/>
  <c r="S460" i="24" a="1"/>
  <c r="O460" i="24" a="1"/>
  <c r="K460" i="24"/>
  <c r="J460" i="24"/>
  <c r="N460" i="24" s="1" a="1"/>
  <c r="F460" i="24"/>
  <c r="U444" i="24"/>
  <c r="S444" i="24" a="1"/>
  <c r="O444" i="24" a="1"/>
  <c r="N444" i="24" a="1"/>
  <c r="F444" i="24"/>
  <c r="U462" i="24"/>
  <c r="S462" i="24" a="1"/>
  <c r="O462" i="24" a="1"/>
  <c r="K462" i="24"/>
  <c r="J462" i="24"/>
  <c r="N462" i="24" s="1" a="1"/>
  <c r="F462" i="24"/>
  <c r="U457" i="24"/>
  <c r="S457" i="24" a="1"/>
  <c r="O457" i="24" a="1"/>
  <c r="N457" i="24" a="1"/>
  <c r="F457" i="24"/>
  <c r="U456" i="24"/>
  <c r="S456" i="24" a="1"/>
  <c r="O456" i="24" a="1"/>
  <c r="N456" i="24" a="1"/>
  <c r="F456" i="24"/>
  <c r="U452" i="24"/>
  <c r="S452" i="24" a="1"/>
  <c r="O452" i="24" a="1"/>
  <c r="K452" i="24"/>
  <c r="J452" i="24"/>
  <c r="N452" i="24" s="1" a="1"/>
  <c r="F452" i="24"/>
  <c r="U445" i="24"/>
  <c r="S445" i="24" a="1"/>
  <c r="O445" i="24" a="1"/>
  <c r="K445" i="24"/>
  <c r="J445" i="24"/>
  <c r="N445" i="24" s="1" a="1"/>
  <c r="F445" i="24"/>
  <c r="U458" i="24"/>
  <c r="S458" i="24" a="1"/>
  <c r="O458" i="24" a="1"/>
  <c r="J458" i="24"/>
  <c r="N458" i="24" s="1" a="1"/>
  <c r="F458" i="24"/>
  <c r="U453" i="24"/>
  <c r="S453" i="24" a="1"/>
  <c r="O453" i="24" a="1"/>
  <c r="K453" i="24"/>
  <c r="J453" i="24"/>
  <c r="N453" i="24" s="1" a="1"/>
  <c r="F453" i="24"/>
  <c r="U451" i="24"/>
  <c r="S451" i="24" a="1"/>
  <c r="O451" i="24" a="1"/>
  <c r="K451" i="24"/>
  <c r="J451" i="24"/>
  <c r="N451" i="24" s="1" a="1"/>
  <c r="F451" i="24"/>
  <c r="U450" i="24"/>
  <c r="S450" i="24" a="1"/>
  <c r="O450" i="24" a="1"/>
  <c r="K450" i="24"/>
  <c r="J450" i="24"/>
  <c r="N450" i="24" s="1" a="1"/>
  <c r="F450" i="24"/>
  <c r="U442" i="24"/>
  <c r="S442" i="24" a="1"/>
  <c r="O442" i="24" a="1"/>
  <c r="K442" i="24"/>
  <c r="J442" i="24"/>
  <c r="N442" i="24" s="1" a="1"/>
  <c r="F442" i="24"/>
  <c r="U461" i="24"/>
  <c r="S461" i="24" a="1"/>
  <c r="O461" i="24" a="1"/>
  <c r="K461" i="24"/>
  <c r="J461" i="24"/>
  <c r="N461" i="24" s="1" a="1"/>
  <c r="F461" i="24"/>
  <c r="U437" i="24"/>
  <c r="S437" i="24" a="1"/>
  <c r="O437" i="24" a="1"/>
  <c r="N437" i="24" a="1"/>
  <c r="F437" i="24"/>
  <c r="U455" i="24"/>
  <c r="S455" i="24" a="1"/>
  <c r="O455" i="24" a="1"/>
  <c r="K455" i="24"/>
  <c r="J455" i="24"/>
  <c r="N455" i="24" s="1" a="1"/>
  <c r="F455" i="24"/>
  <c r="U433" i="24"/>
  <c r="S433" i="24" a="1"/>
  <c r="O433" i="24" a="1"/>
  <c r="K433" i="24"/>
  <c r="J433" i="24"/>
  <c r="N433" i="24" s="1" a="1"/>
  <c r="F433" i="24"/>
  <c r="U436" i="24"/>
  <c r="S436" i="24" a="1"/>
  <c r="O436" i="24" a="1"/>
  <c r="K436" i="24"/>
  <c r="J436" i="24"/>
  <c r="N436" i="24" s="1" a="1"/>
  <c r="F436" i="24"/>
  <c r="U432" i="24"/>
  <c r="S432" i="24" a="1"/>
  <c r="O432" i="24" a="1"/>
  <c r="K432" i="24"/>
  <c r="J432" i="24"/>
  <c r="N432" i="24" s="1" a="1"/>
  <c r="F432" i="24"/>
  <c r="U428" i="24"/>
  <c r="S428" i="24" a="1"/>
  <c r="O428" i="24" a="1"/>
  <c r="K428" i="24"/>
  <c r="J428" i="24"/>
  <c r="N428" i="24" s="1" a="1"/>
  <c r="F428" i="24"/>
  <c r="U424" i="24"/>
  <c r="S424" i="24" a="1"/>
  <c r="O424" i="24" a="1"/>
  <c r="K424" i="24"/>
  <c r="J424" i="24"/>
  <c r="N424" i="24" s="1" a="1"/>
  <c r="F424" i="24"/>
  <c r="U434" i="24"/>
  <c r="S434" i="24" a="1"/>
  <c r="O434" i="24" a="1"/>
  <c r="K434" i="24"/>
  <c r="J434" i="24"/>
  <c r="N434" i="24" s="1" a="1"/>
  <c r="F434" i="24"/>
  <c r="U435" i="24"/>
  <c r="S435" i="24" a="1"/>
  <c r="O435" i="24" a="1"/>
  <c r="K435" i="24"/>
  <c r="J435" i="24"/>
  <c r="N435" i="24" s="1" a="1"/>
  <c r="F435" i="24"/>
  <c r="U431" i="24"/>
  <c r="S431" i="24" a="1"/>
  <c r="O431" i="24" a="1"/>
  <c r="K431" i="24"/>
  <c r="J431" i="24"/>
  <c r="N431" i="24" s="1" a="1"/>
  <c r="F431" i="24"/>
  <c r="U429" i="24"/>
  <c r="S429" i="24" a="1"/>
  <c r="O429" i="24" a="1"/>
  <c r="K429" i="24"/>
  <c r="J429" i="24"/>
  <c r="N429" i="24" s="1" a="1"/>
  <c r="F429" i="24"/>
  <c r="U430" i="24"/>
  <c r="S430" i="24" a="1"/>
  <c r="O430" i="24" a="1"/>
  <c r="K430" i="24"/>
  <c r="J430" i="24"/>
  <c r="N430" i="24" s="1" a="1"/>
  <c r="F430" i="24"/>
  <c r="U427" i="24"/>
  <c r="S427" i="24" a="1"/>
  <c r="O427" i="24" a="1"/>
  <c r="K427" i="24"/>
  <c r="J427" i="24"/>
  <c r="N427" i="24" s="1" a="1"/>
  <c r="F427" i="24"/>
  <c r="U426" i="24"/>
  <c r="S426" i="24" a="1"/>
  <c r="O426" i="24" a="1"/>
  <c r="N426" i="24" a="1"/>
  <c r="F426" i="24"/>
  <c r="U425" i="24"/>
  <c r="S425" i="24" a="1"/>
  <c r="O425" i="24" a="1"/>
  <c r="N425" i="24" a="1"/>
  <c r="F425" i="24"/>
  <c r="U423" i="24"/>
  <c r="S423" i="24" a="1"/>
  <c r="O423" i="24" a="1"/>
  <c r="K423" i="24"/>
  <c r="J423" i="24"/>
  <c r="N423" i="24" s="1" a="1"/>
  <c r="F423" i="24"/>
  <c r="U421" i="24"/>
  <c r="S421" i="24" a="1"/>
  <c r="O421" i="24" a="1"/>
  <c r="K421" i="24"/>
  <c r="J421" i="24"/>
  <c r="N421" i="24" s="1" a="1"/>
  <c r="F421" i="24"/>
  <c r="U422" i="24"/>
  <c r="S422" i="24" a="1"/>
  <c r="O422" i="24" a="1"/>
  <c r="K422" i="24"/>
  <c r="J422" i="24"/>
  <c r="N422" i="24" s="1" a="1"/>
  <c r="F422" i="24"/>
  <c r="U420" i="24"/>
  <c r="S420" i="24" a="1"/>
  <c r="O420" i="24" a="1"/>
  <c r="K420" i="24"/>
  <c r="J420" i="24"/>
  <c r="N420" i="24" s="1" a="1"/>
  <c r="F420" i="24"/>
  <c r="U419" i="24"/>
  <c r="S419" i="24" a="1"/>
  <c r="O419" i="24" a="1"/>
  <c r="J419" i="24"/>
  <c r="N419" i="24" s="1" a="1"/>
  <c r="F419" i="24"/>
  <c r="U418" i="24"/>
  <c r="S418" i="24" a="1"/>
  <c r="O418" i="24" a="1"/>
  <c r="K418" i="24"/>
  <c r="J418" i="24"/>
  <c r="N418" i="24" s="1" a="1"/>
  <c r="F418" i="24"/>
  <c r="U415" i="24"/>
  <c r="S415" i="24" a="1"/>
  <c r="O415" i="24" a="1"/>
  <c r="K415" i="24"/>
  <c r="J415" i="24"/>
  <c r="N415" i="24" s="1" a="1"/>
  <c r="F415" i="24"/>
  <c r="U409" i="24"/>
  <c r="S409" i="24" a="1"/>
  <c r="O409" i="24" a="1"/>
  <c r="N409" i="24" a="1"/>
  <c r="F409" i="24"/>
  <c r="U416" i="24"/>
  <c r="S416" i="24" a="1"/>
  <c r="O416" i="24" a="1"/>
  <c r="K416" i="24"/>
  <c r="J416" i="24"/>
  <c r="N416" i="24" s="1" a="1"/>
  <c r="F416" i="24"/>
  <c r="U411" i="24"/>
  <c r="S411" i="24" a="1"/>
  <c r="O411" i="24" a="1"/>
  <c r="K411" i="24"/>
  <c r="J411" i="24"/>
  <c r="N411" i="24" s="1" a="1"/>
  <c r="F411" i="24"/>
  <c r="U406" i="24"/>
  <c r="S406" i="24" a="1"/>
  <c r="O406" i="24" a="1"/>
  <c r="K406" i="24"/>
  <c r="J406" i="24"/>
  <c r="N406" i="24" s="1" a="1"/>
  <c r="F406" i="24"/>
  <c r="U413" i="24"/>
  <c r="S413" i="24" a="1"/>
  <c r="O413" i="24" a="1"/>
  <c r="K413" i="24"/>
  <c r="J413" i="24"/>
  <c r="N413" i="24" s="1" a="1"/>
  <c r="F413" i="24"/>
  <c r="U410" i="24"/>
  <c r="S410" i="24" a="1"/>
  <c r="O410" i="24" a="1"/>
  <c r="K410" i="24"/>
  <c r="J410" i="24"/>
  <c r="N410" i="24" s="1" a="1"/>
  <c r="F410" i="24"/>
  <c r="U408" i="24"/>
  <c r="S408" i="24" a="1"/>
  <c r="O408" i="24" a="1"/>
  <c r="K408" i="24"/>
  <c r="J408" i="24"/>
  <c r="N408" i="24" s="1" a="1"/>
  <c r="F408" i="24"/>
  <c r="U412" i="24"/>
  <c r="S412" i="24" a="1"/>
  <c r="O412" i="24" a="1"/>
  <c r="K412" i="24"/>
  <c r="J412" i="24"/>
  <c r="N412" i="24" s="1" a="1"/>
  <c r="F412" i="24"/>
  <c r="U414" i="24"/>
  <c r="S414" i="24" a="1"/>
  <c r="O414" i="24" a="1"/>
  <c r="N414" i="24" a="1"/>
  <c r="F414" i="24"/>
  <c r="U407" i="24"/>
  <c r="S407" i="24" a="1"/>
  <c r="O407" i="24" a="1"/>
  <c r="K407" i="24"/>
  <c r="J407" i="24"/>
  <c r="N407" i="24" s="1" a="1"/>
  <c r="F407" i="24"/>
  <c r="U417" i="24"/>
  <c r="S417" i="24" a="1"/>
  <c r="O417" i="24" a="1"/>
  <c r="J417" i="24"/>
  <c r="N417" i="24" s="1" a="1"/>
  <c r="F417" i="24"/>
  <c r="U389" i="24"/>
  <c r="S389" i="24" a="1"/>
  <c r="O389" i="24" a="1"/>
  <c r="N389" i="24" a="1"/>
  <c r="F389" i="24"/>
  <c r="U403" i="24"/>
  <c r="S403" i="24" a="1"/>
  <c r="O403" i="24" a="1"/>
  <c r="N403" i="24" a="1"/>
  <c r="F403" i="24"/>
  <c r="U404" i="24"/>
  <c r="S404" i="24" a="1"/>
  <c r="O404" i="24" a="1"/>
  <c r="K404" i="24"/>
  <c r="J404" i="24"/>
  <c r="N404" i="24" s="1" a="1"/>
  <c r="F404" i="24"/>
  <c r="U388" i="24"/>
  <c r="S388" i="24" a="1"/>
  <c r="O388" i="24" a="1"/>
  <c r="K388" i="24"/>
  <c r="J388" i="24"/>
  <c r="N388" i="24" s="1" a="1"/>
  <c r="F388" i="24"/>
  <c r="U397" i="24"/>
  <c r="S397" i="24" a="1"/>
  <c r="O397" i="24" a="1"/>
  <c r="K397" i="24"/>
  <c r="J397" i="24"/>
  <c r="N397" i="24" s="1" a="1"/>
  <c r="F397" i="24"/>
  <c r="U398" i="24"/>
  <c r="S398" i="24" a="1"/>
  <c r="O398" i="24" a="1"/>
  <c r="K398" i="24"/>
  <c r="J398" i="24"/>
  <c r="N398" i="24" s="1" a="1"/>
  <c r="F398" i="24"/>
  <c r="U384" i="24"/>
  <c r="S384" i="24" a="1"/>
  <c r="O384" i="24" a="1"/>
  <c r="K384" i="24"/>
  <c r="J384" i="24"/>
  <c r="N384" i="24" s="1" a="1"/>
  <c r="F384" i="24"/>
  <c r="U402" i="24"/>
  <c r="S402" i="24" a="1"/>
  <c r="O402" i="24" a="1"/>
  <c r="K402" i="24"/>
  <c r="J402" i="24"/>
  <c r="N402" i="24" s="1" a="1"/>
  <c r="F402" i="24"/>
  <c r="U395" i="24"/>
  <c r="S395" i="24" a="1"/>
  <c r="O395" i="24" a="1"/>
  <c r="K395" i="24"/>
  <c r="J395" i="24"/>
  <c r="N395" i="24" s="1" a="1"/>
  <c r="F395" i="24"/>
  <c r="U394" i="24"/>
  <c r="S394" i="24" a="1"/>
  <c r="O394" i="24" a="1"/>
  <c r="K394" i="24"/>
  <c r="J394" i="24"/>
  <c r="N394" i="24" s="1" a="1"/>
  <c r="F394" i="24"/>
  <c r="U396" i="24"/>
  <c r="S396" i="24" a="1"/>
  <c r="O396" i="24" a="1"/>
  <c r="K396" i="24"/>
  <c r="J396" i="24"/>
  <c r="N396" i="24" s="1" a="1"/>
  <c r="F396" i="24"/>
  <c r="U385" i="24"/>
  <c r="S385" i="24" a="1"/>
  <c r="O385" i="24" a="1"/>
  <c r="K385" i="24"/>
  <c r="J385" i="24"/>
  <c r="N385" i="24" s="1" a="1"/>
  <c r="F385" i="24"/>
  <c r="U401" i="24"/>
  <c r="S401" i="24" a="1"/>
  <c r="O401" i="24" a="1"/>
  <c r="K401" i="24"/>
  <c r="J401" i="24"/>
  <c r="N401" i="24" s="1" a="1"/>
  <c r="F401" i="24"/>
  <c r="U393" i="24"/>
  <c r="S393" i="24" a="1"/>
  <c r="O393" i="24" a="1"/>
  <c r="K393" i="24"/>
  <c r="J393" i="24"/>
  <c r="N393" i="24" s="1" a="1"/>
  <c r="F393" i="24"/>
  <c r="U392" i="24"/>
  <c r="S392" i="24" a="1"/>
  <c r="O392" i="24" a="1"/>
  <c r="K392" i="24"/>
  <c r="J392" i="24"/>
  <c r="N392" i="24" s="1" a="1"/>
  <c r="F392" i="24"/>
  <c r="U400" i="24"/>
  <c r="S400" i="24" a="1"/>
  <c r="O400" i="24" a="1"/>
  <c r="K400" i="24"/>
  <c r="J400" i="24"/>
  <c r="N400" i="24" s="1" a="1"/>
  <c r="F400" i="24"/>
  <c r="U390" i="24"/>
  <c r="S390" i="24" a="1"/>
  <c r="O390" i="24" a="1"/>
  <c r="K390" i="24"/>
  <c r="J390" i="24"/>
  <c r="N390" i="24" s="1" a="1"/>
  <c r="F390" i="24"/>
  <c r="U391" i="24"/>
  <c r="S391" i="24" a="1"/>
  <c r="O391" i="24" a="1"/>
  <c r="K391" i="24"/>
  <c r="J391" i="24"/>
  <c r="N391" i="24" s="1" a="1"/>
  <c r="F391" i="24"/>
  <c r="U387" i="24"/>
  <c r="S387" i="24" a="1"/>
  <c r="O387" i="24" a="1"/>
  <c r="K387" i="24"/>
  <c r="J387" i="24"/>
  <c r="N387" i="24" s="1" a="1"/>
  <c r="F387" i="24"/>
  <c r="U382" i="24"/>
  <c r="S382" i="24" a="1"/>
  <c r="O382" i="24" a="1"/>
  <c r="K382" i="24"/>
  <c r="J382" i="24"/>
  <c r="N382" i="24" s="1" a="1"/>
  <c r="F382" i="24"/>
  <c r="U383" i="24"/>
  <c r="S383" i="24" a="1"/>
  <c r="O383" i="24" a="1"/>
  <c r="K383" i="24"/>
  <c r="J383" i="24"/>
  <c r="N383" i="24" s="1" a="1"/>
  <c r="F383" i="24"/>
  <c r="U386" i="24"/>
  <c r="S386" i="24" a="1"/>
  <c r="O386" i="24" a="1"/>
  <c r="J386" i="24"/>
  <c r="N386" i="24" s="1" a="1"/>
  <c r="F386" i="24"/>
  <c r="U405" i="24"/>
  <c r="S405" i="24" a="1"/>
  <c r="O405" i="24" a="1"/>
  <c r="N405" i="24" a="1"/>
  <c r="F405" i="24"/>
  <c r="U399" i="24"/>
  <c r="S399" i="24" a="1"/>
  <c r="O399" i="24" a="1"/>
  <c r="K399" i="24"/>
  <c r="J399" i="24"/>
  <c r="N399" i="24" s="1" a="1"/>
  <c r="F399" i="24"/>
  <c r="U375" i="24"/>
  <c r="S375" i="24" a="1"/>
  <c r="O375" i="24" a="1"/>
  <c r="K375" i="24"/>
  <c r="J375" i="24"/>
  <c r="N375" i="24" s="1" a="1"/>
  <c r="F375" i="24"/>
  <c r="U374" i="24"/>
  <c r="S374" i="24" a="1"/>
  <c r="O374" i="24" a="1"/>
  <c r="K374" i="24"/>
  <c r="J374" i="24"/>
  <c r="N374" i="24" s="1" a="1"/>
  <c r="F374" i="24"/>
  <c r="U370" i="24"/>
  <c r="S370" i="24" a="1"/>
  <c r="O370" i="24" a="1"/>
  <c r="K370" i="24"/>
  <c r="J370" i="24"/>
  <c r="N370" i="24" s="1" a="1"/>
  <c r="F370" i="24"/>
  <c r="U369" i="24"/>
  <c r="S369" i="24" a="1"/>
  <c r="O369" i="24" a="1"/>
  <c r="N369" i="24" a="1"/>
  <c r="F369" i="24"/>
  <c r="U368" i="24"/>
  <c r="S368" i="24" a="1"/>
  <c r="O368" i="24" a="1"/>
  <c r="J368" i="24"/>
  <c r="N368" i="24" s="1" a="1"/>
  <c r="F368" i="24"/>
  <c r="U380" i="24"/>
  <c r="S380" i="24" a="1"/>
  <c r="O380" i="24" a="1"/>
  <c r="K380" i="24"/>
  <c r="J380" i="24"/>
  <c r="N380" i="24" s="1" a="1"/>
  <c r="F380" i="24"/>
  <c r="U381" i="24"/>
  <c r="S381" i="24" a="1"/>
  <c r="O381" i="24" a="1"/>
  <c r="K381" i="24"/>
  <c r="J381" i="24"/>
  <c r="N381" i="24" s="1" a="1"/>
  <c r="F381" i="24"/>
  <c r="U367" i="24"/>
  <c r="S367" i="24" a="1"/>
  <c r="O367" i="24" a="1"/>
  <c r="K367" i="24"/>
  <c r="J367" i="24"/>
  <c r="N367" i="24" s="1" a="1"/>
  <c r="F367" i="24"/>
  <c r="U366" i="24"/>
  <c r="S366" i="24" a="1"/>
  <c r="O366" i="24" a="1"/>
  <c r="K366" i="24"/>
  <c r="J366" i="24"/>
  <c r="N366" i="24" s="1" a="1"/>
  <c r="F366" i="24"/>
  <c r="U379" i="24"/>
  <c r="S379" i="24" a="1"/>
  <c r="O379" i="24" a="1"/>
  <c r="K379" i="24"/>
  <c r="J379" i="24"/>
  <c r="N379" i="24" s="1" a="1"/>
  <c r="F379" i="24"/>
  <c r="U373" i="24"/>
  <c r="S373" i="24" a="1"/>
  <c r="O373" i="24" a="1"/>
  <c r="K373" i="24"/>
  <c r="J373" i="24"/>
  <c r="N373" i="24" s="1" a="1"/>
  <c r="F373" i="24"/>
  <c r="U376" i="24"/>
  <c r="S376" i="24" a="1"/>
  <c r="O376" i="24" a="1"/>
  <c r="K376" i="24"/>
  <c r="J376" i="24"/>
  <c r="N376" i="24" s="1" a="1"/>
  <c r="F376" i="24"/>
  <c r="U372" i="24"/>
  <c r="S372" i="24" a="1"/>
  <c r="O372" i="24" a="1"/>
  <c r="K372" i="24"/>
  <c r="J372" i="24"/>
  <c r="N372" i="24" s="1" a="1"/>
  <c r="F372" i="24"/>
  <c r="U377" i="24"/>
  <c r="S377" i="24" a="1"/>
  <c r="O377" i="24" a="1"/>
  <c r="N377" i="24" a="1"/>
  <c r="F377" i="24"/>
  <c r="U378" i="24"/>
  <c r="S378" i="24" a="1"/>
  <c r="O378" i="24" a="1"/>
  <c r="N378" i="24" a="1"/>
  <c r="F378" i="24"/>
  <c r="U371" i="24"/>
  <c r="S371" i="24" a="1"/>
  <c r="O371" i="24" a="1"/>
  <c r="K371" i="24"/>
  <c r="J371" i="24"/>
  <c r="N371" i="24" s="1" a="1"/>
  <c r="F371" i="24"/>
  <c r="U365" i="24"/>
  <c r="S365" i="24" a="1"/>
  <c r="O365" i="24" a="1"/>
  <c r="J365" i="24"/>
  <c r="N365" i="24" s="1" a="1"/>
  <c r="F365" i="24"/>
  <c r="U346" i="24"/>
  <c r="S346" i="24" a="1"/>
  <c r="O346" i="24" a="1"/>
  <c r="K346" i="24"/>
  <c r="J346" i="24"/>
  <c r="N346" i="24" s="1" a="1"/>
  <c r="F346" i="24"/>
  <c r="U343" i="24"/>
  <c r="S343" i="24" a="1"/>
  <c r="O343" i="24" a="1"/>
  <c r="K343" i="24"/>
  <c r="J343" i="24"/>
  <c r="N343" i="24" s="1" a="1"/>
  <c r="F343" i="24"/>
  <c r="U342" i="24"/>
  <c r="S342" i="24" a="1"/>
  <c r="O342" i="24" a="1"/>
  <c r="N342" i="24" a="1"/>
  <c r="F342" i="24"/>
  <c r="U358" i="24"/>
  <c r="S358" i="24" a="1"/>
  <c r="O358" i="24" a="1"/>
  <c r="K358" i="24"/>
  <c r="J358" i="24"/>
  <c r="N358" i="24" s="1" a="1"/>
  <c r="F358" i="24"/>
  <c r="U362" i="24"/>
  <c r="S362" i="24" a="1"/>
  <c r="O362" i="24" a="1"/>
  <c r="K362" i="24"/>
  <c r="J362" i="24"/>
  <c r="N362" i="24" s="1" a="1"/>
  <c r="F362" i="24"/>
  <c r="U357" i="24"/>
  <c r="S357" i="24" a="1"/>
  <c r="O357" i="24" a="1"/>
  <c r="K357" i="24"/>
  <c r="J357" i="24"/>
  <c r="N357" i="24" s="1" a="1"/>
  <c r="F357" i="24"/>
  <c r="U363" i="24"/>
  <c r="S363" i="24" a="1"/>
  <c r="O363" i="24" a="1"/>
  <c r="K363" i="24"/>
  <c r="J363" i="24"/>
  <c r="N363" i="24" s="1" a="1"/>
  <c r="F363" i="24"/>
  <c r="U352" i="24"/>
  <c r="S352" i="24" a="1"/>
  <c r="O352" i="24" a="1"/>
  <c r="K352" i="24"/>
  <c r="J352" i="24"/>
  <c r="N352" i="24" s="1" a="1"/>
  <c r="F352" i="24"/>
  <c r="U345" i="24"/>
  <c r="S345" i="24" a="1"/>
  <c r="O345" i="24" a="1"/>
  <c r="K345" i="24"/>
  <c r="J345" i="24"/>
  <c r="N345" i="24" s="1" a="1"/>
  <c r="F345" i="24"/>
  <c r="U340" i="24"/>
  <c r="S340" i="24" a="1"/>
  <c r="O340" i="24" a="1"/>
  <c r="K340" i="24"/>
  <c r="J340" i="24"/>
  <c r="N340" i="24" s="1" a="1"/>
  <c r="F340" i="24"/>
  <c r="U341" i="24"/>
  <c r="S341" i="24" a="1"/>
  <c r="O341" i="24" a="1"/>
  <c r="N341" i="24" a="1"/>
  <c r="F341" i="24"/>
  <c r="U351" i="24"/>
  <c r="S351" i="24" a="1"/>
  <c r="O351" i="24" a="1"/>
  <c r="K351" i="24"/>
  <c r="J351" i="24"/>
  <c r="N351" i="24" s="1" a="1"/>
  <c r="F351" i="24"/>
  <c r="U350" i="24"/>
  <c r="S350" i="24" a="1"/>
  <c r="O350" i="24" a="1"/>
  <c r="K350" i="24"/>
  <c r="J350" i="24"/>
  <c r="N350" i="24" s="1" a="1"/>
  <c r="F350" i="24"/>
  <c r="U356" i="24"/>
  <c r="S356" i="24" a="1"/>
  <c r="O356" i="24" a="1"/>
  <c r="K356" i="24"/>
  <c r="J356" i="24"/>
  <c r="N356" i="24" s="1" a="1"/>
  <c r="F356" i="24"/>
  <c r="U353" i="24"/>
  <c r="S353" i="24" a="1"/>
  <c r="O353" i="24" a="1"/>
  <c r="K353" i="24"/>
  <c r="J353" i="24"/>
  <c r="N353" i="24" s="1" a="1"/>
  <c r="F353" i="24"/>
  <c r="U349" i="24"/>
  <c r="S349" i="24" a="1"/>
  <c r="O349" i="24" a="1"/>
  <c r="K349" i="24"/>
  <c r="J349" i="24"/>
  <c r="N349" i="24" s="1" a="1"/>
  <c r="F349" i="24"/>
  <c r="U360" i="24"/>
  <c r="S360" i="24" a="1"/>
  <c r="O360" i="24" a="1"/>
  <c r="K360" i="24"/>
  <c r="J360" i="24"/>
  <c r="N360" i="24" s="1" a="1"/>
  <c r="F360" i="24"/>
  <c r="U347" i="24"/>
  <c r="S347" i="24" a="1"/>
  <c r="O347" i="24" a="1"/>
  <c r="K347" i="24"/>
  <c r="J347" i="24"/>
  <c r="N347" i="24" s="1" a="1"/>
  <c r="F347" i="24"/>
  <c r="U361" i="24"/>
  <c r="S361" i="24" a="1"/>
  <c r="O361" i="24" a="1"/>
  <c r="K361" i="24"/>
  <c r="J361" i="24"/>
  <c r="N361" i="24" s="1" a="1"/>
  <c r="F361" i="24"/>
  <c r="U355" i="24"/>
  <c r="S355" i="24" a="1"/>
  <c r="O355" i="24" a="1"/>
  <c r="K355" i="24"/>
  <c r="J355" i="24"/>
  <c r="N355" i="24" s="1" a="1"/>
  <c r="F355" i="24"/>
  <c r="U348" i="24"/>
  <c r="S348" i="24" a="1"/>
  <c r="O348" i="24" a="1"/>
  <c r="K348" i="24"/>
  <c r="J348" i="24"/>
  <c r="N348" i="24" s="1" a="1"/>
  <c r="F348" i="24"/>
  <c r="U354" i="24"/>
  <c r="S354" i="24" a="1"/>
  <c r="O354" i="24" a="1"/>
  <c r="K354" i="24"/>
  <c r="J354" i="24"/>
  <c r="N354" i="24" s="1" a="1"/>
  <c r="F354" i="24"/>
  <c r="U339" i="24"/>
  <c r="S339" i="24" a="1"/>
  <c r="O339" i="24" a="1"/>
  <c r="K339" i="24"/>
  <c r="J339" i="24"/>
  <c r="N339" i="24" s="1" a="1"/>
  <c r="F339" i="24"/>
  <c r="U364" i="24"/>
  <c r="S364" i="24" a="1"/>
  <c r="O364" i="24" a="1"/>
  <c r="K364" i="24"/>
  <c r="J364" i="24"/>
  <c r="N364" i="24" s="1" a="1"/>
  <c r="F364" i="24"/>
  <c r="U359" i="24"/>
  <c r="S359" i="24" a="1"/>
  <c r="O359" i="24" a="1"/>
  <c r="K359" i="24"/>
  <c r="J359" i="24"/>
  <c r="N359" i="24" s="1" a="1"/>
  <c r="F359" i="24"/>
  <c r="U344" i="24"/>
  <c r="S344" i="24" a="1"/>
  <c r="O344" i="24" a="1"/>
  <c r="K344" i="24"/>
  <c r="J344" i="24"/>
  <c r="N344" i="24" s="1" a="1"/>
  <c r="F344" i="24"/>
  <c r="U333" i="24"/>
  <c r="S333" i="24" a="1"/>
  <c r="O333" i="24" a="1"/>
  <c r="K333" i="24"/>
  <c r="J333" i="24"/>
  <c r="N333" i="24" s="1" a="1"/>
  <c r="F333" i="24"/>
  <c r="U331" i="24"/>
  <c r="S331" i="24" a="1"/>
  <c r="O331" i="24" a="1"/>
  <c r="N331" i="24" a="1"/>
  <c r="F331" i="24"/>
  <c r="U326" i="24"/>
  <c r="S326" i="24" a="1"/>
  <c r="O326" i="24" a="1"/>
  <c r="J326" i="24"/>
  <c r="N326" i="24" s="1" a="1"/>
  <c r="F326" i="24"/>
  <c r="U332" i="24"/>
  <c r="S332" i="24" a="1"/>
  <c r="O332" i="24" a="1"/>
  <c r="K332" i="24"/>
  <c r="J332" i="24"/>
  <c r="N332" i="24" s="1" a="1"/>
  <c r="F332" i="24"/>
  <c r="U328" i="24"/>
  <c r="S328" i="24" a="1"/>
  <c r="O328" i="24" a="1"/>
  <c r="N328" i="24" a="1"/>
  <c r="F328" i="24"/>
  <c r="U337" i="24"/>
  <c r="S337" i="24" a="1"/>
  <c r="O337" i="24" a="1"/>
  <c r="K337" i="24"/>
  <c r="J337" i="24"/>
  <c r="N337" i="24" s="1" a="1"/>
  <c r="F337" i="24"/>
  <c r="U324" i="24"/>
  <c r="S324" i="24" a="1"/>
  <c r="O324" i="24" a="1"/>
  <c r="K324" i="24"/>
  <c r="J324" i="24"/>
  <c r="N324" i="24" s="1" a="1"/>
  <c r="F324" i="24"/>
  <c r="U327" i="24"/>
  <c r="S327" i="24" a="1"/>
  <c r="O327" i="24" a="1"/>
  <c r="K327" i="24"/>
  <c r="J327" i="24"/>
  <c r="N327" i="24" s="1" a="1"/>
  <c r="F327" i="24"/>
  <c r="U338" i="24"/>
  <c r="S338" i="24" a="1"/>
  <c r="O338" i="24" a="1"/>
  <c r="K338" i="24"/>
  <c r="J338" i="24"/>
  <c r="N338" i="24" s="1" a="1"/>
  <c r="F338" i="24"/>
  <c r="U329" i="24"/>
  <c r="S329" i="24" a="1"/>
  <c r="O329" i="24" a="1"/>
  <c r="K329" i="24"/>
  <c r="J329" i="24"/>
  <c r="N329" i="24" s="1" a="1"/>
  <c r="F329" i="24"/>
  <c r="U325" i="24"/>
  <c r="S325" i="24" a="1"/>
  <c r="O325" i="24" a="1"/>
  <c r="K325" i="24"/>
  <c r="J325" i="24"/>
  <c r="N325" i="24" s="1" a="1"/>
  <c r="F325" i="24"/>
  <c r="U330" i="24"/>
  <c r="S330" i="24" a="1"/>
  <c r="O330" i="24" a="1"/>
  <c r="K330" i="24"/>
  <c r="J330" i="24"/>
  <c r="N330" i="24" s="1" a="1"/>
  <c r="F330" i="24"/>
  <c r="U334" i="24"/>
  <c r="S334" i="24" a="1"/>
  <c r="O334" i="24" a="1"/>
  <c r="K334" i="24"/>
  <c r="J334" i="24"/>
  <c r="N334" i="24" s="1" a="1"/>
  <c r="F334" i="24"/>
  <c r="U336" i="24"/>
  <c r="S336" i="24" a="1"/>
  <c r="O336" i="24" a="1"/>
  <c r="K336" i="24"/>
  <c r="J336" i="24"/>
  <c r="N336" i="24" s="1" a="1"/>
  <c r="F336" i="24"/>
  <c r="U335" i="24"/>
  <c r="S335" i="24" a="1"/>
  <c r="O335" i="24" a="1"/>
  <c r="N335" i="24" a="1"/>
  <c r="F335" i="24"/>
  <c r="U323" i="24"/>
  <c r="S323" i="24" a="1"/>
  <c r="O323" i="24" a="1"/>
  <c r="K323" i="24"/>
  <c r="J323" i="24"/>
  <c r="N323" i="24" s="1" a="1"/>
  <c r="F323" i="24"/>
  <c r="U322" i="24"/>
  <c r="S322" i="24" a="1"/>
  <c r="O322" i="24" a="1"/>
  <c r="J322" i="24"/>
  <c r="N322" i="24" s="1" a="1"/>
  <c r="F322" i="24"/>
  <c r="U302" i="24"/>
  <c r="S302" i="24" a="1"/>
  <c r="O302" i="24" a="1"/>
  <c r="N302" i="24" a="1"/>
  <c r="F302" i="24"/>
  <c r="U320" i="24"/>
  <c r="S320" i="24" a="1"/>
  <c r="O320" i="24" a="1"/>
  <c r="N320" i="24" a="1"/>
  <c r="F320" i="24"/>
  <c r="U312" i="24"/>
  <c r="S312" i="24" a="1"/>
  <c r="O312" i="24" a="1"/>
  <c r="N312" i="24" a="1"/>
  <c r="F312" i="24"/>
  <c r="U306" i="24"/>
  <c r="S306" i="24" a="1"/>
  <c r="O306" i="24" a="1"/>
  <c r="K306" i="24"/>
  <c r="J306" i="24"/>
  <c r="N306" i="24" s="1" a="1"/>
  <c r="F306" i="24"/>
  <c r="U300" i="24"/>
  <c r="S300" i="24" a="1"/>
  <c r="O300" i="24" a="1"/>
  <c r="K300" i="24"/>
  <c r="J300" i="24"/>
  <c r="N300" i="24" s="1" a="1"/>
  <c r="F300" i="24"/>
  <c r="U303" i="24"/>
  <c r="S303" i="24" a="1"/>
  <c r="O303" i="24" a="1"/>
  <c r="J303" i="24"/>
  <c r="N303" i="24" s="1" a="1"/>
  <c r="F303" i="24"/>
  <c r="U305" i="24"/>
  <c r="S305" i="24" a="1"/>
  <c r="O305" i="24" a="1"/>
  <c r="N305" i="24" a="1"/>
  <c r="F305" i="24"/>
  <c r="U317" i="24"/>
  <c r="S317" i="24" a="1"/>
  <c r="O317" i="24" a="1"/>
  <c r="K317" i="24"/>
  <c r="J317" i="24"/>
  <c r="N317" i="24" s="1" a="1"/>
  <c r="F317" i="24"/>
  <c r="U313" i="24"/>
  <c r="S313" i="24" a="1"/>
  <c r="O313" i="24" a="1"/>
  <c r="K313" i="24"/>
  <c r="J313" i="24"/>
  <c r="N313" i="24" s="1" a="1"/>
  <c r="F313" i="24"/>
  <c r="U301" i="24"/>
  <c r="S301" i="24" a="1"/>
  <c r="O301" i="24" a="1"/>
  <c r="N301" i="24" a="1"/>
  <c r="F301" i="24"/>
  <c r="U304" i="24"/>
  <c r="S304" i="24" a="1"/>
  <c r="O304" i="24" a="1"/>
  <c r="N304" i="24" a="1"/>
  <c r="F304" i="24"/>
  <c r="U319" i="24"/>
  <c r="S319" i="24" a="1"/>
  <c r="O319" i="24" a="1"/>
  <c r="N319" i="24" a="1"/>
  <c r="F319" i="24"/>
  <c r="U316" i="24"/>
  <c r="S316" i="24" a="1"/>
  <c r="O316" i="24" a="1"/>
  <c r="K316" i="24"/>
  <c r="J316" i="24"/>
  <c r="N316" i="24" s="1" a="1"/>
  <c r="F316" i="24"/>
  <c r="U318" i="24"/>
  <c r="S318" i="24" a="1"/>
  <c r="O318" i="24" a="1"/>
  <c r="K318" i="24"/>
  <c r="J318" i="24"/>
  <c r="N318" i="24" s="1" a="1"/>
  <c r="F318" i="24"/>
  <c r="U307" i="24"/>
  <c r="S307" i="24" a="1"/>
  <c r="O307" i="24" a="1"/>
  <c r="N307" i="24" a="1"/>
  <c r="F307" i="24"/>
  <c r="U299" i="24"/>
  <c r="S299" i="24" a="1"/>
  <c r="O299" i="24" a="1"/>
  <c r="K299" i="24"/>
  <c r="J299" i="24"/>
  <c r="N299" i="24" s="1" a="1"/>
  <c r="F299" i="24"/>
  <c r="U308" i="24"/>
  <c r="S308" i="24" a="1"/>
  <c r="O308" i="24" a="1"/>
  <c r="K308" i="24"/>
  <c r="J308" i="24"/>
  <c r="N308" i="24" s="1" a="1"/>
  <c r="F308" i="24"/>
  <c r="U321" i="24"/>
  <c r="S321" i="24" a="1"/>
  <c r="O321" i="24" a="1"/>
  <c r="K321" i="24"/>
  <c r="J321" i="24"/>
  <c r="N321" i="24" s="1" a="1"/>
  <c r="F321" i="24"/>
  <c r="U309" i="24"/>
  <c r="S309" i="24" a="1"/>
  <c r="O309" i="24" a="1"/>
  <c r="J309" i="24"/>
  <c r="N309" i="24" s="1" a="1"/>
  <c r="F309" i="24"/>
  <c r="U297" i="24"/>
  <c r="S297" i="24" a="1"/>
  <c r="O297" i="24" a="1"/>
  <c r="N297" i="24" a="1"/>
  <c r="F297" i="24"/>
  <c r="U311" i="24"/>
  <c r="S311" i="24" a="1"/>
  <c r="O311" i="24" a="1"/>
  <c r="N311" i="24" a="1"/>
  <c r="F311" i="24"/>
  <c r="U310" i="24"/>
  <c r="S310" i="24" a="1"/>
  <c r="O310" i="24" a="1"/>
  <c r="K310" i="24"/>
  <c r="J310" i="24"/>
  <c r="N310" i="24" s="1" a="1"/>
  <c r="F310" i="24"/>
  <c r="U298" i="24"/>
  <c r="S298" i="24" a="1"/>
  <c r="O298" i="24" a="1"/>
  <c r="N298" i="24" a="1"/>
  <c r="F298" i="24"/>
  <c r="U315" i="24"/>
  <c r="S315" i="24" a="1"/>
  <c r="O315" i="24" a="1"/>
  <c r="K315" i="24"/>
  <c r="J315" i="24"/>
  <c r="N315" i="24" s="1" a="1"/>
  <c r="F315" i="24"/>
  <c r="U314" i="24"/>
  <c r="S314" i="24" a="1"/>
  <c r="O314" i="24" a="1"/>
  <c r="K314" i="24"/>
  <c r="J314" i="24"/>
  <c r="N314" i="24" s="1" a="1"/>
  <c r="F314" i="24"/>
  <c r="U277" i="24"/>
  <c r="S277" i="24" a="1"/>
  <c r="O277" i="24" a="1"/>
  <c r="J277" i="24"/>
  <c r="N277" i="24" s="1" a="1"/>
  <c r="F277" i="24"/>
  <c r="U289" i="24"/>
  <c r="S289" i="24" a="1"/>
  <c r="O289" i="24" a="1"/>
  <c r="K289" i="24"/>
  <c r="J289" i="24"/>
  <c r="N289" i="24" s="1" a="1"/>
  <c r="F289" i="24"/>
  <c r="U295" i="24"/>
  <c r="S295" i="24" a="1"/>
  <c r="O295" i="24" a="1"/>
  <c r="K295" i="24"/>
  <c r="J295" i="24"/>
  <c r="N295" i="24" s="1" a="1"/>
  <c r="F295" i="24"/>
  <c r="U276" i="24"/>
  <c r="S276" i="24" a="1"/>
  <c r="O276" i="24" a="1"/>
  <c r="K276" i="24"/>
  <c r="J276" i="24"/>
  <c r="N276" i="24" s="1" a="1"/>
  <c r="F276" i="24"/>
  <c r="U278" i="24"/>
  <c r="S278" i="24" a="1"/>
  <c r="O278" i="24" a="1"/>
  <c r="K278" i="24"/>
  <c r="J278" i="24"/>
  <c r="N278" i="24" s="1" a="1"/>
  <c r="F278" i="24"/>
  <c r="U282" i="24"/>
  <c r="S282" i="24" a="1"/>
  <c r="O282" i="24" a="1"/>
  <c r="K282" i="24"/>
  <c r="J282" i="24"/>
  <c r="N282" i="24" s="1" a="1"/>
  <c r="F282" i="24"/>
  <c r="U288" i="24"/>
  <c r="S288" i="24" a="1"/>
  <c r="O288" i="24" a="1"/>
  <c r="K288" i="24"/>
  <c r="J288" i="24"/>
  <c r="N288" i="24" s="1" a="1"/>
  <c r="F288" i="24"/>
  <c r="U280" i="24"/>
  <c r="S280" i="24" a="1"/>
  <c r="O280" i="24" a="1"/>
  <c r="K280" i="24"/>
  <c r="J280" i="24"/>
  <c r="N280" i="24" s="1" a="1"/>
  <c r="F280" i="24"/>
  <c r="U293" i="24"/>
  <c r="S293" i="24" a="1"/>
  <c r="O293" i="24" a="1"/>
  <c r="K293" i="24"/>
  <c r="J293" i="24"/>
  <c r="N293" i="24" s="1" a="1"/>
  <c r="F293" i="24"/>
  <c r="U284" i="24"/>
  <c r="S284" i="24" a="1"/>
  <c r="O284" i="24" a="1"/>
  <c r="K284" i="24"/>
  <c r="J284" i="24"/>
  <c r="N284" i="24" s="1" a="1"/>
  <c r="F284" i="24"/>
  <c r="U291" i="24"/>
  <c r="S291" i="24" a="1"/>
  <c r="O291" i="24" a="1"/>
  <c r="K291" i="24"/>
  <c r="J291" i="24"/>
  <c r="N291" i="24" s="1" a="1"/>
  <c r="F291" i="24"/>
  <c r="U283" i="24"/>
  <c r="S283" i="24" a="1"/>
  <c r="O283" i="24" a="1"/>
  <c r="K283" i="24"/>
  <c r="J283" i="24"/>
  <c r="N283" i="24" s="1" a="1"/>
  <c r="F283" i="24"/>
  <c r="U292" i="24"/>
  <c r="S292" i="24" a="1"/>
  <c r="O292" i="24" a="1"/>
  <c r="K292" i="24"/>
  <c r="J292" i="24"/>
  <c r="N292" i="24" s="1" a="1"/>
  <c r="F292" i="24"/>
  <c r="U294" i="24"/>
  <c r="S294" i="24" a="1"/>
  <c r="O294" i="24" a="1"/>
  <c r="N294" i="24" a="1"/>
  <c r="F294" i="24"/>
  <c r="U290" i="24"/>
  <c r="S290" i="24" a="1"/>
  <c r="O290" i="24" a="1"/>
  <c r="K290" i="24"/>
  <c r="J290" i="24"/>
  <c r="N290" i="24" s="1" a="1"/>
  <c r="F290" i="24"/>
  <c r="U286" i="24"/>
  <c r="S286" i="24" a="1"/>
  <c r="O286" i="24" a="1"/>
  <c r="J286" i="24"/>
  <c r="N286" i="24" s="1" a="1"/>
  <c r="F286" i="24"/>
  <c r="U285" i="24"/>
  <c r="S285" i="24" a="1"/>
  <c r="O285" i="24" a="1"/>
  <c r="K285" i="24"/>
  <c r="J285" i="24"/>
  <c r="N285" i="24" s="1" a="1"/>
  <c r="F285" i="24"/>
  <c r="U296" i="24"/>
  <c r="S296" i="24" a="1"/>
  <c r="O296" i="24" a="1"/>
  <c r="K296" i="24"/>
  <c r="J296" i="24"/>
  <c r="N296" i="24" s="1" a="1"/>
  <c r="F296" i="24"/>
  <c r="U281" i="24"/>
  <c r="S281" i="24" a="1"/>
  <c r="O281" i="24" a="1"/>
  <c r="K281" i="24"/>
  <c r="J281" i="24"/>
  <c r="N281" i="24" s="1" a="1"/>
  <c r="F281" i="24"/>
  <c r="U287" i="24"/>
  <c r="S287" i="24" a="1"/>
  <c r="O287" i="24" a="1"/>
  <c r="K287" i="24"/>
  <c r="J287" i="24"/>
  <c r="N287" i="24" s="1" a="1"/>
  <c r="F287" i="24"/>
  <c r="U279" i="24"/>
  <c r="S279" i="24" a="1"/>
  <c r="O279" i="24" a="1"/>
  <c r="K279" i="24"/>
  <c r="J279" i="24"/>
  <c r="N279" i="24" s="1" a="1"/>
  <c r="F279" i="24"/>
  <c r="U266" i="24"/>
  <c r="S266" i="24" a="1"/>
  <c r="O266" i="24" a="1"/>
  <c r="N266" i="24" a="1"/>
  <c r="F266" i="24"/>
  <c r="U260" i="24"/>
  <c r="S260" i="24" a="1"/>
  <c r="O260" i="24" a="1"/>
  <c r="K260" i="24"/>
  <c r="J260" i="24"/>
  <c r="N260" i="24" s="1" a="1"/>
  <c r="F260" i="24"/>
  <c r="U271" i="24"/>
  <c r="S271" i="24" a="1"/>
  <c r="O271" i="24" a="1"/>
  <c r="N271" i="24" a="1"/>
  <c r="F271" i="24"/>
  <c r="U259" i="24"/>
  <c r="S259" i="24" a="1"/>
  <c r="O259" i="24" a="1"/>
  <c r="K259" i="24"/>
  <c r="J259" i="24"/>
  <c r="N259" i="24" s="1" a="1"/>
  <c r="F259" i="24"/>
  <c r="U263" i="24"/>
  <c r="S263" i="24" a="1"/>
  <c r="O263" i="24" a="1"/>
  <c r="K263" i="24"/>
  <c r="J263" i="24"/>
  <c r="N263" i="24" s="1" a="1"/>
  <c r="F263" i="24"/>
  <c r="U262" i="24"/>
  <c r="S262" i="24" a="1"/>
  <c r="O262" i="24" a="1"/>
  <c r="K262" i="24"/>
  <c r="J262" i="24"/>
  <c r="N262" i="24" s="1" a="1"/>
  <c r="F262" i="24"/>
  <c r="U272" i="24"/>
  <c r="S272" i="24" a="1"/>
  <c r="O272" i="24" a="1"/>
  <c r="K272" i="24"/>
  <c r="J272" i="24"/>
  <c r="N272" i="24" s="1" a="1"/>
  <c r="F272" i="24"/>
  <c r="U275" i="24"/>
  <c r="S275" i="24" a="1"/>
  <c r="O275" i="24" a="1"/>
  <c r="K275" i="24"/>
  <c r="J275" i="24"/>
  <c r="N275" i="24" s="1" a="1"/>
  <c r="F275" i="24"/>
  <c r="U261" i="24"/>
  <c r="S261" i="24" a="1"/>
  <c r="O261" i="24" a="1"/>
  <c r="K261" i="24"/>
  <c r="J261" i="24"/>
  <c r="N261" i="24" s="1" a="1"/>
  <c r="F261" i="24"/>
  <c r="U274" i="24"/>
  <c r="S274" i="24" a="1"/>
  <c r="O274" i="24" a="1"/>
  <c r="K274" i="24"/>
  <c r="J274" i="24"/>
  <c r="N274" i="24" s="1" a="1"/>
  <c r="F274" i="24"/>
  <c r="U270" i="24"/>
  <c r="S270" i="24" a="1"/>
  <c r="O270" i="24" a="1"/>
  <c r="K270" i="24"/>
  <c r="J270" i="24"/>
  <c r="N270" i="24" s="1" a="1"/>
  <c r="F270" i="24"/>
  <c r="U268" i="24"/>
  <c r="S268" i="24" a="1"/>
  <c r="O268" i="24" a="1"/>
  <c r="K268" i="24"/>
  <c r="J268" i="24"/>
  <c r="N268" i="24" s="1" a="1"/>
  <c r="F268" i="24"/>
  <c r="U273" i="24"/>
  <c r="S273" i="24" a="1"/>
  <c r="O273" i="24" a="1"/>
  <c r="J273" i="24"/>
  <c r="N273" i="24" s="1" a="1"/>
  <c r="F273" i="24"/>
  <c r="U265" i="24"/>
  <c r="S265" i="24" a="1"/>
  <c r="O265" i="24" a="1"/>
  <c r="K265" i="24"/>
  <c r="J265" i="24"/>
  <c r="N265" i="24" s="1" a="1"/>
  <c r="F265" i="24"/>
  <c r="U264" i="24"/>
  <c r="S264" i="24" a="1"/>
  <c r="O264" i="24" a="1"/>
  <c r="K264" i="24"/>
  <c r="J264" i="24"/>
  <c r="N264" i="24" s="1" a="1"/>
  <c r="F264" i="24"/>
  <c r="U267" i="24"/>
  <c r="S267" i="24" a="1"/>
  <c r="O267" i="24" a="1"/>
  <c r="K267" i="24"/>
  <c r="J267" i="24"/>
  <c r="N267" i="24" s="1" a="1"/>
  <c r="F267" i="24"/>
  <c r="U269" i="24"/>
  <c r="S269" i="24" a="1"/>
  <c r="O269" i="24" a="1"/>
  <c r="K269" i="24"/>
  <c r="J269" i="24"/>
  <c r="N269" i="24" s="1" a="1"/>
  <c r="F269" i="24"/>
  <c r="U232" i="24"/>
  <c r="S232" i="24" a="1"/>
  <c r="O232" i="24" a="1"/>
  <c r="K232" i="24"/>
  <c r="J232" i="24"/>
  <c r="N232" i="24" s="1" a="1"/>
  <c r="F232" i="24"/>
  <c r="U244" i="24"/>
  <c r="S244" i="24" a="1"/>
  <c r="O244" i="24" a="1"/>
  <c r="K244" i="24"/>
  <c r="J244" i="24"/>
  <c r="N244" i="24" s="1" a="1"/>
  <c r="F244" i="24"/>
  <c r="U252" i="24"/>
  <c r="S252" i="24" a="1"/>
  <c r="O252" i="24" a="1"/>
  <c r="J252" i="24"/>
  <c r="N252" i="24" s="1" a="1"/>
  <c r="F252" i="24"/>
  <c r="U255" i="24"/>
  <c r="S255" i="24" a="1"/>
  <c r="O255" i="24" a="1"/>
  <c r="K255" i="24"/>
  <c r="J255" i="24"/>
  <c r="N255" i="24" s="1" a="1"/>
  <c r="F255" i="24"/>
  <c r="U243" i="24"/>
  <c r="S243" i="24" a="1"/>
  <c r="O243" i="24" a="1"/>
  <c r="K243" i="24"/>
  <c r="J243" i="24"/>
  <c r="N243" i="24" s="1" a="1"/>
  <c r="F243" i="24"/>
  <c r="U254" i="24"/>
  <c r="S254" i="24" a="1"/>
  <c r="O254" i="24" a="1"/>
  <c r="K254" i="24"/>
  <c r="J254" i="24"/>
  <c r="N254" i="24" s="1" a="1"/>
  <c r="F254" i="24"/>
  <c r="U247" i="24"/>
  <c r="S247" i="24" a="1"/>
  <c r="O247" i="24" a="1"/>
  <c r="K247" i="24"/>
  <c r="J247" i="24"/>
  <c r="N247" i="24" s="1" a="1"/>
  <c r="F247" i="24"/>
  <c r="U251" i="24"/>
  <c r="S251" i="24" a="1"/>
  <c r="O251" i="24" a="1"/>
  <c r="N251" i="24" a="1"/>
  <c r="F251" i="24"/>
  <c r="U250" i="24"/>
  <c r="S250" i="24" a="1"/>
  <c r="O250" i="24" a="1"/>
  <c r="N250" i="24" a="1"/>
  <c r="F250" i="24"/>
  <c r="U240" i="24"/>
  <c r="S240" i="24" a="1"/>
  <c r="O240" i="24" a="1"/>
  <c r="K240" i="24"/>
  <c r="J240" i="24"/>
  <c r="N240" i="24" s="1" a="1"/>
  <c r="F240" i="24"/>
  <c r="U234" i="24"/>
  <c r="S234" i="24" a="1"/>
  <c r="O234" i="24" a="1"/>
  <c r="K234" i="24"/>
  <c r="J234" i="24"/>
  <c r="N234" i="24" s="1" a="1"/>
  <c r="F234" i="24"/>
  <c r="U242" i="24"/>
  <c r="S242" i="24" a="1"/>
  <c r="O242" i="24" a="1"/>
  <c r="K242" i="24"/>
  <c r="J242" i="24"/>
  <c r="N242" i="24" s="1" a="1"/>
  <c r="F242" i="24"/>
  <c r="U241" i="24"/>
  <c r="S241" i="24" a="1"/>
  <c r="O241" i="24" a="1"/>
  <c r="K241" i="24"/>
  <c r="J241" i="24"/>
  <c r="N241" i="24" s="1" a="1"/>
  <c r="F241" i="24"/>
  <c r="U253" i="24"/>
  <c r="S253" i="24" a="1"/>
  <c r="O253" i="24" a="1"/>
  <c r="K253" i="24"/>
  <c r="J253" i="24"/>
  <c r="N253" i="24" s="1" a="1"/>
  <c r="F253" i="24"/>
  <c r="U236" i="24"/>
  <c r="S236" i="24" a="1"/>
  <c r="O236" i="24" a="1"/>
  <c r="N236" i="24" a="1"/>
  <c r="F236" i="24"/>
  <c r="U237" i="24"/>
  <c r="S237" i="24" a="1"/>
  <c r="O237" i="24" a="1"/>
  <c r="K237" i="24"/>
  <c r="J237" i="24"/>
  <c r="N237" i="24" s="1" a="1"/>
  <c r="F237" i="24"/>
  <c r="U245" i="24"/>
  <c r="S245" i="24" a="1"/>
  <c r="O245" i="24" a="1"/>
  <c r="K245" i="24"/>
  <c r="J245" i="24"/>
  <c r="N245" i="24" s="1" a="1"/>
  <c r="F245" i="24"/>
  <c r="U246" i="24"/>
  <c r="S246" i="24" a="1"/>
  <c r="O246" i="24" a="1"/>
  <c r="N246" i="24" a="1"/>
  <c r="F246" i="24"/>
  <c r="U256" i="24"/>
  <c r="S256" i="24" a="1"/>
  <c r="O256" i="24" a="1"/>
  <c r="N256" i="24" a="1"/>
  <c r="K256" i="24"/>
  <c r="F256" i="24"/>
  <c r="U239" i="24"/>
  <c r="S239" i="24" a="1"/>
  <c r="O239" i="24" a="1"/>
  <c r="K239" i="24"/>
  <c r="J239" i="24"/>
  <c r="N239" i="24" s="1" a="1"/>
  <c r="F239" i="24"/>
  <c r="U257" i="24"/>
  <c r="S257" i="24" a="1"/>
  <c r="O257" i="24" a="1"/>
  <c r="K257" i="24"/>
  <c r="J257" i="24"/>
  <c r="N257" i="24" s="1" a="1"/>
  <c r="F257" i="24"/>
  <c r="U249" i="24"/>
  <c r="S249" i="24" a="1"/>
  <c r="O249" i="24" a="1"/>
  <c r="K249" i="24"/>
  <c r="J249" i="24"/>
  <c r="N249" i="24" s="1" a="1"/>
  <c r="F249" i="24"/>
  <c r="U258" i="24"/>
  <c r="S258" i="24" a="1"/>
  <c r="O258" i="24" a="1"/>
  <c r="K258" i="24"/>
  <c r="J258" i="24"/>
  <c r="N258" i="24" s="1" a="1"/>
  <c r="F258" i="24"/>
  <c r="U238" i="24"/>
  <c r="S238" i="24" a="1"/>
  <c r="O238" i="24" a="1"/>
  <c r="K238" i="24"/>
  <c r="J238" i="24"/>
  <c r="N238" i="24" s="1" a="1"/>
  <c r="F238" i="24"/>
  <c r="U248" i="24"/>
  <c r="S248" i="24" a="1"/>
  <c r="O248" i="24" a="1"/>
  <c r="K248" i="24"/>
  <c r="J248" i="24"/>
  <c r="N248" i="24" s="1" a="1"/>
  <c r="F248" i="24"/>
  <c r="U233" i="24"/>
  <c r="S233" i="24" a="1"/>
  <c r="O233" i="24" a="1"/>
  <c r="K233" i="24"/>
  <c r="J233" i="24"/>
  <c r="N233" i="24" s="1" a="1"/>
  <c r="F233" i="24"/>
  <c r="U235" i="24"/>
  <c r="S235" i="24" a="1"/>
  <c r="O235" i="24" a="1"/>
  <c r="K235" i="24"/>
  <c r="J235" i="24"/>
  <c r="N235" i="24" s="1" a="1"/>
  <c r="F235" i="24"/>
  <c r="U227" i="24"/>
  <c r="S227" i="24" a="1"/>
  <c r="O227" i="24" a="1"/>
  <c r="K227" i="24"/>
  <c r="J227" i="24"/>
  <c r="N227" i="24" s="1" a="1"/>
  <c r="F227" i="24"/>
  <c r="U230" i="24"/>
  <c r="S230" i="24" a="1"/>
  <c r="O230" i="24" a="1"/>
  <c r="N230" i="24" a="1"/>
  <c r="F230" i="24"/>
  <c r="U197" i="24"/>
  <c r="S197" i="24" a="1"/>
  <c r="O197" i="24" a="1"/>
  <c r="N197" i="24" a="1"/>
  <c r="F197" i="24"/>
  <c r="U206" i="24"/>
  <c r="S206" i="24" a="1"/>
  <c r="O206" i="24" a="1"/>
  <c r="K206" i="24"/>
  <c r="J206" i="24"/>
  <c r="N206" i="24" s="1" a="1"/>
  <c r="F206" i="24"/>
  <c r="U208" i="24"/>
  <c r="S208" i="24" a="1"/>
  <c r="O208" i="24" a="1"/>
  <c r="K208" i="24"/>
  <c r="J208" i="24"/>
  <c r="N208" i="24" s="1" a="1"/>
  <c r="F208" i="24"/>
  <c r="U200" i="24"/>
  <c r="S200" i="24" a="1"/>
  <c r="O200" i="24" a="1"/>
  <c r="K200" i="24"/>
  <c r="J200" i="24"/>
  <c r="N200" i="24" s="1" a="1"/>
  <c r="F200" i="24"/>
  <c r="U225" i="24"/>
  <c r="S225" i="24" a="1"/>
  <c r="O225" i="24" a="1"/>
  <c r="N225" i="24" a="1"/>
  <c r="F225" i="24"/>
  <c r="U213" i="24"/>
  <c r="S213" i="24" a="1"/>
  <c r="O213" i="24" a="1"/>
  <c r="K213" i="24"/>
  <c r="J213" i="24"/>
  <c r="N213" i="24" s="1" a="1"/>
  <c r="F213" i="24"/>
  <c r="U212" i="24"/>
  <c r="S212" i="24" a="1"/>
  <c r="O212" i="24" a="1"/>
  <c r="K212" i="24"/>
  <c r="J212" i="24"/>
  <c r="N212" i="24" s="1" a="1"/>
  <c r="F212" i="24"/>
  <c r="U215" i="24"/>
  <c r="S215" i="24" a="1"/>
  <c r="O215" i="24" a="1"/>
  <c r="K215" i="24"/>
  <c r="J215" i="24"/>
  <c r="N215" i="24" s="1" a="1"/>
  <c r="F215" i="24"/>
  <c r="U207" i="24"/>
  <c r="S207" i="24" a="1"/>
  <c r="O207" i="24" a="1"/>
  <c r="K207" i="24"/>
  <c r="J207" i="24"/>
  <c r="N207" i="24" s="1" a="1"/>
  <c r="F207" i="24"/>
  <c r="U218" i="24"/>
  <c r="S218" i="24" a="1"/>
  <c r="O218" i="24" a="1"/>
  <c r="K218" i="24"/>
  <c r="J218" i="24"/>
  <c r="N218" i="24" s="1" a="1"/>
  <c r="F218" i="24"/>
  <c r="U210" i="24"/>
  <c r="S210" i="24" a="1"/>
  <c r="O210" i="24" a="1"/>
  <c r="K210" i="24"/>
  <c r="J210" i="24"/>
  <c r="N210" i="24" s="1" a="1"/>
  <c r="F210" i="24"/>
  <c r="U198" i="24"/>
  <c r="S198" i="24" a="1"/>
  <c r="O198" i="24" a="1"/>
  <c r="J198" i="24"/>
  <c r="N198" i="24" s="1" a="1"/>
  <c r="F198" i="24"/>
  <c r="U217" i="24"/>
  <c r="S217" i="24" a="1"/>
  <c r="O217" i="24" a="1"/>
  <c r="K217" i="24"/>
  <c r="J217" i="24"/>
  <c r="N217" i="24" s="1" a="1"/>
  <c r="F217" i="24"/>
  <c r="U216" i="24"/>
  <c r="S216" i="24" a="1"/>
  <c r="O216" i="24" a="1"/>
  <c r="N216" i="24" a="1"/>
  <c r="F216" i="24"/>
  <c r="U203" i="24"/>
  <c r="S203" i="24" a="1"/>
  <c r="O203" i="24" a="1"/>
  <c r="K203" i="24"/>
  <c r="J203" i="24"/>
  <c r="N203" i="24" s="1" a="1"/>
  <c r="F203" i="24"/>
  <c r="U205" i="24"/>
  <c r="S205" i="24" a="1"/>
  <c r="O205" i="24" a="1"/>
  <c r="K205" i="24"/>
  <c r="J205" i="24"/>
  <c r="N205" i="24" s="1" a="1"/>
  <c r="F205" i="24"/>
  <c r="U221" i="24"/>
  <c r="S221" i="24" a="1"/>
  <c r="O221" i="24" a="1"/>
  <c r="K221" i="24"/>
  <c r="J221" i="24"/>
  <c r="N221" i="24" s="1" a="1"/>
  <c r="F221" i="24"/>
  <c r="U219" i="24"/>
  <c r="S219" i="24" a="1"/>
  <c r="O219" i="24" a="1"/>
  <c r="N219" i="24" a="1"/>
  <c r="F219" i="24"/>
  <c r="U226" i="24"/>
  <c r="S226" i="24" a="1"/>
  <c r="O226" i="24" a="1"/>
  <c r="N226" i="24" a="1"/>
  <c r="F226" i="24"/>
  <c r="U201" i="24"/>
  <c r="S201" i="24" a="1"/>
  <c r="O201" i="24" a="1"/>
  <c r="J201" i="24"/>
  <c r="N201" i="24" s="1" a="1"/>
  <c r="F201" i="24"/>
  <c r="U199" i="24"/>
  <c r="S199" i="24" a="1"/>
  <c r="O199" i="24" a="1"/>
  <c r="K199" i="24"/>
  <c r="J199" i="24"/>
  <c r="N199" i="24" s="1" a="1"/>
  <c r="F199" i="24"/>
  <c r="U209" i="24"/>
  <c r="S209" i="24" a="1"/>
  <c r="O209" i="24" a="1"/>
  <c r="K209" i="24"/>
  <c r="J209" i="24"/>
  <c r="N209" i="24" s="1" a="1"/>
  <c r="F209" i="24"/>
  <c r="U231" i="24"/>
  <c r="S231" i="24" a="1"/>
  <c r="O231" i="24" a="1"/>
  <c r="K231" i="24"/>
  <c r="J231" i="24"/>
  <c r="N231" i="24" s="1" a="1"/>
  <c r="F231" i="24"/>
  <c r="U214" i="24"/>
  <c r="S214" i="24" a="1"/>
  <c r="O214" i="24" a="1"/>
  <c r="K214" i="24"/>
  <c r="J214" i="24"/>
  <c r="N214" i="24" s="1" a="1"/>
  <c r="F214" i="24"/>
  <c r="U229" i="24"/>
  <c r="S229" i="24" a="1"/>
  <c r="O229" i="24" a="1"/>
  <c r="K229" i="24"/>
  <c r="J229" i="24"/>
  <c r="N229" i="24" s="1" a="1"/>
  <c r="F229" i="24"/>
  <c r="U196" i="24"/>
  <c r="S196" i="24" a="1"/>
  <c r="O196" i="24" a="1"/>
  <c r="K196" i="24"/>
  <c r="J196" i="24"/>
  <c r="N196" i="24" s="1" a="1"/>
  <c r="F196" i="24"/>
  <c r="U220" i="24"/>
  <c r="S220" i="24" a="1"/>
  <c r="O220" i="24" a="1"/>
  <c r="K220" i="24"/>
  <c r="J220" i="24"/>
  <c r="N220" i="24" s="1" a="1"/>
  <c r="F220" i="24"/>
  <c r="U223" i="24"/>
  <c r="S223" i="24" a="1"/>
  <c r="O223" i="24" a="1"/>
  <c r="K223" i="24"/>
  <c r="J223" i="24"/>
  <c r="N223" i="24" s="1" a="1"/>
  <c r="F223" i="24"/>
  <c r="U228" i="24"/>
  <c r="S228" i="24" a="1"/>
  <c r="O228" i="24" a="1"/>
  <c r="K228" i="24"/>
  <c r="J228" i="24"/>
  <c r="N228" i="24" s="1" a="1"/>
  <c r="F228" i="24"/>
  <c r="U195" i="24"/>
  <c r="S195" i="24" a="1"/>
  <c r="O195" i="24" a="1"/>
  <c r="K195" i="24"/>
  <c r="J195" i="24"/>
  <c r="N195" i="24" s="1" a="1"/>
  <c r="F195" i="24"/>
  <c r="U202" i="24"/>
  <c r="S202" i="24" a="1"/>
  <c r="O202" i="24" a="1"/>
  <c r="K202" i="24"/>
  <c r="J202" i="24"/>
  <c r="N202" i="24" s="1" a="1"/>
  <c r="F202" i="24"/>
  <c r="U224" i="24"/>
  <c r="S224" i="24" a="1"/>
  <c r="O224" i="24" a="1"/>
  <c r="N224" i="24" a="1"/>
  <c r="F224" i="24"/>
  <c r="U204" i="24"/>
  <c r="S204" i="24" a="1"/>
  <c r="O204" i="24" a="1"/>
  <c r="N204" i="24" a="1"/>
  <c r="F204" i="24"/>
  <c r="U222" i="24"/>
  <c r="S222" i="24" a="1"/>
  <c r="O222" i="24" a="1"/>
  <c r="N222" i="24" a="1"/>
  <c r="F222" i="24"/>
  <c r="U211" i="24"/>
  <c r="S211" i="24" a="1"/>
  <c r="O211" i="24" a="1"/>
  <c r="K211" i="24"/>
  <c r="J211" i="24"/>
  <c r="N211" i="24" s="1" a="1"/>
  <c r="F211" i="24"/>
  <c r="U194" i="24"/>
  <c r="S194" i="24" a="1"/>
  <c r="O194" i="24" a="1"/>
  <c r="N194" i="24" a="1"/>
  <c r="F194" i="24"/>
  <c r="U190" i="24"/>
  <c r="S190" i="24" a="1"/>
  <c r="O190" i="24" a="1"/>
  <c r="K190" i="24"/>
  <c r="J190" i="24"/>
  <c r="N190" i="24" s="1" a="1"/>
  <c r="F190" i="24"/>
  <c r="U189" i="24"/>
  <c r="S189" i="24" a="1"/>
  <c r="O189" i="24" a="1"/>
  <c r="K189" i="24"/>
  <c r="J189" i="24"/>
  <c r="N189" i="24" s="1" a="1"/>
  <c r="F189" i="24"/>
  <c r="U171" i="24"/>
  <c r="S171" i="24" a="1"/>
  <c r="O171" i="24" a="1"/>
  <c r="K171" i="24"/>
  <c r="J171" i="24"/>
  <c r="N171" i="24" s="1" a="1"/>
  <c r="F171" i="24"/>
  <c r="U167" i="24"/>
  <c r="S167" i="24" a="1"/>
  <c r="O167" i="24" a="1"/>
  <c r="K167" i="24"/>
  <c r="J167" i="24"/>
  <c r="N167" i="24" s="1" a="1"/>
  <c r="F167" i="24"/>
  <c r="U166" i="24"/>
  <c r="S166" i="24" a="1"/>
  <c r="O166" i="24" a="1"/>
  <c r="K166" i="24"/>
  <c r="J166" i="24"/>
  <c r="N166" i="24" s="1" a="1"/>
  <c r="F166" i="24"/>
  <c r="U188" i="24"/>
  <c r="S188" i="24" a="1"/>
  <c r="O188" i="24" a="1"/>
  <c r="K188" i="24"/>
  <c r="J188" i="24"/>
  <c r="N188" i="24" s="1" a="1"/>
  <c r="F188" i="24"/>
  <c r="U182" i="24"/>
  <c r="S182" i="24" a="1"/>
  <c r="O182" i="24" a="1"/>
  <c r="K182" i="24"/>
  <c r="J182" i="24"/>
  <c r="N182" i="24" s="1" a="1"/>
  <c r="F182" i="24"/>
  <c r="U186" i="24"/>
  <c r="S186" i="24" a="1"/>
  <c r="O186" i="24" a="1"/>
  <c r="K186" i="24"/>
  <c r="J186" i="24"/>
  <c r="N186" i="24" s="1" a="1"/>
  <c r="F186" i="24"/>
  <c r="U169" i="24"/>
  <c r="S169" i="24" a="1"/>
  <c r="O169" i="24" a="1"/>
  <c r="K169" i="24"/>
  <c r="J169" i="24"/>
  <c r="N169" i="24" s="1" a="1"/>
  <c r="F169" i="24"/>
  <c r="U174" i="24"/>
  <c r="S174" i="24" a="1"/>
  <c r="O174" i="24" a="1"/>
  <c r="K174" i="24"/>
  <c r="J174" i="24"/>
  <c r="N174" i="24" s="1" a="1"/>
  <c r="F174" i="24"/>
  <c r="U176" i="24"/>
  <c r="S176" i="24" a="1"/>
  <c r="O176" i="24" a="1"/>
  <c r="K176" i="24"/>
  <c r="J176" i="24"/>
  <c r="N176" i="24" s="1" a="1"/>
  <c r="F176" i="24"/>
  <c r="U179" i="24"/>
  <c r="S179" i="24" a="1"/>
  <c r="O179" i="24" a="1"/>
  <c r="K179" i="24"/>
  <c r="J179" i="24"/>
  <c r="N179" i="24" s="1" a="1"/>
  <c r="F179" i="24"/>
  <c r="U177" i="24"/>
  <c r="S177" i="24" a="1"/>
  <c r="O177" i="24" a="1"/>
  <c r="N177" i="24" a="1"/>
  <c r="F177" i="24"/>
  <c r="U184" i="24"/>
  <c r="S184" i="24" a="1"/>
  <c r="O184" i="24" a="1"/>
  <c r="K184" i="24"/>
  <c r="J184" i="24"/>
  <c r="N184" i="24" s="1" a="1"/>
  <c r="F184" i="24"/>
  <c r="U185" i="24"/>
  <c r="S185" i="24" a="1"/>
  <c r="O185" i="24" a="1"/>
  <c r="K185" i="24"/>
  <c r="J185" i="24"/>
  <c r="N185" i="24" s="1" a="1"/>
  <c r="F185" i="24"/>
  <c r="U168" i="24"/>
  <c r="S168" i="24" a="1"/>
  <c r="O168" i="24" a="1"/>
  <c r="K168" i="24"/>
  <c r="J168" i="24"/>
  <c r="N168" i="24" s="1" a="1"/>
  <c r="F168" i="24"/>
  <c r="U173" i="24"/>
  <c r="S173" i="24" a="1"/>
  <c r="O173" i="24" a="1"/>
  <c r="K173" i="24"/>
  <c r="J173" i="24"/>
  <c r="N173" i="24" s="1" a="1"/>
  <c r="F173" i="24"/>
  <c r="U181" i="24"/>
  <c r="S181" i="24" a="1"/>
  <c r="O181" i="24" a="1"/>
  <c r="K181" i="24"/>
  <c r="J181" i="24"/>
  <c r="N181" i="24" s="1" a="1"/>
  <c r="F181" i="24"/>
  <c r="U165" i="24"/>
  <c r="S165" i="24" a="1"/>
  <c r="O165" i="24" a="1"/>
  <c r="K165" i="24"/>
  <c r="J165" i="24"/>
  <c r="N165" i="24" s="1" a="1"/>
  <c r="F165" i="24"/>
  <c r="U180" i="24"/>
  <c r="S180" i="24" a="1"/>
  <c r="O180" i="24" a="1"/>
  <c r="K180" i="24"/>
  <c r="J180" i="24"/>
  <c r="N180" i="24" s="1" a="1"/>
  <c r="F180" i="24"/>
  <c r="U193" i="24"/>
  <c r="S193" i="24" a="1"/>
  <c r="O193" i="24" a="1"/>
  <c r="K193" i="24"/>
  <c r="J193" i="24"/>
  <c r="N193" i="24" s="1" a="1"/>
  <c r="F193" i="24"/>
  <c r="U192" i="24"/>
  <c r="S192" i="24" a="1"/>
  <c r="O192" i="24" a="1"/>
  <c r="K192" i="24"/>
  <c r="J192" i="24"/>
  <c r="N192" i="24" s="1" a="1"/>
  <c r="F192" i="24"/>
  <c r="U178" i="24"/>
  <c r="S178" i="24" a="1"/>
  <c r="O178" i="24" a="1"/>
  <c r="K178" i="24"/>
  <c r="J178" i="24"/>
  <c r="N178" i="24" s="1" a="1"/>
  <c r="F178" i="24"/>
  <c r="U187" i="24"/>
  <c r="S187" i="24" a="1"/>
  <c r="O187" i="24" a="1"/>
  <c r="K187" i="24"/>
  <c r="J187" i="24"/>
  <c r="N187" i="24" s="1" a="1"/>
  <c r="F187" i="24"/>
  <c r="U191" i="24"/>
  <c r="S191" i="24" a="1"/>
  <c r="O191" i="24" a="1"/>
  <c r="K191" i="24"/>
  <c r="J191" i="24"/>
  <c r="N191" i="24" s="1" a="1"/>
  <c r="F191" i="24"/>
  <c r="U170" i="24"/>
  <c r="S170" i="24" a="1"/>
  <c r="O170" i="24" a="1"/>
  <c r="K170" i="24"/>
  <c r="J170" i="24"/>
  <c r="N170" i="24" s="1" a="1"/>
  <c r="F170" i="24"/>
  <c r="U175" i="24"/>
  <c r="S175" i="24" a="1"/>
  <c r="O175" i="24" a="1"/>
  <c r="K175" i="24"/>
  <c r="J175" i="24"/>
  <c r="N175" i="24" s="1" a="1"/>
  <c r="F175" i="24"/>
  <c r="U172" i="24"/>
  <c r="S172" i="24" a="1"/>
  <c r="O172" i="24" a="1"/>
  <c r="K172" i="24"/>
  <c r="J172" i="24"/>
  <c r="N172" i="24" s="1" a="1"/>
  <c r="F172" i="24"/>
  <c r="U164" i="24"/>
  <c r="S164" i="24" a="1"/>
  <c r="O164" i="24" a="1"/>
  <c r="K164" i="24"/>
  <c r="J164" i="24"/>
  <c r="N164" i="24" s="1" a="1"/>
  <c r="F164" i="24"/>
  <c r="U183" i="24"/>
  <c r="S183" i="24" a="1"/>
  <c r="O183" i="24" a="1"/>
  <c r="K183" i="24"/>
  <c r="J183" i="24"/>
  <c r="N183" i="24" s="1" a="1"/>
  <c r="F183" i="24"/>
  <c r="U156" i="24"/>
  <c r="S156" i="24" a="1"/>
  <c r="O156" i="24" a="1"/>
  <c r="J156" i="24"/>
  <c r="N156" i="24" s="1" a="1"/>
  <c r="F156" i="24"/>
  <c r="U161" i="24"/>
  <c r="S161" i="24" a="1"/>
  <c r="O161" i="24" a="1"/>
  <c r="K161" i="24"/>
  <c r="J161" i="24"/>
  <c r="N161" i="24" s="1" a="1"/>
  <c r="F161" i="24"/>
  <c r="U154" i="24"/>
  <c r="S154" i="24" a="1"/>
  <c r="O154" i="24" a="1"/>
  <c r="K154" i="24"/>
  <c r="J154" i="24"/>
  <c r="N154" i="24" s="1" a="1"/>
  <c r="F154" i="24"/>
  <c r="U150" i="24"/>
  <c r="S150" i="24" a="1"/>
  <c r="O150" i="24" a="1"/>
  <c r="K150" i="24"/>
  <c r="J150" i="24"/>
  <c r="N150" i="24" s="1" a="1"/>
  <c r="F150" i="24"/>
  <c r="U155" i="24"/>
  <c r="S155" i="24" a="1"/>
  <c r="O155" i="24" a="1"/>
  <c r="K155" i="24"/>
  <c r="J155" i="24"/>
  <c r="N155" i="24" s="1" a="1"/>
  <c r="F155" i="24"/>
  <c r="U159" i="24"/>
  <c r="S159" i="24" a="1"/>
  <c r="O159" i="24" a="1"/>
  <c r="K159" i="24"/>
  <c r="J159" i="24"/>
  <c r="N159" i="24" s="1" a="1"/>
  <c r="F159" i="24"/>
  <c r="U157" i="24"/>
  <c r="S157" i="24" a="1"/>
  <c r="O157" i="24" a="1"/>
  <c r="K157" i="24"/>
  <c r="J157" i="24"/>
  <c r="N157" i="24" s="1" a="1"/>
  <c r="F157" i="24"/>
  <c r="U163" i="24"/>
  <c r="S163" i="24" a="1"/>
  <c r="O163" i="24" a="1"/>
  <c r="K163" i="24"/>
  <c r="J163" i="24"/>
  <c r="N163" i="24" s="1" a="1"/>
  <c r="F163" i="24"/>
  <c r="U158" i="24"/>
  <c r="S158" i="24" a="1"/>
  <c r="O158" i="24" a="1"/>
  <c r="K158" i="24"/>
  <c r="J158" i="24"/>
  <c r="N158" i="24" s="1" a="1"/>
  <c r="F158" i="24"/>
  <c r="U149" i="24"/>
  <c r="S149" i="24" a="1"/>
  <c r="O149" i="24" a="1"/>
  <c r="K149" i="24"/>
  <c r="J149" i="24"/>
  <c r="N149" i="24" s="1" a="1"/>
  <c r="F149" i="24"/>
  <c r="U152" i="24"/>
  <c r="S152" i="24" a="1"/>
  <c r="O152" i="24" a="1"/>
  <c r="K152" i="24"/>
  <c r="J152" i="24"/>
  <c r="N152" i="24" s="1" a="1"/>
  <c r="F152" i="24"/>
  <c r="U153" i="24"/>
  <c r="S153" i="24" a="1"/>
  <c r="O153" i="24" a="1"/>
  <c r="K153" i="24"/>
  <c r="J153" i="24"/>
  <c r="N153" i="24" s="1" a="1"/>
  <c r="F153" i="24"/>
  <c r="U151" i="24"/>
  <c r="S151" i="24" a="1"/>
  <c r="O151" i="24" a="1"/>
  <c r="K151" i="24"/>
  <c r="J151" i="24"/>
  <c r="N151" i="24" s="1" a="1"/>
  <c r="F151" i="24"/>
  <c r="U162" i="24"/>
  <c r="S162" i="24" a="1"/>
  <c r="O162" i="24" a="1"/>
  <c r="K162" i="24"/>
  <c r="J162" i="24"/>
  <c r="N162" i="24" s="1" a="1"/>
  <c r="F162" i="24"/>
  <c r="U160" i="24"/>
  <c r="S160" i="24" a="1"/>
  <c r="O160" i="24" a="1"/>
  <c r="K160" i="24"/>
  <c r="J160" i="24"/>
  <c r="N160" i="24" s="1" a="1"/>
  <c r="F160" i="24"/>
  <c r="U140" i="24"/>
  <c r="S140" i="24" a="1"/>
  <c r="O140" i="24" a="1"/>
  <c r="K140" i="24"/>
  <c r="J140" i="24"/>
  <c r="N140" i="24" s="1" a="1"/>
  <c r="F140" i="24"/>
  <c r="U146" i="24"/>
  <c r="S146" i="24" a="1"/>
  <c r="O146" i="24" a="1"/>
  <c r="K146" i="24"/>
  <c r="J146" i="24"/>
  <c r="N146" i="24" s="1" a="1"/>
  <c r="F146" i="24"/>
  <c r="U131" i="24"/>
  <c r="S131" i="24" a="1"/>
  <c r="O131" i="24" a="1"/>
  <c r="J131" i="24"/>
  <c r="N131" i="24" s="1" a="1"/>
  <c r="F131" i="24"/>
  <c r="U143" i="24"/>
  <c r="S143" i="24" a="1"/>
  <c r="O143" i="24" a="1"/>
  <c r="K143" i="24"/>
  <c r="J143" i="24"/>
  <c r="N143" i="24" s="1" a="1"/>
  <c r="F143" i="24"/>
  <c r="U128" i="24"/>
  <c r="S128" i="24" a="1"/>
  <c r="O128" i="24" a="1"/>
  <c r="K128" i="24"/>
  <c r="J128" i="24"/>
  <c r="N128" i="24" s="1" a="1"/>
  <c r="F128" i="24"/>
  <c r="U142" i="24"/>
  <c r="S142" i="24" a="1"/>
  <c r="O142" i="24" a="1"/>
  <c r="K142" i="24"/>
  <c r="J142" i="24"/>
  <c r="N142" i="24" s="1" a="1"/>
  <c r="F142" i="24"/>
  <c r="U139" i="24"/>
  <c r="S139" i="24" a="1"/>
  <c r="O139" i="24" a="1"/>
  <c r="K139" i="24"/>
  <c r="J139" i="24"/>
  <c r="N139" i="24" s="1" a="1"/>
  <c r="F139" i="24"/>
  <c r="U141" i="24"/>
  <c r="S141" i="24" a="1"/>
  <c r="O141" i="24" a="1"/>
  <c r="K141" i="24"/>
  <c r="J141" i="24"/>
  <c r="N141" i="24" s="1" a="1"/>
  <c r="F141" i="24"/>
  <c r="U148" i="24"/>
  <c r="S148" i="24" a="1"/>
  <c r="O148" i="24" a="1"/>
  <c r="K148" i="24"/>
  <c r="J148" i="24"/>
  <c r="N148" i="24" s="1" a="1"/>
  <c r="F148" i="24"/>
  <c r="U137" i="24"/>
  <c r="S137" i="24" a="1"/>
  <c r="O137" i="24" a="1"/>
  <c r="K137" i="24"/>
  <c r="J137" i="24"/>
  <c r="N137" i="24" s="1" a="1"/>
  <c r="F137" i="24"/>
  <c r="U132" i="24"/>
  <c r="S132" i="24" a="1"/>
  <c r="O132" i="24" a="1"/>
  <c r="K132" i="24"/>
  <c r="J132" i="24"/>
  <c r="N132" i="24" s="1" a="1"/>
  <c r="F132" i="24"/>
  <c r="U145" i="24"/>
  <c r="S145" i="24" a="1"/>
  <c r="O145" i="24" a="1"/>
  <c r="K145" i="24"/>
  <c r="J145" i="24"/>
  <c r="N145" i="24" s="1" a="1"/>
  <c r="F145" i="24"/>
  <c r="U138" i="24"/>
  <c r="S138" i="24" a="1"/>
  <c r="O138" i="24" a="1"/>
  <c r="K138" i="24"/>
  <c r="J138" i="24"/>
  <c r="N138" i="24" s="1" a="1"/>
  <c r="F138" i="24"/>
  <c r="U135" i="24"/>
  <c r="S135" i="24" a="1"/>
  <c r="O135" i="24" a="1"/>
  <c r="K135" i="24"/>
  <c r="J135" i="24"/>
  <c r="N135" i="24" s="1" a="1"/>
  <c r="F135" i="24"/>
  <c r="U129" i="24"/>
  <c r="S129" i="24" a="1"/>
  <c r="O129" i="24" a="1"/>
  <c r="K129" i="24"/>
  <c r="J129" i="24"/>
  <c r="N129" i="24" s="1" a="1"/>
  <c r="F129" i="24"/>
  <c r="U144" i="24"/>
  <c r="S144" i="24" a="1"/>
  <c r="O144" i="24" a="1"/>
  <c r="K144" i="24"/>
  <c r="J144" i="24"/>
  <c r="N144" i="24" s="1" a="1"/>
  <c r="F144" i="24"/>
  <c r="U136" i="24"/>
  <c r="S136" i="24" a="1"/>
  <c r="O136" i="24" a="1"/>
  <c r="K136" i="24"/>
  <c r="J136" i="24"/>
  <c r="N136" i="24" s="1" a="1"/>
  <c r="F136" i="24"/>
  <c r="U134" i="24"/>
  <c r="S134" i="24" a="1"/>
  <c r="O134" i="24" a="1"/>
  <c r="K134" i="24"/>
  <c r="J134" i="24"/>
  <c r="N134" i="24" s="1" a="1"/>
  <c r="F134" i="24"/>
  <c r="U130" i="24"/>
  <c r="S130" i="24" a="1"/>
  <c r="O130" i="24" a="1"/>
  <c r="K130" i="24"/>
  <c r="J130" i="24"/>
  <c r="N130" i="24" s="1" a="1"/>
  <c r="F130" i="24"/>
  <c r="U147" i="24"/>
  <c r="S147" i="24" a="1"/>
  <c r="O147" i="24" a="1"/>
  <c r="K147" i="24"/>
  <c r="J147" i="24"/>
  <c r="N147" i="24" s="1" a="1"/>
  <c r="F147" i="24"/>
  <c r="U133" i="24"/>
  <c r="S133" i="24" a="1"/>
  <c r="O133" i="24" a="1"/>
  <c r="K133" i="24"/>
  <c r="J133" i="24"/>
  <c r="N133" i="24" s="1" a="1"/>
  <c r="F133" i="24"/>
  <c r="U123" i="24"/>
  <c r="S123" i="24" a="1"/>
  <c r="O123" i="24" a="1"/>
  <c r="K123" i="24"/>
  <c r="J123" i="24"/>
  <c r="N123" i="24" s="1" a="1"/>
  <c r="F123" i="24"/>
  <c r="U122" i="24"/>
  <c r="S122" i="24" a="1"/>
  <c r="O122" i="24" a="1"/>
  <c r="K122" i="24"/>
  <c r="J122" i="24"/>
  <c r="N122" i="24" s="1" a="1"/>
  <c r="F122" i="24"/>
  <c r="U125" i="24"/>
  <c r="S125" i="24" a="1"/>
  <c r="O125" i="24" a="1"/>
  <c r="K125" i="24"/>
  <c r="J125" i="24"/>
  <c r="N125" i="24" s="1" a="1"/>
  <c r="F125" i="24"/>
  <c r="U126" i="24"/>
  <c r="S126" i="24" a="1"/>
  <c r="O126" i="24" a="1"/>
  <c r="K126" i="24"/>
  <c r="J126" i="24"/>
  <c r="N126" i="24" s="1" a="1"/>
  <c r="F126" i="24"/>
  <c r="U121" i="24"/>
  <c r="S121" i="24" a="1"/>
  <c r="O121" i="24" a="1"/>
  <c r="K121" i="24"/>
  <c r="J121" i="24"/>
  <c r="N121" i="24" s="1" a="1"/>
  <c r="F121" i="24"/>
  <c r="U124" i="24"/>
  <c r="S124" i="24" a="1"/>
  <c r="O124" i="24" a="1"/>
  <c r="K124" i="24"/>
  <c r="J124" i="24"/>
  <c r="N124" i="24" s="1" a="1"/>
  <c r="F124" i="24"/>
  <c r="U127" i="24"/>
  <c r="S127" i="24" a="1"/>
  <c r="O127" i="24" a="1"/>
  <c r="J127" i="24"/>
  <c r="N127" i="24" s="1" a="1"/>
  <c r="F127" i="24"/>
  <c r="U111" i="24"/>
  <c r="S111" i="24" a="1"/>
  <c r="O111" i="24" a="1"/>
  <c r="K111" i="24"/>
  <c r="J111" i="24"/>
  <c r="N111" i="24" s="1" a="1"/>
  <c r="F111" i="24"/>
  <c r="U117" i="24"/>
  <c r="S117" i="24" a="1"/>
  <c r="O117" i="24" a="1"/>
  <c r="K117" i="24"/>
  <c r="J117" i="24"/>
  <c r="N117" i="24" s="1" a="1"/>
  <c r="F117" i="24"/>
  <c r="U110" i="24"/>
  <c r="S110" i="24" a="1"/>
  <c r="O110" i="24" a="1"/>
  <c r="K110" i="24"/>
  <c r="J110" i="24"/>
  <c r="N110" i="24" s="1" a="1"/>
  <c r="F110" i="24"/>
  <c r="U112" i="24"/>
  <c r="S112" i="24" a="1"/>
  <c r="O112" i="24" a="1"/>
  <c r="K112" i="24"/>
  <c r="J112" i="24"/>
  <c r="N112" i="24" s="1" a="1"/>
  <c r="F112" i="24"/>
  <c r="U113" i="24"/>
  <c r="S113" i="24" a="1"/>
  <c r="O113" i="24" a="1"/>
  <c r="K113" i="24"/>
  <c r="J113" i="24"/>
  <c r="N113" i="24" s="1" a="1"/>
  <c r="F113" i="24"/>
  <c r="U116" i="24"/>
  <c r="S116" i="24" a="1"/>
  <c r="O116" i="24" a="1"/>
  <c r="K116" i="24"/>
  <c r="J116" i="24"/>
  <c r="N116" i="24" s="1" a="1"/>
  <c r="F116" i="24"/>
  <c r="U118" i="24"/>
  <c r="S118" i="24" a="1"/>
  <c r="O118" i="24" a="1"/>
  <c r="K118" i="24"/>
  <c r="J118" i="24"/>
  <c r="N118" i="24" s="1" a="1"/>
  <c r="F118" i="24"/>
  <c r="U108" i="24"/>
  <c r="S108" i="24" a="1"/>
  <c r="O108" i="24" a="1"/>
  <c r="K108" i="24"/>
  <c r="J108" i="24"/>
  <c r="N108" i="24" s="1" a="1"/>
  <c r="F108" i="24"/>
  <c r="U119" i="24"/>
  <c r="S119" i="24" a="1"/>
  <c r="O119" i="24" a="1"/>
  <c r="N119" i="24" a="1"/>
  <c r="F119" i="24"/>
  <c r="U109" i="24"/>
  <c r="S109" i="24" a="1"/>
  <c r="O109" i="24" a="1"/>
  <c r="J109" i="24"/>
  <c r="N109" i="24" s="1" a="1"/>
  <c r="F109" i="24"/>
  <c r="U120" i="24"/>
  <c r="S120" i="24" a="1"/>
  <c r="O120" i="24" a="1"/>
  <c r="N120" i="24" a="1"/>
  <c r="F120" i="24"/>
  <c r="U115" i="24"/>
  <c r="S115" i="24" a="1"/>
  <c r="O115" i="24" a="1"/>
  <c r="K115" i="24"/>
  <c r="J115" i="24"/>
  <c r="N115" i="24" s="1" a="1"/>
  <c r="F115" i="24"/>
  <c r="U114" i="24"/>
  <c r="S114" i="24" a="1"/>
  <c r="O114" i="24" a="1"/>
  <c r="J114" i="24"/>
  <c r="N114" i="24" s="1" a="1"/>
  <c r="F114" i="24"/>
  <c r="U94" i="24"/>
  <c r="S94" i="24" a="1"/>
  <c r="O94" i="24" a="1"/>
  <c r="N94" i="24" a="1"/>
  <c r="F94" i="24"/>
  <c r="U96" i="24"/>
  <c r="S96" i="24" a="1"/>
  <c r="O96" i="24" a="1"/>
  <c r="N96" i="24" a="1"/>
  <c r="F96" i="24"/>
  <c r="U105" i="24"/>
  <c r="S105" i="24" a="1"/>
  <c r="O105" i="24" a="1"/>
  <c r="K105" i="24"/>
  <c r="J105" i="24"/>
  <c r="N105" i="24" s="1" a="1"/>
  <c r="F105" i="24"/>
  <c r="U93" i="24"/>
  <c r="S93" i="24" a="1"/>
  <c r="O93" i="24" a="1"/>
  <c r="K93" i="24"/>
  <c r="J93" i="24"/>
  <c r="N93" i="24" s="1" a="1"/>
  <c r="F93" i="24"/>
  <c r="U101" i="24"/>
  <c r="S101" i="24" a="1"/>
  <c r="O101" i="24" a="1"/>
  <c r="K101" i="24"/>
  <c r="J101" i="24"/>
  <c r="N101" i="24" s="1" a="1"/>
  <c r="F101" i="24"/>
  <c r="U97" i="24"/>
  <c r="S97" i="24" a="1"/>
  <c r="O97" i="24" a="1"/>
  <c r="K97" i="24"/>
  <c r="J97" i="24"/>
  <c r="N97" i="24" s="1" a="1"/>
  <c r="F97" i="24"/>
  <c r="U92" i="24"/>
  <c r="S92" i="24" a="1"/>
  <c r="O92" i="24" a="1"/>
  <c r="K92" i="24"/>
  <c r="J92" i="24"/>
  <c r="N92" i="24" s="1" a="1"/>
  <c r="F92" i="24"/>
  <c r="U99" i="24"/>
  <c r="S99" i="24" a="1"/>
  <c r="O99" i="24" a="1"/>
  <c r="K99" i="24"/>
  <c r="J99" i="24"/>
  <c r="N99" i="24" s="1" a="1"/>
  <c r="F99" i="24"/>
  <c r="U95" i="24"/>
  <c r="S95" i="24" a="1"/>
  <c r="O95" i="24" a="1"/>
  <c r="N95" i="24" a="1"/>
  <c r="F95" i="24"/>
  <c r="U104" i="24"/>
  <c r="S104" i="24" a="1"/>
  <c r="O104" i="24" a="1"/>
  <c r="N104" i="24" a="1"/>
  <c r="F104" i="24"/>
  <c r="U98" i="24"/>
  <c r="S98" i="24" a="1"/>
  <c r="O98" i="24" a="1"/>
  <c r="K98" i="24"/>
  <c r="J98" i="24"/>
  <c r="N98" i="24" s="1" a="1"/>
  <c r="F98" i="24"/>
  <c r="U91" i="24"/>
  <c r="S91" i="24" a="1"/>
  <c r="O91" i="24" a="1"/>
  <c r="K91" i="24"/>
  <c r="J91" i="24"/>
  <c r="N91" i="24" s="1" a="1"/>
  <c r="F91" i="24"/>
  <c r="U102" i="24"/>
  <c r="S102" i="24" a="1"/>
  <c r="O102" i="24" a="1"/>
  <c r="K102" i="24"/>
  <c r="J102" i="24"/>
  <c r="N102" i="24" s="1" a="1"/>
  <c r="F102" i="24"/>
  <c r="U106" i="24"/>
  <c r="S106" i="24" a="1"/>
  <c r="O106" i="24" a="1"/>
  <c r="N106" i="24" a="1"/>
  <c r="F106" i="24"/>
  <c r="U90" i="24"/>
  <c r="S90" i="24" a="1"/>
  <c r="O90" i="24" a="1"/>
  <c r="K90" i="24"/>
  <c r="J90" i="24"/>
  <c r="N90" i="24" s="1" a="1"/>
  <c r="F90" i="24"/>
  <c r="U103" i="24"/>
  <c r="S103" i="24" a="1"/>
  <c r="O103" i="24" a="1"/>
  <c r="N103" i="24" a="1"/>
  <c r="F103" i="24"/>
  <c r="U107" i="24"/>
  <c r="S107" i="24" a="1"/>
  <c r="O107" i="24" a="1"/>
  <c r="K107" i="24"/>
  <c r="J107" i="24"/>
  <c r="N107" i="24" s="1" a="1"/>
  <c r="F107" i="24"/>
  <c r="U100" i="24"/>
  <c r="S100" i="24" a="1"/>
  <c r="O100" i="24" a="1"/>
  <c r="N100" i="24" a="1"/>
  <c r="F100" i="24"/>
  <c r="U76" i="24"/>
  <c r="S76" i="24" a="1"/>
  <c r="O76" i="24" a="1"/>
  <c r="N76" i="24" a="1"/>
  <c r="F76" i="24"/>
  <c r="U74" i="24"/>
  <c r="S74" i="24" a="1"/>
  <c r="O74" i="24" a="1"/>
  <c r="N74" i="24" a="1"/>
  <c r="F74" i="24"/>
  <c r="U75" i="24"/>
  <c r="S75" i="24" a="1"/>
  <c r="O75" i="24" a="1"/>
  <c r="K75" i="24"/>
  <c r="J75" i="24"/>
  <c r="N75" i="24" s="1" a="1"/>
  <c r="F75" i="24"/>
  <c r="U82" i="24"/>
  <c r="S82" i="24" a="1"/>
  <c r="O82" i="24" a="1"/>
  <c r="K82" i="24"/>
  <c r="J82" i="24"/>
  <c r="N82" i="24" s="1" a="1"/>
  <c r="F82" i="24"/>
  <c r="U73" i="24"/>
  <c r="S73" i="24" a="1"/>
  <c r="O73" i="24" a="1"/>
  <c r="K73" i="24"/>
  <c r="J73" i="24"/>
  <c r="N73" i="24" s="1" a="1"/>
  <c r="F73" i="24"/>
  <c r="U81" i="24"/>
  <c r="S81" i="24" a="1"/>
  <c r="O81" i="24" a="1"/>
  <c r="K81" i="24"/>
  <c r="J81" i="24"/>
  <c r="N81" i="24" s="1" a="1"/>
  <c r="F81" i="24"/>
  <c r="U79" i="24"/>
  <c r="S79" i="24" a="1"/>
  <c r="O79" i="24" a="1"/>
  <c r="K79" i="24"/>
  <c r="J79" i="24"/>
  <c r="N79" i="24" s="1" a="1"/>
  <c r="F79" i="24"/>
  <c r="U85" i="24"/>
  <c r="S85" i="24" a="1"/>
  <c r="O85" i="24" a="1"/>
  <c r="K85" i="24"/>
  <c r="J85" i="24"/>
  <c r="N85" i="24" s="1" a="1"/>
  <c r="F85" i="24"/>
  <c r="U83" i="24"/>
  <c r="S83" i="24" a="1"/>
  <c r="O83" i="24" a="1"/>
  <c r="K83" i="24"/>
  <c r="J83" i="24"/>
  <c r="N83" i="24" s="1" a="1"/>
  <c r="F83" i="24"/>
  <c r="U77" i="24"/>
  <c r="S77" i="24" a="1"/>
  <c r="O77" i="24" a="1"/>
  <c r="K77" i="24"/>
  <c r="J77" i="24"/>
  <c r="N77" i="24" s="1" a="1"/>
  <c r="F77" i="24"/>
  <c r="U84" i="24"/>
  <c r="S84" i="24" a="1"/>
  <c r="O84" i="24" a="1"/>
  <c r="K84" i="24"/>
  <c r="J84" i="24"/>
  <c r="N84" i="24" s="1" a="1"/>
  <c r="F84" i="24"/>
  <c r="U72" i="24"/>
  <c r="S72" i="24" a="1"/>
  <c r="O72" i="24" a="1"/>
  <c r="K72" i="24"/>
  <c r="J72" i="24"/>
  <c r="N72" i="24" s="1" a="1"/>
  <c r="F72" i="24"/>
  <c r="U80" i="24"/>
  <c r="S80" i="24" a="1"/>
  <c r="O80" i="24" a="1"/>
  <c r="K80" i="24"/>
  <c r="J80" i="24"/>
  <c r="N80" i="24" s="1" a="1"/>
  <c r="F80" i="24"/>
  <c r="U89" i="24"/>
  <c r="S89" i="24" a="1"/>
  <c r="O89" i="24" a="1"/>
  <c r="N89" i="24" a="1"/>
  <c r="F89" i="24"/>
  <c r="U88" i="24"/>
  <c r="S88" i="24" a="1"/>
  <c r="O88" i="24" a="1"/>
  <c r="K88" i="24"/>
  <c r="J88" i="24"/>
  <c r="N88" i="24" s="1" a="1"/>
  <c r="F88" i="24"/>
  <c r="U78" i="24"/>
  <c r="S78" i="24" a="1"/>
  <c r="O78" i="24" a="1"/>
  <c r="K78" i="24"/>
  <c r="J78" i="24"/>
  <c r="N78" i="24" s="1" a="1"/>
  <c r="F78" i="24"/>
  <c r="U86" i="24"/>
  <c r="S86" i="24" a="1"/>
  <c r="O86" i="24" a="1"/>
  <c r="K86" i="24"/>
  <c r="J86" i="24"/>
  <c r="N86" i="24" s="1" a="1"/>
  <c r="F86" i="24"/>
  <c r="U87" i="24"/>
  <c r="S87" i="24" a="1"/>
  <c r="O87" i="24" a="1"/>
  <c r="K87" i="24"/>
  <c r="J87" i="24"/>
  <c r="N87" i="24" s="1" a="1"/>
  <c r="F87" i="24"/>
  <c r="U71" i="24"/>
  <c r="S71" i="24" a="1"/>
  <c r="O71" i="24" a="1"/>
  <c r="N71" i="24" a="1"/>
  <c r="F71" i="24"/>
  <c r="U56" i="24"/>
  <c r="S56" i="24" a="1"/>
  <c r="O56" i="24" a="1"/>
  <c r="J56" i="24"/>
  <c r="N56" i="24" s="1" a="1"/>
  <c r="F56" i="24"/>
  <c r="U57" i="24"/>
  <c r="S57" i="24" a="1"/>
  <c r="O57" i="24" a="1"/>
  <c r="K57" i="24"/>
  <c r="J57" i="24"/>
  <c r="N57" i="24" s="1" a="1"/>
  <c r="F57" i="24"/>
  <c r="U66" i="24"/>
  <c r="S66" i="24" a="1"/>
  <c r="O66" i="24" a="1"/>
  <c r="N66" i="24" a="1"/>
  <c r="F66" i="24"/>
  <c r="U62" i="24"/>
  <c r="S62" i="24" a="1"/>
  <c r="O62" i="24" a="1"/>
  <c r="N62" i="24" a="1"/>
  <c r="F62" i="24"/>
  <c r="U59" i="24"/>
  <c r="S59" i="24" a="1"/>
  <c r="O59" i="24" a="1"/>
  <c r="K59" i="24"/>
  <c r="J59" i="24"/>
  <c r="N59" i="24" s="1" a="1"/>
  <c r="F59" i="24"/>
  <c r="U67" i="24"/>
  <c r="S67" i="24" a="1"/>
  <c r="O67" i="24" a="1"/>
  <c r="K67" i="24"/>
  <c r="J67" i="24"/>
  <c r="N67" i="24" s="1" a="1"/>
  <c r="F67" i="24"/>
  <c r="U61" i="24"/>
  <c r="S61" i="24" a="1"/>
  <c r="O61" i="24" a="1"/>
  <c r="K61" i="24"/>
  <c r="J61" i="24"/>
  <c r="N61" i="24" s="1" a="1"/>
  <c r="F61" i="24"/>
  <c r="U63" i="24"/>
  <c r="S63" i="24" a="1"/>
  <c r="O63" i="24" a="1"/>
  <c r="K63" i="24"/>
  <c r="J63" i="24"/>
  <c r="N63" i="24" s="1" a="1"/>
  <c r="F63" i="24"/>
  <c r="U54" i="24"/>
  <c r="S54" i="24" a="1"/>
  <c r="O54" i="24" a="1"/>
  <c r="K54" i="24"/>
  <c r="J54" i="24"/>
  <c r="N54" i="24" s="1" a="1"/>
  <c r="F54" i="24"/>
  <c r="U70" i="24"/>
  <c r="S70" i="24" a="1"/>
  <c r="O70" i="24" a="1"/>
  <c r="J70" i="24"/>
  <c r="N70" i="24" s="1" a="1"/>
  <c r="F70" i="24"/>
  <c r="U64" i="24"/>
  <c r="S64" i="24" a="1"/>
  <c r="O64" i="24" a="1"/>
  <c r="N64" i="24" a="1"/>
  <c r="F64" i="24"/>
  <c r="U69" i="24"/>
  <c r="S69" i="24" a="1"/>
  <c r="O69" i="24" a="1"/>
  <c r="K69" i="24"/>
  <c r="J69" i="24"/>
  <c r="N69" i="24" s="1" a="1"/>
  <c r="F69" i="24"/>
  <c r="U60" i="24"/>
  <c r="S60" i="24" a="1"/>
  <c r="O60" i="24" a="1"/>
  <c r="K60" i="24"/>
  <c r="J60" i="24"/>
  <c r="N60" i="24" s="1" a="1"/>
  <c r="F60" i="24"/>
  <c r="U65" i="24"/>
  <c r="S65" i="24" a="1"/>
  <c r="O65" i="24" a="1"/>
  <c r="K65" i="24"/>
  <c r="J65" i="24"/>
  <c r="N65" i="24" s="1" a="1"/>
  <c r="F65" i="24"/>
  <c r="U58" i="24"/>
  <c r="S58" i="24" a="1"/>
  <c r="O58" i="24" a="1"/>
  <c r="K58" i="24"/>
  <c r="J58" i="24"/>
  <c r="N58" i="24" s="1" a="1"/>
  <c r="F58" i="24"/>
  <c r="U55" i="24"/>
  <c r="S55" i="24" a="1"/>
  <c r="O55" i="24" a="1"/>
  <c r="K55" i="24"/>
  <c r="J55" i="24"/>
  <c r="N55" i="24" s="1" a="1"/>
  <c r="F55" i="24"/>
  <c r="U68" i="24"/>
  <c r="S68" i="24" a="1"/>
  <c r="O68" i="24" a="1"/>
  <c r="K68" i="24"/>
  <c r="J68" i="24"/>
  <c r="N68" i="24" s="1" a="1"/>
  <c r="F68" i="24"/>
  <c r="U49" i="24"/>
  <c r="S49" i="24" a="1"/>
  <c r="O49" i="24" a="1"/>
  <c r="N49" i="24" a="1"/>
  <c r="F49" i="24"/>
  <c r="U44" i="24"/>
  <c r="S44" i="24" a="1"/>
  <c r="O44" i="24" a="1"/>
  <c r="K44" i="24"/>
  <c r="J44" i="24"/>
  <c r="N44" i="24" s="1" a="1"/>
  <c r="F44" i="24"/>
  <c r="U47" i="24"/>
  <c r="S47" i="24" a="1"/>
  <c r="O47" i="24" a="1"/>
  <c r="K47" i="24"/>
  <c r="J47" i="24"/>
  <c r="N47" i="24" s="1" a="1"/>
  <c r="F47" i="24"/>
  <c r="U42" i="24"/>
  <c r="S42" i="24" a="1"/>
  <c r="O42" i="24" a="1"/>
  <c r="K42" i="24"/>
  <c r="J42" i="24"/>
  <c r="N42" i="24" s="1" a="1"/>
  <c r="F42" i="24"/>
  <c r="U53" i="24"/>
  <c r="S53" i="24" a="1"/>
  <c r="O53" i="24" a="1"/>
  <c r="K53" i="24"/>
  <c r="J53" i="24"/>
  <c r="N53" i="24" s="1" a="1"/>
  <c r="F53" i="24"/>
  <c r="U50" i="24"/>
  <c r="S50" i="24" a="1"/>
  <c r="O50" i="24" a="1"/>
  <c r="K50" i="24"/>
  <c r="J50" i="24"/>
  <c r="N50" i="24" s="1" a="1"/>
  <c r="F50" i="24"/>
  <c r="U37" i="24"/>
  <c r="S37" i="24" a="1"/>
  <c r="O37" i="24" a="1"/>
  <c r="J37" i="24"/>
  <c r="N37" i="24" s="1" a="1"/>
  <c r="F37" i="24"/>
  <c r="U34" i="24"/>
  <c r="S34" i="24" a="1"/>
  <c r="O34" i="24" a="1"/>
  <c r="N34" i="24" a="1"/>
  <c r="F34" i="24"/>
  <c r="U41" i="24"/>
  <c r="S41" i="24" a="1"/>
  <c r="O41" i="24" a="1"/>
  <c r="K41" i="24"/>
  <c r="J41" i="24"/>
  <c r="N41" i="24" s="1" a="1"/>
  <c r="F41" i="24"/>
  <c r="U40" i="24"/>
  <c r="S40" i="24" a="1"/>
  <c r="O40" i="24" a="1"/>
  <c r="K40" i="24"/>
  <c r="J40" i="24"/>
  <c r="N40" i="24" s="1" a="1"/>
  <c r="F40" i="24"/>
  <c r="U36" i="24"/>
  <c r="S36" i="24" a="1"/>
  <c r="O36" i="24" a="1"/>
  <c r="K36" i="24"/>
  <c r="J36" i="24"/>
  <c r="N36" i="24" s="1" a="1"/>
  <c r="F36" i="24"/>
  <c r="U35" i="24"/>
  <c r="S35" i="24" a="1"/>
  <c r="O35" i="24" a="1"/>
  <c r="K35" i="24"/>
  <c r="J35" i="24"/>
  <c r="N35" i="24" s="1" a="1"/>
  <c r="F35" i="24"/>
  <c r="U46" i="24"/>
  <c r="S46" i="24" a="1"/>
  <c r="O46" i="24" a="1"/>
  <c r="N46" i="24" a="1"/>
  <c r="F46" i="24"/>
  <c r="U38" i="24"/>
  <c r="S38" i="24" a="1"/>
  <c r="O38" i="24" a="1"/>
  <c r="K38" i="24"/>
  <c r="J38" i="24"/>
  <c r="N38" i="24" s="1" a="1"/>
  <c r="F38" i="24"/>
  <c r="U45" i="24"/>
  <c r="S45" i="24" a="1"/>
  <c r="O45" i="24" a="1"/>
  <c r="K45" i="24"/>
  <c r="J45" i="24"/>
  <c r="N45" i="24" s="1" a="1"/>
  <c r="F45" i="24"/>
  <c r="U51" i="24"/>
  <c r="S51" i="24" a="1"/>
  <c r="O51" i="24" a="1"/>
  <c r="K51" i="24"/>
  <c r="J51" i="24"/>
  <c r="N51" i="24" s="1" a="1"/>
  <c r="F51" i="24"/>
  <c r="U48" i="24"/>
  <c r="S48" i="24" a="1"/>
  <c r="O48" i="24" a="1"/>
  <c r="N48" i="24" a="1"/>
  <c r="F48" i="24"/>
  <c r="U43" i="24"/>
  <c r="S43" i="24" a="1"/>
  <c r="O43" i="24" a="1"/>
  <c r="K43" i="24"/>
  <c r="J43" i="24"/>
  <c r="N43" i="24" s="1" a="1"/>
  <c r="F43" i="24"/>
  <c r="U39" i="24"/>
  <c r="S39" i="24" a="1"/>
  <c r="O39" i="24" a="1"/>
  <c r="K39" i="24"/>
  <c r="J39" i="24"/>
  <c r="N39" i="24" s="1" a="1"/>
  <c r="F39" i="24"/>
  <c r="U52" i="24"/>
  <c r="S52" i="24" a="1"/>
  <c r="O52" i="24" a="1"/>
  <c r="K52" i="24"/>
  <c r="J52" i="24"/>
  <c r="N52" i="24" s="1" a="1"/>
  <c r="F52" i="24"/>
  <c r="U31" i="24"/>
  <c r="S31" i="24" a="1"/>
  <c r="O31" i="24" a="1"/>
  <c r="K31" i="24"/>
  <c r="J31" i="24"/>
  <c r="N31" i="24" s="1" a="1"/>
  <c r="F31" i="24"/>
  <c r="U24" i="24"/>
  <c r="S24" i="24" a="1"/>
  <c r="O24" i="24" a="1"/>
  <c r="K24" i="24"/>
  <c r="J24" i="24"/>
  <c r="N24" i="24" s="1" a="1"/>
  <c r="F24" i="24"/>
  <c r="U18" i="24"/>
  <c r="S18" i="24" a="1"/>
  <c r="O18" i="24" a="1"/>
  <c r="K18" i="24"/>
  <c r="J18" i="24"/>
  <c r="N18" i="24" s="1" a="1"/>
  <c r="F18" i="24"/>
  <c r="U21" i="24"/>
  <c r="S21" i="24" a="1"/>
  <c r="O21" i="24" a="1"/>
  <c r="K21" i="24"/>
  <c r="J21" i="24"/>
  <c r="N21" i="24" s="1" a="1"/>
  <c r="F21" i="24"/>
  <c r="U25" i="24"/>
  <c r="S25" i="24" a="1"/>
  <c r="O25" i="24" a="1"/>
  <c r="K25" i="24"/>
  <c r="J25" i="24"/>
  <c r="N25" i="24" s="1" a="1"/>
  <c r="F25" i="24"/>
  <c r="U9" i="24"/>
  <c r="S9" i="24" a="1"/>
  <c r="O9" i="24" a="1"/>
  <c r="K9" i="24"/>
  <c r="J9" i="24"/>
  <c r="N9" i="24" s="1" a="1"/>
  <c r="F9" i="24"/>
  <c r="U15" i="24"/>
  <c r="S15" i="24" a="1"/>
  <c r="O15" i="24" a="1"/>
  <c r="K15" i="24"/>
  <c r="J15" i="24"/>
  <c r="N15" i="24" s="1" a="1"/>
  <c r="F15" i="24"/>
  <c r="U22" i="24"/>
  <c r="S22" i="24" a="1"/>
  <c r="O22" i="24" a="1"/>
  <c r="K22" i="24"/>
  <c r="J22" i="24"/>
  <c r="N22" i="24" s="1" a="1"/>
  <c r="F22" i="24"/>
  <c r="U16" i="24"/>
  <c r="S16" i="24" a="1"/>
  <c r="O16" i="24" a="1"/>
  <c r="K16" i="24"/>
  <c r="J16" i="24"/>
  <c r="N16" i="24" s="1" a="1"/>
  <c r="F16" i="24"/>
  <c r="U17" i="24"/>
  <c r="S17" i="24" a="1"/>
  <c r="O17" i="24" a="1"/>
  <c r="K17" i="24"/>
  <c r="J17" i="24"/>
  <c r="N17" i="24" s="1" a="1"/>
  <c r="F17" i="24"/>
  <c r="U27" i="24"/>
  <c r="S27" i="24" a="1"/>
  <c r="O27" i="24" a="1"/>
  <c r="K27" i="24"/>
  <c r="J27" i="24"/>
  <c r="N27" i="24" s="1" a="1"/>
  <c r="F27" i="24"/>
  <c r="U23" i="24"/>
  <c r="S23" i="24" a="1"/>
  <c r="O23" i="24" a="1"/>
  <c r="K23" i="24"/>
  <c r="J23" i="24"/>
  <c r="N23" i="24" s="1" a="1"/>
  <c r="F23" i="24"/>
  <c r="U12" i="24"/>
  <c r="S12" i="24" a="1"/>
  <c r="O12" i="24" a="1"/>
  <c r="K12" i="24"/>
  <c r="J12" i="24"/>
  <c r="N12" i="24" s="1" a="1"/>
  <c r="F12" i="24"/>
  <c r="U13" i="24"/>
  <c r="S13" i="24" a="1"/>
  <c r="O13" i="24" a="1"/>
  <c r="K13" i="24"/>
  <c r="J13" i="24"/>
  <c r="N13" i="24" s="1" a="1"/>
  <c r="F13" i="24"/>
  <c r="U26" i="24"/>
  <c r="S26" i="24" a="1"/>
  <c r="O26" i="24" a="1"/>
  <c r="K26" i="24"/>
  <c r="J26" i="24"/>
  <c r="N26" i="24" s="1" a="1"/>
  <c r="F26" i="24"/>
  <c r="U32" i="24"/>
  <c r="S32" i="24" a="1"/>
  <c r="O32" i="24" a="1"/>
  <c r="K32" i="24"/>
  <c r="J32" i="24"/>
  <c r="N32" i="24" s="1" a="1"/>
  <c r="F32" i="24"/>
  <c r="U8" i="24"/>
  <c r="S8" i="24" a="1"/>
  <c r="O8" i="24" a="1"/>
  <c r="K8" i="24"/>
  <c r="J8" i="24"/>
  <c r="N8" i="24" s="1" a="1"/>
  <c r="F8" i="24"/>
  <c r="U11" i="24"/>
  <c r="S11" i="24" a="1"/>
  <c r="O11" i="24" a="1"/>
  <c r="K11" i="24"/>
  <c r="J11" i="24"/>
  <c r="N11" i="24" s="1" a="1"/>
  <c r="F11" i="24"/>
  <c r="U14" i="24"/>
  <c r="S14" i="24" a="1"/>
  <c r="O14" i="24" a="1"/>
  <c r="K14" i="24"/>
  <c r="J14" i="24"/>
  <c r="N14" i="24" s="1" a="1"/>
  <c r="F14" i="24"/>
  <c r="U10" i="24"/>
  <c r="S10" i="24" a="1"/>
  <c r="O10" i="24" a="1"/>
  <c r="K10" i="24"/>
  <c r="J10" i="24"/>
  <c r="N10" i="24" s="1" a="1"/>
  <c r="F10" i="24"/>
  <c r="U6" i="24"/>
  <c r="S6" i="24" a="1"/>
  <c r="O6" i="24" a="1"/>
  <c r="K6" i="24"/>
  <c r="J6" i="24"/>
  <c r="N6" i="24" s="1" a="1"/>
  <c r="F6" i="24"/>
  <c r="U19" i="24"/>
  <c r="S19" i="24" a="1"/>
  <c r="O19" i="24" a="1"/>
  <c r="K19" i="24"/>
  <c r="J19" i="24"/>
  <c r="N19" i="24" s="1" a="1"/>
  <c r="F19" i="24"/>
  <c r="U5" i="24"/>
  <c r="S5" i="24" a="1"/>
  <c r="O5" i="24" a="1"/>
  <c r="K5" i="24"/>
  <c r="J5" i="24"/>
  <c r="N5" i="24" s="1" a="1"/>
  <c r="F5" i="24"/>
  <c r="U29" i="24"/>
  <c r="S29" i="24" a="1"/>
  <c r="O29" i="24" a="1"/>
  <c r="K29" i="24"/>
  <c r="J29" i="24"/>
  <c r="N29" i="24" s="1" a="1"/>
  <c r="F29" i="24"/>
  <c r="U7" i="24"/>
  <c r="S7" i="24" a="1"/>
  <c r="O7" i="24" a="1"/>
  <c r="K7" i="24"/>
  <c r="J7" i="24"/>
  <c r="N7" i="24" s="1" a="1"/>
  <c r="F7" i="24"/>
  <c r="U30" i="24"/>
  <c r="S30" i="24" a="1"/>
  <c r="O30" i="24" a="1"/>
  <c r="K30" i="24"/>
  <c r="J30" i="24"/>
  <c r="N30" i="24" s="1" a="1"/>
  <c r="F30" i="24"/>
  <c r="U20" i="24"/>
  <c r="S20" i="24" a="1"/>
  <c r="O20" i="24" a="1"/>
  <c r="K20" i="24"/>
  <c r="J20" i="24"/>
  <c r="N20" i="24" s="1" a="1"/>
  <c r="F20" i="24"/>
  <c r="U33" i="24"/>
  <c r="S33" i="24" a="1"/>
  <c r="O33" i="24" a="1"/>
  <c r="K33" i="24"/>
  <c r="J33" i="24"/>
  <c r="N33" i="24" s="1" a="1"/>
  <c r="F33" i="24"/>
  <c r="U28" i="24"/>
  <c r="S28" i="24" a="1"/>
  <c r="O28" i="24" a="1"/>
  <c r="K28" i="24"/>
  <c r="J28" i="24"/>
  <c r="N28" i="24" s="1" a="1"/>
  <c r="F28" i="24"/>
  <c r="Q15" i="76" l="1"/>
  <c r="B17" i="71"/>
  <c r="B16" i="71"/>
  <c r="R55" i="79"/>
  <c r="Z37" i="76"/>
  <c r="Z36" i="76"/>
  <c r="Z29" i="76"/>
  <c r="Z28" i="76"/>
  <c r="N240" i="79"/>
  <c r="N159" i="79"/>
  <c r="N158" i="79"/>
  <c r="N157" i="79"/>
  <c r="N156" i="79"/>
  <c r="N155" i="79"/>
  <c r="N154" i="79"/>
  <c r="N153" i="79"/>
  <c r="N152" i="79"/>
  <c r="N151" i="79"/>
  <c r="N150" i="79"/>
  <c r="P7" i="79"/>
  <c r="N260" i="79"/>
  <c r="N160" i="79"/>
  <c r="S38" i="79"/>
  <c r="S33" i="79"/>
  <c r="S5" i="79"/>
  <c r="R5" i="79"/>
  <c r="Q5" i="79"/>
  <c r="M232" i="79"/>
  <c r="M233" i="79" s="1"/>
  <c r="M234" i="79" s="1"/>
  <c r="M235" i="79" s="1"/>
  <c r="M236" i="79" s="1"/>
  <c r="M237" i="79" s="1"/>
  <c r="M238" i="79" s="1"/>
  <c r="M239" i="79" s="1"/>
  <c r="N231" i="79"/>
  <c r="N230" i="79"/>
  <c r="M222" i="79"/>
  <c r="M223" i="79" s="1"/>
  <c r="M224" i="79" s="1"/>
  <c r="M225" i="79" s="1"/>
  <c r="M226" i="79" s="1"/>
  <c r="M227" i="79" s="1"/>
  <c r="M228" i="79" s="1"/>
  <c r="M229" i="79" s="1"/>
  <c r="N221" i="79"/>
  <c r="N220" i="79"/>
  <c r="M212" i="79"/>
  <c r="M213" i="79" s="1"/>
  <c r="M214" i="79" s="1"/>
  <c r="M215" i="79" s="1"/>
  <c r="M216" i="79" s="1"/>
  <c r="M217" i="79" s="1"/>
  <c r="M218" i="79" s="1"/>
  <c r="M219" i="79" s="1"/>
  <c r="N211" i="79"/>
  <c r="N210" i="79"/>
  <c r="M202" i="79"/>
  <c r="M203" i="79" s="1"/>
  <c r="M204" i="79" s="1"/>
  <c r="M205" i="79" s="1"/>
  <c r="M206" i="79" s="1"/>
  <c r="M207" i="79" s="1"/>
  <c r="M208" i="79" s="1"/>
  <c r="M209" i="79" s="1"/>
  <c r="N201" i="79"/>
  <c r="N200" i="79"/>
  <c r="M192" i="79"/>
  <c r="M193" i="79" s="1"/>
  <c r="M194" i="79" s="1"/>
  <c r="M195" i="79" s="1"/>
  <c r="M196" i="79" s="1"/>
  <c r="M197" i="79" s="1"/>
  <c r="M198" i="79" s="1"/>
  <c r="M199" i="79" s="1"/>
  <c r="N191" i="79"/>
  <c r="N190" i="79"/>
  <c r="M182" i="79"/>
  <c r="M183" i="79" s="1"/>
  <c r="M184" i="79" s="1"/>
  <c r="N181" i="79"/>
  <c r="N171" i="79"/>
  <c r="S45" i="79"/>
  <c r="S43" i="79"/>
  <c r="Q11" i="79"/>
  <c r="N149" i="79"/>
  <c r="N148" i="79"/>
  <c r="O15" i="79"/>
  <c r="Q15" i="79" s="1"/>
  <c r="O14" i="79"/>
  <c r="Q14" i="79" s="1"/>
  <c r="S30" i="79"/>
  <c r="P337" i="79"/>
  <c r="T336" i="79"/>
  <c r="P336" i="79"/>
  <c r="T335" i="79"/>
  <c r="P335" i="79"/>
  <c r="T334" i="79"/>
  <c r="P334" i="79"/>
  <c r="M185" i="79"/>
  <c r="M186" i="79" s="1"/>
  <c r="N161" i="79"/>
  <c r="S34" i="79"/>
  <c r="Y29" i="79"/>
  <c r="P341" i="79"/>
  <c r="R341" i="79" s="1"/>
  <c r="T341" i="79"/>
  <c r="Y28" i="79"/>
  <c r="T337" i="79"/>
  <c r="P342" i="79"/>
  <c r="S29" i="79"/>
  <c r="S27" i="79"/>
  <c r="O16" i="79"/>
  <c r="Q16" i="79" s="1"/>
  <c r="P343" i="79"/>
  <c r="N313" i="79"/>
  <c r="N311" i="79"/>
  <c r="N310" i="79"/>
  <c r="N306" i="79"/>
  <c r="N304" i="79"/>
  <c r="N301" i="79"/>
  <c r="N293" i="79"/>
  <c r="N292" i="79"/>
  <c r="N291" i="79"/>
  <c r="N290" i="79"/>
  <c r="N288" i="79"/>
  <c r="N287" i="79"/>
  <c r="N286" i="79"/>
  <c r="N285" i="79"/>
  <c r="N284" i="79"/>
  <c r="N281" i="79"/>
  <c r="N251" i="79"/>
  <c r="N182" i="79"/>
  <c r="S44" i="79"/>
  <c r="S40" i="79"/>
  <c r="S39" i="79"/>
  <c r="Y37" i="79"/>
  <c r="N308" i="79"/>
  <c r="N307" i="79"/>
  <c r="S32" i="79"/>
  <c r="T7" i="79"/>
  <c r="T339" i="79"/>
  <c r="T340" i="79"/>
  <c r="S31" i="79"/>
  <c r="Q10" i="79"/>
  <c r="R10" i="79" s="1"/>
  <c r="S10" i="79" s="1"/>
  <c r="P340" i="79"/>
  <c r="R340" i="79" s="1"/>
  <c r="N322" i="79"/>
  <c r="N321" i="79"/>
  <c r="N320" i="79"/>
  <c r="N312" i="79"/>
  <c r="N305" i="79"/>
  <c r="N303" i="79"/>
  <c r="M262" i="79"/>
  <c r="M263" i="79" s="1"/>
  <c r="M264" i="79" s="1"/>
  <c r="M265" i="79" s="1"/>
  <c r="M266" i="79" s="1"/>
  <c r="M267" i="79" s="1"/>
  <c r="N250" i="79"/>
  <c r="M162" i="79"/>
  <c r="M163" i="79" s="1"/>
  <c r="M164" i="79" s="1"/>
  <c r="S28" i="79"/>
  <c r="S26" i="79"/>
  <c r="T26" i="79" s="1"/>
  <c r="O19" i="79"/>
  <c r="Q19" i="79" s="1"/>
  <c r="P339" i="79"/>
  <c r="R339" i="79" s="1"/>
  <c r="M252" i="79"/>
  <c r="M253" i="79" s="1"/>
  <c r="M254" i="79" s="1"/>
  <c r="M255" i="79" s="1"/>
  <c r="M242" i="79"/>
  <c r="N241" i="79"/>
  <c r="M187" i="79"/>
  <c r="M188" i="79" s="1"/>
  <c r="M189" i="79" s="1"/>
  <c r="N185" i="79"/>
  <c r="N183" i="79"/>
  <c r="N180" i="79"/>
  <c r="M172" i="79"/>
  <c r="M173" i="79" s="1"/>
  <c r="M174" i="79" s="1"/>
  <c r="M175" i="79" s="1"/>
  <c r="M176" i="79" s="1"/>
  <c r="M177" i="79" s="1"/>
  <c r="M178" i="79" s="1"/>
  <c r="M179" i="79" s="1"/>
  <c r="N170" i="79"/>
  <c r="M165" i="79"/>
  <c r="M166" i="79" s="1"/>
  <c r="M167" i="79" s="1"/>
  <c r="M168" i="79" s="1"/>
  <c r="M169" i="79" s="1"/>
  <c r="S42" i="79"/>
  <c r="S37" i="79"/>
  <c r="Y36" i="79"/>
  <c r="N327" i="79"/>
  <c r="N326" i="79"/>
  <c r="N324" i="79"/>
  <c r="N323" i="79"/>
  <c r="N317" i="79"/>
  <c r="N309" i="79"/>
  <c r="N302" i="79"/>
  <c r="N296" i="79"/>
  <c r="N294" i="79"/>
  <c r="N270" i="79"/>
  <c r="N261" i="79"/>
  <c r="S36" i="79"/>
  <c r="S35" i="79"/>
  <c r="P338" i="79"/>
  <c r="R338" i="79" s="1" a="1"/>
  <c r="N329" i="79"/>
  <c r="N328" i="79"/>
  <c r="N325" i="79"/>
  <c r="N319" i="79"/>
  <c r="N318" i="79"/>
  <c r="N316" i="79"/>
  <c r="N315" i="79"/>
  <c r="N314" i="79"/>
  <c r="N300" i="79"/>
  <c r="N299" i="79"/>
  <c r="N298" i="79"/>
  <c r="N297" i="79"/>
  <c r="N295" i="79"/>
  <c r="N289" i="79"/>
  <c r="N283" i="79"/>
  <c r="N282" i="79"/>
  <c r="N280" i="79"/>
  <c r="N279" i="79"/>
  <c r="N278" i="79"/>
  <c r="N277" i="79"/>
  <c r="N276" i="79"/>
  <c r="N275" i="79"/>
  <c r="N274" i="79"/>
  <c r="N273" i="79"/>
  <c r="N272" i="79"/>
  <c r="N271" i="79"/>
  <c r="N264" i="79"/>
  <c r="M256" i="79"/>
  <c r="M257" i="79" s="1"/>
  <c r="M258" i="79" s="1"/>
  <c r="M259" i="79" s="1"/>
  <c r="N179" i="79"/>
  <c r="N163" i="79"/>
  <c r="S41" i="79"/>
  <c r="Q10" i="76"/>
  <c r="R10" i="76" s="1"/>
  <c r="O75" i="76"/>
  <c r="O76" i="76"/>
  <c r="S82" i="76"/>
  <c r="S81" i="76"/>
  <c r="S80" i="76"/>
  <c r="S78" i="76"/>
  <c r="S77" i="76"/>
  <c r="S76" i="76"/>
  <c r="S75" i="76"/>
  <c r="O79" i="76"/>
  <c r="Q79" i="76" s="1" a="1"/>
  <c r="O84" i="76"/>
  <c r="T84" i="76" s="1"/>
  <c r="O83" i="76"/>
  <c r="T83" i="76" s="1"/>
  <c r="O82" i="76"/>
  <c r="O81" i="76"/>
  <c r="O80" i="76"/>
  <c r="O78" i="76"/>
  <c r="T78" i="76" s="1"/>
  <c r="O77" i="76"/>
  <c r="T77" i="76" s="1"/>
  <c r="B22" i="71"/>
  <c r="B5" i="71"/>
  <c r="B7" i="71"/>
  <c r="B30" i="71"/>
  <c r="N201" i="76"/>
  <c r="R55" i="76"/>
  <c r="B43" i="71"/>
  <c r="B33" i="71"/>
  <c r="B29" i="71"/>
  <c r="B42" i="71"/>
  <c r="B15" i="71"/>
  <c r="B11" i="71"/>
  <c r="B20" i="71"/>
  <c r="B39" i="71"/>
  <c r="B18" i="71"/>
  <c r="B25" i="71"/>
  <c r="B9" i="71"/>
  <c r="B13" i="71"/>
  <c r="P157" i="61"/>
  <c r="P345" i="61"/>
  <c r="P295" i="61"/>
  <c r="P355" i="61"/>
  <c r="P325" i="61"/>
  <c r="P305" i="61"/>
  <c r="P285" i="61"/>
  <c r="P335" i="61"/>
  <c r="P315" i="61"/>
  <c r="P265" i="61"/>
  <c r="P255" i="61"/>
  <c r="P245" i="61"/>
  <c r="P217" i="61"/>
  <c r="P197" i="61"/>
  <c r="P177" i="61"/>
  <c r="P235" i="61"/>
  <c r="P275" i="61"/>
  <c r="P137" i="61"/>
  <c r="N1129" i="24" a="1"/>
  <c r="N1062" i="24" a="1"/>
  <c r="N778" i="24" a="1"/>
  <c r="N739" i="24" a="1"/>
  <c r="F17" i="70"/>
  <c r="F35" i="70"/>
  <c r="F36" i="70"/>
  <c r="F37" i="70"/>
  <c r="F38" i="70"/>
  <c r="F39" i="70"/>
  <c r="F40" i="70"/>
  <c r="F41" i="70"/>
  <c r="F42" i="70"/>
  <c r="F43" i="70"/>
  <c r="F44" i="70"/>
  <c r="F45" i="70"/>
  <c r="F46" i="70"/>
  <c r="F47" i="70"/>
  <c r="F48" i="70"/>
  <c r="F49" i="70"/>
  <c r="F50" i="70"/>
  <c r="F51" i="70"/>
  <c r="F52" i="70"/>
  <c r="F53" i="70"/>
  <c r="F54" i="70"/>
  <c r="F55" i="70"/>
  <c r="F56" i="70"/>
  <c r="F57" i="70"/>
  <c r="F58" i="70"/>
  <c r="F59" i="70"/>
  <c r="F60" i="70"/>
  <c r="F61" i="70"/>
  <c r="F62" i="70"/>
  <c r="F63" i="70"/>
  <c r="F64" i="70"/>
  <c r="F65" i="70"/>
  <c r="F66" i="70"/>
  <c r="F67" i="70"/>
  <c r="F68" i="70"/>
  <c r="F69" i="70"/>
  <c r="F70" i="70"/>
  <c r="F71" i="70"/>
  <c r="F72" i="70"/>
  <c r="F73" i="70"/>
  <c r="F74" i="70"/>
  <c r="F75" i="70"/>
  <c r="F76" i="70"/>
  <c r="F77" i="70"/>
  <c r="F78" i="70"/>
  <c r="F79" i="70"/>
  <c r="F80" i="70"/>
  <c r="F81" i="70"/>
  <c r="F82" i="70"/>
  <c r="F83" i="70"/>
  <c r="F84" i="70"/>
  <c r="F85" i="70"/>
  <c r="F86" i="70"/>
  <c r="F87" i="70"/>
  <c r="F88" i="70"/>
  <c r="F89" i="70"/>
  <c r="F90" i="70"/>
  <c r="F91" i="70"/>
  <c r="F92" i="70"/>
  <c r="F93" i="70"/>
  <c r="F94" i="70"/>
  <c r="F95" i="70"/>
  <c r="F96" i="70"/>
  <c r="F97" i="70"/>
  <c r="F98" i="70"/>
  <c r="F99" i="70"/>
  <c r="F100" i="70"/>
  <c r="F101" i="70"/>
  <c r="F102" i="70"/>
  <c r="F103" i="70"/>
  <c r="F104" i="70"/>
  <c r="F105" i="70"/>
  <c r="F106" i="70"/>
  <c r="F107" i="70"/>
  <c r="F108" i="70"/>
  <c r="F109" i="70"/>
  <c r="F110" i="70"/>
  <c r="F111" i="70"/>
  <c r="F112" i="70"/>
  <c r="F113" i="70"/>
  <c r="F114" i="70"/>
  <c r="F115" i="70"/>
  <c r="F116" i="70"/>
  <c r="F117" i="70"/>
  <c r="F118" i="70"/>
  <c r="F119" i="70"/>
  <c r="F120" i="70"/>
  <c r="F121" i="70"/>
  <c r="F122" i="70"/>
  <c r="F123" i="70"/>
  <c r="F124" i="70"/>
  <c r="F125" i="70"/>
  <c r="F126" i="70"/>
  <c r="F127" i="70"/>
  <c r="F128" i="70"/>
  <c r="F129" i="70"/>
  <c r="F130" i="70"/>
  <c r="F131" i="70"/>
  <c r="F132" i="70"/>
  <c r="F133" i="70"/>
  <c r="F134" i="70"/>
  <c r="F135" i="70"/>
  <c r="F136" i="70"/>
  <c r="F137" i="70"/>
  <c r="F138" i="70"/>
  <c r="F139" i="70"/>
  <c r="F140" i="70"/>
  <c r="F141" i="70"/>
  <c r="F142" i="70"/>
  <c r="F143" i="70"/>
  <c r="F144" i="70"/>
  <c r="F145" i="70"/>
  <c r="F146" i="70"/>
  <c r="F147" i="70"/>
  <c r="F148" i="70"/>
  <c r="F149" i="70"/>
  <c r="F150" i="70"/>
  <c r="F151" i="70"/>
  <c r="F152" i="70"/>
  <c r="F153" i="70"/>
  <c r="F154" i="70"/>
  <c r="F155" i="70"/>
  <c r="F156" i="70"/>
  <c r="F157" i="70"/>
  <c r="F4" i="70"/>
  <c r="F5" i="70"/>
  <c r="F6" i="70"/>
  <c r="F7" i="70"/>
  <c r="F8" i="70"/>
  <c r="F9" i="70"/>
  <c r="F13" i="70"/>
  <c r="F15" i="70"/>
  <c r="F16" i="70"/>
  <c r="F20" i="70"/>
  <c r="F21" i="70"/>
  <c r="F22" i="70"/>
  <c r="F23" i="70"/>
  <c r="F25" i="70"/>
  <c r="F26" i="70"/>
  <c r="F27" i="70"/>
  <c r="F28" i="70"/>
  <c r="F29" i="70"/>
  <c r="F30" i="70"/>
  <c r="F32" i="70"/>
  <c r="F33" i="70"/>
  <c r="F34" i="70"/>
  <c r="N463" i="73"/>
  <c r="N464" i="73"/>
  <c r="N476" i="73"/>
  <c r="N475" i="73"/>
  <c r="N474" i="73"/>
  <c r="N473" i="73"/>
  <c r="N472" i="73"/>
  <c r="N471" i="73"/>
  <c r="N470" i="73"/>
  <c r="N469" i="73"/>
  <c r="N468" i="73"/>
  <c r="N467" i="73"/>
  <c r="N486" i="73"/>
  <c r="N485" i="73"/>
  <c r="N484" i="73"/>
  <c r="N483" i="73"/>
  <c r="N482" i="73"/>
  <c r="N481" i="73"/>
  <c r="N480" i="73"/>
  <c r="N479" i="73"/>
  <c r="N478" i="73"/>
  <c r="N477" i="73"/>
  <c r="N496" i="73"/>
  <c r="N495" i="73"/>
  <c r="N494" i="73"/>
  <c r="N493" i="73"/>
  <c r="N492" i="73"/>
  <c r="N491" i="73"/>
  <c r="N490" i="73"/>
  <c r="N489" i="73"/>
  <c r="N488" i="73"/>
  <c r="N487" i="73"/>
  <c r="N506" i="73"/>
  <c r="N505" i="73"/>
  <c r="N504" i="73"/>
  <c r="N503" i="73"/>
  <c r="N502" i="73"/>
  <c r="N501" i="73"/>
  <c r="N500" i="73"/>
  <c r="N499" i="73"/>
  <c r="N498" i="73"/>
  <c r="N497" i="73"/>
  <c r="Q14" i="76"/>
  <c r="Q16" i="76"/>
  <c r="N314" i="76"/>
  <c r="N316" i="76"/>
  <c r="N464" i="75"/>
  <c r="N463" i="75"/>
  <c r="N462" i="75"/>
  <c r="N461" i="75"/>
  <c r="N460" i="75"/>
  <c r="N476" i="75"/>
  <c r="N475" i="75"/>
  <c r="N474" i="75"/>
  <c r="N473" i="75"/>
  <c r="N472" i="75"/>
  <c r="N471" i="75"/>
  <c r="N470" i="75"/>
  <c r="N469" i="75"/>
  <c r="N468" i="75"/>
  <c r="N467" i="75"/>
  <c r="N486" i="75"/>
  <c r="N485" i="75"/>
  <c r="N484" i="75"/>
  <c r="N483" i="75"/>
  <c r="N482" i="75"/>
  <c r="N481" i="75"/>
  <c r="N480" i="75"/>
  <c r="N479" i="75"/>
  <c r="N478" i="75"/>
  <c r="N477" i="75"/>
  <c r="N496" i="75"/>
  <c r="N495" i="75"/>
  <c r="N494" i="75"/>
  <c r="N493" i="75"/>
  <c r="N492" i="75"/>
  <c r="N491" i="75"/>
  <c r="N490" i="75"/>
  <c r="N489" i="75"/>
  <c r="N488" i="75"/>
  <c r="N487" i="75"/>
  <c r="N506" i="75"/>
  <c r="N505" i="75"/>
  <c r="N504" i="75"/>
  <c r="N503" i="75"/>
  <c r="N502" i="75"/>
  <c r="N501" i="75"/>
  <c r="N500" i="75"/>
  <c r="N499" i="75"/>
  <c r="N498" i="75"/>
  <c r="N497" i="75"/>
  <c r="N403" i="75"/>
  <c r="N383" i="73"/>
  <c r="N384" i="73"/>
  <c r="N385" i="73"/>
  <c r="N358" i="73"/>
  <c r="N342" i="73"/>
  <c r="N371" i="73"/>
  <c r="N343" i="73"/>
  <c r="N372" i="73"/>
  <c r="N360" i="73"/>
  <c r="N345" i="75"/>
  <c r="N344" i="73"/>
  <c r="N373" i="73"/>
  <c r="N368" i="73"/>
  <c r="N361" i="73"/>
  <c r="N346" i="75"/>
  <c r="N374" i="73"/>
  <c r="N346" i="73"/>
  <c r="N362" i="73"/>
  <c r="N375" i="73"/>
  <c r="N338" i="73"/>
  <c r="N369" i="73"/>
  <c r="N357" i="73"/>
  <c r="N370" i="73"/>
  <c r="N359" i="73"/>
  <c r="N363" i="73"/>
  <c r="N376" i="73"/>
  <c r="N364" i="73"/>
  <c r="N355" i="75"/>
  <c r="N393" i="75"/>
  <c r="N433" i="75"/>
  <c r="N388" i="75"/>
  <c r="N389" i="75"/>
  <c r="N449" i="73"/>
  <c r="N390" i="75"/>
  <c r="N450" i="73"/>
  <c r="N452" i="73"/>
  <c r="N392" i="75"/>
  <c r="N365" i="73"/>
  <c r="N413" i="73"/>
  <c r="N394" i="73"/>
  <c r="N356" i="75"/>
  <c r="N434" i="75"/>
  <c r="N380" i="73"/>
  <c r="N415" i="73"/>
  <c r="N342" i="75"/>
  <c r="N448" i="73"/>
  <c r="N430" i="75"/>
  <c r="N451" i="73"/>
  <c r="N337" i="75"/>
  <c r="N432" i="75"/>
  <c r="N412" i="73"/>
  <c r="N456" i="73"/>
  <c r="N436" i="75"/>
  <c r="N339" i="73"/>
  <c r="N381" i="73"/>
  <c r="N416" i="73"/>
  <c r="N343" i="75"/>
  <c r="N382" i="73"/>
  <c r="N344" i="75"/>
  <c r="N456" i="75"/>
  <c r="N332" i="73"/>
  <c r="N332" i="75"/>
  <c r="N379" i="75"/>
  <c r="N422" i="75"/>
  <c r="N447" i="75"/>
  <c r="N333" i="73"/>
  <c r="N333" i="75"/>
  <c r="N347" i="75"/>
  <c r="N410" i="75"/>
  <c r="N334" i="73"/>
  <c r="N349" i="73"/>
  <c r="X26" i="76"/>
  <c r="N334" i="75"/>
  <c r="N423" i="75"/>
  <c r="N386" i="73"/>
  <c r="N404" i="73"/>
  <c r="N419" i="73"/>
  <c r="N335" i="75"/>
  <c r="N348" i="75"/>
  <c r="N381" i="75"/>
  <c r="N411" i="75"/>
  <c r="N325" i="73"/>
  <c r="N377" i="75"/>
  <c r="N327" i="73"/>
  <c r="N359" i="75"/>
  <c r="N350" i="73"/>
  <c r="N336" i="75"/>
  <c r="N424" i="75"/>
  <c r="N349" i="75"/>
  <c r="N382" i="75"/>
  <c r="N412" i="75"/>
  <c r="N449" i="75"/>
  <c r="N366" i="75"/>
  <c r="N425" i="75"/>
  <c r="N326" i="75"/>
  <c r="N419" i="75"/>
  <c r="N328" i="75"/>
  <c r="N420" i="75"/>
  <c r="N329" i="75"/>
  <c r="N329" i="73"/>
  <c r="N421" i="75"/>
  <c r="N331" i="75"/>
  <c r="N399" i="75"/>
  <c r="N353" i="73"/>
  <c r="N377" i="73"/>
  <c r="N390" i="73"/>
  <c r="N408" i="73"/>
  <c r="N423" i="73"/>
  <c r="N338" i="75"/>
  <c r="N426" i="75"/>
  <c r="N448" i="75"/>
  <c r="N327" i="75"/>
  <c r="N450" i="75"/>
  <c r="N408" i="75"/>
  <c r="N330" i="75"/>
  <c r="N331" i="73"/>
  <c r="N409" i="75"/>
  <c r="N340" i="73"/>
  <c r="N400" i="75"/>
  <c r="N414" i="75"/>
  <c r="N443" i="75"/>
  <c r="N409" i="73"/>
  <c r="N353" i="75"/>
  <c r="N386" i="75"/>
  <c r="N326" i="73"/>
  <c r="N378" i="75"/>
  <c r="N413" i="75"/>
  <c r="N341" i="73"/>
  <c r="N379" i="73"/>
  <c r="N415" i="75"/>
  <c r="N444" i="75"/>
  <c r="N393" i="73"/>
  <c r="N426" i="73"/>
  <c r="N354" i="75"/>
  <c r="N401" i="73"/>
  <c r="N434" i="73"/>
  <c r="N445" i="73"/>
  <c r="N465" i="73"/>
  <c r="N364" i="75"/>
  <c r="N375" i="75"/>
  <c r="N397" i="75"/>
  <c r="N441" i="75"/>
  <c r="N347" i="73"/>
  <c r="N391" i="73"/>
  <c r="N402" i="73"/>
  <c r="N424" i="73"/>
  <c r="N435" i="73"/>
  <c r="N446" i="73"/>
  <c r="N466" i="73"/>
  <c r="N457" i="75"/>
  <c r="N365" i="75"/>
  <c r="N376" i="75"/>
  <c r="N387" i="75"/>
  <c r="N398" i="75"/>
  <c r="N431" i="75"/>
  <c r="N442" i="75"/>
  <c r="N458" i="75"/>
  <c r="N348" i="73"/>
  <c r="N392" i="73"/>
  <c r="N403" i="73"/>
  <c r="N414" i="73"/>
  <c r="N425" i="73"/>
  <c r="N436" i="73"/>
  <c r="N447" i="73"/>
  <c r="N459" i="75"/>
  <c r="N328" i="73"/>
  <c r="N351" i="73"/>
  <c r="N395" i="73"/>
  <c r="N406" i="73"/>
  <c r="N417" i="73"/>
  <c r="N428" i="73"/>
  <c r="N439" i="73"/>
  <c r="N453" i="73"/>
  <c r="N465" i="75"/>
  <c r="N454" i="73"/>
  <c r="N358" i="75"/>
  <c r="N369" i="75"/>
  <c r="N380" i="75"/>
  <c r="N391" i="75"/>
  <c r="N402" i="75"/>
  <c r="N435" i="75"/>
  <c r="N446" i="75"/>
  <c r="N466" i="75"/>
  <c r="N367" i="75"/>
  <c r="N405" i="73"/>
  <c r="N427" i="73"/>
  <c r="N438" i="73"/>
  <c r="N357" i="75"/>
  <c r="N368" i="75"/>
  <c r="N401" i="75"/>
  <c r="N445" i="75"/>
  <c r="N330" i="73"/>
  <c r="N352" i="73"/>
  <c r="N396" i="73"/>
  <c r="N407" i="73"/>
  <c r="N418" i="73"/>
  <c r="N429" i="73"/>
  <c r="N440" i="73"/>
  <c r="N370" i="75"/>
  <c r="N398" i="73"/>
  <c r="N431" i="73"/>
  <c r="N335" i="73"/>
  <c r="N459" i="73"/>
  <c r="N339" i="75"/>
  <c r="N350" i="75"/>
  <c r="N361" i="75"/>
  <c r="N372" i="75"/>
  <c r="N383" i="75"/>
  <c r="N394" i="75"/>
  <c r="N405" i="75"/>
  <c r="N416" i="75"/>
  <c r="N427" i="75"/>
  <c r="N438" i="75"/>
  <c r="N451" i="75"/>
  <c r="N355" i="73"/>
  <c r="N388" i="73"/>
  <c r="N399" i="73"/>
  <c r="N410" i="73"/>
  <c r="N421" i="73"/>
  <c r="N432" i="73"/>
  <c r="N443" i="73"/>
  <c r="N460" i="73"/>
  <c r="N452" i="75"/>
  <c r="N437" i="73"/>
  <c r="N430" i="73"/>
  <c r="N457" i="73"/>
  <c r="N387" i="73"/>
  <c r="N420" i="73"/>
  <c r="N458" i="73"/>
  <c r="N461" i="73"/>
  <c r="N340" i="75"/>
  <c r="N351" i="75"/>
  <c r="N362" i="75"/>
  <c r="N373" i="75"/>
  <c r="N384" i="75"/>
  <c r="N395" i="75"/>
  <c r="N406" i="75"/>
  <c r="N417" i="75"/>
  <c r="N428" i="75"/>
  <c r="N439" i="75"/>
  <c r="N453" i="75"/>
  <c r="N397" i="73"/>
  <c r="N441" i="73"/>
  <c r="N360" i="75"/>
  <c r="N371" i="75"/>
  <c r="N437" i="75"/>
  <c r="N354" i="73"/>
  <c r="N442" i="73"/>
  <c r="N345" i="73"/>
  <c r="N462" i="73"/>
  <c r="N454" i="75"/>
  <c r="Q19" i="76"/>
  <c r="F12" i="70"/>
  <c r="F18" i="70"/>
  <c r="F31" i="70"/>
  <c r="F10" i="70"/>
  <c r="F14" i="70"/>
  <c r="F19" i="70"/>
  <c r="F24" i="70"/>
  <c r="F11" i="70"/>
  <c r="N149" i="76"/>
  <c r="X34" i="76"/>
  <c r="N158" i="76"/>
  <c r="N198" i="76"/>
  <c r="N150" i="76"/>
  <c r="N155" i="76"/>
  <c r="N300" i="76"/>
  <c r="N151" i="76"/>
  <c r="N156" i="76"/>
  <c r="N187" i="76"/>
  <c r="N153" i="76"/>
  <c r="N172" i="76"/>
  <c r="N310" i="76"/>
  <c r="Q8" i="76"/>
  <c r="R24" i="76"/>
  <c r="N154" i="76"/>
  <c r="N148" i="76"/>
  <c r="N263" i="76"/>
  <c r="N295" i="76"/>
  <c r="N297" i="76"/>
  <c r="N306" i="76"/>
  <c r="N317" i="76"/>
  <c r="N159" i="76"/>
  <c r="N262" i="76"/>
  <c r="N298" i="76"/>
  <c r="N315" i="76"/>
  <c r="N326" i="76"/>
  <c r="Q11" i="76"/>
  <c r="N211" i="76"/>
  <c r="N296" i="76"/>
  <c r="N320" i="76"/>
  <c r="N290" i="76"/>
  <c r="N307" i="76"/>
  <c r="N327" i="76"/>
  <c r="N202" i="76"/>
  <c r="N308" i="76"/>
  <c r="T7" i="76"/>
  <c r="N200" i="76"/>
  <c r="N305" i="76"/>
  <c r="N318" i="76"/>
  <c r="N325" i="76"/>
  <c r="M164" i="76"/>
  <c r="M165" i="76" s="1"/>
  <c r="M166" i="76" s="1"/>
  <c r="M167" i="76" s="1"/>
  <c r="M168" i="76" s="1"/>
  <c r="M169" i="76" s="1"/>
  <c r="N169" i="76" s="1"/>
  <c r="N163" i="76"/>
  <c r="M175" i="76"/>
  <c r="M176" i="76" s="1"/>
  <c r="N174" i="76"/>
  <c r="N189" i="76"/>
  <c r="N161" i="76"/>
  <c r="N197" i="76"/>
  <c r="N195" i="76"/>
  <c r="N193" i="76"/>
  <c r="N190" i="76"/>
  <c r="N194" i="76"/>
  <c r="N191" i="76"/>
  <c r="N192" i="76"/>
  <c r="M199" i="76"/>
  <c r="N199" i="76" s="1"/>
  <c r="N162" i="76"/>
  <c r="N186" i="76"/>
  <c r="N196" i="76"/>
  <c r="M208" i="76"/>
  <c r="M209" i="76" s="1"/>
  <c r="N209" i="76" s="1"/>
  <c r="N207" i="76"/>
  <c r="N188" i="76"/>
  <c r="N180" i="76"/>
  <c r="N184" i="76"/>
  <c r="N185" i="76"/>
  <c r="N152" i="76"/>
  <c r="N160" i="76"/>
  <c r="N181" i="76"/>
  <c r="N182" i="76"/>
  <c r="N183" i="76"/>
  <c r="M223" i="76"/>
  <c r="M224" i="76" s="1"/>
  <c r="N222" i="76"/>
  <c r="N238" i="76"/>
  <c r="N236" i="76"/>
  <c r="N234" i="76"/>
  <c r="N232" i="76"/>
  <c r="N235" i="76"/>
  <c r="N233" i="76"/>
  <c r="N239" i="76"/>
  <c r="N231" i="76"/>
  <c r="N237" i="76"/>
  <c r="N230" i="76"/>
  <c r="N171" i="76"/>
  <c r="N173" i="76"/>
  <c r="M212" i="76"/>
  <c r="M213" i="76" s="1"/>
  <c r="N204" i="76"/>
  <c r="N253" i="76"/>
  <c r="M254" i="76"/>
  <c r="M255" i="76" s="1"/>
  <c r="N203" i="76"/>
  <c r="N206" i="76"/>
  <c r="N246" i="76"/>
  <c r="N243" i="76"/>
  <c r="N248" i="76"/>
  <c r="N245" i="76"/>
  <c r="N240" i="76"/>
  <c r="N279" i="76"/>
  <c r="N273" i="76"/>
  <c r="N272" i="76"/>
  <c r="N271" i="76"/>
  <c r="N278" i="76"/>
  <c r="N276" i="76"/>
  <c r="N274" i="76"/>
  <c r="N270" i="76"/>
  <c r="N260" i="76"/>
  <c r="N266" i="76"/>
  <c r="N265" i="76"/>
  <c r="N261" i="76"/>
  <c r="N268" i="76"/>
  <c r="N267" i="76"/>
  <c r="N269" i="76"/>
  <c r="N205" i="76"/>
  <c r="N241" i="76"/>
  <c r="N247" i="76"/>
  <c r="N249" i="76"/>
  <c r="N264" i="76"/>
  <c r="N275" i="76"/>
  <c r="N242" i="76"/>
  <c r="N244" i="76"/>
  <c r="N289" i="76"/>
  <c r="N281" i="76"/>
  <c r="N283" i="76"/>
  <c r="N285" i="76"/>
  <c r="N286" i="76"/>
  <c r="N284" i="76"/>
  <c r="N282" i="76"/>
  <c r="N280" i="76"/>
  <c r="N287" i="76"/>
  <c r="N251" i="76"/>
  <c r="N221" i="76"/>
  <c r="N252" i="76"/>
  <c r="N292" i="76"/>
  <c r="N302" i="76"/>
  <c r="N312" i="76"/>
  <c r="N322" i="76"/>
  <c r="N328" i="76"/>
  <c r="N293" i="76"/>
  <c r="N303" i="76"/>
  <c r="N313" i="76"/>
  <c r="N323" i="76"/>
  <c r="N291" i="76"/>
  <c r="N299" i="76"/>
  <c r="N301" i="76"/>
  <c r="N309" i="76"/>
  <c r="N311" i="76"/>
  <c r="N319" i="76"/>
  <c r="N321" i="76"/>
  <c r="N329" i="76"/>
  <c r="C2" i="62"/>
  <c r="S58" i="79" l="1"/>
  <c r="S57" i="79"/>
  <c r="S56" i="79"/>
  <c r="Q8" i="79"/>
  <c r="T27" i="79"/>
  <c r="T28" i="79" s="1"/>
  <c r="T29" i="79" s="1"/>
  <c r="T30" i="79" s="1"/>
  <c r="T31" i="79" s="1"/>
  <c r="T32" i="79" s="1"/>
  <c r="T33" i="79" s="1"/>
  <c r="T34" i="79" s="1"/>
  <c r="Y36" i="76"/>
  <c r="Y37" i="76"/>
  <c r="Y29" i="76"/>
  <c r="Y28" i="76"/>
  <c r="K240" i="79"/>
  <c r="E240" i="79"/>
  <c r="J159" i="79"/>
  <c r="J158" i="79"/>
  <c r="D240" i="79"/>
  <c r="C240" i="79"/>
  <c r="K158" i="79"/>
  <c r="I158" i="79"/>
  <c r="G158" i="79"/>
  <c r="L154" i="79"/>
  <c r="I154" i="79"/>
  <c r="G154" i="79"/>
  <c r="E154" i="79"/>
  <c r="C154" i="79"/>
  <c r="L153" i="79"/>
  <c r="J153" i="79"/>
  <c r="G153" i="79"/>
  <c r="E153" i="79"/>
  <c r="D153" i="79"/>
  <c r="L151" i="79"/>
  <c r="K151" i="79"/>
  <c r="J151" i="79"/>
  <c r="J150" i="79"/>
  <c r="I150" i="79"/>
  <c r="H150" i="79"/>
  <c r="G150" i="79"/>
  <c r="F150" i="79"/>
  <c r="E150" i="79"/>
  <c r="D150" i="79"/>
  <c r="C150" i="79"/>
  <c r="L240" i="79"/>
  <c r="G159" i="79"/>
  <c r="I153" i="79"/>
  <c r="I152" i="79"/>
  <c r="G156" i="79"/>
  <c r="E156" i="79"/>
  <c r="C156" i="79"/>
  <c r="H154" i="79"/>
  <c r="H153" i="79"/>
  <c r="G240" i="79"/>
  <c r="K159" i="79"/>
  <c r="F159" i="79"/>
  <c r="D159" i="79"/>
  <c r="J154" i="79"/>
  <c r="F154" i="79"/>
  <c r="L152" i="79"/>
  <c r="H152" i="79"/>
  <c r="L150" i="79"/>
  <c r="I159" i="79"/>
  <c r="H158" i="79"/>
  <c r="K157" i="79"/>
  <c r="J157" i="79"/>
  <c r="H157" i="79"/>
  <c r="F157" i="79"/>
  <c r="C157" i="79"/>
  <c r="I240" i="79"/>
  <c r="L159" i="79"/>
  <c r="E159" i="79"/>
  <c r="L158" i="79"/>
  <c r="K150" i="79"/>
  <c r="F240" i="79"/>
  <c r="K152" i="79"/>
  <c r="E157" i="79"/>
  <c r="L156" i="79"/>
  <c r="K156" i="79"/>
  <c r="J156" i="79"/>
  <c r="I156" i="79"/>
  <c r="H156" i="79"/>
  <c r="F156" i="79"/>
  <c r="D156" i="79"/>
  <c r="K153" i="79"/>
  <c r="F153" i="79"/>
  <c r="J240" i="79"/>
  <c r="H159" i="79"/>
  <c r="K154" i="79"/>
  <c r="D154" i="79"/>
  <c r="J152" i="79"/>
  <c r="G152" i="79"/>
  <c r="H240" i="79"/>
  <c r="L157" i="79"/>
  <c r="I157" i="79"/>
  <c r="G157" i="79"/>
  <c r="D157" i="79"/>
  <c r="C159" i="79"/>
  <c r="K155" i="79"/>
  <c r="J155" i="79"/>
  <c r="I155" i="79"/>
  <c r="H155" i="79"/>
  <c r="G155" i="79"/>
  <c r="F155" i="79"/>
  <c r="E155" i="79"/>
  <c r="D155" i="79"/>
  <c r="C155" i="79"/>
  <c r="C153" i="79"/>
  <c r="F152" i="79"/>
  <c r="E152" i="79"/>
  <c r="D152" i="79"/>
  <c r="C152" i="79"/>
  <c r="I151" i="79"/>
  <c r="H151" i="79"/>
  <c r="G151" i="79"/>
  <c r="F151" i="79"/>
  <c r="E151" i="79"/>
  <c r="D151" i="79"/>
  <c r="C151" i="79"/>
  <c r="F158" i="79"/>
  <c r="E158" i="79"/>
  <c r="D158" i="79"/>
  <c r="C158" i="79"/>
  <c r="L155" i="79"/>
  <c r="H260" i="79"/>
  <c r="K260" i="79"/>
  <c r="F260" i="79"/>
  <c r="J260" i="79"/>
  <c r="E260" i="79"/>
  <c r="D260" i="79"/>
  <c r="L260" i="79"/>
  <c r="C260" i="79"/>
  <c r="G260" i="79"/>
  <c r="I260" i="79"/>
  <c r="K160" i="79"/>
  <c r="D160" i="79"/>
  <c r="F160" i="79"/>
  <c r="H160" i="79"/>
  <c r="G160" i="79"/>
  <c r="E160" i="79"/>
  <c r="C160" i="79"/>
  <c r="I160" i="79"/>
  <c r="J160" i="79"/>
  <c r="L160" i="79"/>
  <c r="C231" i="79"/>
  <c r="D231" i="79"/>
  <c r="E231" i="79"/>
  <c r="F231" i="79"/>
  <c r="G231" i="79"/>
  <c r="H231" i="79"/>
  <c r="I231" i="79"/>
  <c r="J231" i="79"/>
  <c r="K231" i="79"/>
  <c r="L231" i="79"/>
  <c r="C230" i="79"/>
  <c r="D230" i="79"/>
  <c r="E230" i="79"/>
  <c r="F230" i="79"/>
  <c r="G230" i="79"/>
  <c r="H230" i="79"/>
  <c r="I230" i="79"/>
  <c r="J230" i="79"/>
  <c r="K230" i="79"/>
  <c r="L230" i="79"/>
  <c r="C221" i="79"/>
  <c r="D221" i="79"/>
  <c r="E221" i="79"/>
  <c r="F221" i="79"/>
  <c r="G221" i="79"/>
  <c r="H221" i="79"/>
  <c r="I221" i="79"/>
  <c r="J221" i="79"/>
  <c r="K221" i="79"/>
  <c r="L221" i="79"/>
  <c r="C220" i="79"/>
  <c r="D220" i="79"/>
  <c r="E220" i="79"/>
  <c r="F220" i="79"/>
  <c r="G220" i="79"/>
  <c r="H220" i="79"/>
  <c r="I220" i="79"/>
  <c r="J220" i="79"/>
  <c r="K220" i="79"/>
  <c r="L220" i="79"/>
  <c r="C211" i="79"/>
  <c r="D211" i="79"/>
  <c r="E211" i="79"/>
  <c r="F211" i="79"/>
  <c r="G211" i="79"/>
  <c r="H211" i="79"/>
  <c r="I211" i="79"/>
  <c r="J211" i="79"/>
  <c r="K211" i="79"/>
  <c r="L211" i="79"/>
  <c r="C210" i="79"/>
  <c r="D210" i="79"/>
  <c r="E210" i="79"/>
  <c r="F210" i="79"/>
  <c r="G210" i="79"/>
  <c r="H210" i="79"/>
  <c r="I210" i="79"/>
  <c r="J210" i="79"/>
  <c r="K210" i="79"/>
  <c r="L210" i="79"/>
  <c r="C201" i="79"/>
  <c r="D201" i="79"/>
  <c r="E201" i="79"/>
  <c r="F201" i="79"/>
  <c r="G201" i="79"/>
  <c r="H201" i="79"/>
  <c r="I201" i="79"/>
  <c r="J201" i="79"/>
  <c r="K201" i="79"/>
  <c r="L201" i="79"/>
  <c r="C200" i="79"/>
  <c r="D200" i="79"/>
  <c r="E200" i="79"/>
  <c r="F200" i="79"/>
  <c r="G200" i="79"/>
  <c r="H200" i="79"/>
  <c r="I200" i="79"/>
  <c r="J200" i="79"/>
  <c r="K200" i="79"/>
  <c r="L200" i="79"/>
  <c r="C191" i="79"/>
  <c r="D191" i="79"/>
  <c r="E191" i="79"/>
  <c r="F191" i="79"/>
  <c r="G191" i="79"/>
  <c r="H191" i="79"/>
  <c r="I191" i="79"/>
  <c r="J191" i="79"/>
  <c r="K191" i="79"/>
  <c r="L191" i="79"/>
  <c r="C190" i="79"/>
  <c r="D190" i="79"/>
  <c r="E190" i="79"/>
  <c r="F190" i="79"/>
  <c r="G190" i="79"/>
  <c r="H190" i="79"/>
  <c r="I190" i="79"/>
  <c r="J190" i="79"/>
  <c r="K190" i="79"/>
  <c r="L190" i="79"/>
  <c r="J181" i="79"/>
  <c r="L181" i="79"/>
  <c r="C181" i="79"/>
  <c r="F181" i="79"/>
  <c r="H181" i="79"/>
  <c r="D181" i="79"/>
  <c r="G181" i="79"/>
  <c r="K181" i="79"/>
  <c r="E181" i="79"/>
  <c r="I181" i="79"/>
  <c r="C171" i="79"/>
  <c r="D171" i="79"/>
  <c r="H171" i="79"/>
  <c r="F171" i="79"/>
  <c r="J171" i="79"/>
  <c r="E171" i="79"/>
  <c r="G171" i="79"/>
  <c r="I171" i="79"/>
  <c r="K171" i="79"/>
  <c r="L171" i="79"/>
  <c r="C149" i="79"/>
  <c r="D149" i="79"/>
  <c r="E149" i="79"/>
  <c r="F149" i="79"/>
  <c r="G149" i="79"/>
  <c r="H149" i="79"/>
  <c r="I149" i="79"/>
  <c r="J149" i="79"/>
  <c r="K149" i="79"/>
  <c r="L149" i="79"/>
  <c r="C148" i="79"/>
  <c r="D148" i="79"/>
  <c r="E148" i="79"/>
  <c r="F148" i="79"/>
  <c r="G148" i="79"/>
  <c r="H148" i="79"/>
  <c r="I148" i="79"/>
  <c r="J148" i="79"/>
  <c r="K148" i="79"/>
  <c r="L148" i="79"/>
  <c r="R337" i="79"/>
  <c r="S337" i="79"/>
  <c r="U337" i="79"/>
  <c r="R336" i="79"/>
  <c r="S336" i="79"/>
  <c r="U336" i="79"/>
  <c r="R335" i="79"/>
  <c r="S335" i="79"/>
  <c r="U335" i="79"/>
  <c r="R334" i="79"/>
  <c r="S334" i="79"/>
  <c r="U334" i="79"/>
  <c r="D161" i="79"/>
  <c r="H161" i="79"/>
  <c r="L161" i="79"/>
  <c r="C161" i="79"/>
  <c r="E161" i="79"/>
  <c r="F161" i="79"/>
  <c r="I161" i="79"/>
  <c r="K161" i="79"/>
  <c r="G161" i="79"/>
  <c r="J161" i="79"/>
  <c r="R342" i="79"/>
  <c r="U342" i="79"/>
  <c r="R343" i="79"/>
  <c r="U343" i="79"/>
  <c r="D313" i="79"/>
  <c r="H313" i="79"/>
  <c r="E313" i="79"/>
  <c r="L313" i="79"/>
  <c r="G313" i="79"/>
  <c r="J313" i="79"/>
  <c r="C313" i="79"/>
  <c r="F313" i="79"/>
  <c r="I313" i="79"/>
  <c r="K313" i="79"/>
  <c r="D311" i="79"/>
  <c r="F311" i="79"/>
  <c r="K311" i="79"/>
  <c r="G311" i="79"/>
  <c r="I311" i="79"/>
  <c r="E311" i="79"/>
  <c r="J311" i="79"/>
  <c r="C311" i="79"/>
  <c r="H311" i="79"/>
  <c r="L311" i="79"/>
  <c r="E310" i="79"/>
  <c r="J310" i="79"/>
  <c r="C310" i="79"/>
  <c r="G310" i="79"/>
  <c r="I310" i="79"/>
  <c r="L310" i="79"/>
  <c r="K310" i="79"/>
  <c r="D310" i="79"/>
  <c r="F310" i="79"/>
  <c r="H310" i="79"/>
  <c r="D306" i="79"/>
  <c r="F306" i="79"/>
  <c r="I306" i="79"/>
  <c r="K306" i="79"/>
  <c r="H306" i="79"/>
  <c r="L306" i="79"/>
  <c r="C306" i="79"/>
  <c r="E306" i="79"/>
  <c r="G306" i="79"/>
  <c r="J306" i="79"/>
  <c r="C304" i="79"/>
  <c r="I304" i="79"/>
  <c r="E304" i="79"/>
  <c r="H304" i="79"/>
  <c r="K304" i="79"/>
  <c r="D304" i="79"/>
  <c r="F304" i="79"/>
  <c r="G304" i="79"/>
  <c r="J304" i="79"/>
  <c r="L304" i="79"/>
  <c r="G301" i="79"/>
  <c r="J301" i="79"/>
  <c r="C301" i="79"/>
  <c r="I301" i="79"/>
  <c r="L301" i="79"/>
  <c r="D301" i="79"/>
  <c r="E301" i="79"/>
  <c r="F301" i="79"/>
  <c r="H301" i="79"/>
  <c r="K301" i="79"/>
  <c r="C293" i="79"/>
  <c r="F293" i="79"/>
  <c r="K293" i="79"/>
  <c r="E293" i="79"/>
  <c r="G293" i="79"/>
  <c r="L293" i="79"/>
  <c r="D293" i="79"/>
  <c r="H293" i="79"/>
  <c r="I293" i="79"/>
  <c r="J293" i="79"/>
  <c r="E292" i="79"/>
  <c r="L292" i="79"/>
  <c r="G292" i="79"/>
  <c r="J292" i="79"/>
  <c r="C292" i="79"/>
  <c r="D292" i="79"/>
  <c r="F292" i="79"/>
  <c r="H292" i="79"/>
  <c r="I292" i="79"/>
  <c r="K292" i="79"/>
  <c r="D291" i="79"/>
  <c r="F291" i="79"/>
  <c r="H291" i="79"/>
  <c r="J291" i="79"/>
  <c r="L291" i="79"/>
  <c r="C291" i="79"/>
  <c r="E291" i="79"/>
  <c r="G291" i="79"/>
  <c r="I291" i="79"/>
  <c r="K291" i="79"/>
  <c r="C290" i="79"/>
  <c r="E290" i="79"/>
  <c r="G290" i="79"/>
  <c r="K290" i="79"/>
  <c r="D290" i="79"/>
  <c r="F290" i="79"/>
  <c r="H290" i="79"/>
  <c r="I290" i="79"/>
  <c r="J290" i="79"/>
  <c r="L290" i="79"/>
  <c r="C288" i="79"/>
  <c r="E288" i="79"/>
  <c r="H288" i="79"/>
  <c r="L288" i="79"/>
  <c r="D288" i="79"/>
  <c r="F288" i="79"/>
  <c r="G288" i="79"/>
  <c r="I288" i="79"/>
  <c r="J288" i="79"/>
  <c r="K288" i="79"/>
  <c r="E287" i="79"/>
  <c r="G287" i="79"/>
  <c r="K287" i="79"/>
  <c r="C287" i="79"/>
  <c r="D287" i="79"/>
  <c r="F287" i="79"/>
  <c r="H287" i="79"/>
  <c r="I287" i="79"/>
  <c r="J287" i="79"/>
  <c r="L287" i="79"/>
  <c r="D286" i="79"/>
  <c r="F286" i="79"/>
  <c r="L286" i="79"/>
  <c r="C286" i="79"/>
  <c r="E286" i="79"/>
  <c r="G286" i="79"/>
  <c r="H286" i="79"/>
  <c r="I286" i="79"/>
  <c r="J286" i="79"/>
  <c r="K286" i="79"/>
  <c r="C285" i="79"/>
  <c r="F285" i="79"/>
  <c r="H285" i="79"/>
  <c r="L285" i="79"/>
  <c r="D285" i="79"/>
  <c r="E285" i="79"/>
  <c r="G285" i="79"/>
  <c r="I285" i="79"/>
  <c r="J285" i="79"/>
  <c r="K285" i="79"/>
  <c r="D284" i="79"/>
  <c r="H284" i="79"/>
  <c r="I284" i="79"/>
  <c r="K284" i="79"/>
  <c r="C284" i="79"/>
  <c r="E284" i="79"/>
  <c r="F284" i="79"/>
  <c r="G284" i="79"/>
  <c r="J284" i="79"/>
  <c r="L284" i="79"/>
  <c r="C281" i="79"/>
  <c r="D281" i="79"/>
  <c r="E281" i="79"/>
  <c r="F281" i="79"/>
  <c r="G281" i="79"/>
  <c r="H281" i="79"/>
  <c r="I281" i="79"/>
  <c r="J281" i="79"/>
  <c r="K281" i="79"/>
  <c r="L281" i="79"/>
  <c r="F251" i="79"/>
  <c r="L251" i="79"/>
  <c r="C251" i="79"/>
  <c r="G251" i="79"/>
  <c r="K251" i="79"/>
  <c r="D251" i="79"/>
  <c r="H251" i="79"/>
  <c r="I251" i="79"/>
  <c r="J251" i="79"/>
  <c r="E251" i="79"/>
  <c r="H182" i="79"/>
  <c r="K182" i="79"/>
  <c r="I182" i="79"/>
  <c r="D182" i="79"/>
  <c r="L182" i="79"/>
  <c r="C182" i="79"/>
  <c r="F182" i="79"/>
  <c r="E182" i="79"/>
  <c r="G182" i="79"/>
  <c r="J182" i="79"/>
  <c r="C308" i="79"/>
  <c r="I308" i="79"/>
  <c r="L308" i="79"/>
  <c r="F308" i="79"/>
  <c r="G308" i="79"/>
  <c r="K308" i="79"/>
  <c r="D308" i="79"/>
  <c r="E308" i="79"/>
  <c r="H308" i="79"/>
  <c r="J308" i="79"/>
  <c r="D307" i="79"/>
  <c r="F307" i="79"/>
  <c r="E307" i="79"/>
  <c r="H307" i="79"/>
  <c r="L307" i="79"/>
  <c r="C307" i="79"/>
  <c r="G307" i="79"/>
  <c r="I307" i="79"/>
  <c r="K307" i="79"/>
  <c r="J307" i="79"/>
  <c r="D322" i="79"/>
  <c r="F322" i="79"/>
  <c r="I322" i="79"/>
  <c r="K322" i="79"/>
  <c r="C322" i="79"/>
  <c r="E322" i="79"/>
  <c r="J322" i="79"/>
  <c r="G322" i="79"/>
  <c r="L322" i="79"/>
  <c r="H322" i="79"/>
  <c r="E321" i="79"/>
  <c r="L321" i="79"/>
  <c r="F321" i="79"/>
  <c r="I321" i="79"/>
  <c r="D321" i="79"/>
  <c r="H321" i="79"/>
  <c r="J321" i="79"/>
  <c r="C321" i="79"/>
  <c r="G321" i="79"/>
  <c r="K321" i="79"/>
  <c r="C320" i="79"/>
  <c r="D320" i="79"/>
  <c r="I320" i="79"/>
  <c r="K320" i="79"/>
  <c r="E320" i="79"/>
  <c r="J320" i="79"/>
  <c r="F320" i="79"/>
  <c r="G320" i="79"/>
  <c r="H320" i="79"/>
  <c r="L320" i="79"/>
  <c r="F312" i="79"/>
  <c r="I312" i="79"/>
  <c r="J312" i="79"/>
  <c r="L312" i="79"/>
  <c r="C312" i="79"/>
  <c r="D312" i="79"/>
  <c r="G312" i="79"/>
  <c r="K312" i="79"/>
  <c r="E312" i="79"/>
  <c r="H312" i="79"/>
  <c r="D305" i="79"/>
  <c r="F305" i="79"/>
  <c r="I305" i="79"/>
  <c r="J305" i="79"/>
  <c r="L305" i="79"/>
  <c r="E305" i="79"/>
  <c r="G305" i="79"/>
  <c r="K305" i="79"/>
  <c r="C305" i="79"/>
  <c r="H305" i="79"/>
  <c r="D303" i="79"/>
  <c r="F303" i="79"/>
  <c r="G303" i="79"/>
  <c r="I303" i="79"/>
  <c r="L303" i="79"/>
  <c r="E303" i="79"/>
  <c r="J303" i="79"/>
  <c r="C303" i="79"/>
  <c r="H303" i="79"/>
  <c r="K303" i="79"/>
  <c r="H250" i="79"/>
  <c r="E250" i="79"/>
  <c r="D250" i="79"/>
  <c r="K250" i="79"/>
  <c r="G250" i="79"/>
  <c r="J250" i="79"/>
  <c r="L250" i="79"/>
  <c r="C250" i="79"/>
  <c r="F250" i="79"/>
  <c r="I250" i="79"/>
  <c r="N242" i="79"/>
  <c r="M243" i="79"/>
  <c r="H241" i="79"/>
  <c r="L241" i="79"/>
  <c r="J241" i="79"/>
  <c r="F241" i="79"/>
  <c r="I241" i="79"/>
  <c r="K241" i="79"/>
  <c r="D241" i="79"/>
  <c r="G241" i="79"/>
  <c r="C241" i="79"/>
  <c r="E241" i="79"/>
  <c r="D185" i="79"/>
  <c r="I185" i="79"/>
  <c r="E185" i="79"/>
  <c r="F185" i="79"/>
  <c r="J185" i="79"/>
  <c r="H185" i="79"/>
  <c r="K185" i="79"/>
  <c r="L185" i="79"/>
  <c r="C185" i="79"/>
  <c r="G185" i="79"/>
  <c r="F183" i="79"/>
  <c r="G183" i="79"/>
  <c r="D183" i="79"/>
  <c r="C183" i="79"/>
  <c r="E183" i="79"/>
  <c r="H183" i="79"/>
  <c r="K183" i="79"/>
  <c r="J183" i="79"/>
  <c r="I183" i="79"/>
  <c r="L183" i="79"/>
  <c r="D180" i="79"/>
  <c r="F180" i="79"/>
  <c r="K180" i="79"/>
  <c r="G180" i="79"/>
  <c r="E180" i="79"/>
  <c r="I180" i="79"/>
  <c r="L180" i="79"/>
  <c r="C180" i="79"/>
  <c r="H180" i="79"/>
  <c r="J180" i="79"/>
  <c r="C170" i="79"/>
  <c r="G170" i="79"/>
  <c r="L170" i="79"/>
  <c r="I170" i="79"/>
  <c r="H170" i="79"/>
  <c r="K170" i="79"/>
  <c r="E170" i="79"/>
  <c r="J170" i="79"/>
  <c r="D170" i="79"/>
  <c r="F170" i="79"/>
  <c r="C327" i="79"/>
  <c r="D327" i="79"/>
  <c r="F327" i="79"/>
  <c r="G327" i="79"/>
  <c r="H327" i="79"/>
  <c r="I327" i="79"/>
  <c r="J327" i="79"/>
  <c r="K327" i="79"/>
  <c r="L327" i="79"/>
  <c r="E327" i="79"/>
  <c r="D326" i="79"/>
  <c r="F326" i="79"/>
  <c r="H326" i="79"/>
  <c r="J326" i="79"/>
  <c r="L326" i="79"/>
  <c r="C326" i="79"/>
  <c r="E326" i="79"/>
  <c r="G326" i="79"/>
  <c r="I326" i="79"/>
  <c r="K326" i="79"/>
  <c r="C324" i="79"/>
  <c r="F324" i="79"/>
  <c r="I324" i="79"/>
  <c r="J324" i="79"/>
  <c r="E324" i="79"/>
  <c r="H324" i="79"/>
  <c r="L324" i="79"/>
  <c r="D324" i="79"/>
  <c r="G324" i="79"/>
  <c r="K324" i="79"/>
  <c r="F323" i="79"/>
  <c r="I323" i="79"/>
  <c r="L323" i="79"/>
  <c r="E323" i="79"/>
  <c r="H323" i="79"/>
  <c r="D323" i="79"/>
  <c r="G323" i="79"/>
  <c r="K323" i="79"/>
  <c r="C323" i="79"/>
  <c r="J323" i="79"/>
  <c r="D317" i="79"/>
  <c r="F317" i="79"/>
  <c r="H317" i="79"/>
  <c r="J317" i="79"/>
  <c r="L317" i="79"/>
  <c r="C317" i="79"/>
  <c r="E317" i="79"/>
  <c r="G317" i="79"/>
  <c r="I317" i="79"/>
  <c r="K317" i="79"/>
  <c r="D309" i="79"/>
  <c r="F309" i="79"/>
  <c r="H309" i="79"/>
  <c r="J309" i="79"/>
  <c r="L309" i="79"/>
  <c r="C309" i="79"/>
  <c r="G309" i="79"/>
  <c r="I309" i="79"/>
  <c r="K309" i="79"/>
  <c r="E309" i="79"/>
  <c r="H302" i="79"/>
  <c r="K302" i="79"/>
  <c r="C302" i="79"/>
  <c r="E302" i="79"/>
  <c r="G302" i="79"/>
  <c r="I302" i="79"/>
  <c r="L302" i="79"/>
  <c r="D302" i="79"/>
  <c r="F302" i="79"/>
  <c r="J302" i="79"/>
  <c r="D296" i="79"/>
  <c r="F296" i="79"/>
  <c r="G296" i="79"/>
  <c r="I296" i="79"/>
  <c r="K296" i="79"/>
  <c r="L296" i="79"/>
  <c r="C296" i="79"/>
  <c r="E296" i="79"/>
  <c r="H296" i="79"/>
  <c r="J296" i="79"/>
  <c r="C294" i="79"/>
  <c r="D294" i="79"/>
  <c r="E294" i="79"/>
  <c r="F294" i="79"/>
  <c r="G294" i="79"/>
  <c r="J294" i="79"/>
  <c r="K294" i="79"/>
  <c r="L294" i="79"/>
  <c r="I294" i="79"/>
  <c r="H294" i="79"/>
  <c r="C270" i="79"/>
  <c r="D270" i="79"/>
  <c r="E270" i="79"/>
  <c r="F270" i="79"/>
  <c r="G270" i="79"/>
  <c r="H270" i="79"/>
  <c r="I270" i="79"/>
  <c r="J270" i="79"/>
  <c r="K270" i="79"/>
  <c r="L270" i="79"/>
  <c r="D261" i="79"/>
  <c r="C261" i="79"/>
  <c r="F261" i="79"/>
  <c r="I261" i="79"/>
  <c r="K261" i="79"/>
  <c r="E261" i="79"/>
  <c r="H261" i="79"/>
  <c r="J261" i="79"/>
  <c r="G261" i="79"/>
  <c r="L261" i="79"/>
  <c r="C329" i="79"/>
  <c r="D329" i="79"/>
  <c r="E329" i="79"/>
  <c r="F329" i="79"/>
  <c r="G329" i="79"/>
  <c r="H329" i="79"/>
  <c r="I329" i="79"/>
  <c r="J329" i="79"/>
  <c r="K329" i="79"/>
  <c r="L329" i="79"/>
  <c r="C328" i="79"/>
  <c r="D328" i="79"/>
  <c r="E328" i="79"/>
  <c r="F328" i="79"/>
  <c r="G328" i="79"/>
  <c r="H328" i="79"/>
  <c r="I328" i="79"/>
  <c r="J328" i="79"/>
  <c r="K328" i="79"/>
  <c r="L328" i="79"/>
  <c r="D325" i="79"/>
  <c r="F325" i="79"/>
  <c r="H325" i="79"/>
  <c r="K325" i="79"/>
  <c r="L325" i="79"/>
  <c r="C325" i="79"/>
  <c r="E325" i="79"/>
  <c r="G325" i="79"/>
  <c r="I325" i="79"/>
  <c r="J325" i="79"/>
  <c r="C319" i="79"/>
  <c r="F319" i="79"/>
  <c r="H319" i="79"/>
  <c r="J319" i="79"/>
  <c r="K319" i="79"/>
  <c r="L319" i="79"/>
  <c r="D319" i="79"/>
  <c r="E319" i="79"/>
  <c r="G319" i="79"/>
  <c r="I319" i="79"/>
  <c r="E318" i="79"/>
  <c r="H318" i="79"/>
  <c r="L318" i="79"/>
  <c r="C318" i="79"/>
  <c r="D318" i="79"/>
  <c r="F318" i="79"/>
  <c r="G318" i="79"/>
  <c r="I318" i="79"/>
  <c r="J318" i="79"/>
  <c r="K318" i="79"/>
  <c r="C316" i="79"/>
  <c r="G316" i="79"/>
  <c r="I316" i="79"/>
  <c r="L316" i="79"/>
  <c r="E316" i="79"/>
  <c r="J316" i="79"/>
  <c r="D316" i="79"/>
  <c r="F316" i="79"/>
  <c r="H316" i="79"/>
  <c r="K316" i="79"/>
  <c r="D315" i="79"/>
  <c r="H315" i="79"/>
  <c r="J315" i="79"/>
  <c r="L315" i="79"/>
  <c r="C315" i="79"/>
  <c r="E315" i="79"/>
  <c r="G315" i="79"/>
  <c r="I315" i="79"/>
  <c r="F315" i="79"/>
  <c r="K315" i="79"/>
  <c r="C314" i="79"/>
  <c r="G314" i="79"/>
  <c r="K314" i="79"/>
  <c r="I314" i="79"/>
  <c r="E314" i="79"/>
  <c r="D314" i="79"/>
  <c r="F314" i="79"/>
  <c r="H314" i="79"/>
  <c r="L314" i="79"/>
  <c r="J314" i="79"/>
  <c r="C300" i="79"/>
  <c r="E300" i="79"/>
  <c r="F300" i="79"/>
  <c r="H300" i="79"/>
  <c r="J300" i="79"/>
  <c r="L300" i="79"/>
  <c r="D300" i="79"/>
  <c r="G300" i="79"/>
  <c r="I300" i="79"/>
  <c r="K300" i="79"/>
  <c r="C299" i="79"/>
  <c r="E299" i="79"/>
  <c r="F299" i="79"/>
  <c r="H299" i="79"/>
  <c r="J299" i="79"/>
  <c r="K299" i="79"/>
  <c r="D299" i="79"/>
  <c r="G299" i="79"/>
  <c r="I299" i="79"/>
  <c r="L299" i="79"/>
  <c r="C298" i="79"/>
  <c r="D298" i="79"/>
  <c r="F298" i="79"/>
  <c r="G298" i="79"/>
  <c r="I298" i="79"/>
  <c r="K298" i="79"/>
  <c r="L298" i="79"/>
  <c r="E298" i="79"/>
  <c r="H298" i="79"/>
  <c r="J298" i="79"/>
  <c r="E297" i="79"/>
  <c r="G297" i="79"/>
  <c r="I297" i="79"/>
  <c r="K297" i="79"/>
  <c r="L297" i="79"/>
  <c r="C297" i="79"/>
  <c r="D297" i="79"/>
  <c r="F297" i="79"/>
  <c r="H297" i="79"/>
  <c r="J297" i="79"/>
  <c r="J295" i="79"/>
  <c r="C295" i="79"/>
  <c r="D295" i="79"/>
  <c r="F295" i="79"/>
  <c r="H295" i="79"/>
  <c r="I295" i="79"/>
  <c r="E295" i="79"/>
  <c r="G295" i="79"/>
  <c r="K295" i="79"/>
  <c r="L295" i="79"/>
  <c r="C289" i="79"/>
  <c r="D289" i="79"/>
  <c r="E289" i="79"/>
  <c r="F289" i="79"/>
  <c r="H289" i="79"/>
  <c r="G289" i="79"/>
  <c r="I289" i="79"/>
  <c r="J289" i="79"/>
  <c r="K289" i="79"/>
  <c r="L289" i="79"/>
  <c r="E283" i="79"/>
  <c r="G283" i="79"/>
  <c r="H283" i="79"/>
  <c r="I283" i="79"/>
  <c r="L283" i="79"/>
  <c r="C283" i="79"/>
  <c r="D283" i="79"/>
  <c r="F283" i="79"/>
  <c r="J283" i="79"/>
  <c r="K283" i="79"/>
  <c r="C282" i="79"/>
  <c r="D282" i="79"/>
  <c r="E282" i="79"/>
  <c r="F282" i="79"/>
  <c r="G282" i="79"/>
  <c r="H282" i="79"/>
  <c r="I282" i="79"/>
  <c r="J282" i="79"/>
  <c r="K282" i="79"/>
  <c r="L282" i="79"/>
  <c r="C280" i="79"/>
  <c r="D280" i="79"/>
  <c r="E280" i="79"/>
  <c r="F280" i="79"/>
  <c r="G280" i="79"/>
  <c r="H280" i="79"/>
  <c r="I280" i="79"/>
  <c r="J280" i="79"/>
  <c r="K280" i="79"/>
  <c r="L280" i="79"/>
  <c r="C279" i="79"/>
  <c r="D279" i="79"/>
  <c r="E279" i="79"/>
  <c r="F279" i="79"/>
  <c r="G279" i="79"/>
  <c r="H279" i="79"/>
  <c r="I279" i="79"/>
  <c r="J279" i="79"/>
  <c r="K279" i="79"/>
  <c r="L279" i="79"/>
  <c r="C278" i="79"/>
  <c r="D278" i="79"/>
  <c r="E278" i="79"/>
  <c r="F278" i="79"/>
  <c r="G278" i="79"/>
  <c r="H278" i="79"/>
  <c r="I278" i="79"/>
  <c r="J278" i="79"/>
  <c r="K278" i="79"/>
  <c r="L278" i="79"/>
  <c r="C277" i="79"/>
  <c r="D277" i="79"/>
  <c r="E277" i="79"/>
  <c r="F277" i="79"/>
  <c r="G277" i="79"/>
  <c r="H277" i="79"/>
  <c r="I277" i="79"/>
  <c r="J277" i="79"/>
  <c r="K277" i="79"/>
  <c r="L277" i="79"/>
  <c r="C276" i="79"/>
  <c r="D276" i="79"/>
  <c r="E276" i="79"/>
  <c r="F276" i="79"/>
  <c r="G276" i="79"/>
  <c r="H276" i="79"/>
  <c r="I276" i="79"/>
  <c r="J276" i="79"/>
  <c r="K276" i="79"/>
  <c r="L276" i="79"/>
  <c r="C275" i="79"/>
  <c r="D275" i="79"/>
  <c r="E275" i="79"/>
  <c r="F275" i="79"/>
  <c r="G275" i="79"/>
  <c r="H275" i="79"/>
  <c r="I275" i="79"/>
  <c r="J275" i="79"/>
  <c r="K275" i="79"/>
  <c r="L275" i="79"/>
  <c r="C274" i="79"/>
  <c r="D274" i="79"/>
  <c r="E274" i="79"/>
  <c r="F274" i="79"/>
  <c r="G274" i="79"/>
  <c r="H274" i="79"/>
  <c r="I274" i="79"/>
  <c r="J274" i="79"/>
  <c r="K274" i="79"/>
  <c r="L274" i="79"/>
  <c r="C273" i="79"/>
  <c r="D273" i="79"/>
  <c r="E273" i="79"/>
  <c r="F273" i="79"/>
  <c r="G273" i="79"/>
  <c r="H273" i="79"/>
  <c r="I273" i="79"/>
  <c r="J273" i="79"/>
  <c r="K273" i="79"/>
  <c r="L273" i="79"/>
  <c r="C272" i="79"/>
  <c r="D272" i="79"/>
  <c r="E272" i="79"/>
  <c r="F272" i="79"/>
  <c r="G272" i="79"/>
  <c r="H272" i="79"/>
  <c r="I272" i="79"/>
  <c r="J272" i="79"/>
  <c r="K272" i="79"/>
  <c r="L272" i="79"/>
  <c r="C271" i="79"/>
  <c r="D271" i="79"/>
  <c r="E271" i="79"/>
  <c r="F271" i="79"/>
  <c r="G271" i="79"/>
  <c r="H271" i="79"/>
  <c r="I271" i="79"/>
  <c r="J271" i="79"/>
  <c r="K271" i="79"/>
  <c r="L271" i="79"/>
  <c r="F264" i="79"/>
  <c r="H264" i="79"/>
  <c r="K264" i="79"/>
  <c r="D264" i="79"/>
  <c r="G264" i="79"/>
  <c r="L264" i="79"/>
  <c r="C264" i="79"/>
  <c r="J264" i="79"/>
  <c r="I264" i="79"/>
  <c r="E264" i="79"/>
  <c r="G179" i="79"/>
  <c r="K179" i="79"/>
  <c r="C179" i="79"/>
  <c r="L179" i="79"/>
  <c r="H179" i="79"/>
  <c r="E179" i="79"/>
  <c r="J179" i="79"/>
  <c r="D179" i="79"/>
  <c r="F179" i="79"/>
  <c r="I179" i="79"/>
  <c r="I163" i="79"/>
  <c r="C163" i="79"/>
  <c r="E163" i="79"/>
  <c r="K163" i="79"/>
  <c r="D163" i="79"/>
  <c r="G163" i="79"/>
  <c r="L163" i="79"/>
  <c r="F163" i="79"/>
  <c r="H163" i="79"/>
  <c r="J163" i="79"/>
  <c r="N209" i="79"/>
  <c r="N208" i="79"/>
  <c r="N207" i="79"/>
  <c r="N206" i="79"/>
  <c r="N205" i="79"/>
  <c r="N204" i="79"/>
  <c r="N203" i="79"/>
  <c r="N202" i="79"/>
  <c r="N199" i="79"/>
  <c r="N198" i="79"/>
  <c r="N197" i="79"/>
  <c r="N196" i="79"/>
  <c r="N195" i="79"/>
  <c r="N194" i="79"/>
  <c r="N193" i="79"/>
  <c r="N192" i="79"/>
  <c r="N186" i="79"/>
  <c r="N184" i="79"/>
  <c r="N174" i="79"/>
  <c r="N173" i="79"/>
  <c r="N172" i="79"/>
  <c r="N167" i="79"/>
  <c r="N162" i="79"/>
  <c r="N267" i="79"/>
  <c r="M268" i="79"/>
  <c r="N263" i="79"/>
  <c r="N176" i="79"/>
  <c r="N188" i="79"/>
  <c r="N168" i="79"/>
  <c r="N164" i="79"/>
  <c r="N266" i="79"/>
  <c r="N222" i="79"/>
  <c r="N216" i="79"/>
  <c r="N214" i="79"/>
  <c r="N212" i="79"/>
  <c r="N265" i="79"/>
  <c r="N253" i="79"/>
  <c r="N175" i="79"/>
  <c r="N227" i="79"/>
  <c r="N262" i="79"/>
  <c r="N187" i="79"/>
  <c r="N169" i="79"/>
  <c r="N255" i="79"/>
  <c r="N254" i="79"/>
  <c r="N177" i="79"/>
  <c r="N165" i="79"/>
  <c r="N252" i="79"/>
  <c r="N166" i="79"/>
  <c r="N258" i="79"/>
  <c r="N257" i="79"/>
  <c r="N259" i="79"/>
  <c r="N239" i="79"/>
  <c r="N238" i="79"/>
  <c r="N237" i="79"/>
  <c r="N236" i="79"/>
  <c r="N235" i="79"/>
  <c r="N234" i="79"/>
  <c r="N233" i="79"/>
  <c r="N232" i="79"/>
  <c r="N229" i="79"/>
  <c r="N228" i="79"/>
  <c r="N226" i="79"/>
  <c r="N225" i="79"/>
  <c r="N224" i="79"/>
  <c r="N223" i="79"/>
  <c r="N219" i="79"/>
  <c r="N218" i="79"/>
  <c r="N217" i="79"/>
  <c r="N215" i="79"/>
  <c r="N213" i="79"/>
  <c r="N256" i="79"/>
  <c r="N189" i="79"/>
  <c r="N178" i="79"/>
  <c r="S10" i="76"/>
  <c r="T75" i="76"/>
  <c r="R76" i="76"/>
  <c r="T76" i="76"/>
  <c r="Q84" i="76"/>
  <c r="Q83" i="76"/>
  <c r="Q82" i="76"/>
  <c r="Q81" i="76"/>
  <c r="Q80" i="76"/>
  <c r="Q78" i="76"/>
  <c r="R78" i="76"/>
  <c r="Q77" i="76"/>
  <c r="R77" i="76"/>
  <c r="Q76" i="76"/>
  <c r="Q75" i="76"/>
  <c r="R75" i="76"/>
  <c r="I325" i="75"/>
  <c r="L325" i="75"/>
  <c r="J407" i="75"/>
  <c r="H407" i="75"/>
  <c r="E325" i="75"/>
  <c r="K325" i="75"/>
  <c r="C407" i="75"/>
  <c r="L417" i="73"/>
  <c r="G387" i="73"/>
  <c r="I417" i="75"/>
  <c r="L407" i="75"/>
  <c r="I407" i="75"/>
  <c r="E407" i="75"/>
  <c r="D407" i="75"/>
  <c r="J325" i="75"/>
  <c r="G407" i="75"/>
  <c r="K407" i="73"/>
  <c r="H325" i="75"/>
  <c r="D325" i="75"/>
  <c r="C325" i="75"/>
  <c r="K407" i="75"/>
  <c r="F407" i="75"/>
  <c r="G325" i="75"/>
  <c r="F325" i="75"/>
  <c r="H387" i="75"/>
  <c r="C328" i="73"/>
  <c r="D397" i="73"/>
  <c r="I378" i="73"/>
  <c r="H337" i="73"/>
  <c r="C378" i="73"/>
  <c r="D337" i="73"/>
  <c r="F337" i="73"/>
  <c r="G330" i="73"/>
  <c r="H378" i="73"/>
  <c r="L378" i="73"/>
  <c r="K378" i="73"/>
  <c r="I337" i="73"/>
  <c r="E378" i="73"/>
  <c r="E337" i="73"/>
  <c r="J337" i="73"/>
  <c r="C337" i="73"/>
  <c r="D388" i="73"/>
  <c r="D378" i="73"/>
  <c r="J378" i="73"/>
  <c r="G378" i="73"/>
  <c r="G337" i="73"/>
  <c r="L337" i="73"/>
  <c r="K337" i="73"/>
  <c r="L337" i="75"/>
  <c r="H326" i="75"/>
  <c r="L329" i="75"/>
  <c r="J377" i="73"/>
  <c r="E397" i="75"/>
  <c r="L449" i="75"/>
  <c r="E331" i="75"/>
  <c r="K390" i="73"/>
  <c r="D408" i="73"/>
  <c r="L338" i="75"/>
  <c r="G448" i="75"/>
  <c r="G426" i="73"/>
  <c r="H401" i="73"/>
  <c r="J445" i="73"/>
  <c r="D347" i="73"/>
  <c r="I402" i="73"/>
  <c r="L446" i="73"/>
  <c r="D365" i="75"/>
  <c r="D398" i="75"/>
  <c r="G458" i="75"/>
  <c r="C447" i="73"/>
  <c r="G395" i="73"/>
  <c r="I428" i="73"/>
  <c r="G454" i="73"/>
  <c r="H380" i="75"/>
  <c r="L446" i="75"/>
  <c r="F367" i="75"/>
  <c r="H438" i="73"/>
  <c r="K445" i="75"/>
  <c r="D396" i="73"/>
  <c r="E418" i="73"/>
  <c r="C370" i="75"/>
  <c r="K431" i="73"/>
  <c r="K394" i="75"/>
  <c r="F438" i="75"/>
  <c r="I410" i="73"/>
  <c r="I460" i="73"/>
  <c r="E430" i="73"/>
  <c r="C461" i="73"/>
  <c r="C351" i="75"/>
  <c r="D395" i="75"/>
  <c r="H428" i="75"/>
  <c r="L442" i="73"/>
  <c r="C454" i="75"/>
  <c r="E504" i="73"/>
  <c r="E506" i="75"/>
  <c r="E422" i="73"/>
  <c r="F488" i="73"/>
  <c r="K502" i="73"/>
  <c r="I505" i="75"/>
  <c r="D444" i="73"/>
  <c r="H444" i="73"/>
  <c r="G484" i="75"/>
  <c r="D481" i="73"/>
  <c r="H506" i="75"/>
  <c r="J400" i="73"/>
  <c r="K482" i="73"/>
  <c r="L444" i="73"/>
  <c r="K490" i="73"/>
  <c r="D498" i="73"/>
  <c r="F493" i="75"/>
  <c r="I495" i="73"/>
  <c r="I482" i="73"/>
  <c r="D336" i="73"/>
  <c r="J498" i="73"/>
  <c r="L496" i="75"/>
  <c r="G498" i="73"/>
  <c r="C367" i="73"/>
  <c r="D477" i="73"/>
  <c r="F367" i="73"/>
  <c r="D464" i="73"/>
  <c r="K477" i="73"/>
  <c r="L505" i="75"/>
  <c r="L499" i="75"/>
  <c r="F363" i="75"/>
  <c r="K505" i="75"/>
  <c r="K501" i="75"/>
  <c r="D374" i="75"/>
  <c r="E363" i="75"/>
  <c r="J505" i="75"/>
  <c r="K497" i="75"/>
  <c r="L493" i="75"/>
  <c r="C486" i="75"/>
  <c r="C480" i="75"/>
  <c r="E474" i="75"/>
  <c r="E470" i="75"/>
  <c r="G462" i="75"/>
  <c r="E352" i="75"/>
  <c r="H505" i="75"/>
  <c r="H501" i="75"/>
  <c r="I497" i="75"/>
  <c r="J489" i="75"/>
  <c r="L483" i="75"/>
  <c r="C476" i="75"/>
  <c r="C472" i="75"/>
  <c r="E462" i="75"/>
  <c r="C352" i="75"/>
  <c r="G505" i="75"/>
  <c r="H497" i="75"/>
  <c r="I493" i="75"/>
  <c r="J487" i="75"/>
  <c r="K479" i="75"/>
  <c r="D462" i="75"/>
  <c r="F505" i="75"/>
  <c r="F499" i="75"/>
  <c r="H493" i="75"/>
  <c r="C460" i="75"/>
  <c r="D495" i="75"/>
  <c r="D491" i="75"/>
  <c r="E487" i="75"/>
  <c r="F481" i="75"/>
  <c r="H475" i="75"/>
  <c r="H471" i="75"/>
  <c r="J461" i="75"/>
  <c r="J440" i="75"/>
  <c r="L418" i="75"/>
  <c r="L502" i="75"/>
  <c r="C495" i="75"/>
  <c r="C491" i="75"/>
  <c r="E485" i="75"/>
  <c r="E479" i="75"/>
  <c r="G471" i="75"/>
  <c r="I463" i="75"/>
  <c r="F506" i="75"/>
  <c r="F500" i="75"/>
  <c r="H494" i="75"/>
  <c r="J486" i="75"/>
  <c r="J482" i="75"/>
  <c r="L476" i="75"/>
  <c r="L470" i="75"/>
  <c r="C461" i="75"/>
  <c r="E502" i="75"/>
  <c r="D490" i="75"/>
  <c r="K467" i="75"/>
  <c r="F461" i="75"/>
  <c r="H396" i="75"/>
  <c r="D503" i="73"/>
  <c r="D499" i="73"/>
  <c r="F493" i="73"/>
  <c r="G487" i="73"/>
  <c r="H479" i="73"/>
  <c r="J471" i="73"/>
  <c r="D502" i="75"/>
  <c r="L492" i="75"/>
  <c r="F374" i="75"/>
  <c r="K352" i="75"/>
  <c r="D170" i="76"/>
  <c r="C499" i="73"/>
  <c r="E493" i="73"/>
  <c r="C502" i="75"/>
  <c r="K492" i="75"/>
  <c r="G418" i="75"/>
  <c r="E341" i="75"/>
  <c r="D491" i="73"/>
  <c r="E487" i="73"/>
  <c r="J492" i="75"/>
  <c r="E396" i="75"/>
  <c r="C341" i="75"/>
  <c r="L502" i="73"/>
  <c r="C495" i="73"/>
  <c r="D487" i="73"/>
  <c r="H498" i="75"/>
  <c r="D396" i="75"/>
  <c r="E501" i="75"/>
  <c r="E498" i="75"/>
  <c r="K363" i="75"/>
  <c r="D498" i="75"/>
  <c r="J363" i="75"/>
  <c r="D504" i="75"/>
  <c r="C440" i="75"/>
  <c r="J385" i="75"/>
  <c r="F504" i="73"/>
  <c r="F498" i="73"/>
  <c r="H492" i="73"/>
  <c r="K494" i="75"/>
  <c r="I429" i="75"/>
  <c r="K501" i="73"/>
  <c r="H489" i="73"/>
  <c r="C433" i="73"/>
  <c r="E411" i="73"/>
  <c r="E504" i="75"/>
  <c r="H429" i="75"/>
  <c r="C504" i="75"/>
  <c r="I494" i="75"/>
  <c r="G363" i="75"/>
  <c r="G506" i="73"/>
  <c r="E499" i="73"/>
  <c r="K491" i="73"/>
  <c r="E471" i="73"/>
  <c r="E464" i="73"/>
  <c r="G494" i="75"/>
  <c r="F429" i="75"/>
  <c r="D499" i="75"/>
  <c r="I455" i="75"/>
  <c r="E503" i="75"/>
  <c r="H455" i="75"/>
  <c r="H404" i="75"/>
  <c r="G455" i="75"/>
  <c r="G404" i="75"/>
  <c r="I478" i="75"/>
  <c r="D404" i="75"/>
  <c r="E497" i="75"/>
  <c r="G440" i="75"/>
  <c r="J506" i="73"/>
  <c r="E496" i="73"/>
  <c r="I485" i="73"/>
  <c r="F474" i="73"/>
  <c r="D471" i="73"/>
  <c r="H463" i="73"/>
  <c r="D366" i="73"/>
  <c r="L490" i="75"/>
  <c r="D463" i="75"/>
  <c r="H506" i="73"/>
  <c r="D496" i="73"/>
  <c r="D485" i="73"/>
  <c r="D474" i="73"/>
  <c r="G468" i="73"/>
  <c r="J389" i="73"/>
  <c r="C366" i="73"/>
  <c r="D469" i="75"/>
  <c r="D506" i="73"/>
  <c r="F490" i="73"/>
  <c r="I479" i="73"/>
  <c r="E463" i="73"/>
  <c r="H389" i="73"/>
  <c r="H502" i="75"/>
  <c r="K468" i="75"/>
  <c r="L429" i="75"/>
  <c r="I500" i="73"/>
  <c r="I487" i="73"/>
  <c r="K478" i="73"/>
  <c r="I496" i="75"/>
  <c r="J468" i="75"/>
  <c r="L396" i="75"/>
  <c r="H500" i="73"/>
  <c r="I474" i="75"/>
  <c r="D481" i="75"/>
  <c r="D468" i="75"/>
  <c r="K496" i="75"/>
  <c r="J471" i="75"/>
  <c r="G500" i="73"/>
  <c r="C481" i="73"/>
  <c r="G497" i="73"/>
  <c r="I503" i="73"/>
  <c r="J502" i="75"/>
  <c r="K444" i="73"/>
  <c r="L374" i="75"/>
  <c r="E506" i="73"/>
  <c r="G433" i="73"/>
  <c r="J505" i="73"/>
  <c r="H486" i="73"/>
  <c r="K473" i="73"/>
  <c r="G470" i="73"/>
  <c r="G444" i="73"/>
  <c r="I422" i="73"/>
  <c r="D492" i="75"/>
  <c r="L467" i="75"/>
  <c r="G385" i="75"/>
  <c r="H502" i="73"/>
  <c r="L492" i="73"/>
  <c r="G486" i="73"/>
  <c r="F473" i="73"/>
  <c r="F467" i="73"/>
  <c r="F444" i="73"/>
  <c r="K400" i="73"/>
  <c r="L336" i="73"/>
  <c r="C485" i="73"/>
  <c r="G472" i="73"/>
  <c r="G493" i="73"/>
  <c r="E476" i="73"/>
  <c r="D411" i="73"/>
  <c r="C506" i="73"/>
  <c r="L484" i="73"/>
  <c r="E472" i="73"/>
  <c r="J467" i="73"/>
  <c r="G491" i="75"/>
  <c r="K492" i="73"/>
  <c r="C476" i="73"/>
  <c r="D472" i="73"/>
  <c r="E491" i="75"/>
  <c r="G505" i="73"/>
  <c r="G492" i="73"/>
  <c r="F471" i="73"/>
  <c r="D463" i="73"/>
  <c r="K336" i="73"/>
  <c r="E500" i="75"/>
  <c r="I468" i="75"/>
  <c r="E501" i="73"/>
  <c r="E488" i="73"/>
  <c r="F475" i="73"/>
  <c r="I433" i="73"/>
  <c r="I367" i="73"/>
  <c r="I336" i="73"/>
  <c r="I496" i="73"/>
  <c r="D488" i="73"/>
  <c r="H470" i="73"/>
  <c r="F455" i="73"/>
  <c r="K385" i="75"/>
  <c r="C496" i="73"/>
  <c r="E470" i="73"/>
  <c r="E455" i="73"/>
  <c r="G336" i="73"/>
  <c r="J477" i="75"/>
  <c r="J504" i="73"/>
  <c r="L482" i="73"/>
  <c r="H466" i="73"/>
  <c r="G356" i="73"/>
  <c r="E477" i="75"/>
  <c r="E404" i="75"/>
  <c r="G463" i="75"/>
  <c r="K498" i="73"/>
  <c r="D490" i="73"/>
  <c r="C486" i="73"/>
  <c r="C477" i="73"/>
  <c r="E444" i="73"/>
  <c r="H400" i="73"/>
  <c r="J366" i="73"/>
  <c r="I389" i="73"/>
  <c r="F492" i="73"/>
  <c r="F497" i="75"/>
  <c r="H464" i="73"/>
  <c r="J497" i="75"/>
  <c r="I494" i="73"/>
  <c r="E356" i="73"/>
  <c r="J472" i="73"/>
  <c r="F486" i="73"/>
  <c r="C455" i="75"/>
  <c r="L353" i="73"/>
  <c r="J423" i="73"/>
  <c r="G426" i="75"/>
  <c r="H444" i="75"/>
  <c r="J354" i="75"/>
  <c r="J434" i="73"/>
  <c r="D375" i="75"/>
  <c r="L441" i="75"/>
  <c r="G391" i="73"/>
  <c r="J435" i="73"/>
  <c r="G376" i="75"/>
  <c r="C431" i="75"/>
  <c r="F403" i="73"/>
  <c r="C358" i="75"/>
  <c r="I402" i="75"/>
  <c r="F405" i="73"/>
  <c r="J429" i="73"/>
  <c r="C459" i="73"/>
  <c r="G405" i="75"/>
  <c r="H451" i="75"/>
  <c r="G421" i="73"/>
  <c r="L437" i="73"/>
  <c r="K373" i="75"/>
  <c r="H384" i="75"/>
  <c r="I439" i="75"/>
  <c r="F441" i="73"/>
  <c r="G371" i="75"/>
  <c r="G345" i="73"/>
  <c r="K366" i="73"/>
  <c r="I366" i="73"/>
  <c r="C444" i="73"/>
  <c r="G489" i="73"/>
  <c r="C400" i="73"/>
  <c r="I489" i="73"/>
  <c r="G400" i="73"/>
  <c r="D400" i="73"/>
  <c r="J489" i="73"/>
  <c r="E493" i="75"/>
  <c r="C482" i="73"/>
  <c r="L366" i="73"/>
  <c r="I444" i="73"/>
  <c r="C498" i="73"/>
  <c r="I506" i="75"/>
  <c r="K483" i="73"/>
  <c r="D482" i="73"/>
  <c r="K495" i="73"/>
  <c r="E389" i="73"/>
  <c r="C336" i="73"/>
  <c r="I491" i="73"/>
  <c r="J506" i="75"/>
  <c r="J485" i="73"/>
  <c r="G411" i="73"/>
  <c r="F499" i="73"/>
  <c r="L501" i="75"/>
  <c r="D385" i="75"/>
  <c r="K503" i="75"/>
  <c r="L497" i="75"/>
  <c r="G341" i="75"/>
  <c r="J501" i="75"/>
  <c r="L491" i="75"/>
  <c r="C484" i="75"/>
  <c r="C478" i="75"/>
  <c r="E468" i="75"/>
  <c r="G460" i="75"/>
  <c r="F341" i="75"/>
  <c r="H503" i="75"/>
  <c r="J495" i="75"/>
  <c r="J491" i="75"/>
  <c r="K487" i="75"/>
  <c r="L479" i="75"/>
  <c r="C468" i="75"/>
  <c r="E460" i="75"/>
  <c r="D341" i="75"/>
  <c r="G501" i="75"/>
  <c r="I491" i="75"/>
  <c r="K485" i="75"/>
  <c r="L477" i="75"/>
  <c r="D460" i="75"/>
  <c r="F501" i="75"/>
  <c r="H495" i="75"/>
  <c r="I487" i="75"/>
  <c r="J483" i="75"/>
  <c r="K477" i="75"/>
  <c r="L471" i="75"/>
  <c r="C464" i="75"/>
  <c r="F483" i="75"/>
  <c r="G477" i="75"/>
  <c r="J463" i="75"/>
  <c r="K429" i="75"/>
  <c r="L506" i="75"/>
  <c r="L498" i="75"/>
  <c r="C489" i="75"/>
  <c r="E481" i="75"/>
  <c r="G475" i="75"/>
  <c r="G469" i="75"/>
  <c r="I461" i="75"/>
  <c r="F504" i="75"/>
  <c r="H496" i="75"/>
  <c r="H490" i="75"/>
  <c r="J480" i="75"/>
  <c r="L474" i="75"/>
  <c r="L468" i="75"/>
  <c r="E455" i="75"/>
  <c r="G480" i="75"/>
  <c r="L464" i="75"/>
  <c r="G374" i="75"/>
  <c r="J341" i="75"/>
  <c r="D505" i="73"/>
  <c r="E497" i="73"/>
  <c r="F489" i="73"/>
  <c r="H483" i="73"/>
  <c r="I477" i="73"/>
  <c r="J469" i="73"/>
  <c r="K498" i="75"/>
  <c r="H418" i="75"/>
  <c r="C503" i="73"/>
  <c r="E495" i="73"/>
  <c r="E489" i="73"/>
  <c r="J498" i="75"/>
  <c r="K440" i="75"/>
  <c r="J352" i="75"/>
  <c r="D495" i="73"/>
  <c r="K504" i="75"/>
  <c r="F418" i="75"/>
  <c r="I352" i="75"/>
  <c r="L504" i="73"/>
  <c r="L498" i="73"/>
  <c r="C489" i="73"/>
  <c r="I501" i="75"/>
  <c r="H352" i="75"/>
  <c r="G498" i="75"/>
  <c r="F440" i="75"/>
  <c r="G504" i="75"/>
  <c r="J488" i="75"/>
  <c r="H363" i="75"/>
  <c r="F502" i="73"/>
  <c r="H494" i="73"/>
  <c r="H488" i="73"/>
  <c r="C474" i="73"/>
  <c r="G455" i="73"/>
  <c r="C363" i="75"/>
  <c r="F494" i="75"/>
  <c r="E494" i="75"/>
  <c r="K418" i="75"/>
  <c r="D494" i="75"/>
  <c r="J418" i="75"/>
  <c r="I488" i="75"/>
  <c r="J474" i="75"/>
  <c r="D455" i="75"/>
  <c r="I477" i="75"/>
  <c r="I498" i="73"/>
  <c r="J490" i="73"/>
  <c r="L479" i="73"/>
  <c r="K389" i="73"/>
  <c r="D497" i="75"/>
  <c r="D440" i="75"/>
  <c r="F501" i="73"/>
  <c r="H493" i="73"/>
  <c r="K479" i="73"/>
  <c r="L433" i="73"/>
  <c r="L367" i="73"/>
  <c r="D477" i="75"/>
  <c r="J503" i="73"/>
  <c r="E482" i="73"/>
  <c r="E468" i="73"/>
  <c r="L400" i="73"/>
  <c r="J367" i="73"/>
  <c r="J496" i="75"/>
  <c r="F462" i="75"/>
  <c r="G503" i="73"/>
  <c r="C490" i="73"/>
  <c r="I481" i="75"/>
  <c r="K505" i="73"/>
  <c r="G481" i="75"/>
  <c r="J396" i="75"/>
  <c r="L487" i="75"/>
  <c r="C404" i="75"/>
  <c r="C475" i="73"/>
  <c r="I468" i="73"/>
  <c r="C356" i="73"/>
  <c r="E500" i="73"/>
  <c r="F497" i="73"/>
  <c r="E366" i="73"/>
  <c r="K506" i="73"/>
  <c r="H433" i="73"/>
  <c r="J444" i="73"/>
  <c r="L411" i="73"/>
  <c r="H385" i="75"/>
  <c r="I483" i="73"/>
  <c r="K464" i="73"/>
  <c r="I411" i="73"/>
  <c r="D480" i="73"/>
  <c r="H422" i="73"/>
  <c r="H472" i="75"/>
  <c r="E502" i="73"/>
  <c r="F476" i="73"/>
  <c r="F411" i="73"/>
  <c r="L497" i="73"/>
  <c r="F480" i="73"/>
  <c r="K491" i="75"/>
  <c r="K497" i="73"/>
  <c r="D476" i="73"/>
  <c r="K463" i="73"/>
  <c r="K471" i="75"/>
  <c r="J488" i="73"/>
  <c r="F491" i="75"/>
  <c r="H505" i="73"/>
  <c r="I497" i="73"/>
  <c r="C484" i="73"/>
  <c r="D467" i="73"/>
  <c r="K422" i="73"/>
  <c r="G500" i="75"/>
  <c r="F458" i="75"/>
  <c r="J501" i="73"/>
  <c r="D479" i="73"/>
  <c r="J422" i="73"/>
  <c r="K490" i="75"/>
  <c r="J496" i="73"/>
  <c r="I478" i="73"/>
  <c r="F422" i="73"/>
  <c r="F478" i="75"/>
  <c r="C483" i="73"/>
  <c r="L466" i="73"/>
  <c r="D418" i="75"/>
  <c r="K500" i="73"/>
  <c r="G478" i="73"/>
  <c r="E433" i="73"/>
  <c r="C498" i="75"/>
  <c r="J500" i="73"/>
  <c r="F478" i="73"/>
  <c r="D367" i="73"/>
  <c r="F336" i="73"/>
  <c r="E488" i="75"/>
  <c r="D506" i="75"/>
  <c r="H503" i="73"/>
  <c r="L494" i="73"/>
  <c r="K481" i="73"/>
  <c r="D469" i="73"/>
  <c r="L464" i="73"/>
  <c r="D389" i="73"/>
  <c r="F464" i="73"/>
  <c r="J499" i="73"/>
  <c r="L389" i="73"/>
  <c r="K499" i="73"/>
  <c r="E478" i="73"/>
  <c r="K472" i="73"/>
  <c r="I338" i="73"/>
  <c r="H366" i="75"/>
  <c r="G419" i="75"/>
  <c r="I421" i="75"/>
  <c r="E399" i="75"/>
  <c r="L424" i="73"/>
  <c r="E457" i="75"/>
  <c r="I442" i="75"/>
  <c r="G436" i="73"/>
  <c r="C459" i="75"/>
  <c r="L351" i="73"/>
  <c r="J406" i="73"/>
  <c r="C439" i="73"/>
  <c r="E453" i="73"/>
  <c r="K369" i="75"/>
  <c r="I391" i="75"/>
  <c r="E466" i="75"/>
  <c r="K368" i="75"/>
  <c r="C401" i="75"/>
  <c r="H352" i="73"/>
  <c r="J440" i="73"/>
  <c r="K398" i="73"/>
  <c r="E372" i="75"/>
  <c r="H416" i="75"/>
  <c r="G427" i="75"/>
  <c r="I355" i="73"/>
  <c r="H399" i="73"/>
  <c r="D432" i="73"/>
  <c r="K443" i="73"/>
  <c r="K452" i="75"/>
  <c r="J457" i="73"/>
  <c r="C362" i="75"/>
  <c r="K406" i="75"/>
  <c r="C453" i="75"/>
  <c r="H360" i="75"/>
  <c r="I481" i="73"/>
  <c r="G504" i="73"/>
  <c r="G422" i="73"/>
  <c r="E400" i="73"/>
  <c r="E505" i="75"/>
  <c r="F433" i="73"/>
  <c r="C506" i="75"/>
  <c r="J502" i="73"/>
  <c r="H366" i="73"/>
  <c r="C504" i="73"/>
  <c r="C455" i="73"/>
  <c r="H495" i="73"/>
  <c r="I504" i="73"/>
  <c r="G506" i="75"/>
  <c r="E385" i="75"/>
  <c r="H504" i="73"/>
  <c r="J455" i="73"/>
  <c r="H491" i="73"/>
  <c r="I400" i="73"/>
  <c r="L495" i="73"/>
  <c r="J491" i="73"/>
  <c r="D352" i="75"/>
  <c r="C389" i="73"/>
  <c r="F505" i="73"/>
  <c r="E336" i="73"/>
  <c r="F389" i="73"/>
  <c r="L491" i="73"/>
  <c r="H336" i="73"/>
  <c r="G389" i="73"/>
  <c r="C470" i="73"/>
  <c r="K485" i="73"/>
  <c r="L503" i="75"/>
  <c r="C396" i="75"/>
  <c r="E374" i="75"/>
  <c r="G352" i="75"/>
  <c r="H341" i="75"/>
  <c r="K499" i="75"/>
  <c r="C385" i="75"/>
  <c r="F352" i="75"/>
  <c r="J503" i="75"/>
  <c r="J499" i="75"/>
  <c r="L495" i="75"/>
  <c r="L489" i="75"/>
  <c r="C482" i="75"/>
  <c r="E476" i="75"/>
  <c r="E472" i="75"/>
  <c r="G464" i="75"/>
  <c r="C374" i="75"/>
  <c r="D363" i="75"/>
  <c r="H499" i="75"/>
  <c r="J493" i="75"/>
  <c r="L485" i="75"/>
  <c r="L481" i="75"/>
  <c r="C474" i="75"/>
  <c r="C470" i="75"/>
  <c r="E464" i="75"/>
  <c r="L404" i="75"/>
  <c r="G503" i="75"/>
  <c r="G499" i="75"/>
  <c r="I495" i="75"/>
  <c r="I489" i="75"/>
  <c r="K483" i="75"/>
  <c r="K481" i="75"/>
  <c r="D464" i="75"/>
  <c r="K404" i="75"/>
  <c r="F503" i="75"/>
  <c r="G497" i="75"/>
  <c r="H491" i="75"/>
  <c r="H489" i="75"/>
  <c r="J485" i="75"/>
  <c r="J481" i="75"/>
  <c r="J479" i="75"/>
  <c r="L475" i="75"/>
  <c r="L473" i="75"/>
  <c r="L469" i="75"/>
  <c r="C462" i="75"/>
  <c r="J404" i="75"/>
  <c r="C497" i="75"/>
  <c r="D493" i="75"/>
  <c r="D489" i="75"/>
  <c r="F485" i="75"/>
  <c r="F479" i="75"/>
  <c r="H473" i="75"/>
  <c r="H469" i="75"/>
  <c r="I467" i="75"/>
  <c r="L455" i="75"/>
  <c r="F404" i="75"/>
  <c r="L504" i="75"/>
  <c r="L500" i="75"/>
  <c r="C493" i="75"/>
  <c r="D487" i="75"/>
  <c r="E483" i="75"/>
  <c r="F477" i="75"/>
  <c r="G473" i="75"/>
  <c r="H467" i="75"/>
  <c r="K455" i="75"/>
  <c r="F502" i="75"/>
  <c r="F498" i="75"/>
  <c r="H492" i="75"/>
  <c r="H488" i="75"/>
  <c r="J484" i="75"/>
  <c r="J478" i="75"/>
  <c r="L472" i="75"/>
  <c r="C463" i="75"/>
  <c r="D505" i="75"/>
  <c r="F496" i="75"/>
  <c r="H483" i="75"/>
  <c r="C477" i="75"/>
  <c r="I418" i="75"/>
  <c r="L352" i="75"/>
  <c r="K170" i="76"/>
  <c r="D501" i="73"/>
  <c r="F495" i="73"/>
  <c r="F491" i="73"/>
  <c r="H485" i="73"/>
  <c r="H481" i="73"/>
  <c r="J475" i="73"/>
  <c r="J473" i="73"/>
  <c r="C505" i="75"/>
  <c r="E496" i="75"/>
  <c r="L440" i="75"/>
  <c r="G396" i="75"/>
  <c r="I341" i="75"/>
  <c r="C505" i="73"/>
  <c r="C501" i="73"/>
  <c r="D497" i="73"/>
  <c r="E491" i="73"/>
  <c r="F487" i="73"/>
  <c r="D496" i="75"/>
  <c r="K489" i="75"/>
  <c r="F396" i="75"/>
  <c r="C497" i="73"/>
  <c r="D493" i="73"/>
  <c r="D489" i="73"/>
  <c r="I498" i="75"/>
  <c r="I440" i="75"/>
  <c r="L506" i="73"/>
  <c r="L500" i="73"/>
  <c r="C493" i="73"/>
  <c r="C491" i="73"/>
  <c r="J504" i="75"/>
  <c r="H440" i="75"/>
  <c r="E418" i="75"/>
  <c r="I504" i="75"/>
  <c r="H504" i="75"/>
  <c r="D501" i="75"/>
  <c r="C418" i="75"/>
  <c r="C501" i="75"/>
  <c r="E440" i="75"/>
  <c r="L385" i="75"/>
  <c r="K500" i="75"/>
  <c r="L494" i="75"/>
  <c r="F506" i="73"/>
  <c r="F500" i="73"/>
  <c r="H496" i="73"/>
  <c r="H490" i="73"/>
  <c r="C500" i="75"/>
  <c r="J490" i="75"/>
  <c r="L363" i="75"/>
  <c r="I506" i="73"/>
  <c r="D504" i="73"/>
  <c r="G499" i="73"/>
  <c r="G494" i="73"/>
  <c r="I455" i="73"/>
  <c r="D422" i="73"/>
  <c r="F400" i="73"/>
  <c r="J494" i="75"/>
  <c r="I490" i="75"/>
  <c r="I363" i="75"/>
  <c r="I499" i="75"/>
  <c r="G490" i="75"/>
  <c r="G429" i="75"/>
  <c r="L341" i="75"/>
  <c r="I501" i="73"/>
  <c r="K496" i="73"/>
  <c r="E494" i="73"/>
  <c r="H476" i="73"/>
  <c r="J468" i="73"/>
  <c r="E499" i="75"/>
  <c r="F490" i="75"/>
  <c r="J455" i="75"/>
  <c r="I503" i="75"/>
  <c r="E490" i="75"/>
  <c r="E429" i="75"/>
  <c r="I404" i="75"/>
  <c r="C499" i="75"/>
  <c r="D429" i="75"/>
  <c r="D503" i="75"/>
  <c r="J469" i="75"/>
  <c r="C429" i="75"/>
  <c r="K493" i="75"/>
  <c r="H484" i="75"/>
  <c r="E469" i="75"/>
  <c r="K502" i="75"/>
  <c r="F484" i="75"/>
  <c r="E463" i="75"/>
  <c r="G501" i="73"/>
  <c r="I493" i="73"/>
  <c r="C488" i="73"/>
  <c r="H482" i="73"/>
  <c r="H468" i="73"/>
  <c r="C422" i="73"/>
  <c r="H477" i="75"/>
  <c r="L503" i="73"/>
  <c r="H498" i="73"/>
  <c r="I490" i="73"/>
  <c r="G482" i="73"/>
  <c r="C471" i="73"/>
  <c r="G463" i="73"/>
  <c r="L462" i="75"/>
  <c r="E498" i="73"/>
  <c r="L487" i="73"/>
  <c r="I476" i="73"/>
  <c r="L473" i="73"/>
  <c r="K470" i="73"/>
  <c r="J433" i="73"/>
  <c r="L356" i="73"/>
  <c r="G488" i="75"/>
  <c r="J374" i="75"/>
  <c r="L505" i="73"/>
  <c r="J495" i="73"/>
  <c r="J492" i="73"/>
  <c r="I484" i="73"/>
  <c r="G502" i="75"/>
  <c r="F488" i="75"/>
  <c r="J429" i="75"/>
  <c r="I374" i="75"/>
  <c r="F503" i="73"/>
  <c r="D488" i="75"/>
  <c r="H468" i="75"/>
  <c r="J500" i="75"/>
  <c r="H474" i="75"/>
  <c r="I396" i="75"/>
  <c r="K478" i="75"/>
  <c r="H497" i="73"/>
  <c r="H484" i="73"/>
  <c r="C472" i="73"/>
  <c r="G366" i="73"/>
  <c r="K503" i="73"/>
  <c r="F366" i="73"/>
  <c r="C503" i="75"/>
  <c r="D500" i="73"/>
  <c r="K433" i="73"/>
  <c r="E503" i="73"/>
  <c r="I502" i="75"/>
  <c r="L499" i="73"/>
  <c r="L422" i="73"/>
  <c r="I500" i="75"/>
  <c r="I502" i="73"/>
  <c r="I499" i="73"/>
  <c r="E480" i="73"/>
  <c r="G467" i="73"/>
  <c r="D433" i="73"/>
  <c r="H367" i="73"/>
  <c r="H500" i="75"/>
  <c r="I484" i="75"/>
  <c r="K396" i="75"/>
  <c r="I505" i="73"/>
  <c r="H499" i="73"/>
  <c r="F496" i="73"/>
  <c r="K489" i="73"/>
  <c r="D483" i="73"/>
  <c r="F470" i="73"/>
  <c r="J464" i="73"/>
  <c r="H411" i="73"/>
  <c r="G367" i="73"/>
  <c r="H482" i="75"/>
  <c r="J493" i="73"/>
  <c r="G480" i="73"/>
  <c r="C464" i="73"/>
  <c r="D472" i="75"/>
  <c r="K374" i="75"/>
  <c r="D502" i="73"/>
  <c r="L488" i="73"/>
  <c r="F472" i="73"/>
  <c r="L467" i="73"/>
  <c r="H374" i="75"/>
  <c r="C502" i="73"/>
  <c r="K488" i="73"/>
  <c r="C480" i="73"/>
  <c r="C411" i="73"/>
  <c r="H481" i="75"/>
  <c r="J497" i="73"/>
  <c r="K484" i="73"/>
  <c r="E467" i="73"/>
  <c r="J463" i="73"/>
  <c r="C481" i="75"/>
  <c r="J458" i="75"/>
  <c r="L501" i="73"/>
  <c r="I492" i="73"/>
  <c r="I488" i="73"/>
  <c r="J479" i="73"/>
  <c r="F463" i="73"/>
  <c r="G488" i="73"/>
  <c r="L475" i="73"/>
  <c r="C467" i="73"/>
  <c r="L455" i="73"/>
  <c r="D500" i="75"/>
  <c r="E505" i="73"/>
  <c r="E492" i="73"/>
  <c r="J483" i="73"/>
  <c r="I470" i="73"/>
  <c r="H455" i="73"/>
  <c r="J356" i="73"/>
  <c r="D492" i="73"/>
  <c r="H478" i="73"/>
  <c r="E475" i="73"/>
  <c r="K504" i="73"/>
  <c r="C492" i="73"/>
  <c r="D475" i="73"/>
  <c r="J466" i="73"/>
  <c r="E367" i="73"/>
  <c r="H356" i="73"/>
  <c r="K488" i="75"/>
  <c r="I385" i="75"/>
  <c r="H487" i="73"/>
  <c r="D470" i="73"/>
  <c r="D455" i="73"/>
  <c r="K506" i="75"/>
  <c r="K466" i="75"/>
  <c r="F385" i="75"/>
  <c r="D474" i="75"/>
  <c r="J336" i="73"/>
  <c r="K367" i="73"/>
  <c r="J411" i="73"/>
  <c r="L485" i="73"/>
  <c r="I483" i="75"/>
  <c r="K411" i="73"/>
  <c r="C478" i="73"/>
  <c r="D356" i="73"/>
  <c r="I472" i="73"/>
  <c r="E486" i="73"/>
  <c r="C500" i="73"/>
  <c r="F465" i="73"/>
  <c r="J494" i="73"/>
  <c r="F356" i="73"/>
  <c r="K486" i="73"/>
  <c r="K467" i="73"/>
  <c r="L465" i="73"/>
  <c r="L463" i="73"/>
  <c r="L486" i="75"/>
  <c r="G483" i="75"/>
  <c r="F480" i="75"/>
  <c r="G485" i="73"/>
  <c r="G483" i="73"/>
  <c r="G481" i="73"/>
  <c r="G479" i="73"/>
  <c r="H477" i="73"/>
  <c r="K486" i="75"/>
  <c r="D483" i="75"/>
  <c r="F485" i="73"/>
  <c r="F483" i="73"/>
  <c r="F481" i="73"/>
  <c r="F479" i="73"/>
  <c r="G477" i="73"/>
  <c r="C483" i="75"/>
  <c r="E485" i="73"/>
  <c r="E483" i="73"/>
  <c r="E481" i="73"/>
  <c r="E479" i="73"/>
  <c r="F477" i="73"/>
  <c r="H485" i="75"/>
  <c r="G482" i="75"/>
  <c r="L478" i="75"/>
  <c r="J486" i="73"/>
  <c r="J484" i="73"/>
  <c r="J482" i="73"/>
  <c r="J480" i="73"/>
  <c r="J478" i="73"/>
  <c r="I485" i="75"/>
  <c r="L486" i="73"/>
  <c r="F484" i="73"/>
  <c r="L481" i="73"/>
  <c r="C479" i="73"/>
  <c r="D462" i="73"/>
  <c r="G485" i="75"/>
  <c r="L480" i="75"/>
  <c r="D485" i="75"/>
  <c r="K480" i="75"/>
  <c r="I486" i="73"/>
  <c r="D484" i="73"/>
  <c r="J481" i="73"/>
  <c r="L478" i="73"/>
  <c r="C485" i="75"/>
  <c r="I480" i="75"/>
  <c r="E475" i="75"/>
  <c r="C471" i="75"/>
  <c r="H480" i="75"/>
  <c r="D475" i="75"/>
  <c r="L484" i="75"/>
  <c r="C475" i="75"/>
  <c r="K484" i="75"/>
  <c r="K458" i="75"/>
  <c r="E459" i="73"/>
  <c r="L462" i="73"/>
  <c r="H462" i="73"/>
  <c r="E462" i="73"/>
  <c r="C462" i="73"/>
  <c r="C458" i="73"/>
  <c r="D458" i="73"/>
  <c r="L457" i="73"/>
  <c r="N223" i="76"/>
  <c r="E473" i="73"/>
  <c r="D473" i="73"/>
  <c r="C468" i="73"/>
  <c r="J460" i="73"/>
  <c r="J474" i="73"/>
  <c r="K475" i="73"/>
  <c r="G474" i="73"/>
  <c r="J472" i="75"/>
  <c r="G466" i="73"/>
  <c r="K474" i="75"/>
  <c r="K468" i="73"/>
  <c r="G476" i="73"/>
  <c r="H461" i="73"/>
  <c r="K462" i="75"/>
  <c r="G461" i="73"/>
  <c r="F469" i="73"/>
  <c r="K476" i="73"/>
  <c r="E469" i="73"/>
  <c r="C469" i="73"/>
  <c r="I375" i="73"/>
  <c r="J462" i="75"/>
  <c r="L469" i="73"/>
  <c r="D465" i="75"/>
  <c r="K469" i="73"/>
  <c r="F465" i="75"/>
  <c r="K457" i="73"/>
  <c r="E458" i="75"/>
  <c r="D466" i="75"/>
  <c r="D458" i="75"/>
  <c r="C466" i="75"/>
  <c r="C458" i="75"/>
  <c r="J465" i="75"/>
  <c r="K457" i="75"/>
  <c r="I459" i="75"/>
  <c r="C465" i="75"/>
  <c r="E458" i="73"/>
  <c r="L461" i="73"/>
  <c r="L459" i="73"/>
  <c r="K473" i="75"/>
  <c r="K470" i="75"/>
  <c r="J467" i="75"/>
  <c r="K464" i="75"/>
  <c r="E461" i="75"/>
  <c r="I475" i="73"/>
  <c r="I473" i="73"/>
  <c r="I471" i="73"/>
  <c r="I469" i="73"/>
  <c r="J473" i="75"/>
  <c r="J470" i="75"/>
  <c r="G467" i="75"/>
  <c r="J464" i="75"/>
  <c r="D461" i="75"/>
  <c r="I457" i="75"/>
  <c r="H475" i="73"/>
  <c r="H473" i="73"/>
  <c r="H471" i="73"/>
  <c r="H469" i="73"/>
  <c r="I467" i="73"/>
  <c r="J465" i="73"/>
  <c r="K475" i="75"/>
  <c r="K472" i="75"/>
  <c r="I469" i="75"/>
  <c r="F463" i="75"/>
  <c r="L476" i="73"/>
  <c r="L474" i="73"/>
  <c r="L472" i="73"/>
  <c r="L470" i="73"/>
  <c r="L468" i="73"/>
  <c r="C465" i="73"/>
  <c r="C463" i="73"/>
  <c r="J475" i="75"/>
  <c r="F471" i="75"/>
  <c r="J466" i="75"/>
  <c r="K461" i="75"/>
  <c r="J476" i="73"/>
  <c r="E474" i="73"/>
  <c r="K471" i="73"/>
  <c r="K466" i="73"/>
  <c r="G464" i="73"/>
  <c r="K459" i="73"/>
  <c r="I457" i="73"/>
  <c r="I475" i="75"/>
  <c r="E471" i="75"/>
  <c r="F466" i="75"/>
  <c r="H461" i="75"/>
  <c r="F475" i="75"/>
  <c r="D471" i="75"/>
  <c r="G461" i="75"/>
  <c r="I466" i="73"/>
  <c r="H459" i="73"/>
  <c r="G457" i="73"/>
  <c r="L465" i="75"/>
  <c r="K465" i="75"/>
  <c r="H465" i="75"/>
  <c r="K459" i="75"/>
  <c r="G465" i="75"/>
  <c r="H459" i="75"/>
  <c r="E465" i="75"/>
  <c r="E466" i="73"/>
  <c r="D461" i="73"/>
  <c r="I458" i="73"/>
  <c r="D466" i="73"/>
  <c r="H458" i="73"/>
  <c r="K460" i="73"/>
  <c r="F458" i="73"/>
  <c r="J458" i="73"/>
  <c r="G458" i="73"/>
  <c r="K461" i="73"/>
  <c r="G460" i="73"/>
  <c r="F460" i="73"/>
  <c r="K458" i="73"/>
  <c r="H457" i="73"/>
  <c r="K425" i="75"/>
  <c r="F482" i="73"/>
  <c r="G489" i="75"/>
  <c r="I486" i="75"/>
  <c r="F378" i="73"/>
  <c r="I479" i="75"/>
  <c r="K476" i="75"/>
  <c r="I473" i="75"/>
  <c r="I470" i="75"/>
  <c r="F467" i="75"/>
  <c r="F464" i="75"/>
  <c r="H457" i="75"/>
  <c r="G496" i="75"/>
  <c r="H487" i="75"/>
  <c r="H478" i="75"/>
  <c r="I471" i="75"/>
  <c r="K341" i="75"/>
  <c r="G496" i="73"/>
  <c r="L489" i="73"/>
  <c r="F460" i="75"/>
  <c r="C496" i="75"/>
  <c r="C494" i="75"/>
  <c r="L496" i="73"/>
  <c r="K493" i="73"/>
  <c r="E490" i="73"/>
  <c r="L483" i="73"/>
  <c r="H480" i="73"/>
  <c r="E477" i="73"/>
  <c r="H474" i="73"/>
  <c r="J470" i="73"/>
  <c r="C492" i="75"/>
  <c r="C490" i="75"/>
  <c r="C488" i="75"/>
  <c r="E486" i="75"/>
  <c r="E484" i="75"/>
  <c r="E482" i="75"/>
  <c r="E480" i="75"/>
  <c r="E478" i="75"/>
  <c r="G476" i="75"/>
  <c r="G474" i="75"/>
  <c r="G475" i="73"/>
  <c r="G473" i="73"/>
  <c r="G471" i="73"/>
  <c r="G469" i="73"/>
  <c r="H467" i="73"/>
  <c r="I465" i="73"/>
  <c r="I463" i="73"/>
  <c r="I461" i="73"/>
  <c r="I459" i="73"/>
  <c r="C393" i="73"/>
  <c r="K455" i="73"/>
  <c r="H463" i="75"/>
  <c r="G472" i="75"/>
  <c r="G470" i="75"/>
  <c r="G468" i="75"/>
  <c r="I466" i="75"/>
  <c r="I464" i="75"/>
  <c r="I462" i="75"/>
  <c r="I460" i="75"/>
  <c r="I458" i="75"/>
  <c r="G486" i="75"/>
  <c r="L482" i="75"/>
  <c r="G479" i="75"/>
  <c r="D470" i="75"/>
  <c r="D467" i="75"/>
  <c r="F495" i="75"/>
  <c r="F492" i="75"/>
  <c r="F486" i="75"/>
  <c r="K482" i="75"/>
  <c r="D479" i="75"/>
  <c r="C467" i="75"/>
  <c r="E495" i="75"/>
  <c r="E492" i="75"/>
  <c r="L488" i="75"/>
  <c r="I482" i="75"/>
  <c r="C479" i="75"/>
  <c r="D476" i="75"/>
  <c r="C473" i="75"/>
  <c r="K469" i="75"/>
  <c r="C457" i="75"/>
  <c r="G465" i="73"/>
  <c r="C487" i="75"/>
  <c r="F469" i="75"/>
  <c r="E465" i="73"/>
  <c r="G493" i="75"/>
  <c r="C469" i="75"/>
  <c r="D465" i="73"/>
  <c r="L458" i="75"/>
  <c r="D459" i="73"/>
  <c r="G466" i="75"/>
  <c r="I476" i="75"/>
  <c r="E473" i="75"/>
  <c r="L463" i="75"/>
  <c r="K460" i="75"/>
  <c r="H476" i="75"/>
  <c r="D473" i="75"/>
  <c r="K463" i="75"/>
  <c r="J460" i="75"/>
  <c r="L466" i="75"/>
  <c r="L461" i="75"/>
  <c r="G484" i="73"/>
  <c r="F468" i="73"/>
  <c r="C494" i="73"/>
  <c r="L490" i="73"/>
  <c r="J487" i="73"/>
  <c r="E484" i="73"/>
  <c r="L480" i="73"/>
  <c r="L477" i="73"/>
  <c r="K474" i="73"/>
  <c r="L471" i="73"/>
  <c r="D468" i="73"/>
  <c r="G459" i="75"/>
  <c r="L493" i="73"/>
  <c r="G490" i="73"/>
  <c r="C487" i="73"/>
  <c r="I480" i="73"/>
  <c r="J477" i="73"/>
  <c r="I474" i="73"/>
  <c r="F462" i="73"/>
  <c r="G459" i="73"/>
  <c r="D494" i="73"/>
  <c r="K487" i="73"/>
  <c r="G487" i="75"/>
  <c r="G478" i="75"/>
  <c r="G462" i="73"/>
  <c r="D486" i="75"/>
  <c r="D484" i="75"/>
  <c r="D482" i="75"/>
  <c r="D480" i="75"/>
  <c r="D478" i="75"/>
  <c r="F476" i="75"/>
  <c r="F474" i="75"/>
  <c r="F472" i="75"/>
  <c r="F470" i="75"/>
  <c r="F468" i="75"/>
  <c r="H464" i="75"/>
  <c r="H462" i="75"/>
  <c r="H460" i="75"/>
  <c r="H458" i="75"/>
  <c r="K495" i="75"/>
  <c r="I492" i="75"/>
  <c r="F489" i="75"/>
  <c r="H486" i="75"/>
  <c r="H479" i="75"/>
  <c r="J476" i="75"/>
  <c r="F473" i="75"/>
  <c r="H470" i="75"/>
  <c r="E467" i="75"/>
  <c r="L460" i="75"/>
  <c r="G457" i="75"/>
  <c r="G495" i="75"/>
  <c r="G492" i="75"/>
  <c r="E489" i="75"/>
  <c r="F494" i="73"/>
  <c r="G491" i="73"/>
  <c r="K465" i="73"/>
  <c r="K462" i="73"/>
  <c r="E460" i="73"/>
  <c r="F457" i="73"/>
  <c r="H465" i="73"/>
  <c r="J462" i="73"/>
  <c r="D460" i="73"/>
  <c r="I462" i="73"/>
  <c r="L458" i="73"/>
  <c r="S57" i="76"/>
  <c r="E403" i="75"/>
  <c r="H384" i="73"/>
  <c r="F385" i="73"/>
  <c r="D371" i="73"/>
  <c r="D372" i="73"/>
  <c r="G360" i="73"/>
  <c r="G344" i="73"/>
  <c r="D373" i="73"/>
  <c r="I346" i="73"/>
  <c r="E375" i="73"/>
  <c r="H369" i="73"/>
  <c r="K357" i="73"/>
  <c r="D359" i="73"/>
  <c r="J376" i="73"/>
  <c r="J364" i="73"/>
  <c r="E393" i="75"/>
  <c r="F388" i="75"/>
  <c r="I450" i="73"/>
  <c r="D392" i="75"/>
  <c r="F413" i="73"/>
  <c r="F356" i="75"/>
  <c r="G380" i="73"/>
  <c r="G342" i="75"/>
  <c r="C430" i="75"/>
  <c r="K432" i="75"/>
  <c r="E412" i="73"/>
  <c r="E456" i="73"/>
  <c r="L436" i="75"/>
  <c r="H416" i="73"/>
  <c r="J382" i="73"/>
  <c r="K332" i="73"/>
  <c r="C379" i="75"/>
  <c r="I422" i="75"/>
  <c r="D333" i="75"/>
  <c r="F410" i="75"/>
  <c r="J334" i="73"/>
  <c r="G423" i="75"/>
  <c r="C404" i="73"/>
  <c r="D335" i="75"/>
  <c r="J381" i="75"/>
  <c r="E377" i="75"/>
  <c r="L359" i="75"/>
  <c r="K350" i="73"/>
  <c r="I424" i="75"/>
  <c r="E412" i="75"/>
  <c r="I383" i="73"/>
  <c r="K358" i="73"/>
  <c r="K342" i="73"/>
  <c r="L343" i="73"/>
  <c r="F345" i="75"/>
  <c r="L374" i="73"/>
  <c r="F362" i="73"/>
  <c r="C370" i="73"/>
  <c r="G363" i="73"/>
  <c r="F355" i="75"/>
  <c r="K433" i="75"/>
  <c r="D389" i="75"/>
  <c r="F452" i="73"/>
  <c r="L365" i="73"/>
  <c r="K394" i="73"/>
  <c r="C434" i="75"/>
  <c r="L415" i="73"/>
  <c r="H448" i="73"/>
  <c r="I451" i="73"/>
  <c r="D381" i="73"/>
  <c r="K343" i="75"/>
  <c r="L456" i="75"/>
  <c r="L332" i="75"/>
  <c r="J447" i="75"/>
  <c r="K333" i="73"/>
  <c r="J347" i="75"/>
  <c r="C349" i="73"/>
  <c r="K334" i="75"/>
  <c r="K386" i="73"/>
  <c r="J419" i="73"/>
  <c r="C325" i="73"/>
  <c r="J327" i="73"/>
  <c r="K336" i="75"/>
  <c r="G349" i="75"/>
  <c r="K382" i="75"/>
  <c r="F327" i="75"/>
  <c r="G450" i="75"/>
  <c r="K408" i="75"/>
  <c r="H330" i="75"/>
  <c r="J331" i="73"/>
  <c r="I409" i="75"/>
  <c r="I340" i="73"/>
  <c r="I400" i="75"/>
  <c r="K443" i="75"/>
  <c r="J409" i="73"/>
  <c r="J353" i="75"/>
  <c r="L386" i="75"/>
  <c r="F378" i="75"/>
  <c r="C413" i="75"/>
  <c r="C341" i="73"/>
  <c r="F379" i="73"/>
  <c r="L415" i="75"/>
  <c r="K494" i="73"/>
  <c r="H501" i="73"/>
  <c r="F455" i="75"/>
  <c r="I464" i="73"/>
  <c r="D478" i="73"/>
  <c r="D486" i="73"/>
  <c r="I356" i="73"/>
  <c r="C466" i="73"/>
  <c r="K480" i="73"/>
  <c r="H472" i="73"/>
  <c r="K356" i="73"/>
  <c r="F466" i="73"/>
  <c r="C473" i="73"/>
  <c r="G495" i="73"/>
  <c r="G502" i="73"/>
  <c r="I472" i="75"/>
  <c r="F487" i="75"/>
  <c r="E157" i="76"/>
  <c r="J170" i="76"/>
  <c r="I294" i="76"/>
  <c r="K304" i="76"/>
  <c r="G201" i="76"/>
  <c r="L210" i="76"/>
  <c r="D210" i="76"/>
  <c r="K157" i="76"/>
  <c r="K300" i="76"/>
  <c r="L170" i="76"/>
  <c r="H315" i="76"/>
  <c r="F211" i="76"/>
  <c r="I290" i="76"/>
  <c r="K307" i="76"/>
  <c r="E300" i="76"/>
  <c r="C170" i="76"/>
  <c r="K305" i="76"/>
  <c r="F170" i="76"/>
  <c r="E314" i="76"/>
  <c r="D314" i="76"/>
  <c r="L316" i="76"/>
  <c r="K316" i="76"/>
  <c r="C316" i="76"/>
  <c r="C295" i="76"/>
  <c r="K250" i="76"/>
  <c r="J324" i="76"/>
  <c r="C324" i="76"/>
  <c r="L307" i="76"/>
  <c r="G300" i="76"/>
  <c r="D317" i="76"/>
  <c r="L294" i="76"/>
  <c r="C294" i="76"/>
  <c r="G304" i="76"/>
  <c r="F157" i="76"/>
  <c r="J187" i="76"/>
  <c r="K310" i="76"/>
  <c r="C220" i="76"/>
  <c r="E220" i="76"/>
  <c r="E250" i="76"/>
  <c r="H210" i="76"/>
  <c r="H170" i="76"/>
  <c r="F159" i="76"/>
  <c r="G320" i="76"/>
  <c r="J308" i="76"/>
  <c r="E170" i="76"/>
  <c r="G316" i="76"/>
  <c r="D295" i="76"/>
  <c r="I324" i="76"/>
  <c r="I307" i="76"/>
  <c r="I320" i="76"/>
  <c r="L326" i="76"/>
  <c r="C210" i="76"/>
  <c r="G327" i="76"/>
  <c r="L325" i="76"/>
  <c r="I314" i="76"/>
  <c r="I295" i="76"/>
  <c r="G324" i="76"/>
  <c r="J300" i="76"/>
  <c r="E294" i="76"/>
  <c r="F326" i="76"/>
  <c r="F220" i="76"/>
  <c r="C250" i="76"/>
  <c r="F250" i="76"/>
  <c r="J201" i="76"/>
  <c r="C201" i="76"/>
  <c r="F210" i="76"/>
  <c r="H300" i="76"/>
  <c r="G295" i="76"/>
  <c r="C317" i="76"/>
  <c r="L298" i="76"/>
  <c r="H304" i="76"/>
  <c r="C300" i="76"/>
  <c r="I202" i="76"/>
  <c r="J157" i="76"/>
  <c r="G314" i="76"/>
  <c r="D316" i="76"/>
  <c r="H316" i="76"/>
  <c r="J295" i="76"/>
  <c r="H298" i="76"/>
  <c r="L324" i="76"/>
  <c r="H324" i="76"/>
  <c r="H327" i="76"/>
  <c r="C307" i="76"/>
  <c r="D300" i="76"/>
  <c r="J320" i="76"/>
  <c r="G294" i="76"/>
  <c r="D304" i="76"/>
  <c r="K326" i="76"/>
  <c r="E200" i="76"/>
  <c r="F314" i="76"/>
  <c r="J290" i="76"/>
  <c r="K317" i="76"/>
  <c r="J304" i="76"/>
  <c r="F300" i="76"/>
  <c r="G157" i="76"/>
  <c r="D220" i="76"/>
  <c r="K220" i="76"/>
  <c r="H220" i="76"/>
  <c r="L250" i="76"/>
  <c r="I250" i="76"/>
  <c r="I201" i="76"/>
  <c r="F201" i="76"/>
  <c r="J210" i="76"/>
  <c r="E210" i="76"/>
  <c r="I148" i="76"/>
  <c r="L297" i="76"/>
  <c r="C157" i="76"/>
  <c r="F304" i="76"/>
  <c r="D296" i="76"/>
  <c r="I304" i="76"/>
  <c r="H294" i="76"/>
  <c r="H157" i="76"/>
  <c r="C318" i="76"/>
  <c r="G170" i="76"/>
  <c r="L314" i="76"/>
  <c r="K314" i="76"/>
  <c r="I316" i="76"/>
  <c r="E316" i="76"/>
  <c r="E295" i="76"/>
  <c r="H314" i="76"/>
  <c r="D324" i="76"/>
  <c r="F324" i="76"/>
  <c r="L290" i="76"/>
  <c r="I300" i="76"/>
  <c r="I317" i="76"/>
  <c r="D294" i="76"/>
  <c r="F294" i="76"/>
  <c r="C304" i="76"/>
  <c r="L157" i="76"/>
  <c r="J158" i="76"/>
  <c r="I198" i="76"/>
  <c r="K150" i="76"/>
  <c r="C155" i="76"/>
  <c r="H151" i="76"/>
  <c r="H156" i="76"/>
  <c r="L153" i="76"/>
  <c r="D157" i="76"/>
  <c r="L172" i="76"/>
  <c r="F154" i="76"/>
  <c r="I157" i="76"/>
  <c r="L220" i="76"/>
  <c r="I220" i="76"/>
  <c r="H250" i="76"/>
  <c r="J250" i="76"/>
  <c r="D250" i="76"/>
  <c r="L201" i="76"/>
  <c r="D201" i="76"/>
  <c r="I210" i="76"/>
  <c r="K294" i="76"/>
  <c r="D263" i="76"/>
  <c r="I306" i="76"/>
  <c r="E262" i="76"/>
  <c r="I326" i="76"/>
  <c r="E304" i="76"/>
  <c r="I170" i="76"/>
  <c r="K277" i="76"/>
  <c r="C277" i="76"/>
  <c r="I277" i="76"/>
  <c r="H277" i="76"/>
  <c r="G277" i="76"/>
  <c r="F277" i="76"/>
  <c r="E277" i="76"/>
  <c r="D277" i="76"/>
  <c r="L277" i="76"/>
  <c r="J277" i="76"/>
  <c r="E201" i="76"/>
  <c r="H201" i="76"/>
  <c r="K201" i="76"/>
  <c r="K210" i="76"/>
  <c r="I288" i="76"/>
  <c r="H288" i="76"/>
  <c r="F288" i="76"/>
  <c r="K288" i="76"/>
  <c r="C288" i="76"/>
  <c r="L288" i="76"/>
  <c r="J288" i="76"/>
  <c r="G288" i="76"/>
  <c r="E288" i="76"/>
  <c r="D288" i="76"/>
  <c r="J315" i="76"/>
  <c r="I315" i="76"/>
  <c r="F315" i="76"/>
  <c r="K315" i="76"/>
  <c r="G210" i="76"/>
  <c r="J220" i="76"/>
  <c r="G220" i="76"/>
  <c r="D305" i="76"/>
  <c r="J314" i="76"/>
  <c r="F316" i="76"/>
  <c r="J316" i="76"/>
  <c r="G250" i="76"/>
  <c r="C314" i="76"/>
  <c r="E324" i="76"/>
  <c r="K324" i="76"/>
  <c r="C327" i="76"/>
  <c r="D307" i="76"/>
  <c r="L300" i="76"/>
  <c r="F317" i="76"/>
  <c r="J294" i="76"/>
  <c r="L304" i="76"/>
  <c r="D306" i="76"/>
  <c r="I465" i="75"/>
  <c r="F482" i="75"/>
  <c r="F296" i="76"/>
  <c r="H296" i="76"/>
  <c r="E364" i="73"/>
  <c r="G371" i="73"/>
  <c r="F403" i="75"/>
  <c r="J403" i="75"/>
  <c r="G377" i="75"/>
  <c r="E379" i="75"/>
  <c r="C374" i="73"/>
  <c r="E385" i="73"/>
  <c r="D378" i="75"/>
  <c r="G332" i="75"/>
  <c r="I403" i="75"/>
  <c r="G332" i="73"/>
  <c r="G369" i="73"/>
  <c r="G379" i="75"/>
  <c r="H403" i="75"/>
  <c r="I365" i="73"/>
  <c r="E327" i="73"/>
  <c r="G353" i="73"/>
  <c r="G444" i="75"/>
  <c r="G338" i="75"/>
  <c r="D369" i="73"/>
  <c r="D403" i="75"/>
  <c r="G385" i="73"/>
  <c r="J374" i="73"/>
  <c r="F350" i="73"/>
  <c r="I377" i="75"/>
  <c r="D456" i="75"/>
  <c r="E374" i="73"/>
  <c r="G374" i="73"/>
  <c r="G403" i="75"/>
  <c r="D384" i="73"/>
  <c r="F332" i="73"/>
  <c r="F374" i="73"/>
  <c r="D380" i="73"/>
  <c r="C359" i="75"/>
  <c r="K375" i="73"/>
  <c r="H359" i="75"/>
  <c r="E446" i="73"/>
  <c r="L385" i="73"/>
  <c r="K385" i="73"/>
  <c r="G327" i="73"/>
  <c r="D394" i="73"/>
  <c r="I447" i="75"/>
  <c r="L403" i="75"/>
  <c r="K359" i="75"/>
  <c r="K377" i="75"/>
  <c r="H421" i="73"/>
  <c r="H332" i="73"/>
  <c r="C327" i="73"/>
  <c r="G408" i="73"/>
  <c r="C403" i="75"/>
  <c r="L327" i="73"/>
  <c r="J456" i="75"/>
  <c r="K403" i="75"/>
  <c r="J413" i="75"/>
  <c r="J362" i="73"/>
  <c r="G325" i="73"/>
  <c r="C383" i="73"/>
  <c r="C377" i="73"/>
  <c r="G395" i="75"/>
  <c r="F346" i="73"/>
  <c r="G377" i="73"/>
  <c r="D383" i="73"/>
  <c r="H346" i="73"/>
  <c r="K346" i="73"/>
  <c r="H383" i="73"/>
  <c r="L346" i="73"/>
  <c r="J383" i="73"/>
  <c r="E383" i="73"/>
  <c r="H356" i="75"/>
  <c r="E346" i="73"/>
  <c r="C346" i="73"/>
  <c r="J346" i="73"/>
  <c r="F383" i="73"/>
  <c r="L383" i="73"/>
  <c r="E341" i="73"/>
  <c r="K383" i="73"/>
  <c r="D379" i="73"/>
  <c r="G383" i="73"/>
  <c r="C384" i="73"/>
  <c r="E384" i="73"/>
  <c r="C362" i="73"/>
  <c r="K384" i="73"/>
  <c r="L384" i="73"/>
  <c r="G390" i="73"/>
  <c r="I384" i="73"/>
  <c r="I390" i="73"/>
  <c r="G384" i="73"/>
  <c r="J390" i="73"/>
  <c r="L362" i="73"/>
  <c r="J371" i="73"/>
  <c r="E358" i="73"/>
  <c r="D415" i="73"/>
  <c r="H358" i="75"/>
  <c r="D369" i="75"/>
  <c r="G355" i="73"/>
  <c r="D385" i="73"/>
  <c r="H379" i="75"/>
  <c r="I408" i="73"/>
  <c r="J375" i="73"/>
  <c r="C385" i="73"/>
  <c r="J385" i="73"/>
  <c r="I385" i="73"/>
  <c r="E356" i="75"/>
  <c r="H385" i="73"/>
  <c r="H443" i="73"/>
  <c r="C356" i="75"/>
  <c r="I341" i="73"/>
  <c r="G362" i="73"/>
  <c r="C369" i="75"/>
  <c r="K408" i="73"/>
  <c r="E406" i="73"/>
  <c r="I359" i="75"/>
  <c r="J384" i="73"/>
  <c r="L379" i="75"/>
  <c r="D370" i="75"/>
  <c r="D327" i="73"/>
  <c r="G445" i="75"/>
  <c r="F390" i="73"/>
  <c r="E426" i="75"/>
  <c r="L356" i="75"/>
  <c r="J341" i="73"/>
  <c r="F359" i="75"/>
  <c r="J359" i="75"/>
  <c r="F384" i="73"/>
  <c r="I332" i="75"/>
  <c r="F379" i="75"/>
  <c r="H435" i="73"/>
  <c r="E443" i="73"/>
  <c r="L431" i="75"/>
  <c r="J431" i="75"/>
  <c r="H370" i="75"/>
  <c r="E371" i="73"/>
  <c r="F370" i="75"/>
  <c r="H338" i="73"/>
  <c r="G364" i="73"/>
  <c r="G342" i="73"/>
  <c r="E338" i="73"/>
  <c r="I376" i="73"/>
  <c r="F358" i="73"/>
  <c r="D342" i="73"/>
  <c r="K412" i="73"/>
  <c r="L364" i="73"/>
  <c r="L441" i="73"/>
  <c r="E441" i="73"/>
  <c r="C342" i="73"/>
  <c r="K431" i="75"/>
  <c r="I364" i="73"/>
  <c r="I398" i="73"/>
  <c r="K441" i="73"/>
  <c r="E370" i="75"/>
  <c r="K451" i="73"/>
  <c r="F369" i="75"/>
  <c r="L376" i="73"/>
  <c r="D441" i="73"/>
  <c r="E445" i="73"/>
  <c r="C364" i="73"/>
  <c r="G445" i="73"/>
  <c r="F371" i="73"/>
  <c r="I345" i="75"/>
  <c r="H371" i="73"/>
  <c r="H355" i="75"/>
  <c r="H343" i="73"/>
  <c r="J433" i="75"/>
  <c r="F326" i="75"/>
  <c r="C403" i="73"/>
  <c r="F398" i="73"/>
  <c r="I443" i="73"/>
  <c r="J419" i="75"/>
  <c r="F423" i="75"/>
  <c r="F342" i="73"/>
  <c r="L355" i="75"/>
  <c r="L370" i="75"/>
  <c r="J393" i="75"/>
  <c r="D425" i="75"/>
  <c r="H364" i="73"/>
  <c r="E359" i="73"/>
  <c r="L359" i="73"/>
  <c r="J370" i="75"/>
  <c r="E369" i="75"/>
  <c r="G432" i="75"/>
  <c r="C443" i="73"/>
  <c r="E432" i="75"/>
  <c r="E380" i="75"/>
  <c r="H398" i="73"/>
  <c r="F444" i="75"/>
  <c r="H335" i="75"/>
  <c r="H342" i="73"/>
  <c r="G425" i="75"/>
  <c r="F368" i="75"/>
  <c r="G436" i="75"/>
  <c r="K372" i="73"/>
  <c r="C436" i="75"/>
  <c r="H349" i="73"/>
  <c r="F456" i="73"/>
  <c r="E344" i="73"/>
  <c r="I353" i="75"/>
  <c r="F373" i="73"/>
  <c r="F393" i="75"/>
  <c r="F391" i="75"/>
  <c r="C376" i="73"/>
  <c r="J358" i="73"/>
  <c r="G358" i="73"/>
  <c r="C432" i="75"/>
  <c r="K397" i="75"/>
  <c r="D331" i="73"/>
  <c r="I342" i="73"/>
  <c r="D358" i="73"/>
  <c r="E360" i="75"/>
  <c r="J378" i="75"/>
  <c r="D441" i="75"/>
  <c r="D349" i="73"/>
  <c r="C412" i="73"/>
  <c r="I331" i="73"/>
  <c r="I393" i="75"/>
  <c r="G393" i="75"/>
  <c r="J446" i="75"/>
  <c r="I419" i="75"/>
  <c r="C334" i="75"/>
  <c r="L371" i="73"/>
  <c r="L369" i="75"/>
  <c r="E423" i="75"/>
  <c r="G355" i="75"/>
  <c r="D341" i="73"/>
  <c r="L358" i="73"/>
  <c r="K423" i="75"/>
  <c r="K409" i="75"/>
  <c r="C425" i="75"/>
  <c r="J211" i="76"/>
  <c r="E345" i="73"/>
  <c r="K330" i="73"/>
  <c r="F376" i="73"/>
  <c r="C442" i="75"/>
  <c r="G369" i="75"/>
  <c r="F364" i="73"/>
  <c r="I432" i="75"/>
  <c r="F426" i="75"/>
  <c r="D431" i="75"/>
  <c r="F432" i="75"/>
  <c r="I456" i="73"/>
  <c r="J343" i="73"/>
  <c r="F360" i="73"/>
  <c r="G441" i="73"/>
  <c r="F341" i="73"/>
  <c r="K327" i="73"/>
  <c r="D403" i="73"/>
  <c r="L333" i="73"/>
  <c r="D355" i="75"/>
  <c r="I449" i="75"/>
  <c r="E336" i="75"/>
  <c r="L425" i="75"/>
  <c r="H433" i="75"/>
  <c r="J448" i="75"/>
  <c r="H358" i="73"/>
  <c r="I433" i="75"/>
  <c r="H376" i="73"/>
  <c r="I371" i="73"/>
  <c r="D436" i="75"/>
  <c r="G433" i="75"/>
  <c r="J372" i="73"/>
  <c r="I343" i="73"/>
  <c r="E371" i="75"/>
  <c r="C343" i="73"/>
  <c r="I443" i="75"/>
  <c r="E353" i="73"/>
  <c r="K445" i="73"/>
  <c r="I358" i="73"/>
  <c r="D368" i="75"/>
  <c r="I425" i="75"/>
  <c r="L346" i="75"/>
  <c r="E346" i="75"/>
  <c r="I346" i="75"/>
  <c r="K346" i="75"/>
  <c r="H346" i="75"/>
  <c r="G346" i="75"/>
  <c r="J339" i="73"/>
  <c r="F339" i="73"/>
  <c r="D339" i="73"/>
  <c r="H339" i="73"/>
  <c r="C339" i="73"/>
  <c r="I339" i="73"/>
  <c r="L339" i="73"/>
  <c r="E339" i="73"/>
  <c r="L372" i="75"/>
  <c r="J343" i="75"/>
  <c r="L345" i="75"/>
  <c r="H360" i="73"/>
  <c r="I373" i="73"/>
  <c r="J360" i="73"/>
  <c r="J450" i="73"/>
  <c r="K436" i="75"/>
  <c r="K360" i="73"/>
  <c r="K441" i="75"/>
  <c r="C419" i="73"/>
  <c r="J436" i="75"/>
  <c r="D443" i="75"/>
  <c r="G373" i="73"/>
  <c r="L388" i="75"/>
  <c r="C382" i="73"/>
  <c r="D368" i="73"/>
  <c r="L368" i="73"/>
  <c r="I368" i="73"/>
  <c r="F368" i="73"/>
  <c r="E368" i="73"/>
  <c r="G368" i="73"/>
  <c r="K368" i="73"/>
  <c r="H368" i="73"/>
  <c r="J388" i="75"/>
  <c r="G388" i="75"/>
  <c r="K388" i="75"/>
  <c r="I388" i="75"/>
  <c r="C388" i="75"/>
  <c r="E388" i="75"/>
  <c r="H388" i="75"/>
  <c r="D388" i="75"/>
  <c r="E373" i="73"/>
  <c r="C368" i="73"/>
  <c r="E416" i="73"/>
  <c r="C344" i="75"/>
  <c r="D344" i="75"/>
  <c r="J344" i="75"/>
  <c r="E382" i="73"/>
  <c r="D382" i="73"/>
  <c r="K382" i="73"/>
  <c r="I382" i="73"/>
  <c r="H382" i="73"/>
  <c r="L382" i="73"/>
  <c r="G382" i="73"/>
  <c r="E340" i="75"/>
  <c r="L340" i="75"/>
  <c r="G340" i="75"/>
  <c r="I409" i="73"/>
  <c r="E409" i="73"/>
  <c r="F409" i="73"/>
  <c r="G409" i="73"/>
  <c r="L409" i="73"/>
  <c r="H409" i="73"/>
  <c r="K335" i="75"/>
  <c r="J335" i="75"/>
  <c r="E335" i="75"/>
  <c r="F335" i="75"/>
  <c r="I335" i="75"/>
  <c r="G335" i="75"/>
  <c r="H390" i="75"/>
  <c r="D390" i="75"/>
  <c r="E390" i="75"/>
  <c r="F390" i="75"/>
  <c r="L390" i="75"/>
  <c r="I390" i="75"/>
  <c r="G390" i="75"/>
  <c r="C390" i="75"/>
  <c r="K390" i="75"/>
  <c r="J390" i="75"/>
  <c r="G441" i="75"/>
  <c r="H441" i="75"/>
  <c r="I441" i="75"/>
  <c r="K329" i="75"/>
  <c r="H329" i="75"/>
  <c r="F329" i="75"/>
  <c r="G329" i="75"/>
  <c r="C329" i="75"/>
  <c r="J329" i="75"/>
  <c r="E329" i="75"/>
  <c r="D329" i="75"/>
  <c r="G449" i="73"/>
  <c r="I449" i="73"/>
  <c r="J449" i="73"/>
  <c r="F449" i="73"/>
  <c r="H449" i="73"/>
  <c r="K449" i="73"/>
  <c r="C449" i="73"/>
  <c r="D449" i="73"/>
  <c r="E449" i="73"/>
  <c r="C420" i="73"/>
  <c r="F420" i="73"/>
  <c r="G420" i="73"/>
  <c r="E420" i="73"/>
  <c r="I420" i="73"/>
  <c r="H420" i="73"/>
  <c r="K425" i="73"/>
  <c r="C425" i="73"/>
  <c r="L425" i="73"/>
  <c r="E328" i="75"/>
  <c r="G328" i="75"/>
  <c r="J416" i="73"/>
  <c r="I442" i="73"/>
  <c r="F442" i="73"/>
  <c r="C442" i="73"/>
  <c r="D442" i="73"/>
  <c r="G446" i="75"/>
  <c r="E446" i="75"/>
  <c r="H403" i="73"/>
  <c r="K403" i="73"/>
  <c r="E425" i="73"/>
  <c r="I329" i="75"/>
  <c r="L357" i="75"/>
  <c r="F357" i="75"/>
  <c r="F361" i="73"/>
  <c r="C361" i="73"/>
  <c r="J361" i="73"/>
  <c r="D361" i="73"/>
  <c r="K361" i="73"/>
  <c r="E361" i="73"/>
  <c r="H361" i="73"/>
  <c r="L361" i="73"/>
  <c r="I344" i="73"/>
  <c r="F344" i="73"/>
  <c r="C344" i="73"/>
  <c r="H344" i="73"/>
  <c r="K344" i="73"/>
  <c r="L344" i="73"/>
  <c r="K367" i="75"/>
  <c r="E367" i="75"/>
  <c r="H367" i="75"/>
  <c r="D397" i="75"/>
  <c r="L397" i="75"/>
  <c r="J397" i="75"/>
  <c r="G361" i="73"/>
  <c r="G421" i="75"/>
  <c r="J345" i="73"/>
  <c r="D345" i="73"/>
  <c r="L345" i="73"/>
  <c r="H345" i="73"/>
  <c r="K345" i="73"/>
  <c r="F345" i="73"/>
  <c r="F387" i="73"/>
  <c r="I387" i="73"/>
  <c r="D387" i="73"/>
  <c r="C387" i="73"/>
  <c r="H387" i="73"/>
  <c r="C350" i="75"/>
  <c r="E350" i="75"/>
  <c r="H350" i="75"/>
  <c r="L414" i="73"/>
  <c r="J414" i="73"/>
  <c r="C414" i="73"/>
  <c r="D414" i="73"/>
  <c r="E414" i="73"/>
  <c r="I360" i="73"/>
  <c r="D360" i="73"/>
  <c r="C360" i="73"/>
  <c r="L360" i="73"/>
  <c r="G339" i="75"/>
  <c r="H339" i="75"/>
  <c r="J339" i="75"/>
  <c r="J373" i="73"/>
  <c r="I386" i="73"/>
  <c r="G339" i="73"/>
  <c r="C345" i="73"/>
  <c r="K339" i="73"/>
  <c r="E360" i="73"/>
  <c r="J368" i="73"/>
  <c r="K420" i="73"/>
  <c r="I419" i="73"/>
  <c r="K387" i="73"/>
  <c r="J344" i="73"/>
  <c r="F375" i="75"/>
  <c r="L392" i="75"/>
  <c r="C392" i="75"/>
  <c r="E392" i="75"/>
  <c r="H392" i="75"/>
  <c r="I392" i="75"/>
  <c r="I389" i="75"/>
  <c r="F389" i="75"/>
  <c r="G389" i="75"/>
  <c r="C389" i="75"/>
  <c r="J389" i="75"/>
  <c r="E389" i="75"/>
  <c r="H389" i="75"/>
  <c r="I436" i="75"/>
  <c r="H436" i="75"/>
  <c r="E436" i="75"/>
  <c r="D344" i="73"/>
  <c r="E419" i="73"/>
  <c r="G414" i="73"/>
  <c r="H414" i="73"/>
  <c r="G344" i="75"/>
  <c r="S29" i="76"/>
  <c r="S40" i="76"/>
  <c r="L389" i="75"/>
  <c r="H425" i="73"/>
  <c r="H397" i="75"/>
  <c r="H421" i="75"/>
  <c r="G452" i="73"/>
  <c r="L452" i="73"/>
  <c r="H452" i="73"/>
  <c r="K452" i="73"/>
  <c r="J452" i="73"/>
  <c r="E452" i="73"/>
  <c r="D452" i="73"/>
  <c r="C452" i="73"/>
  <c r="C353" i="75"/>
  <c r="L353" i="75"/>
  <c r="D353" i="75"/>
  <c r="F353" i="75"/>
  <c r="K348" i="75"/>
  <c r="J348" i="75"/>
  <c r="G348" i="75"/>
  <c r="C348" i="75"/>
  <c r="I343" i="75"/>
  <c r="G343" i="75"/>
  <c r="C343" i="75"/>
  <c r="F343" i="75"/>
  <c r="L343" i="75"/>
  <c r="E343" i="75"/>
  <c r="D343" i="75"/>
  <c r="H343" i="75"/>
  <c r="J329" i="73"/>
  <c r="D329" i="73"/>
  <c r="K329" i="73"/>
  <c r="H329" i="73"/>
  <c r="C329" i="73"/>
  <c r="F329" i="73"/>
  <c r="I416" i="73"/>
  <c r="L416" i="73"/>
  <c r="G416" i="73"/>
  <c r="K416" i="73"/>
  <c r="D416" i="73"/>
  <c r="F416" i="73"/>
  <c r="C416" i="73"/>
  <c r="K373" i="73"/>
  <c r="C373" i="73"/>
  <c r="L373" i="73"/>
  <c r="F443" i="75"/>
  <c r="E443" i="75"/>
  <c r="J443" i="75"/>
  <c r="L443" i="75"/>
  <c r="H443" i="75"/>
  <c r="G443" i="75"/>
  <c r="C443" i="75"/>
  <c r="F419" i="73"/>
  <c r="D419" i="73"/>
  <c r="L419" i="73"/>
  <c r="K419" i="73"/>
  <c r="G419" i="73"/>
  <c r="H419" i="73"/>
  <c r="C381" i="73"/>
  <c r="J381" i="73"/>
  <c r="G381" i="73"/>
  <c r="L381" i="73"/>
  <c r="E381" i="73"/>
  <c r="I361" i="75"/>
  <c r="G361" i="75"/>
  <c r="E345" i="75"/>
  <c r="K345" i="75"/>
  <c r="D345" i="75"/>
  <c r="H345" i="75"/>
  <c r="J345" i="75"/>
  <c r="G345" i="75"/>
  <c r="C345" i="75"/>
  <c r="I381" i="73"/>
  <c r="F382" i="73"/>
  <c r="I361" i="73"/>
  <c r="F149" i="76"/>
  <c r="L149" i="76"/>
  <c r="F381" i="73"/>
  <c r="K381" i="73"/>
  <c r="F436" i="75"/>
  <c r="L335" i="75"/>
  <c r="H381" i="73"/>
  <c r="E353" i="75"/>
  <c r="I425" i="73"/>
  <c r="K389" i="75"/>
  <c r="F450" i="73"/>
  <c r="C450" i="73"/>
  <c r="L450" i="73"/>
  <c r="E450" i="73"/>
  <c r="K450" i="73"/>
  <c r="G450" i="73"/>
  <c r="H450" i="73"/>
  <c r="D450" i="73"/>
  <c r="H373" i="73"/>
  <c r="I452" i="73"/>
  <c r="L449" i="73"/>
  <c r="C335" i="75"/>
  <c r="E421" i="75"/>
  <c r="H331" i="73"/>
  <c r="H372" i="73"/>
  <c r="G412" i="73"/>
  <c r="H432" i="75"/>
  <c r="H334" i="75"/>
  <c r="L433" i="75"/>
  <c r="G326" i="75"/>
  <c r="G343" i="73"/>
  <c r="L412" i="73"/>
  <c r="E433" i="75"/>
  <c r="F343" i="73"/>
  <c r="K456" i="73"/>
  <c r="K371" i="73"/>
  <c r="G360" i="75"/>
  <c r="F433" i="75"/>
  <c r="G340" i="73"/>
  <c r="K364" i="73"/>
  <c r="G331" i="73"/>
  <c r="C371" i="73"/>
  <c r="L340" i="73"/>
  <c r="F331" i="73"/>
  <c r="D364" i="73"/>
  <c r="E355" i="75"/>
  <c r="I355" i="75"/>
  <c r="L393" i="75"/>
  <c r="E343" i="73"/>
  <c r="L456" i="73"/>
  <c r="K343" i="73"/>
  <c r="E419" i="75"/>
  <c r="L430" i="73"/>
  <c r="L372" i="73"/>
  <c r="D343" i="73"/>
  <c r="J342" i="73"/>
  <c r="D412" i="73"/>
  <c r="C355" i="75"/>
  <c r="E326" i="75"/>
  <c r="J334" i="75"/>
  <c r="J355" i="75"/>
  <c r="C456" i="73"/>
  <c r="E342" i="73"/>
  <c r="J456" i="73"/>
  <c r="H412" i="73"/>
  <c r="I369" i="75"/>
  <c r="K370" i="75"/>
  <c r="H445" i="73"/>
  <c r="J425" i="75"/>
  <c r="L445" i="73"/>
  <c r="D393" i="75"/>
  <c r="H393" i="75"/>
  <c r="K355" i="75"/>
  <c r="G370" i="75"/>
  <c r="I370" i="75"/>
  <c r="I372" i="73"/>
  <c r="J432" i="75"/>
  <c r="L342" i="73"/>
  <c r="C444" i="75"/>
  <c r="G372" i="73"/>
  <c r="E372" i="73"/>
  <c r="C331" i="73"/>
  <c r="K376" i="73"/>
  <c r="F443" i="73"/>
  <c r="C372" i="73"/>
  <c r="F372" i="73"/>
  <c r="E423" i="73"/>
  <c r="L349" i="75"/>
  <c r="H441" i="73"/>
  <c r="C393" i="75"/>
  <c r="H369" i="75"/>
  <c r="G422" i="75"/>
  <c r="K419" i="75"/>
  <c r="G442" i="75"/>
  <c r="H425" i="75"/>
  <c r="C441" i="73"/>
  <c r="D433" i="75"/>
  <c r="F412" i="73"/>
  <c r="C326" i="75"/>
  <c r="E425" i="75"/>
  <c r="H456" i="73"/>
  <c r="J391" i="75"/>
  <c r="E334" i="75"/>
  <c r="K393" i="75"/>
  <c r="I412" i="73"/>
  <c r="F409" i="75"/>
  <c r="J434" i="75"/>
  <c r="D376" i="73"/>
  <c r="F445" i="73"/>
  <c r="C380" i="75"/>
  <c r="L432" i="75"/>
  <c r="C433" i="75"/>
  <c r="H431" i="75"/>
  <c r="C358" i="73"/>
  <c r="D398" i="73"/>
  <c r="E398" i="73"/>
  <c r="C423" i="75"/>
  <c r="I430" i="73"/>
  <c r="K331" i="73"/>
  <c r="C338" i="75"/>
  <c r="G376" i="73"/>
  <c r="E431" i="75"/>
  <c r="L442" i="75"/>
  <c r="G456" i="73"/>
  <c r="D432" i="75"/>
  <c r="J412" i="73"/>
  <c r="F431" i="75"/>
  <c r="D456" i="73"/>
  <c r="D326" i="75"/>
  <c r="E376" i="73"/>
  <c r="J336" i="75"/>
  <c r="J360" i="75"/>
  <c r="E452" i="75"/>
  <c r="J149" i="76"/>
  <c r="D363" i="73"/>
  <c r="E370" i="73"/>
  <c r="J448" i="73"/>
  <c r="E357" i="73"/>
  <c r="J363" i="73"/>
  <c r="F359" i="73"/>
  <c r="J369" i="73"/>
  <c r="D406" i="73"/>
  <c r="H357" i="73"/>
  <c r="D424" i="75"/>
  <c r="D415" i="75"/>
  <c r="F363" i="73"/>
  <c r="K354" i="75"/>
  <c r="J156" i="76"/>
  <c r="C357" i="73"/>
  <c r="F382" i="75"/>
  <c r="C330" i="73"/>
  <c r="L357" i="73"/>
  <c r="C418" i="73"/>
  <c r="C338" i="73"/>
  <c r="F393" i="73"/>
  <c r="K370" i="73"/>
  <c r="F327" i="73"/>
  <c r="D375" i="73"/>
  <c r="H375" i="73"/>
  <c r="C350" i="73"/>
  <c r="L369" i="73"/>
  <c r="K401" i="75"/>
  <c r="E359" i="75"/>
  <c r="E369" i="73"/>
  <c r="G341" i="73"/>
  <c r="C424" i="75"/>
  <c r="K341" i="73"/>
  <c r="K332" i="75"/>
  <c r="K363" i="73"/>
  <c r="F370" i="73"/>
  <c r="G434" i="75"/>
  <c r="F408" i="73"/>
  <c r="E355" i="73"/>
  <c r="J451" i="75"/>
  <c r="I338" i="75"/>
  <c r="D359" i="75"/>
  <c r="K415" i="75"/>
  <c r="I379" i="75"/>
  <c r="J379" i="75"/>
  <c r="C406" i="73"/>
  <c r="I370" i="73"/>
  <c r="G394" i="73"/>
  <c r="H341" i="73"/>
  <c r="H394" i="73"/>
  <c r="D374" i="73"/>
  <c r="H374" i="73"/>
  <c r="G370" i="73"/>
  <c r="F332" i="75"/>
  <c r="K379" i="75"/>
  <c r="C332" i="75"/>
  <c r="D379" i="75"/>
  <c r="K424" i="75"/>
  <c r="L408" i="73"/>
  <c r="F344" i="75"/>
  <c r="L379" i="73"/>
  <c r="C346" i="75"/>
  <c r="H362" i="73"/>
  <c r="I384" i="75"/>
  <c r="I426" i="75"/>
  <c r="L444" i="75"/>
  <c r="G415" i="73"/>
  <c r="F330" i="73"/>
  <c r="G338" i="73"/>
  <c r="E390" i="73"/>
  <c r="C380" i="73"/>
  <c r="I374" i="73"/>
  <c r="F346" i="75"/>
  <c r="D353" i="73"/>
  <c r="D422" i="75"/>
  <c r="I356" i="75"/>
  <c r="K356" i="75"/>
  <c r="D430" i="75"/>
  <c r="F392" i="75"/>
  <c r="G392" i="75"/>
  <c r="F406" i="73"/>
  <c r="H333" i="75"/>
  <c r="G375" i="73"/>
  <c r="L341" i="73"/>
  <c r="D346" i="73"/>
  <c r="I362" i="73"/>
  <c r="C394" i="73"/>
  <c r="D338" i="73"/>
  <c r="C369" i="73"/>
  <c r="D351" i="73"/>
  <c r="C390" i="73"/>
  <c r="G359" i="73"/>
  <c r="D365" i="73"/>
  <c r="K362" i="73"/>
  <c r="J332" i="75"/>
  <c r="H402" i="73"/>
  <c r="I394" i="73"/>
  <c r="L418" i="73"/>
  <c r="J392" i="75"/>
  <c r="K392" i="75"/>
  <c r="I435" i="73"/>
  <c r="F395" i="73"/>
  <c r="C450" i="75"/>
  <c r="F445" i="75"/>
  <c r="E361" i="75"/>
  <c r="J361" i="75"/>
  <c r="H413" i="75"/>
  <c r="I448" i="75"/>
  <c r="J357" i="73"/>
  <c r="H379" i="73"/>
  <c r="K451" i="75"/>
  <c r="F423" i="73"/>
  <c r="G357" i="73"/>
  <c r="K379" i="73"/>
  <c r="E415" i="73"/>
  <c r="I362" i="75"/>
  <c r="E422" i="75"/>
  <c r="K410" i="75"/>
  <c r="K359" i="73"/>
  <c r="D362" i="73"/>
  <c r="L370" i="73"/>
  <c r="F365" i="73"/>
  <c r="J338" i="75"/>
  <c r="E408" i="73"/>
  <c r="C332" i="73"/>
  <c r="E394" i="73"/>
  <c r="L332" i="73"/>
  <c r="G346" i="73"/>
  <c r="H333" i="73"/>
  <c r="E445" i="75"/>
  <c r="H408" i="73"/>
  <c r="K369" i="73"/>
  <c r="K362" i="75"/>
  <c r="K344" i="75"/>
  <c r="J373" i="75"/>
  <c r="G359" i="75"/>
  <c r="G438" i="75"/>
  <c r="K444" i="75"/>
  <c r="I456" i="75"/>
  <c r="K374" i="73"/>
  <c r="L375" i="73"/>
  <c r="H363" i="73"/>
  <c r="I359" i="73"/>
  <c r="I395" i="73"/>
  <c r="F336" i="75"/>
  <c r="J379" i="73"/>
  <c r="J356" i="75"/>
  <c r="D390" i="73"/>
  <c r="I369" i="73"/>
  <c r="I438" i="75"/>
  <c r="I380" i="73"/>
  <c r="I363" i="73"/>
  <c r="C375" i="73"/>
  <c r="L376" i="75"/>
  <c r="E332" i="75"/>
  <c r="E344" i="75"/>
  <c r="J408" i="73"/>
  <c r="H344" i="75"/>
  <c r="H390" i="73"/>
  <c r="I357" i="73"/>
  <c r="L390" i="73"/>
  <c r="K380" i="73"/>
  <c r="D346" i="75"/>
  <c r="G447" i="75"/>
  <c r="E444" i="75"/>
  <c r="I378" i="75"/>
  <c r="G413" i="75"/>
  <c r="F456" i="75"/>
  <c r="H415" i="73"/>
  <c r="I421" i="73"/>
  <c r="H359" i="73"/>
  <c r="D447" i="75"/>
  <c r="I423" i="73"/>
  <c r="G393" i="73"/>
  <c r="F395" i="75"/>
  <c r="C359" i="73"/>
  <c r="J422" i="75"/>
  <c r="I416" i="75"/>
  <c r="J330" i="73"/>
  <c r="C447" i="75"/>
  <c r="H395" i="75"/>
  <c r="I350" i="73"/>
  <c r="L338" i="73"/>
  <c r="H370" i="73"/>
  <c r="C408" i="73"/>
  <c r="E368" i="75"/>
  <c r="C379" i="73"/>
  <c r="I351" i="73"/>
  <c r="H327" i="73"/>
  <c r="G156" i="76"/>
  <c r="L406" i="73"/>
  <c r="J370" i="73"/>
  <c r="D356" i="75"/>
  <c r="I379" i="73"/>
  <c r="G356" i="75"/>
  <c r="J338" i="73"/>
  <c r="D418" i="73"/>
  <c r="E349" i="75"/>
  <c r="L394" i="73"/>
  <c r="J359" i="73"/>
  <c r="E362" i="73"/>
  <c r="C413" i="73"/>
  <c r="E415" i="75"/>
  <c r="L344" i="75"/>
  <c r="I410" i="75"/>
  <c r="F375" i="73"/>
  <c r="H350" i="73"/>
  <c r="G379" i="73"/>
  <c r="F427" i="75"/>
  <c r="F357" i="73"/>
  <c r="G417" i="73"/>
  <c r="D393" i="73"/>
  <c r="I434" i="75"/>
  <c r="I444" i="75"/>
  <c r="J444" i="75"/>
  <c r="J346" i="75"/>
  <c r="G412" i="75"/>
  <c r="G406" i="73"/>
  <c r="F369" i="73"/>
  <c r="F338" i="73"/>
  <c r="J394" i="73"/>
  <c r="E363" i="73"/>
  <c r="D370" i="73"/>
  <c r="F448" i="73"/>
  <c r="L434" i="75"/>
  <c r="L363" i="73"/>
  <c r="J325" i="73"/>
  <c r="H332" i="75"/>
  <c r="I344" i="75"/>
  <c r="C377" i="75"/>
  <c r="D451" i="75"/>
  <c r="F424" i="75"/>
  <c r="E448" i="75"/>
  <c r="C416" i="75"/>
  <c r="C363" i="73"/>
  <c r="L350" i="73"/>
  <c r="E447" i="75"/>
  <c r="F394" i="73"/>
  <c r="F262" i="76"/>
  <c r="F156" i="76"/>
  <c r="E379" i="73"/>
  <c r="D417" i="73"/>
  <c r="G423" i="73"/>
  <c r="F353" i="73"/>
  <c r="K338" i="73"/>
  <c r="L426" i="73"/>
  <c r="I327" i="73"/>
  <c r="K325" i="73"/>
  <c r="D355" i="73"/>
  <c r="G336" i="75"/>
  <c r="J380" i="73"/>
  <c r="G384" i="75"/>
  <c r="D332" i="75"/>
  <c r="D426" i="75"/>
  <c r="D342" i="75"/>
  <c r="J417" i="73"/>
  <c r="H377" i="73"/>
  <c r="J351" i="73"/>
  <c r="D357" i="73"/>
  <c r="F415" i="75"/>
  <c r="J394" i="75"/>
  <c r="J430" i="75"/>
  <c r="E456" i="75"/>
  <c r="C353" i="73"/>
  <c r="J349" i="73"/>
  <c r="I450" i="75"/>
  <c r="C412" i="75"/>
  <c r="C432" i="73"/>
  <c r="E376" i="75"/>
  <c r="H397" i="73"/>
  <c r="E454" i="73"/>
  <c r="I376" i="75"/>
  <c r="F377" i="75"/>
  <c r="L366" i="75"/>
  <c r="S45" i="76"/>
  <c r="I337" i="75"/>
  <c r="E421" i="73"/>
  <c r="G349" i="73"/>
  <c r="L448" i="73"/>
  <c r="J401" i="73"/>
  <c r="L451" i="73"/>
  <c r="F340" i="75"/>
  <c r="J351" i="75"/>
  <c r="J449" i="75"/>
  <c r="L439" i="75"/>
  <c r="J333" i="75"/>
  <c r="H450" i="75"/>
  <c r="K449" i="75"/>
  <c r="L424" i="75"/>
  <c r="L327" i="75"/>
  <c r="D394" i="75"/>
  <c r="G401" i="73"/>
  <c r="F415" i="73"/>
  <c r="G358" i="75"/>
  <c r="F334" i="73"/>
  <c r="L387" i="75"/>
  <c r="L434" i="73"/>
  <c r="L377" i="73"/>
  <c r="G449" i="75"/>
  <c r="I440" i="73"/>
  <c r="H337" i="75"/>
  <c r="E354" i="75"/>
  <c r="K418" i="73"/>
  <c r="K421" i="73"/>
  <c r="H413" i="73"/>
  <c r="G158" i="76"/>
  <c r="H149" i="76"/>
  <c r="C333" i="73"/>
  <c r="J432" i="73"/>
  <c r="I332" i="73"/>
  <c r="J426" i="73"/>
  <c r="F349" i="73"/>
  <c r="D449" i="75"/>
  <c r="G434" i="73"/>
  <c r="J413" i="73"/>
  <c r="G451" i="73"/>
  <c r="F325" i="73"/>
  <c r="E401" i="73"/>
  <c r="F401" i="73"/>
  <c r="J333" i="73"/>
  <c r="D453" i="75"/>
  <c r="J342" i="75"/>
  <c r="L421" i="73"/>
  <c r="D454" i="73"/>
  <c r="G429" i="73"/>
  <c r="J453" i="75"/>
  <c r="J398" i="75"/>
  <c r="C426" i="75"/>
  <c r="L382" i="75"/>
  <c r="I366" i="75"/>
  <c r="J426" i="75"/>
  <c r="I430" i="75"/>
  <c r="K397" i="73"/>
  <c r="J397" i="73"/>
  <c r="C397" i="73"/>
  <c r="F426" i="73"/>
  <c r="F454" i="73"/>
  <c r="D448" i="73"/>
  <c r="E365" i="73"/>
  <c r="E417" i="73"/>
  <c r="D426" i="73"/>
  <c r="L440" i="73"/>
  <c r="K415" i="73"/>
  <c r="F333" i="73"/>
  <c r="D330" i="75"/>
  <c r="J454" i="73"/>
  <c r="H380" i="73"/>
  <c r="K423" i="73"/>
  <c r="I351" i="75"/>
  <c r="F358" i="75"/>
  <c r="H449" i="75"/>
  <c r="C456" i="75"/>
  <c r="L412" i="75"/>
  <c r="H338" i="75"/>
  <c r="H447" i="75"/>
  <c r="G398" i="75"/>
  <c r="H398" i="75"/>
  <c r="K453" i="75"/>
  <c r="L438" i="75"/>
  <c r="J384" i="75"/>
  <c r="E430" i="75"/>
  <c r="J377" i="75"/>
  <c r="K393" i="73"/>
  <c r="D401" i="73"/>
  <c r="C365" i="73"/>
  <c r="E349" i="73"/>
  <c r="E432" i="73"/>
  <c r="F430" i="75"/>
  <c r="G432" i="73"/>
  <c r="D434" i="73"/>
  <c r="E434" i="73"/>
  <c r="K428" i="73"/>
  <c r="D332" i="73"/>
  <c r="I349" i="73"/>
  <c r="E333" i="73"/>
  <c r="K330" i="75"/>
  <c r="G357" i="75"/>
  <c r="K429" i="73"/>
  <c r="J330" i="75"/>
  <c r="F440" i="73"/>
  <c r="I453" i="75"/>
  <c r="K358" i="75"/>
  <c r="L408" i="75"/>
  <c r="K337" i="75"/>
  <c r="C405" i="75"/>
  <c r="E434" i="75"/>
  <c r="E380" i="73"/>
  <c r="I397" i="73"/>
  <c r="I330" i="73"/>
  <c r="J350" i="73"/>
  <c r="H429" i="73"/>
  <c r="C451" i="73"/>
  <c r="D149" i="76"/>
  <c r="S35" i="76"/>
  <c r="D333" i="73"/>
  <c r="E377" i="73"/>
  <c r="F342" i="75"/>
  <c r="K426" i="73"/>
  <c r="I358" i="75"/>
  <c r="F429" i="73"/>
  <c r="F398" i="75"/>
  <c r="G397" i="73"/>
  <c r="L429" i="73"/>
  <c r="C387" i="75"/>
  <c r="I330" i="75"/>
  <c r="C378" i="75"/>
  <c r="E366" i="75"/>
  <c r="E429" i="73"/>
  <c r="G354" i="75"/>
  <c r="C366" i="75"/>
  <c r="K366" i="75"/>
  <c r="L358" i="75"/>
  <c r="L451" i="75"/>
  <c r="K384" i="75"/>
  <c r="F412" i="75"/>
  <c r="L377" i="75"/>
  <c r="I353" i="73"/>
  <c r="E453" i="75"/>
  <c r="F421" i="73"/>
  <c r="G424" i="75"/>
  <c r="F424" i="73"/>
  <c r="C330" i="75"/>
  <c r="I401" i="73"/>
  <c r="G438" i="73"/>
  <c r="K387" i="75"/>
  <c r="K434" i="73"/>
  <c r="H451" i="73"/>
  <c r="F333" i="75"/>
  <c r="G378" i="75"/>
  <c r="L430" i="75"/>
  <c r="C327" i="75"/>
  <c r="C448" i="75"/>
  <c r="L453" i="75"/>
  <c r="H406" i="75"/>
  <c r="G456" i="75"/>
  <c r="L380" i="73"/>
  <c r="D444" i="75"/>
  <c r="G333" i="73"/>
  <c r="E330" i="73"/>
  <c r="G262" i="76"/>
  <c r="E330" i="75"/>
  <c r="C440" i="73"/>
  <c r="L402" i="73"/>
  <c r="I415" i="73"/>
  <c r="I342" i="75"/>
  <c r="K412" i="75"/>
  <c r="G413" i="73"/>
  <c r="L448" i="75"/>
  <c r="L349" i="73"/>
  <c r="K377" i="73"/>
  <c r="D429" i="73"/>
  <c r="K353" i="73"/>
  <c r="G440" i="73"/>
  <c r="I333" i="73"/>
  <c r="G330" i="75"/>
  <c r="K440" i="73"/>
  <c r="H342" i="75"/>
  <c r="E387" i="75"/>
  <c r="F387" i="75"/>
  <c r="D384" i="75"/>
  <c r="D440" i="73"/>
  <c r="D377" i="75"/>
  <c r="C336" i="75"/>
  <c r="F447" i="75"/>
  <c r="J358" i="75"/>
  <c r="H376" i="75"/>
  <c r="L336" i="75"/>
  <c r="G451" i="75"/>
  <c r="D366" i="75"/>
  <c r="G327" i="75"/>
  <c r="E408" i="75"/>
  <c r="J366" i="75"/>
  <c r="K456" i="75"/>
  <c r="E332" i="73"/>
  <c r="C342" i="75"/>
  <c r="I448" i="73"/>
  <c r="K454" i="73"/>
  <c r="I429" i="73"/>
  <c r="G366" i="75"/>
  <c r="E410" i="75"/>
  <c r="C158" i="76"/>
  <c r="E358" i="75"/>
  <c r="G347" i="75"/>
  <c r="H334" i="73"/>
  <c r="I418" i="73"/>
  <c r="J418" i="73"/>
  <c r="J349" i="75"/>
  <c r="E413" i="75"/>
  <c r="H410" i="75"/>
  <c r="J415" i="73"/>
  <c r="F432" i="73"/>
  <c r="J393" i="73"/>
  <c r="G337" i="75"/>
  <c r="L428" i="73"/>
  <c r="S44" i="76"/>
  <c r="D410" i="73"/>
  <c r="C154" i="76"/>
  <c r="I352" i="73"/>
  <c r="D413" i="73"/>
  <c r="E393" i="73"/>
  <c r="L413" i="73"/>
  <c r="K349" i="73"/>
  <c r="G352" i="73"/>
  <c r="H365" i="73"/>
  <c r="J353" i="73"/>
  <c r="H340" i="75"/>
  <c r="F380" i="73"/>
  <c r="D336" i="75"/>
  <c r="H453" i="75"/>
  <c r="E378" i="75"/>
  <c r="J451" i="73"/>
  <c r="I393" i="73"/>
  <c r="K426" i="75"/>
  <c r="G387" i="75"/>
  <c r="L330" i="75"/>
  <c r="J387" i="75"/>
  <c r="F338" i="75"/>
  <c r="G453" i="75"/>
  <c r="C438" i="75"/>
  <c r="K378" i="75"/>
  <c r="L445" i="75"/>
  <c r="L378" i="75"/>
  <c r="K413" i="75"/>
  <c r="I408" i="75"/>
  <c r="C355" i="73"/>
  <c r="C415" i="73"/>
  <c r="J438" i="73"/>
  <c r="C417" i="73"/>
  <c r="K365" i="73"/>
  <c r="K448" i="73"/>
  <c r="C421" i="73"/>
  <c r="H424" i="75"/>
  <c r="K430" i="75"/>
  <c r="E449" i="75"/>
  <c r="E397" i="73"/>
  <c r="H394" i="75"/>
  <c r="F451" i="73"/>
  <c r="D338" i="75"/>
  <c r="I340" i="75"/>
  <c r="E398" i="75"/>
  <c r="H336" i="75"/>
  <c r="I336" i="75"/>
  <c r="G333" i="75"/>
  <c r="I415" i="75"/>
  <c r="H377" i="75"/>
  <c r="G410" i="75"/>
  <c r="K357" i="75"/>
  <c r="C351" i="73"/>
  <c r="H423" i="73"/>
  <c r="G425" i="73"/>
  <c r="C454" i="73"/>
  <c r="H434" i="73"/>
  <c r="C448" i="73"/>
  <c r="K395" i="73"/>
  <c r="F330" i="75"/>
  <c r="F376" i="75"/>
  <c r="K334" i="73"/>
  <c r="D421" i="73"/>
  <c r="D408" i="75"/>
  <c r="I413" i="75"/>
  <c r="F377" i="73"/>
  <c r="I334" i="73"/>
  <c r="D334" i="73"/>
  <c r="I454" i="73"/>
  <c r="S41" i="76"/>
  <c r="K401" i="73"/>
  <c r="H378" i="75"/>
  <c r="D337" i="75"/>
  <c r="D382" i="75"/>
  <c r="H456" i="75"/>
  <c r="C347" i="75"/>
  <c r="J332" i="73"/>
  <c r="E325" i="73"/>
  <c r="L401" i="73"/>
  <c r="J412" i="75"/>
  <c r="C334" i="73"/>
  <c r="E451" i="73"/>
  <c r="E440" i="73"/>
  <c r="I349" i="75"/>
  <c r="D423" i="73"/>
  <c r="L454" i="73"/>
  <c r="J410" i="75"/>
  <c r="K434" i="75"/>
  <c r="H393" i="73"/>
  <c r="C401" i="73"/>
  <c r="F453" i="73"/>
  <c r="E338" i="75"/>
  <c r="C398" i="75"/>
  <c r="K342" i="75"/>
  <c r="K338" i="75"/>
  <c r="K447" i="75"/>
  <c r="L447" i="75"/>
  <c r="J424" i="75"/>
  <c r="I406" i="75"/>
  <c r="K333" i="75"/>
  <c r="L426" i="75"/>
  <c r="H430" i="75"/>
  <c r="L438" i="73"/>
  <c r="F366" i="75"/>
  <c r="G408" i="75"/>
  <c r="K432" i="73"/>
  <c r="C429" i="73"/>
  <c r="L334" i="73"/>
  <c r="F434" i="73"/>
  <c r="H396" i="73"/>
  <c r="I432" i="73"/>
  <c r="E413" i="73"/>
  <c r="E428" i="73"/>
  <c r="L393" i="73"/>
  <c r="D413" i="75"/>
  <c r="G334" i="73"/>
  <c r="J365" i="73"/>
  <c r="H454" i="73"/>
  <c r="I325" i="73"/>
  <c r="E424" i="75"/>
  <c r="K406" i="73"/>
  <c r="C415" i="75"/>
  <c r="F405" i="75"/>
  <c r="K405" i="75"/>
  <c r="C451" i="75"/>
  <c r="E395" i="75"/>
  <c r="F337" i="75"/>
  <c r="H426" i="75"/>
  <c r="F408" i="75"/>
  <c r="G430" i="75"/>
  <c r="C395" i="75"/>
  <c r="J421" i="73"/>
  <c r="H426" i="73"/>
  <c r="I417" i="73"/>
  <c r="L397" i="73"/>
  <c r="D358" i="75"/>
  <c r="I377" i="73"/>
  <c r="G365" i="73"/>
  <c r="F397" i="73"/>
  <c r="C449" i="75"/>
  <c r="F449" i="75"/>
  <c r="K376" i="75"/>
  <c r="E347" i="75"/>
  <c r="L410" i="75"/>
  <c r="I398" i="75"/>
  <c r="L398" i="75"/>
  <c r="L342" i="75"/>
  <c r="L413" i="75"/>
  <c r="J337" i="75"/>
  <c r="D434" i="75"/>
  <c r="H353" i="73"/>
  <c r="I434" i="73"/>
  <c r="I387" i="75"/>
  <c r="E342" i="75"/>
  <c r="J408" i="75"/>
  <c r="S37" i="76"/>
  <c r="H432" i="73"/>
  <c r="C337" i="75"/>
  <c r="E337" i="75"/>
  <c r="H351" i="75"/>
  <c r="F413" i="75"/>
  <c r="C376" i="75"/>
  <c r="C156" i="76"/>
  <c r="E448" i="73"/>
  <c r="H325" i="73"/>
  <c r="G448" i="73"/>
  <c r="I413" i="73"/>
  <c r="C434" i="73"/>
  <c r="D377" i="73"/>
  <c r="K413" i="73"/>
  <c r="E350" i="73"/>
  <c r="E438" i="73"/>
  <c r="F434" i="75"/>
  <c r="F453" i="75"/>
  <c r="H434" i="75"/>
  <c r="H410" i="73"/>
  <c r="E384" i="75"/>
  <c r="K422" i="75"/>
  <c r="H349" i="75"/>
  <c r="L395" i="75"/>
  <c r="J415" i="75"/>
  <c r="L432" i="73"/>
  <c r="K398" i="75"/>
  <c r="E334" i="73"/>
  <c r="E410" i="73"/>
  <c r="D451" i="73"/>
  <c r="C408" i="75"/>
  <c r="H440" i="73"/>
  <c r="I424" i="73"/>
  <c r="F347" i="75"/>
  <c r="F418" i="73"/>
  <c r="J439" i="75"/>
  <c r="L156" i="76"/>
  <c r="L410" i="73"/>
  <c r="E328" i="73"/>
  <c r="H448" i="75"/>
  <c r="D387" i="75"/>
  <c r="D402" i="73"/>
  <c r="H415" i="75"/>
  <c r="H408" i="75"/>
  <c r="C384" i="75"/>
  <c r="D406" i="75"/>
  <c r="D439" i="75"/>
  <c r="K395" i="75"/>
  <c r="H439" i="75"/>
  <c r="C445" i="75"/>
  <c r="I392" i="73"/>
  <c r="C392" i="73"/>
  <c r="H392" i="73"/>
  <c r="J392" i="73"/>
  <c r="G392" i="73"/>
  <c r="F392" i="73"/>
  <c r="E392" i="73"/>
  <c r="H427" i="73"/>
  <c r="J427" i="73"/>
  <c r="E427" i="73"/>
  <c r="K427" i="73"/>
  <c r="J414" i="75"/>
  <c r="H414" i="75"/>
  <c r="G414" i="75"/>
  <c r="C414" i="75"/>
  <c r="I414" i="75"/>
  <c r="K414" i="75"/>
  <c r="L414" i="75"/>
  <c r="D414" i="75"/>
  <c r="E414" i="75"/>
  <c r="E437" i="73"/>
  <c r="D437" i="73"/>
  <c r="K437" i="73"/>
  <c r="I437" i="73"/>
  <c r="G437" i="73"/>
  <c r="F437" i="73"/>
  <c r="C437" i="73"/>
  <c r="J437" i="73"/>
  <c r="H437" i="73"/>
  <c r="C347" i="73"/>
  <c r="D454" i="75"/>
  <c r="D392" i="73"/>
  <c r="J447" i="73"/>
  <c r="K447" i="73"/>
  <c r="F447" i="73"/>
  <c r="H447" i="73"/>
  <c r="D447" i="73"/>
  <c r="I447" i="73"/>
  <c r="L447" i="73"/>
  <c r="I381" i="75"/>
  <c r="K381" i="75"/>
  <c r="G381" i="75"/>
  <c r="E381" i="75"/>
  <c r="D381" i="75"/>
  <c r="C381" i="75"/>
  <c r="L381" i="75"/>
  <c r="H381" i="75"/>
  <c r="F400" i="75"/>
  <c r="G400" i="75"/>
  <c r="E400" i="75"/>
  <c r="C400" i="75"/>
  <c r="D400" i="75"/>
  <c r="K400" i="75"/>
  <c r="H400" i="75"/>
  <c r="C405" i="73"/>
  <c r="F386" i="75"/>
  <c r="F391" i="73"/>
  <c r="I391" i="73"/>
  <c r="D391" i="73"/>
  <c r="E391" i="73"/>
  <c r="D372" i="75"/>
  <c r="J372" i="75"/>
  <c r="I372" i="75"/>
  <c r="C372" i="75"/>
  <c r="F372" i="75"/>
  <c r="K372" i="75"/>
  <c r="F354" i="73"/>
  <c r="K354" i="73"/>
  <c r="L354" i="73"/>
  <c r="C354" i="73"/>
  <c r="D354" i="73"/>
  <c r="J354" i="73"/>
  <c r="I354" i="73"/>
  <c r="E354" i="73"/>
  <c r="L402" i="75"/>
  <c r="J402" i="75"/>
  <c r="E402" i="75"/>
  <c r="H402" i="75"/>
  <c r="C402" i="75"/>
  <c r="F411" i="75"/>
  <c r="D411" i="75"/>
  <c r="L411" i="75"/>
  <c r="E411" i="75"/>
  <c r="K411" i="75"/>
  <c r="C411" i="75"/>
  <c r="H411" i="75"/>
  <c r="G411" i="75"/>
  <c r="J411" i="75"/>
  <c r="J386" i="75"/>
  <c r="I386" i="75"/>
  <c r="D386" i="75"/>
  <c r="K386" i="75"/>
  <c r="G386" i="75"/>
  <c r="C386" i="75"/>
  <c r="H386" i="75"/>
  <c r="I420" i="75"/>
  <c r="K420" i="75"/>
  <c r="C420" i="75"/>
  <c r="H420" i="75"/>
  <c r="L420" i="75"/>
  <c r="F420" i="75"/>
  <c r="J420" i="75"/>
  <c r="E420" i="75"/>
  <c r="H328" i="75"/>
  <c r="F328" i="75"/>
  <c r="I328" i="75"/>
  <c r="L328" i="75"/>
  <c r="D328" i="75"/>
  <c r="C328" i="75"/>
  <c r="K436" i="73"/>
  <c r="G420" i="75"/>
  <c r="G454" i="75"/>
  <c r="F381" i="75"/>
  <c r="H354" i="73"/>
  <c r="G372" i="75"/>
  <c r="I326" i="73"/>
  <c r="F326" i="73"/>
  <c r="E326" i="73"/>
  <c r="L326" i="73"/>
  <c r="D326" i="73"/>
  <c r="K326" i="73"/>
  <c r="H326" i="73"/>
  <c r="C326" i="73"/>
  <c r="J326" i="73"/>
  <c r="G326" i="73"/>
  <c r="F347" i="73"/>
  <c r="G347" i="73"/>
  <c r="I347" i="73"/>
  <c r="E347" i="73"/>
  <c r="J347" i="73"/>
  <c r="L347" i="73"/>
  <c r="K347" i="73"/>
  <c r="K437" i="75"/>
  <c r="F437" i="75"/>
  <c r="C437" i="75"/>
  <c r="G437" i="75"/>
  <c r="E437" i="75"/>
  <c r="I437" i="75"/>
  <c r="J437" i="75"/>
  <c r="D383" i="75"/>
  <c r="H383" i="75"/>
  <c r="F383" i="75"/>
  <c r="K383" i="75"/>
  <c r="J383" i="75"/>
  <c r="D405" i="73"/>
  <c r="L405" i="73"/>
  <c r="J405" i="73"/>
  <c r="H405" i="73"/>
  <c r="I405" i="73"/>
  <c r="G405" i="73"/>
  <c r="K405" i="73"/>
  <c r="E405" i="73"/>
  <c r="E454" i="75"/>
  <c r="K375" i="75"/>
  <c r="I375" i="75"/>
  <c r="L375" i="75"/>
  <c r="J375" i="75"/>
  <c r="C375" i="75"/>
  <c r="H375" i="75"/>
  <c r="E375" i="75"/>
  <c r="K335" i="73"/>
  <c r="E335" i="73"/>
  <c r="I335" i="73"/>
  <c r="H335" i="73"/>
  <c r="F335" i="73"/>
  <c r="G335" i="73"/>
  <c r="F427" i="73"/>
  <c r="J400" i="75"/>
  <c r="L400" i="75"/>
  <c r="G375" i="75"/>
  <c r="L383" i="75"/>
  <c r="H347" i="73"/>
  <c r="I399" i="75"/>
  <c r="J399" i="75"/>
  <c r="G399" i="75"/>
  <c r="L399" i="75"/>
  <c r="K399" i="75"/>
  <c r="D399" i="75"/>
  <c r="H399" i="75"/>
  <c r="C399" i="75"/>
  <c r="F399" i="75"/>
  <c r="I331" i="75"/>
  <c r="L331" i="75"/>
  <c r="H331" i="75"/>
  <c r="F331" i="75"/>
  <c r="D331" i="75"/>
  <c r="G331" i="75"/>
  <c r="J331" i="75"/>
  <c r="H404" i="73"/>
  <c r="D404" i="73"/>
  <c r="K404" i="73"/>
  <c r="G404" i="73"/>
  <c r="F404" i="73"/>
  <c r="I404" i="73"/>
  <c r="E404" i="73"/>
  <c r="J404" i="73"/>
  <c r="D386" i="73"/>
  <c r="J386" i="73"/>
  <c r="F386" i="73"/>
  <c r="E386" i="73"/>
  <c r="H386" i="73"/>
  <c r="G386" i="73"/>
  <c r="L386" i="73"/>
  <c r="C386" i="73"/>
  <c r="F414" i="75"/>
  <c r="D420" i="75"/>
  <c r="K328" i="75"/>
  <c r="E386" i="75"/>
  <c r="K331" i="75"/>
  <c r="J436" i="73"/>
  <c r="L436" i="73"/>
  <c r="I436" i="73"/>
  <c r="F436" i="73"/>
  <c r="D436" i="73"/>
  <c r="C436" i="73"/>
  <c r="H436" i="73"/>
  <c r="E436" i="73"/>
  <c r="F454" i="75"/>
  <c r="K454" i="75"/>
  <c r="J454" i="75"/>
  <c r="I454" i="75"/>
  <c r="L454" i="75"/>
  <c r="H435" i="75"/>
  <c r="I435" i="75"/>
  <c r="F435" i="75"/>
  <c r="J435" i="75"/>
  <c r="K435" i="75"/>
  <c r="C435" i="75"/>
  <c r="D435" i="75"/>
  <c r="F348" i="73"/>
  <c r="J348" i="73"/>
  <c r="G348" i="73"/>
  <c r="D348" i="73"/>
  <c r="H348" i="73"/>
  <c r="L348" i="73"/>
  <c r="K348" i="73"/>
  <c r="E348" i="73"/>
  <c r="I348" i="73"/>
  <c r="C348" i="73"/>
  <c r="G435" i="75"/>
  <c r="D437" i="75"/>
  <c r="L392" i="73"/>
  <c r="H372" i="75"/>
  <c r="L404" i="73"/>
  <c r="I411" i="75"/>
  <c r="H454" i="75"/>
  <c r="C430" i="73"/>
  <c r="J430" i="73"/>
  <c r="F364" i="75"/>
  <c r="C364" i="75"/>
  <c r="E364" i="75"/>
  <c r="H364" i="75"/>
  <c r="J364" i="75"/>
  <c r="L364" i="75"/>
  <c r="G364" i="75"/>
  <c r="D364" i="75"/>
  <c r="I364" i="75"/>
  <c r="J335" i="73"/>
  <c r="J153" i="76"/>
  <c r="H153" i="76"/>
  <c r="C331" i="75"/>
  <c r="J328" i="75"/>
  <c r="H371" i="75"/>
  <c r="C340" i="73"/>
  <c r="J327" i="75"/>
  <c r="G353" i="75"/>
  <c r="J420" i="73"/>
  <c r="L391" i="75"/>
  <c r="L367" i="75"/>
  <c r="G409" i="75"/>
  <c r="L431" i="73"/>
  <c r="J326" i="75"/>
  <c r="D399" i="73"/>
  <c r="D360" i="75"/>
  <c r="D371" i="75"/>
  <c r="F371" i="75"/>
  <c r="E391" i="75"/>
  <c r="D354" i="75"/>
  <c r="H361" i="75"/>
  <c r="L423" i="75"/>
  <c r="C398" i="73"/>
  <c r="C409" i="73"/>
  <c r="I412" i="75"/>
  <c r="E387" i="73"/>
  <c r="E441" i="75"/>
  <c r="L421" i="75"/>
  <c r="K360" i="75"/>
  <c r="C410" i="73"/>
  <c r="I326" i="75"/>
  <c r="K350" i="75"/>
  <c r="J438" i="75"/>
  <c r="J387" i="73"/>
  <c r="G443" i="73"/>
  <c r="J441" i="73"/>
  <c r="J369" i="75"/>
  <c r="I347" i="75"/>
  <c r="G380" i="75"/>
  <c r="L334" i="75"/>
  <c r="E431" i="73"/>
  <c r="D412" i="75"/>
  <c r="F425" i="75"/>
  <c r="G415" i="75"/>
  <c r="D376" i="75"/>
  <c r="I445" i="75"/>
  <c r="J371" i="75"/>
  <c r="E450" i="75"/>
  <c r="D410" i="75"/>
  <c r="K327" i="75"/>
  <c r="F441" i="75"/>
  <c r="L417" i="75"/>
  <c r="E340" i="73"/>
  <c r="I382" i="75"/>
  <c r="G329" i="73"/>
  <c r="C421" i="75"/>
  <c r="G431" i="73"/>
  <c r="H353" i="75"/>
  <c r="G382" i="75"/>
  <c r="J382" i="75"/>
  <c r="K326" i="75"/>
  <c r="D327" i="75"/>
  <c r="G391" i="75"/>
  <c r="K371" i="75"/>
  <c r="I452" i="75"/>
  <c r="I406" i="73"/>
  <c r="F410" i="73"/>
  <c r="C349" i="75"/>
  <c r="F349" i="75"/>
  <c r="J367" i="75"/>
  <c r="D349" i="75"/>
  <c r="F425" i="73"/>
  <c r="F365" i="75"/>
  <c r="H406" i="73"/>
  <c r="F414" i="73"/>
  <c r="K438" i="75"/>
  <c r="C439" i="75"/>
  <c r="D420" i="73"/>
  <c r="C367" i="75"/>
  <c r="D361" i="75"/>
  <c r="D421" i="75"/>
  <c r="G367" i="75"/>
  <c r="L329" i="73"/>
  <c r="C419" i="75"/>
  <c r="F348" i="75"/>
  <c r="L452" i="75"/>
  <c r="I367" i="75"/>
  <c r="C382" i="75"/>
  <c r="H409" i="75"/>
  <c r="F419" i="75"/>
  <c r="I441" i="73"/>
  <c r="J441" i="75"/>
  <c r="K414" i="73"/>
  <c r="K421" i="75"/>
  <c r="K409" i="73"/>
  <c r="I329" i="73"/>
  <c r="H445" i="75"/>
  <c r="L409" i="75"/>
  <c r="H327" i="75"/>
  <c r="L387" i="73"/>
  <c r="D347" i="75"/>
  <c r="H412" i="75"/>
  <c r="E442" i="75"/>
  <c r="C422" i="75"/>
  <c r="L423" i="73"/>
  <c r="C361" i="75"/>
  <c r="D391" i="75"/>
  <c r="K347" i="75"/>
  <c r="F334" i="75"/>
  <c r="J376" i="75"/>
  <c r="I371" i="75"/>
  <c r="H422" i="75"/>
  <c r="E348" i="75"/>
  <c r="C410" i="75"/>
  <c r="G431" i="75"/>
  <c r="C333" i="75"/>
  <c r="J421" i="75"/>
  <c r="J425" i="73"/>
  <c r="J442" i="75"/>
  <c r="K353" i="75"/>
  <c r="D340" i="73"/>
  <c r="D409" i="73"/>
  <c r="K340" i="73"/>
  <c r="D431" i="73"/>
  <c r="J409" i="75"/>
  <c r="C431" i="73"/>
  <c r="C391" i="75"/>
  <c r="F354" i="75"/>
  <c r="C371" i="75"/>
  <c r="E327" i="75"/>
  <c r="J380" i="75"/>
  <c r="D419" i="75"/>
  <c r="I348" i="75"/>
  <c r="C409" i="75"/>
  <c r="F187" i="76"/>
  <c r="E426" i="73"/>
  <c r="L420" i="73"/>
  <c r="D350" i="73"/>
  <c r="C423" i="73"/>
  <c r="C445" i="73"/>
  <c r="L350" i="75"/>
  <c r="C426" i="73"/>
  <c r="F422" i="75"/>
  <c r="D450" i="75"/>
  <c r="H382" i="75"/>
  <c r="I431" i="75"/>
  <c r="L422" i="75"/>
  <c r="E439" i="75"/>
  <c r="G350" i="75"/>
  <c r="J450" i="75"/>
  <c r="F431" i="73"/>
  <c r="K391" i="75"/>
  <c r="D443" i="73"/>
  <c r="D409" i="75"/>
  <c r="D425" i="73"/>
  <c r="L419" i="75"/>
  <c r="I354" i="75"/>
  <c r="G439" i="75"/>
  <c r="D367" i="75"/>
  <c r="L380" i="75"/>
  <c r="K361" i="75"/>
  <c r="D438" i="75"/>
  <c r="L347" i="75"/>
  <c r="I423" i="75"/>
  <c r="H391" i="75"/>
  <c r="F384" i="75"/>
  <c r="C441" i="75"/>
  <c r="F439" i="75"/>
  <c r="L333" i="75"/>
  <c r="D445" i="75"/>
  <c r="K410" i="73"/>
  <c r="E382" i="75"/>
  <c r="G334" i="75"/>
  <c r="H419" i="75"/>
  <c r="E333" i="75"/>
  <c r="D348" i="75"/>
  <c r="L398" i="73"/>
  <c r="L360" i="75"/>
  <c r="G187" i="76"/>
  <c r="E149" i="76"/>
  <c r="H187" i="76"/>
  <c r="J407" i="73"/>
  <c r="D380" i="75"/>
  <c r="H347" i="75"/>
  <c r="C354" i="75"/>
  <c r="K448" i="75"/>
  <c r="I187" i="76"/>
  <c r="L371" i="75"/>
  <c r="G398" i="73"/>
  <c r="J410" i="73"/>
  <c r="L331" i="73"/>
  <c r="E329" i="73"/>
  <c r="I414" i="73"/>
  <c r="F442" i="75"/>
  <c r="D448" i="75"/>
  <c r="J443" i="73"/>
  <c r="L443" i="73"/>
  <c r="K349" i="75"/>
  <c r="L450" i="75"/>
  <c r="L354" i="75"/>
  <c r="E438" i="75"/>
  <c r="F448" i="75"/>
  <c r="L384" i="75"/>
  <c r="F421" i="75"/>
  <c r="K450" i="75"/>
  <c r="D445" i="73"/>
  <c r="H348" i="75"/>
  <c r="H423" i="75"/>
  <c r="D334" i="75"/>
  <c r="C452" i="75"/>
  <c r="H431" i="73"/>
  <c r="J423" i="75"/>
  <c r="I149" i="76"/>
  <c r="I345" i="73"/>
  <c r="J340" i="73"/>
  <c r="E331" i="73"/>
  <c r="H438" i="75"/>
  <c r="E409" i="75"/>
  <c r="J431" i="73"/>
  <c r="I445" i="73"/>
  <c r="I327" i="75"/>
  <c r="K439" i="75"/>
  <c r="K380" i="75"/>
  <c r="H354" i="75"/>
  <c r="J445" i="75"/>
  <c r="H442" i="75"/>
  <c r="F450" i="75"/>
  <c r="F361" i="75"/>
  <c r="D423" i="75"/>
  <c r="F340" i="73"/>
  <c r="G350" i="73"/>
  <c r="L348" i="75"/>
  <c r="I426" i="73"/>
  <c r="H202" i="76"/>
  <c r="L326" i="75"/>
  <c r="G410" i="73"/>
  <c r="L361" i="75"/>
  <c r="F452" i="75"/>
  <c r="D442" i="75"/>
  <c r="C360" i="75"/>
  <c r="I431" i="73"/>
  <c r="H340" i="73"/>
  <c r="J398" i="73"/>
  <c r="D452" i="75"/>
  <c r="H452" i="75"/>
  <c r="I360" i="75"/>
  <c r="I334" i="75"/>
  <c r="H418" i="73"/>
  <c r="K442" i="75"/>
  <c r="F350" i="75"/>
  <c r="I333" i="75"/>
  <c r="G418" i="73"/>
  <c r="L325" i="73"/>
  <c r="D325" i="73"/>
  <c r="J453" i="73"/>
  <c r="J399" i="73"/>
  <c r="D407" i="73"/>
  <c r="H388" i="73"/>
  <c r="E427" i="75"/>
  <c r="G365" i="75"/>
  <c r="K396" i="73"/>
  <c r="E416" i="75"/>
  <c r="L362" i="75"/>
  <c r="I388" i="73"/>
  <c r="F148" i="76"/>
  <c r="F428" i="73"/>
  <c r="G428" i="73"/>
  <c r="F402" i="73"/>
  <c r="J362" i="75"/>
  <c r="H446" i="73"/>
  <c r="L328" i="73"/>
  <c r="D435" i="73"/>
  <c r="H351" i="73"/>
  <c r="H442" i="73"/>
  <c r="E373" i="75"/>
  <c r="D351" i="75"/>
  <c r="E405" i="75"/>
  <c r="H405" i="75"/>
  <c r="F373" i="75"/>
  <c r="D446" i="75"/>
  <c r="G401" i="75"/>
  <c r="G435" i="73"/>
  <c r="F158" i="76"/>
  <c r="L154" i="76"/>
  <c r="G403" i="73"/>
  <c r="H424" i="73"/>
  <c r="E424" i="73"/>
  <c r="L355" i="73"/>
  <c r="C396" i="73"/>
  <c r="G354" i="73"/>
  <c r="E352" i="73"/>
  <c r="F459" i="73"/>
  <c r="L399" i="73"/>
  <c r="F417" i="73"/>
  <c r="L330" i="73"/>
  <c r="K392" i="73"/>
  <c r="J459" i="73"/>
  <c r="L388" i="73"/>
  <c r="L405" i="75"/>
  <c r="K365" i="75"/>
  <c r="F380" i="75"/>
  <c r="F360" i="75"/>
  <c r="J457" i="75"/>
  <c r="K364" i="75"/>
  <c r="F339" i="75"/>
  <c r="H437" i="75"/>
  <c r="C394" i="75"/>
  <c r="J452" i="75"/>
  <c r="E439" i="73"/>
  <c r="H330" i="73"/>
  <c r="G430" i="73"/>
  <c r="D428" i="75"/>
  <c r="C368" i="75"/>
  <c r="D427" i="75"/>
  <c r="G406" i="75"/>
  <c r="D340" i="75"/>
  <c r="K446" i="75"/>
  <c r="L401" i="75"/>
  <c r="H362" i="75"/>
  <c r="J357" i="75"/>
  <c r="L406" i="75"/>
  <c r="F439" i="73"/>
  <c r="I405" i="75"/>
  <c r="J328" i="73"/>
  <c r="H428" i="73"/>
  <c r="J428" i="73"/>
  <c r="H391" i="73"/>
  <c r="J424" i="73"/>
  <c r="K355" i="73"/>
  <c r="D438" i="73"/>
  <c r="J403" i="73"/>
  <c r="G351" i="75"/>
  <c r="F394" i="75"/>
  <c r="G427" i="73"/>
  <c r="I394" i="75"/>
  <c r="D357" i="75"/>
  <c r="K351" i="75"/>
  <c r="E428" i="75"/>
  <c r="D401" i="75"/>
  <c r="J368" i="75"/>
  <c r="K417" i="75"/>
  <c r="L335" i="73"/>
  <c r="E357" i="75"/>
  <c r="E461" i="73"/>
  <c r="L403" i="73"/>
  <c r="I365" i="75"/>
  <c r="F263" i="76"/>
  <c r="G388" i="73"/>
  <c r="L373" i="75"/>
  <c r="F396" i="73"/>
  <c r="I263" i="76"/>
  <c r="K352" i="73"/>
  <c r="C402" i="73"/>
  <c r="F388" i="73"/>
  <c r="H407" i="73"/>
  <c r="K388" i="73"/>
  <c r="L428" i="75"/>
  <c r="D395" i="73"/>
  <c r="J459" i="75"/>
  <c r="C365" i="75"/>
  <c r="D202" i="76"/>
  <c r="C263" i="76"/>
  <c r="K149" i="76"/>
  <c r="K154" i="76"/>
  <c r="E417" i="75"/>
  <c r="F362" i="75"/>
  <c r="H211" i="76"/>
  <c r="K263" i="76"/>
  <c r="C149" i="76"/>
  <c r="C340" i="75"/>
  <c r="K446" i="73"/>
  <c r="C427" i="75"/>
  <c r="C391" i="73"/>
  <c r="L453" i="73"/>
  <c r="E403" i="73"/>
  <c r="E395" i="73"/>
  <c r="K402" i="73"/>
  <c r="E447" i="73"/>
  <c r="K402" i="75"/>
  <c r="C397" i="75"/>
  <c r="I397" i="75"/>
  <c r="I451" i="75"/>
  <c r="J401" i="75"/>
  <c r="F428" i="75"/>
  <c r="G452" i="75"/>
  <c r="H466" i="75"/>
  <c r="I350" i="75"/>
  <c r="E394" i="75"/>
  <c r="L437" i="75"/>
  <c r="C457" i="73"/>
  <c r="C435" i="73"/>
  <c r="K417" i="73"/>
  <c r="K428" i="75"/>
  <c r="G263" i="76"/>
  <c r="C428" i="73"/>
  <c r="L396" i="73"/>
  <c r="F352" i="73"/>
  <c r="G446" i="73"/>
  <c r="J402" i="73"/>
  <c r="I396" i="73"/>
  <c r="K442" i="73"/>
  <c r="E457" i="73"/>
  <c r="I427" i="75"/>
  <c r="D352" i="73"/>
  <c r="C424" i="73"/>
  <c r="H427" i="75"/>
  <c r="K427" i="75"/>
  <c r="F451" i="75"/>
  <c r="F406" i="75"/>
  <c r="H357" i="75"/>
  <c r="J406" i="75"/>
  <c r="J461" i="73"/>
  <c r="H430" i="73"/>
  <c r="D417" i="75"/>
  <c r="J395" i="73"/>
  <c r="K430" i="73"/>
  <c r="L439" i="73"/>
  <c r="C446" i="73"/>
  <c r="H439" i="73"/>
  <c r="C399" i="73"/>
  <c r="F401" i="75"/>
  <c r="E407" i="73"/>
  <c r="I399" i="73"/>
  <c r="L427" i="75"/>
  <c r="E365" i="75"/>
  <c r="K399" i="73"/>
  <c r="G407" i="73"/>
  <c r="I438" i="73"/>
  <c r="G424" i="73"/>
  <c r="E351" i="73"/>
  <c r="D446" i="73"/>
  <c r="G402" i="73"/>
  <c r="L394" i="75"/>
  <c r="G351" i="73"/>
  <c r="E459" i="75"/>
  <c r="I357" i="75"/>
  <c r="J416" i="75"/>
  <c r="L435" i="73"/>
  <c r="K416" i="75"/>
  <c r="E351" i="75"/>
  <c r="L365" i="75"/>
  <c r="K340" i="75"/>
  <c r="L457" i="75"/>
  <c r="G373" i="75"/>
  <c r="D339" i="75"/>
  <c r="I368" i="75"/>
  <c r="J417" i="75"/>
  <c r="L427" i="73"/>
  <c r="G439" i="73"/>
  <c r="L395" i="73"/>
  <c r="K391" i="73"/>
  <c r="H417" i="73"/>
  <c r="G428" i="75"/>
  <c r="J263" i="76"/>
  <c r="C417" i="75"/>
  <c r="L351" i="75"/>
  <c r="I446" i="73"/>
  <c r="G362" i="75"/>
  <c r="F351" i="75"/>
  <c r="F328" i="73"/>
  <c r="K351" i="73"/>
  <c r="J388" i="73"/>
  <c r="E362" i="75"/>
  <c r="E401" i="75"/>
  <c r="E154" i="76"/>
  <c r="J352" i="73"/>
  <c r="D428" i="73"/>
  <c r="F446" i="73"/>
  <c r="C407" i="73"/>
  <c r="E442" i="73"/>
  <c r="J355" i="73"/>
  <c r="C427" i="73"/>
  <c r="C395" i="73"/>
  <c r="H365" i="75"/>
  <c r="I403" i="73"/>
  <c r="J365" i="75"/>
  <c r="F438" i="73"/>
  <c r="C357" i="75"/>
  <c r="D373" i="75"/>
  <c r="F457" i="75"/>
  <c r="C406" i="75"/>
  <c r="C339" i="75"/>
  <c r="F416" i="75"/>
  <c r="J428" i="75"/>
  <c r="H401" i="75"/>
  <c r="D430" i="73"/>
  <c r="F430" i="73"/>
  <c r="E263" i="76"/>
  <c r="I439" i="73"/>
  <c r="C453" i="73"/>
  <c r="E399" i="73"/>
  <c r="G417" i="75"/>
  <c r="D439" i="73"/>
  <c r="K339" i="75"/>
  <c r="L368" i="75"/>
  <c r="G383" i="75"/>
  <c r="K435" i="73"/>
  <c r="K439" i="73"/>
  <c r="C446" i="75"/>
  <c r="C373" i="75"/>
  <c r="I427" i="73"/>
  <c r="H368" i="75"/>
  <c r="L435" i="75"/>
  <c r="E451" i="75"/>
  <c r="I453" i="73"/>
  <c r="F461" i="73"/>
  <c r="H460" i="73"/>
  <c r="L391" i="73"/>
  <c r="C428" i="75"/>
  <c r="F417" i="75"/>
  <c r="I373" i="75"/>
  <c r="H453" i="73"/>
  <c r="G416" i="75"/>
  <c r="G453" i="73"/>
  <c r="I395" i="75"/>
  <c r="G368" i="75"/>
  <c r="H417" i="75"/>
  <c r="E383" i="75"/>
  <c r="D405" i="75"/>
  <c r="F435" i="73"/>
  <c r="G148" i="76"/>
  <c r="E435" i="73"/>
  <c r="K153" i="76"/>
  <c r="G149" i="76"/>
  <c r="D424" i="73"/>
  <c r="D328" i="73"/>
  <c r="G396" i="73"/>
  <c r="F355" i="73"/>
  <c r="F399" i="73"/>
  <c r="G399" i="73"/>
  <c r="D457" i="73"/>
  <c r="C352" i="73"/>
  <c r="L407" i="73"/>
  <c r="E339" i="75"/>
  <c r="I153" i="76"/>
  <c r="S31" i="76"/>
  <c r="K424" i="73"/>
  <c r="E402" i="73"/>
  <c r="K328" i="73"/>
  <c r="D362" i="75"/>
  <c r="E388" i="73"/>
  <c r="J340" i="75"/>
  <c r="C460" i="73"/>
  <c r="L339" i="75"/>
  <c r="G402" i="75"/>
  <c r="J439" i="73"/>
  <c r="J391" i="73"/>
  <c r="I380" i="75"/>
  <c r="H373" i="75"/>
  <c r="D350" i="75"/>
  <c r="I401" i="75"/>
  <c r="J350" i="75"/>
  <c r="F397" i="75"/>
  <c r="H446" i="75"/>
  <c r="J395" i="75"/>
  <c r="D427" i="73"/>
  <c r="F402" i="75"/>
  <c r="D335" i="73"/>
  <c r="C388" i="73"/>
  <c r="D453" i="73"/>
  <c r="I328" i="73"/>
  <c r="D459" i="75"/>
  <c r="F459" i="75"/>
  <c r="G447" i="73"/>
  <c r="C383" i="75"/>
  <c r="L459" i="75"/>
  <c r="J427" i="75"/>
  <c r="K453" i="73"/>
  <c r="D416" i="75"/>
  <c r="D457" i="75"/>
  <c r="G397" i="75"/>
  <c r="I446" i="75"/>
  <c r="I428" i="75"/>
  <c r="I339" i="75"/>
  <c r="H355" i="73"/>
  <c r="K438" i="73"/>
  <c r="D330" i="73"/>
  <c r="L460" i="73"/>
  <c r="H395" i="73"/>
  <c r="I407" i="73"/>
  <c r="F172" i="76"/>
  <c r="L352" i="73"/>
  <c r="J405" i="75"/>
  <c r="H328" i="73"/>
  <c r="J442" i="73"/>
  <c r="G442" i="73"/>
  <c r="J446" i="73"/>
  <c r="S34" i="76"/>
  <c r="E153" i="76"/>
  <c r="C438" i="73"/>
  <c r="L416" i="75"/>
  <c r="G328" i="73"/>
  <c r="E396" i="73"/>
  <c r="D402" i="75"/>
  <c r="G394" i="75"/>
  <c r="E406" i="75"/>
  <c r="E435" i="75"/>
  <c r="F351" i="73"/>
  <c r="C335" i="73"/>
  <c r="F407" i="73"/>
  <c r="J396" i="73"/>
  <c r="F446" i="75"/>
  <c r="I383" i="75"/>
  <c r="G325" i="76"/>
  <c r="H305" i="76"/>
  <c r="F307" i="76"/>
  <c r="L305" i="76"/>
  <c r="E308" i="76"/>
  <c r="K308" i="76"/>
  <c r="F308" i="76"/>
  <c r="J262" i="76"/>
  <c r="H263" i="76"/>
  <c r="L263" i="76"/>
  <c r="K262" i="76"/>
  <c r="L211" i="76"/>
  <c r="K198" i="76"/>
  <c r="L198" i="76"/>
  <c r="F198" i="76"/>
  <c r="K187" i="76"/>
  <c r="L187" i="76"/>
  <c r="E187" i="76"/>
  <c r="I158" i="76"/>
  <c r="I156" i="76"/>
  <c r="F153" i="76"/>
  <c r="D158" i="76"/>
  <c r="K158" i="76"/>
  <c r="C153" i="76"/>
  <c r="H158" i="76"/>
  <c r="L158" i="76"/>
  <c r="K156" i="76"/>
  <c r="G153" i="76"/>
  <c r="J154" i="76"/>
  <c r="E158" i="76"/>
  <c r="D153" i="76"/>
  <c r="D156" i="76"/>
  <c r="L306" i="76"/>
  <c r="K318" i="76"/>
  <c r="F306" i="76"/>
  <c r="H306" i="76"/>
  <c r="H318" i="76"/>
  <c r="F318" i="76"/>
  <c r="G306" i="76"/>
  <c r="C325" i="76"/>
  <c r="G305" i="76"/>
  <c r="J172" i="76"/>
  <c r="H148" i="76"/>
  <c r="I172" i="76"/>
  <c r="G198" i="76"/>
  <c r="I305" i="76"/>
  <c r="H198" i="76"/>
  <c r="G310" i="76"/>
  <c r="D320" i="76"/>
  <c r="L320" i="76"/>
  <c r="E306" i="76"/>
  <c r="C305" i="76"/>
  <c r="J305" i="76"/>
  <c r="N168" i="76"/>
  <c r="G168" i="76" s="1"/>
  <c r="C198" i="76"/>
  <c r="E198" i="76"/>
  <c r="F320" i="76"/>
  <c r="J306" i="76"/>
  <c r="E305" i="76"/>
  <c r="C150" i="76"/>
  <c r="D198" i="76"/>
  <c r="J198" i="76"/>
  <c r="F325" i="76"/>
  <c r="F305" i="76"/>
  <c r="H310" i="76"/>
  <c r="C310" i="76"/>
  <c r="D310" i="76"/>
  <c r="L317" i="76"/>
  <c r="K327" i="76"/>
  <c r="C315" i="76"/>
  <c r="E211" i="76"/>
  <c r="I200" i="76"/>
  <c r="D172" i="76"/>
  <c r="E155" i="76"/>
  <c r="E172" i="76"/>
  <c r="C187" i="76"/>
  <c r="E310" i="76"/>
  <c r="K200" i="76"/>
  <c r="L310" i="76"/>
  <c r="F310" i="76"/>
  <c r="E315" i="76"/>
  <c r="D211" i="76"/>
  <c r="I150" i="76"/>
  <c r="J155" i="76"/>
  <c r="H172" i="76"/>
  <c r="D187" i="76"/>
  <c r="E156" i="76"/>
  <c r="D155" i="76"/>
  <c r="D315" i="76"/>
  <c r="K155" i="76"/>
  <c r="H150" i="76"/>
  <c r="I155" i="76"/>
  <c r="F150" i="76"/>
  <c r="D150" i="76"/>
  <c r="L150" i="76"/>
  <c r="I310" i="76"/>
  <c r="J310" i="76"/>
  <c r="L315" i="76"/>
  <c r="L296" i="76"/>
  <c r="G315" i="76"/>
  <c r="J150" i="76"/>
  <c r="K172" i="76"/>
  <c r="G150" i="76"/>
  <c r="I154" i="76"/>
  <c r="H154" i="76"/>
  <c r="E150" i="76"/>
  <c r="C172" i="76"/>
  <c r="C151" i="76"/>
  <c r="D326" i="76"/>
  <c r="C326" i="76"/>
  <c r="E327" i="76"/>
  <c r="S30" i="76"/>
  <c r="S27" i="76"/>
  <c r="I151" i="76"/>
  <c r="D151" i="76"/>
  <c r="H308" i="76"/>
  <c r="D262" i="76"/>
  <c r="N166" i="76"/>
  <c r="H166" i="76" s="1"/>
  <c r="F151" i="76"/>
  <c r="E325" i="76"/>
  <c r="J296" i="76"/>
  <c r="D297" i="76"/>
  <c r="J325" i="76"/>
  <c r="L327" i="76"/>
  <c r="H295" i="76"/>
  <c r="L308" i="76"/>
  <c r="I308" i="76"/>
  <c r="N212" i="76"/>
  <c r="L212" i="76" s="1"/>
  <c r="H262" i="76"/>
  <c r="S28" i="76"/>
  <c r="S42" i="76"/>
  <c r="J151" i="76"/>
  <c r="E151" i="76"/>
  <c r="K151" i="76"/>
  <c r="G296" i="76"/>
  <c r="I325" i="76"/>
  <c r="D327" i="76"/>
  <c r="F295" i="76"/>
  <c r="N254" i="76"/>
  <c r="K254" i="76" s="1"/>
  <c r="D290" i="76"/>
  <c r="F327" i="76"/>
  <c r="D298" i="76"/>
  <c r="K295" i="76"/>
  <c r="D308" i="76"/>
  <c r="I262" i="76"/>
  <c r="G172" i="76"/>
  <c r="G154" i="76"/>
  <c r="D154" i="76"/>
  <c r="N164" i="76"/>
  <c r="E164" i="76" s="1"/>
  <c r="S33" i="76"/>
  <c r="S32" i="76"/>
  <c r="S38" i="76"/>
  <c r="S36" i="76"/>
  <c r="I296" i="76"/>
  <c r="G290" i="76"/>
  <c r="D325" i="76"/>
  <c r="I327" i="76"/>
  <c r="I298" i="76"/>
  <c r="L295" i="76"/>
  <c r="G308" i="76"/>
  <c r="L262" i="76"/>
  <c r="J327" i="76"/>
  <c r="C308" i="76"/>
  <c r="C262" i="76"/>
  <c r="L151" i="76"/>
  <c r="S39" i="76"/>
  <c r="S26" i="76"/>
  <c r="T26" i="76" s="1"/>
  <c r="S43" i="76"/>
  <c r="L155" i="76"/>
  <c r="G155" i="76"/>
  <c r="F155" i="76"/>
  <c r="H155" i="76"/>
  <c r="G151" i="76"/>
  <c r="H297" i="76"/>
  <c r="G297" i="76"/>
  <c r="E297" i="76"/>
  <c r="J297" i="76"/>
  <c r="E298" i="76"/>
  <c r="K325" i="76"/>
  <c r="H325" i="76"/>
  <c r="G298" i="76"/>
  <c r="I318" i="76"/>
  <c r="L318" i="76"/>
  <c r="J318" i="76"/>
  <c r="G318" i="76"/>
  <c r="E318" i="76"/>
  <c r="D318" i="76"/>
  <c r="J307" i="76"/>
  <c r="H307" i="76"/>
  <c r="G307" i="76"/>
  <c r="E307" i="76"/>
  <c r="F297" i="76"/>
  <c r="J298" i="76"/>
  <c r="N165" i="76"/>
  <c r="F165" i="76" s="1"/>
  <c r="H320" i="76"/>
  <c r="K320" i="76"/>
  <c r="E320" i="76"/>
  <c r="C320" i="76"/>
  <c r="G159" i="76"/>
  <c r="I159" i="76"/>
  <c r="H159" i="76"/>
  <c r="E159" i="76"/>
  <c r="D159" i="76"/>
  <c r="C159" i="76"/>
  <c r="L159" i="76"/>
  <c r="K159" i="76"/>
  <c r="J159" i="76"/>
  <c r="J148" i="76"/>
  <c r="K148" i="76"/>
  <c r="E148" i="76"/>
  <c r="D148" i="76"/>
  <c r="C148" i="76"/>
  <c r="L148" i="76"/>
  <c r="H200" i="76"/>
  <c r="L200" i="76"/>
  <c r="J200" i="76"/>
  <c r="G200" i="76"/>
  <c r="F200" i="76"/>
  <c r="D200" i="76"/>
  <c r="C200" i="76"/>
  <c r="L202" i="76"/>
  <c r="K202" i="76"/>
  <c r="J202" i="76"/>
  <c r="F202" i="76"/>
  <c r="E202" i="76"/>
  <c r="C202" i="76"/>
  <c r="H317" i="76"/>
  <c r="G317" i="76"/>
  <c r="E317" i="76"/>
  <c r="J317" i="76"/>
  <c r="C297" i="76"/>
  <c r="K298" i="76"/>
  <c r="N208" i="76"/>
  <c r="K208" i="76" s="1"/>
  <c r="K290" i="76"/>
  <c r="H290" i="76"/>
  <c r="F290" i="76"/>
  <c r="E290" i="76"/>
  <c r="C290" i="76"/>
  <c r="K296" i="76"/>
  <c r="E296" i="76"/>
  <c r="C296" i="76"/>
  <c r="G326" i="76"/>
  <c r="J326" i="76"/>
  <c r="H326" i="76"/>
  <c r="E326" i="76"/>
  <c r="I297" i="76"/>
  <c r="C298" i="76"/>
  <c r="K297" i="76"/>
  <c r="F298" i="76"/>
  <c r="G202" i="76"/>
  <c r="S58" i="76"/>
  <c r="K211" i="76"/>
  <c r="I211" i="76"/>
  <c r="G211" i="76"/>
  <c r="C211" i="76"/>
  <c r="K306" i="76"/>
  <c r="C306" i="76"/>
  <c r="S56" i="76"/>
  <c r="G169" i="76"/>
  <c r="E169" i="76"/>
  <c r="D169" i="76"/>
  <c r="L169" i="76"/>
  <c r="C169" i="76"/>
  <c r="K169" i="76"/>
  <c r="J169" i="76"/>
  <c r="I169" i="76"/>
  <c r="H169" i="76"/>
  <c r="F169" i="76"/>
  <c r="F199" i="76"/>
  <c r="I199" i="76"/>
  <c r="G199" i="76"/>
  <c r="E199" i="76"/>
  <c r="D199" i="76"/>
  <c r="K199" i="76"/>
  <c r="C199" i="76"/>
  <c r="L199" i="76"/>
  <c r="J199" i="76"/>
  <c r="H199" i="76"/>
  <c r="I244" i="76"/>
  <c r="K244" i="76"/>
  <c r="G244" i="76"/>
  <c r="C244" i="76"/>
  <c r="L244" i="76"/>
  <c r="J244" i="76"/>
  <c r="H244" i="76"/>
  <c r="F244" i="76"/>
  <c r="E244" i="76"/>
  <c r="D244" i="76"/>
  <c r="L284" i="76"/>
  <c r="D284" i="76"/>
  <c r="J284" i="76"/>
  <c r="F284" i="76"/>
  <c r="E284" i="76"/>
  <c r="C284" i="76"/>
  <c r="K284" i="76"/>
  <c r="H284" i="76"/>
  <c r="G284" i="76"/>
  <c r="I284" i="76"/>
  <c r="H242" i="76"/>
  <c r="E242" i="76"/>
  <c r="C242" i="76"/>
  <c r="L242" i="76"/>
  <c r="K242" i="76"/>
  <c r="J242" i="76"/>
  <c r="I242" i="76"/>
  <c r="G242" i="76"/>
  <c r="F242" i="76"/>
  <c r="D242" i="76"/>
  <c r="G260" i="76"/>
  <c r="E260" i="76"/>
  <c r="D260" i="76"/>
  <c r="C260" i="76"/>
  <c r="K260" i="76"/>
  <c r="J260" i="76"/>
  <c r="H260" i="76"/>
  <c r="I260" i="76"/>
  <c r="F260" i="76"/>
  <c r="L260" i="76"/>
  <c r="H272" i="76"/>
  <c r="D272" i="76"/>
  <c r="L272" i="76"/>
  <c r="C272" i="76"/>
  <c r="K272" i="76"/>
  <c r="J272" i="76"/>
  <c r="I272" i="76"/>
  <c r="F272" i="76"/>
  <c r="G272" i="76"/>
  <c r="E272" i="76"/>
  <c r="N255" i="76"/>
  <c r="M256" i="76"/>
  <c r="N213" i="76"/>
  <c r="M214" i="76"/>
  <c r="E237" i="76"/>
  <c r="J237" i="76"/>
  <c r="K237" i="76"/>
  <c r="I237" i="76"/>
  <c r="H237" i="76"/>
  <c r="G237" i="76"/>
  <c r="F237" i="76"/>
  <c r="D237" i="76"/>
  <c r="C237" i="76"/>
  <c r="L237" i="76"/>
  <c r="I238" i="76"/>
  <c r="F238" i="76"/>
  <c r="J238" i="76"/>
  <c r="H238" i="76"/>
  <c r="G238" i="76"/>
  <c r="E238" i="76"/>
  <c r="D238" i="76"/>
  <c r="C238" i="76"/>
  <c r="L238" i="76"/>
  <c r="K238" i="76"/>
  <c r="E152" i="76"/>
  <c r="L152" i="76"/>
  <c r="D152" i="76"/>
  <c r="K152" i="76"/>
  <c r="C152" i="76"/>
  <c r="J152" i="76"/>
  <c r="I152" i="76"/>
  <c r="H152" i="76"/>
  <c r="G152" i="76"/>
  <c r="F152" i="76"/>
  <c r="E209" i="76"/>
  <c r="K209" i="76"/>
  <c r="F209" i="76"/>
  <c r="C209" i="76"/>
  <c r="L209" i="76"/>
  <c r="J209" i="76"/>
  <c r="I209" i="76"/>
  <c r="H209" i="76"/>
  <c r="G209" i="76"/>
  <c r="D209" i="76"/>
  <c r="G163" i="76"/>
  <c r="D163" i="76"/>
  <c r="L163" i="76"/>
  <c r="C163" i="76"/>
  <c r="K163" i="76"/>
  <c r="J163" i="76"/>
  <c r="I163" i="76"/>
  <c r="H163" i="76"/>
  <c r="F163" i="76"/>
  <c r="E163" i="76"/>
  <c r="I246" i="76"/>
  <c r="E246" i="76"/>
  <c r="K246" i="76"/>
  <c r="C246" i="76"/>
  <c r="L246" i="76"/>
  <c r="J246" i="76"/>
  <c r="H246" i="76"/>
  <c r="G246" i="76"/>
  <c r="F246" i="76"/>
  <c r="D246" i="76"/>
  <c r="M177" i="76"/>
  <c r="N176" i="76"/>
  <c r="F291" i="76"/>
  <c r="E291" i="76"/>
  <c r="K291" i="76"/>
  <c r="C291" i="76"/>
  <c r="H291" i="76"/>
  <c r="G291" i="76"/>
  <c r="D291" i="76"/>
  <c r="L291" i="76"/>
  <c r="J291" i="76"/>
  <c r="I291" i="76"/>
  <c r="I328" i="76"/>
  <c r="H328" i="76"/>
  <c r="G328" i="76"/>
  <c r="F328" i="76"/>
  <c r="E328" i="76"/>
  <c r="K328" i="76"/>
  <c r="C328" i="76"/>
  <c r="L328" i="76"/>
  <c r="J328" i="76"/>
  <c r="D328" i="76"/>
  <c r="K302" i="76"/>
  <c r="C302" i="76"/>
  <c r="J302" i="76"/>
  <c r="H302" i="76"/>
  <c r="E302" i="76"/>
  <c r="I302" i="76"/>
  <c r="G302" i="76"/>
  <c r="F302" i="76"/>
  <c r="D302" i="76"/>
  <c r="L302" i="76"/>
  <c r="L251" i="76"/>
  <c r="D251" i="76"/>
  <c r="H251" i="76"/>
  <c r="E251" i="76"/>
  <c r="J251" i="76"/>
  <c r="K251" i="76"/>
  <c r="I251" i="76"/>
  <c r="G251" i="76"/>
  <c r="F251" i="76"/>
  <c r="C251" i="76"/>
  <c r="G286" i="76"/>
  <c r="F286" i="76"/>
  <c r="L286" i="76"/>
  <c r="D286" i="76"/>
  <c r="E286" i="76"/>
  <c r="C286" i="76"/>
  <c r="K286" i="76"/>
  <c r="J286" i="76"/>
  <c r="I286" i="76"/>
  <c r="H286" i="76"/>
  <c r="I275" i="76"/>
  <c r="G275" i="76"/>
  <c r="J275" i="76"/>
  <c r="H275" i="76"/>
  <c r="F275" i="76"/>
  <c r="E275" i="76"/>
  <c r="D275" i="76"/>
  <c r="C275" i="76"/>
  <c r="L275" i="76"/>
  <c r="K275" i="76"/>
  <c r="E205" i="76"/>
  <c r="D205" i="76"/>
  <c r="H205" i="76"/>
  <c r="L205" i="76"/>
  <c r="K205" i="76"/>
  <c r="J205" i="76"/>
  <c r="I205" i="76"/>
  <c r="G205" i="76"/>
  <c r="F205" i="76"/>
  <c r="C205" i="76"/>
  <c r="E273" i="76"/>
  <c r="K273" i="76"/>
  <c r="J273" i="76"/>
  <c r="I273" i="76"/>
  <c r="H273" i="76"/>
  <c r="G273" i="76"/>
  <c r="F273" i="76"/>
  <c r="C273" i="76"/>
  <c r="L273" i="76"/>
  <c r="D273" i="76"/>
  <c r="L253" i="76"/>
  <c r="D253" i="76"/>
  <c r="K253" i="76"/>
  <c r="H253" i="76"/>
  <c r="E253" i="76"/>
  <c r="F253" i="76"/>
  <c r="C253" i="76"/>
  <c r="J253" i="76"/>
  <c r="I253" i="76"/>
  <c r="G253" i="76"/>
  <c r="E231" i="76"/>
  <c r="J231" i="76"/>
  <c r="I231" i="76"/>
  <c r="H231" i="76"/>
  <c r="G231" i="76"/>
  <c r="F231" i="76"/>
  <c r="D231" i="76"/>
  <c r="C231" i="76"/>
  <c r="L231" i="76"/>
  <c r="K231" i="76"/>
  <c r="J222" i="76"/>
  <c r="G222" i="76"/>
  <c r="L222" i="76"/>
  <c r="K222" i="76"/>
  <c r="I222" i="76"/>
  <c r="H222" i="76"/>
  <c r="F222" i="76"/>
  <c r="E222" i="76"/>
  <c r="D222" i="76"/>
  <c r="C222" i="76"/>
  <c r="K160" i="76"/>
  <c r="C160" i="76"/>
  <c r="D160" i="76"/>
  <c r="L160" i="76"/>
  <c r="J160" i="76"/>
  <c r="I160" i="76"/>
  <c r="H160" i="76"/>
  <c r="G160" i="76"/>
  <c r="F160" i="76"/>
  <c r="E160" i="76"/>
  <c r="J196" i="76"/>
  <c r="E196" i="76"/>
  <c r="K196" i="76"/>
  <c r="I196" i="76"/>
  <c r="H196" i="76"/>
  <c r="D196" i="76"/>
  <c r="L196" i="76"/>
  <c r="G196" i="76"/>
  <c r="F196" i="76"/>
  <c r="C196" i="76"/>
  <c r="E192" i="76"/>
  <c r="H192" i="76"/>
  <c r="G192" i="76"/>
  <c r="F192" i="76"/>
  <c r="K192" i="76"/>
  <c r="D192" i="76"/>
  <c r="C192" i="76"/>
  <c r="L192" i="76"/>
  <c r="J192" i="76"/>
  <c r="I192" i="76"/>
  <c r="F321" i="76"/>
  <c r="E321" i="76"/>
  <c r="K321" i="76"/>
  <c r="C321" i="76"/>
  <c r="J321" i="76"/>
  <c r="H321" i="76"/>
  <c r="G321" i="76"/>
  <c r="D321" i="76"/>
  <c r="L321" i="76"/>
  <c r="I321" i="76"/>
  <c r="K292" i="76"/>
  <c r="C292" i="76"/>
  <c r="J292" i="76"/>
  <c r="H292" i="76"/>
  <c r="E292" i="76"/>
  <c r="L292" i="76"/>
  <c r="I292" i="76"/>
  <c r="G292" i="76"/>
  <c r="F292" i="76"/>
  <c r="D292" i="76"/>
  <c r="F221" i="76"/>
  <c r="K221" i="76"/>
  <c r="C221" i="76"/>
  <c r="L221" i="76"/>
  <c r="J221" i="76"/>
  <c r="I221" i="76"/>
  <c r="H221" i="76"/>
  <c r="G221" i="76"/>
  <c r="E221" i="76"/>
  <c r="D221" i="76"/>
  <c r="I285" i="76"/>
  <c r="G285" i="76"/>
  <c r="E285" i="76"/>
  <c r="D285" i="76"/>
  <c r="C285" i="76"/>
  <c r="L285" i="76"/>
  <c r="K285" i="76"/>
  <c r="J285" i="76"/>
  <c r="F285" i="76"/>
  <c r="H285" i="76"/>
  <c r="H264" i="76"/>
  <c r="G264" i="76"/>
  <c r="E264" i="76"/>
  <c r="L264" i="76"/>
  <c r="K264" i="76"/>
  <c r="I264" i="76"/>
  <c r="F264" i="76"/>
  <c r="C264" i="76"/>
  <c r="J264" i="76"/>
  <c r="D264" i="76"/>
  <c r="L269" i="76"/>
  <c r="D269" i="76"/>
  <c r="K269" i="76"/>
  <c r="C269" i="76"/>
  <c r="I269" i="76"/>
  <c r="E269" i="76"/>
  <c r="J269" i="76"/>
  <c r="G269" i="76"/>
  <c r="H269" i="76"/>
  <c r="F269" i="76"/>
  <c r="E279" i="76"/>
  <c r="K279" i="76"/>
  <c r="C279" i="76"/>
  <c r="I279" i="76"/>
  <c r="H279" i="76"/>
  <c r="G279" i="76"/>
  <c r="F279" i="76"/>
  <c r="D279" i="76"/>
  <c r="J279" i="76"/>
  <c r="L279" i="76"/>
  <c r="E239" i="76"/>
  <c r="J239" i="76"/>
  <c r="H239" i="76"/>
  <c r="G239" i="76"/>
  <c r="F239" i="76"/>
  <c r="D239" i="76"/>
  <c r="C239" i="76"/>
  <c r="L239" i="76"/>
  <c r="K239" i="76"/>
  <c r="I239" i="76"/>
  <c r="M225" i="76"/>
  <c r="N224" i="76"/>
  <c r="I185" i="76"/>
  <c r="H185" i="76"/>
  <c r="E185" i="76"/>
  <c r="C185" i="76"/>
  <c r="L185" i="76"/>
  <c r="K185" i="76"/>
  <c r="J185" i="76"/>
  <c r="G185" i="76"/>
  <c r="F185" i="76"/>
  <c r="D185" i="76"/>
  <c r="E186" i="76"/>
  <c r="L186" i="76"/>
  <c r="D186" i="76"/>
  <c r="I186" i="76"/>
  <c r="C186" i="76"/>
  <c r="K186" i="76"/>
  <c r="J186" i="76"/>
  <c r="H186" i="76"/>
  <c r="G186" i="76"/>
  <c r="F186" i="76"/>
  <c r="I191" i="76"/>
  <c r="K191" i="76"/>
  <c r="J191" i="76"/>
  <c r="H191" i="76"/>
  <c r="E191" i="76"/>
  <c r="L191" i="76"/>
  <c r="G191" i="76"/>
  <c r="F191" i="76"/>
  <c r="D191" i="76"/>
  <c r="C191" i="76"/>
  <c r="F329" i="76"/>
  <c r="E329" i="76"/>
  <c r="L329" i="76"/>
  <c r="D329" i="76"/>
  <c r="K329" i="76"/>
  <c r="C329" i="76"/>
  <c r="J329" i="76"/>
  <c r="H329" i="76"/>
  <c r="I329" i="76"/>
  <c r="G329" i="76"/>
  <c r="K312" i="76"/>
  <c r="C312" i="76"/>
  <c r="J312" i="76"/>
  <c r="H312" i="76"/>
  <c r="E312" i="76"/>
  <c r="G312" i="76"/>
  <c r="F312" i="76"/>
  <c r="D312" i="76"/>
  <c r="L312" i="76"/>
  <c r="I312" i="76"/>
  <c r="F319" i="76"/>
  <c r="E319" i="76"/>
  <c r="K319" i="76"/>
  <c r="C319" i="76"/>
  <c r="J319" i="76"/>
  <c r="H319" i="76"/>
  <c r="L319" i="76"/>
  <c r="I319" i="76"/>
  <c r="G319" i="76"/>
  <c r="D319" i="76"/>
  <c r="G283" i="76"/>
  <c r="E283" i="76"/>
  <c r="F283" i="76"/>
  <c r="D283" i="76"/>
  <c r="C283" i="76"/>
  <c r="L283" i="76"/>
  <c r="K283" i="76"/>
  <c r="J283" i="76"/>
  <c r="I283" i="76"/>
  <c r="H283" i="76"/>
  <c r="E249" i="76"/>
  <c r="F249" i="76"/>
  <c r="K249" i="76"/>
  <c r="C249" i="76"/>
  <c r="L249" i="76"/>
  <c r="J249" i="76"/>
  <c r="I249" i="76"/>
  <c r="H249" i="76"/>
  <c r="G249" i="76"/>
  <c r="D249" i="76"/>
  <c r="L267" i="76"/>
  <c r="D267" i="76"/>
  <c r="K267" i="76"/>
  <c r="C267" i="76"/>
  <c r="I267" i="76"/>
  <c r="J267" i="76"/>
  <c r="H267" i="76"/>
  <c r="F267" i="76"/>
  <c r="G267" i="76"/>
  <c r="E267" i="76"/>
  <c r="G270" i="76"/>
  <c r="I270" i="76"/>
  <c r="H270" i="76"/>
  <c r="F270" i="76"/>
  <c r="E270" i="76"/>
  <c r="D270" i="76"/>
  <c r="C270" i="76"/>
  <c r="K270" i="76"/>
  <c r="L270" i="76"/>
  <c r="J270" i="76"/>
  <c r="H240" i="76"/>
  <c r="E240" i="76"/>
  <c r="F240" i="76"/>
  <c r="D240" i="76"/>
  <c r="C240" i="76"/>
  <c r="L240" i="76"/>
  <c r="K240" i="76"/>
  <c r="J240" i="76"/>
  <c r="I240" i="76"/>
  <c r="G240" i="76"/>
  <c r="I204" i="76"/>
  <c r="G204" i="76"/>
  <c r="K204" i="76"/>
  <c r="C204" i="76"/>
  <c r="L204" i="76"/>
  <c r="J204" i="76"/>
  <c r="H204" i="76"/>
  <c r="F204" i="76"/>
  <c r="E204" i="76"/>
  <c r="D204" i="76"/>
  <c r="E233" i="76"/>
  <c r="J233" i="76"/>
  <c r="F233" i="76"/>
  <c r="D233" i="76"/>
  <c r="C233" i="76"/>
  <c r="L233" i="76"/>
  <c r="K233" i="76"/>
  <c r="I233" i="76"/>
  <c r="H233" i="76"/>
  <c r="G233" i="76"/>
  <c r="I183" i="76"/>
  <c r="H183" i="76"/>
  <c r="E183" i="76"/>
  <c r="L183" i="76"/>
  <c r="K183" i="76"/>
  <c r="J183" i="76"/>
  <c r="G183" i="76"/>
  <c r="F183" i="76"/>
  <c r="D183" i="76"/>
  <c r="C183" i="76"/>
  <c r="E184" i="76"/>
  <c r="L184" i="76"/>
  <c r="D184" i="76"/>
  <c r="I184" i="76"/>
  <c r="K184" i="76"/>
  <c r="J184" i="76"/>
  <c r="H184" i="76"/>
  <c r="G184" i="76"/>
  <c r="F184" i="76"/>
  <c r="C184" i="76"/>
  <c r="J194" i="76"/>
  <c r="E194" i="76"/>
  <c r="C194" i="76"/>
  <c r="L194" i="76"/>
  <c r="K194" i="76"/>
  <c r="G194" i="76"/>
  <c r="I194" i="76"/>
  <c r="H194" i="76"/>
  <c r="F194" i="76"/>
  <c r="D194" i="76"/>
  <c r="G161" i="76"/>
  <c r="J161" i="76"/>
  <c r="I161" i="76"/>
  <c r="H161" i="76"/>
  <c r="F161" i="76"/>
  <c r="E161" i="76"/>
  <c r="D161" i="76"/>
  <c r="L161" i="76"/>
  <c r="C161" i="76"/>
  <c r="K161" i="76"/>
  <c r="F301" i="76"/>
  <c r="E301" i="76"/>
  <c r="K301" i="76"/>
  <c r="C301" i="76"/>
  <c r="H301" i="76"/>
  <c r="D301" i="76"/>
  <c r="L301" i="76"/>
  <c r="G301" i="76"/>
  <c r="J301" i="76"/>
  <c r="I301" i="76"/>
  <c r="I236" i="76"/>
  <c r="F236" i="76"/>
  <c r="L236" i="76"/>
  <c r="K236" i="76"/>
  <c r="J236" i="76"/>
  <c r="H236" i="76"/>
  <c r="G236" i="76"/>
  <c r="E236" i="76"/>
  <c r="D236" i="76"/>
  <c r="C236" i="76"/>
  <c r="H293" i="76"/>
  <c r="G293" i="76"/>
  <c r="E293" i="76"/>
  <c r="J293" i="76"/>
  <c r="L293" i="76"/>
  <c r="K293" i="76"/>
  <c r="I293" i="76"/>
  <c r="D293" i="76"/>
  <c r="C293" i="76"/>
  <c r="F293" i="76"/>
  <c r="H323" i="76"/>
  <c r="G323" i="76"/>
  <c r="E323" i="76"/>
  <c r="L323" i="76"/>
  <c r="D323" i="76"/>
  <c r="J323" i="76"/>
  <c r="F323" i="76"/>
  <c r="C323" i="76"/>
  <c r="K323" i="76"/>
  <c r="I323" i="76"/>
  <c r="H252" i="76"/>
  <c r="E252" i="76"/>
  <c r="K252" i="76"/>
  <c r="G252" i="76"/>
  <c r="C252" i="76"/>
  <c r="L252" i="76"/>
  <c r="J252" i="76"/>
  <c r="I252" i="76"/>
  <c r="F252" i="76"/>
  <c r="D252" i="76"/>
  <c r="E281" i="76"/>
  <c r="K281" i="76"/>
  <c r="C281" i="76"/>
  <c r="G281" i="76"/>
  <c r="F281" i="76"/>
  <c r="D281" i="76"/>
  <c r="L281" i="76"/>
  <c r="J281" i="76"/>
  <c r="I281" i="76"/>
  <c r="H281" i="76"/>
  <c r="E247" i="76"/>
  <c r="K247" i="76"/>
  <c r="H247" i="76"/>
  <c r="C247" i="76"/>
  <c r="L247" i="76"/>
  <c r="J247" i="76"/>
  <c r="I247" i="76"/>
  <c r="G247" i="76"/>
  <c r="F247" i="76"/>
  <c r="D247" i="76"/>
  <c r="H268" i="76"/>
  <c r="G268" i="76"/>
  <c r="E268" i="76"/>
  <c r="C268" i="76"/>
  <c r="K268" i="76"/>
  <c r="J268" i="76"/>
  <c r="F268" i="76"/>
  <c r="D268" i="76"/>
  <c r="L268" i="76"/>
  <c r="I268" i="76"/>
  <c r="L274" i="76"/>
  <c r="J274" i="76"/>
  <c r="I274" i="76"/>
  <c r="H274" i="76"/>
  <c r="G274" i="76"/>
  <c r="F274" i="76"/>
  <c r="K274" i="76"/>
  <c r="E274" i="76"/>
  <c r="C274" i="76"/>
  <c r="D274" i="76"/>
  <c r="E245" i="76"/>
  <c r="H245" i="76"/>
  <c r="D245" i="76"/>
  <c r="L245" i="76"/>
  <c r="K245" i="76"/>
  <c r="J245" i="76"/>
  <c r="I245" i="76"/>
  <c r="G245" i="76"/>
  <c r="F245" i="76"/>
  <c r="C245" i="76"/>
  <c r="I206" i="76"/>
  <c r="K206" i="76"/>
  <c r="E206" i="76"/>
  <c r="C206" i="76"/>
  <c r="L206" i="76"/>
  <c r="J206" i="76"/>
  <c r="H206" i="76"/>
  <c r="G206" i="76"/>
  <c r="F206" i="76"/>
  <c r="D206" i="76"/>
  <c r="N175" i="76"/>
  <c r="E235" i="76"/>
  <c r="J235" i="76"/>
  <c r="C235" i="76"/>
  <c r="L235" i="76"/>
  <c r="K235" i="76"/>
  <c r="I235" i="76"/>
  <c r="H235" i="76"/>
  <c r="G235" i="76"/>
  <c r="F235" i="76"/>
  <c r="D235" i="76"/>
  <c r="E182" i="76"/>
  <c r="L182" i="76"/>
  <c r="D182" i="76"/>
  <c r="I182" i="76"/>
  <c r="K182" i="76"/>
  <c r="J182" i="76"/>
  <c r="H182" i="76"/>
  <c r="G182" i="76"/>
  <c r="F182" i="76"/>
  <c r="C182" i="76"/>
  <c r="L180" i="76"/>
  <c r="D180" i="76"/>
  <c r="I180" i="76"/>
  <c r="C180" i="76"/>
  <c r="K180" i="76"/>
  <c r="J180" i="76"/>
  <c r="H180" i="76"/>
  <c r="G180" i="76"/>
  <c r="F180" i="76"/>
  <c r="E180" i="76"/>
  <c r="E190" i="76"/>
  <c r="L190" i="76"/>
  <c r="D190" i="76"/>
  <c r="K190" i="76"/>
  <c r="C190" i="76"/>
  <c r="H190" i="76"/>
  <c r="J190" i="76"/>
  <c r="I190" i="76"/>
  <c r="G190" i="76"/>
  <c r="F190" i="76"/>
  <c r="J189" i="76"/>
  <c r="I189" i="76"/>
  <c r="H189" i="76"/>
  <c r="E189" i="76"/>
  <c r="G189" i="76"/>
  <c r="F189" i="76"/>
  <c r="D189" i="76"/>
  <c r="C189" i="76"/>
  <c r="L189" i="76"/>
  <c r="K189" i="76"/>
  <c r="K271" i="76"/>
  <c r="C271" i="76"/>
  <c r="F271" i="76"/>
  <c r="E271" i="76"/>
  <c r="D271" i="76"/>
  <c r="L271" i="76"/>
  <c r="J271" i="76"/>
  <c r="I271" i="76"/>
  <c r="G271" i="76"/>
  <c r="H271" i="76"/>
  <c r="I230" i="76"/>
  <c r="F230" i="76"/>
  <c r="K230" i="76"/>
  <c r="J230" i="76"/>
  <c r="H230" i="76"/>
  <c r="G230" i="76"/>
  <c r="E230" i="76"/>
  <c r="D230" i="76"/>
  <c r="C230" i="76"/>
  <c r="L230" i="76"/>
  <c r="E207" i="76"/>
  <c r="H207" i="76"/>
  <c r="K207" i="76"/>
  <c r="C207" i="76"/>
  <c r="L207" i="76"/>
  <c r="J207" i="76"/>
  <c r="I207" i="76"/>
  <c r="G207" i="76"/>
  <c r="F207" i="76"/>
  <c r="D207" i="76"/>
  <c r="F311" i="76"/>
  <c r="E311" i="76"/>
  <c r="K311" i="76"/>
  <c r="C311" i="76"/>
  <c r="H311" i="76"/>
  <c r="L311" i="76"/>
  <c r="J311" i="76"/>
  <c r="D311" i="76"/>
  <c r="I311" i="76"/>
  <c r="G311" i="76"/>
  <c r="K322" i="76"/>
  <c r="C322" i="76"/>
  <c r="J322" i="76"/>
  <c r="H322" i="76"/>
  <c r="G322" i="76"/>
  <c r="E322" i="76"/>
  <c r="L322" i="76"/>
  <c r="I322" i="76"/>
  <c r="F322" i="76"/>
  <c r="D322" i="76"/>
  <c r="L287" i="76"/>
  <c r="D287" i="76"/>
  <c r="K287" i="76"/>
  <c r="C287" i="76"/>
  <c r="I287" i="76"/>
  <c r="G287" i="76"/>
  <c r="F287" i="76"/>
  <c r="E287" i="76"/>
  <c r="H287" i="76"/>
  <c r="J287" i="76"/>
  <c r="F289" i="76"/>
  <c r="E289" i="76"/>
  <c r="K289" i="76"/>
  <c r="C289" i="76"/>
  <c r="H289" i="76"/>
  <c r="L289" i="76"/>
  <c r="J289" i="76"/>
  <c r="I289" i="76"/>
  <c r="G289" i="76"/>
  <c r="D289" i="76"/>
  <c r="L241" i="76"/>
  <c r="D241" i="76"/>
  <c r="I241" i="76"/>
  <c r="E241" i="76"/>
  <c r="C241" i="76"/>
  <c r="K241" i="76"/>
  <c r="J241" i="76"/>
  <c r="H241" i="76"/>
  <c r="G241" i="76"/>
  <c r="F241" i="76"/>
  <c r="K261" i="76"/>
  <c r="C261" i="76"/>
  <c r="I261" i="76"/>
  <c r="D261" i="76"/>
  <c r="J261" i="76"/>
  <c r="H261" i="76"/>
  <c r="F261" i="76"/>
  <c r="L261" i="76"/>
  <c r="G261" i="76"/>
  <c r="E261" i="76"/>
  <c r="F276" i="76"/>
  <c r="L276" i="76"/>
  <c r="D276" i="76"/>
  <c r="I276" i="76"/>
  <c r="H276" i="76"/>
  <c r="G276" i="76"/>
  <c r="E276" i="76"/>
  <c r="K276" i="76"/>
  <c r="J276" i="76"/>
  <c r="C276" i="76"/>
  <c r="I248" i="76"/>
  <c r="H248" i="76"/>
  <c r="E248" i="76"/>
  <c r="C248" i="76"/>
  <c r="L248" i="76"/>
  <c r="K248" i="76"/>
  <c r="J248" i="76"/>
  <c r="G248" i="76"/>
  <c r="F248" i="76"/>
  <c r="D248" i="76"/>
  <c r="E203" i="76"/>
  <c r="J203" i="76"/>
  <c r="D203" i="76"/>
  <c r="L203" i="76"/>
  <c r="K203" i="76"/>
  <c r="I203" i="76"/>
  <c r="H203" i="76"/>
  <c r="G203" i="76"/>
  <c r="F203" i="76"/>
  <c r="C203" i="76"/>
  <c r="I173" i="76"/>
  <c r="F173" i="76"/>
  <c r="C173" i="76"/>
  <c r="L173" i="76"/>
  <c r="K173" i="76"/>
  <c r="J173" i="76"/>
  <c r="H173" i="76"/>
  <c r="G173" i="76"/>
  <c r="E173" i="76"/>
  <c r="D173" i="76"/>
  <c r="I232" i="76"/>
  <c r="F232" i="76"/>
  <c r="G232" i="76"/>
  <c r="E232" i="76"/>
  <c r="D232" i="76"/>
  <c r="C232" i="76"/>
  <c r="L232" i="76"/>
  <c r="K232" i="76"/>
  <c r="J232" i="76"/>
  <c r="H232" i="76"/>
  <c r="I181" i="76"/>
  <c r="H181" i="76"/>
  <c r="E181" i="76"/>
  <c r="C181" i="76"/>
  <c r="L181" i="76"/>
  <c r="K181" i="76"/>
  <c r="J181" i="76"/>
  <c r="G181" i="76"/>
  <c r="F181" i="76"/>
  <c r="D181" i="76"/>
  <c r="E188" i="76"/>
  <c r="L188" i="76"/>
  <c r="D188" i="76"/>
  <c r="I188" i="76"/>
  <c r="F188" i="76"/>
  <c r="C188" i="76"/>
  <c r="K188" i="76"/>
  <c r="J188" i="76"/>
  <c r="H188" i="76"/>
  <c r="G188" i="76"/>
  <c r="K162" i="76"/>
  <c r="C162" i="76"/>
  <c r="G162" i="76"/>
  <c r="F162" i="76"/>
  <c r="E162" i="76"/>
  <c r="D162" i="76"/>
  <c r="L162" i="76"/>
  <c r="J162" i="76"/>
  <c r="I162" i="76"/>
  <c r="H162" i="76"/>
  <c r="I193" i="76"/>
  <c r="E193" i="76"/>
  <c r="D193" i="76"/>
  <c r="L193" i="76"/>
  <c r="C193" i="76"/>
  <c r="H193" i="76"/>
  <c r="K193" i="76"/>
  <c r="J193" i="76"/>
  <c r="G193" i="76"/>
  <c r="F193" i="76"/>
  <c r="H303" i="76"/>
  <c r="G303" i="76"/>
  <c r="E303" i="76"/>
  <c r="J303" i="76"/>
  <c r="L303" i="76"/>
  <c r="K303" i="76"/>
  <c r="I303" i="76"/>
  <c r="F303" i="76"/>
  <c r="D303" i="76"/>
  <c r="C303" i="76"/>
  <c r="J282" i="76"/>
  <c r="H282" i="76"/>
  <c r="F282" i="76"/>
  <c r="E282" i="76"/>
  <c r="D282" i="76"/>
  <c r="C282" i="76"/>
  <c r="L282" i="76"/>
  <c r="I282" i="76"/>
  <c r="K282" i="76"/>
  <c r="G282" i="76"/>
  <c r="H266" i="76"/>
  <c r="G266" i="76"/>
  <c r="E266" i="76"/>
  <c r="L266" i="76"/>
  <c r="J266" i="76"/>
  <c r="I266" i="76"/>
  <c r="D266" i="76"/>
  <c r="K266" i="76"/>
  <c r="F266" i="76"/>
  <c r="C266" i="76"/>
  <c r="F197" i="76"/>
  <c r="I197" i="76"/>
  <c r="J197" i="76"/>
  <c r="H197" i="76"/>
  <c r="G197" i="76"/>
  <c r="C197" i="76"/>
  <c r="E197" i="76"/>
  <c r="D197" i="76"/>
  <c r="L197" i="76"/>
  <c r="K197" i="76"/>
  <c r="F299" i="76"/>
  <c r="E299" i="76"/>
  <c r="K299" i="76"/>
  <c r="C299" i="76"/>
  <c r="H299" i="76"/>
  <c r="L299" i="76"/>
  <c r="J299" i="76"/>
  <c r="I299" i="76"/>
  <c r="G299" i="76"/>
  <c r="D299" i="76"/>
  <c r="F309" i="76"/>
  <c r="E309" i="76"/>
  <c r="K309" i="76"/>
  <c r="C309" i="76"/>
  <c r="H309" i="76"/>
  <c r="L309" i="76"/>
  <c r="J309" i="76"/>
  <c r="I309" i="76"/>
  <c r="G309" i="76"/>
  <c r="D309" i="76"/>
  <c r="H313" i="76"/>
  <c r="G313" i="76"/>
  <c r="E313" i="76"/>
  <c r="J313" i="76"/>
  <c r="L313" i="76"/>
  <c r="K313" i="76"/>
  <c r="I313" i="76"/>
  <c r="F313" i="76"/>
  <c r="D313" i="76"/>
  <c r="C313" i="76"/>
  <c r="I280" i="76"/>
  <c r="G280" i="76"/>
  <c r="H280" i="76"/>
  <c r="F280" i="76"/>
  <c r="E280" i="76"/>
  <c r="D280" i="76"/>
  <c r="C280" i="76"/>
  <c r="L280" i="76"/>
  <c r="K280" i="76"/>
  <c r="J280" i="76"/>
  <c r="L265" i="76"/>
  <c r="D265" i="76"/>
  <c r="K265" i="76"/>
  <c r="C265" i="76"/>
  <c r="I265" i="76"/>
  <c r="H265" i="76"/>
  <c r="G265" i="76"/>
  <c r="E265" i="76"/>
  <c r="F265" i="76"/>
  <c r="J265" i="76"/>
  <c r="H278" i="76"/>
  <c r="F278" i="76"/>
  <c r="J278" i="76"/>
  <c r="I278" i="76"/>
  <c r="G278" i="76"/>
  <c r="E278" i="76"/>
  <c r="D278" i="76"/>
  <c r="L278" i="76"/>
  <c r="K278" i="76"/>
  <c r="C278" i="76"/>
  <c r="E243" i="76"/>
  <c r="D243" i="76"/>
  <c r="J243" i="76"/>
  <c r="L243" i="76"/>
  <c r="K243" i="76"/>
  <c r="I243" i="76"/>
  <c r="H243" i="76"/>
  <c r="G243" i="76"/>
  <c r="F243" i="76"/>
  <c r="C243" i="76"/>
  <c r="F171" i="76"/>
  <c r="G171" i="76"/>
  <c r="E171" i="76"/>
  <c r="D171" i="76"/>
  <c r="L171" i="76"/>
  <c r="C171" i="76"/>
  <c r="K171" i="76"/>
  <c r="J171" i="76"/>
  <c r="I171" i="76"/>
  <c r="H171" i="76"/>
  <c r="I234" i="76"/>
  <c r="F234" i="76"/>
  <c r="D234" i="76"/>
  <c r="C234" i="76"/>
  <c r="L234" i="76"/>
  <c r="K234" i="76"/>
  <c r="J234" i="76"/>
  <c r="H234" i="76"/>
  <c r="G234" i="76"/>
  <c r="E234" i="76"/>
  <c r="F195" i="76"/>
  <c r="I195" i="76"/>
  <c r="L195" i="76"/>
  <c r="K195" i="76"/>
  <c r="J195" i="76"/>
  <c r="E195" i="76"/>
  <c r="H195" i="76"/>
  <c r="G195" i="76"/>
  <c r="D195" i="76"/>
  <c r="C195" i="76"/>
  <c r="N167" i="76"/>
  <c r="E174" i="76"/>
  <c r="J174" i="76"/>
  <c r="L174" i="76"/>
  <c r="K174" i="76"/>
  <c r="I174" i="76"/>
  <c r="H174" i="76"/>
  <c r="G174" i="76"/>
  <c r="F174" i="76"/>
  <c r="D174" i="76"/>
  <c r="C174" i="76"/>
  <c r="O148" i="79" l="1"/>
  <c r="T35" i="79"/>
  <c r="T36" i="79" s="1"/>
  <c r="T37" i="79" s="1"/>
  <c r="T38" i="79" s="1"/>
  <c r="T39" i="79" s="1"/>
  <c r="T40" i="79" s="1"/>
  <c r="T41" i="79" s="1"/>
  <c r="T42" i="79" s="1"/>
  <c r="T43" i="79" s="1"/>
  <c r="T44" i="79" s="1"/>
  <c r="T45" i="79" s="1"/>
  <c r="O300" i="79"/>
  <c r="I242" i="79"/>
  <c r="H242" i="79"/>
  <c r="K242" i="79"/>
  <c r="L242" i="79"/>
  <c r="D242" i="79"/>
  <c r="C242" i="79"/>
  <c r="E242" i="79"/>
  <c r="G242" i="79"/>
  <c r="F242" i="79"/>
  <c r="J242" i="79"/>
  <c r="N243" i="79"/>
  <c r="M244" i="79"/>
  <c r="L209" i="79"/>
  <c r="K209" i="79"/>
  <c r="J209" i="79"/>
  <c r="I209" i="79"/>
  <c r="H209" i="79"/>
  <c r="G209" i="79"/>
  <c r="F209" i="79"/>
  <c r="E209" i="79"/>
  <c r="D209" i="79"/>
  <c r="C209" i="79"/>
  <c r="L208" i="79"/>
  <c r="K208" i="79"/>
  <c r="J208" i="79"/>
  <c r="I208" i="79"/>
  <c r="H208" i="79"/>
  <c r="G208" i="79"/>
  <c r="F208" i="79"/>
  <c r="E208" i="79"/>
  <c r="D208" i="79"/>
  <c r="C208" i="79"/>
  <c r="L207" i="79"/>
  <c r="K207" i="79"/>
  <c r="J207" i="79"/>
  <c r="I207" i="79"/>
  <c r="H207" i="79"/>
  <c r="G207" i="79"/>
  <c r="F207" i="79"/>
  <c r="E207" i="79"/>
  <c r="D207" i="79"/>
  <c r="C207" i="79"/>
  <c r="L206" i="79"/>
  <c r="K206" i="79"/>
  <c r="J206" i="79"/>
  <c r="I206" i="79"/>
  <c r="H206" i="79"/>
  <c r="G206" i="79"/>
  <c r="F206" i="79"/>
  <c r="E206" i="79"/>
  <c r="D206" i="79"/>
  <c r="C206" i="79"/>
  <c r="L205" i="79"/>
  <c r="K205" i="79"/>
  <c r="J205" i="79"/>
  <c r="I205" i="79"/>
  <c r="H205" i="79"/>
  <c r="G205" i="79"/>
  <c r="F205" i="79"/>
  <c r="E205" i="79"/>
  <c r="D205" i="79"/>
  <c r="C205" i="79"/>
  <c r="L204" i="79"/>
  <c r="K204" i="79"/>
  <c r="J204" i="79"/>
  <c r="I204" i="79"/>
  <c r="H204" i="79"/>
  <c r="G204" i="79"/>
  <c r="F204" i="79"/>
  <c r="E204" i="79"/>
  <c r="D204" i="79"/>
  <c r="C204" i="79"/>
  <c r="L203" i="79"/>
  <c r="K203" i="79"/>
  <c r="J203" i="79"/>
  <c r="I203" i="79"/>
  <c r="H203" i="79"/>
  <c r="G203" i="79"/>
  <c r="F203" i="79"/>
  <c r="E203" i="79"/>
  <c r="D203" i="79"/>
  <c r="C203" i="79"/>
  <c r="L202" i="79"/>
  <c r="K202" i="79"/>
  <c r="J202" i="79"/>
  <c r="I202" i="79"/>
  <c r="H202" i="79"/>
  <c r="G202" i="79"/>
  <c r="F202" i="79"/>
  <c r="E202" i="79"/>
  <c r="D202" i="79"/>
  <c r="C202" i="79"/>
  <c r="L199" i="79"/>
  <c r="K199" i="79"/>
  <c r="J199" i="79"/>
  <c r="I199" i="79"/>
  <c r="H199" i="79"/>
  <c r="G199" i="79"/>
  <c r="F199" i="79"/>
  <c r="E199" i="79"/>
  <c r="D199" i="79"/>
  <c r="C199" i="79"/>
  <c r="L198" i="79"/>
  <c r="K198" i="79"/>
  <c r="J198" i="79"/>
  <c r="I198" i="79"/>
  <c r="H198" i="79"/>
  <c r="G198" i="79"/>
  <c r="F198" i="79"/>
  <c r="E198" i="79"/>
  <c r="D198" i="79"/>
  <c r="C198" i="79"/>
  <c r="L197" i="79"/>
  <c r="K197" i="79"/>
  <c r="J197" i="79"/>
  <c r="I197" i="79"/>
  <c r="H197" i="79"/>
  <c r="G197" i="79"/>
  <c r="F197" i="79"/>
  <c r="E197" i="79"/>
  <c r="D197" i="79"/>
  <c r="C197" i="79"/>
  <c r="L196" i="79"/>
  <c r="K196" i="79"/>
  <c r="J196" i="79"/>
  <c r="I196" i="79"/>
  <c r="H196" i="79"/>
  <c r="G196" i="79"/>
  <c r="F196" i="79"/>
  <c r="E196" i="79"/>
  <c r="D196" i="79"/>
  <c r="C196" i="79"/>
  <c r="L195" i="79"/>
  <c r="K195" i="79"/>
  <c r="J195" i="79"/>
  <c r="I195" i="79"/>
  <c r="H195" i="79"/>
  <c r="G195" i="79"/>
  <c r="F195" i="79"/>
  <c r="E195" i="79"/>
  <c r="D195" i="79"/>
  <c r="C195" i="79"/>
  <c r="L194" i="79"/>
  <c r="K194" i="79"/>
  <c r="J194" i="79"/>
  <c r="I194" i="79"/>
  <c r="H194" i="79"/>
  <c r="G194" i="79"/>
  <c r="F194" i="79"/>
  <c r="E194" i="79"/>
  <c r="D194" i="79"/>
  <c r="C194" i="79"/>
  <c r="L193" i="79"/>
  <c r="K193" i="79"/>
  <c r="J193" i="79"/>
  <c r="I193" i="79"/>
  <c r="H193" i="79"/>
  <c r="G193" i="79"/>
  <c r="F193" i="79"/>
  <c r="E193" i="79"/>
  <c r="D193" i="79"/>
  <c r="C193" i="79"/>
  <c r="L192" i="79"/>
  <c r="K192" i="79"/>
  <c r="J192" i="79"/>
  <c r="I192" i="79"/>
  <c r="H192" i="79"/>
  <c r="G192" i="79"/>
  <c r="F192" i="79"/>
  <c r="E192" i="79"/>
  <c r="D192" i="79"/>
  <c r="C192" i="79"/>
  <c r="J186" i="79"/>
  <c r="H186" i="79"/>
  <c r="C186" i="79"/>
  <c r="F186" i="79"/>
  <c r="K186" i="79"/>
  <c r="G186" i="79"/>
  <c r="I186" i="79"/>
  <c r="D186" i="79"/>
  <c r="L186" i="79"/>
  <c r="E186" i="79"/>
  <c r="K184" i="79"/>
  <c r="G184" i="79"/>
  <c r="I184" i="79"/>
  <c r="H184" i="79"/>
  <c r="C184" i="79"/>
  <c r="J184" i="79"/>
  <c r="F184" i="79"/>
  <c r="L184" i="79"/>
  <c r="D184" i="79"/>
  <c r="E184" i="79"/>
  <c r="K174" i="79"/>
  <c r="I174" i="79"/>
  <c r="F174" i="79"/>
  <c r="E174" i="79"/>
  <c r="D174" i="79"/>
  <c r="L174" i="79"/>
  <c r="H174" i="79"/>
  <c r="J174" i="79"/>
  <c r="G174" i="79"/>
  <c r="C174" i="79"/>
  <c r="J173" i="79"/>
  <c r="G173" i="79"/>
  <c r="D173" i="79"/>
  <c r="K173" i="79"/>
  <c r="H173" i="79"/>
  <c r="F173" i="79"/>
  <c r="C173" i="79"/>
  <c r="L173" i="79"/>
  <c r="I173" i="79"/>
  <c r="E173" i="79"/>
  <c r="E172" i="79"/>
  <c r="D172" i="79"/>
  <c r="H172" i="79"/>
  <c r="K172" i="79"/>
  <c r="I172" i="79"/>
  <c r="F172" i="79"/>
  <c r="C172" i="79"/>
  <c r="G172" i="79"/>
  <c r="J172" i="79"/>
  <c r="L172" i="79"/>
  <c r="L167" i="79"/>
  <c r="J167" i="79"/>
  <c r="H167" i="79"/>
  <c r="E167" i="79"/>
  <c r="F167" i="79"/>
  <c r="D167" i="79"/>
  <c r="I167" i="79"/>
  <c r="K167" i="79"/>
  <c r="G167" i="79"/>
  <c r="C167" i="79"/>
  <c r="L162" i="79"/>
  <c r="F162" i="79"/>
  <c r="D162" i="79"/>
  <c r="G162" i="79"/>
  <c r="J162" i="79"/>
  <c r="C162" i="79"/>
  <c r="E162" i="79"/>
  <c r="K162" i="79"/>
  <c r="H162" i="79"/>
  <c r="I162" i="79"/>
  <c r="L267" i="79"/>
  <c r="H267" i="79"/>
  <c r="E267" i="79"/>
  <c r="K267" i="79"/>
  <c r="C267" i="79"/>
  <c r="I267" i="79"/>
  <c r="F267" i="79"/>
  <c r="J267" i="79"/>
  <c r="G267" i="79"/>
  <c r="D267" i="79"/>
  <c r="N268" i="79"/>
  <c r="M269" i="79"/>
  <c r="N269" i="79" s="1"/>
  <c r="L263" i="79"/>
  <c r="G263" i="79"/>
  <c r="C263" i="79"/>
  <c r="E263" i="79"/>
  <c r="J263" i="79"/>
  <c r="F263" i="79"/>
  <c r="H263" i="79"/>
  <c r="K263" i="79"/>
  <c r="I263" i="79"/>
  <c r="D263" i="79"/>
  <c r="G176" i="79"/>
  <c r="D176" i="79"/>
  <c r="F176" i="79"/>
  <c r="C176" i="79"/>
  <c r="L176" i="79"/>
  <c r="I176" i="79"/>
  <c r="E176" i="79"/>
  <c r="K176" i="79"/>
  <c r="H176" i="79"/>
  <c r="J176" i="79"/>
  <c r="L188" i="79"/>
  <c r="K188" i="79"/>
  <c r="I188" i="79"/>
  <c r="G188" i="79"/>
  <c r="E188" i="79"/>
  <c r="C188" i="79"/>
  <c r="J188" i="79"/>
  <c r="H188" i="79"/>
  <c r="F188" i="79"/>
  <c r="D188" i="79"/>
  <c r="E168" i="79"/>
  <c r="L168" i="79"/>
  <c r="J168" i="79"/>
  <c r="G168" i="79"/>
  <c r="I168" i="79"/>
  <c r="D168" i="79"/>
  <c r="C168" i="79"/>
  <c r="H168" i="79"/>
  <c r="F168" i="79"/>
  <c r="K168" i="79"/>
  <c r="F164" i="79"/>
  <c r="K164" i="79"/>
  <c r="G164" i="79"/>
  <c r="C164" i="79"/>
  <c r="J164" i="79"/>
  <c r="D164" i="79"/>
  <c r="L164" i="79"/>
  <c r="H164" i="79"/>
  <c r="E164" i="79"/>
  <c r="I164" i="79"/>
  <c r="J266" i="79"/>
  <c r="H266" i="79"/>
  <c r="K266" i="79"/>
  <c r="F266" i="79"/>
  <c r="D266" i="79"/>
  <c r="G266" i="79"/>
  <c r="E266" i="79"/>
  <c r="C266" i="79"/>
  <c r="L266" i="79"/>
  <c r="I266" i="79"/>
  <c r="L222" i="79"/>
  <c r="K222" i="79"/>
  <c r="J222" i="79"/>
  <c r="I222" i="79"/>
  <c r="H222" i="79"/>
  <c r="G222" i="79"/>
  <c r="F222" i="79"/>
  <c r="E222" i="79"/>
  <c r="D222" i="79"/>
  <c r="C222" i="79"/>
  <c r="L216" i="79"/>
  <c r="K216" i="79"/>
  <c r="J216" i="79"/>
  <c r="I216" i="79"/>
  <c r="H216" i="79"/>
  <c r="G216" i="79"/>
  <c r="F216" i="79"/>
  <c r="E216" i="79"/>
  <c r="D216" i="79"/>
  <c r="C216" i="79"/>
  <c r="L214" i="79"/>
  <c r="K214" i="79"/>
  <c r="J214" i="79"/>
  <c r="I214" i="79"/>
  <c r="H214" i="79"/>
  <c r="G214" i="79"/>
  <c r="F214" i="79"/>
  <c r="E214" i="79"/>
  <c r="D214" i="79"/>
  <c r="C214" i="79"/>
  <c r="L212" i="79"/>
  <c r="K212" i="79"/>
  <c r="J212" i="79"/>
  <c r="I212" i="79"/>
  <c r="H212" i="79"/>
  <c r="G212" i="79"/>
  <c r="F212" i="79"/>
  <c r="E212" i="79"/>
  <c r="D212" i="79"/>
  <c r="C212" i="79"/>
  <c r="K265" i="79"/>
  <c r="D265" i="79"/>
  <c r="I265" i="79"/>
  <c r="G265" i="79"/>
  <c r="E265" i="79"/>
  <c r="C265" i="79"/>
  <c r="L265" i="79"/>
  <c r="J265" i="79"/>
  <c r="F265" i="79"/>
  <c r="H265" i="79"/>
  <c r="J253" i="79"/>
  <c r="E253" i="79"/>
  <c r="F253" i="79"/>
  <c r="L253" i="79"/>
  <c r="G253" i="79"/>
  <c r="I253" i="79"/>
  <c r="D253" i="79"/>
  <c r="K253" i="79"/>
  <c r="C253" i="79"/>
  <c r="H253" i="79"/>
  <c r="D175" i="79"/>
  <c r="L175" i="79"/>
  <c r="J175" i="79"/>
  <c r="I175" i="79"/>
  <c r="C175" i="79"/>
  <c r="K175" i="79"/>
  <c r="H175" i="79"/>
  <c r="F175" i="79"/>
  <c r="E175" i="79"/>
  <c r="G175" i="79"/>
  <c r="L227" i="79"/>
  <c r="K227" i="79"/>
  <c r="J227" i="79"/>
  <c r="I227" i="79"/>
  <c r="H227" i="79"/>
  <c r="G227" i="79"/>
  <c r="F227" i="79"/>
  <c r="E227" i="79"/>
  <c r="D227" i="79"/>
  <c r="C227" i="79"/>
  <c r="G262" i="79"/>
  <c r="L262" i="79"/>
  <c r="E262" i="79"/>
  <c r="K262" i="79"/>
  <c r="H262" i="79"/>
  <c r="J262" i="79"/>
  <c r="C262" i="79"/>
  <c r="I262" i="79"/>
  <c r="D262" i="79"/>
  <c r="F262" i="79"/>
  <c r="E187" i="79"/>
  <c r="D187" i="79"/>
  <c r="F187" i="79"/>
  <c r="J187" i="79"/>
  <c r="G187" i="79"/>
  <c r="L187" i="79"/>
  <c r="K187" i="79"/>
  <c r="I187" i="79"/>
  <c r="H187" i="79"/>
  <c r="C187" i="79"/>
  <c r="L169" i="79"/>
  <c r="G169" i="79"/>
  <c r="J169" i="79"/>
  <c r="F169" i="79"/>
  <c r="D169" i="79"/>
  <c r="I169" i="79"/>
  <c r="K169" i="79"/>
  <c r="H169" i="79"/>
  <c r="E169" i="79"/>
  <c r="C169" i="79"/>
  <c r="J255" i="79"/>
  <c r="H255" i="79"/>
  <c r="D255" i="79"/>
  <c r="K255" i="79"/>
  <c r="G255" i="79"/>
  <c r="I255" i="79"/>
  <c r="F255" i="79"/>
  <c r="C255" i="79"/>
  <c r="L255" i="79"/>
  <c r="E255" i="79"/>
  <c r="J254" i="79"/>
  <c r="E254" i="79"/>
  <c r="K254" i="79"/>
  <c r="G254" i="79"/>
  <c r="D254" i="79"/>
  <c r="H254" i="79"/>
  <c r="I254" i="79"/>
  <c r="C254" i="79"/>
  <c r="L254" i="79"/>
  <c r="F254" i="79"/>
  <c r="H177" i="79"/>
  <c r="J177" i="79"/>
  <c r="F177" i="79"/>
  <c r="K177" i="79"/>
  <c r="E177" i="79"/>
  <c r="C177" i="79"/>
  <c r="L177" i="79"/>
  <c r="I177" i="79"/>
  <c r="D177" i="79"/>
  <c r="G177" i="79"/>
  <c r="K165" i="79"/>
  <c r="J165" i="79"/>
  <c r="G165" i="79"/>
  <c r="I165" i="79"/>
  <c r="F165" i="79"/>
  <c r="D165" i="79"/>
  <c r="C165" i="79"/>
  <c r="L165" i="79"/>
  <c r="H165" i="79"/>
  <c r="E165" i="79"/>
  <c r="G252" i="79"/>
  <c r="C252" i="79"/>
  <c r="J252" i="79"/>
  <c r="L252" i="79"/>
  <c r="D252" i="79"/>
  <c r="I252" i="79"/>
  <c r="E252" i="79"/>
  <c r="K252" i="79"/>
  <c r="H252" i="79"/>
  <c r="F252" i="79"/>
  <c r="L166" i="79"/>
  <c r="E166" i="79"/>
  <c r="C166" i="79"/>
  <c r="K166" i="79"/>
  <c r="G166" i="79"/>
  <c r="I166" i="79"/>
  <c r="F166" i="79"/>
  <c r="J166" i="79"/>
  <c r="H166" i="79"/>
  <c r="D166" i="79"/>
  <c r="K258" i="79"/>
  <c r="G258" i="79"/>
  <c r="I258" i="79"/>
  <c r="F258" i="79"/>
  <c r="C258" i="79"/>
  <c r="L258" i="79"/>
  <c r="J258" i="79"/>
  <c r="H258" i="79"/>
  <c r="E258" i="79"/>
  <c r="D258" i="79"/>
  <c r="J257" i="79"/>
  <c r="F257" i="79"/>
  <c r="C257" i="79"/>
  <c r="I257" i="79"/>
  <c r="G257" i="79"/>
  <c r="D257" i="79"/>
  <c r="K257" i="79"/>
  <c r="H257" i="79"/>
  <c r="L257" i="79"/>
  <c r="E257" i="79"/>
  <c r="E259" i="79"/>
  <c r="L259" i="79"/>
  <c r="H259" i="79"/>
  <c r="D259" i="79"/>
  <c r="K259" i="79"/>
  <c r="J259" i="79"/>
  <c r="G259" i="79"/>
  <c r="C259" i="79"/>
  <c r="I259" i="79"/>
  <c r="F259" i="79"/>
  <c r="L239" i="79"/>
  <c r="K239" i="79"/>
  <c r="J239" i="79"/>
  <c r="I239" i="79"/>
  <c r="H239" i="79"/>
  <c r="G239" i="79"/>
  <c r="F239" i="79"/>
  <c r="E239" i="79"/>
  <c r="D239" i="79"/>
  <c r="C239" i="79"/>
  <c r="L238" i="79"/>
  <c r="K238" i="79"/>
  <c r="J238" i="79"/>
  <c r="I238" i="79"/>
  <c r="H238" i="79"/>
  <c r="G238" i="79"/>
  <c r="F238" i="79"/>
  <c r="E238" i="79"/>
  <c r="D238" i="79"/>
  <c r="C238" i="79"/>
  <c r="L237" i="79"/>
  <c r="K237" i="79"/>
  <c r="J237" i="79"/>
  <c r="I237" i="79"/>
  <c r="H237" i="79"/>
  <c r="G237" i="79"/>
  <c r="F237" i="79"/>
  <c r="E237" i="79"/>
  <c r="D237" i="79"/>
  <c r="C237" i="79"/>
  <c r="L236" i="79"/>
  <c r="K236" i="79"/>
  <c r="J236" i="79"/>
  <c r="I236" i="79"/>
  <c r="H236" i="79"/>
  <c r="G236" i="79"/>
  <c r="F236" i="79"/>
  <c r="E236" i="79"/>
  <c r="D236" i="79"/>
  <c r="C236" i="79"/>
  <c r="L235" i="79"/>
  <c r="K235" i="79"/>
  <c r="J235" i="79"/>
  <c r="I235" i="79"/>
  <c r="H235" i="79"/>
  <c r="G235" i="79"/>
  <c r="F235" i="79"/>
  <c r="E235" i="79"/>
  <c r="D235" i="79"/>
  <c r="C235" i="79"/>
  <c r="L234" i="79"/>
  <c r="K234" i="79"/>
  <c r="J234" i="79"/>
  <c r="I234" i="79"/>
  <c r="H234" i="79"/>
  <c r="G234" i="79"/>
  <c r="F234" i="79"/>
  <c r="E234" i="79"/>
  <c r="D234" i="79"/>
  <c r="C234" i="79"/>
  <c r="L233" i="79"/>
  <c r="K233" i="79"/>
  <c r="J233" i="79"/>
  <c r="I233" i="79"/>
  <c r="H233" i="79"/>
  <c r="G233" i="79"/>
  <c r="F233" i="79"/>
  <c r="E233" i="79"/>
  <c r="D233" i="79"/>
  <c r="C233" i="79"/>
  <c r="L232" i="79"/>
  <c r="K232" i="79"/>
  <c r="J232" i="79"/>
  <c r="I232" i="79"/>
  <c r="H232" i="79"/>
  <c r="G232" i="79"/>
  <c r="F232" i="79"/>
  <c r="E232" i="79"/>
  <c r="D232" i="79"/>
  <c r="C232" i="79"/>
  <c r="L229" i="79"/>
  <c r="K229" i="79"/>
  <c r="J229" i="79"/>
  <c r="I229" i="79"/>
  <c r="H229" i="79"/>
  <c r="G229" i="79"/>
  <c r="F229" i="79"/>
  <c r="E229" i="79"/>
  <c r="D229" i="79"/>
  <c r="C229" i="79"/>
  <c r="L228" i="79"/>
  <c r="K228" i="79"/>
  <c r="J228" i="79"/>
  <c r="I228" i="79"/>
  <c r="H228" i="79"/>
  <c r="G228" i="79"/>
  <c r="F228" i="79"/>
  <c r="E228" i="79"/>
  <c r="D228" i="79"/>
  <c r="C228" i="79"/>
  <c r="L226" i="79"/>
  <c r="K226" i="79"/>
  <c r="J226" i="79"/>
  <c r="I226" i="79"/>
  <c r="H226" i="79"/>
  <c r="G226" i="79"/>
  <c r="F226" i="79"/>
  <c r="E226" i="79"/>
  <c r="D226" i="79"/>
  <c r="C226" i="79"/>
  <c r="L225" i="79"/>
  <c r="K225" i="79"/>
  <c r="J225" i="79"/>
  <c r="I225" i="79"/>
  <c r="H225" i="79"/>
  <c r="G225" i="79"/>
  <c r="F225" i="79"/>
  <c r="E225" i="79"/>
  <c r="D225" i="79"/>
  <c r="C225" i="79"/>
  <c r="L224" i="79"/>
  <c r="K224" i="79"/>
  <c r="J224" i="79"/>
  <c r="I224" i="79"/>
  <c r="H224" i="79"/>
  <c r="G224" i="79"/>
  <c r="F224" i="79"/>
  <c r="E224" i="79"/>
  <c r="D224" i="79"/>
  <c r="C224" i="79"/>
  <c r="L223" i="79"/>
  <c r="K223" i="79"/>
  <c r="J223" i="79"/>
  <c r="I223" i="79"/>
  <c r="H223" i="79"/>
  <c r="G223" i="79"/>
  <c r="F223" i="79"/>
  <c r="E223" i="79"/>
  <c r="D223" i="79"/>
  <c r="C223" i="79"/>
  <c r="L219" i="79"/>
  <c r="K219" i="79"/>
  <c r="J219" i="79"/>
  <c r="I219" i="79"/>
  <c r="H219" i="79"/>
  <c r="G219" i="79"/>
  <c r="F219" i="79"/>
  <c r="E219" i="79"/>
  <c r="D219" i="79"/>
  <c r="C219" i="79"/>
  <c r="L218" i="79"/>
  <c r="K218" i="79"/>
  <c r="J218" i="79"/>
  <c r="I218" i="79"/>
  <c r="H218" i="79"/>
  <c r="G218" i="79"/>
  <c r="F218" i="79"/>
  <c r="E218" i="79"/>
  <c r="D218" i="79"/>
  <c r="C218" i="79"/>
  <c r="L217" i="79"/>
  <c r="K217" i="79"/>
  <c r="J217" i="79"/>
  <c r="I217" i="79"/>
  <c r="H217" i="79"/>
  <c r="G217" i="79"/>
  <c r="F217" i="79"/>
  <c r="E217" i="79"/>
  <c r="D217" i="79"/>
  <c r="C217" i="79"/>
  <c r="L215" i="79"/>
  <c r="K215" i="79"/>
  <c r="J215" i="79"/>
  <c r="I215" i="79"/>
  <c r="H215" i="79"/>
  <c r="G215" i="79"/>
  <c r="F215" i="79"/>
  <c r="E215" i="79"/>
  <c r="D215" i="79"/>
  <c r="C215" i="79"/>
  <c r="L213" i="79"/>
  <c r="K213" i="79"/>
  <c r="J213" i="79"/>
  <c r="I213" i="79"/>
  <c r="H213" i="79"/>
  <c r="G213" i="79"/>
  <c r="F213" i="79"/>
  <c r="E213" i="79"/>
  <c r="D213" i="79"/>
  <c r="C213" i="79"/>
  <c r="K256" i="79"/>
  <c r="D256" i="79"/>
  <c r="I256" i="79"/>
  <c r="L256" i="79"/>
  <c r="E256" i="79"/>
  <c r="H256" i="79"/>
  <c r="F256" i="79"/>
  <c r="J256" i="79"/>
  <c r="G256" i="79"/>
  <c r="C256" i="79"/>
  <c r="I189" i="79"/>
  <c r="F189" i="79"/>
  <c r="C189" i="79"/>
  <c r="D189" i="79"/>
  <c r="H189" i="79"/>
  <c r="K189" i="79"/>
  <c r="J189" i="79"/>
  <c r="E189" i="79"/>
  <c r="L189" i="79"/>
  <c r="G189" i="79"/>
  <c r="D178" i="79"/>
  <c r="K178" i="79"/>
  <c r="G178" i="79"/>
  <c r="C178" i="79"/>
  <c r="J178" i="79"/>
  <c r="L178" i="79"/>
  <c r="H178" i="79"/>
  <c r="E178" i="79"/>
  <c r="I178" i="79"/>
  <c r="F178" i="79"/>
  <c r="O290" i="79"/>
  <c r="O270" i="79"/>
  <c r="O320" i="79"/>
  <c r="O310" i="79"/>
  <c r="O280" i="79"/>
  <c r="O497" i="75"/>
  <c r="C223" i="76"/>
  <c r="K223" i="76"/>
  <c r="J223" i="76"/>
  <c r="I223" i="76"/>
  <c r="H223" i="76"/>
  <c r="E223" i="76"/>
  <c r="F223" i="76"/>
  <c r="G223" i="76"/>
  <c r="D223" i="76"/>
  <c r="L223" i="76"/>
  <c r="O467" i="73"/>
  <c r="O467" i="75"/>
  <c r="O477" i="75"/>
  <c r="O477" i="73"/>
  <c r="O487" i="75"/>
  <c r="O457" i="73"/>
  <c r="O457" i="75"/>
  <c r="O497" i="73"/>
  <c r="O487" i="73"/>
  <c r="O377" i="73"/>
  <c r="O427" i="73"/>
  <c r="O367" i="73"/>
  <c r="O337" i="73"/>
  <c r="O337" i="75"/>
  <c r="O377" i="75"/>
  <c r="O357" i="73"/>
  <c r="O347" i="73"/>
  <c r="O437" i="75"/>
  <c r="O407" i="73"/>
  <c r="O407" i="75"/>
  <c r="O347" i="75"/>
  <c r="O325" i="73"/>
  <c r="O357" i="75"/>
  <c r="O325" i="75"/>
  <c r="H208" i="76"/>
  <c r="O437" i="73"/>
  <c r="T27" i="76"/>
  <c r="T28" i="76" s="1"/>
  <c r="T29" i="76" s="1"/>
  <c r="T30" i="76" s="1"/>
  <c r="T31" i="76" s="1"/>
  <c r="T32" i="76" s="1"/>
  <c r="T33" i="76" s="1"/>
  <c r="T34" i="76" s="1"/>
  <c r="T35" i="76" s="1"/>
  <c r="T36" i="76" s="1"/>
  <c r="T37" i="76" s="1"/>
  <c r="T38" i="76" s="1"/>
  <c r="T39" i="76" s="1"/>
  <c r="T40" i="76" s="1"/>
  <c r="T41" i="76" s="1"/>
  <c r="T42" i="76" s="1"/>
  <c r="T43" i="76" s="1"/>
  <c r="T44" i="76" s="1"/>
  <c r="T45" i="76" s="1"/>
  <c r="F164" i="76"/>
  <c r="H164" i="76"/>
  <c r="O417" i="73"/>
  <c r="O447" i="75"/>
  <c r="C164" i="76"/>
  <c r="K164" i="76"/>
  <c r="O417" i="75"/>
  <c r="O387" i="75"/>
  <c r="I168" i="76"/>
  <c r="C168" i="76"/>
  <c r="I166" i="76"/>
  <c r="K168" i="76"/>
  <c r="L166" i="76"/>
  <c r="O387" i="73"/>
  <c r="H168" i="76"/>
  <c r="O397" i="73"/>
  <c r="L208" i="76"/>
  <c r="O447" i="73"/>
  <c r="O427" i="75"/>
  <c r="O367" i="75"/>
  <c r="C208" i="76"/>
  <c r="O397" i="75"/>
  <c r="F168" i="76"/>
  <c r="G164" i="76"/>
  <c r="E208" i="76"/>
  <c r="I164" i="76"/>
  <c r="J164" i="76"/>
  <c r="D208" i="76"/>
  <c r="I165" i="76"/>
  <c r="K165" i="76"/>
  <c r="H165" i="76"/>
  <c r="J168" i="76"/>
  <c r="D168" i="76"/>
  <c r="L168" i="76"/>
  <c r="L164" i="76"/>
  <c r="E168" i="76"/>
  <c r="D164" i="76"/>
  <c r="E254" i="76"/>
  <c r="G208" i="76"/>
  <c r="O200" i="76" s="1"/>
  <c r="I208" i="76"/>
  <c r="J208" i="76"/>
  <c r="F208" i="76"/>
  <c r="J165" i="76"/>
  <c r="G165" i="76"/>
  <c r="C165" i="76"/>
  <c r="L165" i="76"/>
  <c r="D165" i="76"/>
  <c r="E165" i="76"/>
  <c r="C212" i="76"/>
  <c r="E212" i="76"/>
  <c r="J166" i="76"/>
  <c r="G212" i="76"/>
  <c r="D212" i="76"/>
  <c r="K212" i="76"/>
  <c r="D166" i="76"/>
  <c r="F212" i="76"/>
  <c r="H212" i="76"/>
  <c r="E166" i="76"/>
  <c r="I212" i="76"/>
  <c r="F166" i="76"/>
  <c r="C166" i="76"/>
  <c r="J212" i="76"/>
  <c r="G166" i="76"/>
  <c r="K166" i="76"/>
  <c r="J254" i="76"/>
  <c r="I254" i="76"/>
  <c r="L254" i="76"/>
  <c r="H254" i="76"/>
  <c r="O280" i="76"/>
  <c r="C254" i="76"/>
  <c r="D254" i="76"/>
  <c r="F254" i="76"/>
  <c r="O148" i="76"/>
  <c r="G254" i="76"/>
  <c r="O310" i="76"/>
  <c r="O300" i="76"/>
  <c r="O320" i="76"/>
  <c r="O290" i="76"/>
  <c r="I175" i="76"/>
  <c r="F175" i="76"/>
  <c r="K175" i="76"/>
  <c r="J175" i="76"/>
  <c r="H175" i="76"/>
  <c r="G175" i="76"/>
  <c r="E175" i="76"/>
  <c r="D175" i="76"/>
  <c r="C175" i="76"/>
  <c r="L175" i="76"/>
  <c r="O230" i="76"/>
  <c r="M178" i="76"/>
  <c r="N177" i="76"/>
  <c r="O180" i="76"/>
  <c r="O260" i="76"/>
  <c r="M226" i="76"/>
  <c r="N225" i="76"/>
  <c r="L213" i="76"/>
  <c r="D213" i="76"/>
  <c r="H213" i="76"/>
  <c r="E213" i="76"/>
  <c r="K213" i="76"/>
  <c r="F213" i="76"/>
  <c r="C213" i="76"/>
  <c r="J213" i="76"/>
  <c r="I213" i="76"/>
  <c r="G213" i="76"/>
  <c r="O190" i="76"/>
  <c r="O240" i="76"/>
  <c r="M257" i="76"/>
  <c r="N256" i="76"/>
  <c r="J224" i="76"/>
  <c r="G224" i="76"/>
  <c r="I224" i="76"/>
  <c r="H224" i="76"/>
  <c r="F224" i="76"/>
  <c r="E224" i="76"/>
  <c r="D224" i="76"/>
  <c r="C224" i="76"/>
  <c r="L224" i="76"/>
  <c r="K224" i="76"/>
  <c r="G167" i="76"/>
  <c r="K167" i="76"/>
  <c r="J167" i="76"/>
  <c r="I167" i="76"/>
  <c r="H167" i="76"/>
  <c r="F167" i="76"/>
  <c r="E167" i="76"/>
  <c r="D167" i="76"/>
  <c r="L167" i="76"/>
  <c r="C167" i="76"/>
  <c r="L255" i="76"/>
  <c r="D255" i="76"/>
  <c r="F255" i="76"/>
  <c r="E255" i="76"/>
  <c r="K255" i="76"/>
  <c r="J255" i="76"/>
  <c r="H255" i="76"/>
  <c r="I255" i="76"/>
  <c r="G255" i="76"/>
  <c r="C255" i="76"/>
  <c r="N214" i="76"/>
  <c r="M215" i="76"/>
  <c r="O270" i="76"/>
  <c r="E176" i="76"/>
  <c r="J176" i="76"/>
  <c r="I176" i="76"/>
  <c r="H176" i="76"/>
  <c r="G176" i="76"/>
  <c r="F176" i="76"/>
  <c r="D176" i="76"/>
  <c r="C176" i="76"/>
  <c r="L176" i="76"/>
  <c r="K176" i="76"/>
  <c r="O230" i="79" l="1"/>
  <c r="O210" i="79"/>
  <c r="O200" i="79"/>
  <c r="O190" i="79"/>
  <c r="C243" i="79"/>
  <c r="F243" i="79"/>
  <c r="K243" i="79"/>
  <c r="E243" i="79"/>
  <c r="D243" i="79"/>
  <c r="G243" i="79"/>
  <c r="H243" i="79"/>
  <c r="I243" i="79"/>
  <c r="J243" i="79"/>
  <c r="L243" i="79"/>
  <c r="M245" i="79"/>
  <c r="N244" i="79"/>
  <c r="L268" i="79"/>
  <c r="H268" i="79"/>
  <c r="C268" i="79"/>
  <c r="K268" i="79"/>
  <c r="I268" i="79"/>
  <c r="F268" i="79"/>
  <c r="E268" i="79"/>
  <c r="J268" i="79"/>
  <c r="G268" i="79"/>
  <c r="D268" i="79"/>
  <c r="L269" i="79"/>
  <c r="J269" i="79"/>
  <c r="H269" i="79"/>
  <c r="D269" i="79"/>
  <c r="F269" i="79"/>
  <c r="K269" i="79"/>
  <c r="I269" i="79"/>
  <c r="E269" i="79"/>
  <c r="G269" i="79"/>
  <c r="C269" i="79"/>
  <c r="O180" i="79"/>
  <c r="O170" i="79"/>
  <c r="O220" i="79"/>
  <c r="O250" i="79"/>
  <c r="O160" i="79"/>
  <c r="O160" i="76"/>
  <c r="M258" i="76"/>
  <c r="N257" i="76"/>
  <c r="I177" i="76"/>
  <c r="F177" i="76"/>
  <c r="H177" i="76"/>
  <c r="G177" i="76"/>
  <c r="E177" i="76"/>
  <c r="D177" i="76"/>
  <c r="C177" i="76"/>
  <c r="L177" i="76"/>
  <c r="K177" i="76"/>
  <c r="J177" i="76"/>
  <c r="M179" i="76"/>
  <c r="N179" i="76" s="1"/>
  <c r="N178" i="76"/>
  <c r="F225" i="76"/>
  <c r="K225" i="76"/>
  <c r="C225" i="76"/>
  <c r="H225" i="76"/>
  <c r="G225" i="76"/>
  <c r="E225" i="76"/>
  <c r="D225" i="76"/>
  <c r="L225" i="76"/>
  <c r="J225" i="76"/>
  <c r="I225" i="76"/>
  <c r="M216" i="76"/>
  <c r="N215" i="76"/>
  <c r="M227" i="76"/>
  <c r="N226" i="76"/>
  <c r="H214" i="76"/>
  <c r="E214" i="76"/>
  <c r="K214" i="76"/>
  <c r="I214" i="76"/>
  <c r="G214" i="76"/>
  <c r="F214" i="76"/>
  <c r="D214" i="76"/>
  <c r="C214" i="76"/>
  <c r="L214" i="76"/>
  <c r="J214" i="76"/>
  <c r="H256" i="76"/>
  <c r="L256" i="76"/>
  <c r="C256" i="76"/>
  <c r="K256" i="76"/>
  <c r="I256" i="76"/>
  <c r="G256" i="76"/>
  <c r="E256" i="76"/>
  <c r="D256" i="76"/>
  <c r="J256" i="76"/>
  <c r="F256" i="76"/>
  <c r="M246" i="79" l="1"/>
  <c r="N245" i="79"/>
  <c r="F244" i="79"/>
  <c r="C244" i="79"/>
  <c r="E244" i="79"/>
  <c r="H244" i="79"/>
  <c r="G244" i="79"/>
  <c r="K244" i="79"/>
  <c r="D244" i="79"/>
  <c r="J244" i="79"/>
  <c r="L244" i="79"/>
  <c r="I244" i="79"/>
  <c r="O260" i="79"/>
  <c r="M228" i="76"/>
  <c r="N227" i="76"/>
  <c r="L215" i="76"/>
  <c r="D215" i="76"/>
  <c r="K215" i="76"/>
  <c r="H215" i="76"/>
  <c r="F215" i="76"/>
  <c r="J215" i="76"/>
  <c r="I215" i="76"/>
  <c r="G215" i="76"/>
  <c r="E215" i="76"/>
  <c r="C215" i="76"/>
  <c r="L257" i="76"/>
  <c r="D257" i="76"/>
  <c r="J257" i="76"/>
  <c r="I257" i="76"/>
  <c r="H257" i="76"/>
  <c r="F257" i="76"/>
  <c r="E257" i="76"/>
  <c r="K257" i="76"/>
  <c r="G257" i="76"/>
  <c r="C257" i="76"/>
  <c r="J226" i="76"/>
  <c r="G226" i="76"/>
  <c r="F226" i="76"/>
  <c r="E226" i="76"/>
  <c r="D226" i="76"/>
  <c r="C226" i="76"/>
  <c r="L226" i="76"/>
  <c r="K226" i="76"/>
  <c r="I226" i="76"/>
  <c r="H226" i="76"/>
  <c r="M217" i="76"/>
  <c r="N216" i="76"/>
  <c r="M259" i="76"/>
  <c r="N259" i="76" s="1"/>
  <c r="N258" i="76"/>
  <c r="E178" i="76"/>
  <c r="J178" i="76"/>
  <c r="G178" i="76"/>
  <c r="O170" i="76" s="1"/>
  <c r="F178" i="76"/>
  <c r="D178" i="76"/>
  <c r="C178" i="76"/>
  <c r="L178" i="76"/>
  <c r="K178" i="76"/>
  <c r="I178" i="76"/>
  <c r="H178" i="76"/>
  <c r="I179" i="76"/>
  <c r="F179" i="76"/>
  <c r="E179" i="76"/>
  <c r="D179" i="76"/>
  <c r="C179" i="76"/>
  <c r="L179" i="76"/>
  <c r="K179" i="76"/>
  <c r="J179" i="76"/>
  <c r="H179" i="76"/>
  <c r="G179" i="76"/>
  <c r="N246" i="79" l="1"/>
  <c r="M247" i="79"/>
  <c r="E245" i="79"/>
  <c r="G245" i="79"/>
  <c r="J245" i="79"/>
  <c r="F245" i="79"/>
  <c r="L245" i="79"/>
  <c r="C245" i="79"/>
  <c r="D245" i="79"/>
  <c r="H245" i="79"/>
  <c r="I245" i="79"/>
  <c r="K245" i="79"/>
  <c r="H258" i="76"/>
  <c r="F258" i="76"/>
  <c r="I258" i="76"/>
  <c r="G258" i="76"/>
  <c r="D258" i="76"/>
  <c r="C258" i="76"/>
  <c r="K258" i="76"/>
  <c r="E258" i="76"/>
  <c r="L258" i="76"/>
  <c r="J258" i="76"/>
  <c r="L259" i="76"/>
  <c r="D259" i="76"/>
  <c r="J259" i="76"/>
  <c r="G259" i="76"/>
  <c r="F259" i="76"/>
  <c r="C259" i="76"/>
  <c r="I259" i="76"/>
  <c r="K259" i="76"/>
  <c r="H259" i="76"/>
  <c r="E259" i="76"/>
  <c r="K216" i="76"/>
  <c r="C216" i="76"/>
  <c r="H216" i="76"/>
  <c r="J216" i="76"/>
  <c r="F216" i="76"/>
  <c r="D216" i="76"/>
  <c r="L216" i="76"/>
  <c r="I216" i="76"/>
  <c r="G216" i="76"/>
  <c r="E216" i="76"/>
  <c r="F227" i="76"/>
  <c r="K227" i="76"/>
  <c r="C227" i="76"/>
  <c r="E227" i="76"/>
  <c r="D227" i="76"/>
  <c r="L227" i="76"/>
  <c r="J227" i="76"/>
  <c r="I227" i="76"/>
  <c r="H227" i="76"/>
  <c r="G227" i="76"/>
  <c r="M218" i="76"/>
  <c r="N217" i="76"/>
  <c r="M229" i="76"/>
  <c r="N229" i="76" s="1"/>
  <c r="N228" i="76"/>
  <c r="C246" i="79" l="1"/>
  <c r="G246" i="79"/>
  <c r="K246" i="79"/>
  <c r="H246" i="79"/>
  <c r="E246" i="79"/>
  <c r="J246" i="79"/>
  <c r="F246" i="79"/>
  <c r="D246" i="79"/>
  <c r="I246" i="79"/>
  <c r="L246" i="79"/>
  <c r="N247" i="79"/>
  <c r="M248" i="79"/>
  <c r="O250" i="76"/>
  <c r="F229" i="76"/>
  <c r="K229" i="76"/>
  <c r="C229" i="76"/>
  <c r="L229" i="76"/>
  <c r="J229" i="76"/>
  <c r="I229" i="76"/>
  <c r="H229" i="76"/>
  <c r="G229" i="76"/>
  <c r="E229" i="76"/>
  <c r="D229" i="76"/>
  <c r="J228" i="76"/>
  <c r="G228" i="76"/>
  <c r="D228" i="76"/>
  <c r="C228" i="76"/>
  <c r="L228" i="76"/>
  <c r="K228" i="76"/>
  <c r="I228" i="76"/>
  <c r="H228" i="76"/>
  <c r="F228" i="76"/>
  <c r="E228" i="76"/>
  <c r="G217" i="76"/>
  <c r="L217" i="76"/>
  <c r="D217" i="76"/>
  <c r="I217" i="76"/>
  <c r="E217" i="76"/>
  <c r="C217" i="76"/>
  <c r="K217" i="76"/>
  <c r="J217" i="76"/>
  <c r="H217" i="76"/>
  <c r="F217" i="76"/>
  <c r="M219" i="76"/>
  <c r="N219" i="76" s="1"/>
  <c r="N218" i="76"/>
  <c r="H247" i="79" l="1"/>
  <c r="K247" i="79"/>
  <c r="I247" i="79"/>
  <c r="C247" i="79"/>
  <c r="E247" i="79"/>
  <c r="G247" i="79"/>
  <c r="L247" i="79"/>
  <c r="F247" i="79"/>
  <c r="D247" i="79"/>
  <c r="J247" i="79"/>
  <c r="N248" i="79"/>
  <c r="M249" i="79"/>
  <c r="N249" i="79" s="1"/>
  <c r="O220" i="76"/>
  <c r="K218" i="76"/>
  <c r="C218" i="76"/>
  <c r="H218" i="76"/>
  <c r="G218" i="76"/>
  <c r="D218" i="76"/>
  <c r="L218" i="76"/>
  <c r="J218" i="76"/>
  <c r="I218" i="76"/>
  <c r="F218" i="76"/>
  <c r="E218" i="76"/>
  <c r="G219" i="76"/>
  <c r="L219" i="76"/>
  <c r="D219" i="76"/>
  <c r="F219" i="76"/>
  <c r="K219" i="76"/>
  <c r="J219" i="76"/>
  <c r="I219" i="76"/>
  <c r="H219" i="76"/>
  <c r="E219" i="76"/>
  <c r="C219" i="76"/>
  <c r="C248" i="79" l="1"/>
  <c r="E248" i="79"/>
  <c r="G248" i="79"/>
  <c r="I248" i="79"/>
  <c r="K248" i="79"/>
  <c r="J248" i="79"/>
  <c r="D248" i="79"/>
  <c r="F248" i="79"/>
  <c r="H248" i="79"/>
  <c r="L248" i="79"/>
  <c r="G249" i="79"/>
  <c r="O240" i="79" s="1"/>
  <c r="H249" i="79"/>
  <c r="L249" i="79"/>
  <c r="E249" i="79"/>
  <c r="J249" i="79"/>
  <c r="C249" i="79"/>
  <c r="F249" i="79"/>
  <c r="D249" i="79"/>
  <c r="I249" i="79"/>
  <c r="K249" i="79"/>
  <c r="O210" i="76"/>
  <c r="R338" i="79" l="1"/>
  <c r="P330" i="79" s="1"/>
  <c r="R12" i="44"/>
  <c r="R11" i="44"/>
  <c r="R10" i="44"/>
  <c r="R9" i="44"/>
  <c r="R8" i="44"/>
  <c r="S2017" i="24"/>
  <c r="O2017" i="24"/>
  <c r="N2017" i="24"/>
  <c r="T2017" i="24" s="1"/>
  <c r="S2020" i="24"/>
  <c r="O2020" i="24"/>
  <c r="N2020" i="24"/>
  <c r="T2020" i="24" s="1"/>
  <c r="S2016" i="24"/>
  <c r="O2016" i="24"/>
  <c r="N2016" i="24"/>
  <c r="T2016" i="24" s="1"/>
  <c r="S2021" i="24"/>
  <c r="O2021" i="24"/>
  <c r="N2021" i="24"/>
  <c r="S2022" i="24"/>
  <c r="O2022" i="24"/>
  <c r="N2022" i="24"/>
  <c r="S2025" i="24"/>
  <c r="O2025" i="24"/>
  <c r="N2025" i="24"/>
  <c r="S2014" i="24"/>
  <c r="O2014" i="24"/>
  <c r="N2014" i="24"/>
  <c r="T2014" i="24" s="1"/>
  <c r="S2024" i="24"/>
  <c r="O2024" i="24"/>
  <c r="N2024" i="24"/>
  <c r="S2019" i="24"/>
  <c r="O2019" i="24"/>
  <c r="N2019" i="24"/>
  <c r="T2019" i="24" s="1"/>
  <c r="S2018" i="24"/>
  <c r="O2018" i="24"/>
  <c r="N2018" i="24"/>
  <c r="S2015" i="24"/>
  <c r="O2015" i="24"/>
  <c r="N2015" i="24"/>
  <c r="T2015" i="24" s="1"/>
  <c r="S2023" i="24"/>
  <c r="O2023" i="24"/>
  <c r="N2023" i="24"/>
  <c r="S2011" i="24"/>
  <c r="O2011" i="24"/>
  <c r="Q2011" i="24" s="1"/>
  <c r="N2011" i="24"/>
  <c r="S2006" i="24"/>
  <c r="O2006" i="24"/>
  <c r="P2006" i="24" s="1"/>
  <c r="N2006" i="24"/>
  <c r="S2005" i="24"/>
  <c r="O2005" i="24"/>
  <c r="P2005" i="24" s="1"/>
  <c r="N2005" i="24"/>
  <c r="S1996" i="24"/>
  <c r="O1996" i="24"/>
  <c r="R1996" i="24" s="1"/>
  <c r="N1996" i="24"/>
  <c r="S1997" i="24"/>
  <c r="O1997" i="24"/>
  <c r="Q1997" i="24" s="1"/>
  <c r="N1997" i="24"/>
  <c r="S2004" i="24"/>
  <c r="O2004" i="24"/>
  <c r="P2004" i="24" s="1"/>
  <c r="N2004" i="24"/>
  <c r="S2001" i="24"/>
  <c r="O2001" i="24"/>
  <c r="P2001" i="24" s="1"/>
  <c r="N2001" i="24"/>
  <c r="S2012" i="24"/>
  <c r="O2012" i="24"/>
  <c r="R2012" i="24" s="1"/>
  <c r="N2012" i="24"/>
  <c r="S2007" i="24"/>
  <c r="O2007" i="24"/>
  <c r="Q2007" i="24" s="1"/>
  <c r="N2007" i="24"/>
  <c r="S2000" i="24"/>
  <c r="O2000" i="24"/>
  <c r="P2000" i="24" s="1"/>
  <c r="N2000" i="24"/>
  <c r="S1999" i="24"/>
  <c r="O1999" i="24"/>
  <c r="P1999" i="24" s="1"/>
  <c r="N1999" i="24"/>
  <c r="S2008" i="24"/>
  <c r="O2008" i="24"/>
  <c r="R2008" i="24" s="1"/>
  <c r="N2008" i="24"/>
  <c r="S2002" i="24"/>
  <c r="O2002" i="24"/>
  <c r="Q2002" i="24" s="1"/>
  <c r="N2002" i="24"/>
  <c r="S2003" i="24"/>
  <c r="O2003" i="24"/>
  <c r="P2003" i="24" s="1"/>
  <c r="N2003" i="24"/>
  <c r="S2009" i="24"/>
  <c r="O2009" i="24"/>
  <c r="P2009" i="24" s="1"/>
  <c r="N2009" i="24"/>
  <c r="S2013" i="24"/>
  <c r="O2013" i="24"/>
  <c r="R2013" i="24" s="1"/>
  <c r="N2013" i="24"/>
  <c r="S2010" i="24"/>
  <c r="O2010" i="24"/>
  <c r="Q2010" i="24" s="1"/>
  <c r="N2010" i="24"/>
  <c r="S1998" i="24"/>
  <c r="O1998" i="24"/>
  <c r="P1998" i="24" s="1"/>
  <c r="N1998" i="24"/>
  <c r="S1990" i="24"/>
  <c r="O1990" i="24"/>
  <c r="P1990" i="24" s="1"/>
  <c r="N1990" i="24"/>
  <c r="S1994" i="24"/>
  <c r="O1994" i="24"/>
  <c r="R1994" i="24" s="1"/>
  <c r="N1994" i="24"/>
  <c r="S1993" i="24"/>
  <c r="O1993" i="24"/>
  <c r="Q1993" i="24" s="1"/>
  <c r="N1993" i="24"/>
  <c r="S1991" i="24"/>
  <c r="O1991" i="24"/>
  <c r="P1991" i="24" s="1"/>
  <c r="N1991" i="24"/>
  <c r="S1992" i="24"/>
  <c r="O1992" i="24"/>
  <c r="P1992" i="24" s="1"/>
  <c r="N1992" i="24"/>
  <c r="S1995" i="24"/>
  <c r="O1995" i="24"/>
  <c r="R1995" i="24" s="1"/>
  <c r="N1995" i="24"/>
  <c r="S1989" i="24"/>
  <c r="O1989" i="24"/>
  <c r="Q1989" i="24" s="1"/>
  <c r="N1989" i="24"/>
  <c r="S1958" i="24"/>
  <c r="O1958" i="24"/>
  <c r="N1958" i="24"/>
  <c r="S1982" i="24"/>
  <c r="O1982" i="24"/>
  <c r="Q1982" i="24" s="1"/>
  <c r="N1982" i="24"/>
  <c r="S1959" i="24"/>
  <c r="O1959" i="24"/>
  <c r="R1959" i="24" s="1"/>
  <c r="N1959" i="24"/>
  <c r="S1983" i="24"/>
  <c r="O1983" i="24"/>
  <c r="N1983" i="24"/>
  <c r="S1978" i="24"/>
  <c r="O1978" i="24"/>
  <c r="N1978" i="24"/>
  <c r="S1975" i="24"/>
  <c r="O1975" i="24"/>
  <c r="R1975" i="24" s="1"/>
  <c r="N1975" i="24"/>
  <c r="S1963" i="24"/>
  <c r="O1963" i="24"/>
  <c r="N1963" i="24"/>
  <c r="S1950" i="24"/>
  <c r="O1950" i="24"/>
  <c r="N1950" i="24"/>
  <c r="S1977" i="24"/>
  <c r="O1977" i="24"/>
  <c r="N1977" i="24"/>
  <c r="S1957" i="24"/>
  <c r="O1957" i="24"/>
  <c r="P1957" i="24" s="1"/>
  <c r="N1957" i="24"/>
  <c r="S1952" i="24"/>
  <c r="O1952" i="24"/>
  <c r="Q1952" i="24" s="1"/>
  <c r="N1952" i="24"/>
  <c r="S1968" i="24"/>
  <c r="O1968" i="24"/>
  <c r="N1968" i="24"/>
  <c r="S1974" i="24"/>
  <c r="O1974" i="24"/>
  <c r="N1974" i="24"/>
  <c r="S1954" i="24"/>
  <c r="O1954" i="24"/>
  <c r="Q1954" i="24" s="1"/>
  <c r="N1954" i="24"/>
  <c r="S1967" i="24"/>
  <c r="O1967" i="24"/>
  <c r="Q1967" i="24" s="1"/>
  <c r="N1967" i="24"/>
  <c r="S1973" i="24"/>
  <c r="O1973" i="24"/>
  <c r="N1973" i="24"/>
  <c r="S1949" i="24"/>
  <c r="O1949" i="24"/>
  <c r="N1949" i="24"/>
  <c r="S1984" i="24"/>
  <c r="O1984" i="24"/>
  <c r="R1984" i="24" s="1"/>
  <c r="N1984" i="24"/>
  <c r="S1972" i="24"/>
  <c r="O1972" i="24"/>
  <c r="N1972" i="24"/>
  <c r="S1962" i="24"/>
  <c r="O1962" i="24"/>
  <c r="N1962" i="24"/>
  <c r="S1966" i="24"/>
  <c r="O1966" i="24"/>
  <c r="N1966" i="24"/>
  <c r="S1979" i="24"/>
  <c r="O1979" i="24"/>
  <c r="P1979" i="24" s="1"/>
  <c r="N1979" i="24"/>
  <c r="S1964" i="24"/>
  <c r="O1964" i="24"/>
  <c r="R1964" i="24" s="1"/>
  <c r="N1964" i="24"/>
  <c r="S1980" i="24"/>
  <c r="O1980" i="24"/>
  <c r="N1980" i="24"/>
  <c r="S1956" i="24"/>
  <c r="O1956" i="24"/>
  <c r="N1956" i="24"/>
  <c r="S1988" i="24"/>
  <c r="O1988" i="24"/>
  <c r="Q1988" i="24" s="1"/>
  <c r="N1988" i="24"/>
  <c r="S1960" i="24"/>
  <c r="O1960" i="24"/>
  <c r="N1960" i="24"/>
  <c r="S1971" i="24"/>
  <c r="O1971" i="24"/>
  <c r="N1971" i="24"/>
  <c r="S1970" i="24"/>
  <c r="O1970" i="24"/>
  <c r="N1970" i="24"/>
  <c r="S1987" i="24"/>
  <c r="O1987" i="24"/>
  <c r="R1987" i="24" s="1"/>
  <c r="N1987" i="24"/>
  <c r="S1953" i="24"/>
  <c r="O1953" i="24"/>
  <c r="N1953" i="24"/>
  <c r="S1955" i="24"/>
  <c r="O1955" i="24"/>
  <c r="N1955" i="24"/>
  <c r="S1981" i="24"/>
  <c r="O1981" i="24"/>
  <c r="N1981" i="24"/>
  <c r="S1965" i="24"/>
  <c r="O1965" i="24"/>
  <c r="P1965" i="24" s="1"/>
  <c r="N1965" i="24"/>
  <c r="S1951" i="24"/>
  <c r="O1951" i="24"/>
  <c r="Q1951" i="24" s="1"/>
  <c r="N1951" i="24"/>
  <c r="S1986" i="24"/>
  <c r="O1986" i="24"/>
  <c r="N1986" i="24"/>
  <c r="S1969" i="24"/>
  <c r="O1969" i="24"/>
  <c r="N1969" i="24"/>
  <c r="S1923" i="24"/>
  <c r="O1923" i="24"/>
  <c r="R1923" i="24" s="1"/>
  <c r="N1923" i="24"/>
  <c r="S1948" i="24"/>
  <c r="O1948" i="24"/>
  <c r="N1948" i="24"/>
  <c r="S1938" i="24"/>
  <c r="O1938" i="24"/>
  <c r="N1938" i="24"/>
  <c r="S1933" i="24"/>
  <c r="O1933" i="24"/>
  <c r="N1933" i="24"/>
  <c r="S1946" i="24"/>
  <c r="O1946" i="24"/>
  <c r="Q1946" i="24" s="1"/>
  <c r="N1946" i="24"/>
  <c r="S1929" i="24"/>
  <c r="O1929" i="24"/>
  <c r="R1929" i="24" s="1"/>
  <c r="N1929" i="24"/>
  <c r="S1922" i="24"/>
  <c r="O1922" i="24"/>
  <c r="N1922" i="24"/>
  <c r="S1934" i="24"/>
  <c r="O1934" i="24"/>
  <c r="N1934" i="24"/>
  <c r="S1928" i="24"/>
  <c r="O1928" i="24"/>
  <c r="P1928" i="24" s="1"/>
  <c r="N1928" i="24"/>
  <c r="S1936" i="24"/>
  <c r="O1936" i="24"/>
  <c r="Q1936" i="24" s="1"/>
  <c r="N1936" i="24"/>
  <c r="S1942" i="24"/>
  <c r="O1942" i="24"/>
  <c r="N1942" i="24"/>
  <c r="S1925" i="24"/>
  <c r="O1925" i="24"/>
  <c r="N1925" i="24"/>
  <c r="S1927" i="24"/>
  <c r="O1927" i="24"/>
  <c r="P1927" i="24" s="1"/>
  <c r="N1927" i="24"/>
  <c r="S1985" i="24"/>
  <c r="O1985" i="24"/>
  <c r="Q1985" i="24" s="1"/>
  <c r="N1985" i="24"/>
  <c r="S1976" i="24"/>
  <c r="O1976" i="24"/>
  <c r="N1976" i="24"/>
  <c r="S1961" i="24"/>
  <c r="O1961" i="24"/>
  <c r="N1961" i="24"/>
  <c r="S1939" i="24"/>
  <c r="O1939" i="24"/>
  <c r="R1939" i="24" s="1"/>
  <c r="N1939" i="24"/>
  <c r="S1941" i="24"/>
  <c r="O1941" i="24"/>
  <c r="Q1941" i="24" s="1"/>
  <c r="N1941" i="24"/>
  <c r="S1924" i="24"/>
  <c r="O1924" i="24"/>
  <c r="N1924" i="24"/>
  <c r="S1940" i="24"/>
  <c r="O1940" i="24"/>
  <c r="R1940" i="24" s="1"/>
  <c r="N1940" i="24"/>
  <c r="S1944" i="24"/>
  <c r="O1944" i="24"/>
  <c r="N1944" i="24"/>
  <c r="S1947" i="24"/>
  <c r="O1947" i="24"/>
  <c r="N1947" i="24"/>
  <c r="S1932" i="24"/>
  <c r="O1932" i="24"/>
  <c r="N1932" i="24"/>
  <c r="S1921" i="24"/>
  <c r="O1921" i="24"/>
  <c r="N1921" i="24"/>
  <c r="S1943" i="24"/>
  <c r="O1943" i="24"/>
  <c r="N1943" i="24"/>
  <c r="S1937" i="24"/>
  <c r="O1937" i="24"/>
  <c r="N1937" i="24"/>
  <c r="S1931" i="24"/>
  <c r="O1931" i="24"/>
  <c r="N1931" i="24"/>
  <c r="S1926" i="24"/>
  <c r="O1926" i="24"/>
  <c r="N1926" i="24"/>
  <c r="S1930" i="24"/>
  <c r="O1930" i="24"/>
  <c r="N1930" i="24"/>
  <c r="S1935" i="24"/>
  <c r="O1935" i="24"/>
  <c r="N1935" i="24"/>
  <c r="S1945" i="24"/>
  <c r="O1945" i="24"/>
  <c r="N1945" i="24"/>
  <c r="S1892" i="24"/>
  <c r="O1892" i="24"/>
  <c r="N1892" i="24"/>
  <c r="S1911" i="24"/>
  <c r="O1911" i="24"/>
  <c r="N1911" i="24"/>
  <c r="S1898" i="24"/>
  <c r="O1898" i="24"/>
  <c r="Q1898" i="24" s="1"/>
  <c r="N1898" i="24"/>
  <c r="S1895" i="24"/>
  <c r="O1895" i="24"/>
  <c r="N1895" i="24"/>
  <c r="S1900" i="24"/>
  <c r="O1900" i="24"/>
  <c r="N1900" i="24"/>
  <c r="S1888" i="24"/>
  <c r="O1888" i="24"/>
  <c r="P1888" i="24" s="1"/>
  <c r="N1888" i="24"/>
  <c r="S1918" i="24"/>
  <c r="O1918" i="24"/>
  <c r="P1918" i="24" s="1"/>
  <c r="N1918" i="24"/>
  <c r="S1889" i="24"/>
  <c r="O1889" i="24"/>
  <c r="N1889" i="24"/>
  <c r="S1915" i="24"/>
  <c r="O1915" i="24"/>
  <c r="N1915" i="24"/>
  <c r="S1908" i="24"/>
  <c r="O1908" i="24"/>
  <c r="P1908" i="24" s="1"/>
  <c r="N1908" i="24"/>
  <c r="S1887" i="24"/>
  <c r="O1887" i="24"/>
  <c r="N1887" i="24"/>
  <c r="S1906" i="24"/>
  <c r="O1906" i="24"/>
  <c r="N1906" i="24"/>
  <c r="S1910" i="24"/>
  <c r="O1910" i="24"/>
  <c r="N1910" i="24"/>
  <c r="S1905" i="24"/>
  <c r="O1905" i="24"/>
  <c r="Q1905" i="24" s="1"/>
  <c r="N1905" i="24"/>
  <c r="S1909" i="24"/>
  <c r="O1909" i="24"/>
  <c r="N1909" i="24"/>
  <c r="S1894" i="24"/>
  <c r="O1894" i="24"/>
  <c r="N1894" i="24"/>
  <c r="S1893" i="24"/>
  <c r="O1893" i="24"/>
  <c r="N1893" i="24"/>
  <c r="S1899" i="24"/>
  <c r="O1899" i="24"/>
  <c r="P1899" i="24" s="1"/>
  <c r="N1899" i="24"/>
  <c r="S1917" i="24"/>
  <c r="O1917" i="24"/>
  <c r="R1917" i="24" s="1"/>
  <c r="N1917" i="24"/>
  <c r="S1907" i="24"/>
  <c r="O1907" i="24"/>
  <c r="N1907" i="24"/>
  <c r="S1902" i="24"/>
  <c r="O1902" i="24"/>
  <c r="N1902" i="24"/>
  <c r="S1916" i="24"/>
  <c r="O1916" i="24"/>
  <c r="P1916" i="24" s="1"/>
  <c r="N1916" i="24"/>
  <c r="S1890" i="24"/>
  <c r="O1890" i="24"/>
  <c r="N1890" i="24"/>
  <c r="S1897" i="24"/>
  <c r="O1897" i="24"/>
  <c r="N1897" i="24"/>
  <c r="S1914" i="24"/>
  <c r="O1914" i="24"/>
  <c r="N1914" i="24"/>
  <c r="S1885" i="24"/>
  <c r="O1885" i="24"/>
  <c r="P1885" i="24" s="1"/>
  <c r="N1885" i="24"/>
  <c r="S1912" i="24"/>
  <c r="O1912" i="24"/>
  <c r="R1912" i="24" s="1"/>
  <c r="N1912" i="24"/>
  <c r="S1903" i="24"/>
  <c r="O1903" i="24"/>
  <c r="N1903" i="24"/>
  <c r="S1904" i="24"/>
  <c r="O1904" i="24"/>
  <c r="N1904" i="24"/>
  <c r="S1891" i="24"/>
  <c r="O1891" i="24"/>
  <c r="R1891" i="24" s="1"/>
  <c r="N1891" i="24"/>
  <c r="S1919" i="24"/>
  <c r="O1919" i="24"/>
  <c r="N1919" i="24"/>
  <c r="S1896" i="24"/>
  <c r="O1896" i="24"/>
  <c r="N1896" i="24"/>
  <c r="S1886" i="24"/>
  <c r="O1886" i="24"/>
  <c r="N1886" i="24"/>
  <c r="S1913" i="24"/>
  <c r="O1913" i="24"/>
  <c r="P1913" i="24" s="1"/>
  <c r="N1913" i="24"/>
  <c r="S1901" i="24"/>
  <c r="O1901" i="24"/>
  <c r="N1901" i="24"/>
  <c r="S1920" i="24"/>
  <c r="O1920" i="24"/>
  <c r="N1920" i="24"/>
  <c r="S1876" i="24"/>
  <c r="O1876" i="24"/>
  <c r="N1876" i="24"/>
  <c r="S1869" i="24"/>
  <c r="O1869" i="24"/>
  <c r="Q1869" i="24" s="1"/>
  <c r="N1869" i="24"/>
  <c r="S1856" i="24"/>
  <c r="O1856" i="24"/>
  <c r="Q1856" i="24" s="1"/>
  <c r="N1856" i="24"/>
  <c r="S1857" i="24"/>
  <c r="O1857" i="24"/>
  <c r="N1857" i="24"/>
  <c r="S1867" i="24"/>
  <c r="O1867" i="24"/>
  <c r="N1867" i="24"/>
  <c r="S1858" i="24"/>
  <c r="O1858" i="24"/>
  <c r="R1858" i="24" s="1"/>
  <c r="N1858" i="24"/>
  <c r="S1884" i="24"/>
  <c r="O1884" i="24"/>
  <c r="N1884" i="24"/>
  <c r="S1863" i="24"/>
  <c r="O1863" i="24"/>
  <c r="N1863" i="24"/>
  <c r="S1868" i="24"/>
  <c r="O1868" i="24"/>
  <c r="N1868" i="24"/>
  <c r="S1862" i="24"/>
  <c r="O1862" i="24"/>
  <c r="Q1862" i="24" s="1"/>
  <c r="N1862" i="24"/>
  <c r="S1879" i="24"/>
  <c r="O1879" i="24"/>
  <c r="Q1879" i="24" s="1"/>
  <c r="N1879" i="24"/>
  <c r="S1883" i="24"/>
  <c r="O1883" i="24"/>
  <c r="N1883" i="24"/>
  <c r="S1870" i="24"/>
  <c r="O1870" i="24"/>
  <c r="N1870" i="24"/>
  <c r="S1875" i="24"/>
  <c r="O1875" i="24"/>
  <c r="Q1875" i="24" s="1"/>
  <c r="N1875" i="24"/>
  <c r="S1874" i="24"/>
  <c r="O1874" i="24"/>
  <c r="R1874" i="24" s="1"/>
  <c r="N1874" i="24"/>
  <c r="S1855" i="24"/>
  <c r="O1855" i="24"/>
  <c r="N1855" i="24"/>
  <c r="S1877" i="24"/>
  <c r="O1877" i="24"/>
  <c r="N1877" i="24"/>
  <c r="S1880" i="24"/>
  <c r="O1880" i="24"/>
  <c r="Q1880" i="24" s="1"/>
  <c r="N1880" i="24"/>
  <c r="S1872" i="24"/>
  <c r="O1872" i="24"/>
  <c r="N1872" i="24"/>
  <c r="S1865" i="24"/>
  <c r="O1865" i="24"/>
  <c r="N1865" i="24"/>
  <c r="S1866" i="24"/>
  <c r="O1866" i="24"/>
  <c r="N1866" i="24"/>
  <c r="S1871" i="24"/>
  <c r="O1871" i="24"/>
  <c r="R1871" i="24" s="1"/>
  <c r="N1871" i="24"/>
  <c r="S1861" i="24"/>
  <c r="O1861" i="24"/>
  <c r="N1861" i="24"/>
  <c r="S1878" i="24"/>
  <c r="O1878" i="24"/>
  <c r="N1878" i="24"/>
  <c r="S1854" i="24"/>
  <c r="O1854" i="24"/>
  <c r="N1854" i="24"/>
  <c r="S1859" i="24"/>
  <c r="O1859" i="24"/>
  <c r="R1859" i="24" s="1"/>
  <c r="N1859" i="24"/>
  <c r="S1873" i="24"/>
  <c r="O1873" i="24"/>
  <c r="Q1873" i="24" s="1"/>
  <c r="N1873" i="24"/>
  <c r="S1882" i="24"/>
  <c r="O1882" i="24"/>
  <c r="N1882" i="24"/>
  <c r="S1864" i="24"/>
  <c r="O1864" i="24"/>
  <c r="N1864" i="24"/>
  <c r="S1881" i="24"/>
  <c r="O1881" i="24"/>
  <c r="R1881" i="24" s="1"/>
  <c r="N1881" i="24"/>
  <c r="S1860" i="24"/>
  <c r="O1860" i="24"/>
  <c r="N1860" i="24"/>
  <c r="S1843" i="24"/>
  <c r="O1843" i="24"/>
  <c r="N1843" i="24"/>
  <c r="S1847" i="24"/>
  <c r="O1847" i="24"/>
  <c r="N1847" i="24"/>
  <c r="S1839" i="24"/>
  <c r="O1839" i="24"/>
  <c r="Q1839" i="24" s="1"/>
  <c r="N1839" i="24"/>
  <c r="S1851" i="24"/>
  <c r="O1851" i="24"/>
  <c r="Q1851" i="24" s="1"/>
  <c r="N1851" i="24"/>
  <c r="S1841" i="24"/>
  <c r="O1841" i="24"/>
  <c r="N1841" i="24"/>
  <c r="S1853" i="24"/>
  <c r="O1853" i="24"/>
  <c r="N1853" i="24"/>
  <c r="S1850" i="24"/>
  <c r="O1850" i="24"/>
  <c r="R1850" i="24" s="1"/>
  <c r="N1850" i="24"/>
  <c r="S1838" i="24"/>
  <c r="O1838" i="24"/>
  <c r="N1838" i="24"/>
  <c r="S1845" i="24"/>
  <c r="O1845" i="24"/>
  <c r="N1845" i="24"/>
  <c r="S1835" i="24"/>
  <c r="O1835" i="24"/>
  <c r="N1835" i="24"/>
  <c r="S1834" i="24"/>
  <c r="O1834" i="24"/>
  <c r="P1834" i="24" s="1"/>
  <c r="N1834" i="24"/>
  <c r="S1844" i="24"/>
  <c r="O1844" i="24"/>
  <c r="Q1844" i="24" s="1"/>
  <c r="N1844" i="24"/>
  <c r="S1837" i="24"/>
  <c r="O1837" i="24"/>
  <c r="N1837" i="24"/>
  <c r="S1840" i="24"/>
  <c r="O1840" i="24"/>
  <c r="N1840" i="24"/>
  <c r="S1842" i="24"/>
  <c r="O1842" i="24"/>
  <c r="Q1842" i="24" s="1"/>
  <c r="N1842" i="24"/>
  <c r="S1833" i="24"/>
  <c r="O1833" i="24"/>
  <c r="R1833" i="24" s="1"/>
  <c r="N1833" i="24"/>
  <c r="S1848" i="24"/>
  <c r="O1848" i="24"/>
  <c r="N1848" i="24"/>
  <c r="S1836" i="24"/>
  <c r="O1836" i="24"/>
  <c r="N1836" i="24"/>
  <c r="S1852" i="24"/>
  <c r="O1852" i="24"/>
  <c r="Q1852" i="24" s="1"/>
  <c r="N1852" i="24"/>
  <c r="S1846" i="24"/>
  <c r="O1846" i="24"/>
  <c r="Q1846" i="24" s="1"/>
  <c r="N1846" i="24"/>
  <c r="S1849" i="24"/>
  <c r="O1849" i="24"/>
  <c r="N1849" i="24"/>
  <c r="S1807" i="24"/>
  <c r="O1807" i="24"/>
  <c r="N1807" i="24"/>
  <c r="S1816" i="24"/>
  <c r="O1816" i="24"/>
  <c r="R1816" i="24" s="1"/>
  <c r="N1816" i="24"/>
  <c r="S1814" i="24"/>
  <c r="O1814" i="24"/>
  <c r="N1814" i="24"/>
  <c r="S1803" i="24"/>
  <c r="O1803" i="24"/>
  <c r="N1803" i="24"/>
  <c r="S1805" i="24"/>
  <c r="O1805" i="24"/>
  <c r="N1805" i="24"/>
  <c r="S1812" i="24"/>
  <c r="O1812" i="24"/>
  <c r="R1812" i="24" s="1"/>
  <c r="N1812" i="24"/>
  <c r="S1829" i="24"/>
  <c r="O1829" i="24"/>
  <c r="N1829" i="24"/>
  <c r="S1809" i="24"/>
  <c r="O1809" i="24"/>
  <c r="N1809" i="24"/>
  <c r="S1810" i="24"/>
  <c r="O1810" i="24"/>
  <c r="N1810" i="24"/>
  <c r="S1825" i="24"/>
  <c r="O1825" i="24"/>
  <c r="Q1825" i="24" s="1"/>
  <c r="N1825" i="24"/>
  <c r="S1815" i="24"/>
  <c r="O1815" i="24"/>
  <c r="N1815" i="24"/>
  <c r="S1830" i="24"/>
  <c r="O1830" i="24"/>
  <c r="N1830" i="24"/>
  <c r="S1817" i="24"/>
  <c r="O1817" i="24"/>
  <c r="N1817" i="24"/>
  <c r="S1826" i="24"/>
  <c r="O1826" i="24"/>
  <c r="P1826" i="24" s="1"/>
  <c r="N1826" i="24"/>
  <c r="S1824" i="24"/>
  <c r="O1824" i="24"/>
  <c r="N1824" i="24"/>
  <c r="S1823" i="24"/>
  <c r="O1823" i="24"/>
  <c r="N1823" i="24"/>
  <c r="S1820" i="24"/>
  <c r="O1820" i="24"/>
  <c r="N1820" i="24"/>
  <c r="S1802" i="24"/>
  <c r="O1802" i="24"/>
  <c r="P1802" i="24" s="1"/>
  <c r="N1802" i="24"/>
  <c r="S1811" i="24"/>
  <c r="O1811" i="24"/>
  <c r="N1811" i="24"/>
  <c r="S1819" i="24"/>
  <c r="O1819" i="24"/>
  <c r="N1819" i="24"/>
  <c r="S1818" i="24"/>
  <c r="O1818" i="24"/>
  <c r="N1818" i="24"/>
  <c r="S1806" i="24"/>
  <c r="O1806" i="24"/>
  <c r="Q1806" i="24" s="1"/>
  <c r="N1806" i="24"/>
  <c r="S1813" i="24"/>
  <c r="O1813" i="24"/>
  <c r="N1813" i="24"/>
  <c r="S1828" i="24"/>
  <c r="O1828" i="24"/>
  <c r="N1828" i="24"/>
  <c r="S1804" i="24"/>
  <c r="O1804" i="24"/>
  <c r="N1804" i="24"/>
  <c r="S1832" i="24"/>
  <c r="O1832" i="24"/>
  <c r="P1832" i="24" s="1"/>
  <c r="N1832" i="24"/>
  <c r="S1827" i="24"/>
  <c r="O1827" i="24"/>
  <c r="N1827" i="24"/>
  <c r="S1821" i="24"/>
  <c r="O1821" i="24"/>
  <c r="N1821" i="24"/>
  <c r="S1831" i="24"/>
  <c r="O1831" i="24"/>
  <c r="N1831" i="24"/>
  <c r="S1822" i="24"/>
  <c r="O1822" i="24"/>
  <c r="P1822" i="24" s="1"/>
  <c r="N1822" i="24"/>
  <c r="S1808" i="24"/>
  <c r="O1808" i="24"/>
  <c r="N1808" i="24"/>
  <c r="S1769" i="24"/>
  <c r="O1769" i="24"/>
  <c r="N1769" i="24"/>
  <c r="S1789" i="24"/>
  <c r="O1789" i="24"/>
  <c r="N1789" i="24"/>
  <c r="S1768" i="24"/>
  <c r="O1768" i="24"/>
  <c r="P1768" i="24" s="1"/>
  <c r="N1768" i="24"/>
  <c r="S1797" i="24"/>
  <c r="O1797" i="24"/>
  <c r="N1797" i="24"/>
  <c r="S1801" i="24"/>
  <c r="O1801" i="24"/>
  <c r="N1801" i="24"/>
  <c r="S1782" i="24"/>
  <c r="O1782" i="24"/>
  <c r="N1782" i="24"/>
  <c r="S1788" i="24"/>
  <c r="O1788" i="24"/>
  <c r="Q1788" i="24" s="1"/>
  <c r="N1788" i="24"/>
  <c r="S1795" i="24"/>
  <c r="O1795" i="24"/>
  <c r="N1795" i="24"/>
  <c r="S1767" i="24"/>
  <c r="O1767" i="24"/>
  <c r="N1767" i="24"/>
  <c r="S1774" i="24"/>
  <c r="O1774" i="24"/>
  <c r="N1774" i="24"/>
  <c r="S1775" i="24"/>
  <c r="O1775" i="24"/>
  <c r="Q1775" i="24" s="1"/>
  <c r="N1775" i="24"/>
  <c r="S1798" i="24"/>
  <c r="O1798" i="24"/>
  <c r="N1798" i="24"/>
  <c r="S1771" i="24"/>
  <c r="O1771" i="24"/>
  <c r="N1771" i="24"/>
  <c r="S1793" i="24"/>
  <c r="O1793" i="24"/>
  <c r="N1793" i="24"/>
  <c r="S1800" i="24"/>
  <c r="O1800" i="24"/>
  <c r="Q1800" i="24" s="1"/>
  <c r="N1800" i="24"/>
  <c r="S1783" i="24"/>
  <c r="O1783" i="24"/>
  <c r="N1783" i="24"/>
  <c r="S1770" i="24"/>
  <c r="O1770" i="24"/>
  <c r="N1770" i="24"/>
  <c r="S1766" i="24"/>
  <c r="O1766" i="24"/>
  <c r="N1766" i="24"/>
  <c r="S1777" i="24"/>
  <c r="O1777" i="24"/>
  <c r="Q1777" i="24" s="1"/>
  <c r="N1777" i="24"/>
  <c r="S1776" i="24"/>
  <c r="O1776" i="24"/>
  <c r="N1776" i="24"/>
  <c r="S1792" i="24"/>
  <c r="O1792" i="24"/>
  <c r="N1792" i="24"/>
  <c r="S1786" i="24"/>
  <c r="O1786" i="24"/>
  <c r="N1786" i="24"/>
  <c r="S1785" i="24"/>
  <c r="O1785" i="24"/>
  <c r="R1785" i="24" s="1"/>
  <c r="N1785" i="24"/>
  <c r="S1796" i="24"/>
  <c r="O1796" i="24"/>
  <c r="N1796" i="24"/>
  <c r="S1790" i="24"/>
  <c r="O1790" i="24"/>
  <c r="N1790" i="24"/>
  <c r="S1799" i="24"/>
  <c r="O1799" i="24"/>
  <c r="N1799" i="24"/>
  <c r="S1781" i="24"/>
  <c r="O1781" i="24"/>
  <c r="Q1781" i="24" s="1"/>
  <c r="N1781" i="24"/>
  <c r="S1773" i="24"/>
  <c r="O1773" i="24"/>
  <c r="N1773" i="24"/>
  <c r="S1787" i="24"/>
  <c r="O1787" i="24"/>
  <c r="N1787" i="24"/>
  <c r="S1780" i="24"/>
  <c r="O1780" i="24"/>
  <c r="N1780" i="24"/>
  <c r="S1794" i="24"/>
  <c r="O1794" i="24"/>
  <c r="R1794" i="24" s="1"/>
  <c r="N1794" i="24"/>
  <c r="S1779" i="24"/>
  <c r="O1779" i="24"/>
  <c r="N1779" i="24"/>
  <c r="S1791" i="24"/>
  <c r="O1791" i="24"/>
  <c r="N1791" i="24"/>
  <c r="S1784" i="24"/>
  <c r="O1784" i="24"/>
  <c r="N1784" i="24"/>
  <c r="S1772" i="24"/>
  <c r="O1772" i="24"/>
  <c r="Q1772" i="24" s="1"/>
  <c r="N1772" i="24"/>
  <c r="S1778" i="24"/>
  <c r="O1778" i="24"/>
  <c r="N1778" i="24"/>
  <c r="S1735" i="24"/>
  <c r="O1735" i="24"/>
  <c r="N1735" i="24"/>
  <c r="S1737" i="24"/>
  <c r="O1737" i="24"/>
  <c r="N1737" i="24"/>
  <c r="S1738" i="24"/>
  <c r="O1738" i="24"/>
  <c r="Q1738" i="24" s="1"/>
  <c r="N1738" i="24"/>
  <c r="S1765" i="24"/>
  <c r="O1765" i="24"/>
  <c r="N1765" i="24"/>
  <c r="S1755" i="24"/>
  <c r="O1755" i="24"/>
  <c r="N1755" i="24"/>
  <c r="S1749" i="24"/>
  <c r="O1749" i="24"/>
  <c r="N1749" i="24"/>
  <c r="S1750" i="24"/>
  <c r="O1750" i="24"/>
  <c r="Q1750" i="24" s="1"/>
  <c r="N1750" i="24"/>
  <c r="S1754" i="24"/>
  <c r="O1754" i="24"/>
  <c r="N1754" i="24"/>
  <c r="S1740" i="24"/>
  <c r="O1740" i="24"/>
  <c r="N1740" i="24"/>
  <c r="S1734" i="24"/>
  <c r="O1734" i="24"/>
  <c r="N1734" i="24"/>
  <c r="S1748" i="24"/>
  <c r="O1748" i="24"/>
  <c r="Q1748" i="24" s="1"/>
  <c r="N1748" i="24"/>
  <c r="S1733" i="24"/>
  <c r="O1733" i="24"/>
  <c r="N1733" i="24"/>
  <c r="S1744" i="24"/>
  <c r="O1744" i="24"/>
  <c r="N1744" i="24"/>
  <c r="S1759" i="24"/>
  <c r="O1759" i="24"/>
  <c r="N1759" i="24"/>
  <c r="S1742" i="24"/>
  <c r="O1742" i="24"/>
  <c r="R1742" i="24" s="1"/>
  <c r="N1742" i="24"/>
  <c r="S1753" i="24"/>
  <c r="O1753" i="24"/>
  <c r="N1753" i="24"/>
  <c r="S1739" i="24"/>
  <c r="O1739" i="24"/>
  <c r="N1739" i="24"/>
  <c r="S1743" i="24"/>
  <c r="O1743" i="24"/>
  <c r="N1743" i="24"/>
  <c r="S1741" i="24"/>
  <c r="O1741" i="24"/>
  <c r="P1741" i="24" s="1"/>
  <c r="N1741" i="24"/>
  <c r="S1761" i="24"/>
  <c r="O1761" i="24"/>
  <c r="N1761" i="24"/>
  <c r="S1762" i="24"/>
  <c r="O1762" i="24"/>
  <c r="N1762" i="24"/>
  <c r="S1751" i="24"/>
  <c r="O1751" i="24"/>
  <c r="N1751" i="24"/>
  <c r="S1760" i="24"/>
  <c r="O1760" i="24"/>
  <c r="P1760" i="24" s="1"/>
  <c r="N1760" i="24"/>
  <c r="S1756" i="24"/>
  <c r="O1756" i="24"/>
  <c r="N1756" i="24"/>
  <c r="S1758" i="24"/>
  <c r="O1758" i="24"/>
  <c r="N1758" i="24"/>
  <c r="S1757" i="24"/>
  <c r="O1757" i="24"/>
  <c r="N1757" i="24"/>
  <c r="S1746" i="24"/>
  <c r="O1746" i="24"/>
  <c r="P1746" i="24" s="1"/>
  <c r="N1746" i="24"/>
  <c r="S1732" i="24"/>
  <c r="O1732" i="24"/>
  <c r="N1732" i="24"/>
  <c r="S1747" i="24"/>
  <c r="O1747" i="24"/>
  <c r="N1747" i="24"/>
  <c r="S1745" i="24"/>
  <c r="O1745" i="24"/>
  <c r="N1745" i="24"/>
  <c r="S1736" i="24"/>
  <c r="O1736" i="24"/>
  <c r="R1736" i="24" s="1"/>
  <c r="N1736" i="24"/>
  <c r="S1752" i="24"/>
  <c r="O1752" i="24"/>
  <c r="N1752" i="24"/>
  <c r="S1764" i="24"/>
  <c r="O1764" i="24"/>
  <c r="N1764" i="24"/>
  <c r="S1763" i="24"/>
  <c r="O1763" i="24"/>
  <c r="N1763" i="24"/>
  <c r="S1730" i="24"/>
  <c r="O1730" i="24"/>
  <c r="P1730" i="24" s="1"/>
  <c r="N1730" i="24"/>
  <c r="S1725" i="24"/>
  <c r="O1725" i="24"/>
  <c r="N1725" i="24"/>
  <c r="S1727" i="24"/>
  <c r="O1727" i="24"/>
  <c r="N1727" i="24"/>
  <c r="S1726" i="24"/>
  <c r="O1726" i="24"/>
  <c r="N1726" i="24"/>
  <c r="S1728" i="24"/>
  <c r="O1728" i="24"/>
  <c r="P1728" i="24" s="1"/>
  <c r="N1728" i="24"/>
  <c r="S1731" i="24"/>
  <c r="O1731" i="24"/>
  <c r="N1731" i="24"/>
  <c r="S1729" i="24"/>
  <c r="O1729" i="24"/>
  <c r="N1729" i="24"/>
  <c r="S1722" i="24"/>
  <c r="O1722" i="24"/>
  <c r="N1722" i="24"/>
  <c r="S1723" i="24"/>
  <c r="O1723" i="24"/>
  <c r="P1723" i="24" s="1"/>
  <c r="N1723" i="24"/>
  <c r="S1721" i="24"/>
  <c r="O1721" i="24"/>
  <c r="N1721" i="24"/>
  <c r="S1720" i="24"/>
  <c r="O1720" i="24"/>
  <c r="N1720" i="24"/>
  <c r="S1724" i="24"/>
  <c r="O1724" i="24"/>
  <c r="N1724" i="24"/>
  <c r="S1718" i="24"/>
  <c r="O1718" i="24"/>
  <c r="P1718" i="24" s="1"/>
  <c r="N1718" i="24"/>
  <c r="S1719" i="24"/>
  <c r="O1719" i="24"/>
  <c r="N1719" i="24"/>
  <c r="S1687" i="24"/>
  <c r="O1687" i="24"/>
  <c r="N1687" i="24"/>
  <c r="S1700" i="24"/>
  <c r="O1700" i="24"/>
  <c r="N1700" i="24"/>
  <c r="S1688" i="24"/>
  <c r="O1688" i="24"/>
  <c r="P1688" i="24" s="1"/>
  <c r="N1688" i="24"/>
  <c r="S1682" i="24"/>
  <c r="O1682" i="24"/>
  <c r="N1682" i="24"/>
  <c r="S1684" i="24"/>
  <c r="O1684" i="24"/>
  <c r="N1684" i="24"/>
  <c r="S1680" i="24"/>
  <c r="O1680" i="24"/>
  <c r="N1680" i="24"/>
  <c r="S1692" i="24"/>
  <c r="O1692" i="24"/>
  <c r="R1692" i="24" s="1"/>
  <c r="N1692" i="24"/>
  <c r="S1689" i="24"/>
  <c r="O1689" i="24"/>
  <c r="N1689" i="24"/>
  <c r="S1713" i="24"/>
  <c r="O1713" i="24"/>
  <c r="N1713" i="24"/>
  <c r="S1711" i="24"/>
  <c r="O1711" i="24"/>
  <c r="N1711" i="24"/>
  <c r="S1691" i="24"/>
  <c r="O1691" i="24"/>
  <c r="P1691" i="24" s="1"/>
  <c r="N1691" i="24"/>
  <c r="S1712" i="24"/>
  <c r="O1712" i="24"/>
  <c r="N1712" i="24"/>
  <c r="S1704" i="24"/>
  <c r="O1704" i="24"/>
  <c r="N1704" i="24"/>
  <c r="S1685" i="24"/>
  <c r="O1685" i="24"/>
  <c r="N1685" i="24"/>
  <c r="S1693" i="24"/>
  <c r="O1693" i="24"/>
  <c r="R1693" i="24" s="1"/>
  <c r="N1693" i="24"/>
  <c r="S1696" i="24"/>
  <c r="O1696" i="24"/>
  <c r="N1696" i="24"/>
  <c r="S1695" i="24"/>
  <c r="O1695" i="24"/>
  <c r="N1695" i="24"/>
  <c r="S1707" i="24"/>
  <c r="O1707" i="24"/>
  <c r="N1707" i="24"/>
  <c r="S1694" i="24"/>
  <c r="O1694" i="24"/>
  <c r="P1694" i="24" s="1"/>
  <c r="N1694" i="24"/>
  <c r="S1705" i="24"/>
  <c r="O1705" i="24"/>
  <c r="N1705" i="24"/>
  <c r="S1699" i="24"/>
  <c r="O1699" i="24"/>
  <c r="N1699" i="24"/>
  <c r="S1715" i="24"/>
  <c r="O1715" i="24"/>
  <c r="N1715" i="24"/>
  <c r="S1698" i="24"/>
  <c r="O1698" i="24"/>
  <c r="R1698" i="24" s="1"/>
  <c r="N1698" i="24"/>
  <c r="S1709" i="24"/>
  <c r="O1709" i="24"/>
  <c r="N1709" i="24"/>
  <c r="S1681" i="24"/>
  <c r="O1681" i="24"/>
  <c r="N1681" i="24"/>
  <c r="S1678" i="24"/>
  <c r="O1678" i="24"/>
  <c r="N1678" i="24"/>
  <c r="S1708" i="24"/>
  <c r="O1708" i="24"/>
  <c r="P1708" i="24" s="1"/>
  <c r="N1708" i="24"/>
  <c r="S1679" i="24"/>
  <c r="O1679" i="24"/>
  <c r="N1679" i="24"/>
  <c r="S1710" i="24"/>
  <c r="O1710" i="24"/>
  <c r="N1710" i="24"/>
  <c r="S1714" i="24"/>
  <c r="O1714" i="24"/>
  <c r="N1714" i="24"/>
  <c r="S1703" i="24"/>
  <c r="O1703" i="24"/>
  <c r="R1703" i="24" s="1"/>
  <c r="N1703" i="24"/>
  <c r="S1717" i="24"/>
  <c r="O1717" i="24"/>
  <c r="N1717" i="24"/>
  <c r="S1706" i="24"/>
  <c r="O1706" i="24"/>
  <c r="N1706" i="24"/>
  <c r="S1702" i="24"/>
  <c r="O1702" i="24"/>
  <c r="N1702" i="24"/>
  <c r="S1716" i="24"/>
  <c r="O1716" i="24"/>
  <c r="P1716" i="24" s="1"/>
  <c r="N1716" i="24"/>
  <c r="S1683" i="24"/>
  <c r="O1683" i="24"/>
  <c r="N1683" i="24"/>
  <c r="S1686" i="24"/>
  <c r="O1686" i="24"/>
  <c r="N1686" i="24"/>
  <c r="S1697" i="24"/>
  <c r="O1697" i="24"/>
  <c r="N1697" i="24"/>
  <c r="S1690" i="24"/>
  <c r="O1690" i="24"/>
  <c r="P1690" i="24" s="1"/>
  <c r="N1690" i="24"/>
  <c r="S1701" i="24"/>
  <c r="O1701" i="24"/>
  <c r="N1701" i="24"/>
  <c r="S1661" i="24"/>
  <c r="O1661" i="24"/>
  <c r="N1661" i="24"/>
  <c r="S1656" i="24"/>
  <c r="O1656" i="24"/>
  <c r="N1656" i="24"/>
  <c r="S1677" i="24"/>
  <c r="O1677" i="24"/>
  <c r="P1677" i="24" s="1"/>
  <c r="N1677" i="24"/>
  <c r="S1657" i="24"/>
  <c r="O1657" i="24"/>
  <c r="N1657" i="24"/>
  <c r="S1669" i="24"/>
  <c r="O1669" i="24"/>
  <c r="N1669" i="24"/>
  <c r="S1672" i="24"/>
  <c r="O1672" i="24"/>
  <c r="N1672" i="24"/>
  <c r="S1675" i="24"/>
  <c r="O1675" i="24"/>
  <c r="R1675" i="24" s="1"/>
  <c r="N1675" i="24"/>
  <c r="S1659" i="24"/>
  <c r="O1659" i="24"/>
  <c r="N1659" i="24"/>
  <c r="S1658" i="24"/>
  <c r="O1658" i="24"/>
  <c r="N1658" i="24"/>
  <c r="S1663" i="24"/>
  <c r="O1663" i="24"/>
  <c r="N1663" i="24"/>
  <c r="S1671" i="24"/>
  <c r="O1671" i="24"/>
  <c r="Q1671" i="24" s="1"/>
  <c r="N1671" i="24"/>
  <c r="S1660" i="24"/>
  <c r="O1660" i="24"/>
  <c r="N1660" i="24"/>
  <c r="S1664" i="24"/>
  <c r="O1664" i="24"/>
  <c r="N1664" i="24"/>
  <c r="S1670" i="24"/>
  <c r="O1670" i="24"/>
  <c r="N1670" i="24"/>
  <c r="S1667" i="24"/>
  <c r="O1667" i="24"/>
  <c r="R1667" i="24" s="1"/>
  <c r="N1667" i="24"/>
  <c r="S1662" i="24"/>
  <c r="O1662" i="24"/>
  <c r="N1662" i="24"/>
  <c r="S1676" i="24"/>
  <c r="O1676" i="24"/>
  <c r="N1676" i="24"/>
  <c r="S1666" i="24"/>
  <c r="O1666" i="24"/>
  <c r="N1666" i="24"/>
  <c r="S1665" i="24"/>
  <c r="O1665" i="24"/>
  <c r="N1665" i="24"/>
  <c r="S1674" i="24"/>
  <c r="O1674" i="24"/>
  <c r="N1674" i="24"/>
  <c r="S1673" i="24"/>
  <c r="O1673" i="24"/>
  <c r="N1673" i="24"/>
  <c r="S1668" i="24"/>
  <c r="O1668" i="24"/>
  <c r="N1668" i="24"/>
  <c r="S1640" i="24"/>
  <c r="O1640" i="24"/>
  <c r="P1640" i="24" s="1"/>
  <c r="N1640" i="24"/>
  <c r="S1646" i="24"/>
  <c r="O1646" i="24"/>
  <c r="N1646" i="24"/>
  <c r="S1649" i="24"/>
  <c r="O1649" i="24"/>
  <c r="N1649" i="24"/>
  <c r="S1639" i="24"/>
  <c r="O1639" i="24"/>
  <c r="N1639" i="24"/>
  <c r="S1642" i="24"/>
  <c r="O1642" i="24"/>
  <c r="R1642" i="24" s="1"/>
  <c r="N1642" i="24"/>
  <c r="S1645" i="24"/>
  <c r="O1645" i="24"/>
  <c r="Q1645" i="24" s="1"/>
  <c r="N1645" i="24"/>
  <c r="S1644" i="24"/>
  <c r="O1644" i="24"/>
  <c r="N1644" i="24"/>
  <c r="S1641" i="24"/>
  <c r="O1641" i="24"/>
  <c r="N1641" i="24"/>
  <c r="S1653" i="24"/>
  <c r="O1653" i="24"/>
  <c r="P1653" i="24" s="1"/>
  <c r="N1653" i="24"/>
  <c r="S1652" i="24"/>
  <c r="O1652" i="24"/>
  <c r="R1652" i="24" s="1"/>
  <c r="N1652" i="24"/>
  <c r="S1634" i="24"/>
  <c r="O1634" i="24"/>
  <c r="N1634" i="24"/>
  <c r="S1651" i="24"/>
  <c r="O1651" i="24"/>
  <c r="N1651" i="24"/>
  <c r="S1655" i="24"/>
  <c r="O1655" i="24"/>
  <c r="R1655" i="24" s="1"/>
  <c r="N1655" i="24"/>
  <c r="S1633" i="24"/>
  <c r="O1633" i="24"/>
  <c r="N1633" i="24"/>
  <c r="S1632" i="24"/>
  <c r="O1632" i="24"/>
  <c r="N1632" i="24"/>
  <c r="S1654" i="24"/>
  <c r="O1654" i="24"/>
  <c r="N1654" i="24"/>
  <c r="S1637" i="24"/>
  <c r="O1637" i="24"/>
  <c r="R1637" i="24" s="1"/>
  <c r="N1637" i="24"/>
  <c r="S1647" i="24"/>
  <c r="O1647" i="24"/>
  <c r="N1647" i="24"/>
  <c r="S1650" i="24"/>
  <c r="O1650" i="24"/>
  <c r="N1650" i="24"/>
  <c r="S1636" i="24"/>
  <c r="O1636" i="24"/>
  <c r="N1636" i="24"/>
  <c r="S1643" i="24"/>
  <c r="O1643" i="24"/>
  <c r="R1643" i="24" s="1"/>
  <c r="N1643" i="24"/>
  <c r="S1638" i="24"/>
  <c r="O1638" i="24"/>
  <c r="Q1638" i="24" s="1"/>
  <c r="N1638" i="24"/>
  <c r="S1648" i="24"/>
  <c r="O1648" i="24"/>
  <c r="N1648" i="24"/>
  <c r="S1635" i="24"/>
  <c r="O1635" i="24"/>
  <c r="N1635" i="24"/>
  <c r="S1630" i="24"/>
  <c r="O1630" i="24"/>
  <c r="Q1630" i="24" s="1"/>
  <c r="N1630" i="24"/>
  <c r="S1627" i="24"/>
  <c r="O1627" i="24"/>
  <c r="N1627" i="24"/>
  <c r="S1629" i="24"/>
  <c r="O1629" i="24"/>
  <c r="N1629" i="24"/>
  <c r="S1628" i="24"/>
  <c r="O1628" i="24"/>
  <c r="N1628" i="24"/>
  <c r="S1631" i="24"/>
  <c r="O1631" i="24"/>
  <c r="P1631" i="24" s="1"/>
  <c r="N1631" i="24"/>
  <c r="S1626" i="24"/>
  <c r="O1626" i="24"/>
  <c r="N1626" i="24"/>
  <c r="S1606" i="24"/>
  <c r="O1606" i="24"/>
  <c r="N1606" i="24"/>
  <c r="S1599" i="24"/>
  <c r="O1599" i="24"/>
  <c r="N1599" i="24"/>
  <c r="S1604" i="24"/>
  <c r="O1604" i="24"/>
  <c r="Q1604" i="24" s="1"/>
  <c r="N1604" i="24"/>
  <c r="S1601" i="24"/>
  <c r="O1601" i="24"/>
  <c r="N1601" i="24"/>
  <c r="S1616" i="24"/>
  <c r="O1616" i="24"/>
  <c r="N1616" i="24"/>
  <c r="S1608" i="24"/>
  <c r="O1608" i="24"/>
  <c r="N1608" i="24"/>
  <c r="S1619" i="24"/>
  <c r="O1619" i="24"/>
  <c r="P1619" i="24" s="1"/>
  <c r="N1619" i="24"/>
  <c r="S1615" i="24"/>
  <c r="O1615" i="24"/>
  <c r="N1615" i="24"/>
  <c r="S1614" i="24"/>
  <c r="O1614" i="24"/>
  <c r="N1614" i="24"/>
  <c r="S1611" i="24"/>
  <c r="O1611" i="24"/>
  <c r="N1611" i="24"/>
  <c r="S1600" i="24"/>
  <c r="O1600" i="24"/>
  <c r="P1600" i="24" s="1"/>
  <c r="N1600" i="24"/>
  <c r="S1624" i="24"/>
  <c r="O1624" i="24"/>
  <c r="N1624" i="24"/>
  <c r="S1623" i="24"/>
  <c r="O1623" i="24"/>
  <c r="N1623" i="24"/>
  <c r="S1618" i="24"/>
  <c r="O1618" i="24"/>
  <c r="N1618" i="24"/>
  <c r="S1596" i="24"/>
  <c r="O1596" i="24"/>
  <c r="P1596" i="24" s="1"/>
  <c r="N1596" i="24"/>
  <c r="S1613" i="24"/>
  <c r="O1613" i="24"/>
  <c r="N1613" i="24"/>
  <c r="S1603" i="24"/>
  <c r="O1603" i="24"/>
  <c r="N1603" i="24"/>
  <c r="S1622" i="24"/>
  <c r="O1622" i="24"/>
  <c r="N1622" i="24"/>
  <c r="S1598" i="24"/>
  <c r="O1598" i="24"/>
  <c r="P1598" i="24" s="1"/>
  <c r="N1598" i="24"/>
  <c r="S1621" i="24"/>
  <c r="O1621" i="24"/>
  <c r="N1621" i="24"/>
  <c r="S1620" i="24"/>
  <c r="O1620" i="24"/>
  <c r="N1620" i="24"/>
  <c r="S1597" i="24"/>
  <c r="O1597" i="24"/>
  <c r="N1597" i="24"/>
  <c r="S1610" i="24"/>
  <c r="O1610" i="24"/>
  <c r="P1610" i="24" s="1"/>
  <c r="N1610" i="24"/>
  <c r="S1609" i="24"/>
  <c r="O1609" i="24"/>
  <c r="N1609" i="24"/>
  <c r="S1617" i="24"/>
  <c r="O1617" i="24"/>
  <c r="N1617" i="24"/>
  <c r="S1605" i="24"/>
  <c r="O1605" i="24"/>
  <c r="N1605" i="24"/>
  <c r="S1625" i="24"/>
  <c r="O1625" i="24"/>
  <c r="P1625" i="24" s="1"/>
  <c r="N1625" i="24"/>
  <c r="S1612" i="24"/>
  <c r="O1612" i="24"/>
  <c r="N1612" i="24"/>
  <c r="S1602" i="24"/>
  <c r="O1602" i="24"/>
  <c r="N1602" i="24"/>
  <c r="S1595" i="24"/>
  <c r="O1595" i="24"/>
  <c r="N1595" i="24"/>
  <c r="S1607" i="24"/>
  <c r="O1607" i="24"/>
  <c r="P1607" i="24" s="1"/>
  <c r="N1607" i="24"/>
  <c r="S1590" i="24"/>
  <c r="O1590" i="24"/>
  <c r="N1590" i="24"/>
  <c r="S1592" i="24"/>
  <c r="O1592" i="24"/>
  <c r="N1592" i="24"/>
  <c r="S1589" i="24"/>
  <c r="O1589" i="24"/>
  <c r="N1589" i="24"/>
  <c r="S1586" i="24"/>
  <c r="O1586" i="24"/>
  <c r="R1586" i="24" s="1"/>
  <c r="N1586" i="24"/>
  <c r="S1593" i="24"/>
  <c r="O1593" i="24"/>
  <c r="N1593" i="24"/>
  <c r="S1583" i="24"/>
  <c r="O1583" i="24"/>
  <c r="N1583" i="24"/>
  <c r="S1585" i="24"/>
  <c r="O1585" i="24"/>
  <c r="N1585" i="24"/>
  <c r="S1587" i="24"/>
  <c r="O1587" i="24"/>
  <c r="R1587" i="24" s="1"/>
  <c r="N1587" i="24"/>
  <c r="S1588" i="24"/>
  <c r="O1588" i="24"/>
  <c r="N1588" i="24"/>
  <c r="S1584" i="24"/>
  <c r="O1584" i="24"/>
  <c r="N1584" i="24"/>
  <c r="S1594" i="24"/>
  <c r="O1594" i="24"/>
  <c r="N1594" i="24"/>
  <c r="S1591" i="24"/>
  <c r="O1591" i="24"/>
  <c r="R1591" i="24" s="1"/>
  <c r="N1591" i="24"/>
  <c r="S1565" i="24"/>
  <c r="O1565" i="24"/>
  <c r="N1565" i="24"/>
  <c r="S1569" i="24"/>
  <c r="O1569" i="24"/>
  <c r="N1569" i="24"/>
  <c r="S1567" i="24"/>
  <c r="O1567" i="24"/>
  <c r="N1567" i="24"/>
  <c r="S1582" i="24"/>
  <c r="O1582" i="24"/>
  <c r="R1582" i="24" s="1"/>
  <c r="N1582" i="24"/>
  <c r="S1576" i="24"/>
  <c r="O1576" i="24"/>
  <c r="N1576" i="24"/>
  <c r="S1568" i="24"/>
  <c r="O1568" i="24"/>
  <c r="N1568" i="24"/>
  <c r="S1578" i="24"/>
  <c r="O1578" i="24"/>
  <c r="N1578" i="24"/>
  <c r="S1579" i="24"/>
  <c r="O1579" i="24"/>
  <c r="P1579" i="24" s="1"/>
  <c r="N1579" i="24"/>
  <c r="S1575" i="24"/>
  <c r="O1575" i="24"/>
  <c r="N1575" i="24"/>
  <c r="S1563" i="24"/>
  <c r="O1563" i="24"/>
  <c r="N1563" i="24"/>
  <c r="S1564" i="24"/>
  <c r="O1564" i="24"/>
  <c r="N1564" i="24"/>
  <c r="S1570" i="24"/>
  <c r="O1570" i="24"/>
  <c r="R1570" i="24" s="1"/>
  <c r="N1570" i="24"/>
  <c r="S1572" i="24"/>
  <c r="O1572" i="24"/>
  <c r="N1572" i="24"/>
  <c r="S1581" i="24"/>
  <c r="O1581" i="24"/>
  <c r="N1581" i="24"/>
  <c r="S1580" i="24"/>
  <c r="O1580" i="24"/>
  <c r="N1580" i="24"/>
  <c r="S1571" i="24"/>
  <c r="O1571" i="24"/>
  <c r="R1571" i="24" s="1"/>
  <c r="N1571" i="24"/>
  <c r="S1562" i="24"/>
  <c r="O1562" i="24"/>
  <c r="N1562" i="24"/>
  <c r="S1577" i="24"/>
  <c r="O1577" i="24"/>
  <c r="N1577" i="24"/>
  <c r="S1574" i="24"/>
  <c r="O1574" i="24"/>
  <c r="N1574" i="24"/>
  <c r="S1566" i="24"/>
  <c r="O1566" i="24"/>
  <c r="R1566" i="24" s="1"/>
  <c r="N1566" i="24"/>
  <c r="S1573" i="24"/>
  <c r="O1573" i="24"/>
  <c r="N1573" i="24"/>
  <c r="S1553" i="24"/>
  <c r="O1553" i="24"/>
  <c r="N1553" i="24"/>
  <c r="S1547" i="24"/>
  <c r="O1547" i="24"/>
  <c r="N1547" i="24"/>
  <c r="S1542" i="24"/>
  <c r="O1542" i="24"/>
  <c r="R1542" i="24" s="1"/>
  <c r="N1542" i="24"/>
  <c r="S1552" i="24"/>
  <c r="O1552" i="24"/>
  <c r="N1552" i="24"/>
  <c r="S1541" i="24"/>
  <c r="O1541" i="24"/>
  <c r="N1541" i="24"/>
  <c r="S1550" i="24"/>
  <c r="O1550" i="24"/>
  <c r="N1550" i="24"/>
  <c r="S1539" i="24"/>
  <c r="O1539" i="24"/>
  <c r="R1539" i="24" s="1"/>
  <c r="N1539" i="24"/>
  <c r="S1544" i="24"/>
  <c r="O1544" i="24"/>
  <c r="N1544" i="24"/>
  <c r="S1540" i="24"/>
  <c r="O1540" i="24"/>
  <c r="N1540" i="24"/>
  <c r="S1554" i="24"/>
  <c r="O1554" i="24"/>
  <c r="N1554" i="24"/>
  <c r="S1558" i="24"/>
  <c r="O1558" i="24"/>
  <c r="P1558" i="24" s="1"/>
  <c r="N1558" i="24"/>
  <c r="S1546" i="24"/>
  <c r="O1546" i="24"/>
  <c r="N1546" i="24"/>
  <c r="S1549" i="24"/>
  <c r="O1549" i="24"/>
  <c r="N1549" i="24"/>
  <c r="S1545" i="24"/>
  <c r="O1545" i="24"/>
  <c r="N1545" i="24"/>
  <c r="S1543" i="24"/>
  <c r="O1543" i="24"/>
  <c r="R1543" i="24" s="1"/>
  <c r="N1543" i="24"/>
  <c r="S1538" i="24"/>
  <c r="O1538" i="24"/>
  <c r="N1538" i="24"/>
  <c r="S1559" i="24"/>
  <c r="O1559" i="24"/>
  <c r="N1559" i="24"/>
  <c r="S1548" i="24"/>
  <c r="O1548" i="24"/>
  <c r="N1548" i="24"/>
  <c r="S1557" i="24"/>
  <c r="O1557" i="24"/>
  <c r="R1557" i="24" s="1"/>
  <c r="N1557" i="24"/>
  <c r="S1561" i="24"/>
  <c r="O1561" i="24"/>
  <c r="N1561" i="24"/>
  <c r="S1556" i="24"/>
  <c r="O1556" i="24"/>
  <c r="N1556" i="24"/>
  <c r="S1560" i="24"/>
  <c r="O1560" i="24"/>
  <c r="N1560" i="24"/>
  <c r="S1555" i="24"/>
  <c r="O1555" i="24"/>
  <c r="R1555" i="24" s="1"/>
  <c r="N1555" i="24"/>
  <c r="S1551" i="24"/>
  <c r="O1551" i="24"/>
  <c r="N1551" i="24"/>
  <c r="S1514" i="24"/>
  <c r="O1514" i="24"/>
  <c r="N1514" i="24"/>
  <c r="S1534" i="24"/>
  <c r="O1534" i="24"/>
  <c r="N1534" i="24"/>
  <c r="S1533" i="24"/>
  <c r="O1533" i="24"/>
  <c r="Q1533" i="24" s="1"/>
  <c r="N1533" i="24"/>
  <c r="S1517" i="24"/>
  <c r="O1517" i="24"/>
  <c r="N1517" i="24"/>
  <c r="S1509" i="24"/>
  <c r="O1509" i="24"/>
  <c r="N1509" i="24"/>
  <c r="S1532" i="24"/>
  <c r="O1532" i="24"/>
  <c r="N1532" i="24"/>
  <c r="S1507" i="24"/>
  <c r="O1507" i="24"/>
  <c r="Q1507" i="24" s="1"/>
  <c r="N1507" i="24"/>
  <c r="S1508" i="24"/>
  <c r="O1508" i="24"/>
  <c r="N1508" i="24"/>
  <c r="S1527" i="24"/>
  <c r="O1527" i="24"/>
  <c r="N1527" i="24"/>
  <c r="S1510" i="24"/>
  <c r="O1510" i="24"/>
  <c r="N1510" i="24"/>
  <c r="S1506" i="24"/>
  <c r="O1506" i="24"/>
  <c r="R1506" i="24" s="1"/>
  <c r="N1506" i="24"/>
  <c r="S1513" i="24"/>
  <c r="O1513" i="24"/>
  <c r="N1513" i="24"/>
  <c r="S1520" i="24"/>
  <c r="O1520" i="24"/>
  <c r="N1520" i="24"/>
  <c r="S1515" i="24"/>
  <c r="O1515" i="24"/>
  <c r="N1515" i="24"/>
  <c r="S1536" i="24"/>
  <c r="O1536" i="24"/>
  <c r="Q1536" i="24" s="1"/>
  <c r="N1536" i="24"/>
  <c r="S1516" i="24"/>
  <c r="O1516" i="24"/>
  <c r="N1516" i="24"/>
  <c r="S1512" i="24"/>
  <c r="O1512" i="24"/>
  <c r="N1512" i="24"/>
  <c r="S1528" i="24"/>
  <c r="O1528" i="24"/>
  <c r="N1528" i="24"/>
  <c r="S1521" i="24"/>
  <c r="O1521" i="24"/>
  <c r="Q1521" i="24" s="1"/>
  <c r="N1521" i="24"/>
  <c r="S1535" i="24"/>
  <c r="O1535" i="24"/>
  <c r="N1535" i="24"/>
  <c r="S1531" i="24"/>
  <c r="O1531" i="24"/>
  <c r="N1531" i="24"/>
  <c r="S1519" i="24"/>
  <c r="O1519" i="24"/>
  <c r="N1519" i="24"/>
  <c r="S1518" i="24"/>
  <c r="O1518" i="24"/>
  <c r="P1518" i="24" s="1"/>
  <c r="N1518" i="24"/>
  <c r="S1511" i="24"/>
  <c r="O1511" i="24"/>
  <c r="N1511" i="24"/>
  <c r="S1530" i="24"/>
  <c r="O1530" i="24"/>
  <c r="N1530" i="24"/>
  <c r="S1537" i="24"/>
  <c r="O1537" i="24"/>
  <c r="N1537" i="24"/>
  <c r="S1529" i="24"/>
  <c r="O1529" i="24"/>
  <c r="R1529" i="24" s="1"/>
  <c r="N1529" i="24"/>
  <c r="S1526" i="24"/>
  <c r="O1526" i="24"/>
  <c r="N1526" i="24"/>
  <c r="S1525" i="24"/>
  <c r="O1525" i="24"/>
  <c r="N1525" i="24"/>
  <c r="S1524" i="24"/>
  <c r="O1524" i="24"/>
  <c r="N1524" i="24"/>
  <c r="S1523" i="24"/>
  <c r="O1523" i="24"/>
  <c r="R1523" i="24" s="1"/>
  <c r="N1523" i="24"/>
  <c r="S1522" i="24"/>
  <c r="O1522" i="24"/>
  <c r="N1522" i="24"/>
  <c r="S1493" i="24"/>
  <c r="O1493" i="24"/>
  <c r="N1493" i="24"/>
  <c r="S1500" i="24"/>
  <c r="O1500" i="24"/>
  <c r="N1500" i="24"/>
  <c r="S1497" i="24"/>
  <c r="O1497" i="24"/>
  <c r="R1497" i="24" s="1"/>
  <c r="N1497" i="24"/>
  <c r="S1499" i="24"/>
  <c r="O1499" i="24"/>
  <c r="N1499" i="24"/>
  <c r="S1496" i="24"/>
  <c r="O1496" i="24"/>
  <c r="N1496" i="24"/>
  <c r="S1504" i="24"/>
  <c r="O1504" i="24"/>
  <c r="N1504" i="24"/>
  <c r="S1495" i="24"/>
  <c r="O1495" i="24"/>
  <c r="Q1495" i="24" s="1"/>
  <c r="N1495" i="24"/>
  <c r="S1502" i="24"/>
  <c r="O1502" i="24"/>
  <c r="N1502" i="24"/>
  <c r="S1498" i="24"/>
  <c r="O1498" i="24"/>
  <c r="N1498" i="24"/>
  <c r="S1501" i="24"/>
  <c r="O1501" i="24"/>
  <c r="N1501" i="24"/>
  <c r="S1503" i="24"/>
  <c r="O1503" i="24"/>
  <c r="R1503" i="24" s="1"/>
  <c r="N1503" i="24"/>
  <c r="S1494" i="24"/>
  <c r="O1494" i="24"/>
  <c r="N1494" i="24"/>
  <c r="S1505" i="24"/>
  <c r="O1505" i="24"/>
  <c r="N1505" i="24"/>
  <c r="S1483" i="24"/>
  <c r="O1483" i="24"/>
  <c r="N1483" i="24"/>
  <c r="S1486" i="24"/>
  <c r="O1486" i="24"/>
  <c r="P1486" i="24" s="1"/>
  <c r="N1486" i="24"/>
  <c r="S1482" i="24"/>
  <c r="O1482" i="24"/>
  <c r="N1482" i="24"/>
  <c r="S1481" i="24"/>
  <c r="O1481" i="24"/>
  <c r="N1481" i="24"/>
  <c r="S1480" i="24"/>
  <c r="O1480" i="24"/>
  <c r="N1480" i="24"/>
  <c r="S1479" i="24"/>
  <c r="O1479" i="24"/>
  <c r="P1479" i="24" s="1"/>
  <c r="N1479" i="24"/>
  <c r="S1490" i="24"/>
  <c r="O1490" i="24"/>
  <c r="N1490" i="24"/>
  <c r="S1487" i="24"/>
  <c r="O1487" i="24"/>
  <c r="N1487" i="24"/>
  <c r="S1478" i="24"/>
  <c r="O1478" i="24"/>
  <c r="N1478" i="24"/>
  <c r="S1489" i="24"/>
  <c r="O1489" i="24"/>
  <c r="Q1489" i="24" s="1"/>
  <c r="N1489" i="24"/>
  <c r="S1485" i="24"/>
  <c r="O1485" i="24"/>
  <c r="N1485" i="24"/>
  <c r="S1492" i="24"/>
  <c r="O1492" i="24"/>
  <c r="N1492" i="24"/>
  <c r="S1488" i="24"/>
  <c r="O1488" i="24"/>
  <c r="N1488" i="24"/>
  <c r="S1484" i="24"/>
  <c r="O1484" i="24"/>
  <c r="P1484" i="24" s="1"/>
  <c r="N1484" i="24"/>
  <c r="S1491" i="24"/>
  <c r="O1491" i="24"/>
  <c r="N1491" i="24"/>
  <c r="S1456" i="24"/>
  <c r="O1456" i="24"/>
  <c r="N1456" i="24"/>
  <c r="S1458" i="24"/>
  <c r="O1458" i="24"/>
  <c r="N1458" i="24"/>
  <c r="S1464" i="24"/>
  <c r="O1464" i="24"/>
  <c r="N1464" i="24"/>
  <c r="S1472" i="24"/>
  <c r="O1472" i="24"/>
  <c r="N1472" i="24"/>
  <c r="S1475" i="24"/>
  <c r="O1475" i="24"/>
  <c r="N1475" i="24"/>
  <c r="S1471" i="24"/>
  <c r="O1471" i="24"/>
  <c r="N1471" i="24"/>
  <c r="S1457" i="24"/>
  <c r="O1457" i="24"/>
  <c r="R1457" i="24" s="1"/>
  <c r="N1457" i="24"/>
  <c r="S1463" i="24"/>
  <c r="O1463" i="24"/>
  <c r="N1463" i="24"/>
  <c r="S1474" i="24"/>
  <c r="O1474" i="24"/>
  <c r="N1474" i="24"/>
  <c r="S1466" i="24"/>
  <c r="O1466" i="24"/>
  <c r="N1466" i="24"/>
  <c r="S1460" i="24"/>
  <c r="O1460" i="24"/>
  <c r="R1460" i="24" s="1"/>
  <c r="Q1464" i="24" s="1"/>
  <c r="N1460" i="24"/>
  <c r="S1477" i="24"/>
  <c r="O1477" i="24"/>
  <c r="N1477" i="24"/>
  <c r="S1476" i="24"/>
  <c r="O1476" i="24"/>
  <c r="N1476" i="24"/>
  <c r="S1470" i="24"/>
  <c r="O1470" i="24"/>
  <c r="N1470" i="24"/>
  <c r="S1465" i="24"/>
  <c r="O1465" i="24"/>
  <c r="N1465" i="24"/>
  <c r="S1473" i="24"/>
  <c r="O1473" i="24"/>
  <c r="N1473" i="24"/>
  <c r="S1469" i="24"/>
  <c r="O1469" i="24"/>
  <c r="N1469" i="24"/>
  <c r="S1462" i="24"/>
  <c r="O1462" i="24"/>
  <c r="N1462" i="24"/>
  <c r="S1454" i="24"/>
  <c r="O1454" i="24"/>
  <c r="N1454" i="24"/>
  <c r="S1468" i="24"/>
  <c r="O1468" i="24"/>
  <c r="N1468" i="24"/>
  <c r="S1467" i="24"/>
  <c r="O1467" i="24"/>
  <c r="N1467" i="24"/>
  <c r="S1461" i="24"/>
  <c r="O1461" i="24"/>
  <c r="N1461" i="24"/>
  <c r="S1459" i="24"/>
  <c r="O1459" i="24"/>
  <c r="P1459" i="24" s="1"/>
  <c r="N1459" i="24"/>
  <c r="S1455" i="24"/>
  <c r="O1455" i="24"/>
  <c r="N1455" i="24"/>
  <c r="S1452" i="24"/>
  <c r="O1452" i="24"/>
  <c r="N1452" i="24"/>
  <c r="S1453" i="24"/>
  <c r="O1453" i="24"/>
  <c r="N1453" i="24"/>
  <c r="S1450" i="24"/>
  <c r="O1450" i="24"/>
  <c r="Q1450" i="24" s="1"/>
  <c r="N1450" i="24"/>
  <c r="S1448" i="24"/>
  <c r="O1448" i="24"/>
  <c r="N1448" i="24"/>
  <c r="S1446" i="24"/>
  <c r="O1446" i="24"/>
  <c r="N1446" i="24"/>
  <c r="S1449" i="24"/>
  <c r="O1449" i="24"/>
  <c r="N1449" i="24"/>
  <c r="S1445" i="24"/>
  <c r="O1445" i="24"/>
  <c r="P1445" i="24" s="1"/>
  <c r="N1445" i="24"/>
  <c r="S1447" i="24"/>
  <c r="O1447" i="24"/>
  <c r="N1447" i="24"/>
  <c r="S1451" i="24"/>
  <c r="O1451" i="24"/>
  <c r="N1451" i="24"/>
  <c r="S1423" i="24"/>
  <c r="O1423" i="24"/>
  <c r="N1423" i="24"/>
  <c r="S1437" i="24"/>
  <c r="O1437" i="24"/>
  <c r="P1437" i="24" s="1"/>
  <c r="N1437" i="24"/>
  <c r="S1425" i="24"/>
  <c r="O1425" i="24"/>
  <c r="N1425" i="24"/>
  <c r="S1434" i="24"/>
  <c r="O1434" i="24"/>
  <c r="N1434" i="24"/>
  <c r="S1422" i="24"/>
  <c r="O1422" i="24"/>
  <c r="N1422" i="24"/>
  <c r="S1432" i="24"/>
  <c r="O1432" i="24"/>
  <c r="P1432" i="24" s="1"/>
  <c r="N1432" i="24"/>
  <c r="S1428" i="24"/>
  <c r="O1428" i="24"/>
  <c r="N1428" i="24"/>
  <c r="S1439" i="24"/>
  <c r="O1439" i="24"/>
  <c r="N1439" i="24"/>
  <c r="S1436" i="24"/>
  <c r="O1436" i="24"/>
  <c r="N1436" i="24"/>
  <c r="S1424" i="24"/>
  <c r="O1424" i="24"/>
  <c r="R1424" i="24" s="1"/>
  <c r="N1424" i="24"/>
  <c r="S1435" i="24"/>
  <c r="O1435" i="24"/>
  <c r="N1435" i="24"/>
  <c r="S1444" i="24"/>
  <c r="O1444" i="24"/>
  <c r="N1444" i="24"/>
  <c r="S1426" i="24"/>
  <c r="O1426" i="24"/>
  <c r="N1426" i="24"/>
  <c r="S1427" i="24"/>
  <c r="O1427" i="24"/>
  <c r="R1427" i="24" s="1"/>
  <c r="N1427" i="24"/>
  <c r="S1443" i="24"/>
  <c r="O1443" i="24"/>
  <c r="N1443" i="24"/>
  <c r="S1431" i="24"/>
  <c r="O1431" i="24"/>
  <c r="N1431" i="24"/>
  <c r="S1442" i="24"/>
  <c r="O1442" i="24"/>
  <c r="N1442" i="24"/>
  <c r="S1433" i="24"/>
  <c r="O1433" i="24"/>
  <c r="R1433" i="24" s="1"/>
  <c r="N1433" i="24"/>
  <c r="S1430" i="24"/>
  <c r="O1430" i="24"/>
  <c r="N1430" i="24"/>
  <c r="S1441" i="24"/>
  <c r="O1441" i="24"/>
  <c r="N1441" i="24"/>
  <c r="S1438" i="24"/>
  <c r="O1438" i="24"/>
  <c r="N1438" i="24"/>
  <c r="S1429" i="24"/>
  <c r="O1429" i="24"/>
  <c r="P1429" i="24" s="1"/>
  <c r="N1429" i="24"/>
  <c r="S1440" i="24"/>
  <c r="O1440" i="24"/>
  <c r="N1440" i="24"/>
  <c r="S1415" i="24"/>
  <c r="O1415" i="24"/>
  <c r="N1415" i="24"/>
  <c r="S1420" i="24"/>
  <c r="O1420" i="24"/>
  <c r="N1420" i="24"/>
  <c r="S1409" i="24"/>
  <c r="O1409" i="24"/>
  <c r="P1409" i="24" s="1"/>
  <c r="N1409" i="24"/>
  <c r="S1406" i="24"/>
  <c r="O1406" i="24"/>
  <c r="N1406" i="24"/>
  <c r="S1410" i="24"/>
  <c r="O1410" i="24"/>
  <c r="N1410" i="24"/>
  <c r="S1418" i="24"/>
  <c r="O1418" i="24"/>
  <c r="N1418" i="24"/>
  <c r="S1404" i="24"/>
  <c r="O1404" i="24"/>
  <c r="R1404" i="24" s="1"/>
  <c r="N1404" i="24"/>
  <c r="S1408" i="24"/>
  <c r="O1408" i="24"/>
  <c r="N1408" i="24"/>
  <c r="S1407" i="24"/>
  <c r="O1407" i="24"/>
  <c r="N1407" i="24"/>
  <c r="S1416" i="24"/>
  <c r="O1416" i="24"/>
  <c r="N1416" i="24"/>
  <c r="S1414" i="24"/>
  <c r="O1414" i="24"/>
  <c r="Q1414" i="24" s="1"/>
  <c r="N1414" i="24"/>
  <c r="S1403" i="24"/>
  <c r="O1403" i="24"/>
  <c r="N1403" i="24"/>
  <c r="S1413" i="24"/>
  <c r="O1413" i="24"/>
  <c r="N1413" i="24"/>
  <c r="S1419" i="24"/>
  <c r="O1419" i="24"/>
  <c r="N1419" i="24"/>
  <c r="S1421" i="24"/>
  <c r="O1421" i="24"/>
  <c r="Q1421" i="24" s="1"/>
  <c r="N1421" i="24"/>
  <c r="S1412" i="24"/>
  <c r="O1412" i="24"/>
  <c r="N1412" i="24"/>
  <c r="S1405" i="24"/>
  <c r="O1405" i="24"/>
  <c r="N1405" i="24"/>
  <c r="S1417" i="24"/>
  <c r="O1417" i="24"/>
  <c r="N1417" i="24"/>
  <c r="S1411" i="24"/>
  <c r="O1411" i="24"/>
  <c r="R1411" i="24" s="1"/>
  <c r="N1411" i="24"/>
  <c r="S1393" i="24"/>
  <c r="O1393" i="24"/>
  <c r="N1393" i="24"/>
  <c r="S1402" i="24"/>
  <c r="O1402" i="24"/>
  <c r="N1402" i="24"/>
  <c r="S1401" i="24"/>
  <c r="O1401" i="24"/>
  <c r="N1401" i="24"/>
  <c r="S1378" i="24"/>
  <c r="O1378" i="24"/>
  <c r="P1378" i="24" s="1"/>
  <c r="N1378" i="24"/>
  <c r="S1383" i="24"/>
  <c r="O1383" i="24"/>
  <c r="N1383" i="24"/>
  <c r="S1381" i="24"/>
  <c r="O1381" i="24"/>
  <c r="N1381" i="24"/>
  <c r="S1385" i="24"/>
  <c r="O1385" i="24"/>
  <c r="N1385" i="24"/>
  <c r="S1394" i="24"/>
  <c r="O1394" i="24"/>
  <c r="R1394" i="24" s="1"/>
  <c r="N1394" i="24"/>
  <c r="S1390" i="24"/>
  <c r="O1390" i="24"/>
  <c r="N1390" i="24"/>
  <c r="S1382" i="24"/>
  <c r="O1382" i="24"/>
  <c r="N1382" i="24"/>
  <c r="S1397" i="24"/>
  <c r="O1397" i="24"/>
  <c r="N1397" i="24"/>
  <c r="S1389" i="24"/>
  <c r="O1389" i="24"/>
  <c r="R1389" i="24" s="1"/>
  <c r="N1389" i="24"/>
  <c r="S1380" i="24"/>
  <c r="O1380" i="24"/>
  <c r="N1380" i="24"/>
  <c r="S1396" i="24"/>
  <c r="O1396" i="24"/>
  <c r="N1396" i="24"/>
  <c r="S1379" i="24"/>
  <c r="O1379" i="24"/>
  <c r="N1379" i="24"/>
  <c r="S1388" i="24"/>
  <c r="O1388" i="24"/>
  <c r="Q1388" i="24" s="1"/>
  <c r="N1388" i="24"/>
  <c r="S1399" i="24"/>
  <c r="O1399" i="24"/>
  <c r="N1399" i="24"/>
  <c r="S1377" i="24"/>
  <c r="O1377" i="24"/>
  <c r="N1377" i="24"/>
  <c r="S1376" i="24"/>
  <c r="O1376" i="24"/>
  <c r="N1376" i="24"/>
  <c r="S1395" i="24"/>
  <c r="O1395" i="24"/>
  <c r="Q1395" i="24" s="1"/>
  <c r="N1395" i="24"/>
  <c r="S1400" i="24"/>
  <c r="O1400" i="24"/>
  <c r="N1400" i="24"/>
  <c r="S1387" i="24"/>
  <c r="O1387" i="24"/>
  <c r="N1387" i="24"/>
  <c r="S1392" i="24"/>
  <c r="O1392" i="24"/>
  <c r="N1392" i="24"/>
  <c r="S1384" i="24"/>
  <c r="O1384" i="24"/>
  <c r="P1384" i="24" s="1"/>
  <c r="N1384" i="24"/>
  <c r="S1391" i="24"/>
  <c r="O1391" i="24"/>
  <c r="N1391" i="24"/>
  <c r="S1386" i="24"/>
  <c r="O1386" i="24"/>
  <c r="N1386" i="24"/>
  <c r="S1398" i="24"/>
  <c r="O1398" i="24"/>
  <c r="N1398" i="24"/>
  <c r="S1375" i="24"/>
  <c r="O1375" i="24"/>
  <c r="Q1375" i="24" s="1"/>
  <c r="N1375" i="24"/>
  <c r="S1352" i="24"/>
  <c r="O1352" i="24"/>
  <c r="N1352" i="24"/>
  <c r="S1358" i="24"/>
  <c r="O1358" i="24"/>
  <c r="N1358" i="24"/>
  <c r="S1357" i="24"/>
  <c r="O1357" i="24"/>
  <c r="N1357" i="24"/>
  <c r="S1372" i="24"/>
  <c r="O1372" i="24"/>
  <c r="Q1372" i="24" s="1"/>
  <c r="N1372" i="24"/>
  <c r="S1359" i="24"/>
  <c r="O1359" i="24"/>
  <c r="N1359" i="24"/>
  <c r="S1363" i="24"/>
  <c r="O1363" i="24"/>
  <c r="N1363" i="24"/>
  <c r="S1356" i="24"/>
  <c r="O1356" i="24"/>
  <c r="N1356" i="24"/>
  <c r="S1367" i="24"/>
  <c r="O1367" i="24"/>
  <c r="Q1367" i="24" s="1"/>
  <c r="N1367" i="24"/>
  <c r="S1368" i="24"/>
  <c r="O1368" i="24"/>
  <c r="N1368" i="24"/>
  <c r="S1370" i="24"/>
  <c r="O1370" i="24"/>
  <c r="N1370" i="24"/>
  <c r="S1362" i="24"/>
  <c r="O1362" i="24"/>
  <c r="N1362" i="24"/>
  <c r="S1364" i="24"/>
  <c r="O1364" i="24"/>
  <c r="R1364" i="24" s="1"/>
  <c r="N1364" i="24"/>
  <c r="S1365" i="24"/>
  <c r="O1365" i="24"/>
  <c r="N1365" i="24"/>
  <c r="S1373" i="24"/>
  <c r="O1373" i="24"/>
  <c r="N1373" i="24"/>
  <c r="S1355" i="24"/>
  <c r="O1355" i="24"/>
  <c r="N1355" i="24"/>
  <c r="S1374" i="24"/>
  <c r="O1374" i="24"/>
  <c r="R1374" i="24" s="1"/>
  <c r="N1374" i="24"/>
  <c r="S1366" i="24"/>
  <c r="O1366" i="24"/>
  <c r="N1366" i="24"/>
  <c r="S1351" i="24"/>
  <c r="O1351" i="24"/>
  <c r="N1351" i="24"/>
  <c r="S1361" i="24"/>
  <c r="O1361" i="24"/>
  <c r="N1361" i="24"/>
  <c r="S1350" i="24"/>
  <c r="O1350" i="24"/>
  <c r="Q1350" i="24" s="1"/>
  <c r="N1350" i="24"/>
  <c r="S1371" i="24"/>
  <c r="O1371" i="24"/>
  <c r="N1371" i="24"/>
  <c r="S1369" i="24"/>
  <c r="O1369" i="24"/>
  <c r="N1369" i="24"/>
  <c r="S1354" i="24"/>
  <c r="O1354" i="24"/>
  <c r="N1354" i="24"/>
  <c r="S1360" i="24"/>
  <c r="O1360" i="24"/>
  <c r="Q1360" i="24" s="1"/>
  <c r="N1360" i="24"/>
  <c r="S1353" i="24"/>
  <c r="O1353" i="24"/>
  <c r="N1353" i="24"/>
  <c r="S1348" i="24"/>
  <c r="O1348" i="24"/>
  <c r="N1348" i="24"/>
  <c r="S1341" i="24"/>
  <c r="O1341" i="24"/>
  <c r="N1341" i="24"/>
  <c r="S1349" i="24"/>
  <c r="O1349" i="24"/>
  <c r="R1349" i="24" s="1"/>
  <c r="N1349" i="24"/>
  <c r="S1343" i="24"/>
  <c r="O1343" i="24"/>
  <c r="N1343" i="24"/>
  <c r="S1344" i="24"/>
  <c r="O1344" i="24"/>
  <c r="N1344" i="24"/>
  <c r="S1342" i="24"/>
  <c r="O1342" i="24"/>
  <c r="N1342" i="24"/>
  <c r="S1347" i="24"/>
  <c r="O1347" i="24"/>
  <c r="P1347" i="24" s="1"/>
  <c r="N1347" i="24"/>
  <c r="S1346" i="24"/>
  <c r="O1346" i="24"/>
  <c r="N1346" i="24"/>
  <c r="S1345" i="24"/>
  <c r="O1345" i="24"/>
  <c r="N1345" i="24"/>
  <c r="S1340" i="24"/>
  <c r="O1340" i="24"/>
  <c r="N1340" i="24"/>
  <c r="S1336" i="24"/>
  <c r="O1336" i="24"/>
  <c r="R1336" i="24" s="1"/>
  <c r="N1336" i="24"/>
  <c r="S1338" i="24"/>
  <c r="O1338" i="24"/>
  <c r="N1338" i="24"/>
  <c r="S1335" i="24"/>
  <c r="O1335" i="24"/>
  <c r="N1335" i="24"/>
  <c r="S1334" i="24"/>
  <c r="O1334" i="24"/>
  <c r="N1334" i="24"/>
  <c r="S1339" i="24"/>
  <c r="O1339" i="24"/>
  <c r="R1339" i="24" s="1"/>
  <c r="N1339" i="24"/>
  <c r="S1337" i="24"/>
  <c r="O1337" i="24"/>
  <c r="N1337" i="24"/>
  <c r="S1332" i="24"/>
  <c r="O1332" i="24"/>
  <c r="N1332" i="24"/>
  <c r="S1333" i="24"/>
  <c r="O1333" i="24"/>
  <c r="N1333" i="24"/>
  <c r="S1323" i="24"/>
  <c r="O1323" i="24"/>
  <c r="P1323" i="24" s="1"/>
  <c r="N1323" i="24"/>
  <c r="S1330" i="24"/>
  <c r="O1330" i="24"/>
  <c r="N1330" i="24"/>
  <c r="S1322" i="24"/>
  <c r="O1322" i="24"/>
  <c r="N1322" i="24"/>
  <c r="S1320" i="24"/>
  <c r="O1320" i="24"/>
  <c r="N1320" i="24"/>
  <c r="S1321" i="24"/>
  <c r="O1321" i="24"/>
  <c r="Q1321" i="24" s="1"/>
  <c r="N1321" i="24"/>
  <c r="S1329" i="24"/>
  <c r="O1329" i="24"/>
  <c r="N1329" i="24"/>
  <c r="S1326" i="24"/>
  <c r="O1326" i="24"/>
  <c r="N1326" i="24"/>
  <c r="S1318" i="24"/>
  <c r="O1318" i="24"/>
  <c r="N1318" i="24"/>
  <c r="S1325" i="24"/>
  <c r="O1325" i="24"/>
  <c r="R1325" i="24" s="1"/>
  <c r="N1325" i="24"/>
  <c r="S1324" i="24"/>
  <c r="O1324" i="24"/>
  <c r="N1324" i="24"/>
  <c r="S1328" i="24"/>
  <c r="O1328" i="24"/>
  <c r="N1328" i="24"/>
  <c r="S1327" i="24"/>
  <c r="O1327" i="24"/>
  <c r="N1327" i="24"/>
  <c r="S1331" i="24"/>
  <c r="O1331" i="24"/>
  <c r="Q1331" i="24" s="1"/>
  <c r="N1331" i="24"/>
  <c r="S1319" i="24"/>
  <c r="O1319" i="24"/>
  <c r="N1319" i="24"/>
  <c r="S1309" i="24"/>
  <c r="O1309" i="24"/>
  <c r="N1309" i="24"/>
  <c r="S1308" i="24"/>
  <c r="O1308" i="24"/>
  <c r="N1308" i="24"/>
  <c r="S1303" i="24"/>
  <c r="O1303" i="24"/>
  <c r="P1303" i="24" s="1"/>
  <c r="N1303" i="24"/>
  <c r="S1315" i="24"/>
  <c r="O1315" i="24"/>
  <c r="N1315" i="24"/>
  <c r="S1316" i="24"/>
  <c r="O1316" i="24"/>
  <c r="N1316" i="24"/>
  <c r="S1312" i="24"/>
  <c r="O1312" i="24"/>
  <c r="N1312" i="24"/>
  <c r="S1301" i="24"/>
  <c r="O1301" i="24"/>
  <c r="Q1301" i="24" s="1"/>
  <c r="N1301" i="24"/>
  <c r="S1311" i="24"/>
  <c r="O1311" i="24"/>
  <c r="N1311" i="24"/>
  <c r="S1310" i="24"/>
  <c r="O1310" i="24"/>
  <c r="N1310" i="24"/>
  <c r="S1297" i="24"/>
  <c r="O1297" i="24"/>
  <c r="N1297" i="24"/>
  <c r="S1313" i="24"/>
  <c r="O1313" i="24"/>
  <c r="R1313" i="24" s="1"/>
  <c r="N1313" i="24"/>
  <c r="S1302" i="24"/>
  <c r="O1302" i="24"/>
  <c r="N1302" i="24"/>
  <c r="S1314" i="24"/>
  <c r="O1314" i="24"/>
  <c r="N1314" i="24"/>
  <c r="S1304" i="24"/>
  <c r="O1304" i="24"/>
  <c r="N1304" i="24"/>
  <c r="S1298" i="24"/>
  <c r="O1298" i="24"/>
  <c r="P1298" i="24" s="1"/>
  <c r="N1298" i="24"/>
  <c r="S1299" i="24"/>
  <c r="O1299" i="24"/>
  <c r="N1299" i="24"/>
  <c r="S1300" i="24"/>
  <c r="O1300" i="24"/>
  <c r="N1300" i="24"/>
  <c r="S1307" i="24"/>
  <c r="O1307" i="24"/>
  <c r="N1307" i="24"/>
  <c r="S1317" i="24"/>
  <c r="O1317" i="24"/>
  <c r="P1317" i="24" s="1"/>
  <c r="N1317" i="24"/>
  <c r="S1305" i="24"/>
  <c r="O1305" i="24"/>
  <c r="N1305" i="24"/>
  <c r="S1306" i="24"/>
  <c r="O1306" i="24"/>
  <c r="N1306" i="24"/>
  <c r="S1276" i="24"/>
  <c r="O1276" i="24"/>
  <c r="N1276" i="24"/>
  <c r="S1272" i="24"/>
  <c r="O1272" i="24"/>
  <c r="Q1272" i="24" s="1"/>
  <c r="N1272" i="24"/>
  <c r="S1293" i="24"/>
  <c r="O1293" i="24"/>
  <c r="N1293" i="24"/>
  <c r="S1282" i="24"/>
  <c r="O1282" i="24"/>
  <c r="N1282" i="24"/>
  <c r="S1281" i="24"/>
  <c r="O1281" i="24"/>
  <c r="N1281" i="24"/>
  <c r="S1280" i="24"/>
  <c r="O1280" i="24"/>
  <c r="Q1280" i="24" s="1"/>
  <c r="N1280" i="24"/>
  <c r="S1296" i="24"/>
  <c r="O1296" i="24"/>
  <c r="N1296" i="24"/>
  <c r="S1287" i="24"/>
  <c r="O1287" i="24"/>
  <c r="N1287" i="24"/>
  <c r="S1289" i="24"/>
  <c r="O1289" i="24"/>
  <c r="N1289" i="24"/>
  <c r="S1278" i="24"/>
  <c r="O1278" i="24"/>
  <c r="R1278" i="24" s="1"/>
  <c r="N1278" i="24"/>
  <c r="S1295" i="24"/>
  <c r="O1295" i="24"/>
  <c r="N1295" i="24"/>
  <c r="S1290" i="24"/>
  <c r="O1290" i="24"/>
  <c r="N1290" i="24"/>
  <c r="S1288" i="24"/>
  <c r="O1288" i="24"/>
  <c r="N1288" i="24"/>
  <c r="S1291" i="24"/>
  <c r="O1291" i="24"/>
  <c r="Q1291" i="24" s="1"/>
  <c r="N1291" i="24"/>
  <c r="S1277" i="24"/>
  <c r="O1277" i="24"/>
  <c r="N1277" i="24"/>
  <c r="S1273" i="24"/>
  <c r="O1273" i="24"/>
  <c r="N1273" i="24"/>
  <c r="S1286" i="24"/>
  <c r="O1286" i="24"/>
  <c r="N1286" i="24"/>
  <c r="S1285" i="24"/>
  <c r="O1285" i="24"/>
  <c r="Q1285" i="24" s="1"/>
  <c r="N1285" i="24"/>
  <c r="S1279" i="24"/>
  <c r="O1279" i="24"/>
  <c r="N1279" i="24"/>
  <c r="S1283" i="24"/>
  <c r="O1283" i="24"/>
  <c r="N1283" i="24"/>
  <c r="S1292" i="24"/>
  <c r="O1292" i="24"/>
  <c r="N1292" i="24"/>
  <c r="S1294" i="24"/>
  <c r="O1294" i="24"/>
  <c r="P1294" i="24" s="1"/>
  <c r="N1294" i="24"/>
  <c r="S1275" i="24"/>
  <c r="O1275" i="24"/>
  <c r="N1275" i="24"/>
  <c r="S1284" i="24"/>
  <c r="O1284" i="24"/>
  <c r="N1284" i="24"/>
  <c r="S1274" i="24"/>
  <c r="O1274" i="24"/>
  <c r="N1274" i="24"/>
  <c r="S1262" i="24"/>
  <c r="O1262" i="24"/>
  <c r="P1262" i="24" s="1"/>
  <c r="N1262" i="24"/>
  <c r="S1257" i="24"/>
  <c r="O1257" i="24"/>
  <c r="N1257" i="24"/>
  <c r="S1266" i="24"/>
  <c r="O1266" i="24"/>
  <c r="N1266" i="24"/>
  <c r="S1265" i="24"/>
  <c r="O1265" i="24"/>
  <c r="N1265" i="24"/>
  <c r="S1259" i="24"/>
  <c r="O1259" i="24"/>
  <c r="P1259" i="24" s="1"/>
  <c r="N1259" i="24"/>
  <c r="S1268" i="24"/>
  <c r="O1268" i="24"/>
  <c r="N1268" i="24"/>
  <c r="S1270" i="24"/>
  <c r="O1270" i="24"/>
  <c r="N1270" i="24"/>
  <c r="S1256" i="24"/>
  <c r="O1256" i="24"/>
  <c r="N1256" i="24"/>
  <c r="S1258" i="24"/>
  <c r="O1258" i="24"/>
  <c r="P1258" i="24" s="1"/>
  <c r="N1258" i="24"/>
  <c r="S1267" i="24"/>
  <c r="O1267" i="24"/>
  <c r="N1267" i="24"/>
  <c r="S1261" i="24"/>
  <c r="O1261" i="24"/>
  <c r="N1261" i="24"/>
  <c r="S1260" i="24"/>
  <c r="O1260" i="24"/>
  <c r="N1260" i="24"/>
  <c r="S1271" i="24"/>
  <c r="O1271" i="24"/>
  <c r="P1271" i="24" s="1"/>
  <c r="N1271" i="24"/>
  <c r="S1253" i="24"/>
  <c r="O1253" i="24"/>
  <c r="N1253" i="24"/>
  <c r="S1254" i="24"/>
  <c r="O1254" i="24"/>
  <c r="N1254" i="24"/>
  <c r="S1269" i="24"/>
  <c r="O1269" i="24"/>
  <c r="N1269" i="24"/>
  <c r="S1264" i="24"/>
  <c r="O1264" i="24"/>
  <c r="P1264" i="24" s="1"/>
  <c r="N1264" i="24"/>
  <c r="S1263" i="24"/>
  <c r="O1263" i="24"/>
  <c r="N1263" i="24"/>
  <c r="S1255" i="24"/>
  <c r="O1255" i="24"/>
  <c r="N1255" i="24"/>
  <c r="S1235" i="24"/>
  <c r="O1235" i="24"/>
  <c r="N1235" i="24"/>
  <c r="S1241" i="24"/>
  <c r="O1241" i="24"/>
  <c r="R1241" i="24" s="1"/>
  <c r="N1241" i="24"/>
  <c r="S1247" i="24"/>
  <c r="O1247" i="24"/>
  <c r="N1247" i="24"/>
  <c r="S1242" i="24"/>
  <c r="O1242" i="24"/>
  <c r="N1242" i="24"/>
  <c r="S1238" i="24"/>
  <c r="O1238" i="24"/>
  <c r="N1238" i="24"/>
  <c r="S1240" i="24"/>
  <c r="O1240" i="24"/>
  <c r="P1240" i="24" s="1"/>
  <c r="N1240" i="24"/>
  <c r="S1248" i="24"/>
  <c r="O1248" i="24"/>
  <c r="N1248" i="24"/>
  <c r="S1250" i="24"/>
  <c r="O1250" i="24"/>
  <c r="N1250" i="24"/>
  <c r="S1236" i="24"/>
  <c r="O1236" i="24"/>
  <c r="N1236" i="24"/>
  <c r="S1252" i="24"/>
  <c r="O1252" i="24"/>
  <c r="Q1252" i="24" s="1"/>
  <c r="N1252" i="24"/>
  <c r="S1249" i="24"/>
  <c r="O1249" i="24"/>
  <c r="N1249" i="24"/>
  <c r="S1246" i="24"/>
  <c r="O1246" i="24"/>
  <c r="N1246" i="24"/>
  <c r="S1244" i="24"/>
  <c r="O1244" i="24"/>
  <c r="N1244" i="24"/>
  <c r="S1243" i="24"/>
  <c r="O1243" i="24"/>
  <c r="R1243" i="24" s="1"/>
  <c r="N1243" i="24"/>
  <c r="S1251" i="24"/>
  <c r="O1251" i="24"/>
  <c r="N1251" i="24"/>
  <c r="S1245" i="24"/>
  <c r="O1245" i="24"/>
  <c r="N1245" i="24"/>
  <c r="S1237" i="24"/>
  <c r="O1237" i="24"/>
  <c r="N1237" i="24"/>
  <c r="S1239" i="24"/>
  <c r="O1239" i="24"/>
  <c r="R1239" i="24" s="1"/>
  <c r="N1239" i="24"/>
  <c r="S1227" i="24"/>
  <c r="O1227" i="24"/>
  <c r="N1227" i="24"/>
  <c r="S1206" i="24"/>
  <c r="O1206" i="24"/>
  <c r="N1206" i="24"/>
  <c r="S1201" i="24"/>
  <c r="O1201" i="24"/>
  <c r="N1201" i="24"/>
  <c r="S1207" i="24"/>
  <c r="O1207" i="24"/>
  <c r="R1207" i="24" s="1"/>
  <c r="N1207" i="24"/>
  <c r="S1205" i="24"/>
  <c r="O1205" i="24"/>
  <c r="N1205" i="24"/>
  <c r="S1214" i="24"/>
  <c r="O1214" i="24"/>
  <c r="N1214" i="24"/>
  <c r="S1212" i="24"/>
  <c r="O1212" i="24"/>
  <c r="N1212" i="24"/>
  <c r="S1230" i="24"/>
  <c r="O1230" i="24"/>
  <c r="Q1230" i="24" s="1"/>
  <c r="N1230" i="24"/>
  <c r="S1232" i="24"/>
  <c r="O1232" i="24"/>
  <c r="N1232" i="24"/>
  <c r="S1218" i="24"/>
  <c r="O1218" i="24"/>
  <c r="N1218" i="24"/>
  <c r="S1223" i="24"/>
  <c r="O1223" i="24"/>
  <c r="N1223" i="24"/>
  <c r="S1204" i="24"/>
  <c r="O1204" i="24"/>
  <c r="R1204" i="24" s="1"/>
  <c r="N1204" i="24"/>
  <c r="S1217" i="24"/>
  <c r="O1217" i="24"/>
  <c r="N1217" i="24"/>
  <c r="S1203" i="24"/>
  <c r="O1203" i="24"/>
  <c r="N1203" i="24"/>
  <c r="S1216" i="24"/>
  <c r="O1216" i="24"/>
  <c r="N1216" i="24"/>
  <c r="S1215" i="24"/>
  <c r="O1215" i="24"/>
  <c r="Q1215" i="24" s="1"/>
  <c r="N1215" i="24"/>
  <c r="S1208" i="24"/>
  <c r="O1208" i="24"/>
  <c r="N1208" i="24"/>
  <c r="S1197" i="24"/>
  <c r="O1197" i="24"/>
  <c r="N1197" i="24"/>
  <c r="S1226" i="24"/>
  <c r="O1226" i="24"/>
  <c r="N1226" i="24"/>
  <c r="S1231" i="24"/>
  <c r="O1231" i="24"/>
  <c r="R1231" i="24" s="1"/>
  <c r="N1231" i="24"/>
  <c r="S1211" i="24"/>
  <c r="O1211" i="24"/>
  <c r="N1211" i="24"/>
  <c r="S1199" i="24"/>
  <c r="O1199" i="24"/>
  <c r="N1199" i="24"/>
  <c r="S1225" i="24"/>
  <c r="O1225" i="24"/>
  <c r="N1225" i="24"/>
  <c r="S1200" i="24"/>
  <c r="O1200" i="24"/>
  <c r="R1200" i="24" s="1"/>
  <c r="N1200" i="24"/>
  <c r="S1224" i="24"/>
  <c r="O1224" i="24"/>
  <c r="N1224" i="24"/>
  <c r="S1222" i="24"/>
  <c r="O1222" i="24"/>
  <c r="N1222" i="24"/>
  <c r="S1213" i="24"/>
  <c r="O1213" i="24"/>
  <c r="N1213" i="24"/>
  <c r="S1221" i="24"/>
  <c r="O1221" i="24"/>
  <c r="P1221" i="24" s="1"/>
  <c r="N1221" i="24"/>
  <c r="S1196" i="24"/>
  <c r="O1196" i="24"/>
  <c r="N1196" i="24"/>
  <c r="S1229" i="24"/>
  <c r="O1229" i="24"/>
  <c r="N1229" i="24"/>
  <c r="S1210" i="24"/>
  <c r="O1210" i="24"/>
  <c r="N1210" i="24"/>
  <c r="S1209" i="24"/>
  <c r="O1209" i="24"/>
  <c r="R1209" i="24" s="1"/>
  <c r="N1209" i="24"/>
  <c r="S1220" i="24"/>
  <c r="O1220" i="24"/>
  <c r="N1220" i="24"/>
  <c r="S1228" i="24"/>
  <c r="O1228" i="24"/>
  <c r="N1228" i="24"/>
  <c r="S1202" i="24"/>
  <c r="O1202" i="24"/>
  <c r="N1202" i="24"/>
  <c r="S1219" i="24"/>
  <c r="O1219" i="24"/>
  <c r="R1219" i="24" s="1"/>
  <c r="N1219" i="24"/>
  <c r="S1233" i="24"/>
  <c r="O1233" i="24"/>
  <c r="N1233" i="24"/>
  <c r="S1198" i="24"/>
  <c r="O1198" i="24"/>
  <c r="N1198" i="24"/>
  <c r="S1234" i="24"/>
  <c r="O1234" i="24"/>
  <c r="N1234" i="24"/>
  <c r="S1166" i="24"/>
  <c r="O1166" i="24"/>
  <c r="Q1166" i="24" s="1"/>
  <c r="N1166" i="24"/>
  <c r="S1195" i="24"/>
  <c r="O1195" i="24"/>
  <c r="N1195" i="24"/>
  <c r="S1194" i="24"/>
  <c r="O1194" i="24"/>
  <c r="N1194" i="24"/>
  <c r="S1180" i="24"/>
  <c r="O1180" i="24"/>
  <c r="N1180" i="24"/>
  <c r="S1182" i="24"/>
  <c r="O1182" i="24"/>
  <c r="Q1182" i="24" s="1"/>
  <c r="N1182" i="24"/>
  <c r="S1181" i="24"/>
  <c r="O1181" i="24"/>
  <c r="N1181" i="24"/>
  <c r="S1185" i="24"/>
  <c r="O1185" i="24"/>
  <c r="N1185" i="24"/>
  <c r="S1176" i="24"/>
  <c r="O1176" i="24"/>
  <c r="N1176" i="24"/>
  <c r="S1191" i="24"/>
  <c r="O1191" i="24"/>
  <c r="P1191" i="24" s="1"/>
  <c r="N1191" i="24"/>
  <c r="S1186" i="24"/>
  <c r="O1186" i="24"/>
  <c r="N1186" i="24"/>
  <c r="S1172" i="24"/>
  <c r="O1172" i="24"/>
  <c r="N1172" i="24"/>
  <c r="S1188" i="24"/>
  <c r="O1188" i="24"/>
  <c r="N1188" i="24"/>
  <c r="S1168" i="24"/>
  <c r="O1168" i="24"/>
  <c r="P1168" i="24" s="1"/>
  <c r="N1168" i="24"/>
  <c r="S1167" i="24"/>
  <c r="O1167" i="24"/>
  <c r="N1167" i="24"/>
  <c r="S1165" i="24"/>
  <c r="O1165" i="24"/>
  <c r="N1165" i="24"/>
  <c r="S1171" i="24"/>
  <c r="O1171" i="24"/>
  <c r="N1171" i="24"/>
  <c r="S1173" i="24"/>
  <c r="O1173" i="24"/>
  <c r="Q1173" i="24" s="1"/>
  <c r="N1173" i="24"/>
  <c r="S1179" i="24"/>
  <c r="O1179" i="24"/>
  <c r="N1179" i="24"/>
  <c r="S1187" i="24"/>
  <c r="O1187" i="24"/>
  <c r="N1187" i="24"/>
  <c r="S1192" i="24"/>
  <c r="O1192" i="24"/>
  <c r="N1192" i="24"/>
  <c r="S1175" i="24"/>
  <c r="O1175" i="24"/>
  <c r="Q1175" i="24" s="1"/>
  <c r="N1175" i="24"/>
  <c r="S1177" i="24"/>
  <c r="O1177" i="24"/>
  <c r="N1177" i="24"/>
  <c r="S1193" i="24"/>
  <c r="O1193" i="24"/>
  <c r="N1193" i="24"/>
  <c r="S1190" i="24"/>
  <c r="O1190" i="24"/>
  <c r="N1190" i="24"/>
  <c r="S1164" i="24"/>
  <c r="O1164" i="24"/>
  <c r="R1164" i="24" s="1"/>
  <c r="N1164" i="24"/>
  <c r="S1170" i="24"/>
  <c r="O1170" i="24"/>
  <c r="N1170" i="24"/>
  <c r="S1183" i="24"/>
  <c r="O1183" i="24"/>
  <c r="N1183" i="24"/>
  <c r="S1174" i="24"/>
  <c r="O1174" i="24"/>
  <c r="N1174" i="24"/>
  <c r="S1178" i="24"/>
  <c r="O1178" i="24"/>
  <c r="R1178" i="24" s="1"/>
  <c r="N1178" i="24"/>
  <c r="S1189" i="24"/>
  <c r="O1189" i="24"/>
  <c r="N1189" i="24"/>
  <c r="S1184" i="24"/>
  <c r="O1184" i="24"/>
  <c r="N1184" i="24"/>
  <c r="S1169" i="24"/>
  <c r="O1169" i="24"/>
  <c r="N1169" i="24"/>
  <c r="S1132" i="24"/>
  <c r="O1132" i="24"/>
  <c r="Q1132" i="24" s="1"/>
  <c r="N1132" i="24"/>
  <c r="S1133" i="24"/>
  <c r="O1133" i="24"/>
  <c r="N1133" i="24"/>
  <c r="S1160" i="24"/>
  <c r="O1160" i="24"/>
  <c r="N1160" i="24"/>
  <c r="S1152" i="24"/>
  <c r="O1152" i="24"/>
  <c r="N1152" i="24"/>
  <c r="S1149" i="24"/>
  <c r="O1149" i="24"/>
  <c r="Q1149" i="24" s="1"/>
  <c r="N1149" i="24"/>
  <c r="S1158" i="24"/>
  <c r="O1158" i="24"/>
  <c r="N1158" i="24"/>
  <c r="S1151" i="24"/>
  <c r="O1151" i="24"/>
  <c r="N1151" i="24"/>
  <c r="S1138" i="24"/>
  <c r="O1138" i="24"/>
  <c r="N1138" i="24"/>
  <c r="S1161" i="24"/>
  <c r="O1161" i="24"/>
  <c r="P1161" i="24" s="1"/>
  <c r="N1161" i="24"/>
  <c r="S1131" i="24"/>
  <c r="O1131" i="24"/>
  <c r="N1131" i="24"/>
  <c r="S1122" i="24"/>
  <c r="O1122" i="24"/>
  <c r="N1122" i="24"/>
  <c r="S1142" i="24"/>
  <c r="O1142" i="24"/>
  <c r="N1142" i="24"/>
  <c r="S1127" i="24"/>
  <c r="O1127" i="24"/>
  <c r="R1127" i="24" s="1"/>
  <c r="N1127" i="24"/>
  <c r="S1159" i="24"/>
  <c r="O1159" i="24"/>
  <c r="N1159" i="24"/>
  <c r="S1148" i="24"/>
  <c r="O1148" i="24"/>
  <c r="N1148" i="24"/>
  <c r="S1137" i="24"/>
  <c r="O1137" i="24"/>
  <c r="N1137" i="24"/>
  <c r="S1156" i="24"/>
  <c r="O1156" i="24"/>
  <c r="P1156" i="24" s="1"/>
  <c r="N1156" i="24"/>
  <c r="S1163" i="24"/>
  <c r="O1163" i="24"/>
  <c r="Q1163" i="24" s="1"/>
  <c r="N1163" i="24"/>
  <c r="S1130" i="24"/>
  <c r="O1130" i="24"/>
  <c r="N1130" i="24"/>
  <c r="S1129" i="24"/>
  <c r="O1129" i="24"/>
  <c r="N1129" i="24"/>
  <c r="S1134" i="24"/>
  <c r="O1134" i="24"/>
  <c r="P1134" i="24" s="1"/>
  <c r="N1134" i="24"/>
  <c r="S1145" i="24"/>
  <c r="O1145" i="24"/>
  <c r="N1145" i="24"/>
  <c r="S1150" i="24"/>
  <c r="O1150" i="24"/>
  <c r="N1150" i="24"/>
  <c r="S1146" i="24"/>
  <c r="O1146" i="24"/>
  <c r="N1146" i="24"/>
  <c r="S1143" i="24"/>
  <c r="O1143" i="24"/>
  <c r="R1143" i="24" s="1"/>
  <c r="N1143" i="24"/>
  <c r="S1147" i="24"/>
  <c r="O1147" i="24"/>
  <c r="R1147" i="24" s="1"/>
  <c r="N1147" i="24"/>
  <c r="S1125" i="24"/>
  <c r="O1125" i="24"/>
  <c r="N1125" i="24"/>
  <c r="S1153" i="24"/>
  <c r="O1153" i="24"/>
  <c r="N1153" i="24"/>
  <c r="S1144" i="24"/>
  <c r="O1144" i="24"/>
  <c r="R1144" i="24" s="1"/>
  <c r="N1144" i="24"/>
  <c r="S1157" i="24"/>
  <c r="O1157" i="24"/>
  <c r="N1157" i="24"/>
  <c r="S1154" i="24"/>
  <c r="O1154" i="24"/>
  <c r="N1154" i="24"/>
  <c r="S1126" i="24"/>
  <c r="O1126" i="24"/>
  <c r="N1126" i="24"/>
  <c r="S1141" i="24"/>
  <c r="O1141" i="24"/>
  <c r="R1141" i="24" s="1"/>
  <c r="N1141" i="24"/>
  <c r="S1140" i="24"/>
  <c r="O1140" i="24"/>
  <c r="N1140" i="24"/>
  <c r="S1123" i="24"/>
  <c r="O1123" i="24"/>
  <c r="N1123" i="24"/>
  <c r="S1139" i="24"/>
  <c r="O1139" i="24"/>
  <c r="N1139" i="24"/>
  <c r="S1136" i="24"/>
  <c r="O1136" i="24"/>
  <c r="Q1136" i="24" s="1"/>
  <c r="N1136" i="24"/>
  <c r="S1124" i="24"/>
  <c r="O1124" i="24"/>
  <c r="N1124" i="24"/>
  <c r="S1135" i="24"/>
  <c r="O1135" i="24"/>
  <c r="N1135" i="24"/>
  <c r="S1128" i="24"/>
  <c r="O1128" i="24"/>
  <c r="N1128" i="24"/>
  <c r="S1162" i="24"/>
  <c r="O1162" i="24"/>
  <c r="R1162" i="24" s="1"/>
  <c r="N1162" i="24"/>
  <c r="S1155" i="24"/>
  <c r="O1155" i="24"/>
  <c r="N1155" i="24"/>
  <c r="S1121" i="24"/>
  <c r="O1121" i="24"/>
  <c r="N1121" i="24"/>
  <c r="S1120" i="24"/>
  <c r="O1120" i="24"/>
  <c r="N1120" i="24"/>
  <c r="S1119" i="24"/>
  <c r="O1119" i="24"/>
  <c r="P1119" i="24" s="1"/>
  <c r="N1119" i="24"/>
  <c r="S1118" i="24"/>
  <c r="O1118" i="24"/>
  <c r="N1118" i="24"/>
  <c r="S1117" i="24"/>
  <c r="O1117" i="24"/>
  <c r="N1117" i="24"/>
  <c r="S1116" i="24"/>
  <c r="O1116" i="24"/>
  <c r="N1116" i="24"/>
  <c r="S1115" i="24"/>
  <c r="O1115" i="24"/>
  <c r="Q1115" i="24" s="1"/>
  <c r="N1115" i="24"/>
  <c r="S1110" i="24"/>
  <c r="O1110" i="24"/>
  <c r="Q1110" i="24" s="1"/>
  <c r="N1110" i="24"/>
  <c r="S1099" i="24"/>
  <c r="O1099" i="24"/>
  <c r="N1099" i="24"/>
  <c r="S1104" i="24"/>
  <c r="O1104" i="24"/>
  <c r="N1104" i="24"/>
  <c r="S1106" i="24"/>
  <c r="O1106" i="24"/>
  <c r="R1106" i="24" s="1"/>
  <c r="N1106" i="24"/>
  <c r="S1095" i="24"/>
  <c r="O1095" i="24"/>
  <c r="N1095" i="24"/>
  <c r="S1111" i="24"/>
  <c r="O1111" i="24"/>
  <c r="N1111" i="24"/>
  <c r="S1112" i="24"/>
  <c r="O1112" i="24"/>
  <c r="N1112" i="24"/>
  <c r="S1096" i="24"/>
  <c r="O1096" i="24"/>
  <c r="R1096" i="24" s="1"/>
  <c r="N1096" i="24"/>
  <c r="S1107" i="24"/>
  <c r="O1107" i="24"/>
  <c r="Q1107" i="24" s="1"/>
  <c r="N1107" i="24"/>
  <c r="S1105" i="24"/>
  <c r="O1105" i="24"/>
  <c r="N1105" i="24"/>
  <c r="S1098" i="24"/>
  <c r="O1098" i="24"/>
  <c r="N1098" i="24"/>
  <c r="S1108" i="24"/>
  <c r="O1108" i="24"/>
  <c r="R1108" i="24" s="1"/>
  <c r="N1108" i="24"/>
  <c r="S1097" i="24"/>
  <c r="O1097" i="24"/>
  <c r="N1097" i="24"/>
  <c r="S1114" i="24"/>
  <c r="O1114" i="24"/>
  <c r="N1114" i="24"/>
  <c r="S1103" i="24"/>
  <c r="O1103" i="24"/>
  <c r="N1103" i="24"/>
  <c r="S1094" i="24"/>
  <c r="O1094" i="24"/>
  <c r="R1094" i="24" s="1"/>
  <c r="N1094" i="24"/>
  <c r="S1102" i="24"/>
  <c r="O1102" i="24"/>
  <c r="N1102" i="24"/>
  <c r="S1101" i="24"/>
  <c r="O1101" i="24"/>
  <c r="N1101" i="24"/>
  <c r="S1113" i="24"/>
  <c r="O1113" i="24"/>
  <c r="N1113" i="24"/>
  <c r="S1109" i="24"/>
  <c r="O1109" i="24"/>
  <c r="Q1109" i="24" s="1"/>
  <c r="N1109" i="24"/>
  <c r="S1093" i="24"/>
  <c r="O1093" i="24"/>
  <c r="N1093" i="24"/>
  <c r="S1100" i="24"/>
  <c r="O1100" i="24"/>
  <c r="N1100" i="24"/>
  <c r="S1077" i="24"/>
  <c r="O1077" i="24"/>
  <c r="N1077" i="24"/>
  <c r="S1091" i="24"/>
  <c r="O1091" i="24"/>
  <c r="P1091" i="24" s="1"/>
  <c r="N1091" i="24"/>
  <c r="S1085" i="24"/>
  <c r="O1085" i="24"/>
  <c r="N1085" i="24"/>
  <c r="S1088" i="24"/>
  <c r="O1088" i="24"/>
  <c r="N1088" i="24"/>
  <c r="S1080" i="24"/>
  <c r="O1080" i="24"/>
  <c r="N1080" i="24"/>
  <c r="S1081" i="24"/>
  <c r="O1081" i="24"/>
  <c r="R1081" i="24" s="1"/>
  <c r="N1081" i="24"/>
  <c r="S1074" i="24"/>
  <c r="O1074" i="24"/>
  <c r="N1074" i="24"/>
  <c r="S1086" i="24"/>
  <c r="O1086" i="24"/>
  <c r="N1086" i="24"/>
  <c r="S1079" i="24"/>
  <c r="O1079" i="24"/>
  <c r="N1079" i="24"/>
  <c r="S1090" i="24"/>
  <c r="O1090" i="24"/>
  <c r="Q1090" i="24" s="1"/>
  <c r="N1090" i="24"/>
  <c r="S1083" i="24"/>
  <c r="O1083" i="24"/>
  <c r="Q1083" i="24" s="1"/>
  <c r="N1083" i="24"/>
  <c r="S1089" i="24"/>
  <c r="O1089" i="24"/>
  <c r="N1089" i="24"/>
  <c r="S1082" i="24"/>
  <c r="O1082" i="24"/>
  <c r="N1082" i="24"/>
  <c r="S1070" i="24"/>
  <c r="O1070" i="24"/>
  <c r="Q1070" i="24" s="1"/>
  <c r="N1070" i="24"/>
  <c r="S1076" i="24"/>
  <c r="O1076" i="24"/>
  <c r="N1076" i="24"/>
  <c r="S1092" i="24"/>
  <c r="O1092" i="24"/>
  <c r="N1092" i="24"/>
  <c r="S1073" i="24"/>
  <c r="O1073" i="24"/>
  <c r="N1073" i="24"/>
  <c r="S1087" i="24"/>
  <c r="O1087" i="24"/>
  <c r="R1087" i="24" s="1"/>
  <c r="N1087" i="24"/>
  <c r="S1071" i="24"/>
  <c r="O1071" i="24"/>
  <c r="Q1071" i="24" s="1"/>
  <c r="N1071" i="24"/>
  <c r="S1075" i="24"/>
  <c r="O1075" i="24"/>
  <c r="N1075" i="24"/>
  <c r="S1072" i="24"/>
  <c r="O1072" i="24"/>
  <c r="N1072" i="24"/>
  <c r="S1084" i="24"/>
  <c r="O1084" i="24"/>
  <c r="R1084" i="24" s="1"/>
  <c r="N1084" i="24"/>
  <c r="S1078" i="24"/>
  <c r="O1078" i="24"/>
  <c r="N1078" i="24"/>
  <c r="S1061" i="24"/>
  <c r="O1061" i="24"/>
  <c r="N1061" i="24"/>
  <c r="S1067" i="24"/>
  <c r="O1067" i="24"/>
  <c r="N1067" i="24"/>
  <c r="S1068" i="24"/>
  <c r="O1068" i="24"/>
  <c r="Q1068" i="24" s="1"/>
  <c r="N1068" i="24"/>
  <c r="S1052" i="24"/>
  <c r="O1052" i="24"/>
  <c r="Q1052" i="24" s="1"/>
  <c r="N1052" i="24"/>
  <c r="S1048" i="24"/>
  <c r="O1048" i="24"/>
  <c r="N1048" i="24"/>
  <c r="S1065" i="24"/>
  <c r="O1065" i="24"/>
  <c r="N1065" i="24"/>
  <c r="S1057" i="24"/>
  <c r="O1057" i="24"/>
  <c r="P1057" i="24" s="1"/>
  <c r="N1057" i="24"/>
  <c r="S1054" i="24"/>
  <c r="O1054" i="24"/>
  <c r="N1054" i="24"/>
  <c r="S1064" i="24"/>
  <c r="O1064" i="24"/>
  <c r="N1064" i="24"/>
  <c r="S1058" i="24"/>
  <c r="O1058" i="24"/>
  <c r="N1058" i="24"/>
  <c r="S1045" i="24"/>
  <c r="O1045" i="24"/>
  <c r="R1045" i="24" s="1"/>
  <c r="N1045" i="24"/>
  <c r="S1051" i="24"/>
  <c r="O1051" i="24"/>
  <c r="P1051" i="24" s="1"/>
  <c r="N1051" i="24"/>
  <c r="S1059" i="24"/>
  <c r="O1059" i="24"/>
  <c r="N1059" i="24"/>
  <c r="S1066" i="24"/>
  <c r="O1066" i="24"/>
  <c r="N1066" i="24"/>
  <c r="S1050" i="24"/>
  <c r="O1050" i="24"/>
  <c r="Q1050" i="24" s="1"/>
  <c r="N1050" i="24"/>
  <c r="S1069" i="24"/>
  <c r="O1069" i="24"/>
  <c r="N1069" i="24"/>
  <c r="S1046" i="24"/>
  <c r="O1046" i="24"/>
  <c r="N1046" i="24"/>
  <c r="S1055" i="24"/>
  <c r="O1055" i="24"/>
  <c r="N1055" i="24"/>
  <c r="S1049" i="24"/>
  <c r="O1049" i="24"/>
  <c r="P1049" i="24" s="1"/>
  <c r="N1049" i="24"/>
  <c r="S1063" i="24"/>
  <c r="O1063" i="24"/>
  <c r="Q1063" i="24" s="1"/>
  <c r="N1063" i="24"/>
  <c r="S1060" i="24"/>
  <c r="O1060" i="24"/>
  <c r="N1060" i="24"/>
  <c r="S1062" i="24"/>
  <c r="O1062" i="24"/>
  <c r="N1062" i="24"/>
  <c r="S1047" i="24"/>
  <c r="O1047" i="24"/>
  <c r="R1047" i="24" s="1"/>
  <c r="N1047" i="24"/>
  <c r="S1053" i="24"/>
  <c r="O1053" i="24"/>
  <c r="N1053" i="24"/>
  <c r="S1056" i="24"/>
  <c r="O1056" i="24"/>
  <c r="N1056" i="24"/>
  <c r="S1044" i="24"/>
  <c r="O1044" i="24"/>
  <c r="N1044" i="24"/>
  <c r="S1025" i="24"/>
  <c r="O1025" i="24"/>
  <c r="R1025" i="24" s="1"/>
  <c r="N1025" i="24"/>
  <c r="S1030" i="24"/>
  <c r="O1030" i="24"/>
  <c r="N1030" i="24"/>
  <c r="S1034" i="24"/>
  <c r="O1034" i="24"/>
  <c r="N1034" i="24"/>
  <c r="S1043" i="24"/>
  <c r="O1043" i="24"/>
  <c r="N1043" i="24"/>
  <c r="S1029" i="24"/>
  <c r="O1029" i="24"/>
  <c r="P1029" i="24" s="1"/>
  <c r="N1029" i="24"/>
  <c r="S1012" i="24"/>
  <c r="O1012" i="24"/>
  <c r="N1012" i="24"/>
  <c r="S1023" i="24"/>
  <c r="O1023" i="24"/>
  <c r="N1023" i="24"/>
  <c r="S1017" i="24"/>
  <c r="O1017" i="24"/>
  <c r="N1017" i="24"/>
  <c r="S1033" i="24"/>
  <c r="O1033" i="24"/>
  <c r="P1033" i="24" s="1"/>
  <c r="N1033" i="24"/>
  <c r="S1041" i="24"/>
  <c r="O1041" i="24"/>
  <c r="N1041" i="24"/>
  <c r="S1022" i="24"/>
  <c r="O1022" i="24"/>
  <c r="N1022" i="24"/>
  <c r="S1027" i="24"/>
  <c r="O1027" i="24"/>
  <c r="N1027" i="24"/>
  <c r="S1004" i="24"/>
  <c r="O1004" i="24"/>
  <c r="R1004" i="24" s="1"/>
  <c r="N1004" i="24"/>
  <c r="S1032" i="24"/>
  <c r="O1032" i="24"/>
  <c r="N1032" i="24"/>
  <c r="S1040" i="24"/>
  <c r="O1040" i="24"/>
  <c r="N1040" i="24"/>
  <c r="S1020" i="24"/>
  <c r="O1020" i="24"/>
  <c r="N1020" i="24"/>
  <c r="S1008" i="24"/>
  <c r="O1008" i="24"/>
  <c r="R1008" i="24" s="1"/>
  <c r="N1008" i="24"/>
  <c r="S1042" i="24"/>
  <c r="O1042" i="24"/>
  <c r="N1042" i="24"/>
  <c r="S1036" i="24"/>
  <c r="O1036" i="24"/>
  <c r="N1036" i="24"/>
  <c r="S1024" i="24"/>
  <c r="O1024" i="24"/>
  <c r="N1024" i="24"/>
  <c r="S1021" i="24"/>
  <c r="O1021" i="24"/>
  <c r="P1021" i="24" s="1"/>
  <c r="N1021" i="24"/>
  <c r="S1013" i="24"/>
  <c r="O1013" i="24"/>
  <c r="N1013" i="24"/>
  <c r="S1026" i="24"/>
  <c r="O1026" i="24"/>
  <c r="N1026" i="24"/>
  <c r="S1035" i="24"/>
  <c r="O1035" i="24"/>
  <c r="N1035" i="24"/>
  <c r="S1010" i="24"/>
  <c r="O1010" i="24"/>
  <c r="Q1010" i="24" s="1"/>
  <c r="N1010" i="24"/>
  <c r="S1037" i="24"/>
  <c r="O1037" i="24"/>
  <c r="P1037" i="24" s="1"/>
  <c r="N1037" i="24"/>
  <c r="S1003" i="24"/>
  <c r="O1003" i="24"/>
  <c r="N1003" i="24"/>
  <c r="S1009" i="24"/>
  <c r="O1009" i="24"/>
  <c r="N1009" i="24"/>
  <c r="S1019" i="24"/>
  <c r="O1019" i="24"/>
  <c r="Q1019" i="24" s="1"/>
  <c r="N1019" i="24"/>
  <c r="S1028" i="24"/>
  <c r="O1028" i="24"/>
  <c r="N1028" i="24"/>
  <c r="S1018" i="24"/>
  <c r="O1018" i="24"/>
  <c r="N1018" i="24"/>
  <c r="S1016" i="24"/>
  <c r="O1016" i="24"/>
  <c r="N1016" i="24"/>
  <c r="S1005" i="24"/>
  <c r="O1005" i="24"/>
  <c r="R1005" i="24" s="1"/>
  <c r="N1005" i="24"/>
  <c r="S1006" i="24"/>
  <c r="O1006" i="24"/>
  <c r="N1006" i="24"/>
  <c r="S1039" i="24"/>
  <c r="O1039" i="24"/>
  <c r="N1039" i="24"/>
  <c r="S1011" i="24"/>
  <c r="O1011" i="24"/>
  <c r="N1011" i="24"/>
  <c r="S1007" i="24"/>
  <c r="O1007" i="24"/>
  <c r="P1007" i="24" s="1"/>
  <c r="N1007" i="24"/>
  <c r="S1031" i="24"/>
  <c r="O1031" i="24"/>
  <c r="N1031" i="24"/>
  <c r="S1015" i="24"/>
  <c r="O1015" i="24"/>
  <c r="N1015" i="24"/>
  <c r="S1014" i="24"/>
  <c r="O1014" i="24"/>
  <c r="N1014" i="24"/>
  <c r="S1038" i="24"/>
  <c r="O1038" i="24"/>
  <c r="R1038" i="24" s="1"/>
  <c r="N1038" i="24"/>
  <c r="S984" i="24"/>
  <c r="O984" i="24"/>
  <c r="Q984" i="24" s="1"/>
  <c r="N984" i="24"/>
  <c r="S996" i="24"/>
  <c r="O996" i="24"/>
  <c r="N996" i="24"/>
  <c r="S1000" i="24"/>
  <c r="O1000" i="24"/>
  <c r="N1000" i="24"/>
  <c r="S988" i="24"/>
  <c r="O988" i="24"/>
  <c r="R988" i="24" s="1"/>
  <c r="N988" i="24"/>
  <c r="S983" i="24"/>
  <c r="O983" i="24"/>
  <c r="Q983" i="24" s="1"/>
  <c r="N983" i="24"/>
  <c r="S985" i="24"/>
  <c r="O985" i="24"/>
  <c r="N985" i="24"/>
  <c r="S992" i="24"/>
  <c r="O992" i="24"/>
  <c r="N992" i="24"/>
  <c r="S993" i="24"/>
  <c r="O993" i="24"/>
  <c r="N993" i="24"/>
  <c r="S995" i="24"/>
  <c r="O995" i="24"/>
  <c r="Q995" i="24" s="1"/>
  <c r="N995" i="24"/>
  <c r="S1001" i="24"/>
  <c r="O1001" i="24"/>
  <c r="N1001" i="24"/>
  <c r="S991" i="24"/>
  <c r="O991" i="24"/>
  <c r="N991" i="24"/>
  <c r="S990" i="24"/>
  <c r="O990" i="24"/>
  <c r="N990" i="24"/>
  <c r="S989" i="24"/>
  <c r="O989" i="24"/>
  <c r="R989" i="24" s="1"/>
  <c r="N989" i="24"/>
  <c r="S981" i="24"/>
  <c r="O981" i="24"/>
  <c r="N981" i="24"/>
  <c r="S987" i="24"/>
  <c r="O987" i="24"/>
  <c r="N987" i="24"/>
  <c r="S997" i="24"/>
  <c r="O997" i="24"/>
  <c r="N997" i="24"/>
  <c r="S998" i="24"/>
  <c r="O998" i="24"/>
  <c r="R998" i="24" s="1"/>
  <c r="N998" i="24"/>
  <c r="S1002" i="24"/>
  <c r="O1002" i="24"/>
  <c r="N1002" i="24"/>
  <c r="S979" i="24"/>
  <c r="O979" i="24"/>
  <c r="N979" i="24"/>
  <c r="S999" i="24"/>
  <c r="O999" i="24"/>
  <c r="N999" i="24"/>
  <c r="S982" i="24"/>
  <c r="O982" i="24"/>
  <c r="P982" i="24" s="1"/>
  <c r="N982" i="24"/>
  <c r="S994" i="24"/>
  <c r="O994" i="24"/>
  <c r="N994" i="24"/>
  <c r="S980" i="24"/>
  <c r="O980" i="24"/>
  <c r="N980" i="24"/>
  <c r="S986" i="24"/>
  <c r="O986" i="24"/>
  <c r="N986" i="24"/>
  <c r="S968" i="24"/>
  <c r="O968" i="24"/>
  <c r="N968" i="24"/>
  <c r="S966" i="24"/>
  <c r="O966" i="24"/>
  <c r="N966" i="24"/>
  <c r="S975" i="24"/>
  <c r="O975" i="24"/>
  <c r="N975" i="24"/>
  <c r="S970" i="24"/>
  <c r="O970" i="24"/>
  <c r="N970" i="24"/>
  <c r="S973" i="24"/>
  <c r="O973" i="24"/>
  <c r="N973" i="24"/>
  <c r="S978" i="24"/>
  <c r="O978" i="24"/>
  <c r="N978" i="24"/>
  <c r="S974" i="24"/>
  <c r="O974" i="24"/>
  <c r="N974" i="24"/>
  <c r="S977" i="24"/>
  <c r="O977" i="24"/>
  <c r="N977" i="24"/>
  <c r="S976" i="24"/>
  <c r="O976" i="24"/>
  <c r="N976" i="24"/>
  <c r="S972" i="24"/>
  <c r="O972" i="24"/>
  <c r="N972" i="24"/>
  <c r="S971" i="24"/>
  <c r="O971" i="24"/>
  <c r="N971" i="24"/>
  <c r="S965" i="24"/>
  <c r="O965" i="24"/>
  <c r="N965" i="24"/>
  <c r="S969" i="24"/>
  <c r="O969" i="24"/>
  <c r="N969" i="24"/>
  <c r="S967" i="24"/>
  <c r="O967" i="24"/>
  <c r="N967" i="24"/>
  <c r="S948" i="24"/>
  <c r="O948" i="24"/>
  <c r="N948" i="24"/>
  <c r="S964" i="24"/>
  <c r="O964" i="24"/>
  <c r="N964" i="24"/>
  <c r="S960" i="24"/>
  <c r="O960" i="24"/>
  <c r="N960" i="24"/>
  <c r="S959" i="24"/>
  <c r="O959" i="24"/>
  <c r="N959" i="24"/>
  <c r="S956" i="24"/>
  <c r="O956" i="24"/>
  <c r="N956" i="24"/>
  <c r="S962" i="24"/>
  <c r="O962" i="24"/>
  <c r="N962" i="24"/>
  <c r="S955" i="24"/>
  <c r="O955" i="24"/>
  <c r="N955" i="24"/>
  <c r="S961" i="24"/>
  <c r="O961" i="24"/>
  <c r="N961" i="24"/>
  <c r="S947" i="24"/>
  <c r="O947" i="24"/>
  <c r="N947" i="24"/>
  <c r="S963" i="24"/>
  <c r="O963" i="24"/>
  <c r="N963" i="24"/>
  <c r="S958" i="24"/>
  <c r="O958" i="24"/>
  <c r="N958" i="24"/>
  <c r="S952" i="24"/>
  <c r="O952" i="24"/>
  <c r="N952" i="24"/>
  <c r="S954" i="24"/>
  <c r="O954" i="24"/>
  <c r="N954" i="24"/>
  <c r="S953" i="24"/>
  <c r="O953" i="24"/>
  <c r="N953" i="24"/>
  <c r="S945" i="24"/>
  <c r="O945" i="24"/>
  <c r="N945" i="24"/>
  <c r="S951" i="24"/>
  <c r="O951" i="24"/>
  <c r="N951" i="24"/>
  <c r="S950" i="24"/>
  <c r="O950" i="24"/>
  <c r="N950" i="24"/>
  <c r="S949" i="24"/>
  <c r="O949" i="24"/>
  <c r="N949" i="24"/>
  <c r="S957" i="24"/>
  <c r="O957" i="24"/>
  <c r="N957" i="24"/>
  <c r="S946" i="24"/>
  <c r="O946" i="24"/>
  <c r="N946" i="24"/>
  <c r="S916" i="24"/>
  <c r="O916" i="24"/>
  <c r="N916" i="24"/>
  <c r="S924" i="24"/>
  <c r="O924" i="24"/>
  <c r="N924" i="24"/>
  <c r="S932" i="24"/>
  <c r="O932" i="24"/>
  <c r="N932" i="24"/>
  <c r="S926" i="24"/>
  <c r="O926" i="24"/>
  <c r="N926" i="24"/>
  <c r="S925" i="24"/>
  <c r="O925" i="24"/>
  <c r="N925" i="24"/>
  <c r="S930" i="24"/>
  <c r="O930" i="24"/>
  <c r="N930" i="24"/>
  <c r="S933" i="24"/>
  <c r="O933" i="24"/>
  <c r="N933" i="24"/>
  <c r="S927" i="24"/>
  <c r="O927" i="24"/>
  <c r="N927" i="24"/>
  <c r="S923" i="24"/>
  <c r="O923" i="24"/>
  <c r="N923" i="24"/>
  <c r="S944" i="24"/>
  <c r="O944" i="24"/>
  <c r="N944" i="24"/>
  <c r="S937" i="24"/>
  <c r="O937" i="24"/>
  <c r="N937" i="24"/>
  <c r="S912" i="24"/>
  <c r="O912" i="24"/>
  <c r="N912" i="24"/>
  <c r="S911" i="24"/>
  <c r="O911" i="24"/>
  <c r="N911" i="24"/>
  <c r="S943" i="24"/>
  <c r="O943" i="24"/>
  <c r="N943" i="24"/>
  <c r="S929" i="24"/>
  <c r="O929" i="24"/>
  <c r="N929" i="24"/>
  <c r="S942" i="24"/>
  <c r="O942" i="24"/>
  <c r="N942" i="24"/>
  <c r="S918" i="24"/>
  <c r="O918" i="24"/>
  <c r="N918" i="24"/>
  <c r="S921" i="24"/>
  <c r="O921" i="24"/>
  <c r="N921" i="24"/>
  <c r="S931" i="24"/>
  <c r="O931" i="24"/>
  <c r="N931" i="24"/>
  <c r="S935" i="24"/>
  <c r="O935" i="24"/>
  <c r="N935" i="24"/>
  <c r="S920" i="24"/>
  <c r="O920" i="24"/>
  <c r="N920" i="24"/>
  <c r="S941" i="24"/>
  <c r="O941" i="24"/>
  <c r="N941" i="24"/>
  <c r="S936" i="24"/>
  <c r="O936" i="24"/>
  <c r="N936" i="24"/>
  <c r="S917" i="24"/>
  <c r="O917" i="24"/>
  <c r="N917" i="24"/>
  <c r="S940" i="24"/>
  <c r="O940" i="24"/>
  <c r="N940" i="24"/>
  <c r="S928" i="24"/>
  <c r="O928" i="24"/>
  <c r="N928" i="24"/>
  <c r="S934" i="24"/>
  <c r="O934" i="24"/>
  <c r="N934" i="24"/>
  <c r="S939" i="24"/>
  <c r="O939" i="24"/>
  <c r="N939" i="24"/>
  <c r="S919" i="24"/>
  <c r="O919" i="24"/>
  <c r="N919" i="24"/>
  <c r="S938" i="24"/>
  <c r="O938" i="24"/>
  <c r="N938" i="24"/>
  <c r="S915" i="24"/>
  <c r="O915" i="24"/>
  <c r="Q915" i="24" s="1"/>
  <c r="N915" i="24"/>
  <c r="S914" i="24"/>
  <c r="O914" i="24"/>
  <c r="N914" i="24"/>
  <c r="S922" i="24"/>
  <c r="O922" i="24"/>
  <c r="N922" i="24"/>
  <c r="S913" i="24"/>
  <c r="O913" i="24"/>
  <c r="N913" i="24"/>
  <c r="S909" i="24"/>
  <c r="O909" i="24"/>
  <c r="R909" i="24" s="1"/>
  <c r="N909" i="24"/>
  <c r="S910" i="24"/>
  <c r="O910" i="24"/>
  <c r="N910" i="24"/>
  <c r="S901" i="24"/>
  <c r="O901" i="24"/>
  <c r="N901" i="24"/>
  <c r="S904" i="24"/>
  <c r="O904" i="24"/>
  <c r="N904" i="24"/>
  <c r="S903" i="24"/>
  <c r="O903" i="24"/>
  <c r="N903" i="24"/>
  <c r="S902" i="24"/>
  <c r="O902" i="24"/>
  <c r="N902" i="24"/>
  <c r="S906" i="24"/>
  <c r="O906" i="24"/>
  <c r="N906" i="24"/>
  <c r="S908" i="24"/>
  <c r="O908" i="24"/>
  <c r="N908" i="24"/>
  <c r="S905" i="24"/>
  <c r="O905" i="24"/>
  <c r="N905" i="24"/>
  <c r="S900" i="24"/>
  <c r="O900" i="24"/>
  <c r="N900" i="24"/>
  <c r="S907" i="24"/>
  <c r="O907" i="24"/>
  <c r="N907" i="24"/>
  <c r="S880" i="24"/>
  <c r="O880" i="24"/>
  <c r="N880" i="24"/>
  <c r="S892" i="24"/>
  <c r="O892" i="24"/>
  <c r="P892" i="24" s="1"/>
  <c r="N892" i="24"/>
  <c r="S895" i="24"/>
  <c r="O895" i="24"/>
  <c r="N895" i="24"/>
  <c r="S889" i="24"/>
  <c r="O889" i="24"/>
  <c r="N889" i="24"/>
  <c r="S883" i="24"/>
  <c r="O883" i="24"/>
  <c r="N883" i="24"/>
  <c r="S899" i="24"/>
  <c r="O899" i="24"/>
  <c r="R899" i="24" s="1"/>
  <c r="N899" i="24"/>
  <c r="S888" i="24"/>
  <c r="O888" i="24"/>
  <c r="N888" i="24"/>
  <c r="S885" i="24"/>
  <c r="O885" i="24"/>
  <c r="N885" i="24"/>
  <c r="S894" i="24"/>
  <c r="O894" i="24"/>
  <c r="N894" i="24"/>
  <c r="S887" i="24"/>
  <c r="O887" i="24"/>
  <c r="P887" i="24" s="1"/>
  <c r="N887" i="24"/>
  <c r="S884" i="24"/>
  <c r="O884" i="24"/>
  <c r="N884" i="24"/>
  <c r="S893" i="24"/>
  <c r="O893" i="24"/>
  <c r="N893" i="24"/>
  <c r="S898" i="24"/>
  <c r="O898" i="24"/>
  <c r="N898" i="24"/>
  <c r="S896" i="24"/>
  <c r="O896" i="24"/>
  <c r="P896" i="24" s="1"/>
  <c r="N896" i="24"/>
  <c r="S878" i="24"/>
  <c r="O878" i="24"/>
  <c r="N878" i="24"/>
  <c r="S897" i="24"/>
  <c r="O897" i="24"/>
  <c r="N897" i="24"/>
  <c r="S890" i="24"/>
  <c r="O890" i="24"/>
  <c r="N890" i="24"/>
  <c r="S891" i="24"/>
  <c r="O891" i="24"/>
  <c r="R891" i="24" s="1"/>
  <c r="N891" i="24"/>
  <c r="S882" i="24"/>
  <c r="O882" i="24"/>
  <c r="N882" i="24"/>
  <c r="S881" i="24"/>
  <c r="O881" i="24"/>
  <c r="N881" i="24"/>
  <c r="S886" i="24"/>
  <c r="O886" i="24"/>
  <c r="N886" i="24"/>
  <c r="S879" i="24"/>
  <c r="O879" i="24"/>
  <c r="R879" i="24" s="1"/>
  <c r="N879" i="24"/>
  <c r="S872" i="24"/>
  <c r="O872" i="24"/>
  <c r="N872" i="24"/>
  <c r="S876" i="24"/>
  <c r="O876" i="24"/>
  <c r="N876" i="24"/>
  <c r="S867" i="24"/>
  <c r="O867" i="24"/>
  <c r="N867" i="24"/>
  <c r="S873" i="24"/>
  <c r="O873" i="24"/>
  <c r="N873" i="24"/>
  <c r="S874" i="24"/>
  <c r="O874" i="24"/>
  <c r="N874" i="24"/>
  <c r="S877" i="24"/>
  <c r="O877" i="24"/>
  <c r="N877" i="24"/>
  <c r="S875" i="24"/>
  <c r="O875" i="24"/>
  <c r="N875" i="24"/>
  <c r="S866" i="24"/>
  <c r="O866" i="24"/>
  <c r="P866" i="24" s="1"/>
  <c r="N866" i="24"/>
  <c r="S870" i="24"/>
  <c r="O870" i="24"/>
  <c r="N870" i="24"/>
  <c r="S871" i="24"/>
  <c r="O871" i="24"/>
  <c r="N871" i="24"/>
  <c r="S869" i="24"/>
  <c r="O869" i="24"/>
  <c r="N869" i="24"/>
  <c r="S868" i="24"/>
  <c r="O868" i="24"/>
  <c r="R868" i="24" s="1"/>
  <c r="N868" i="24"/>
  <c r="S862" i="24"/>
  <c r="O862" i="24"/>
  <c r="N862" i="24"/>
  <c r="S863" i="24"/>
  <c r="O863" i="24"/>
  <c r="N863" i="24"/>
  <c r="S860" i="24"/>
  <c r="O860" i="24"/>
  <c r="N860" i="24"/>
  <c r="S861" i="24"/>
  <c r="O861" i="24"/>
  <c r="Q861" i="24" s="1"/>
  <c r="N861" i="24"/>
  <c r="S865" i="24"/>
  <c r="O865" i="24"/>
  <c r="N865" i="24"/>
  <c r="S864" i="24"/>
  <c r="O864" i="24"/>
  <c r="N864" i="24"/>
  <c r="S856" i="24"/>
  <c r="O856" i="24"/>
  <c r="N856" i="24"/>
  <c r="S854" i="24"/>
  <c r="O854" i="24"/>
  <c r="Q854" i="24" s="1"/>
  <c r="N854" i="24"/>
  <c r="S853" i="24"/>
  <c r="O853" i="24"/>
  <c r="N853" i="24"/>
  <c r="S851" i="24"/>
  <c r="O851" i="24"/>
  <c r="N851" i="24"/>
  <c r="S855" i="24"/>
  <c r="O855" i="24"/>
  <c r="N855" i="24"/>
  <c r="S852" i="24"/>
  <c r="O852" i="24"/>
  <c r="Q852" i="24" s="1"/>
  <c r="N852" i="24"/>
  <c r="S857" i="24"/>
  <c r="O857" i="24"/>
  <c r="N857" i="24"/>
  <c r="S859" i="24"/>
  <c r="O859" i="24"/>
  <c r="N859" i="24"/>
  <c r="S850" i="24"/>
  <c r="O850" i="24"/>
  <c r="N850" i="24"/>
  <c r="S858" i="24"/>
  <c r="O858" i="24"/>
  <c r="Q858" i="24" s="1"/>
  <c r="N858" i="24"/>
  <c r="S839" i="24"/>
  <c r="O839" i="24"/>
  <c r="N839" i="24"/>
  <c r="S843" i="24"/>
  <c r="O843" i="24"/>
  <c r="N843" i="24"/>
  <c r="S842" i="24"/>
  <c r="O842" i="24"/>
  <c r="N842" i="24"/>
  <c r="S845" i="24"/>
  <c r="O845" i="24"/>
  <c r="N845" i="24"/>
  <c r="S844" i="24"/>
  <c r="O844" i="24"/>
  <c r="N844" i="24"/>
  <c r="S848" i="24"/>
  <c r="O848" i="24"/>
  <c r="N848" i="24"/>
  <c r="S849" i="24"/>
  <c r="O849" i="24"/>
  <c r="N849" i="24"/>
  <c r="S840" i="24"/>
  <c r="O840" i="24"/>
  <c r="R840" i="24" s="1"/>
  <c r="N840" i="24"/>
  <c r="S841" i="24"/>
  <c r="O841" i="24"/>
  <c r="N841" i="24"/>
  <c r="S846" i="24"/>
  <c r="O846" i="24"/>
  <c r="N846" i="24"/>
  <c r="S847" i="24"/>
  <c r="O847" i="24"/>
  <c r="N847" i="24"/>
  <c r="S821" i="24"/>
  <c r="O821" i="24"/>
  <c r="R821" i="24" s="1"/>
  <c r="N821" i="24"/>
  <c r="S832" i="24"/>
  <c r="O832" i="24"/>
  <c r="N832" i="24"/>
  <c r="S835" i="24"/>
  <c r="O835" i="24"/>
  <c r="N835" i="24"/>
  <c r="S826" i="24"/>
  <c r="O826" i="24"/>
  <c r="N826" i="24"/>
  <c r="S833" i="24"/>
  <c r="O833" i="24"/>
  <c r="R833" i="24" s="1"/>
  <c r="N833" i="24"/>
  <c r="S831" i="24"/>
  <c r="O831" i="24"/>
  <c r="N831" i="24"/>
  <c r="S830" i="24"/>
  <c r="O830" i="24"/>
  <c r="N830" i="24"/>
  <c r="S825" i="24"/>
  <c r="O825" i="24"/>
  <c r="N825" i="24"/>
  <c r="S834" i="24"/>
  <c r="O834" i="24"/>
  <c r="R834" i="24" s="1"/>
  <c r="N834" i="24"/>
  <c r="S838" i="24"/>
  <c r="O838" i="24"/>
  <c r="N838" i="24"/>
  <c r="S837" i="24"/>
  <c r="O837" i="24"/>
  <c r="N837" i="24"/>
  <c r="S827" i="24"/>
  <c r="O827" i="24"/>
  <c r="N827" i="24"/>
  <c r="S824" i="24"/>
  <c r="O824" i="24"/>
  <c r="P824" i="24" s="1"/>
  <c r="N824" i="24"/>
  <c r="S822" i="24"/>
  <c r="O822" i="24"/>
  <c r="N822" i="24"/>
  <c r="S828" i="24"/>
  <c r="O828" i="24"/>
  <c r="N828" i="24"/>
  <c r="S829" i="24"/>
  <c r="O829" i="24"/>
  <c r="N829" i="24"/>
  <c r="S820" i="24"/>
  <c r="O820" i="24"/>
  <c r="P820" i="24" s="1"/>
  <c r="N820" i="24"/>
  <c r="S819" i="24"/>
  <c r="O819" i="24"/>
  <c r="N819" i="24"/>
  <c r="S836" i="24"/>
  <c r="O836" i="24"/>
  <c r="N836" i="24"/>
  <c r="S823" i="24"/>
  <c r="O823" i="24"/>
  <c r="N823" i="24"/>
  <c r="S814" i="24"/>
  <c r="O814" i="24"/>
  <c r="Q814" i="24" s="1"/>
  <c r="N814" i="24"/>
  <c r="S808" i="24"/>
  <c r="O808" i="24"/>
  <c r="N808" i="24"/>
  <c r="S807" i="24"/>
  <c r="O807" i="24"/>
  <c r="N807" i="24"/>
  <c r="S806" i="24"/>
  <c r="O806" i="24"/>
  <c r="N806" i="24"/>
  <c r="S811" i="24"/>
  <c r="O811" i="24"/>
  <c r="R811" i="24" s="1"/>
  <c r="N811" i="24"/>
  <c r="S809" i="24"/>
  <c r="O809" i="24"/>
  <c r="N809" i="24"/>
  <c r="S810" i="24"/>
  <c r="O810" i="24"/>
  <c r="N810" i="24"/>
  <c r="S818" i="24"/>
  <c r="O818" i="24"/>
  <c r="N818" i="24"/>
  <c r="S816" i="24"/>
  <c r="O816" i="24"/>
  <c r="Q816" i="24" s="1"/>
  <c r="N816" i="24"/>
  <c r="S815" i="24"/>
  <c r="O815" i="24"/>
  <c r="N815" i="24"/>
  <c r="S812" i="24"/>
  <c r="O812" i="24"/>
  <c r="N812" i="24"/>
  <c r="S813" i="24"/>
  <c r="O813" i="24"/>
  <c r="N813" i="24"/>
  <c r="S817" i="24"/>
  <c r="O817" i="24"/>
  <c r="R817" i="24" s="1"/>
  <c r="N817" i="24"/>
  <c r="S805" i="24"/>
  <c r="O805" i="24"/>
  <c r="N805" i="24"/>
  <c r="S804" i="24"/>
  <c r="O804" i="24"/>
  <c r="N804" i="24"/>
  <c r="S800" i="24"/>
  <c r="O800" i="24"/>
  <c r="N800" i="24"/>
  <c r="S776" i="24"/>
  <c r="O776" i="24"/>
  <c r="N776" i="24"/>
  <c r="S781" i="24"/>
  <c r="O781" i="24"/>
  <c r="N781" i="24"/>
  <c r="S801" i="24"/>
  <c r="O801" i="24"/>
  <c r="N801" i="24"/>
  <c r="S798" i="24"/>
  <c r="O798" i="24"/>
  <c r="N798" i="24"/>
  <c r="S784" i="24"/>
  <c r="O784" i="24"/>
  <c r="R784" i="24" s="1"/>
  <c r="N784" i="24"/>
  <c r="S786" i="24"/>
  <c r="O786" i="24"/>
  <c r="N786" i="24"/>
  <c r="S788" i="24"/>
  <c r="O788" i="24"/>
  <c r="N788" i="24"/>
  <c r="S783" i="24"/>
  <c r="O783" i="24"/>
  <c r="N783" i="24"/>
  <c r="S793" i="24"/>
  <c r="O793" i="24"/>
  <c r="R793" i="24" s="1"/>
  <c r="N793" i="24"/>
  <c r="S794" i="24"/>
  <c r="O794" i="24"/>
  <c r="N794" i="24"/>
  <c r="S803" i="24"/>
  <c r="O803" i="24"/>
  <c r="N803" i="24"/>
  <c r="S779" i="24"/>
  <c r="O779" i="24"/>
  <c r="N779" i="24"/>
  <c r="S791" i="24"/>
  <c r="O791" i="24"/>
  <c r="N791" i="24"/>
  <c r="S787" i="24"/>
  <c r="O787" i="24"/>
  <c r="N787" i="24"/>
  <c r="S789" i="24"/>
  <c r="O789" i="24"/>
  <c r="N789" i="24"/>
  <c r="S802" i="24"/>
  <c r="O802" i="24"/>
  <c r="N802" i="24"/>
  <c r="S799" i="24"/>
  <c r="O799" i="24"/>
  <c r="N799" i="24"/>
  <c r="S797" i="24"/>
  <c r="O797" i="24"/>
  <c r="N797" i="24"/>
  <c r="S775" i="24"/>
  <c r="O775" i="24"/>
  <c r="N775" i="24"/>
  <c r="S792" i="24"/>
  <c r="O792" i="24"/>
  <c r="N792" i="24"/>
  <c r="S780" i="24"/>
  <c r="O780" i="24"/>
  <c r="Q780" i="24" s="1"/>
  <c r="N780" i="24"/>
  <c r="S796" i="24"/>
  <c r="O796" i="24"/>
  <c r="N796" i="24"/>
  <c r="S777" i="24"/>
  <c r="O777" i="24"/>
  <c r="N777" i="24"/>
  <c r="S795" i="24"/>
  <c r="O795" i="24"/>
  <c r="N795" i="24"/>
  <c r="S782" i="24"/>
  <c r="O782" i="24"/>
  <c r="Q782" i="24" s="1"/>
  <c r="N782" i="24"/>
  <c r="S785" i="24"/>
  <c r="O785" i="24"/>
  <c r="N785" i="24"/>
  <c r="S790" i="24"/>
  <c r="O790" i="24"/>
  <c r="N790" i="24"/>
  <c r="S778" i="24"/>
  <c r="O778" i="24"/>
  <c r="N778" i="24"/>
  <c r="S774" i="24"/>
  <c r="O774" i="24"/>
  <c r="Q774" i="24" s="1"/>
  <c r="N774" i="24"/>
  <c r="S767" i="24"/>
  <c r="O767" i="24"/>
  <c r="N767" i="24"/>
  <c r="S768" i="24"/>
  <c r="O768" i="24"/>
  <c r="N768" i="24"/>
  <c r="S769" i="24"/>
  <c r="O769" i="24"/>
  <c r="N769" i="24"/>
  <c r="S772" i="24"/>
  <c r="O772" i="24"/>
  <c r="Q772" i="24" s="1"/>
  <c r="N772" i="24"/>
  <c r="S773" i="24"/>
  <c r="O773" i="24"/>
  <c r="N773" i="24"/>
  <c r="S771" i="24"/>
  <c r="O771" i="24"/>
  <c r="N771" i="24"/>
  <c r="S770" i="24"/>
  <c r="O770" i="24"/>
  <c r="N770" i="24"/>
  <c r="S752" i="24"/>
  <c r="O752" i="24"/>
  <c r="Q752" i="24" s="1"/>
  <c r="N752" i="24"/>
  <c r="S754" i="24"/>
  <c r="O754" i="24"/>
  <c r="N754" i="24"/>
  <c r="S763" i="24"/>
  <c r="O763" i="24"/>
  <c r="N763" i="24"/>
  <c r="S762" i="24"/>
  <c r="O762" i="24"/>
  <c r="N762" i="24"/>
  <c r="S756" i="24"/>
  <c r="O756" i="24"/>
  <c r="N756" i="24"/>
  <c r="S748" i="24"/>
  <c r="O748" i="24"/>
  <c r="N748" i="24"/>
  <c r="S760" i="24"/>
  <c r="O760" i="24"/>
  <c r="N760" i="24"/>
  <c r="S764" i="24"/>
  <c r="O764" i="24"/>
  <c r="N764" i="24"/>
  <c r="S765" i="24"/>
  <c r="O765" i="24"/>
  <c r="N765" i="24"/>
  <c r="S766" i="24"/>
  <c r="O766" i="24"/>
  <c r="N766" i="24"/>
  <c r="S755" i="24"/>
  <c r="O755" i="24"/>
  <c r="N755" i="24"/>
  <c r="S758" i="24"/>
  <c r="O758" i="24"/>
  <c r="N758" i="24"/>
  <c r="S749" i="24"/>
  <c r="O749" i="24"/>
  <c r="R749" i="24" s="1"/>
  <c r="N749" i="24"/>
  <c r="S759" i="24"/>
  <c r="O759" i="24"/>
  <c r="N759" i="24"/>
  <c r="S761" i="24"/>
  <c r="O761" i="24"/>
  <c r="N761" i="24"/>
  <c r="S751" i="24"/>
  <c r="O751" i="24"/>
  <c r="N751" i="24"/>
  <c r="S753" i="24"/>
  <c r="O753" i="24"/>
  <c r="Q753" i="24" s="1"/>
  <c r="N753" i="24"/>
  <c r="S750" i="24"/>
  <c r="O750" i="24"/>
  <c r="N750" i="24"/>
  <c r="S757" i="24"/>
  <c r="O757" i="24"/>
  <c r="N757" i="24"/>
  <c r="S739" i="24"/>
  <c r="O739" i="24"/>
  <c r="N739" i="24"/>
  <c r="S741" i="24"/>
  <c r="O741" i="24"/>
  <c r="R741" i="24" s="1"/>
  <c r="N741" i="24"/>
  <c r="S742" i="24"/>
  <c r="O742" i="24"/>
  <c r="N742" i="24"/>
  <c r="S734" i="24"/>
  <c r="O734" i="24"/>
  <c r="N734" i="24"/>
  <c r="S735" i="24"/>
  <c r="O735" i="24"/>
  <c r="N735" i="24"/>
  <c r="S731" i="24"/>
  <c r="O731" i="24"/>
  <c r="N731" i="24"/>
  <c r="S740" i="24"/>
  <c r="O740" i="24"/>
  <c r="N740" i="24"/>
  <c r="S736" i="24"/>
  <c r="O736" i="24"/>
  <c r="N736" i="24"/>
  <c r="S733" i="24"/>
  <c r="O733" i="24"/>
  <c r="N733" i="24"/>
  <c r="S738" i="24"/>
  <c r="O738" i="24"/>
  <c r="N738" i="24"/>
  <c r="S746" i="24"/>
  <c r="O746" i="24"/>
  <c r="N746" i="24"/>
  <c r="S737" i="24"/>
  <c r="O737" i="24"/>
  <c r="N737" i="24"/>
  <c r="S732" i="24"/>
  <c r="O732" i="24"/>
  <c r="N732" i="24"/>
  <c r="S743" i="24"/>
  <c r="O743" i="24"/>
  <c r="N743" i="24"/>
  <c r="S730" i="24"/>
  <c r="O730" i="24"/>
  <c r="N730" i="24"/>
  <c r="S747" i="24"/>
  <c r="O747" i="24"/>
  <c r="N747" i="24"/>
  <c r="S745" i="24"/>
  <c r="O745" i="24"/>
  <c r="N745" i="24"/>
  <c r="S744" i="24"/>
  <c r="O744" i="24"/>
  <c r="N744" i="24"/>
  <c r="S729" i="24"/>
  <c r="O729" i="24"/>
  <c r="N729" i="24"/>
  <c r="S717" i="24"/>
  <c r="O717" i="24"/>
  <c r="N717" i="24"/>
  <c r="S713" i="24"/>
  <c r="O713" i="24"/>
  <c r="N713" i="24"/>
  <c r="S708" i="24"/>
  <c r="O708" i="24"/>
  <c r="N708" i="24"/>
  <c r="S719" i="24"/>
  <c r="O719" i="24"/>
  <c r="N719" i="24"/>
  <c r="S712" i="24"/>
  <c r="O712" i="24"/>
  <c r="N712" i="24"/>
  <c r="S709" i="24"/>
  <c r="O709" i="24"/>
  <c r="N709" i="24"/>
  <c r="S711" i="24"/>
  <c r="O711" i="24"/>
  <c r="N711" i="24"/>
  <c r="S718" i="24"/>
  <c r="O718" i="24"/>
  <c r="N718" i="24"/>
  <c r="S707" i="24"/>
  <c r="O707" i="24"/>
  <c r="N707" i="24"/>
  <c r="S721" i="24"/>
  <c r="O721" i="24"/>
  <c r="N721" i="24"/>
  <c r="S727" i="24"/>
  <c r="O727" i="24"/>
  <c r="N727" i="24"/>
  <c r="S714" i="24"/>
  <c r="O714" i="24"/>
  <c r="N714" i="24"/>
  <c r="S728" i="24"/>
  <c r="O728" i="24"/>
  <c r="N728" i="24"/>
  <c r="S710" i="24"/>
  <c r="O710" i="24"/>
  <c r="N710" i="24"/>
  <c r="S726" i="24"/>
  <c r="O726" i="24"/>
  <c r="Q726" i="24" s="1"/>
  <c r="N726" i="24"/>
  <c r="S716" i="24"/>
  <c r="O716" i="24"/>
  <c r="N716" i="24"/>
  <c r="S715" i="24"/>
  <c r="O715" i="24"/>
  <c r="N715" i="24"/>
  <c r="S720" i="24"/>
  <c r="O720" i="24"/>
  <c r="N720" i="24"/>
  <c r="S724" i="24"/>
  <c r="O724" i="24"/>
  <c r="R724" i="24" s="1"/>
  <c r="N724" i="24"/>
  <c r="S725" i="24"/>
  <c r="O725" i="24"/>
  <c r="N725" i="24"/>
  <c r="S723" i="24"/>
  <c r="O723" i="24"/>
  <c r="N723" i="24"/>
  <c r="S722" i="24"/>
  <c r="O722" i="24"/>
  <c r="N722" i="24"/>
  <c r="S697" i="24"/>
  <c r="O697" i="24"/>
  <c r="N697" i="24"/>
  <c r="S692" i="24"/>
  <c r="O692" i="24"/>
  <c r="N692" i="24"/>
  <c r="S695" i="24"/>
  <c r="O695" i="24"/>
  <c r="N695" i="24"/>
  <c r="S700" i="24"/>
  <c r="O700" i="24"/>
  <c r="N700" i="24"/>
  <c r="S703" i="24"/>
  <c r="O703" i="24"/>
  <c r="N703" i="24"/>
  <c r="S705" i="24"/>
  <c r="O705" i="24"/>
  <c r="N705" i="24"/>
  <c r="S698" i="24"/>
  <c r="O698" i="24"/>
  <c r="N698" i="24"/>
  <c r="S691" i="24"/>
  <c r="O691" i="24"/>
  <c r="N691" i="24"/>
  <c r="S702" i="24"/>
  <c r="O702" i="24"/>
  <c r="Q702" i="24" s="1"/>
  <c r="N702" i="24"/>
  <c r="S706" i="24"/>
  <c r="O706" i="24"/>
  <c r="N706" i="24"/>
  <c r="S699" i="24"/>
  <c r="O699" i="24"/>
  <c r="N699" i="24"/>
  <c r="S701" i="24"/>
  <c r="O701" i="24"/>
  <c r="N701" i="24"/>
  <c r="S696" i="24"/>
  <c r="O696" i="24"/>
  <c r="N696" i="24"/>
  <c r="S694" i="24"/>
  <c r="O694" i="24"/>
  <c r="N694" i="24"/>
  <c r="S693" i="24"/>
  <c r="O693" i="24"/>
  <c r="N693" i="24"/>
  <c r="S690" i="24"/>
  <c r="O690" i="24"/>
  <c r="N690" i="24"/>
  <c r="S689" i="24"/>
  <c r="O689" i="24"/>
  <c r="N689" i="24"/>
  <c r="S704" i="24"/>
  <c r="O704" i="24"/>
  <c r="N704" i="24"/>
  <c r="S688" i="24"/>
  <c r="O688" i="24"/>
  <c r="N688" i="24"/>
  <c r="S685" i="24"/>
  <c r="O685" i="24"/>
  <c r="N685" i="24"/>
  <c r="S686" i="24"/>
  <c r="O686" i="24"/>
  <c r="N686" i="24"/>
  <c r="S681" i="24"/>
  <c r="O681" i="24"/>
  <c r="N681" i="24"/>
  <c r="S682" i="24"/>
  <c r="O682" i="24"/>
  <c r="N682" i="24"/>
  <c r="S687" i="24"/>
  <c r="O687" i="24"/>
  <c r="N687" i="24"/>
  <c r="S683" i="24"/>
  <c r="O683" i="24"/>
  <c r="N683" i="24"/>
  <c r="S676" i="24"/>
  <c r="O676" i="24"/>
  <c r="N676" i="24"/>
  <c r="S679" i="24"/>
  <c r="O679" i="24"/>
  <c r="N679" i="24"/>
  <c r="S684" i="24"/>
  <c r="O684" i="24"/>
  <c r="N684" i="24"/>
  <c r="S678" i="24"/>
  <c r="O678" i="24"/>
  <c r="N678" i="24"/>
  <c r="S677" i="24"/>
  <c r="O677" i="24"/>
  <c r="N677" i="24"/>
  <c r="S680" i="24"/>
  <c r="O680" i="24"/>
  <c r="N680" i="24"/>
  <c r="S673" i="24"/>
  <c r="O673" i="24"/>
  <c r="N673" i="24"/>
  <c r="S669" i="24"/>
  <c r="O669" i="24"/>
  <c r="N669" i="24"/>
  <c r="S666" i="24"/>
  <c r="O666" i="24"/>
  <c r="N666" i="24"/>
  <c r="S675" i="24"/>
  <c r="O675" i="24"/>
  <c r="N675" i="24"/>
  <c r="S672" i="24"/>
  <c r="O672" i="24"/>
  <c r="N672" i="24"/>
  <c r="S667" i="24"/>
  <c r="O667" i="24"/>
  <c r="N667" i="24"/>
  <c r="S668" i="24"/>
  <c r="O668" i="24"/>
  <c r="N668" i="24"/>
  <c r="S670" i="24"/>
  <c r="O670" i="24"/>
  <c r="N670" i="24"/>
  <c r="S671" i="24"/>
  <c r="O671" i="24"/>
  <c r="N671" i="24"/>
  <c r="S674" i="24"/>
  <c r="O674" i="24"/>
  <c r="N674" i="24"/>
  <c r="S659" i="24"/>
  <c r="O659" i="24"/>
  <c r="N659" i="24"/>
  <c r="S655" i="24"/>
  <c r="O655" i="24"/>
  <c r="N655" i="24"/>
  <c r="S657" i="24"/>
  <c r="O657" i="24"/>
  <c r="N657" i="24"/>
  <c r="S656" i="24"/>
  <c r="O656" i="24"/>
  <c r="N656" i="24"/>
  <c r="S661" i="24"/>
  <c r="O661" i="24"/>
  <c r="N661" i="24"/>
  <c r="S654" i="24"/>
  <c r="O654" i="24"/>
  <c r="N654" i="24"/>
  <c r="S665" i="24"/>
  <c r="O665" i="24"/>
  <c r="N665" i="24"/>
  <c r="S658" i="24"/>
  <c r="O658" i="24"/>
  <c r="N658" i="24"/>
  <c r="S664" i="24"/>
  <c r="O664" i="24"/>
  <c r="N664" i="24"/>
  <c r="S660" i="24"/>
  <c r="O660" i="24"/>
  <c r="N660" i="24"/>
  <c r="S653" i="24"/>
  <c r="O653" i="24"/>
  <c r="N653" i="24"/>
  <c r="S663" i="24"/>
  <c r="O663" i="24"/>
  <c r="N663" i="24"/>
  <c r="S662" i="24"/>
  <c r="O662" i="24"/>
  <c r="N662" i="24"/>
  <c r="S645" i="24"/>
  <c r="O645" i="24"/>
  <c r="N645" i="24"/>
  <c r="S644" i="24"/>
  <c r="O644" i="24"/>
  <c r="N644" i="24"/>
  <c r="S646" i="24"/>
  <c r="O646" i="24"/>
  <c r="N646" i="24"/>
  <c r="S639" i="24"/>
  <c r="O639" i="24"/>
  <c r="N639" i="24"/>
  <c r="S643" i="24"/>
  <c r="O643" i="24"/>
  <c r="N643" i="24"/>
  <c r="S652" i="24"/>
  <c r="O652" i="24"/>
  <c r="N652" i="24"/>
  <c r="S638" i="24"/>
  <c r="O638" i="24"/>
  <c r="N638" i="24"/>
  <c r="S636" i="24"/>
  <c r="O636" i="24"/>
  <c r="N636" i="24"/>
  <c r="S641" i="24"/>
  <c r="O641" i="24"/>
  <c r="N641" i="24"/>
  <c r="S650" i="24"/>
  <c r="O650" i="24"/>
  <c r="N650" i="24"/>
  <c r="S637" i="24"/>
  <c r="O637" i="24"/>
  <c r="N637" i="24"/>
  <c r="S649" i="24"/>
  <c r="O649" i="24"/>
  <c r="N649" i="24"/>
  <c r="S647" i="24"/>
  <c r="O647" i="24"/>
  <c r="N647" i="24"/>
  <c r="S648" i="24"/>
  <c r="O648" i="24"/>
  <c r="N648" i="24"/>
  <c r="S640" i="24"/>
  <c r="O640" i="24"/>
  <c r="N640" i="24"/>
  <c r="S642" i="24"/>
  <c r="O642" i="24"/>
  <c r="N642" i="24"/>
  <c r="S635" i="24"/>
  <c r="O635" i="24"/>
  <c r="N635" i="24"/>
  <c r="S651" i="24"/>
  <c r="O651" i="24"/>
  <c r="N651" i="24"/>
  <c r="S634" i="24"/>
  <c r="O634" i="24"/>
  <c r="N634" i="24"/>
  <c r="S622" i="24"/>
  <c r="O622" i="24"/>
  <c r="N622" i="24"/>
  <c r="S628" i="24"/>
  <c r="O628" i="24"/>
  <c r="N628" i="24"/>
  <c r="S627" i="24"/>
  <c r="O627" i="24"/>
  <c r="N627" i="24"/>
  <c r="S630" i="24"/>
  <c r="O630" i="24"/>
  <c r="N630" i="24"/>
  <c r="S631" i="24"/>
  <c r="O631" i="24"/>
  <c r="N631" i="24"/>
  <c r="S629" i="24"/>
  <c r="O629" i="24"/>
  <c r="N629" i="24"/>
  <c r="S625" i="24"/>
  <c r="O625" i="24"/>
  <c r="N625" i="24"/>
  <c r="S633" i="24"/>
  <c r="O633" i="24"/>
  <c r="N633" i="24"/>
  <c r="S623" i="24"/>
  <c r="O623" i="24"/>
  <c r="N623" i="24"/>
  <c r="S621" i="24"/>
  <c r="O621" i="24"/>
  <c r="N621" i="24"/>
  <c r="S626" i="24"/>
  <c r="O626" i="24"/>
  <c r="N626" i="24"/>
  <c r="S632" i="24"/>
  <c r="O632" i="24"/>
  <c r="N632" i="24"/>
  <c r="S624" i="24"/>
  <c r="O624" i="24"/>
  <c r="N624" i="24"/>
  <c r="S617" i="24"/>
  <c r="O617" i="24"/>
  <c r="N617" i="24"/>
  <c r="S592" i="24"/>
  <c r="O592" i="24"/>
  <c r="N592" i="24"/>
  <c r="S612" i="24"/>
  <c r="O612" i="24"/>
  <c r="N612" i="24"/>
  <c r="S603" i="24"/>
  <c r="O603" i="24"/>
  <c r="N603" i="24"/>
  <c r="S602" i="24"/>
  <c r="O602" i="24"/>
  <c r="N602" i="24"/>
  <c r="S609" i="24"/>
  <c r="O609" i="24"/>
  <c r="N609" i="24"/>
  <c r="S595" i="24"/>
  <c r="O595" i="24"/>
  <c r="N595" i="24"/>
  <c r="S596" i="24"/>
  <c r="O596" i="24"/>
  <c r="N596" i="24"/>
  <c r="S616" i="24"/>
  <c r="O616" i="24"/>
  <c r="N616" i="24"/>
  <c r="S613" i="24"/>
  <c r="O613" i="24"/>
  <c r="N613" i="24"/>
  <c r="S614" i="24"/>
  <c r="O614" i="24"/>
  <c r="N614" i="24"/>
  <c r="S607" i="24"/>
  <c r="O607" i="24"/>
  <c r="N607" i="24"/>
  <c r="S611" i="24"/>
  <c r="O611" i="24"/>
  <c r="N611" i="24"/>
  <c r="S606" i="24"/>
  <c r="O606" i="24"/>
  <c r="N606" i="24"/>
  <c r="S597" i="24"/>
  <c r="O597" i="24"/>
  <c r="N597" i="24"/>
  <c r="S601" i="24"/>
  <c r="O601" i="24"/>
  <c r="N601" i="24"/>
  <c r="S605" i="24"/>
  <c r="O605" i="24"/>
  <c r="N605" i="24"/>
  <c r="S600" i="24"/>
  <c r="O600" i="24"/>
  <c r="N600" i="24"/>
  <c r="S619" i="24"/>
  <c r="O619" i="24"/>
  <c r="N619" i="24"/>
  <c r="S618" i="24"/>
  <c r="O618" i="24"/>
  <c r="N618" i="24"/>
  <c r="S620" i="24"/>
  <c r="O620" i="24"/>
  <c r="N620" i="24"/>
  <c r="S593" i="24"/>
  <c r="O593" i="24"/>
  <c r="N593" i="24"/>
  <c r="S608" i="24"/>
  <c r="O608" i="24"/>
  <c r="N608" i="24"/>
  <c r="S599" i="24"/>
  <c r="O599" i="24"/>
  <c r="N599" i="24"/>
  <c r="S598" i="24"/>
  <c r="O598" i="24"/>
  <c r="N598" i="24"/>
  <c r="S610" i="24"/>
  <c r="O610" i="24"/>
  <c r="N610" i="24"/>
  <c r="S594" i="24"/>
  <c r="O594" i="24"/>
  <c r="N594" i="24"/>
  <c r="S604" i="24"/>
  <c r="O604" i="24"/>
  <c r="N604" i="24"/>
  <c r="S615" i="24"/>
  <c r="O615" i="24"/>
  <c r="N615" i="24"/>
  <c r="S588" i="24"/>
  <c r="O588" i="24"/>
  <c r="N588" i="24"/>
  <c r="S590" i="24"/>
  <c r="O590" i="24"/>
  <c r="N590" i="24"/>
  <c r="S589" i="24"/>
  <c r="O589" i="24"/>
  <c r="N589" i="24"/>
  <c r="S591" i="24"/>
  <c r="O591" i="24"/>
  <c r="N591" i="24"/>
  <c r="S585" i="24"/>
  <c r="O585" i="24"/>
  <c r="N585" i="24"/>
  <c r="S576" i="24"/>
  <c r="O576" i="24"/>
  <c r="N576" i="24"/>
  <c r="S586" i="24"/>
  <c r="O586" i="24"/>
  <c r="N586" i="24"/>
  <c r="S582" i="24"/>
  <c r="O582" i="24"/>
  <c r="N582" i="24"/>
  <c r="S581" i="24"/>
  <c r="O581" i="24"/>
  <c r="N581" i="24"/>
  <c r="S584" i="24"/>
  <c r="O584" i="24"/>
  <c r="N584" i="24"/>
  <c r="S575" i="24"/>
  <c r="O575" i="24"/>
  <c r="N575" i="24"/>
  <c r="S587" i="24"/>
  <c r="O587" i="24"/>
  <c r="N587" i="24"/>
  <c r="S577" i="24"/>
  <c r="O577" i="24"/>
  <c r="N577" i="24"/>
  <c r="S579" i="24"/>
  <c r="O579" i="24"/>
  <c r="N579" i="24"/>
  <c r="S583" i="24"/>
  <c r="O583" i="24"/>
  <c r="N583" i="24"/>
  <c r="S580" i="24"/>
  <c r="O580" i="24"/>
  <c r="N580" i="24"/>
  <c r="S578" i="24"/>
  <c r="O578" i="24"/>
  <c r="N578" i="24"/>
  <c r="S558" i="24"/>
  <c r="O558" i="24"/>
  <c r="N558" i="24"/>
  <c r="S560" i="24"/>
  <c r="O560" i="24"/>
  <c r="N560" i="24"/>
  <c r="S562" i="24"/>
  <c r="O562" i="24"/>
  <c r="N562" i="24"/>
  <c r="S568" i="24"/>
  <c r="O568" i="24"/>
  <c r="N568" i="24"/>
  <c r="S567" i="24"/>
  <c r="O567" i="24"/>
  <c r="N567" i="24"/>
  <c r="S569" i="24"/>
  <c r="O569" i="24"/>
  <c r="N569" i="24"/>
  <c r="S571" i="24"/>
  <c r="O571" i="24"/>
  <c r="N571" i="24"/>
  <c r="S556" i="24"/>
  <c r="O556" i="24"/>
  <c r="N556" i="24"/>
  <c r="S574" i="24"/>
  <c r="O574" i="24"/>
  <c r="N574" i="24"/>
  <c r="S572" i="24"/>
  <c r="O572" i="24"/>
  <c r="N572" i="24"/>
  <c r="S564" i="24"/>
  <c r="O564" i="24"/>
  <c r="N564" i="24"/>
  <c r="S563" i="24"/>
  <c r="O563" i="24"/>
  <c r="N563" i="24"/>
  <c r="S570" i="24"/>
  <c r="O570" i="24"/>
  <c r="N570" i="24"/>
  <c r="S559" i="24"/>
  <c r="O559" i="24"/>
  <c r="N559" i="24"/>
  <c r="S566" i="24"/>
  <c r="O566" i="24"/>
  <c r="N566" i="24"/>
  <c r="S557" i="24"/>
  <c r="O557" i="24"/>
  <c r="N557" i="24"/>
  <c r="S561" i="24"/>
  <c r="O561" i="24"/>
  <c r="N561" i="24"/>
  <c r="S565" i="24"/>
  <c r="O565" i="24"/>
  <c r="N565" i="24"/>
  <c r="S573" i="24"/>
  <c r="O573" i="24"/>
  <c r="N573" i="24"/>
  <c r="S536" i="24"/>
  <c r="O536" i="24"/>
  <c r="N536" i="24"/>
  <c r="S533" i="24"/>
  <c r="O533" i="24"/>
  <c r="N533" i="24"/>
  <c r="S527" i="24"/>
  <c r="O527" i="24"/>
  <c r="N527" i="24"/>
  <c r="S550" i="24"/>
  <c r="O550" i="24"/>
  <c r="N550" i="24"/>
  <c r="S552" i="24"/>
  <c r="O552" i="24"/>
  <c r="N552" i="24"/>
  <c r="S551" i="24"/>
  <c r="O551" i="24"/>
  <c r="N551" i="24"/>
  <c r="S543" i="24"/>
  <c r="O543" i="24"/>
  <c r="N543" i="24"/>
  <c r="S525" i="24"/>
  <c r="O525" i="24"/>
  <c r="N525" i="24"/>
  <c r="S549" i="24"/>
  <c r="O549" i="24"/>
  <c r="N549" i="24"/>
  <c r="S526" i="24"/>
  <c r="O526" i="24"/>
  <c r="N526" i="24"/>
  <c r="S555" i="24"/>
  <c r="O555" i="24"/>
  <c r="N555" i="24"/>
  <c r="S540" i="24"/>
  <c r="O540" i="24"/>
  <c r="N540" i="24"/>
  <c r="S548" i="24"/>
  <c r="O548" i="24"/>
  <c r="N548" i="24"/>
  <c r="S547" i="24"/>
  <c r="O547" i="24"/>
  <c r="N547" i="24"/>
  <c r="S531" i="24"/>
  <c r="O531" i="24"/>
  <c r="N531" i="24"/>
  <c r="S539" i="24"/>
  <c r="O539" i="24"/>
  <c r="N539" i="24"/>
  <c r="S545" i="24"/>
  <c r="O545" i="24"/>
  <c r="N545" i="24"/>
  <c r="S528" i="24"/>
  <c r="O528" i="24"/>
  <c r="N528" i="24"/>
  <c r="S530" i="24"/>
  <c r="O530" i="24"/>
  <c r="N530" i="24"/>
  <c r="S532" i="24"/>
  <c r="O532" i="24"/>
  <c r="N532" i="24"/>
  <c r="S546" i="24"/>
  <c r="O546" i="24"/>
  <c r="N546" i="24"/>
  <c r="S542" i="24"/>
  <c r="O542" i="24"/>
  <c r="N542" i="24"/>
  <c r="S554" i="24"/>
  <c r="O554" i="24"/>
  <c r="N554" i="24"/>
  <c r="S535" i="24"/>
  <c r="O535" i="24"/>
  <c r="N535" i="24"/>
  <c r="S553" i="24"/>
  <c r="O553" i="24"/>
  <c r="N553" i="24"/>
  <c r="S534" i="24"/>
  <c r="O534" i="24"/>
  <c r="N534" i="24"/>
  <c r="S538" i="24"/>
  <c r="O538" i="24"/>
  <c r="N538" i="24"/>
  <c r="S537" i="24"/>
  <c r="O537" i="24"/>
  <c r="N537" i="24"/>
  <c r="S544" i="24"/>
  <c r="O544" i="24"/>
  <c r="N544" i="24"/>
  <c r="S541" i="24"/>
  <c r="O541" i="24"/>
  <c r="N541" i="24"/>
  <c r="S529" i="24"/>
  <c r="O529" i="24"/>
  <c r="N529" i="24"/>
  <c r="S514" i="24"/>
  <c r="O514" i="24"/>
  <c r="N514" i="24"/>
  <c r="S522" i="24"/>
  <c r="O522" i="24"/>
  <c r="N522" i="24"/>
  <c r="S524" i="24"/>
  <c r="O524" i="24"/>
  <c r="N524" i="24"/>
  <c r="S510" i="24"/>
  <c r="O510" i="24"/>
  <c r="N510" i="24"/>
  <c r="S515" i="24"/>
  <c r="O515" i="24"/>
  <c r="N515" i="24"/>
  <c r="S516" i="24"/>
  <c r="O516" i="24"/>
  <c r="N516" i="24"/>
  <c r="S521" i="24"/>
  <c r="O521" i="24"/>
  <c r="N521" i="24"/>
  <c r="S520" i="24"/>
  <c r="O520" i="24"/>
  <c r="N520" i="24"/>
  <c r="S513" i="24"/>
  <c r="O513" i="24"/>
  <c r="N513" i="24"/>
  <c r="S512" i="24"/>
  <c r="O512" i="24"/>
  <c r="N512" i="24"/>
  <c r="S518" i="24"/>
  <c r="O518" i="24"/>
  <c r="N518" i="24"/>
  <c r="S523" i="24"/>
  <c r="O523" i="24"/>
  <c r="N523" i="24"/>
  <c r="S517" i="24"/>
  <c r="O517" i="24"/>
  <c r="N517" i="24"/>
  <c r="S511" i="24"/>
  <c r="O511" i="24"/>
  <c r="N511" i="24"/>
  <c r="S519" i="24"/>
  <c r="O519" i="24"/>
  <c r="N519" i="24"/>
  <c r="S507" i="24"/>
  <c r="O507" i="24"/>
  <c r="N507" i="24"/>
  <c r="S508" i="24"/>
  <c r="O508" i="24"/>
  <c r="N508" i="24"/>
  <c r="S509" i="24"/>
  <c r="O509" i="24"/>
  <c r="N509" i="24"/>
  <c r="S504" i="24"/>
  <c r="O504" i="24"/>
  <c r="N504" i="24"/>
  <c r="S502" i="24"/>
  <c r="O502" i="24"/>
  <c r="N502" i="24"/>
  <c r="S503" i="24"/>
  <c r="O503" i="24"/>
  <c r="N503" i="24"/>
  <c r="S506" i="24"/>
  <c r="O506" i="24"/>
  <c r="N506" i="24"/>
  <c r="S505" i="24"/>
  <c r="O505" i="24"/>
  <c r="N505" i="24"/>
  <c r="S501" i="24"/>
  <c r="O501" i="24"/>
  <c r="N501" i="24"/>
  <c r="S500" i="24"/>
  <c r="O500" i="24"/>
  <c r="N500" i="24"/>
  <c r="S499" i="24"/>
  <c r="O499" i="24"/>
  <c r="N499" i="24"/>
  <c r="S498" i="24"/>
  <c r="O498" i="24"/>
  <c r="N498" i="24"/>
  <c r="S495" i="24"/>
  <c r="O495" i="24"/>
  <c r="N495" i="24"/>
  <c r="S494" i="24"/>
  <c r="O494" i="24"/>
  <c r="N494" i="24"/>
  <c r="S490" i="24"/>
  <c r="O490" i="24"/>
  <c r="N490" i="24"/>
  <c r="S488" i="24"/>
  <c r="O488" i="24"/>
  <c r="N488" i="24"/>
  <c r="S497" i="24"/>
  <c r="O497" i="24"/>
  <c r="N497" i="24"/>
  <c r="S493" i="24"/>
  <c r="O493" i="24"/>
  <c r="N493" i="24"/>
  <c r="S496" i="24"/>
  <c r="O496" i="24"/>
  <c r="N496" i="24"/>
  <c r="S492" i="24"/>
  <c r="O492" i="24"/>
  <c r="N492" i="24"/>
  <c r="S489" i="24"/>
  <c r="O489" i="24"/>
  <c r="N489" i="24"/>
  <c r="S491" i="24"/>
  <c r="O491" i="24"/>
  <c r="N491" i="24"/>
  <c r="S487" i="24"/>
  <c r="O487" i="24"/>
  <c r="N487" i="24"/>
  <c r="S478" i="24"/>
  <c r="O478" i="24"/>
  <c r="N478" i="24"/>
  <c r="S485" i="24"/>
  <c r="O485" i="24"/>
  <c r="N485" i="24"/>
  <c r="S482" i="24"/>
  <c r="O482" i="24"/>
  <c r="N482" i="24"/>
  <c r="S479" i="24"/>
  <c r="O479" i="24"/>
  <c r="N479" i="24"/>
  <c r="S476" i="24"/>
  <c r="O476" i="24"/>
  <c r="N476" i="24"/>
  <c r="S468" i="24"/>
  <c r="O468" i="24"/>
  <c r="N468" i="24"/>
  <c r="S475" i="24"/>
  <c r="O475" i="24"/>
  <c r="N475" i="24"/>
  <c r="S469" i="24"/>
  <c r="O469" i="24"/>
  <c r="N469" i="24"/>
  <c r="S480" i="24"/>
  <c r="O480" i="24"/>
  <c r="N480" i="24"/>
  <c r="S483" i="24"/>
  <c r="O483" i="24"/>
  <c r="N483" i="24"/>
  <c r="S471" i="24"/>
  <c r="O471" i="24"/>
  <c r="N471" i="24"/>
  <c r="S472" i="24"/>
  <c r="O472" i="24"/>
  <c r="N472" i="24"/>
  <c r="S466" i="24"/>
  <c r="O466" i="24"/>
  <c r="N466" i="24"/>
  <c r="S467" i="24"/>
  <c r="O467" i="24"/>
  <c r="N467" i="24"/>
  <c r="S474" i="24"/>
  <c r="O474" i="24"/>
  <c r="N474" i="24"/>
  <c r="S470" i="24"/>
  <c r="O470" i="24"/>
  <c r="N470" i="24"/>
  <c r="S465" i="24"/>
  <c r="O465" i="24"/>
  <c r="N465" i="24"/>
  <c r="S477" i="24"/>
  <c r="O477" i="24"/>
  <c r="N477" i="24"/>
  <c r="S473" i="24"/>
  <c r="O473" i="24"/>
  <c r="N473" i="24"/>
  <c r="S481" i="24"/>
  <c r="O481" i="24"/>
  <c r="N481" i="24"/>
  <c r="S484" i="24"/>
  <c r="O484" i="24"/>
  <c r="N484" i="24"/>
  <c r="S486" i="24"/>
  <c r="O486" i="24"/>
  <c r="N486" i="24"/>
  <c r="S438" i="24"/>
  <c r="O438" i="24"/>
  <c r="N438" i="24"/>
  <c r="S459" i="24"/>
  <c r="O459" i="24"/>
  <c r="N459" i="24"/>
  <c r="S441" i="24"/>
  <c r="O441" i="24"/>
  <c r="N441" i="24"/>
  <c r="S440" i="24"/>
  <c r="O440" i="24"/>
  <c r="N440" i="24"/>
  <c r="S449" i="24"/>
  <c r="O449" i="24"/>
  <c r="N449" i="24"/>
  <c r="S439" i="24"/>
  <c r="O439" i="24"/>
  <c r="N439" i="24"/>
  <c r="S443" i="24"/>
  <c r="O443" i="24"/>
  <c r="N443" i="24"/>
  <c r="S448" i="24"/>
  <c r="O448" i="24"/>
  <c r="N448" i="24"/>
  <c r="S447" i="24"/>
  <c r="O447" i="24"/>
  <c r="N447" i="24"/>
  <c r="S446" i="24"/>
  <c r="O446" i="24"/>
  <c r="N446" i="24"/>
  <c r="S463" i="24"/>
  <c r="O463" i="24"/>
  <c r="N463" i="24"/>
  <c r="S454" i="24"/>
  <c r="O454" i="24"/>
  <c r="N454" i="24"/>
  <c r="S464" i="24"/>
  <c r="O464" i="24"/>
  <c r="N464" i="24"/>
  <c r="S460" i="24"/>
  <c r="O460" i="24"/>
  <c r="N460" i="24"/>
  <c r="S444" i="24"/>
  <c r="O444" i="24"/>
  <c r="N444" i="24"/>
  <c r="S462" i="24"/>
  <c r="O462" i="24"/>
  <c r="N462" i="24"/>
  <c r="S457" i="24"/>
  <c r="O457" i="24"/>
  <c r="N457" i="24"/>
  <c r="S456" i="24"/>
  <c r="O456" i="24"/>
  <c r="N456" i="24"/>
  <c r="S452" i="24"/>
  <c r="O452" i="24"/>
  <c r="N452" i="24"/>
  <c r="S445" i="24"/>
  <c r="O445" i="24"/>
  <c r="N445" i="24"/>
  <c r="S458" i="24"/>
  <c r="O458" i="24"/>
  <c r="N458" i="24"/>
  <c r="S453" i="24"/>
  <c r="O453" i="24"/>
  <c r="N453" i="24"/>
  <c r="S451" i="24"/>
  <c r="O451" i="24"/>
  <c r="N451" i="24"/>
  <c r="S450" i="24"/>
  <c r="O450" i="24"/>
  <c r="N450" i="24"/>
  <c r="S442" i="24"/>
  <c r="O442" i="24"/>
  <c r="N442" i="24"/>
  <c r="S461" i="24"/>
  <c r="O461" i="24"/>
  <c r="N461" i="24"/>
  <c r="S437" i="24"/>
  <c r="O437" i="24"/>
  <c r="N437" i="24"/>
  <c r="S455" i="24"/>
  <c r="O455" i="24"/>
  <c r="N455" i="24"/>
  <c r="S433" i="24"/>
  <c r="O433" i="24"/>
  <c r="N433" i="24"/>
  <c r="S436" i="24"/>
  <c r="O436" i="24"/>
  <c r="N436" i="24"/>
  <c r="S432" i="24"/>
  <c r="O432" i="24"/>
  <c r="N432" i="24"/>
  <c r="S428" i="24"/>
  <c r="O428" i="24"/>
  <c r="N428" i="24"/>
  <c r="S424" i="24"/>
  <c r="O424" i="24"/>
  <c r="N424" i="24"/>
  <c r="S434" i="24"/>
  <c r="O434" i="24"/>
  <c r="N434" i="24"/>
  <c r="S435" i="24"/>
  <c r="O435" i="24"/>
  <c r="N435" i="24"/>
  <c r="S431" i="24"/>
  <c r="O431" i="24"/>
  <c r="N431" i="24"/>
  <c r="S429" i="24"/>
  <c r="O429" i="24"/>
  <c r="N429" i="24"/>
  <c r="S430" i="24"/>
  <c r="O430" i="24"/>
  <c r="N430" i="24"/>
  <c r="S427" i="24"/>
  <c r="O427" i="24"/>
  <c r="N427" i="24"/>
  <c r="S426" i="24"/>
  <c r="O426" i="24"/>
  <c r="N426" i="24"/>
  <c r="S425" i="24"/>
  <c r="O425" i="24"/>
  <c r="N425" i="24"/>
  <c r="S423" i="24"/>
  <c r="O423" i="24"/>
  <c r="N423" i="24"/>
  <c r="S421" i="24"/>
  <c r="O421" i="24"/>
  <c r="N421" i="24"/>
  <c r="S422" i="24"/>
  <c r="O422" i="24"/>
  <c r="N422" i="24"/>
  <c r="S420" i="24"/>
  <c r="O420" i="24"/>
  <c r="N420" i="24"/>
  <c r="S419" i="24"/>
  <c r="O419" i="24"/>
  <c r="N419" i="24"/>
  <c r="S418" i="24"/>
  <c r="O418" i="24"/>
  <c r="N418" i="24"/>
  <c r="S415" i="24"/>
  <c r="O415" i="24"/>
  <c r="N415" i="24"/>
  <c r="S409" i="24"/>
  <c r="O409" i="24"/>
  <c r="N409" i="24"/>
  <c r="S416" i="24"/>
  <c r="O416" i="24"/>
  <c r="N416" i="24"/>
  <c r="S411" i="24"/>
  <c r="O411" i="24"/>
  <c r="N411" i="24"/>
  <c r="S406" i="24"/>
  <c r="O406" i="24"/>
  <c r="N406" i="24"/>
  <c r="S413" i="24"/>
  <c r="O413" i="24"/>
  <c r="N413" i="24"/>
  <c r="S410" i="24"/>
  <c r="O410" i="24"/>
  <c r="N410" i="24"/>
  <c r="S408" i="24"/>
  <c r="O408" i="24"/>
  <c r="N408" i="24"/>
  <c r="S412" i="24"/>
  <c r="O412" i="24"/>
  <c r="N412" i="24"/>
  <c r="S414" i="24"/>
  <c r="O414" i="24"/>
  <c r="N414" i="24"/>
  <c r="S407" i="24"/>
  <c r="O407" i="24"/>
  <c r="N407" i="24"/>
  <c r="S417" i="24"/>
  <c r="O417" i="24"/>
  <c r="N417" i="24"/>
  <c r="S389" i="24"/>
  <c r="O389" i="24"/>
  <c r="N389" i="24"/>
  <c r="S403" i="24"/>
  <c r="O403" i="24"/>
  <c r="N403" i="24"/>
  <c r="S404" i="24"/>
  <c r="O404" i="24"/>
  <c r="N404" i="24"/>
  <c r="S388" i="24"/>
  <c r="O388" i="24"/>
  <c r="N388" i="24"/>
  <c r="S397" i="24"/>
  <c r="O397" i="24"/>
  <c r="N397" i="24"/>
  <c r="S398" i="24"/>
  <c r="O398" i="24"/>
  <c r="N398" i="24"/>
  <c r="S384" i="24"/>
  <c r="O384" i="24"/>
  <c r="N384" i="24"/>
  <c r="S402" i="24"/>
  <c r="O402" i="24"/>
  <c r="N402" i="24"/>
  <c r="S395" i="24"/>
  <c r="O395" i="24"/>
  <c r="N395" i="24"/>
  <c r="S394" i="24"/>
  <c r="O394" i="24"/>
  <c r="N394" i="24"/>
  <c r="S396" i="24"/>
  <c r="O396" i="24"/>
  <c r="N396" i="24"/>
  <c r="S385" i="24"/>
  <c r="O385" i="24"/>
  <c r="N385" i="24"/>
  <c r="S401" i="24"/>
  <c r="O401" i="24"/>
  <c r="N401" i="24"/>
  <c r="S393" i="24"/>
  <c r="O393" i="24"/>
  <c r="N393" i="24"/>
  <c r="S392" i="24"/>
  <c r="O392" i="24"/>
  <c r="N392" i="24"/>
  <c r="S400" i="24"/>
  <c r="O400" i="24"/>
  <c r="N400" i="24"/>
  <c r="S390" i="24"/>
  <c r="O390" i="24"/>
  <c r="N390" i="24"/>
  <c r="S391" i="24"/>
  <c r="O391" i="24"/>
  <c r="N391" i="24"/>
  <c r="S387" i="24"/>
  <c r="O387" i="24"/>
  <c r="N387" i="24"/>
  <c r="S382" i="24"/>
  <c r="O382" i="24"/>
  <c r="N382" i="24"/>
  <c r="S383" i="24"/>
  <c r="O383" i="24"/>
  <c r="N383" i="24"/>
  <c r="S386" i="24"/>
  <c r="O386" i="24"/>
  <c r="N386" i="24"/>
  <c r="S405" i="24"/>
  <c r="O405" i="24"/>
  <c r="N405" i="24"/>
  <c r="S399" i="24"/>
  <c r="O399" i="24"/>
  <c r="N399" i="24"/>
  <c r="S375" i="24"/>
  <c r="O375" i="24"/>
  <c r="N375" i="24"/>
  <c r="S374" i="24"/>
  <c r="O374" i="24"/>
  <c r="N374" i="24"/>
  <c r="S370" i="24"/>
  <c r="O370" i="24"/>
  <c r="N370" i="24"/>
  <c r="S369" i="24"/>
  <c r="O369" i="24"/>
  <c r="N369" i="24"/>
  <c r="S368" i="24"/>
  <c r="O368" i="24"/>
  <c r="N368" i="24"/>
  <c r="S380" i="24"/>
  <c r="O380" i="24"/>
  <c r="N380" i="24"/>
  <c r="S381" i="24"/>
  <c r="O381" i="24"/>
  <c r="N381" i="24"/>
  <c r="S367" i="24"/>
  <c r="O367" i="24"/>
  <c r="N367" i="24"/>
  <c r="S366" i="24"/>
  <c r="O366" i="24"/>
  <c r="N366" i="24"/>
  <c r="S379" i="24"/>
  <c r="O379" i="24"/>
  <c r="N379" i="24"/>
  <c r="S373" i="24"/>
  <c r="O373" i="24"/>
  <c r="N373" i="24"/>
  <c r="S376" i="24"/>
  <c r="O376" i="24"/>
  <c r="N376" i="24"/>
  <c r="S372" i="24"/>
  <c r="O372" i="24"/>
  <c r="N372" i="24"/>
  <c r="S377" i="24"/>
  <c r="O377" i="24"/>
  <c r="N377" i="24"/>
  <c r="S378" i="24"/>
  <c r="O378" i="24"/>
  <c r="N378" i="24"/>
  <c r="S371" i="24"/>
  <c r="O371" i="24"/>
  <c r="N371" i="24"/>
  <c r="S365" i="24"/>
  <c r="O365" i="24"/>
  <c r="N365" i="24"/>
  <c r="S346" i="24"/>
  <c r="O346" i="24"/>
  <c r="N346" i="24"/>
  <c r="S343" i="24"/>
  <c r="O343" i="24"/>
  <c r="N343" i="24"/>
  <c r="S342" i="24"/>
  <c r="O342" i="24"/>
  <c r="N342" i="24"/>
  <c r="S358" i="24"/>
  <c r="O358" i="24"/>
  <c r="N358" i="24"/>
  <c r="S362" i="24"/>
  <c r="O362" i="24"/>
  <c r="N362" i="24"/>
  <c r="S357" i="24"/>
  <c r="O357" i="24"/>
  <c r="N357" i="24"/>
  <c r="S363" i="24"/>
  <c r="O363" i="24"/>
  <c r="N363" i="24"/>
  <c r="S352" i="24"/>
  <c r="O352" i="24"/>
  <c r="N352" i="24"/>
  <c r="S345" i="24"/>
  <c r="O345" i="24"/>
  <c r="N345" i="24"/>
  <c r="S340" i="24"/>
  <c r="O340" i="24"/>
  <c r="N340" i="24"/>
  <c r="S341" i="24"/>
  <c r="O341" i="24"/>
  <c r="N341" i="24"/>
  <c r="S351" i="24"/>
  <c r="O351" i="24"/>
  <c r="N351" i="24"/>
  <c r="S350" i="24"/>
  <c r="O350" i="24"/>
  <c r="N350" i="24"/>
  <c r="S356" i="24"/>
  <c r="O356" i="24"/>
  <c r="N356" i="24"/>
  <c r="S353" i="24"/>
  <c r="O353" i="24"/>
  <c r="N353" i="24"/>
  <c r="S349" i="24"/>
  <c r="O349" i="24"/>
  <c r="N349" i="24"/>
  <c r="S360" i="24"/>
  <c r="O360" i="24"/>
  <c r="N360" i="24"/>
  <c r="S347" i="24"/>
  <c r="O347" i="24"/>
  <c r="N347" i="24"/>
  <c r="S361" i="24"/>
  <c r="O361" i="24"/>
  <c r="N361" i="24"/>
  <c r="S355" i="24"/>
  <c r="O355" i="24"/>
  <c r="N355" i="24"/>
  <c r="S348" i="24"/>
  <c r="O348" i="24"/>
  <c r="N348" i="24"/>
  <c r="S354" i="24"/>
  <c r="O354" i="24"/>
  <c r="N354" i="24"/>
  <c r="S339" i="24"/>
  <c r="O339" i="24"/>
  <c r="N339" i="24"/>
  <c r="S364" i="24"/>
  <c r="O364" i="24"/>
  <c r="N364" i="24"/>
  <c r="S359" i="24"/>
  <c r="O359" i="24"/>
  <c r="N359" i="24"/>
  <c r="S344" i="24"/>
  <c r="O344" i="24"/>
  <c r="N344" i="24"/>
  <c r="S333" i="24"/>
  <c r="O333" i="24"/>
  <c r="N333" i="24"/>
  <c r="S331" i="24"/>
  <c r="O331" i="24"/>
  <c r="N331" i="24"/>
  <c r="S326" i="24"/>
  <c r="O326" i="24"/>
  <c r="N326" i="24"/>
  <c r="S332" i="24"/>
  <c r="O332" i="24"/>
  <c r="N332" i="24"/>
  <c r="S328" i="24"/>
  <c r="O328" i="24"/>
  <c r="N328" i="24"/>
  <c r="S337" i="24"/>
  <c r="O337" i="24"/>
  <c r="N337" i="24"/>
  <c r="S324" i="24"/>
  <c r="O324" i="24"/>
  <c r="N324" i="24"/>
  <c r="S327" i="24"/>
  <c r="O327" i="24"/>
  <c r="N327" i="24"/>
  <c r="S338" i="24"/>
  <c r="O338" i="24"/>
  <c r="N338" i="24"/>
  <c r="S329" i="24"/>
  <c r="O329" i="24"/>
  <c r="N329" i="24"/>
  <c r="S325" i="24"/>
  <c r="O325" i="24"/>
  <c r="N325" i="24"/>
  <c r="S330" i="24"/>
  <c r="O330" i="24"/>
  <c r="N330" i="24"/>
  <c r="S334" i="24"/>
  <c r="O334" i="24"/>
  <c r="N334" i="24"/>
  <c r="S336" i="24"/>
  <c r="O336" i="24"/>
  <c r="N336" i="24"/>
  <c r="S335" i="24"/>
  <c r="O335" i="24"/>
  <c r="N335" i="24"/>
  <c r="S323" i="24"/>
  <c r="O323" i="24"/>
  <c r="N323" i="24"/>
  <c r="S322" i="24"/>
  <c r="O322" i="24"/>
  <c r="N322" i="24"/>
  <c r="S302" i="24"/>
  <c r="O302" i="24"/>
  <c r="N302" i="24"/>
  <c r="S320" i="24"/>
  <c r="O320" i="24"/>
  <c r="N320" i="24"/>
  <c r="S312" i="24"/>
  <c r="O312" i="24"/>
  <c r="N312" i="24"/>
  <c r="S306" i="24"/>
  <c r="O306" i="24"/>
  <c r="N306" i="24"/>
  <c r="S300" i="24"/>
  <c r="O300" i="24"/>
  <c r="N300" i="24"/>
  <c r="S303" i="24"/>
  <c r="O303" i="24"/>
  <c r="N303" i="24"/>
  <c r="S305" i="24"/>
  <c r="O305" i="24"/>
  <c r="N305" i="24"/>
  <c r="S317" i="24"/>
  <c r="O317" i="24"/>
  <c r="N317" i="24"/>
  <c r="S313" i="24"/>
  <c r="O313" i="24"/>
  <c r="N313" i="24"/>
  <c r="S301" i="24"/>
  <c r="O301" i="24"/>
  <c r="N301" i="24"/>
  <c r="S304" i="24"/>
  <c r="O304" i="24"/>
  <c r="N304" i="24"/>
  <c r="S319" i="24"/>
  <c r="O319" i="24"/>
  <c r="N319" i="24"/>
  <c r="S316" i="24"/>
  <c r="O316" i="24"/>
  <c r="N316" i="24"/>
  <c r="S318" i="24"/>
  <c r="O318" i="24"/>
  <c r="N318" i="24"/>
  <c r="S307" i="24"/>
  <c r="O307" i="24"/>
  <c r="N307" i="24"/>
  <c r="S299" i="24"/>
  <c r="O299" i="24"/>
  <c r="N299" i="24"/>
  <c r="S308" i="24"/>
  <c r="O308" i="24"/>
  <c r="N308" i="24"/>
  <c r="S321" i="24"/>
  <c r="O321" i="24"/>
  <c r="N321" i="24"/>
  <c r="S309" i="24"/>
  <c r="O309" i="24"/>
  <c r="N309" i="24"/>
  <c r="S297" i="24"/>
  <c r="O297" i="24"/>
  <c r="N297" i="24"/>
  <c r="S311" i="24"/>
  <c r="O311" i="24"/>
  <c r="N311" i="24"/>
  <c r="S310" i="24"/>
  <c r="O310" i="24"/>
  <c r="N310" i="24"/>
  <c r="S298" i="24"/>
  <c r="O298" i="24"/>
  <c r="N298" i="24"/>
  <c r="S315" i="24"/>
  <c r="O315" i="24"/>
  <c r="N315" i="24"/>
  <c r="S314" i="24"/>
  <c r="O314" i="24"/>
  <c r="N314" i="24"/>
  <c r="S277" i="24"/>
  <c r="O277" i="24"/>
  <c r="N277" i="24"/>
  <c r="S289" i="24"/>
  <c r="O289" i="24"/>
  <c r="N289" i="24"/>
  <c r="S295" i="24"/>
  <c r="O295" i="24"/>
  <c r="N295" i="24"/>
  <c r="S276" i="24"/>
  <c r="O276" i="24"/>
  <c r="N276" i="24"/>
  <c r="S278" i="24"/>
  <c r="O278" i="24"/>
  <c r="N278" i="24"/>
  <c r="S282" i="24"/>
  <c r="O282" i="24"/>
  <c r="N282" i="24"/>
  <c r="S288" i="24"/>
  <c r="O288" i="24"/>
  <c r="N288" i="24"/>
  <c r="S280" i="24"/>
  <c r="O280" i="24"/>
  <c r="N280" i="24"/>
  <c r="S293" i="24"/>
  <c r="O293" i="24"/>
  <c r="N293" i="24"/>
  <c r="S284" i="24"/>
  <c r="O284" i="24"/>
  <c r="N284" i="24"/>
  <c r="S291" i="24"/>
  <c r="O291" i="24"/>
  <c r="N291" i="24"/>
  <c r="S283" i="24"/>
  <c r="O283" i="24"/>
  <c r="N283" i="24"/>
  <c r="S292" i="24"/>
  <c r="O292" i="24"/>
  <c r="N292" i="24"/>
  <c r="S294" i="24"/>
  <c r="O294" i="24"/>
  <c r="N294" i="24"/>
  <c r="S290" i="24"/>
  <c r="O290" i="24"/>
  <c r="N290" i="24"/>
  <c r="S286" i="24"/>
  <c r="O286" i="24"/>
  <c r="N286" i="24"/>
  <c r="S285" i="24"/>
  <c r="O285" i="24"/>
  <c r="N285" i="24"/>
  <c r="S296" i="24"/>
  <c r="O296" i="24"/>
  <c r="N296" i="24"/>
  <c r="S281" i="24"/>
  <c r="O281" i="24"/>
  <c r="N281" i="24"/>
  <c r="S287" i="24"/>
  <c r="O287" i="24"/>
  <c r="N287" i="24"/>
  <c r="S279" i="24"/>
  <c r="O279" i="24"/>
  <c r="N279" i="24"/>
  <c r="S266" i="24"/>
  <c r="O266" i="24"/>
  <c r="N266" i="24"/>
  <c r="S260" i="24"/>
  <c r="O260" i="24"/>
  <c r="N260" i="24"/>
  <c r="S271" i="24"/>
  <c r="O271" i="24"/>
  <c r="N271" i="24"/>
  <c r="S259" i="24"/>
  <c r="O259" i="24"/>
  <c r="N259" i="24"/>
  <c r="S263" i="24"/>
  <c r="O263" i="24"/>
  <c r="N263" i="24"/>
  <c r="S262" i="24"/>
  <c r="O262" i="24"/>
  <c r="N262" i="24"/>
  <c r="S272" i="24"/>
  <c r="O272" i="24"/>
  <c r="N272" i="24"/>
  <c r="S275" i="24"/>
  <c r="O275" i="24"/>
  <c r="N275" i="24"/>
  <c r="S261" i="24"/>
  <c r="O261" i="24"/>
  <c r="N261" i="24"/>
  <c r="S274" i="24"/>
  <c r="O274" i="24"/>
  <c r="N274" i="24"/>
  <c r="S270" i="24"/>
  <c r="O270" i="24"/>
  <c r="N270" i="24"/>
  <c r="S268" i="24"/>
  <c r="O268" i="24"/>
  <c r="N268" i="24"/>
  <c r="S273" i="24"/>
  <c r="O273" i="24"/>
  <c r="N273" i="24"/>
  <c r="S265" i="24"/>
  <c r="O265" i="24"/>
  <c r="N265" i="24"/>
  <c r="S264" i="24"/>
  <c r="O264" i="24"/>
  <c r="N264" i="24"/>
  <c r="S267" i="24"/>
  <c r="O267" i="24"/>
  <c r="N267" i="24"/>
  <c r="S269" i="24"/>
  <c r="O269" i="24"/>
  <c r="N269" i="24"/>
  <c r="S232" i="24"/>
  <c r="O232" i="24"/>
  <c r="N232" i="24"/>
  <c r="S244" i="24"/>
  <c r="O244" i="24"/>
  <c r="N244" i="24"/>
  <c r="S252" i="24"/>
  <c r="O252" i="24"/>
  <c r="N252" i="24"/>
  <c r="S255" i="24"/>
  <c r="O255" i="24"/>
  <c r="N255" i="24"/>
  <c r="S243" i="24"/>
  <c r="O243" i="24"/>
  <c r="N243" i="24"/>
  <c r="S254" i="24"/>
  <c r="O254" i="24"/>
  <c r="N254" i="24"/>
  <c r="S247" i="24"/>
  <c r="O247" i="24"/>
  <c r="N247" i="24"/>
  <c r="S251" i="24"/>
  <c r="O251" i="24"/>
  <c r="N251" i="24"/>
  <c r="S250" i="24"/>
  <c r="O250" i="24"/>
  <c r="N250" i="24"/>
  <c r="S240" i="24"/>
  <c r="O240" i="24"/>
  <c r="N240" i="24"/>
  <c r="S234" i="24"/>
  <c r="O234" i="24"/>
  <c r="N234" i="24"/>
  <c r="S242" i="24"/>
  <c r="O242" i="24"/>
  <c r="N242" i="24"/>
  <c r="S241" i="24"/>
  <c r="O241" i="24"/>
  <c r="N241" i="24"/>
  <c r="S253" i="24"/>
  <c r="O253" i="24"/>
  <c r="N253" i="24"/>
  <c r="S236" i="24"/>
  <c r="O236" i="24"/>
  <c r="N236" i="24"/>
  <c r="S237" i="24"/>
  <c r="O237" i="24"/>
  <c r="N237" i="24"/>
  <c r="S245" i="24"/>
  <c r="O245" i="24"/>
  <c r="N245" i="24"/>
  <c r="S246" i="24"/>
  <c r="O246" i="24"/>
  <c r="N246" i="24"/>
  <c r="S256" i="24"/>
  <c r="O256" i="24"/>
  <c r="N256" i="24"/>
  <c r="S239" i="24"/>
  <c r="O239" i="24"/>
  <c r="N239" i="24"/>
  <c r="S257" i="24"/>
  <c r="O257" i="24"/>
  <c r="N257" i="24"/>
  <c r="S249" i="24"/>
  <c r="O249" i="24"/>
  <c r="N249" i="24"/>
  <c r="S258" i="24"/>
  <c r="O258" i="24"/>
  <c r="N258" i="24"/>
  <c r="S238" i="24"/>
  <c r="O238" i="24"/>
  <c r="N238" i="24"/>
  <c r="S248" i="24"/>
  <c r="O248" i="24"/>
  <c r="N248" i="24"/>
  <c r="S233" i="24"/>
  <c r="O233" i="24"/>
  <c r="N233" i="24"/>
  <c r="S235" i="24"/>
  <c r="O235" i="24"/>
  <c r="N235" i="24"/>
  <c r="S227" i="24"/>
  <c r="O227" i="24"/>
  <c r="N227" i="24"/>
  <c r="S230" i="24"/>
  <c r="O230" i="24"/>
  <c r="N230" i="24"/>
  <c r="S197" i="24"/>
  <c r="O197" i="24"/>
  <c r="N197" i="24"/>
  <c r="S206" i="24"/>
  <c r="O206" i="24"/>
  <c r="N206" i="24"/>
  <c r="S208" i="24"/>
  <c r="O208" i="24"/>
  <c r="N208" i="24"/>
  <c r="S200" i="24"/>
  <c r="O200" i="24"/>
  <c r="N200" i="24"/>
  <c r="S225" i="24"/>
  <c r="O225" i="24"/>
  <c r="N225" i="24"/>
  <c r="S213" i="24"/>
  <c r="O213" i="24"/>
  <c r="N213" i="24"/>
  <c r="S212" i="24"/>
  <c r="O212" i="24"/>
  <c r="N212" i="24"/>
  <c r="S215" i="24"/>
  <c r="O215" i="24"/>
  <c r="N215" i="24"/>
  <c r="S207" i="24"/>
  <c r="O207" i="24"/>
  <c r="N207" i="24"/>
  <c r="S218" i="24"/>
  <c r="O218" i="24"/>
  <c r="N218" i="24"/>
  <c r="S210" i="24"/>
  <c r="O210" i="24"/>
  <c r="N210" i="24"/>
  <c r="S198" i="24"/>
  <c r="O198" i="24"/>
  <c r="N198" i="24"/>
  <c r="S217" i="24"/>
  <c r="O217" i="24"/>
  <c r="N217" i="24"/>
  <c r="S216" i="24"/>
  <c r="O216" i="24"/>
  <c r="N216" i="24"/>
  <c r="S203" i="24"/>
  <c r="O203" i="24"/>
  <c r="N203" i="24"/>
  <c r="S205" i="24"/>
  <c r="O205" i="24"/>
  <c r="N205" i="24"/>
  <c r="S221" i="24"/>
  <c r="O221" i="24"/>
  <c r="N221" i="24"/>
  <c r="S219" i="24"/>
  <c r="O219" i="24"/>
  <c r="N219" i="24"/>
  <c r="S226" i="24"/>
  <c r="O226" i="24"/>
  <c r="N226" i="24"/>
  <c r="S201" i="24"/>
  <c r="O201" i="24"/>
  <c r="N201" i="24"/>
  <c r="S199" i="24"/>
  <c r="O199" i="24"/>
  <c r="N199" i="24"/>
  <c r="S209" i="24"/>
  <c r="O209" i="24"/>
  <c r="N209" i="24"/>
  <c r="S231" i="24"/>
  <c r="O231" i="24"/>
  <c r="N231" i="24"/>
  <c r="S214" i="24"/>
  <c r="O214" i="24"/>
  <c r="N214" i="24"/>
  <c r="S229" i="24"/>
  <c r="O229" i="24"/>
  <c r="N229" i="24"/>
  <c r="S196" i="24"/>
  <c r="O196" i="24"/>
  <c r="N196" i="24"/>
  <c r="S220" i="24"/>
  <c r="O220" i="24"/>
  <c r="N220" i="24"/>
  <c r="S223" i="24"/>
  <c r="O223" i="24"/>
  <c r="N223" i="24"/>
  <c r="S228" i="24"/>
  <c r="O228" i="24"/>
  <c r="N228" i="24"/>
  <c r="S195" i="24"/>
  <c r="O195" i="24"/>
  <c r="N195" i="24"/>
  <c r="S202" i="24"/>
  <c r="O202" i="24"/>
  <c r="N202" i="24"/>
  <c r="S224" i="24"/>
  <c r="O224" i="24"/>
  <c r="N224" i="24"/>
  <c r="S204" i="24"/>
  <c r="O204" i="24"/>
  <c r="N204" i="24"/>
  <c r="S222" i="24"/>
  <c r="O222" i="24"/>
  <c r="N222" i="24"/>
  <c r="S211" i="24"/>
  <c r="O211" i="24"/>
  <c r="N211" i="24"/>
  <c r="S194" i="24"/>
  <c r="O194" i="24"/>
  <c r="N194" i="24"/>
  <c r="S190" i="24"/>
  <c r="O190" i="24"/>
  <c r="N190" i="24"/>
  <c r="S189" i="24"/>
  <c r="O189" i="24"/>
  <c r="N189" i="24"/>
  <c r="S171" i="24"/>
  <c r="O171" i="24"/>
  <c r="N171" i="24"/>
  <c r="S167" i="24"/>
  <c r="O167" i="24"/>
  <c r="N167" i="24"/>
  <c r="S166" i="24"/>
  <c r="O166" i="24"/>
  <c r="N166" i="24"/>
  <c r="S188" i="24"/>
  <c r="O188" i="24"/>
  <c r="N188" i="24"/>
  <c r="S182" i="24"/>
  <c r="O182" i="24"/>
  <c r="N182" i="24"/>
  <c r="S186" i="24"/>
  <c r="O186" i="24"/>
  <c r="N186" i="24"/>
  <c r="S169" i="24"/>
  <c r="O169" i="24"/>
  <c r="N169" i="24"/>
  <c r="S174" i="24"/>
  <c r="O174" i="24"/>
  <c r="N174" i="24"/>
  <c r="S176" i="24"/>
  <c r="O176" i="24"/>
  <c r="N176" i="24"/>
  <c r="S179" i="24"/>
  <c r="O179" i="24"/>
  <c r="N179" i="24"/>
  <c r="S177" i="24"/>
  <c r="O177" i="24"/>
  <c r="N177" i="24"/>
  <c r="S184" i="24"/>
  <c r="O184" i="24"/>
  <c r="N184" i="24"/>
  <c r="S185" i="24"/>
  <c r="O185" i="24"/>
  <c r="N185" i="24"/>
  <c r="S168" i="24"/>
  <c r="O168" i="24"/>
  <c r="N168" i="24"/>
  <c r="S173" i="24"/>
  <c r="O173" i="24"/>
  <c r="N173" i="24"/>
  <c r="S181" i="24"/>
  <c r="O181" i="24"/>
  <c r="N181" i="24"/>
  <c r="S165" i="24"/>
  <c r="O165" i="24"/>
  <c r="N165" i="24"/>
  <c r="S180" i="24"/>
  <c r="O180" i="24"/>
  <c r="N180" i="24"/>
  <c r="S193" i="24"/>
  <c r="O193" i="24"/>
  <c r="N193" i="24"/>
  <c r="S192" i="24"/>
  <c r="O192" i="24"/>
  <c r="N192" i="24"/>
  <c r="S178" i="24"/>
  <c r="O178" i="24"/>
  <c r="N178" i="24"/>
  <c r="S187" i="24"/>
  <c r="O187" i="24"/>
  <c r="N187" i="24"/>
  <c r="S191" i="24"/>
  <c r="O191" i="24"/>
  <c r="N191" i="24"/>
  <c r="S170" i="24"/>
  <c r="O170" i="24"/>
  <c r="N170" i="24"/>
  <c r="S175" i="24"/>
  <c r="O175" i="24"/>
  <c r="N175" i="24"/>
  <c r="S172" i="24"/>
  <c r="O172" i="24"/>
  <c r="N172" i="24"/>
  <c r="S164" i="24"/>
  <c r="O164" i="24"/>
  <c r="N164" i="24"/>
  <c r="S183" i="24"/>
  <c r="O183" i="24"/>
  <c r="N183" i="24"/>
  <c r="S156" i="24"/>
  <c r="O156" i="24"/>
  <c r="N156" i="24"/>
  <c r="S161" i="24"/>
  <c r="O161" i="24"/>
  <c r="N161" i="24"/>
  <c r="S154" i="24"/>
  <c r="O154" i="24"/>
  <c r="N154" i="24"/>
  <c r="S150" i="24"/>
  <c r="O150" i="24"/>
  <c r="N150" i="24"/>
  <c r="S155" i="24"/>
  <c r="O155" i="24"/>
  <c r="N155" i="24"/>
  <c r="S159" i="24"/>
  <c r="O159" i="24"/>
  <c r="N159" i="24"/>
  <c r="S157" i="24"/>
  <c r="O157" i="24"/>
  <c r="N157" i="24"/>
  <c r="S163" i="24"/>
  <c r="O163" i="24"/>
  <c r="N163" i="24"/>
  <c r="S158" i="24"/>
  <c r="O158" i="24"/>
  <c r="N158" i="24"/>
  <c r="S149" i="24"/>
  <c r="O149" i="24"/>
  <c r="N149" i="24"/>
  <c r="S152" i="24"/>
  <c r="O152" i="24"/>
  <c r="N152" i="24"/>
  <c r="S153" i="24"/>
  <c r="O153" i="24"/>
  <c r="N153" i="24"/>
  <c r="S151" i="24"/>
  <c r="O151" i="24"/>
  <c r="N151" i="24"/>
  <c r="S162" i="24"/>
  <c r="O162" i="24"/>
  <c r="N162" i="24"/>
  <c r="S160" i="24"/>
  <c r="O160" i="24"/>
  <c r="N160" i="24"/>
  <c r="S140" i="24"/>
  <c r="O140" i="24"/>
  <c r="N140" i="24"/>
  <c r="S146" i="24"/>
  <c r="O146" i="24"/>
  <c r="N146" i="24"/>
  <c r="S131" i="24"/>
  <c r="O131" i="24"/>
  <c r="N131" i="24"/>
  <c r="S143" i="24"/>
  <c r="O143" i="24"/>
  <c r="N143" i="24"/>
  <c r="S128" i="24"/>
  <c r="O128" i="24"/>
  <c r="N128" i="24"/>
  <c r="S142" i="24"/>
  <c r="O142" i="24"/>
  <c r="N142" i="24"/>
  <c r="S139" i="24"/>
  <c r="O139" i="24"/>
  <c r="N139" i="24"/>
  <c r="S141" i="24"/>
  <c r="O141" i="24"/>
  <c r="N141" i="24"/>
  <c r="S148" i="24"/>
  <c r="O148" i="24"/>
  <c r="N148" i="24"/>
  <c r="S137" i="24"/>
  <c r="O137" i="24"/>
  <c r="N137" i="24"/>
  <c r="S132" i="24"/>
  <c r="O132" i="24"/>
  <c r="N132" i="24"/>
  <c r="S145" i="24"/>
  <c r="O145" i="24"/>
  <c r="N145" i="24"/>
  <c r="S138" i="24"/>
  <c r="O138" i="24"/>
  <c r="N138" i="24"/>
  <c r="S135" i="24"/>
  <c r="O135" i="24"/>
  <c r="N135" i="24"/>
  <c r="S129" i="24"/>
  <c r="O129" i="24"/>
  <c r="N129" i="24"/>
  <c r="S144" i="24"/>
  <c r="O144" i="24"/>
  <c r="N144" i="24"/>
  <c r="S136" i="24"/>
  <c r="O136" i="24"/>
  <c r="N136" i="24"/>
  <c r="S134" i="24"/>
  <c r="O134" i="24"/>
  <c r="N134" i="24"/>
  <c r="S130" i="24"/>
  <c r="O130" i="24"/>
  <c r="N130" i="24"/>
  <c r="S147" i="24"/>
  <c r="O147" i="24"/>
  <c r="N147" i="24"/>
  <c r="S133" i="24"/>
  <c r="O133" i="24"/>
  <c r="N133" i="24"/>
  <c r="S123" i="24"/>
  <c r="O123" i="24"/>
  <c r="N123" i="24"/>
  <c r="S122" i="24"/>
  <c r="O122" i="24"/>
  <c r="N122" i="24"/>
  <c r="S125" i="24"/>
  <c r="O125" i="24"/>
  <c r="N125" i="24"/>
  <c r="S126" i="24"/>
  <c r="O126" i="24"/>
  <c r="N126" i="24"/>
  <c r="S121" i="24"/>
  <c r="O121" i="24"/>
  <c r="N121" i="24"/>
  <c r="S124" i="24"/>
  <c r="O124" i="24"/>
  <c r="N124" i="24"/>
  <c r="S127" i="24"/>
  <c r="O127" i="24"/>
  <c r="N127" i="24"/>
  <c r="S111" i="24"/>
  <c r="O111" i="24"/>
  <c r="N111" i="24"/>
  <c r="S117" i="24"/>
  <c r="O117" i="24"/>
  <c r="N117" i="24"/>
  <c r="S110" i="24"/>
  <c r="O110" i="24"/>
  <c r="N110" i="24"/>
  <c r="S112" i="24"/>
  <c r="O112" i="24"/>
  <c r="N112" i="24"/>
  <c r="S113" i="24"/>
  <c r="O113" i="24"/>
  <c r="N113" i="24"/>
  <c r="S116" i="24"/>
  <c r="O116" i="24"/>
  <c r="N116" i="24"/>
  <c r="S118" i="24"/>
  <c r="O118" i="24"/>
  <c r="N118" i="24"/>
  <c r="S108" i="24"/>
  <c r="O108" i="24"/>
  <c r="N108" i="24"/>
  <c r="S119" i="24"/>
  <c r="O119" i="24"/>
  <c r="N119" i="24"/>
  <c r="S109" i="24"/>
  <c r="O109" i="24"/>
  <c r="N109" i="24"/>
  <c r="S120" i="24"/>
  <c r="O120" i="24"/>
  <c r="N120" i="24"/>
  <c r="S115" i="24"/>
  <c r="O115" i="24"/>
  <c r="N115" i="24"/>
  <c r="S114" i="24"/>
  <c r="O114" i="24"/>
  <c r="N114" i="24"/>
  <c r="S94" i="24"/>
  <c r="O94" i="24"/>
  <c r="N94" i="24"/>
  <c r="S96" i="24"/>
  <c r="O96" i="24"/>
  <c r="N96" i="24"/>
  <c r="S105" i="24"/>
  <c r="O105" i="24"/>
  <c r="N105" i="24"/>
  <c r="S93" i="24"/>
  <c r="O93" i="24"/>
  <c r="N93" i="24"/>
  <c r="S101" i="24"/>
  <c r="O101" i="24"/>
  <c r="N101" i="24"/>
  <c r="S97" i="24"/>
  <c r="O97" i="24"/>
  <c r="N97" i="24"/>
  <c r="S92" i="24"/>
  <c r="O92" i="24"/>
  <c r="N92" i="24"/>
  <c r="S99" i="24"/>
  <c r="O99" i="24"/>
  <c r="N99" i="24"/>
  <c r="S95" i="24"/>
  <c r="O95" i="24"/>
  <c r="N95" i="24"/>
  <c r="S104" i="24"/>
  <c r="O104" i="24"/>
  <c r="N104" i="24"/>
  <c r="S98" i="24"/>
  <c r="O98" i="24"/>
  <c r="N98" i="24"/>
  <c r="S91" i="24"/>
  <c r="O91" i="24"/>
  <c r="N91" i="24"/>
  <c r="S102" i="24"/>
  <c r="O102" i="24"/>
  <c r="N102" i="24"/>
  <c r="S106" i="24"/>
  <c r="O106" i="24"/>
  <c r="N106" i="24"/>
  <c r="S90" i="24"/>
  <c r="O90" i="24"/>
  <c r="N90" i="24"/>
  <c r="S103" i="24"/>
  <c r="O103" i="24"/>
  <c r="N103" i="24"/>
  <c r="S107" i="24"/>
  <c r="O107" i="24"/>
  <c r="N107" i="24"/>
  <c r="S100" i="24"/>
  <c r="O100" i="24"/>
  <c r="N100" i="24"/>
  <c r="S76" i="24"/>
  <c r="O76" i="24"/>
  <c r="N76" i="24"/>
  <c r="S74" i="24"/>
  <c r="O74" i="24"/>
  <c r="N74" i="24"/>
  <c r="S75" i="24"/>
  <c r="O75" i="24"/>
  <c r="N75" i="24"/>
  <c r="S82" i="24"/>
  <c r="O82" i="24"/>
  <c r="N82" i="24"/>
  <c r="S73" i="24"/>
  <c r="O73" i="24"/>
  <c r="N73" i="24"/>
  <c r="S81" i="24"/>
  <c r="O81" i="24"/>
  <c r="N81" i="24"/>
  <c r="S79" i="24"/>
  <c r="O79" i="24"/>
  <c r="N79" i="24"/>
  <c r="S85" i="24"/>
  <c r="O85" i="24"/>
  <c r="N85" i="24"/>
  <c r="S83" i="24"/>
  <c r="O83" i="24"/>
  <c r="N83" i="24"/>
  <c r="S77" i="24"/>
  <c r="O77" i="24"/>
  <c r="N77" i="24"/>
  <c r="S84" i="24"/>
  <c r="O84" i="24"/>
  <c r="N84" i="24"/>
  <c r="S72" i="24"/>
  <c r="O72" i="24"/>
  <c r="N72" i="24"/>
  <c r="S80" i="24"/>
  <c r="O80" i="24"/>
  <c r="N80" i="24"/>
  <c r="S89" i="24"/>
  <c r="O89" i="24"/>
  <c r="N89" i="24"/>
  <c r="S88" i="24"/>
  <c r="O88" i="24"/>
  <c r="N88" i="24"/>
  <c r="S78" i="24"/>
  <c r="O78" i="24"/>
  <c r="N78" i="24"/>
  <c r="S86" i="24"/>
  <c r="O86" i="24"/>
  <c r="N86" i="24"/>
  <c r="S87" i="24"/>
  <c r="O87" i="24"/>
  <c r="N87" i="24"/>
  <c r="S71" i="24"/>
  <c r="O71" i="24"/>
  <c r="N71" i="24"/>
  <c r="S56" i="24"/>
  <c r="O56" i="24"/>
  <c r="N56" i="24"/>
  <c r="S57" i="24"/>
  <c r="O57" i="24"/>
  <c r="N57" i="24"/>
  <c r="S66" i="24"/>
  <c r="O66" i="24"/>
  <c r="N66" i="24"/>
  <c r="S62" i="24"/>
  <c r="O62" i="24"/>
  <c r="N62" i="24"/>
  <c r="S59" i="24"/>
  <c r="O59" i="24"/>
  <c r="N59" i="24"/>
  <c r="S67" i="24"/>
  <c r="O67" i="24"/>
  <c r="N67" i="24"/>
  <c r="S61" i="24"/>
  <c r="O61" i="24"/>
  <c r="N61" i="24"/>
  <c r="S63" i="24"/>
  <c r="O63" i="24"/>
  <c r="N63" i="24"/>
  <c r="S54" i="24"/>
  <c r="O54" i="24"/>
  <c r="N54" i="24"/>
  <c r="S70" i="24"/>
  <c r="O70" i="24"/>
  <c r="N70" i="24"/>
  <c r="S64" i="24"/>
  <c r="O64" i="24"/>
  <c r="N64" i="24"/>
  <c r="S69" i="24"/>
  <c r="O69" i="24"/>
  <c r="N69" i="24"/>
  <c r="S60" i="24"/>
  <c r="O60" i="24"/>
  <c r="N60" i="24"/>
  <c r="S65" i="24"/>
  <c r="O65" i="24"/>
  <c r="N65" i="24"/>
  <c r="S58" i="24"/>
  <c r="O58" i="24"/>
  <c r="N58" i="24"/>
  <c r="S55" i="24"/>
  <c r="O55" i="24"/>
  <c r="N55" i="24"/>
  <c r="S68" i="24"/>
  <c r="O68" i="24"/>
  <c r="N68" i="24"/>
  <c r="S49" i="24"/>
  <c r="O49" i="24"/>
  <c r="N49" i="24"/>
  <c r="S44" i="24"/>
  <c r="O44" i="24"/>
  <c r="N44" i="24"/>
  <c r="S47" i="24"/>
  <c r="O47" i="24"/>
  <c r="N47" i="24"/>
  <c r="S42" i="24"/>
  <c r="O42" i="24"/>
  <c r="N42" i="24"/>
  <c r="S53" i="24"/>
  <c r="O53" i="24"/>
  <c r="N53" i="24"/>
  <c r="S50" i="24"/>
  <c r="O50" i="24"/>
  <c r="N50" i="24"/>
  <c r="S37" i="24"/>
  <c r="O37" i="24"/>
  <c r="N37" i="24"/>
  <c r="S34" i="24"/>
  <c r="O34" i="24"/>
  <c r="N34" i="24"/>
  <c r="S41" i="24"/>
  <c r="O41" i="24"/>
  <c r="N41" i="24"/>
  <c r="S40" i="24"/>
  <c r="O40" i="24"/>
  <c r="N40" i="24"/>
  <c r="S36" i="24"/>
  <c r="O36" i="24"/>
  <c r="N36" i="24"/>
  <c r="S35" i="24"/>
  <c r="O35" i="24"/>
  <c r="N35" i="24"/>
  <c r="S46" i="24"/>
  <c r="O46" i="24"/>
  <c r="N46" i="24"/>
  <c r="S38" i="24"/>
  <c r="O38" i="24"/>
  <c r="N38" i="24"/>
  <c r="S45" i="24"/>
  <c r="O45" i="24"/>
  <c r="N45" i="24"/>
  <c r="S51" i="24"/>
  <c r="O51" i="24"/>
  <c r="N51" i="24"/>
  <c r="S48" i="24"/>
  <c r="O48" i="24"/>
  <c r="N48" i="24"/>
  <c r="S43" i="24"/>
  <c r="O43" i="24"/>
  <c r="N43" i="24"/>
  <c r="S39" i="24"/>
  <c r="O39" i="24"/>
  <c r="N39" i="24"/>
  <c r="S52" i="24"/>
  <c r="O52" i="24"/>
  <c r="N52" i="24"/>
  <c r="S31" i="24"/>
  <c r="O31" i="24"/>
  <c r="N31" i="24"/>
  <c r="S24" i="24"/>
  <c r="O24" i="24"/>
  <c r="N24" i="24"/>
  <c r="S18" i="24"/>
  <c r="O18" i="24"/>
  <c r="N18" i="24"/>
  <c r="S21" i="24"/>
  <c r="O21" i="24"/>
  <c r="N21" i="24"/>
  <c r="S25" i="24"/>
  <c r="O25" i="24"/>
  <c r="N25" i="24"/>
  <c r="S9" i="24"/>
  <c r="O9" i="24"/>
  <c r="N9" i="24"/>
  <c r="S15" i="24"/>
  <c r="O15" i="24"/>
  <c r="N15" i="24"/>
  <c r="S22" i="24"/>
  <c r="O22" i="24"/>
  <c r="N22" i="24"/>
  <c r="S16" i="24"/>
  <c r="O16" i="24"/>
  <c r="N16" i="24"/>
  <c r="S17" i="24"/>
  <c r="O17" i="24"/>
  <c r="N17" i="24"/>
  <c r="S27" i="24"/>
  <c r="O27" i="24"/>
  <c r="N27" i="24"/>
  <c r="S23" i="24"/>
  <c r="O23" i="24"/>
  <c r="N23" i="24"/>
  <c r="S12" i="24"/>
  <c r="O12" i="24"/>
  <c r="N12" i="24"/>
  <c r="S13" i="24"/>
  <c r="O13" i="24"/>
  <c r="N13" i="24"/>
  <c r="S26" i="24"/>
  <c r="O26" i="24"/>
  <c r="N26" i="24"/>
  <c r="S32" i="24"/>
  <c r="O32" i="24"/>
  <c r="N32" i="24"/>
  <c r="S8" i="24"/>
  <c r="O8" i="24"/>
  <c r="N8" i="24"/>
  <c r="S11" i="24"/>
  <c r="O11" i="24"/>
  <c r="N11" i="24"/>
  <c r="S14" i="24"/>
  <c r="O14" i="24"/>
  <c r="N14" i="24"/>
  <c r="S10" i="24"/>
  <c r="O10" i="24"/>
  <c r="N10" i="24"/>
  <c r="S6" i="24"/>
  <c r="O6" i="24"/>
  <c r="N6" i="24"/>
  <c r="S19" i="24"/>
  <c r="O19" i="24"/>
  <c r="N19" i="24"/>
  <c r="S5" i="24"/>
  <c r="O5" i="24"/>
  <c r="N5" i="24"/>
  <c r="S29" i="24"/>
  <c r="O29" i="24"/>
  <c r="N29" i="24"/>
  <c r="S7" i="24"/>
  <c r="O7" i="24"/>
  <c r="N7" i="24"/>
  <c r="S30" i="24"/>
  <c r="O30" i="24"/>
  <c r="N30" i="24"/>
  <c r="S20" i="24"/>
  <c r="O20" i="24"/>
  <c r="N20" i="24"/>
  <c r="S33" i="24"/>
  <c r="O33" i="24"/>
  <c r="N33" i="24"/>
  <c r="S28" i="24"/>
  <c r="O28" i="24"/>
  <c r="N28" i="24"/>
  <c r="Q79" i="76"/>
  <c r="T2022" i="24" l="1"/>
  <c r="T1201" i="24"/>
  <c r="T1237" i="24"/>
  <c r="T1244" i="24"/>
  <c r="T1236" i="24"/>
  <c r="T1238" i="24"/>
  <c r="T1235" i="24"/>
  <c r="T1269" i="24"/>
  <c r="T1260" i="24"/>
  <c r="T1256" i="24"/>
  <c r="T1265" i="24"/>
  <c r="T1274" i="24"/>
  <c r="T1292" i="24"/>
  <c r="T1286" i="24"/>
  <c r="T1288" i="24"/>
  <c r="T1289" i="24"/>
  <c r="T1281" i="24"/>
  <c r="T1276" i="24"/>
  <c r="T1307" i="24"/>
  <c r="T1304" i="24"/>
  <c r="T1297" i="24"/>
  <c r="T1312" i="24"/>
  <c r="T1308" i="24"/>
  <c r="T1327" i="24"/>
  <c r="T1318" i="24"/>
  <c r="T1320" i="24"/>
  <c r="T1333" i="24"/>
  <c r="T1334" i="24"/>
  <c r="T1340" i="24"/>
  <c r="T1342" i="24"/>
  <c r="T1341" i="24"/>
  <c r="T1354" i="24"/>
  <c r="T1361" i="24"/>
  <c r="T1355" i="24"/>
  <c r="T1362" i="24"/>
  <c r="T1356" i="24"/>
  <c r="T1357" i="24"/>
  <c r="T1398" i="24"/>
  <c r="T1392" i="24"/>
  <c r="T1376" i="24"/>
  <c r="T1379" i="24"/>
  <c r="T1397" i="24"/>
  <c r="T1385" i="24"/>
  <c r="T1401" i="24"/>
  <c r="T1417" i="24"/>
  <c r="T1419" i="24"/>
  <c r="T1416" i="24"/>
  <c r="T1418" i="24"/>
  <c r="T1420" i="24"/>
  <c r="T1438" i="24"/>
  <c r="T1442" i="24"/>
  <c r="T1426" i="24"/>
  <c r="T1436" i="24"/>
  <c r="T1422" i="24"/>
  <c r="T1423" i="24"/>
  <c r="T1449" i="24"/>
  <c r="T1453" i="24"/>
  <c r="T1462" i="24"/>
  <c r="T1470" i="24"/>
  <c r="T1466" i="24"/>
  <c r="T1471" i="24"/>
  <c r="T1458" i="24"/>
  <c r="T1488" i="24"/>
  <c r="T1478" i="24"/>
  <c r="T1480" i="24"/>
  <c r="T1483" i="24"/>
  <c r="T1501" i="24"/>
  <c r="T1504" i="24"/>
  <c r="T1500" i="24"/>
  <c r="T1524" i="24"/>
  <c r="T1537" i="24"/>
  <c r="T1519" i="24"/>
  <c r="T1528" i="24"/>
  <c r="T1515" i="24"/>
  <c r="T1510" i="24"/>
  <c r="T1532" i="24"/>
  <c r="T1534" i="24"/>
  <c r="T1560" i="24"/>
  <c r="T1548" i="24"/>
  <c r="T1545" i="24"/>
  <c r="T1550" i="24"/>
  <c r="T1574" i="24"/>
  <c r="T1580" i="24"/>
  <c r="T1564" i="24"/>
  <c r="T1578" i="24"/>
  <c r="T1567" i="24"/>
  <c r="T1594" i="24"/>
  <c r="T1585" i="24"/>
  <c r="T1589" i="24"/>
  <c r="T1595" i="24"/>
  <c r="T1605" i="24"/>
  <c r="T1597" i="24"/>
  <c r="T1622" i="24"/>
  <c r="T1618" i="24"/>
  <c r="T1611" i="24"/>
  <c r="T1608" i="24"/>
  <c r="T1599" i="24"/>
  <c r="T1628" i="24"/>
  <c r="T1635" i="24"/>
  <c r="T1636" i="24"/>
  <c r="T1654" i="24"/>
  <c r="T1651" i="24"/>
  <c r="T1641" i="24"/>
  <c r="T1639" i="24"/>
  <c r="T1668" i="24"/>
  <c r="T1666" i="24"/>
  <c r="T1670" i="24"/>
  <c r="T1663" i="24"/>
  <c r="T1672" i="24"/>
  <c r="T1656" i="24"/>
  <c r="T1697" i="24"/>
  <c r="T1702" i="24"/>
  <c r="T1714" i="24"/>
  <c r="T1678" i="24"/>
  <c r="T1715" i="24"/>
  <c r="T1707" i="24"/>
  <c r="T1685" i="24"/>
  <c r="T1711" i="24"/>
  <c r="T1680" i="24"/>
  <c r="T1700" i="24"/>
  <c r="T1724" i="24"/>
  <c r="T1722" i="24"/>
  <c r="T1726" i="24"/>
  <c r="T1763" i="24"/>
  <c r="T1745" i="24"/>
  <c r="T1757" i="24"/>
  <c r="T1751" i="24"/>
  <c r="T1743" i="24"/>
  <c r="T1759" i="24"/>
  <c r="T1734" i="24"/>
  <c r="T1749" i="24"/>
  <c r="T1737" i="24"/>
  <c r="T1784" i="24"/>
  <c r="T1780" i="24"/>
  <c r="T1799" i="24"/>
  <c r="T1786" i="24"/>
  <c r="T1766" i="24"/>
  <c r="T1793" i="24"/>
  <c r="T1774" i="24"/>
  <c r="T1782" i="24"/>
  <c r="T1789" i="24"/>
  <c r="T1831" i="24"/>
  <c r="T1804" i="24"/>
  <c r="T1818" i="24"/>
  <c r="T1820" i="24"/>
  <c r="T1817" i="24"/>
  <c r="T1810" i="24"/>
  <c r="T1805" i="24"/>
  <c r="T1807" i="24"/>
  <c r="T1836" i="24"/>
  <c r="T1840" i="24"/>
  <c r="T1835" i="24"/>
  <c r="T1853" i="24"/>
  <c r="T1847" i="24"/>
  <c r="T1864" i="24"/>
  <c r="T1854" i="24"/>
  <c r="T1866" i="24"/>
  <c r="T1877" i="24"/>
  <c r="T1870" i="24"/>
  <c r="T1868" i="24"/>
  <c r="T1867" i="24"/>
  <c r="T1876" i="24"/>
  <c r="T1886" i="24"/>
  <c r="T1904" i="24"/>
  <c r="T1914" i="24"/>
  <c r="T1902" i="24"/>
  <c r="T1893" i="24"/>
  <c r="T1910" i="24"/>
  <c r="T1915" i="24"/>
  <c r="T1900" i="24"/>
  <c r="T1892" i="24"/>
  <c r="T1926" i="24"/>
  <c r="T1921" i="24"/>
  <c r="T1940" i="24"/>
  <c r="T1961" i="24"/>
  <c r="T1925" i="24"/>
  <c r="T1934" i="24"/>
  <c r="T1933" i="24"/>
  <c r="T1969" i="24"/>
  <c r="T1981" i="24"/>
  <c r="T1970" i="24"/>
  <c r="T1956" i="24"/>
  <c r="T1966" i="24"/>
  <c r="T1949" i="24"/>
  <c r="T1974" i="24"/>
  <c r="T1977" i="24"/>
  <c r="T1978" i="24"/>
  <c r="T1958" i="24"/>
  <c r="T1991" i="24"/>
  <c r="T1998" i="24"/>
  <c r="T2003" i="24"/>
  <c r="T2000" i="24"/>
  <c r="T2004" i="24"/>
  <c r="T2006" i="24"/>
  <c r="T2018" i="24"/>
  <c r="T2025" i="24"/>
  <c r="T1551" i="24"/>
  <c r="T1565" i="24" s="1"/>
  <c r="T1538" i="24"/>
  <c r="P1733" i="24"/>
  <c r="T1815" i="24"/>
  <c r="T1829" i="24"/>
  <c r="T1879" i="24"/>
  <c r="T1884" i="24"/>
  <c r="T1856" i="24"/>
  <c r="T1901" i="24"/>
  <c r="T1919" i="24"/>
  <c r="T1912" i="24"/>
  <c r="T1890" i="24"/>
  <c r="T1917" i="24"/>
  <c r="T1909" i="24"/>
  <c r="T1887" i="24"/>
  <c r="T1918" i="24"/>
  <c r="T1898" i="24"/>
  <c r="T1935" i="24"/>
  <c r="T1937" i="24"/>
  <c r="T1947" i="24"/>
  <c r="T1941" i="24"/>
  <c r="T1985" i="24"/>
  <c r="T1936" i="24"/>
  <c r="R1475" i="24"/>
  <c r="P1744" i="24"/>
  <c r="T1744" i="24" s="1"/>
  <c r="R1759" i="24" s="1"/>
  <c r="T1929" i="24"/>
  <c r="T1948" i="24"/>
  <c r="T1951" i="24"/>
  <c r="T1953" i="24"/>
  <c r="T1960" i="24"/>
  <c r="T1964" i="24"/>
  <c r="T1972" i="24"/>
  <c r="T1967" i="24"/>
  <c r="T1952" i="24"/>
  <c r="T1963" i="24"/>
  <c r="T1959" i="24"/>
  <c r="T1601" i="24"/>
  <c r="T1615" i="24" s="1"/>
  <c r="T1624" i="24" s="1"/>
  <c r="T1613" i="24" s="1"/>
  <c r="T1621" i="24" s="1"/>
  <c r="T1609" i="24" s="1"/>
  <c r="T1612" i="24" s="1"/>
  <c r="T1590" i="24" s="1"/>
  <c r="T1593" i="24" s="1"/>
  <c r="T1588" i="24" s="1"/>
  <c r="T1576" i="24" s="1"/>
  <c r="T1575" i="24" s="1"/>
  <c r="T1572" i="24" s="1"/>
  <c r="T1562" i="24" s="1"/>
  <c r="T1573" i="24" s="1"/>
  <c r="T1517" i="24" s="1"/>
  <c r="T1508" i="24" s="1"/>
  <c r="T1513" i="24" s="1"/>
  <c r="T1516" i="24" s="1"/>
  <c r="T1511" i="24" s="1"/>
  <c r="T1522" i="24" s="1"/>
  <c r="T1499" i="24" s="1"/>
  <c r="T1502" i="24" s="1"/>
  <c r="T1494" i="24" s="1"/>
  <c r="T1482" i="24" s="1"/>
  <c r="T1490" i="24" s="1"/>
  <c r="T1485" i="24" s="1"/>
  <c r="T1491" i="24" s="1"/>
  <c r="T1472" i="24" s="1"/>
  <c r="T1463" i="24" s="1"/>
  <c r="T1477" i="24" s="1"/>
  <c r="T1473" i="24" s="1"/>
  <c r="T1468" i="24" s="1"/>
  <c r="T1455" i="24" s="1"/>
  <c r="T1448" i="24" s="1"/>
  <c r="T1447" i="24" s="1"/>
  <c r="T1425" i="24" s="1"/>
  <c r="T1428" i="24" s="1"/>
  <c r="T1435" i="24" s="1"/>
  <c r="T1443" i="24" s="1"/>
  <c r="T1430" i="24" s="1"/>
  <c r="T1440" i="24" s="1"/>
  <c r="T1406" i="24" s="1"/>
  <c r="T1408" i="24" s="1"/>
  <c r="T1403" i="24" s="1"/>
  <c r="T1412" i="24" s="1"/>
  <c r="T1393" i="24" s="1"/>
  <c r="T1383" i="24" s="1"/>
  <c r="T1390" i="24" s="1"/>
  <c r="T1380" i="24" s="1"/>
  <c r="T1399" i="24" s="1"/>
  <c r="T1400" i="24" s="1"/>
  <c r="T1391" i="24" s="1"/>
  <c r="T1352" i="24" s="1"/>
  <c r="T1359" i="24" s="1"/>
  <c r="T1368" i="24" s="1"/>
  <c r="T1365" i="24" s="1"/>
  <c r="T1366" i="24" s="1"/>
  <c r="T1371" i="24" s="1"/>
  <c r="T1353" i="24" s="1"/>
  <c r="T1343" i="24" s="1"/>
  <c r="T1346" i="24" s="1"/>
  <c r="T1338" i="24" s="1"/>
  <c r="T1337" i="24" s="1"/>
  <c r="T1330" i="24" s="1"/>
  <c r="T1329" i="24" s="1"/>
  <c r="T1324" i="24" s="1"/>
  <c r="T1319" i="24" s="1"/>
  <c r="T1315" i="24" s="1"/>
  <c r="T1311" i="24" s="1"/>
  <c r="T1302" i="24" s="1"/>
  <c r="T1299" i="24" s="1"/>
  <c r="T1305" i="24" s="1"/>
  <c r="T1293" i="24" s="1"/>
  <c r="T1296" i="24" s="1"/>
  <c r="T1295" i="24" s="1"/>
  <c r="T1277" i="24" s="1"/>
  <c r="T1279" i="24" s="1"/>
  <c r="T1275" i="24" s="1"/>
  <c r="T1257" i="24" s="1"/>
  <c r="T1268" i="24" s="1"/>
  <c r="T1267" i="24" s="1"/>
  <c r="T1253" i="24" s="1"/>
  <c r="T1263" i="24" s="1"/>
  <c r="T1247" i="24" s="1"/>
  <c r="T1248" i="24" s="1"/>
  <c r="T1249" i="24" s="1"/>
  <c r="T1251" i="24" s="1"/>
  <c r="T1227" i="24" s="1"/>
  <c r="T1205" i="24" s="1"/>
  <c r="T1232" i="24" s="1"/>
  <c r="T1217" i="24" s="1"/>
  <c r="T1208" i="24" s="1"/>
  <c r="T1211" i="24" s="1"/>
  <c r="T1224" i="24" s="1"/>
  <c r="T1196" i="24" s="1"/>
  <c r="T1220" i="24" s="1"/>
  <c r="T1233" i="24" s="1"/>
  <c r="T1195" i="24" s="1"/>
  <c r="T1181" i="24" s="1"/>
  <c r="T1186" i="24" s="1"/>
  <c r="T1167" i="24" s="1"/>
  <c r="T1179" i="24" s="1"/>
  <c r="T1177" i="24" s="1"/>
  <c r="T1170" i="24" s="1"/>
  <c r="T1189" i="24" s="1"/>
  <c r="T1133" i="24" s="1"/>
  <c r="T1158" i="24" s="1"/>
  <c r="T1131" i="24" s="1"/>
  <c r="T1159" i="24" s="1"/>
  <c r="T1163" i="24" s="1"/>
  <c r="T1145" i="24" s="1"/>
  <c r="T1147" i="24" s="1"/>
  <c r="T1157" i="24" s="1"/>
  <c r="T1140" i="24" s="1"/>
  <c r="T1124" i="24" s="1"/>
  <c r="T1155" i="24" s="1"/>
  <c r="T1118" i="24" s="1"/>
  <c r="T1110" i="24" s="1"/>
  <c r="T1095" i="24" s="1"/>
  <c r="T1107" i="24" s="1"/>
  <c r="T1097" i="24" s="1"/>
  <c r="T1102" i="24" s="1"/>
  <c r="T1093" i="24" s="1"/>
  <c r="T1085" i="24" s="1"/>
  <c r="T1074" i="24" s="1"/>
  <c r="T1083" i="24" s="1"/>
  <c r="T1076" i="24" s="1"/>
  <c r="T1071" i="24" s="1"/>
  <c r="T1078" i="24" s="1"/>
  <c r="T1052" i="24" s="1"/>
  <c r="T1054" i="24" s="1"/>
  <c r="T1051" i="24" s="1"/>
  <c r="T1069" i="24" s="1"/>
  <c r="T1063" i="24" s="1"/>
  <c r="T1053" i="24" s="1"/>
  <c r="T1030" i="24" s="1"/>
  <c r="T1012" i="24" s="1"/>
  <c r="T1041" i="24" s="1"/>
  <c r="T1032" i="24" s="1"/>
  <c r="T1042" i="24" s="1"/>
  <c r="T1013" i="24" s="1"/>
  <c r="T1037" i="24" s="1"/>
  <c r="T1028" i="24" s="1"/>
  <c r="T1006" i="24" s="1"/>
  <c r="T1031" i="24" s="1"/>
  <c r="T984" i="24" s="1"/>
  <c r="T983" i="24" s="1"/>
  <c r="T995" i="24" s="1"/>
  <c r="T989" i="24" s="1"/>
  <c r="T998" i="24" s="1"/>
  <c r="T982" i="24" s="1"/>
  <c r="T968" i="24" s="1"/>
  <c r="T973" i="24" s="1"/>
  <c r="T976" i="24" s="1"/>
  <c r="T969" i="24" s="1"/>
  <c r="T960" i="24" s="1"/>
  <c r="T955" i="24" s="1"/>
  <c r="T958" i="24" s="1"/>
  <c r="T945" i="24" s="1"/>
  <c r="T957" i="24" s="1"/>
  <c r="T932" i="24" s="1"/>
  <c r="T933" i="24" s="1"/>
  <c r="T937" i="24" s="1"/>
  <c r="T929" i="24" s="1"/>
  <c r="T931" i="24" s="1"/>
  <c r="T936" i="24" s="1"/>
  <c r="T934" i="24" s="1"/>
  <c r="T915" i="24" s="1"/>
  <c r="T909" i="24" s="1"/>
  <c r="T903" i="24" s="1"/>
  <c r="T905" i="24" s="1"/>
  <c r="T892" i="24" s="1"/>
  <c r="T899" i="24" s="1"/>
  <c r="T887" i="24" s="1"/>
  <c r="T896" i="24" s="1"/>
  <c r="T891" i="24" s="1"/>
  <c r="T879" i="24" s="1"/>
  <c r="T873" i="24" s="1"/>
  <c r="T866" i="24" s="1"/>
  <c r="T868" i="24" s="1"/>
  <c r="T861" i="24" s="1"/>
  <c r="T854" i="24" s="1"/>
  <c r="T852" i="24" s="1"/>
  <c r="T858" i="24" s="1"/>
  <c r="T845" i="24" s="1"/>
  <c r="T840" i="24" s="1"/>
  <c r="T821" i="24" s="1"/>
  <c r="T833" i="24" s="1"/>
  <c r="T834" i="24" s="1"/>
  <c r="T824" i="24" s="1"/>
  <c r="T820" i="24" s="1"/>
  <c r="T814" i="24" s="1"/>
  <c r="T811" i="24" s="1"/>
  <c r="T816" i="24" s="1"/>
  <c r="T817" i="24" s="1"/>
  <c r="T776" i="24" s="1"/>
  <c r="T784" i="24" s="1"/>
  <c r="T793" i="24" s="1"/>
  <c r="T791" i="24" s="1"/>
  <c r="T799" i="24" s="1"/>
  <c r="T780" i="24" s="1"/>
  <c r="T782" i="24" s="1"/>
  <c r="T774" i="24" s="1"/>
  <c r="T772" i="24" s="1"/>
  <c r="T752" i="24" s="1"/>
  <c r="T756" i="24" s="1"/>
  <c r="T765" i="24" s="1"/>
  <c r="T749" i="24" s="1"/>
  <c r="T753" i="24" s="1"/>
  <c r="T741" i="24" s="1"/>
  <c r="T731" i="24" s="1"/>
  <c r="T738" i="24" s="1"/>
  <c r="T743" i="24" s="1"/>
  <c r="T744" i="24" s="1"/>
  <c r="T708" i="24" s="1"/>
  <c r="T711" i="24" s="1"/>
  <c r="T727" i="24" s="1"/>
  <c r="T726" i="24" s="1"/>
  <c r="T724" i="24" s="1"/>
  <c r="T697" i="24" s="1"/>
  <c r="T703" i="24" s="1"/>
  <c r="T702" i="24" s="1"/>
  <c r="T696" i="24" s="1"/>
  <c r="T689" i="24" s="1"/>
  <c r="T686" i="24" s="1"/>
  <c r="R1944" i="24"/>
  <c r="R1947" i="24" s="1"/>
  <c r="Q1742" i="24"/>
  <c r="P1753" i="24" s="1"/>
  <c r="P1739" i="24" s="1"/>
  <c r="T1739" i="24" s="1"/>
  <c r="R1743" i="24" s="1"/>
  <c r="Q1741" i="24" s="1"/>
  <c r="P1761" i="24" s="1"/>
  <c r="P1762" i="24" s="1"/>
  <c r="T1762" i="24" s="1"/>
  <c r="R1751" i="24" s="1"/>
  <c r="Q1760" i="24" s="1"/>
  <c r="P1756" i="24" s="1"/>
  <c r="P1758" i="24" s="1"/>
  <c r="T1758" i="24" s="1"/>
  <c r="R1757" i="24" s="1"/>
  <c r="Q1746" i="24" s="1"/>
  <c r="P1732" i="24" s="1"/>
  <c r="P1747" i="24" s="1"/>
  <c r="T1747" i="24" s="1"/>
  <c r="R1745" i="24" s="1"/>
  <c r="Q1736" i="24" s="1"/>
  <c r="P1752" i="24" s="1"/>
  <c r="P1764" i="24" s="1"/>
  <c r="T1764" i="24" s="1"/>
  <c r="R1763" i="24" s="1"/>
  <c r="Q1730" i="24" s="1"/>
  <c r="P1725" i="24" s="1"/>
  <c r="P1727" i="24" s="1"/>
  <c r="T1727" i="24" s="1"/>
  <c r="R1726" i="24" s="1"/>
  <c r="Q1728" i="24" s="1"/>
  <c r="P1731" i="24" s="1"/>
  <c r="P1729" i="24" s="1"/>
  <c r="T1729" i="24" s="1"/>
  <c r="R1722" i="24" s="1"/>
  <c r="Q1723" i="24" s="1"/>
  <c r="P1721" i="24" s="1"/>
  <c r="P1720" i="24" s="1"/>
  <c r="T1720" i="24" s="1"/>
  <c r="R1724" i="24" s="1"/>
  <c r="Q1718" i="24" s="1"/>
  <c r="P1719" i="24" s="1"/>
  <c r="P1687" i="24" s="1"/>
  <c r="T1687" i="24" s="1"/>
  <c r="R1700" i="24" s="1"/>
  <c r="Q1688" i="24" s="1"/>
  <c r="P1682" i="24" s="1"/>
  <c r="P1684" i="24" s="1"/>
  <c r="T1684" i="24" s="1"/>
  <c r="R1680" i="24" s="1"/>
  <c r="Q1692" i="24" s="1"/>
  <c r="P1689" i="24" s="1"/>
  <c r="P1713" i="24" s="1"/>
  <c r="T1713" i="24" s="1"/>
  <c r="R1711" i="24" s="1"/>
  <c r="Q1691" i="24" s="1"/>
  <c r="P1712" i="24" s="1"/>
  <c r="P1704" i="24" s="1"/>
  <c r="T1704" i="24" s="1"/>
  <c r="R1685" i="24" s="1"/>
  <c r="Q1693" i="24" s="1"/>
  <c r="P1696" i="24" s="1"/>
  <c r="P1695" i="24" s="1"/>
  <c r="T1695" i="24" s="1"/>
  <c r="R1707" i="24" s="1"/>
  <c r="Q1694" i="24" s="1"/>
  <c r="P1705" i="24" s="1"/>
  <c r="P1699" i="24" s="1"/>
  <c r="T1699" i="24" s="1"/>
  <c r="R1715" i="24" s="1"/>
  <c r="Q1698" i="24" s="1"/>
  <c r="P1709" i="24" s="1"/>
  <c r="P1681" i="24" s="1"/>
  <c r="T1681" i="24" s="1"/>
  <c r="R1678" i="24" s="1"/>
  <c r="Q1708" i="24" s="1"/>
  <c r="P1679" i="24" s="1"/>
  <c r="P1710" i="24" s="1"/>
  <c r="T1710" i="24" s="1"/>
  <c r="R1714" i="24" s="1"/>
  <c r="Q1703" i="24" s="1"/>
  <c r="P1717" i="24" s="1"/>
  <c r="P1706" i="24" s="1"/>
  <c r="T1706" i="24" s="1"/>
  <c r="R1702" i="24" s="1"/>
  <c r="Q1716" i="24" s="1"/>
  <c r="P1683" i="24" s="1"/>
  <c r="P1686" i="24" s="1"/>
  <c r="T1686" i="24" s="1"/>
  <c r="R1697" i="24" s="1"/>
  <c r="Q1690" i="24" s="1"/>
  <c r="P1701" i="24" s="1"/>
  <c r="P1661" i="24" s="1"/>
  <c r="T1661" i="24" s="1"/>
  <c r="R1656" i="24" s="1"/>
  <c r="Q1677" i="24" s="1"/>
  <c r="P1657" i="24" s="1"/>
  <c r="P1669" i="24" s="1"/>
  <c r="T1669" i="24" s="1"/>
  <c r="R1672" i="24" s="1"/>
  <c r="Q1675" i="24" s="1"/>
  <c r="P1659" i="24" s="1"/>
  <c r="Q1658" i="24" s="1"/>
  <c r="T1658" i="24" s="1"/>
  <c r="R1664" i="24" s="1"/>
  <c r="T1664" i="24" s="1"/>
  <c r="R1676" i="24" s="1"/>
  <c r="T1676" i="24" s="1"/>
  <c r="Q1673" i="24" s="1"/>
  <c r="T1673" i="24" s="1"/>
  <c r="Q1649" i="24" s="1"/>
  <c r="T1649" i="24" s="1"/>
  <c r="P1644" i="24" s="1"/>
  <c r="T1644" i="24" s="1"/>
  <c r="P1634" i="24" s="1"/>
  <c r="T1634" i="24" s="1"/>
  <c r="Q1632" i="24" s="1"/>
  <c r="T1632" i="24" s="1"/>
  <c r="T1637" i="24" s="1"/>
  <c r="Q1650" i="24" s="1"/>
  <c r="T1650" i="24" s="1"/>
  <c r="T1643" i="24" s="1"/>
  <c r="P1648" i="24" s="1"/>
  <c r="T1648" i="24" s="1"/>
  <c r="T1630" i="24" s="1"/>
  <c r="Q1629" i="24" s="1"/>
  <c r="T1629" i="24" s="1"/>
  <c r="T1631" i="24" s="1"/>
  <c r="Q1606" i="24" s="1"/>
  <c r="T1606" i="24" s="1"/>
  <c r="T1604" i="24" s="1"/>
  <c r="Q1616" i="24" s="1"/>
  <c r="T1619" i="24" s="1"/>
  <c r="Q1614" i="24" s="1"/>
  <c r="T1600" i="24" s="1"/>
  <c r="R1623" i="24" s="1"/>
  <c r="T1596" i="24" s="1"/>
  <c r="P1603" i="24" s="1"/>
  <c r="T1598" i="24" s="1"/>
  <c r="P1620" i="24" s="1"/>
  <c r="T1610" i="24" s="1"/>
  <c r="Q1617" i="24" s="1"/>
  <c r="T1625" i="24" s="1"/>
  <c r="Q1602" i="24" s="1"/>
  <c r="T1607" i="24" s="1"/>
  <c r="P1592" i="24" s="1"/>
  <c r="T1586" i="24" s="1"/>
  <c r="Q1583" i="24" s="1"/>
  <c r="T1587" i="24" s="1"/>
  <c r="R1584" i="24" s="1"/>
  <c r="T1591" i="24" s="1"/>
  <c r="Q1569" i="24" s="1"/>
  <c r="T1582" i="24" s="1"/>
  <c r="R1568" i="24" s="1"/>
  <c r="T1579" i="24" s="1"/>
  <c r="R1563" i="24" s="1"/>
  <c r="T1570" i="24" s="1"/>
  <c r="R1581" i="24" s="1"/>
  <c r="T1571" i="24" s="1"/>
  <c r="P1577" i="24" s="1"/>
  <c r="T1566" i="24" s="1"/>
  <c r="P1553" i="24" s="1"/>
  <c r="T1542" i="24" s="1"/>
  <c r="R1541" i="24" s="1"/>
  <c r="T1539" i="24" s="1"/>
  <c r="P1540" i="24" s="1"/>
  <c r="R1549" i="24" s="1"/>
  <c r="R1559" i="24" s="1"/>
  <c r="T1557" i="24" s="1"/>
  <c r="Q1556" i="24" s="1"/>
  <c r="T1555" i="24" s="1"/>
  <c r="R1514" i="24" s="1"/>
  <c r="T1533" i="24" s="1"/>
  <c r="Q1509" i="24" s="1"/>
  <c r="T1507" i="24" s="1"/>
  <c r="Q1527" i="24" s="1"/>
  <c r="T1506" i="24" s="1"/>
  <c r="P1520" i="24" s="1"/>
  <c r="T1536" i="24" s="1"/>
  <c r="P1512" i="24" s="1"/>
  <c r="T1521" i="24" s="1"/>
  <c r="Q1531" i="24" s="1"/>
  <c r="T1518" i="24" s="1"/>
  <c r="Q1530" i="24" s="1"/>
  <c r="T1529" i="24" s="1"/>
  <c r="R1525" i="24" s="1"/>
  <c r="T1523" i="24" s="1"/>
  <c r="R1493" i="24" s="1"/>
  <c r="T1497" i="24" s="1"/>
  <c r="Q1496" i="24" s="1"/>
  <c r="T1495" i="24" s="1"/>
  <c r="Q1498" i="24" s="1"/>
  <c r="T1503" i="24" s="1"/>
  <c r="P1505" i="24" s="1"/>
  <c r="T1486" i="24" s="1"/>
  <c r="R1481" i="24" s="1"/>
  <c r="T1479" i="24" s="1"/>
  <c r="R1487" i="24" s="1"/>
  <c r="T1489" i="24" s="1"/>
  <c r="Q1492" i="24" s="1"/>
  <c r="T1484" i="24" s="1"/>
  <c r="R1456" i="24" s="1"/>
  <c r="T1464" i="24" s="1"/>
  <c r="P1475" i="24" s="1"/>
  <c r="T1457" i="24" s="1"/>
  <c r="R1474" i="24" s="1"/>
  <c r="T1460" i="24" s="1"/>
  <c r="R1476" i="24" s="1"/>
  <c r="T1465" i="24" s="1"/>
  <c r="R1469" i="24" s="1"/>
  <c r="T1454" i="24" s="1"/>
  <c r="Q1467" i="24" s="1"/>
  <c r="T1459" i="24" s="1"/>
  <c r="R1452" i="24" s="1"/>
  <c r="T1450" i="24" s="1"/>
  <c r="Q1446" i="24" s="1"/>
  <c r="T1445" i="24" s="1"/>
  <c r="R1451" i="24" s="1"/>
  <c r="T1437" i="24" s="1"/>
  <c r="R1434" i="24" s="1"/>
  <c r="T1432" i="24" s="1"/>
  <c r="R1439" i="24" s="1"/>
  <c r="T1424" i="24" s="1"/>
  <c r="P1444" i="24" s="1"/>
  <c r="T1427" i="24" s="1"/>
  <c r="R1431" i="24" s="1"/>
  <c r="T1433" i="24" s="1"/>
  <c r="R1441" i="24" s="1"/>
  <c r="T1429" i="24" s="1"/>
  <c r="Q1415" i="24" s="1"/>
  <c r="T1409" i="24" s="1"/>
  <c r="P1410" i="24" s="1"/>
  <c r="T1404" i="24" s="1"/>
  <c r="Q1407" i="24" s="1"/>
  <c r="T1414" i="24" s="1"/>
  <c r="P1413" i="24" s="1"/>
  <c r="T1421" i="24" s="1"/>
  <c r="R1405" i="24" s="1"/>
  <c r="T1411" i="24" s="1"/>
  <c r="R1402" i="24" s="1"/>
  <c r="T1378" i="24" s="1"/>
  <c r="P1381" i="24" s="1"/>
  <c r="T1394" i="24" s="1"/>
  <c r="R1382" i="24" s="1"/>
  <c r="T1389" i="24" s="1"/>
  <c r="R1396" i="24" s="1"/>
  <c r="T1388" i="24" s="1"/>
  <c r="Q1377" i="24" s="1"/>
  <c r="T1395" i="24" s="1"/>
  <c r="R1387" i="24" s="1"/>
  <c r="T1384" i="24" s="1"/>
  <c r="R1386" i="24" s="1"/>
  <c r="T1375" i="24" s="1"/>
  <c r="R1358" i="24" s="1"/>
  <c r="T1372" i="24" s="1"/>
  <c r="P1363" i="24" s="1"/>
  <c r="T1367" i="24" s="1"/>
  <c r="Q1370" i="24" s="1"/>
  <c r="T1364" i="24" s="1"/>
  <c r="R1373" i="24" s="1"/>
  <c r="T1374" i="24" s="1"/>
  <c r="P1351" i="24" s="1"/>
  <c r="T1350" i="24" s="1"/>
  <c r="R1369" i="24" s="1"/>
  <c r="T1360" i="24" s="1"/>
  <c r="P1348" i="24" s="1"/>
  <c r="T1349" i="24" s="1"/>
  <c r="Q1344" i="24" s="1"/>
  <c r="T1347" i="24" s="1"/>
  <c r="P1345" i="24" s="1"/>
  <c r="T1336" i="24" s="1"/>
  <c r="Q1335" i="24" s="1"/>
  <c r="T1339" i="24" s="1"/>
  <c r="P1332" i="24" s="1"/>
  <c r="T1323" i="24" s="1"/>
  <c r="R1322" i="24" s="1"/>
  <c r="T1321" i="24" s="1"/>
  <c r="P1326" i="24" s="1"/>
  <c r="T1325" i="24" s="1"/>
  <c r="Q1328" i="24" s="1"/>
  <c r="T1331" i="24" s="1"/>
  <c r="P1309" i="24" s="1"/>
  <c r="T1303" i="24" s="1"/>
  <c r="R1316" i="24" s="1"/>
  <c r="T1301" i="24" s="1"/>
  <c r="P1310" i="24" s="1"/>
  <c r="T1313" i="24" s="1"/>
  <c r="R1314" i="24" s="1"/>
  <c r="T1298" i="24" s="1"/>
  <c r="R1300" i="24" s="1"/>
  <c r="T1317" i="24" s="1"/>
  <c r="R1306" i="24" s="1"/>
  <c r="T1272" i="24" s="1"/>
  <c r="P1282" i="24" s="1"/>
  <c r="T1280" i="24" s="1"/>
  <c r="R1287" i="24" s="1"/>
  <c r="T1278" i="24" s="1"/>
  <c r="P1290" i="24" s="1"/>
  <c r="T1291" i="24" s="1"/>
  <c r="Q1273" i="24" s="1"/>
  <c r="T1285" i="24" s="1"/>
  <c r="R1283" i="24" s="1"/>
  <c r="T1294" i="24" s="1"/>
  <c r="R1284" i="24" s="1"/>
  <c r="T1262" i="24" s="1"/>
  <c r="Q1266" i="24" s="1"/>
  <c r="T1259" i="24" s="1"/>
  <c r="P1270" i="24" s="1"/>
  <c r="T1258" i="24" s="1"/>
  <c r="P1261" i="24" s="1"/>
  <c r="T1271" i="24" s="1"/>
  <c r="P1254" i="24" s="1"/>
  <c r="T1264" i="24" s="1"/>
  <c r="R1255" i="24" s="1"/>
  <c r="T1241" i="24" s="1"/>
  <c r="P1242" i="24" s="1"/>
  <c r="T1240" i="24" s="1"/>
  <c r="P1250" i="24" s="1"/>
  <c r="T1252" i="24" s="1"/>
  <c r="R1246" i="24" s="1"/>
  <c r="T1243" i="24" s="1"/>
  <c r="P1245" i="24" s="1"/>
  <c r="T1239" i="24" s="1"/>
  <c r="P1206" i="24" s="1"/>
  <c r="T1207" i="24" s="1"/>
  <c r="P1214" i="24" s="1"/>
  <c r="T1230" i="24" s="1"/>
  <c r="R1218" i="24" s="1"/>
  <c r="T1204" i="24" s="1"/>
  <c r="P1203" i="24" s="1"/>
  <c r="T1215" i="24" s="1"/>
  <c r="P1197" i="24" s="1"/>
  <c r="T1231" i="24" s="1"/>
  <c r="Q1199" i="24" s="1"/>
  <c r="T1200" i="24" s="1"/>
  <c r="Q1222" i="24" s="1"/>
  <c r="T1221" i="24" s="1"/>
  <c r="P1229" i="24" s="1"/>
  <c r="T1209" i="24" s="1"/>
  <c r="Q1228" i="24" s="1"/>
  <c r="T1219" i="24" s="1"/>
  <c r="P1198" i="24" s="1"/>
  <c r="T1166" i="24" s="1"/>
  <c r="Q1194" i="24" s="1"/>
  <c r="T1182" i="24" s="1"/>
  <c r="Q1185" i="24" s="1"/>
  <c r="T1191" i="24" s="1"/>
  <c r="R1172" i="24" s="1"/>
  <c r="T1168" i="24" s="1"/>
  <c r="P1165" i="24" s="1"/>
  <c r="T1173" i="24" s="1"/>
  <c r="R1187" i="24" s="1"/>
  <c r="T1175" i="24" s="1"/>
  <c r="P1193" i="24" s="1"/>
  <c r="T1164" i="24" s="1"/>
  <c r="P1183" i="24" s="1"/>
  <c r="T1178" i="24" s="1"/>
  <c r="R1184" i="24" s="1"/>
  <c r="T1132" i="24" s="1"/>
  <c r="R1160" i="24" s="1"/>
  <c r="T1149" i="24" s="1"/>
  <c r="P1151" i="24" s="1"/>
  <c r="T1161" i="24" s="1"/>
  <c r="R1122" i="24" s="1"/>
  <c r="T1127" i="24" s="1"/>
  <c r="P1148" i="24" s="1"/>
  <c r="T1156" i="24" s="1"/>
  <c r="R1130" i="24" s="1"/>
  <c r="T1134" i="24" s="1"/>
  <c r="P1150" i="24" s="1"/>
  <c r="T1143" i="24" s="1"/>
  <c r="Q1125" i="24" s="1"/>
  <c r="T1144" i="24" s="1"/>
  <c r="R1154" i="24" s="1"/>
  <c r="T1141" i="24" s="1"/>
  <c r="P1123" i="24" s="1"/>
  <c r="T1136" i="24" s="1"/>
  <c r="P1135" i="24" s="1"/>
  <c r="T1162" i="24" s="1"/>
  <c r="Q1121" i="24" s="1"/>
  <c r="T1119" i="24" s="1"/>
  <c r="Q1117" i="24" s="1"/>
  <c r="T1115" i="24" s="1"/>
  <c r="P1099" i="24" s="1"/>
  <c r="T1106" i="24" s="1"/>
  <c r="Q1111" i="24" s="1"/>
  <c r="T1096" i="24" s="1"/>
  <c r="R1105" i="24" s="1"/>
  <c r="T1108" i="24" s="1"/>
  <c r="Q1114" i="24" s="1"/>
  <c r="T1094" i="24" s="1"/>
  <c r="R1101" i="24" s="1"/>
  <c r="T1109" i="24" s="1"/>
  <c r="P1100" i="24" s="1"/>
  <c r="T1091" i="24" s="1"/>
  <c r="P1088" i="24" s="1"/>
  <c r="T1081" i="24" s="1"/>
  <c r="T1090" i="24" s="1"/>
  <c r="T1070" i="24" s="1"/>
  <c r="T1087" i="24" s="1"/>
  <c r="T1084" i="24" s="1"/>
  <c r="T1068" i="24" s="1"/>
  <c r="T1057" i="24" s="1"/>
  <c r="T1045" i="24" s="1"/>
  <c r="T1050" i="24" s="1"/>
  <c r="T1049" i="24" s="1"/>
  <c r="T1047" i="24" s="1"/>
  <c r="T1025" i="24" s="1"/>
  <c r="T1029" i="24" s="1"/>
  <c r="Q1012" i="24" s="1"/>
  <c r="T1033" i="24" s="1"/>
  <c r="T1004" i="24" s="1"/>
  <c r="T1008" i="24" s="1"/>
  <c r="T1021" i="24" s="1"/>
  <c r="T1010" i="24" s="1"/>
  <c r="T1019" i="24" s="1"/>
  <c r="T1005" i="24" s="1"/>
  <c r="T1007" i="24" s="1"/>
  <c r="T1038" i="24" s="1"/>
  <c r="T988" i="24" s="1"/>
  <c r="T993" i="24" s="1"/>
  <c r="T990" i="24" s="1"/>
  <c r="T997" i="24" s="1"/>
  <c r="T999" i="24" s="1"/>
  <c r="T986" i="24" s="1"/>
  <c r="T970" i="24" s="1"/>
  <c r="T977" i="24" s="1"/>
  <c r="T965" i="24" s="1"/>
  <c r="T964" i="24" s="1"/>
  <c r="T962" i="24" s="1"/>
  <c r="T963" i="24" s="1"/>
  <c r="T953" i="24" s="1"/>
  <c r="T949" i="24" s="1"/>
  <c r="T924" i="24" s="1"/>
  <c r="T930" i="24" s="1"/>
  <c r="T944" i="24" s="1"/>
  <c r="T943" i="24" s="1"/>
  <c r="T921" i="24" s="1"/>
  <c r="T941" i="24" s="1"/>
  <c r="T928" i="24" s="1"/>
  <c r="T938" i="24" s="1"/>
  <c r="T913" i="24" s="1"/>
  <c r="T904" i="24" s="1"/>
  <c r="T908" i="24" s="1"/>
  <c r="T880" i="24" s="1"/>
  <c r="T883" i="24" s="1"/>
  <c r="T894" i="24" s="1"/>
  <c r="T898" i="24" s="1"/>
  <c r="T890" i="24" s="1"/>
  <c r="T886" i="24" s="1"/>
  <c r="T867" i="24" s="1"/>
  <c r="T875" i="24" s="1"/>
  <c r="T869" i="24" s="1"/>
  <c r="T860" i="24" s="1"/>
  <c r="T856" i="24" s="1"/>
  <c r="T855" i="24" s="1"/>
  <c r="T850" i="24" s="1"/>
  <c r="T842" i="24" s="1"/>
  <c r="T849" i="24" s="1"/>
  <c r="T847" i="24" s="1"/>
  <c r="T826" i="24" s="1"/>
  <c r="T825" i="24" s="1"/>
  <c r="T827" i="24" s="1"/>
  <c r="T829" i="24" s="1"/>
  <c r="T823" i="24" s="1"/>
  <c r="T806" i="24" s="1"/>
  <c r="T818" i="24" s="1"/>
  <c r="T813" i="24" s="1"/>
  <c r="T800" i="24" s="1"/>
  <c r="T798" i="24" s="1"/>
  <c r="T783" i="24" s="1"/>
  <c r="T779" i="24" s="1"/>
  <c r="T802" i="24" s="1"/>
  <c r="T792" i="24" s="1"/>
  <c r="T795" i="24" s="1"/>
  <c r="T778" i="24" s="1"/>
  <c r="T769" i="24" s="1"/>
  <c r="T770" i="24" s="1"/>
  <c r="T762" i="24" s="1"/>
  <c r="T764" i="24" s="1"/>
  <c r="T758" i="24" s="1"/>
  <c r="T751" i="24" s="1"/>
  <c r="T739" i="24" s="1"/>
  <c r="T735" i="24" s="1"/>
  <c r="T733" i="24" s="1"/>
  <c r="T732" i="24" s="1"/>
  <c r="T745" i="24" s="1"/>
  <c r="T713" i="24" s="1"/>
  <c r="T709" i="24" s="1"/>
  <c r="T721" i="24" s="1"/>
  <c r="T710" i="24" s="1"/>
  <c r="T720" i="24" s="1"/>
  <c r="T722" i="24" s="1"/>
  <c r="T700" i="24" s="1"/>
  <c r="T691" i="24" s="1"/>
  <c r="T701" i="24" s="1"/>
  <c r="T690" i="24" s="1"/>
  <c r="T685" i="24" s="1"/>
  <c r="T687" i="24" s="1"/>
  <c r="T684" i="24" s="1"/>
  <c r="T673" i="24" s="1"/>
  <c r="T672" i="24" s="1"/>
  <c r="T671" i="24" s="1"/>
  <c r="T657" i="24" s="1"/>
  <c r="T665" i="24" s="1"/>
  <c r="T653" i="24" s="1"/>
  <c r="T644" i="24" s="1"/>
  <c r="T652" i="24" s="1"/>
  <c r="T650" i="24" s="1"/>
  <c r="T648" i="24" s="1"/>
  <c r="T651" i="24" s="1"/>
  <c r="T627" i="24" s="1"/>
  <c r="T625" i="24" s="1"/>
  <c r="T626" i="24" s="1"/>
  <c r="T592" i="24" s="1"/>
  <c r="T609" i="24" s="1"/>
  <c r="T613" i="24" s="1"/>
  <c r="T606" i="24" s="1"/>
  <c r="T600" i="24" s="1"/>
  <c r="T593" i="24" s="1"/>
  <c r="T610" i="24" s="1"/>
  <c r="T588" i="24" s="1"/>
  <c r="T585" i="24" s="1"/>
  <c r="T581" i="24" s="1"/>
  <c r="T577" i="24" s="1"/>
  <c r="T578" i="24" s="1"/>
  <c r="T568" i="24" s="1"/>
  <c r="T556" i="24" s="1"/>
  <c r="T563" i="24" s="1"/>
  <c r="T557" i="24" s="1"/>
  <c r="T536" i="24" s="1"/>
  <c r="T552" i="24" s="1"/>
  <c r="T549" i="24" s="1"/>
  <c r="T548" i="24" s="1"/>
  <c r="T545" i="24" s="1"/>
  <c r="T546" i="24" s="1"/>
  <c r="T553" i="24" s="1"/>
  <c r="T544" i="24" s="1"/>
  <c r="T522" i="24" s="1"/>
  <c r="T516" i="24" s="1"/>
  <c r="T512" i="24" s="1"/>
  <c r="T511" i="24" s="1"/>
  <c r="T509" i="24" s="1"/>
  <c r="T506" i="24" s="1"/>
  <c r="T499" i="24" s="1"/>
  <c r="T490" i="24" s="1"/>
  <c r="T496" i="24" s="1"/>
  <c r="T487" i="24" s="1"/>
  <c r="T479" i="24" s="1"/>
  <c r="T469" i="24" s="1"/>
  <c r="T472" i="24" s="1"/>
  <c r="T470" i="24" s="1"/>
  <c r="T481" i="24" s="1"/>
  <c r="T459" i="24" s="1"/>
  <c r="T439" i="24" s="1"/>
  <c r="T446" i="24" s="1"/>
  <c r="T460" i="24" s="1"/>
  <c r="T456" i="24" s="1"/>
  <c r="T453" i="24" s="1"/>
  <c r="T461" i="24" s="1"/>
  <c r="T436" i="24" s="1"/>
  <c r="T434" i="24" s="1"/>
  <c r="T430" i="24" s="1"/>
  <c r="T423" i="24" s="1"/>
  <c r="T419" i="24" s="1"/>
  <c r="T416" i="24" s="1"/>
  <c r="T410" i="24" s="1"/>
  <c r="T407" i="24" s="1"/>
  <c r="T404" i="24" s="1"/>
  <c r="T384" i="24" s="1"/>
  <c r="T396" i="24" s="1"/>
  <c r="T392" i="24" s="1"/>
  <c r="T387" i="24" s="1"/>
  <c r="T405" i="24" s="1"/>
  <c r="T370" i="24" s="1"/>
  <c r="T381" i="24" s="1"/>
  <c r="T373" i="24" s="1"/>
  <c r="T378" i="24" s="1"/>
  <c r="T343" i="24" s="1"/>
  <c r="T357" i="24" s="1"/>
  <c r="T340" i="24" s="1"/>
  <c r="T356" i="24" s="1"/>
  <c r="T347" i="24" s="1"/>
  <c r="T354" i="24" s="1"/>
  <c r="T344" i="24" s="1"/>
  <c r="T332" i="24" s="1"/>
  <c r="T327" i="24" s="1"/>
  <c r="T330" i="24" s="1"/>
  <c r="T323" i="24" s="1"/>
  <c r="T312" i="24" s="1"/>
  <c r="T305" i="24" s="1"/>
  <c r="T304" i="24" s="1"/>
  <c r="T307" i="24" s="1"/>
  <c r="T309" i="24" s="1"/>
  <c r="T298" i="24" s="1"/>
  <c r="T289" i="24" s="1"/>
  <c r="T282" i="24" s="1"/>
  <c r="T284" i="24" s="1"/>
  <c r="T294" i="24" s="1"/>
  <c r="T296" i="24" s="1"/>
  <c r="T266" i="24" s="1"/>
  <c r="T263" i="24" s="1"/>
  <c r="T261" i="24" s="1"/>
  <c r="T273" i="24" s="1"/>
  <c r="T269" i="24" s="1"/>
  <c r="T255" i="24" s="1"/>
  <c r="T251" i="24" s="1"/>
  <c r="T242" i="24" s="1"/>
  <c r="T237" i="24" s="1"/>
  <c r="T239" i="24" s="1"/>
  <c r="T238" i="24" s="1"/>
  <c r="T227" i="24" s="1"/>
  <c r="T208" i="24" s="1"/>
  <c r="T212" i="24" s="1"/>
  <c r="T210" i="24" s="1"/>
  <c r="T203" i="24" s="1"/>
  <c r="T226" i="24" s="1"/>
  <c r="T231" i="24" s="1"/>
  <c r="T220" i="24" s="1"/>
  <c r="T202" i="24" s="1"/>
  <c r="T211" i="24" s="1"/>
  <c r="T171" i="24" s="1"/>
  <c r="T182" i="24" s="1"/>
  <c r="T176" i="24" s="1"/>
  <c r="T185" i="24" s="1"/>
  <c r="T165" i="24" s="1"/>
  <c r="T178" i="24" s="1"/>
  <c r="T175" i="24" s="1"/>
  <c r="T156" i="24" s="1"/>
  <c r="T155" i="24" s="1"/>
  <c r="T158" i="24" s="1"/>
  <c r="T151" i="24" s="1"/>
  <c r="T146" i="24" s="1"/>
  <c r="T142" i="24" s="1"/>
  <c r="T137" i="24" s="1"/>
  <c r="T135" i="24" s="1"/>
  <c r="T134" i="24" s="1"/>
  <c r="T123" i="24" s="1"/>
  <c r="T121" i="24" s="1"/>
  <c r="T117" i="24" s="1"/>
  <c r="T116" i="24" s="1"/>
  <c r="T109" i="24" s="1"/>
  <c r="T94" i="24" s="1"/>
  <c r="T101" i="24" s="1"/>
  <c r="T95" i="24" s="1"/>
  <c r="T102" i="24" s="1"/>
  <c r="T107" i="24" s="1"/>
  <c r="T75" i="24" s="1"/>
  <c r="T79" i="24" s="1"/>
  <c r="T84" i="24" s="1"/>
  <c r="T88" i="24" s="1"/>
  <c r="T71" i="24" s="1"/>
  <c r="T62" i="24" s="1"/>
  <c r="T63" i="24" s="1"/>
  <c r="T69" i="24" s="1"/>
  <c r="T55" i="24" s="1"/>
  <c r="T47" i="24" s="1"/>
  <c r="T37" i="24" s="1"/>
  <c r="T36" i="24" s="1"/>
  <c r="T45" i="24" s="1"/>
  <c r="T39" i="24" s="1"/>
  <c r="T18" i="24" s="1"/>
  <c r="T15" i="24" s="1"/>
  <c r="T27" i="24" s="1"/>
  <c r="T26" i="24" s="1"/>
  <c r="T14" i="24" s="1"/>
  <c r="T5" i="24" s="1"/>
  <c r="T20" i="24" s="1"/>
  <c r="T1824" i="24"/>
  <c r="T1811" i="24" s="1"/>
  <c r="T1813" i="24" s="1"/>
  <c r="T1827" i="24" s="1"/>
  <c r="T1808" i="24" s="1"/>
  <c r="T1797" i="24" s="1"/>
  <c r="T1795" i="24" s="1"/>
  <c r="P1775" i="24" s="1"/>
  <c r="R1798" i="24" s="1"/>
  <c r="T1798" i="24" s="1"/>
  <c r="T1771" i="24" s="1"/>
  <c r="T1770" i="24" s="1"/>
  <c r="T1792" i="24" s="1"/>
  <c r="T1790" i="24" s="1"/>
  <c r="T1787" i="24" s="1"/>
  <c r="T1791" i="24" s="1"/>
  <c r="T1735" i="24" s="1"/>
  <c r="T1755" i="24" s="1"/>
  <c r="T1740" i="24" s="1"/>
  <c r="Q1771" i="24" s="1"/>
  <c r="P1800" i="24" s="1"/>
  <c r="R1783" i="24" s="1"/>
  <c r="T1783" i="24" s="1"/>
  <c r="Q1770" i="24" s="1"/>
  <c r="P1777" i="24" s="1"/>
  <c r="R1776" i="24" s="1"/>
  <c r="T1776" i="24" s="1"/>
  <c r="Q1792" i="24" s="1"/>
  <c r="P1785" i="24" s="1"/>
  <c r="R1796" i="24" s="1"/>
  <c r="T1796" i="24" s="1"/>
  <c r="Q1790" i="24" s="1"/>
  <c r="P1781" i="24" s="1"/>
  <c r="R1773" i="24" s="1"/>
  <c r="T1773" i="24" s="1"/>
  <c r="Q1787" i="24" s="1"/>
  <c r="P1794" i="24" s="1"/>
  <c r="R1779" i="24" s="1"/>
  <c r="T1779" i="24" s="1"/>
  <c r="Q1791" i="24" s="1"/>
  <c r="P1772" i="24" s="1"/>
  <c r="R1778" i="24" s="1"/>
  <c r="T1778" i="24" s="1"/>
  <c r="Q1735" i="24" s="1"/>
  <c r="P1738" i="24" s="1"/>
  <c r="R1765" i="24" s="1"/>
  <c r="T1765" i="24" s="1"/>
  <c r="Q1755" i="24" s="1"/>
  <c r="P1750" i="24" s="1"/>
  <c r="R1754" i="24" s="1"/>
  <c r="T1754" i="24" s="1"/>
  <c r="Q1740" i="24" s="1"/>
  <c r="T1733" i="24" s="1"/>
  <c r="T1753" i="24" s="1"/>
  <c r="T1761" i="24" s="1"/>
  <c r="T1756" i="24" s="1"/>
  <c r="T1732" i="24" s="1"/>
  <c r="T1752" i="24" s="1"/>
  <c r="T1725" i="24" s="1"/>
  <c r="T1731" i="24" s="1"/>
  <c r="T1721" i="24" s="1"/>
  <c r="T1719" i="24" s="1"/>
  <c r="T1682" i="24" s="1"/>
  <c r="T1689" i="24" s="1"/>
  <c r="T1712" i="24" s="1"/>
  <c r="T1696" i="24" s="1"/>
  <c r="T1705" i="24" s="1"/>
  <c r="T1709" i="24" s="1"/>
  <c r="T1679" i="24" s="1"/>
  <c r="T1717" i="24" s="1"/>
  <c r="T1683" i="24" s="1"/>
  <c r="T1701" i="24" s="1"/>
  <c r="T1657" i="24" s="1"/>
  <c r="T1659" i="24" s="1"/>
  <c r="P1671" i="24" s="1"/>
  <c r="T1660" i="24" s="1"/>
  <c r="Q1667" i="24" s="1"/>
  <c r="T1662" i="24" s="1"/>
  <c r="Q1665" i="24" s="1"/>
  <c r="T1674" i="24" s="1"/>
  <c r="R1640" i="24" s="1"/>
  <c r="T1646" i="24" s="1"/>
  <c r="Q1642" i="24" s="1"/>
  <c r="T1645" i="24" s="1"/>
  <c r="Q1653" i="24" s="1"/>
  <c r="T1652" i="24" s="1"/>
  <c r="P1655" i="24" s="1"/>
  <c r="T1633" i="24" s="1"/>
  <c r="Q1637" i="24" s="1"/>
  <c r="T1647" i="24" s="1"/>
  <c r="P1643" i="24" s="1"/>
  <c r="T1638" i="24" s="1"/>
  <c r="R1630" i="24" s="1"/>
  <c r="T1627" i="24" s="1"/>
  <c r="Q1631" i="24" s="1"/>
  <c r="T1626" i="24" s="1"/>
  <c r="R1604" i="24" s="1"/>
  <c r="R1619" i="24" s="1"/>
  <c r="Q1600" i="24" s="1"/>
  <c r="Q1596" i="24" s="1"/>
  <c r="R1598" i="24" s="1"/>
  <c r="Q1610" i="24" s="1"/>
  <c r="Q1625" i="24" s="1"/>
  <c r="Q1607" i="24" s="1"/>
  <c r="P1586" i="24" s="1"/>
  <c r="Q1587" i="24" s="1"/>
  <c r="Q1591" i="24" s="1"/>
  <c r="Q1582" i="24" s="1"/>
  <c r="Q1579" i="24" s="1"/>
  <c r="P1570" i="24" s="1"/>
  <c r="Q1571" i="24" s="1"/>
  <c r="P1566" i="24" s="1"/>
  <c r="P1542" i="24" s="1"/>
  <c r="Q1539" i="24" s="1"/>
  <c r="Q1540" i="24" s="1"/>
  <c r="R1558" i="24" s="1"/>
  <c r="Q1543" i="24" s="1"/>
  <c r="P1557" i="24" s="1"/>
  <c r="P1555" i="24" s="1"/>
  <c r="P1533" i="24" s="1"/>
  <c r="R1507" i="24" s="1"/>
  <c r="P1506" i="24" s="1"/>
  <c r="P1536" i="24" s="1"/>
  <c r="R1521" i="24" s="1"/>
  <c r="Q1518" i="24" s="1"/>
  <c r="Q1529" i="24" s="1"/>
  <c r="P1523" i="24" s="1"/>
  <c r="Q1497" i="24" s="1"/>
  <c r="P1495" i="24" s="1"/>
  <c r="Q1503" i="24" s="1"/>
  <c r="R1486" i="24" s="1"/>
  <c r="Q1479" i="24" s="1"/>
  <c r="R1489" i="24" s="1"/>
  <c r="R1484" i="24" s="1"/>
  <c r="P1464" i="24" s="1"/>
  <c r="Q1475" i="24" s="1"/>
  <c r="Q1457" i="24" s="1"/>
  <c r="Q1460" i="24" s="1"/>
  <c r="Q1476" i="24" s="1"/>
  <c r="P1465" i="24" s="1"/>
  <c r="R1454" i="24" s="1"/>
  <c r="R1459" i="24" s="1"/>
  <c r="P1450" i="24" s="1"/>
  <c r="R1445" i="24" s="1"/>
  <c r="R1437" i="24" s="1"/>
  <c r="R1432" i="24" s="1"/>
  <c r="Q1424" i="24" s="1"/>
  <c r="P1427" i="24" s="1"/>
  <c r="P1433" i="24" s="1"/>
  <c r="R1429" i="24" s="1"/>
  <c r="Q1409" i="24" s="1"/>
  <c r="P1404" i="24" s="1"/>
  <c r="P1414" i="24" s="1"/>
  <c r="R1421" i="24" s="1"/>
  <c r="P1411" i="24" s="1"/>
  <c r="R1378" i="24" s="1"/>
  <c r="Q1394" i="24" s="1"/>
  <c r="P1389" i="24" s="1"/>
  <c r="P1388" i="24" s="1"/>
  <c r="P1395" i="24" s="1"/>
  <c r="R1384" i="24" s="1"/>
  <c r="R1375" i="24" s="1"/>
  <c r="R1372" i="24" s="1"/>
  <c r="P1367" i="24" s="1"/>
  <c r="Q1364" i="24" s="1"/>
  <c r="P1374" i="24" s="1"/>
  <c r="P1350" i="24" s="1"/>
  <c r="R1360" i="24" s="1"/>
  <c r="Q1349" i="24" s="1"/>
  <c r="Q1347" i="24" s="1"/>
  <c r="P1336" i="24" s="1"/>
  <c r="P1339" i="24" s="1"/>
  <c r="R1323" i="24" s="1"/>
  <c r="P1321" i="24" s="1"/>
  <c r="Q1325" i="24" s="1"/>
  <c r="R1331" i="24" s="1"/>
  <c r="Q1303" i="24" s="1"/>
  <c r="R1301" i="24" s="1"/>
  <c r="P1313" i="24" s="1"/>
  <c r="R1298" i="24" s="1"/>
  <c r="R1317" i="24" s="1"/>
  <c r="P1272" i="24" s="1"/>
  <c r="R1280" i="24" s="1"/>
  <c r="P1278" i="24" s="1"/>
  <c r="P1291" i="24" s="1"/>
  <c r="P1285" i="24" s="1"/>
  <c r="Q1294" i="24" s="1"/>
  <c r="Q1262" i="24" s="1"/>
  <c r="R1259" i="24" s="1"/>
  <c r="Q1258" i="24" s="1"/>
  <c r="Q1271" i="24" s="1"/>
  <c r="Q1264" i="24" s="1"/>
  <c r="P1241" i="24" s="1"/>
  <c r="T1212" i="24" s="1"/>
  <c r="T1223" i="24" s="1"/>
  <c r="T1216" i="24" s="1"/>
  <c r="T1226" i="24" s="1"/>
  <c r="T1225" i="24" s="1"/>
  <c r="T1213" i="24" s="1"/>
  <c r="T1210" i="24" s="1"/>
  <c r="T1202" i="24" s="1"/>
  <c r="T1234" i="24" s="1"/>
  <c r="T1180" i="24" s="1"/>
  <c r="T1176" i="24" s="1"/>
  <c r="T1188" i="24" s="1"/>
  <c r="T1171" i="24" s="1"/>
  <c r="T1192" i="24" s="1"/>
  <c r="T1190" i="24" s="1"/>
  <c r="T1174" i="24" s="1"/>
  <c r="T1169" i="24" s="1"/>
  <c r="T1152" i="24" s="1"/>
  <c r="T1138" i="24" s="1"/>
  <c r="T1142" i="24" s="1"/>
  <c r="T1137" i="24" s="1"/>
  <c r="T1129" i="24" s="1"/>
  <c r="T1146" i="24" s="1"/>
  <c r="T1153" i="24" s="1"/>
  <c r="T1126" i="24" s="1"/>
  <c r="T1139" i="24" s="1"/>
  <c r="T1128" i="24" s="1"/>
  <c r="T1120" i="24" s="1"/>
  <c r="T1116" i="24" s="1"/>
  <c r="T1104" i="24" s="1"/>
  <c r="T1112" i="24" s="1"/>
  <c r="T1098" i="24" s="1"/>
  <c r="T1103" i="24" s="1"/>
  <c r="T1113" i="24" s="1"/>
  <c r="T1077" i="24" s="1"/>
  <c r="T1080" i="24" s="1"/>
  <c r="T1079" i="24" s="1"/>
  <c r="T1082" i="24" s="1"/>
  <c r="T1073" i="24" s="1"/>
  <c r="T1072" i="24" s="1"/>
  <c r="T1067" i="24" s="1"/>
  <c r="T1065" i="24" s="1"/>
  <c r="T1058" i="24" s="1"/>
  <c r="T1066" i="24" s="1"/>
  <c r="T1055" i="24" s="1"/>
  <c r="T1062" i="24" s="1"/>
  <c r="T1044" i="24" s="1"/>
  <c r="T1043" i="24" s="1"/>
  <c r="P1012" i="24" s="1"/>
  <c r="T1017" i="24" s="1"/>
  <c r="T1027" i="24" s="1"/>
  <c r="T1020" i="24" s="1"/>
  <c r="T1024" i="24" s="1"/>
  <c r="T1035" i="24" s="1"/>
  <c r="T1009" i="24" s="1"/>
  <c r="T1016" i="24" s="1"/>
  <c r="T1011" i="24" s="1"/>
  <c r="T1014" i="24" s="1"/>
  <c r="T1000" i="24" s="1"/>
  <c r="T992" i="24" s="1"/>
  <c r="T991" i="24" s="1"/>
  <c r="T987" i="24" s="1"/>
  <c r="T979" i="24" s="1"/>
  <c r="T980" i="24" s="1"/>
  <c r="T975" i="24" s="1"/>
  <c r="T974" i="24" s="1"/>
  <c r="T971" i="24" s="1"/>
  <c r="T948" i="24" s="1"/>
  <c r="T956" i="24" s="1"/>
  <c r="T947" i="24" s="1"/>
  <c r="T954" i="24" s="1"/>
  <c r="T950" i="24" s="1"/>
  <c r="T916" i="24" s="1"/>
  <c r="T925" i="24" s="1"/>
  <c r="T923" i="24" s="1"/>
  <c r="T911" i="24" s="1"/>
  <c r="T918" i="24" s="1"/>
  <c r="T920" i="24" s="1"/>
  <c r="T940" i="24" s="1"/>
  <c r="T919" i="24" s="1"/>
  <c r="T922" i="24" s="1"/>
  <c r="T901" i="24" s="1"/>
  <c r="T906" i="24" s="1"/>
  <c r="T907" i="24" s="1"/>
  <c r="T889" i="24" s="1"/>
  <c r="T885" i="24" s="1"/>
  <c r="T893" i="24" s="1"/>
  <c r="T897" i="24" s="1"/>
  <c r="T881" i="24" s="1"/>
  <c r="T876" i="24" s="1"/>
  <c r="T877" i="24" s="1"/>
  <c r="T871" i="24" s="1"/>
  <c r="T863" i="24" s="1"/>
  <c r="T864" i="24" s="1"/>
  <c r="T851" i="24" s="1"/>
  <c r="T859" i="24" s="1"/>
  <c r="T843" i="24" s="1"/>
  <c r="T848" i="24" s="1"/>
  <c r="T846" i="24" s="1"/>
  <c r="T835" i="24" s="1"/>
  <c r="T830" i="24" s="1"/>
  <c r="T837" i="24" s="1"/>
  <c r="T828" i="24" s="1"/>
  <c r="T836" i="24" s="1"/>
  <c r="T807" i="24" s="1"/>
  <c r="T810" i="24" s="1"/>
  <c r="T812" i="24" s="1"/>
  <c r="T804" i="24" s="1"/>
  <c r="T801" i="24" s="1"/>
  <c r="T788" i="24" s="1"/>
  <c r="T803" i="24" s="1"/>
  <c r="T789" i="24" s="1"/>
  <c r="T775" i="24" s="1"/>
  <c r="T777" i="24" s="1"/>
  <c r="T790" i="24" s="1"/>
  <c r="T768" i="24" s="1"/>
  <c r="T771" i="24" s="1"/>
  <c r="T763" i="24" s="1"/>
  <c r="T760" i="24" s="1"/>
  <c r="T755" i="24" s="1"/>
  <c r="T761" i="24" s="1"/>
  <c r="T757" i="24" s="1"/>
  <c r="T734" i="24" s="1"/>
  <c r="T736" i="24" s="1"/>
  <c r="T737" i="24" s="1"/>
  <c r="T747" i="24" s="1"/>
  <c r="T717" i="24" s="1"/>
  <c r="T712" i="24" s="1"/>
  <c r="T707" i="24" s="1"/>
  <c r="T728" i="24" s="1"/>
  <c r="T715" i="24" s="1"/>
  <c r="T723" i="24" s="1"/>
  <c r="T695" i="24" s="1"/>
  <c r="T698" i="24" s="1"/>
  <c r="T699" i="24" s="1"/>
  <c r="T693" i="24" s="1"/>
  <c r="T688" i="24" s="1"/>
  <c r="T682" i="24" s="1"/>
  <c r="T679" i="24" s="1"/>
  <c r="T680" i="24" s="1"/>
  <c r="T675" i="24" s="1"/>
  <c r="T670" i="24" s="1"/>
  <c r="T655" i="24" s="1"/>
  <c r="T654" i="24" s="1"/>
  <c r="T660" i="24" s="1"/>
  <c r="T645" i="24" s="1"/>
  <c r="T643" i="24" s="1"/>
  <c r="T641" i="24" s="1"/>
  <c r="T647" i="24" s="1"/>
  <c r="T635" i="24" s="1"/>
  <c r="T628" i="24" s="1"/>
  <c r="T629" i="24" s="1"/>
  <c r="T621" i="24" s="1"/>
  <c r="T617" i="24" s="1"/>
  <c r="T602" i="24" s="1"/>
  <c r="T616" i="24" s="1"/>
  <c r="T611" i="24" s="1"/>
  <c r="T605" i="24" s="1"/>
  <c r="T620" i="24" s="1"/>
  <c r="T598" i="24" s="1"/>
  <c r="T615" i="24" s="1"/>
  <c r="T591" i="24" s="1"/>
  <c r="T582" i="24" s="1"/>
  <c r="T587" i="24" s="1"/>
  <c r="T580" i="24" s="1"/>
  <c r="T562" i="24" s="1"/>
  <c r="T571" i="24" s="1"/>
  <c r="T564" i="24" s="1"/>
  <c r="T566" i="24" s="1"/>
  <c r="T573" i="24" s="1"/>
  <c r="T550" i="24" s="1"/>
  <c r="T525" i="24" s="1"/>
  <c r="T540" i="24" s="1"/>
  <c r="T539" i="24" s="1"/>
  <c r="T532" i="24" s="1"/>
  <c r="T535" i="24" s="1"/>
  <c r="T537" i="24" s="1"/>
  <c r="T514" i="24" s="1"/>
  <c r="T515" i="24" s="1"/>
  <c r="T513" i="24" s="1"/>
  <c r="T517" i="24" s="1"/>
  <c r="T508" i="24" s="1"/>
  <c r="T503" i="24" s="1"/>
  <c r="T500" i="24" s="1"/>
  <c r="T494" i="24" s="1"/>
  <c r="T493" i="24" s="1"/>
  <c r="T491" i="24" s="1"/>
  <c r="T482" i="24" s="1"/>
  <c r="T475" i="24" s="1"/>
  <c r="T471" i="24" s="1"/>
  <c r="T474" i="24" s="1"/>
  <c r="T473" i="24" s="1"/>
  <c r="T438" i="24" s="1"/>
  <c r="T449" i="24" s="1"/>
  <c r="T447" i="24" s="1"/>
  <c r="T464" i="24" s="1"/>
  <c r="T457" i="24" s="1"/>
  <c r="T458" i="24" s="1"/>
  <c r="T442" i="24" s="1"/>
  <c r="T433" i="24" s="1"/>
  <c r="T424" i="24" s="1"/>
  <c r="T429" i="24" s="1"/>
  <c r="T425" i="24" s="1"/>
  <c r="T420" i="24" s="1"/>
  <c r="T409" i="24" s="1"/>
  <c r="T413" i="24" s="1"/>
  <c r="T414" i="24" s="1"/>
  <c r="T403" i="24" s="1"/>
  <c r="T398" i="24" s="1"/>
  <c r="T394" i="24" s="1"/>
  <c r="T393" i="24" s="1"/>
  <c r="T391" i="24" s="1"/>
  <c r="T386" i="24" s="1"/>
  <c r="T374" i="24" s="1"/>
  <c r="T380" i="24" s="1"/>
  <c r="T379" i="24" s="1"/>
  <c r="T377" i="24" s="1"/>
  <c r="T346" i="24" s="1"/>
  <c r="T362" i="24" s="1"/>
  <c r="T345" i="24" s="1"/>
  <c r="T350" i="24" s="1"/>
  <c r="T360" i="24" s="1"/>
  <c r="T348" i="24" s="1"/>
  <c r="T359" i="24" s="1"/>
  <c r="T326" i="24" s="1"/>
  <c r="T324" i="24" s="1"/>
  <c r="T325" i="24" s="1"/>
  <c r="T335" i="24" s="1"/>
  <c r="T320" i="24" s="1"/>
  <c r="T303" i="24" s="1"/>
  <c r="T301" i="24" s="1"/>
  <c r="T318" i="24" s="1"/>
  <c r="T321" i="24" s="1"/>
  <c r="T310" i="24" s="1"/>
  <c r="T277" i="24" s="1"/>
  <c r="T278" i="24" s="1"/>
  <c r="T293" i="24" s="1"/>
  <c r="T292" i="24" s="1"/>
  <c r="T285" i="24" s="1"/>
  <c r="T279" i="24" s="1"/>
  <c r="T259" i="24" s="1"/>
  <c r="T275" i="24" s="1"/>
  <c r="T268" i="24" s="1"/>
  <c r="T267" i="24" s="1"/>
  <c r="T252" i="24" s="1"/>
  <c r="T247" i="24" s="1"/>
  <c r="T234" i="24" s="1"/>
  <c r="T236" i="24" s="1"/>
  <c r="T256" i="24" s="1"/>
  <c r="T258" i="24" s="1"/>
  <c r="T235" i="24" s="1"/>
  <c r="T206" i="24" s="1"/>
  <c r="T213" i="24" s="1"/>
  <c r="T218" i="24" s="1"/>
  <c r="T216" i="24" s="1"/>
  <c r="T219" i="24" s="1"/>
  <c r="T209" i="24" s="1"/>
  <c r="T196" i="24" s="1"/>
  <c r="T195" i="24" s="1"/>
  <c r="T222" i="24" s="1"/>
  <c r="T189" i="24" s="1"/>
  <c r="T188" i="24" s="1"/>
  <c r="T174" i="24" s="1"/>
  <c r="T184" i="24" s="1"/>
  <c r="T181" i="24" s="1"/>
  <c r="T192" i="24" s="1"/>
  <c r="T170" i="24" s="1"/>
  <c r="T183" i="24" s="1"/>
  <c r="T150" i="24" s="1"/>
  <c r="T163" i="24" s="1"/>
  <c r="T153" i="24" s="1"/>
  <c r="T140" i="24" s="1"/>
  <c r="T128" i="24" s="1"/>
  <c r="T148" i="24" s="1"/>
  <c r="T138" i="24" s="1"/>
  <c r="T136" i="24" s="1"/>
  <c r="T133" i="24" s="1"/>
  <c r="T126" i="24" s="1"/>
  <c r="T111" i="24" s="1"/>
  <c r="T113" i="24" s="1"/>
  <c r="T119" i="24" s="1"/>
  <c r="T114" i="24" s="1"/>
  <c r="T93" i="24" s="1"/>
  <c r="T99" i="24" s="1"/>
  <c r="T91" i="24" s="1"/>
  <c r="T103" i="24" s="1"/>
  <c r="T74" i="24" s="1"/>
  <c r="T81" i="24" s="1"/>
  <c r="T77" i="24" s="1"/>
  <c r="T89" i="24" s="1"/>
  <c r="T87" i="24" s="1"/>
  <c r="T66" i="24" s="1"/>
  <c r="T61" i="24" s="1"/>
  <c r="T64" i="24" s="1"/>
  <c r="T58" i="24" s="1"/>
  <c r="T44" i="24" s="1"/>
  <c r="T50" i="24" s="1"/>
  <c r="T40" i="24" s="1"/>
  <c r="T38" i="24" s="1"/>
  <c r="T43" i="24" s="1"/>
  <c r="T24" i="24" s="1"/>
  <c r="T9" i="24" s="1"/>
  <c r="T17" i="24" s="1"/>
  <c r="T13" i="24" s="1"/>
  <c r="T11" i="24" s="1"/>
  <c r="T19" i="24" s="1"/>
  <c r="T30" i="24" s="1"/>
  <c r="T1874" i="24"/>
  <c r="T1872" i="24" s="1"/>
  <c r="T1861" i="24" s="1"/>
  <c r="T1873" i="24" s="1"/>
  <c r="T1860" i="24" s="1"/>
  <c r="T1851" i="24" s="1"/>
  <c r="T1838" i="24" s="1"/>
  <c r="T1844" i="24" s="1"/>
  <c r="T1833" i="24" s="1"/>
  <c r="T1846" i="24" s="1"/>
  <c r="R1807" i="24" s="1"/>
  <c r="P1814" i="24" s="1"/>
  <c r="T1814" i="24" s="1"/>
  <c r="P1803" i="24" s="1"/>
  <c r="R1805" i="24" s="1"/>
  <c r="P1829" i="24" s="1"/>
  <c r="P1809" i="24" s="1"/>
  <c r="R1810" i="24" s="1"/>
  <c r="P1815" i="24" s="1"/>
  <c r="P1830" i="24" s="1"/>
  <c r="R1817" i="24" s="1"/>
  <c r="P1824" i="24" s="1"/>
  <c r="P1823" i="24" s="1"/>
  <c r="R1820" i="24" s="1"/>
  <c r="P1811" i="24" s="1"/>
  <c r="P1819" i="24" s="1"/>
  <c r="R1818" i="24" s="1"/>
  <c r="P1813" i="24" s="1"/>
  <c r="P1828" i="24" s="1"/>
  <c r="R1804" i="24" s="1"/>
  <c r="P1827" i="24" s="1"/>
  <c r="P1821" i="24" s="1"/>
  <c r="R1831" i="24" s="1"/>
  <c r="P1808" i="24" s="1"/>
  <c r="P1769" i="24" s="1"/>
  <c r="R1789" i="24" s="1"/>
  <c r="P1797" i="24" s="1"/>
  <c r="P1801" i="24" s="1"/>
  <c r="R1782" i="24" s="1"/>
  <c r="P1795" i="24" s="1"/>
  <c r="P1767" i="24" s="1"/>
  <c r="R1774" i="24" s="1"/>
  <c r="R1771" i="24" s="1"/>
  <c r="P1796" i="24" s="1"/>
  <c r="P1790" i="24" s="1"/>
  <c r="R1787" i="24" s="1"/>
  <c r="P1765" i="24" s="1"/>
  <c r="P1755" i="24" s="1"/>
  <c r="R1740" i="24" s="1"/>
  <c r="Q1733" i="24" s="1"/>
  <c r="Q1744" i="24" s="1"/>
  <c r="Q1753" i="24" s="1"/>
  <c r="Q1761" i="24" s="1"/>
  <c r="Q1756" i="24" s="1"/>
  <c r="R1758" i="24" s="1"/>
  <c r="Q1732" i="24" s="1"/>
  <c r="Q1747" i="24" s="1"/>
  <c r="Q1752" i="24" s="1"/>
  <c r="Q1725" i="24" s="1"/>
  <c r="Q1731" i="24" s="1"/>
  <c r="R1729" i="24" s="1"/>
  <c r="Q1721" i="24" s="1"/>
  <c r="Q1720" i="24" s="1"/>
  <c r="Q1719" i="24" s="1"/>
  <c r="Q1682" i="24" s="1"/>
  <c r="Q1689" i="24" s="1"/>
  <c r="R1713" i="24" s="1"/>
  <c r="Q1712" i="24" s="1"/>
  <c r="Q1704" i="24" s="1"/>
  <c r="Q1696" i="24" s="1"/>
  <c r="Q1705" i="24" s="1"/>
  <c r="Q1709" i="24" s="1"/>
  <c r="R1681" i="24" s="1"/>
  <c r="Q1679" i="24" s="1"/>
  <c r="Q1710" i="24" s="1"/>
  <c r="Q1717" i="24" s="1"/>
  <c r="Q1683" i="24" s="1"/>
  <c r="Q1701" i="24" s="1"/>
  <c r="R1661" i="24" s="1"/>
  <c r="Q1657" i="24" s="1"/>
  <c r="Q1669" i="24" s="1"/>
  <c r="Q1659" i="24" s="1"/>
  <c r="P1660" i="24" s="1"/>
  <c r="R1662" i="24" s="1"/>
  <c r="P1676" i="24" s="1"/>
  <c r="R1665" i="24" s="1"/>
  <c r="R1674" i="24" s="1"/>
  <c r="R1673" i="24" s="1"/>
  <c r="R1646" i="24" s="1"/>
  <c r="P1645" i="24" s="1"/>
  <c r="P1652" i="24" s="1"/>
  <c r="R1634" i="24" s="1"/>
  <c r="R1633" i="24" s="1"/>
  <c r="R1647" i="24" s="1"/>
  <c r="P1650" i="24" s="1"/>
  <c r="P1638" i="24" s="1"/>
  <c r="Q1648" i="24" s="1"/>
  <c r="Q1627" i="24" s="1"/>
  <c r="R1626" i="24" s="1"/>
  <c r="Q1601" i="24" s="1"/>
  <c r="P1616" i="24" s="1"/>
  <c r="Q1615" i="24" s="1"/>
  <c r="R1614" i="24" s="1"/>
  <c r="Q1624" i="24" s="1"/>
  <c r="P1613" i="24" s="1"/>
  <c r="P1621" i="24" s="1"/>
  <c r="Q1620" i="24" s="1"/>
  <c r="P1609" i="24" s="1"/>
  <c r="R1617" i="24" s="1"/>
  <c r="P1612" i="24" s="1"/>
  <c r="Q1590" i="24" s="1"/>
  <c r="P1593" i="24" s="1"/>
  <c r="P1583" i="24" s="1"/>
  <c r="P1588" i="24" s="1"/>
  <c r="P1584" i="24" s="1"/>
  <c r="Q1565" i="24" s="1"/>
  <c r="R1576" i="24" s="1"/>
  <c r="R1575" i="24" s="1"/>
  <c r="Q1563" i="24" s="1"/>
  <c r="R1572" i="24" s="1"/>
  <c r="P1581" i="24" s="1"/>
  <c r="Q1562" i="24" s="1"/>
  <c r="P1573" i="24" s="1"/>
  <c r="R1552" i="24" s="1"/>
  <c r="Q1541" i="24" s="1"/>
  <c r="P1544" i="24" s="1"/>
  <c r="R1540" i="24" s="1"/>
  <c r="P1546" i="24" s="1"/>
  <c r="Q1538" i="24" s="1"/>
  <c r="R1561" i="24" s="1"/>
  <c r="R1556" i="24" s="1"/>
  <c r="R1551" i="24" s="1"/>
  <c r="P1514" i="24" s="1"/>
  <c r="P1517" i="24" s="1"/>
  <c r="R1508" i="24" s="1"/>
  <c r="R1513" i="24" s="1"/>
  <c r="Q1520" i="24" s="1"/>
  <c r="P1516" i="24" s="1"/>
  <c r="R1512" i="24" s="1"/>
  <c r="R1535" i="24" s="1"/>
  <c r="Q1511" i="24" s="1"/>
  <c r="P1526" i="24" s="1"/>
  <c r="P1525" i="24" s="1"/>
  <c r="R1522" i="24" s="1"/>
  <c r="P1493" i="24" s="1"/>
  <c r="Q1499" i="24" s="1"/>
  <c r="R1502" i="24" s="1"/>
  <c r="P1494" i="24" s="1"/>
  <c r="Q1505" i="24" s="1"/>
  <c r="P1482" i="24" s="1"/>
  <c r="Q1481" i="24" s="1"/>
  <c r="Q1490" i="24" s="1"/>
  <c r="Q1485" i="24" s="1"/>
  <c r="P1491" i="24" s="1"/>
  <c r="Q1456" i="24" s="1"/>
  <c r="R1464" i="24" s="1"/>
  <c r="R1472" i="24" s="1"/>
  <c r="R1463" i="24" s="1"/>
  <c r="Q1474" i="24" s="1"/>
  <c r="P1477" i="24" s="1"/>
  <c r="R1465" i="24" s="1"/>
  <c r="R1473" i="24" s="1"/>
  <c r="Q1469" i="24" s="1"/>
  <c r="P1454" i="24" s="1"/>
  <c r="Q1468" i="24" s="1"/>
  <c r="Q1455" i="24" s="1"/>
  <c r="P1448" i="24" s="1"/>
  <c r="P1447" i="24" s="1"/>
  <c r="R1425" i="24" s="1"/>
  <c r="R1428" i="24" s="1"/>
  <c r="R1435" i="24" s="1"/>
  <c r="R1443" i="24" s="1"/>
  <c r="P1430" i="24" s="1"/>
  <c r="R1440" i="24" s="1"/>
  <c r="Q1406" i="24" s="1"/>
  <c r="Q1408" i="24" s="1"/>
  <c r="Q1403" i="24" s="1"/>
  <c r="R1412" i="24" s="1"/>
  <c r="R1393" i="24" s="1"/>
  <c r="Q1383" i="24" s="1"/>
  <c r="P1390" i="24" s="1"/>
  <c r="R1380" i="24" s="1"/>
  <c r="Q1399" i="24" s="1"/>
  <c r="R1400" i="24" s="1"/>
  <c r="R1391" i="24" s="1"/>
  <c r="Q1352" i="24" s="1"/>
  <c r="P1359" i="24" s="1"/>
  <c r="Q1368" i="24" s="1"/>
  <c r="P1365" i="24" s="1"/>
  <c r="P1366" i="24" s="1"/>
  <c r="P1371" i="24" s="1"/>
  <c r="Q1353" i="24" s="1"/>
  <c r="P1343" i="24" s="1"/>
  <c r="P1346" i="24" s="1"/>
  <c r="R1338" i="24" s="1"/>
  <c r="R1337" i="24" s="1"/>
  <c r="R1330" i="24" s="1"/>
  <c r="P1329" i="24" s="1"/>
  <c r="Q1324" i="24" s="1"/>
  <c r="Q1319" i="24" s="1"/>
  <c r="Q1315" i="24" s="1"/>
  <c r="Q1311" i="24" s="1"/>
  <c r="Q1302" i="24" s="1"/>
  <c r="Q1299" i="24" s="1"/>
  <c r="Q1305" i="24" s="1"/>
  <c r="R1293" i="24" s="1"/>
  <c r="R1296" i="24" s="1"/>
  <c r="Q1295" i="24" s="1"/>
  <c r="R1277" i="24" s="1"/>
  <c r="P1279" i="24" s="1"/>
  <c r="R1275" i="24" s="1"/>
  <c r="R1257" i="24" s="1"/>
  <c r="R1268" i="24" s="1"/>
  <c r="R1267" i="24" s="1"/>
  <c r="Q1253" i="24" s="1"/>
  <c r="R1263" i="24" s="1"/>
  <c r="R1247" i="24" s="1"/>
  <c r="Q1248" i="24" s="1"/>
  <c r="P1249" i="24" s="1"/>
  <c r="R1251" i="24" s="1"/>
  <c r="Q1227" i="24" s="1"/>
  <c r="Q1205" i="24" s="1"/>
  <c r="R1232" i="24" s="1"/>
  <c r="R1217" i="24" s="1"/>
  <c r="R1208" i="24" s="1"/>
  <c r="R1211" i="24" s="1"/>
  <c r="R1224" i="24" s="1"/>
  <c r="Q1196" i="24" s="1"/>
  <c r="R1220" i="24" s="1"/>
  <c r="Q1233" i="24" s="1"/>
  <c r="P1195" i="24" s="1"/>
  <c r="Q1181" i="24" s="1"/>
  <c r="R1186" i="24" s="1"/>
  <c r="P1167" i="24" s="1"/>
  <c r="P1179" i="24" s="1"/>
  <c r="P1177" i="24" s="1"/>
  <c r="P1170" i="24" s="1"/>
  <c r="P1189" i="24" s="1"/>
  <c r="R1133" i="24" s="1"/>
  <c r="Q1158" i="24" s="1"/>
  <c r="P1159" i="24" s="1"/>
  <c r="Q1145" i="24" s="1"/>
  <c r="Q1157" i="24" s="1"/>
  <c r="R1124" i="24" s="1"/>
  <c r="P1118" i="24" s="1"/>
  <c r="Q1095" i="24" s="1"/>
  <c r="R1097" i="24" s="1"/>
  <c r="R1093" i="24" s="1"/>
  <c r="R1074" i="24" s="1"/>
  <c r="P1076" i="24" s="1"/>
  <c r="R1078" i="24" s="1"/>
  <c r="Q1054" i="24" s="1"/>
  <c r="P1069" i="24" s="1"/>
  <c r="P1053" i="24" s="1"/>
  <c r="P1013" i="24" s="1"/>
  <c r="R1037" i="24" s="1"/>
  <c r="R984" i="24" s="1"/>
  <c r="P983" i="24" s="1"/>
  <c r="T1995" i="24"/>
  <c r="T1994" i="24"/>
  <c r="T2013" i="24"/>
  <c r="T2008" i="24"/>
  <c r="T2012" i="24"/>
  <c r="T1996" i="24"/>
  <c r="Q1924" i="24"/>
  <c r="Q1940" i="24" s="1"/>
  <c r="P1944" i="24" s="1"/>
  <c r="Q1947" i="24" s="1"/>
  <c r="Q1932" i="24" s="1"/>
  <c r="Q1921" i="24" s="1"/>
  <c r="P1943" i="24" s="1"/>
  <c r="Q1937" i="24" s="1"/>
  <c r="Q1931" i="24" s="1"/>
  <c r="Q1926" i="24" s="1"/>
  <c r="P1930" i="24" s="1"/>
  <c r="Q1935" i="24" s="1"/>
  <c r="Q1945" i="24" s="1"/>
  <c r="R1911" i="24" s="1"/>
  <c r="P1898" i="24" s="1"/>
  <c r="Q1895" i="24" s="1"/>
  <c r="R1888" i="24" s="1"/>
  <c r="Q1918" i="24" s="1"/>
  <c r="P1889" i="24" s="1"/>
  <c r="P1915" i="24" s="1"/>
  <c r="R1908" i="24" s="1"/>
  <c r="Q1887" i="24" s="1"/>
  <c r="P1906" i="24" s="1"/>
  <c r="P1910" i="24" s="1"/>
  <c r="R1905" i="24" s="1"/>
  <c r="Q1909" i="24" s="1"/>
  <c r="P1894" i="24" s="1"/>
  <c r="P1893" i="24" s="1"/>
  <c r="R1899" i="24" s="1"/>
  <c r="Q1917" i="24" s="1"/>
  <c r="P1907" i="24" s="1"/>
  <c r="P1902" i="24" s="1"/>
  <c r="R1916" i="24" s="1"/>
  <c r="Q1890" i="24" s="1"/>
  <c r="P1897" i="24" s="1"/>
  <c r="P1914" i="24" s="1"/>
  <c r="Q1814" i="24" s="1"/>
  <c r="Q1829" i="24" s="1"/>
  <c r="Q1815" i="24" s="1"/>
  <c r="Q1824" i="24" s="1"/>
  <c r="Q1811" i="24" s="1"/>
  <c r="Q1813" i="24" s="1"/>
  <c r="Q1827" i="24" s="1"/>
  <c r="Q1808" i="24" s="1"/>
  <c r="Q1797" i="24" s="1"/>
  <c r="Q1795" i="24" s="1"/>
  <c r="Q1798" i="24" s="1"/>
  <c r="P1783" i="24" s="1"/>
  <c r="R1770" i="24" s="1"/>
  <c r="Q1776" i="24" s="1"/>
  <c r="R1792" i="24" s="1"/>
  <c r="P1773" i="24" s="1"/>
  <c r="Q1779" i="24" s="1"/>
  <c r="R1791" i="24" s="1"/>
  <c r="P1778" i="24" s="1"/>
  <c r="R1735" i="24" s="1"/>
  <c r="Q1754" i="24" s="1"/>
  <c r="Q1739" i="24" s="1"/>
  <c r="R1762" i="24" s="1"/>
  <c r="Q1764" i="24" s="1"/>
  <c r="Q1727" i="24" s="1"/>
  <c r="Q1687" i="24" s="1"/>
  <c r="Q1684" i="24" s="1"/>
  <c r="Q1695" i="24" s="1"/>
  <c r="Q1699" i="24" s="1"/>
  <c r="Q1706" i="24" s="1"/>
  <c r="R1686" i="24" s="1"/>
  <c r="R1658" i="24" s="1"/>
  <c r="Q1660" i="24" s="1"/>
  <c r="P1664" i="24" s="1"/>
  <c r="Q1662" i="24" s="1"/>
  <c r="P1646" i="24" s="1"/>
  <c r="P1649" i="24" s="1"/>
  <c r="Q1644" i="24" s="1"/>
  <c r="P1633" i="24" s="1"/>
  <c r="P1632" i="24" s="1"/>
  <c r="P1647" i="24" s="1"/>
  <c r="Q20" i="24"/>
  <c r="R20" i="24"/>
  <c r="P20" i="24"/>
  <c r="R5" i="24"/>
  <c r="Q5" i="24"/>
  <c r="P5" i="24"/>
  <c r="P14" i="24"/>
  <c r="Q14" i="24"/>
  <c r="R14" i="24"/>
  <c r="P26" i="24"/>
  <c r="R26" i="24"/>
  <c r="Q26" i="24"/>
  <c r="P15" i="24"/>
  <c r="R15" i="24"/>
  <c r="Q15" i="24"/>
  <c r="Q18" i="24"/>
  <c r="P18" i="24"/>
  <c r="R18" i="24"/>
  <c r="P39" i="24"/>
  <c r="R39" i="24"/>
  <c r="Q39" i="24"/>
  <c r="R45" i="24"/>
  <c r="Q45" i="24"/>
  <c r="P45" i="24"/>
  <c r="P36" i="24"/>
  <c r="Q36" i="24"/>
  <c r="R36" i="24"/>
  <c r="Q37" i="24"/>
  <c r="P37" i="24"/>
  <c r="R37" i="24"/>
  <c r="P47" i="24"/>
  <c r="R47" i="24"/>
  <c r="Q47" i="24"/>
  <c r="Q69" i="24"/>
  <c r="P69" i="24"/>
  <c r="R69" i="24"/>
  <c r="P63" i="24"/>
  <c r="Q63" i="24"/>
  <c r="R63" i="24"/>
  <c r="Q62" i="24"/>
  <c r="R62" i="24"/>
  <c r="P62" i="24"/>
  <c r="R71" i="24"/>
  <c r="P71" i="24"/>
  <c r="Q71" i="24"/>
  <c r="P88" i="24"/>
  <c r="Q88" i="24"/>
  <c r="R88" i="24"/>
  <c r="R84" i="24"/>
  <c r="Q84" i="24"/>
  <c r="P84" i="24"/>
  <c r="R79" i="24"/>
  <c r="P79" i="24"/>
  <c r="Q79" i="24"/>
  <c r="Q75" i="24"/>
  <c r="P75" i="24"/>
  <c r="R75" i="24"/>
  <c r="R107" i="24"/>
  <c r="Q107" i="24"/>
  <c r="P107" i="24"/>
  <c r="P102" i="24"/>
  <c r="Q102" i="24"/>
  <c r="R102" i="24"/>
  <c r="Q95" i="24"/>
  <c r="R95" i="24"/>
  <c r="P95" i="24"/>
  <c r="Q101" i="24"/>
  <c r="R101" i="24"/>
  <c r="P101" i="24"/>
  <c r="Q94" i="24"/>
  <c r="R94" i="24"/>
  <c r="P94" i="24"/>
  <c r="Q109" i="24"/>
  <c r="P109" i="24"/>
  <c r="R109" i="24"/>
  <c r="R116" i="24"/>
  <c r="P116" i="24"/>
  <c r="Q116" i="24"/>
  <c r="R117" i="24"/>
  <c r="Q117" i="24"/>
  <c r="P117" i="24"/>
  <c r="R121" i="24"/>
  <c r="Q121" i="24"/>
  <c r="P121" i="24"/>
  <c r="R123" i="24"/>
  <c r="P123" i="24"/>
  <c r="Q123" i="24"/>
  <c r="Q134" i="24"/>
  <c r="R134" i="24"/>
  <c r="P134" i="24"/>
  <c r="Q135" i="24"/>
  <c r="R135" i="24"/>
  <c r="P135" i="24"/>
  <c r="Q142" i="24"/>
  <c r="R142" i="24"/>
  <c r="P142" i="24"/>
  <c r="P151" i="24"/>
  <c r="R151" i="24"/>
  <c r="Q151" i="24"/>
  <c r="Q158" i="24"/>
  <c r="P158" i="24"/>
  <c r="R158" i="24"/>
  <c r="R155" i="24"/>
  <c r="P155" i="24"/>
  <c r="Q155" i="24"/>
  <c r="R156" i="24"/>
  <c r="Q156" i="24"/>
  <c r="P156" i="24"/>
  <c r="P175" i="24"/>
  <c r="R175" i="24"/>
  <c r="Q175" i="24"/>
  <c r="Q178" i="24"/>
  <c r="R178" i="24"/>
  <c r="P178" i="24"/>
  <c r="P165" i="24"/>
  <c r="Q165" i="24"/>
  <c r="R165" i="24"/>
  <c r="R185" i="24"/>
  <c r="Q185" i="24"/>
  <c r="P185" i="24"/>
  <c r="P176" i="24"/>
  <c r="Q176" i="24"/>
  <c r="R176" i="24"/>
  <c r="P182" i="24"/>
  <c r="Q182" i="24"/>
  <c r="R182" i="24"/>
  <c r="R171" i="24"/>
  <c r="P171" i="24"/>
  <c r="Q171" i="24"/>
  <c r="Q211" i="24"/>
  <c r="P211" i="24"/>
  <c r="R211" i="24"/>
  <c r="R220" i="24"/>
  <c r="P220" i="24"/>
  <c r="Q220" i="24"/>
  <c r="Q231" i="24"/>
  <c r="P231" i="24"/>
  <c r="R231" i="24"/>
  <c r="R226" i="24"/>
  <c r="Q226" i="24"/>
  <c r="P226" i="24"/>
  <c r="R203" i="24"/>
  <c r="P203" i="24"/>
  <c r="Q203" i="24"/>
  <c r="R212" i="24"/>
  <c r="Q212" i="24"/>
  <c r="P212" i="24"/>
  <c r="Q208" i="24"/>
  <c r="R208" i="24"/>
  <c r="P208" i="24"/>
  <c r="P227" i="24"/>
  <c r="R227" i="24"/>
  <c r="Q227" i="24"/>
  <c r="Q239" i="24"/>
  <c r="R239" i="24"/>
  <c r="P239" i="24"/>
  <c r="P237" i="24"/>
  <c r="R237" i="24"/>
  <c r="Q237" i="24"/>
  <c r="Q242" i="24"/>
  <c r="P242" i="24"/>
  <c r="R242" i="24"/>
  <c r="P251" i="24"/>
  <c r="Q251" i="24"/>
  <c r="R251" i="24"/>
  <c r="P255" i="24"/>
  <c r="R255" i="24"/>
  <c r="Q255" i="24"/>
  <c r="P269" i="24"/>
  <c r="Q269" i="24"/>
  <c r="R269" i="24"/>
  <c r="P263" i="24"/>
  <c r="R263" i="24"/>
  <c r="Q263" i="24"/>
  <c r="P296" i="24"/>
  <c r="R296" i="24"/>
  <c r="Q296" i="24"/>
  <c r="Q294" i="24"/>
  <c r="P294" i="24"/>
  <c r="R294" i="24"/>
  <c r="Q323" i="24"/>
  <c r="P323" i="24"/>
  <c r="R323" i="24"/>
  <c r="P340" i="24"/>
  <c r="R340" i="24"/>
  <c r="Q340" i="24"/>
  <c r="R343" i="24"/>
  <c r="Q343" i="24"/>
  <c r="P343" i="24"/>
  <c r="Q384" i="24"/>
  <c r="R384" i="24"/>
  <c r="P384" i="24"/>
  <c r="R407" i="24"/>
  <c r="Q407" i="24"/>
  <c r="P407" i="24"/>
  <c r="P416" i="24"/>
  <c r="R416" i="24"/>
  <c r="Q416" i="24"/>
  <c r="P423" i="24"/>
  <c r="R423" i="24"/>
  <c r="Q423" i="24"/>
  <c r="P430" i="24"/>
  <c r="Q430" i="24"/>
  <c r="R430" i="24"/>
  <c r="P436" i="24"/>
  <c r="Q436" i="24"/>
  <c r="R436" i="24"/>
  <c r="R461" i="24"/>
  <c r="Q461" i="24"/>
  <c r="P461" i="24"/>
  <c r="R453" i="24"/>
  <c r="Q453" i="24"/>
  <c r="P453" i="24"/>
  <c r="R439" i="24"/>
  <c r="Q439" i="24"/>
  <c r="P439" i="24"/>
  <c r="R479" i="24"/>
  <c r="Q479" i="24"/>
  <c r="P479" i="24"/>
  <c r="Q487" i="24"/>
  <c r="P487" i="24"/>
  <c r="R487" i="24"/>
  <c r="Q506" i="24"/>
  <c r="R506" i="24"/>
  <c r="P506" i="24"/>
  <c r="Q512" i="24"/>
  <c r="P512" i="24"/>
  <c r="R512" i="24"/>
  <c r="R516" i="24"/>
  <c r="Q516" i="24"/>
  <c r="P516" i="24"/>
  <c r="R522" i="24"/>
  <c r="P522" i="24"/>
  <c r="Q522" i="24"/>
  <c r="R544" i="24"/>
  <c r="Q544" i="24"/>
  <c r="P544" i="24"/>
  <c r="P553" i="24"/>
  <c r="Q553" i="24"/>
  <c r="R553" i="24"/>
  <c r="Q552" i="24"/>
  <c r="R552" i="24"/>
  <c r="P552" i="24"/>
  <c r="R613" i="24"/>
  <c r="P613" i="24"/>
  <c r="Q613" i="24"/>
  <c r="R684" i="24"/>
  <c r="P684" i="24"/>
  <c r="Q684" i="24"/>
  <c r="T683" i="24"/>
  <c r="T678" i="24" s="1"/>
  <c r="T669" i="24" s="1"/>
  <c r="T667" i="24" s="1"/>
  <c r="T674" i="24" s="1"/>
  <c r="T656" i="24" s="1"/>
  <c r="T658" i="24" s="1"/>
  <c r="T663" i="24" s="1"/>
  <c r="T646" i="24" s="1"/>
  <c r="T638" i="24" s="1"/>
  <c r="T637" i="24" s="1"/>
  <c r="T640" i="24" s="1"/>
  <c r="T634" i="24" s="1"/>
  <c r="T630" i="24" s="1"/>
  <c r="T633" i="24" s="1"/>
  <c r="T632" i="24" s="1"/>
  <c r="T612" i="24" s="1"/>
  <c r="T595" i="24" s="1"/>
  <c r="T614" i="24" s="1"/>
  <c r="T597" i="24" s="1"/>
  <c r="T619" i="24" s="1"/>
  <c r="T608" i="24" s="1"/>
  <c r="T594" i="24" s="1"/>
  <c r="T590" i="24" s="1"/>
  <c r="T576" i="24" s="1"/>
  <c r="T584" i="24" s="1"/>
  <c r="T579" i="24" s="1"/>
  <c r="T558" i="24" s="1"/>
  <c r="T567" i="24" s="1"/>
  <c r="T574" i="24" s="1"/>
  <c r="T570" i="24" s="1"/>
  <c r="T561" i="24" s="1"/>
  <c r="T533" i="24" s="1"/>
  <c r="T551" i="24" s="1"/>
  <c r="T526" i="24" s="1"/>
  <c r="T547" i="24" s="1"/>
  <c r="T528" i="24" s="1"/>
  <c r="T542" i="24" s="1"/>
  <c r="T534" i="24" s="1"/>
  <c r="T541" i="24" s="1"/>
  <c r="T524" i="24" s="1"/>
  <c r="T521" i="24" s="1"/>
  <c r="T518" i="24" s="1"/>
  <c r="T519" i="24" s="1"/>
  <c r="T504" i="24" s="1"/>
  <c r="T505" i="24" s="1"/>
  <c r="T498" i="24" s="1"/>
  <c r="T488" i="24" s="1"/>
  <c r="T492" i="24" s="1"/>
  <c r="T478" i="24" s="1"/>
  <c r="T476" i="24" s="1"/>
  <c r="T480" i="24" s="1"/>
  <c r="T466" i="24" s="1"/>
  <c r="T465" i="24" s="1"/>
  <c r="T484" i="24" s="1"/>
  <c r="T441" i="24" s="1"/>
  <c r="T443" i="24" s="1"/>
  <c r="T463" i="24" s="1"/>
  <c r="T444" i="24" s="1"/>
  <c r="T452" i="24" s="1"/>
  <c r="T451" i="24" s="1"/>
  <c r="T437" i="24" s="1"/>
  <c r="T432" i="24" s="1"/>
  <c r="T435" i="24" s="1"/>
  <c r="T427" i="24" s="1"/>
  <c r="T421" i="24" s="1"/>
  <c r="T418" i="24" s="1"/>
  <c r="T411" i="24" s="1"/>
  <c r="T408" i="24" s="1"/>
  <c r="T417" i="24" s="1"/>
  <c r="T388" i="24" s="1"/>
  <c r="T402" i="24" s="1"/>
  <c r="T385" i="24" s="1"/>
  <c r="T400" i="24" s="1"/>
  <c r="T382" i="24" s="1"/>
  <c r="T399" i="24" s="1"/>
  <c r="T369" i="24" s="1"/>
  <c r="T367" i="24" s="1"/>
  <c r="T376" i="24" s="1"/>
  <c r="T371" i="24" s="1"/>
  <c r="T342" i="24" s="1"/>
  <c r="T363" i="24" s="1"/>
  <c r="T341" i="24" s="1"/>
  <c r="T353" i="24" s="1"/>
  <c r="T361" i="24" s="1"/>
  <c r="T339" i="24" s="1"/>
  <c r="T333" i="24" s="1"/>
  <c r="T328" i="24" s="1"/>
  <c r="T338" i="24" s="1"/>
  <c r="T334" i="24" s="1"/>
  <c r="T322" i="24" s="1"/>
  <c r="T306" i="24" s="1"/>
  <c r="T317" i="24" s="1"/>
  <c r="T319" i="24" s="1"/>
  <c r="T299" i="24" s="1"/>
  <c r="T297" i="24" s="1"/>
  <c r="T315" i="24" s="1"/>
  <c r="T295" i="24" s="1"/>
  <c r="T288" i="24" s="1"/>
  <c r="T291" i="24" s="1"/>
  <c r="T290" i="24" s="1"/>
  <c r="T281" i="24" s="1"/>
  <c r="T260" i="24" s="1"/>
  <c r="T262" i="24" s="1"/>
  <c r="T274" i="24" s="1"/>
  <c r="T265" i="24" s="1"/>
  <c r="T232" i="24" s="1"/>
  <c r="T243" i="24" s="1"/>
  <c r="T250" i="24" s="1"/>
  <c r="T241" i="24" s="1"/>
  <c r="T245" i="24" s="1"/>
  <c r="T257" i="24" s="1"/>
  <c r="T248" i="24" s="1"/>
  <c r="T230" i="24" s="1"/>
  <c r="T200" i="24" s="1"/>
  <c r="T215" i="24" s="1"/>
  <c r="T198" i="24" s="1"/>
  <c r="T205" i="24" s="1"/>
  <c r="T201" i="24" s="1"/>
  <c r="T214" i="24" s="1"/>
  <c r="T223" i="24" s="1"/>
  <c r="T224" i="24" s="1"/>
  <c r="T194" i="24" s="1"/>
  <c r="T167" i="24" s="1"/>
  <c r="T186" i="24" s="1"/>
  <c r="T179" i="24" s="1"/>
  <c r="T168" i="24" s="1"/>
  <c r="T180" i="24" s="1"/>
  <c r="T187" i="24" s="1"/>
  <c r="T172" i="24" s="1"/>
  <c r="T161" i="24" s="1"/>
  <c r="T159" i="24" s="1"/>
  <c r="T149" i="24" s="1"/>
  <c r="T162" i="24" s="1"/>
  <c r="T131" i="24" s="1"/>
  <c r="T139" i="24" s="1"/>
  <c r="T132" i="24" s="1"/>
  <c r="T129" i="24" s="1"/>
  <c r="T130" i="24" s="1"/>
  <c r="T122" i="24" s="1"/>
  <c r="T124" i="24" s="1"/>
  <c r="T110" i="24" s="1"/>
  <c r="T118" i="24" s="1"/>
  <c r="T120" i="24" s="1"/>
  <c r="T96" i="24" s="1"/>
  <c r="T97" i="24" s="1"/>
  <c r="T104" i="24" s="1"/>
  <c r="T106" i="24" s="1"/>
  <c r="T100" i="24" s="1"/>
  <c r="T82" i="24" s="1"/>
  <c r="T85" i="24" s="1"/>
  <c r="T72" i="24" s="1"/>
  <c r="T78" i="24" s="1"/>
  <c r="T56" i="24" s="1"/>
  <c r="T59" i="24" s="1"/>
  <c r="T54" i="24" s="1"/>
  <c r="T60" i="24" s="1"/>
  <c r="T68" i="24" s="1"/>
  <c r="T42" i="24" s="1"/>
  <c r="T34" i="24" s="1"/>
  <c r="T35" i="24" s="1"/>
  <c r="T51" i="24" s="1"/>
  <c r="T52" i="24" s="1"/>
  <c r="T21" i="24" s="1"/>
  <c r="T22" i="24" s="1"/>
  <c r="T23" i="24" s="1"/>
  <c r="T32" i="24" s="1"/>
  <c r="T10" i="24" s="1"/>
  <c r="T29" i="24" s="1"/>
  <c r="T33" i="24" s="1"/>
  <c r="P27" i="24"/>
  <c r="Q27" i="24"/>
  <c r="R27" i="24"/>
  <c r="Q55" i="24"/>
  <c r="R55" i="24"/>
  <c r="P55" i="24"/>
  <c r="R137" i="24"/>
  <c r="Q137" i="24"/>
  <c r="P137" i="24"/>
  <c r="R146" i="24"/>
  <c r="Q146" i="24"/>
  <c r="P146" i="24"/>
  <c r="R202" i="24"/>
  <c r="P202" i="24"/>
  <c r="Q202" i="24"/>
  <c r="R210" i="24"/>
  <c r="P210" i="24"/>
  <c r="Q210" i="24"/>
  <c r="Q238" i="24"/>
  <c r="P238" i="24"/>
  <c r="R238" i="24"/>
  <c r="R273" i="24"/>
  <c r="Q273" i="24"/>
  <c r="P273" i="24"/>
  <c r="R261" i="24"/>
  <c r="Q261" i="24"/>
  <c r="P261" i="24"/>
  <c r="Q266" i="24"/>
  <c r="R266" i="24"/>
  <c r="P266" i="24"/>
  <c r="R284" i="24"/>
  <c r="Q284" i="24"/>
  <c r="P284" i="24"/>
  <c r="P282" i="24"/>
  <c r="R282" i="24"/>
  <c r="Q282" i="24"/>
  <c r="Q289" i="24"/>
  <c r="P289" i="24"/>
  <c r="R289" i="24"/>
  <c r="Q298" i="24"/>
  <c r="R298" i="24"/>
  <c r="P298" i="24"/>
  <c r="P309" i="24"/>
  <c r="R309" i="24"/>
  <c r="Q309" i="24"/>
  <c r="P307" i="24"/>
  <c r="R307" i="24"/>
  <c r="Q307" i="24"/>
  <c r="R304" i="24"/>
  <c r="Q304" i="24"/>
  <c r="P304" i="24"/>
  <c r="R305" i="24"/>
  <c r="P305" i="24"/>
  <c r="Q305" i="24"/>
  <c r="P312" i="24"/>
  <c r="R312" i="24"/>
  <c r="Q312" i="24"/>
  <c r="P330" i="24"/>
  <c r="R330" i="24"/>
  <c r="Q330" i="24"/>
  <c r="R327" i="24"/>
  <c r="Q327" i="24"/>
  <c r="P327" i="24"/>
  <c r="P332" i="24"/>
  <c r="Q332" i="24"/>
  <c r="R332" i="24"/>
  <c r="R344" i="24"/>
  <c r="P344" i="24"/>
  <c r="Q344" i="24"/>
  <c r="R354" i="24"/>
  <c r="Q354" i="24"/>
  <c r="P354" i="24"/>
  <c r="P347" i="24"/>
  <c r="R347" i="24"/>
  <c r="Q347" i="24"/>
  <c r="Q356" i="24"/>
  <c r="R356" i="24"/>
  <c r="P356" i="24"/>
  <c r="Q357" i="24"/>
  <c r="R357" i="24"/>
  <c r="P357" i="24"/>
  <c r="Q378" i="24"/>
  <c r="P378" i="24"/>
  <c r="R378" i="24"/>
  <c r="P373" i="24"/>
  <c r="R373" i="24"/>
  <c r="Q373" i="24"/>
  <c r="R381" i="24"/>
  <c r="Q381" i="24"/>
  <c r="P381" i="24"/>
  <c r="R370" i="24"/>
  <c r="P370" i="24"/>
  <c r="Q370" i="24"/>
  <c r="P405" i="24"/>
  <c r="R405" i="24"/>
  <c r="Q405" i="24"/>
  <c r="P387" i="24"/>
  <c r="Q387" i="24"/>
  <c r="R387" i="24"/>
  <c r="R392" i="24"/>
  <c r="P392" i="24"/>
  <c r="Q392" i="24"/>
  <c r="Q396" i="24"/>
  <c r="R396" i="24"/>
  <c r="P396" i="24"/>
  <c r="Q404" i="24"/>
  <c r="R404" i="24"/>
  <c r="P404" i="24"/>
  <c r="Q410" i="24"/>
  <c r="R410" i="24"/>
  <c r="P410" i="24"/>
  <c r="P419" i="24"/>
  <c r="Q419" i="24"/>
  <c r="R419" i="24"/>
  <c r="Q434" i="24"/>
  <c r="R434" i="24"/>
  <c r="P434" i="24"/>
  <c r="Q456" i="24"/>
  <c r="P456" i="24"/>
  <c r="R456" i="24"/>
  <c r="P460" i="24"/>
  <c r="R460" i="24"/>
  <c r="Q460" i="24"/>
  <c r="Q446" i="24"/>
  <c r="R446" i="24"/>
  <c r="P446" i="24"/>
  <c r="P459" i="24"/>
  <c r="R459" i="24"/>
  <c r="Q459" i="24"/>
  <c r="R481" i="24"/>
  <c r="P481" i="24"/>
  <c r="Q481" i="24"/>
  <c r="Q470" i="24"/>
  <c r="P470" i="24"/>
  <c r="R470" i="24"/>
  <c r="P472" i="24"/>
  <c r="Q472" i="24"/>
  <c r="R472" i="24"/>
  <c r="Q469" i="24"/>
  <c r="P469" i="24"/>
  <c r="R469" i="24"/>
  <c r="Q496" i="24"/>
  <c r="P496" i="24"/>
  <c r="R496" i="24"/>
  <c r="R490" i="24"/>
  <c r="P490" i="24"/>
  <c r="Q490" i="24"/>
  <c r="P499" i="24"/>
  <c r="R499" i="24"/>
  <c r="Q499" i="24"/>
  <c r="Q509" i="24"/>
  <c r="R509" i="24"/>
  <c r="P509" i="24"/>
  <c r="R511" i="24"/>
  <c r="Q511" i="24"/>
  <c r="P511" i="24"/>
  <c r="R546" i="24"/>
  <c r="Q546" i="24"/>
  <c r="P546" i="24"/>
  <c r="Q545" i="24"/>
  <c r="R545" i="24"/>
  <c r="P545" i="24"/>
  <c r="R548" i="24"/>
  <c r="P548" i="24"/>
  <c r="Q548" i="24"/>
  <c r="Q549" i="24"/>
  <c r="P549" i="24"/>
  <c r="R549" i="24"/>
  <c r="P536" i="24"/>
  <c r="R536" i="24"/>
  <c r="Q536" i="24"/>
  <c r="Q557" i="24"/>
  <c r="R557" i="24"/>
  <c r="P557" i="24"/>
  <c r="P563" i="24"/>
  <c r="Q563" i="24"/>
  <c r="R563" i="24"/>
  <c r="R556" i="24"/>
  <c r="P556" i="24"/>
  <c r="Q556" i="24"/>
  <c r="R568" i="24"/>
  <c r="P568" i="24"/>
  <c r="Q568" i="24"/>
  <c r="R578" i="24"/>
  <c r="Q578" i="24"/>
  <c r="P578" i="24"/>
  <c r="P577" i="24"/>
  <c r="Q577" i="24"/>
  <c r="R577" i="24"/>
  <c r="P581" i="24"/>
  <c r="Q581" i="24"/>
  <c r="R581" i="24"/>
  <c r="P585" i="24"/>
  <c r="R585" i="24"/>
  <c r="Q585" i="24"/>
  <c r="P588" i="24"/>
  <c r="Q588" i="24"/>
  <c r="R588" i="24"/>
  <c r="R610" i="24"/>
  <c r="Q610" i="24"/>
  <c r="P610" i="24"/>
  <c r="P593" i="24"/>
  <c r="Q593" i="24"/>
  <c r="R593" i="24"/>
  <c r="P600" i="24"/>
  <c r="R600" i="24"/>
  <c r="Q600" i="24"/>
  <c r="Q606" i="24"/>
  <c r="P606" i="24"/>
  <c r="R606" i="24"/>
  <c r="R609" i="24"/>
  <c r="P609" i="24"/>
  <c r="Q609" i="24"/>
  <c r="P592" i="24"/>
  <c r="Q592" i="24"/>
  <c r="R592" i="24"/>
  <c r="Q626" i="24"/>
  <c r="R626" i="24"/>
  <c r="P626" i="24"/>
  <c r="R625" i="24"/>
  <c r="P625" i="24"/>
  <c r="Q625" i="24"/>
  <c r="P627" i="24"/>
  <c r="R627" i="24"/>
  <c r="Q627" i="24"/>
  <c r="P651" i="24"/>
  <c r="Q651" i="24"/>
  <c r="R651" i="24"/>
  <c r="R648" i="24"/>
  <c r="P648" i="24"/>
  <c r="Q648" i="24"/>
  <c r="R650" i="24"/>
  <c r="Q650" i="24"/>
  <c r="P650" i="24"/>
  <c r="R652" i="24"/>
  <c r="P652" i="24"/>
  <c r="Q652" i="24"/>
  <c r="Q644" i="24"/>
  <c r="P644" i="24"/>
  <c r="R644" i="24"/>
  <c r="P653" i="24"/>
  <c r="Q653" i="24"/>
  <c r="R653" i="24"/>
  <c r="P665" i="24"/>
  <c r="R665" i="24"/>
  <c r="Q665" i="24"/>
  <c r="R657" i="24"/>
  <c r="P657" i="24"/>
  <c r="Q657" i="24"/>
  <c r="Q671" i="24"/>
  <c r="P671" i="24"/>
  <c r="R671" i="24"/>
  <c r="R672" i="24"/>
  <c r="P672" i="24"/>
  <c r="Q672" i="24"/>
  <c r="P673" i="24"/>
  <c r="R673" i="24"/>
  <c r="Q673" i="24"/>
  <c r="P28" i="24"/>
  <c r="R28" i="24"/>
  <c r="Q28" i="24"/>
  <c r="Q7" i="24"/>
  <c r="R7" i="24"/>
  <c r="P7" i="24"/>
  <c r="Q6" i="24"/>
  <c r="P6" i="24"/>
  <c r="R6" i="24"/>
  <c r="Q8" i="24"/>
  <c r="P8" i="24"/>
  <c r="R8" i="24"/>
  <c r="R12" i="24"/>
  <c r="P12" i="24"/>
  <c r="Q12" i="24"/>
  <c r="R16" i="24"/>
  <c r="Q16" i="24"/>
  <c r="P16" i="24"/>
  <c r="P25" i="24"/>
  <c r="Q25" i="24"/>
  <c r="R25" i="24"/>
  <c r="P31" i="24"/>
  <c r="Q31" i="24"/>
  <c r="R31" i="24"/>
  <c r="P48" i="24"/>
  <c r="Q48" i="24"/>
  <c r="R48" i="24"/>
  <c r="R46" i="24"/>
  <c r="P46" i="24"/>
  <c r="Q46" i="24"/>
  <c r="P41" i="24"/>
  <c r="Q41" i="24"/>
  <c r="R41" i="24"/>
  <c r="Q53" i="24"/>
  <c r="P53" i="24"/>
  <c r="R53" i="24"/>
  <c r="Q49" i="24"/>
  <c r="P49" i="24"/>
  <c r="R49" i="24"/>
  <c r="P65" i="24"/>
  <c r="Q65" i="24"/>
  <c r="R65" i="24"/>
  <c r="P70" i="24"/>
  <c r="R70" i="24"/>
  <c r="Q70" i="24"/>
  <c r="P67" i="24"/>
  <c r="Q67" i="24"/>
  <c r="R67" i="24"/>
  <c r="Q57" i="24"/>
  <c r="P57" i="24"/>
  <c r="R57" i="24"/>
  <c r="P86" i="24"/>
  <c r="Q86" i="24"/>
  <c r="R86" i="24"/>
  <c r="P80" i="24"/>
  <c r="R80" i="24"/>
  <c r="Q80" i="24"/>
  <c r="R83" i="24"/>
  <c r="Q83" i="24"/>
  <c r="P83" i="24"/>
  <c r="R73" i="24"/>
  <c r="P73" i="24"/>
  <c r="Q73" i="24"/>
  <c r="P76" i="24"/>
  <c r="Q76" i="24"/>
  <c r="R76" i="24"/>
  <c r="P90" i="24"/>
  <c r="R90" i="24"/>
  <c r="Q90" i="24"/>
  <c r="P98" i="24"/>
  <c r="R98" i="24"/>
  <c r="Q98" i="24"/>
  <c r="R92" i="24"/>
  <c r="Q92" i="24"/>
  <c r="P92" i="24"/>
  <c r="R105" i="24"/>
  <c r="Q105" i="24"/>
  <c r="P105" i="24"/>
  <c r="R115" i="24"/>
  <c r="Q115" i="24"/>
  <c r="P115" i="24"/>
  <c r="R108" i="24"/>
  <c r="P108" i="24"/>
  <c r="Q108" i="24"/>
  <c r="R112" i="24"/>
  <c r="P112" i="24"/>
  <c r="Q112" i="24"/>
  <c r="Q127" i="24"/>
  <c r="P127" i="24"/>
  <c r="R127" i="24"/>
  <c r="Q125" i="24"/>
  <c r="R125" i="24"/>
  <c r="P125" i="24"/>
  <c r="R147" i="24"/>
  <c r="Q147" i="24"/>
  <c r="P147" i="24"/>
  <c r="R144" i="24"/>
  <c r="Q144" i="24"/>
  <c r="P144" i="24"/>
  <c r="P145" i="24"/>
  <c r="Q145" i="24"/>
  <c r="R145" i="24"/>
  <c r="R141" i="24"/>
  <c r="P141" i="24"/>
  <c r="Q141" i="24"/>
  <c r="Q143" i="24"/>
  <c r="R143" i="24"/>
  <c r="P143" i="24"/>
  <c r="R160" i="24"/>
  <c r="P160" i="24"/>
  <c r="Q160" i="24"/>
  <c r="P152" i="24"/>
  <c r="Q152" i="24"/>
  <c r="R152" i="24"/>
  <c r="R157" i="24"/>
  <c r="Q157" i="24"/>
  <c r="P157" i="24"/>
  <c r="Q154" i="24"/>
  <c r="P154" i="24"/>
  <c r="R154" i="24"/>
  <c r="P164" i="24"/>
  <c r="R164" i="24"/>
  <c r="Q164" i="24"/>
  <c r="P191" i="24"/>
  <c r="Q191" i="24"/>
  <c r="R191" i="24"/>
  <c r="P193" i="24"/>
  <c r="R193" i="24"/>
  <c r="Q193" i="24"/>
  <c r="P173" i="24"/>
  <c r="Q173" i="24"/>
  <c r="R173" i="24"/>
  <c r="Q177" i="24"/>
  <c r="R177" i="24"/>
  <c r="P177" i="24"/>
  <c r="Q169" i="24"/>
  <c r="R169" i="24"/>
  <c r="P169" i="24"/>
  <c r="P166" i="24"/>
  <c r="Q166" i="24"/>
  <c r="R166" i="24"/>
  <c r="R190" i="24"/>
  <c r="Q190" i="24"/>
  <c r="P190" i="24"/>
  <c r="R204" i="24"/>
  <c r="P204" i="24"/>
  <c r="Q204" i="24"/>
  <c r="Q228" i="24"/>
  <c r="R228" i="24"/>
  <c r="P228" i="24"/>
  <c r="P229" i="24"/>
  <c r="Q229" i="24"/>
  <c r="R229" i="24"/>
  <c r="R199" i="24"/>
  <c r="Q199" i="24"/>
  <c r="P199" i="24"/>
  <c r="P221" i="24"/>
  <c r="R221" i="24"/>
  <c r="Q221" i="24"/>
  <c r="P217" i="24"/>
  <c r="Q217" i="24"/>
  <c r="R217" i="24"/>
  <c r="P207" i="24"/>
  <c r="R207" i="24"/>
  <c r="Q207" i="24"/>
  <c r="Q225" i="24"/>
  <c r="P225" i="24"/>
  <c r="R225" i="24"/>
  <c r="P197" i="24"/>
  <c r="R197" i="24"/>
  <c r="Q197" i="24"/>
  <c r="P233" i="24"/>
  <c r="R233" i="24"/>
  <c r="Q233" i="24"/>
  <c r="P249" i="24"/>
  <c r="R249" i="24"/>
  <c r="Q249" i="24"/>
  <c r="R246" i="24"/>
  <c r="P246" i="24"/>
  <c r="Q246" i="24"/>
  <c r="Q253" i="24"/>
  <c r="P253" i="24"/>
  <c r="R253" i="24"/>
  <c r="Q240" i="24"/>
  <c r="P240" i="24"/>
  <c r="R240" i="24"/>
  <c r="R254" i="24"/>
  <c r="Q254" i="24"/>
  <c r="P254" i="24"/>
  <c r="P244" i="24"/>
  <c r="Q244" i="24"/>
  <c r="R244" i="24"/>
  <c r="R264" i="24"/>
  <c r="P264" i="24"/>
  <c r="Q264" i="24"/>
  <c r="Q270" i="24"/>
  <c r="P270" i="24"/>
  <c r="R270" i="24"/>
  <c r="P272" i="24"/>
  <c r="R272" i="24"/>
  <c r="Q272" i="24"/>
  <c r="Q271" i="24"/>
  <c r="R271" i="24"/>
  <c r="P271" i="24"/>
  <c r="Q287" i="24"/>
  <c r="R287" i="24"/>
  <c r="P287" i="24"/>
  <c r="Q286" i="24"/>
  <c r="P286" i="24"/>
  <c r="R286" i="24"/>
  <c r="P283" i="24"/>
  <c r="Q283" i="24"/>
  <c r="R283" i="24"/>
  <c r="R280" i="24"/>
  <c r="P280" i="24"/>
  <c r="Q280" i="24"/>
  <c r="P276" i="24"/>
  <c r="R276" i="24"/>
  <c r="Q276" i="24"/>
  <c r="Q314" i="24"/>
  <c r="R314" i="24"/>
  <c r="P314" i="24"/>
  <c r="P311" i="24"/>
  <c r="Q311" i="24"/>
  <c r="R311" i="24"/>
  <c r="R308" i="24"/>
  <c r="Q308" i="24"/>
  <c r="P308" i="24"/>
  <c r="Q316" i="24"/>
  <c r="R316" i="24"/>
  <c r="P316" i="24"/>
  <c r="Q313" i="24"/>
  <c r="P313" i="24"/>
  <c r="R313" i="24"/>
  <c r="R300" i="24"/>
  <c r="Q300" i="24"/>
  <c r="P300" i="24"/>
  <c r="R302" i="24"/>
  <c r="P302" i="24"/>
  <c r="Q302" i="24"/>
  <c r="R336" i="24"/>
  <c r="Q336" i="24"/>
  <c r="P336" i="24"/>
  <c r="Q329" i="24"/>
  <c r="R329" i="24"/>
  <c r="P329" i="24"/>
  <c r="Q337" i="24"/>
  <c r="R337" i="24"/>
  <c r="P337" i="24"/>
  <c r="Q331" i="24"/>
  <c r="P331" i="24"/>
  <c r="R331" i="24"/>
  <c r="P364" i="24"/>
  <c r="Q364" i="24"/>
  <c r="R364" i="24"/>
  <c r="R355" i="24"/>
  <c r="P355" i="24"/>
  <c r="Q355" i="24"/>
  <c r="P349" i="24"/>
  <c r="R349" i="24"/>
  <c r="Q349" i="24"/>
  <c r="P351" i="24"/>
  <c r="R351" i="24"/>
  <c r="Q351" i="24"/>
  <c r="Q352" i="24"/>
  <c r="P352" i="24"/>
  <c r="R352" i="24"/>
  <c r="Q358" i="24"/>
  <c r="R358" i="24"/>
  <c r="P358" i="24"/>
  <c r="R365" i="24"/>
  <c r="Q365" i="24"/>
  <c r="P365" i="24"/>
  <c r="R372" i="24"/>
  <c r="P372" i="24"/>
  <c r="Q372" i="24"/>
  <c r="Q366" i="24"/>
  <c r="R366" i="24"/>
  <c r="P366" i="24"/>
  <c r="R368" i="24"/>
  <c r="Q368" i="24"/>
  <c r="P368" i="24"/>
  <c r="Q375" i="24"/>
  <c r="R375" i="24"/>
  <c r="P375" i="24"/>
  <c r="P383" i="24"/>
  <c r="Q383" i="24"/>
  <c r="R383" i="24"/>
  <c r="P390" i="24"/>
  <c r="Q390" i="24"/>
  <c r="R390" i="24"/>
  <c r="P401" i="24"/>
  <c r="Q401" i="24"/>
  <c r="R401" i="24"/>
  <c r="R395" i="24"/>
  <c r="Q395" i="24"/>
  <c r="P395" i="24"/>
  <c r="Q397" i="24"/>
  <c r="R397" i="24"/>
  <c r="P397" i="24"/>
  <c r="R389" i="24"/>
  <c r="Q389" i="24"/>
  <c r="P389" i="24"/>
  <c r="P412" i="24"/>
  <c r="R412" i="24"/>
  <c r="Q412" i="24"/>
  <c r="P406" i="24"/>
  <c r="R406" i="24"/>
  <c r="Q406" i="24"/>
  <c r="P415" i="24"/>
  <c r="R415" i="24"/>
  <c r="Q415" i="24"/>
  <c r="R422" i="24"/>
  <c r="Q422" i="24"/>
  <c r="P422" i="24"/>
  <c r="Q426" i="24"/>
  <c r="R426" i="24"/>
  <c r="P426" i="24"/>
  <c r="R431" i="24"/>
  <c r="P431" i="24"/>
  <c r="Q431" i="24"/>
  <c r="P428" i="24"/>
  <c r="R428" i="24"/>
  <c r="Q428" i="24"/>
  <c r="Q455" i="24"/>
  <c r="R455" i="24"/>
  <c r="P455" i="24"/>
  <c r="P450" i="24"/>
  <c r="Q450" i="24"/>
  <c r="R450" i="24"/>
  <c r="Q445" i="24"/>
  <c r="R445" i="24"/>
  <c r="P445" i="24"/>
  <c r="P462" i="24"/>
  <c r="Q462" i="24"/>
  <c r="R462" i="24"/>
  <c r="P454" i="24"/>
  <c r="Q454" i="24"/>
  <c r="R454" i="24"/>
  <c r="P448" i="24"/>
  <c r="R448" i="24"/>
  <c r="Q448" i="24"/>
  <c r="R440" i="24"/>
  <c r="Q440" i="24"/>
  <c r="P440" i="24"/>
  <c r="R486" i="24"/>
  <c r="Q486" i="24"/>
  <c r="P486" i="24"/>
  <c r="P477" i="24"/>
  <c r="R477" i="24"/>
  <c r="Q477" i="24"/>
  <c r="Q467" i="24"/>
  <c r="R467" i="24"/>
  <c r="P467" i="24"/>
  <c r="P483" i="24"/>
  <c r="Q483" i="24"/>
  <c r="R483" i="24"/>
  <c r="P468" i="24"/>
  <c r="R468" i="24"/>
  <c r="Q468" i="24"/>
  <c r="R485" i="24"/>
  <c r="Q485" i="24"/>
  <c r="P485" i="24"/>
  <c r="P489" i="24"/>
  <c r="R489" i="24"/>
  <c r="Q489" i="24"/>
  <c r="R497" i="24"/>
  <c r="Q497" i="24"/>
  <c r="P497" i="24"/>
  <c r="R495" i="24"/>
  <c r="Q495" i="24"/>
  <c r="P495" i="24"/>
  <c r="Q501" i="24"/>
  <c r="P501" i="24"/>
  <c r="R501" i="24"/>
  <c r="P502" i="24"/>
  <c r="Q502" i="24"/>
  <c r="R502" i="24"/>
  <c r="R507" i="24"/>
  <c r="P507" i="24"/>
  <c r="Q507" i="24"/>
  <c r="Q523" i="24"/>
  <c r="P523" i="24"/>
  <c r="R523" i="24"/>
  <c r="Q520" i="24"/>
  <c r="P520" i="24"/>
  <c r="R520" i="24"/>
  <c r="P510" i="24"/>
  <c r="R510" i="24"/>
  <c r="Q510" i="24"/>
  <c r="P529" i="24"/>
  <c r="Q529" i="24"/>
  <c r="R529" i="24"/>
  <c r="R538" i="24"/>
  <c r="P538" i="24"/>
  <c r="Q538" i="24"/>
  <c r="R554" i="24"/>
  <c r="Q554" i="24"/>
  <c r="P554" i="24"/>
  <c r="R530" i="24"/>
  <c r="P530" i="24"/>
  <c r="Q530" i="24"/>
  <c r="P531" i="24"/>
  <c r="R531" i="24"/>
  <c r="Q531" i="24"/>
  <c r="R555" i="24"/>
  <c r="P555" i="24"/>
  <c r="Q555" i="24"/>
  <c r="P543" i="24"/>
  <c r="Q543" i="24"/>
  <c r="R543" i="24"/>
  <c r="P527" i="24"/>
  <c r="R527" i="24"/>
  <c r="Q527" i="24"/>
  <c r="R565" i="24"/>
  <c r="Q565" i="24"/>
  <c r="P565" i="24"/>
  <c r="Q559" i="24"/>
  <c r="P559" i="24"/>
  <c r="R559" i="24"/>
  <c r="P572" i="24"/>
  <c r="R572" i="24"/>
  <c r="Q572" i="24"/>
  <c r="R569" i="24"/>
  <c r="P569" i="24"/>
  <c r="Q569" i="24"/>
  <c r="R560" i="24"/>
  <c r="P560" i="24"/>
  <c r="Q560" i="24"/>
  <c r="P583" i="24"/>
  <c r="R583" i="24"/>
  <c r="Q583" i="24"/>
  <c r="P575" i="24"/>
  <c r="Q575" i="24"/>
  <c r="R575" i="24"/>
  <c r="P586" i="24"/>
  <c r="Q586" i="24"/>
  <c r="R586" i="24"/>
  <c r="R589" i="24"/>
  <c r="Q589" i="24"/>
  <c r="P589" i="24"/>
  <c r="Q604" i="24"/>
  <c r="P604" i="24"/>
  <c r="R604" i="24"/>
  <c r="Q599" i="24"/>
  <c r="R599" i="24"/>
  <c r="P599" i="24"/>
  <c r="P618" i="24"/>
  <c r="R618" i="24"/>
  <c r="Q618" i="24"/>
  <c r="R601" i="24"/>
  <c r="P601" i="24"/>
  <c r="Q601" i="24"/>
  <c r="Q607" i="24"/>
  <c r="P607" i="24"/>
  <c r="R607" i="24"/>
  <c r="R596" i="24"/>
  <c r="Q596" i="24"/>
  <c r="P596" i="24"/>
  <c r="P603" i="24"/>
  <c r="Q603" i="24"/>
  <c r="R603" i="24"/>
  <c r="P624" i="24"/>
  <c r="Q624" i="24"/>
  <c r="R624" i="24"/>
  <c r="Q623" i="24"/>
  <c r="R623" i="24"/>
  <c r="P623" i="24"/>
  <c r="R631" i="24"/>
  <c r="P631" i="24"/>
  <c r="Q631" i="24"/>
  <c r="Q622" i="24"/>
  <c r="R622" i="24"/>
  <c r="P622" i="24"/>
  <c r="R642" i="24"/>
  <c r="P642" i="24"/>
  <c r="Q642" i="24"/>
  <c r="Q649" i="24"/>
  <c r="P649" i="24"/>
  <c r="R649" i="24"/>
  <c r="Q636" i="24"/>
  <c r="R636" i="24"/>
  <c r="P636" i="24"/>
  <c r="Q639" i="24"/>
  <c r="R639" i="24"/>
  <c r="P639" i="24"/>
  <c r="R662" i="24"/>
  <c r="Q662" i="24"/>
  <c r="P662" i="24"/>
  <c r="P664" i="24"/>
  <c r="Q664" i="24"/>
  <c r="R664" i="24"/>
  <c r="Q661" i="24"/>
  <c r="R661" i="24"/>
  <c r="P661" i="24"/>
  <c r="P659" i="24"/>
  <c r="R659" i="24"/>
  <c r="Q659" i="24"/>
  <c r="Q668" i="24"/>
  <c r="P668" i="24"/>
  <c r="R668" i="24"/>
  <c r="P666" i="24"/>
  <c r="R666" i="24"/>
  <c r="Q666" i="24"/>
  <c r="P677" i="24"/>
  <c r="R677" i="24"/>
  <c r="Q677" i="24"/>
  <c r="Q676" i="24"/>
  <c r="R676" i="24"/>
  <c r="P676" i="24"/>
  <c r="P681" i="24"/>
  <c r="Q681" i="24"/>
  <c r="R681" i="24"/>
  <c r="R704" i="24"/>
  <c r="Q704" i="24"/>
  <c r="P704" i="24"/>
  <c r="Q694" i="24"/>
  <c r="P694" i="24"/>
  <c r="R694" i="24"/>
  <c r="R706" i="24"/>
  <c r="P706" i="24"/>
  <c r="Q706" i="24"/>
  <c r="Q705" i="24"/>
  <c r="P705" i="24"/>
  <c r="R705" i="24"/>
  <c r="Q692" i="24"/>
  <c r="P692" i="24"/>
  <c r="R692" i="24"/>
  <c r="Q725" i="24"/>
  <c r="R725" i="24"/>
  <c r="P725" i="24"/>
  <c r="R716" i="24"/>
  <c r="P716" i="24"/>
  <c r="Q716" i="24"/>
  <c r="P714" i="24"/>
  <c r="Q714" i="24"/>
  <c r="R714" i="24"/>
  <c r="P718" i="24"/>
  <c r="R718" i="24"/>
  <c r="Q718" i="24"/>
  <c r="P719" i="24"/>
  <c r="R719" i="24"/>
  <c r="Q719" i="24"/>
  <c r="R729" i="24"/>
  <c r="Q729" i="24"/>
  <c r="P729" i="24"/>
  <c r="R730" i="24"/>
  <c r="P730" i="24"/>
  <c r="Q730" i="24"/>
  <c r="P746" i="24"/>
  <c r="R746" i="24"/>
  <c r="Q746" i="24"/>
  <c r="P740" i="24"/>
  <c r="R740" i="24"/>
  <c r="Q740" i="24"/>
  <c r="P742" i="24"/>
  <c r="R742" i="24"/>
  <c r="Q742" i="24"/>
  <c r="P750" i="24"/>
  <c r="R750" i="24"/>
  <c r="Q750" i="24"/>
  <c r="P759" i="24"/>
  <c r="R759" i="24"/>
  <c r="Q759" i="24"/>
  <c r="P766" i="24"/>
  <c r="R766" i="24"/>
  <c r="Q766" i="24"/>
  <c r="Q748" i="24"/>
  <c r="R748" i="24"/>
  <c r="P748" i="24"/>
  <c r="Q754" i="24"/>
  <c r="P754" i="24"/>
  <c r="R754" i="24"/>
  <c r="Q773" i="24"/>
  <c r="P773" i="24"/>
  <c r="R773" i="24"/>
  <c r="R767" i="24"/>
  <c r="P767" i="24"/>
  <c r="Q767" i="24"/>
  <c r="P785" i="24"/>
  <c r="R785" i="24"/>
  <c r="Q785" i="24"/>
  <c r="P796" i="24"/>
  <c r="R796" i="24"/>
  <c r="Q796" i="24"/>
  <c r="P797" i="24"/>
  <c r="Q797" i="24"/>
  <c r="R797" i="24"/>
  <c r="R787" i="24"/>
  <c r="Q787" i="24"/>
  <c r="P787" i="24"/>
  <c r="Q794" i="24"/>
  <c r="R794" i="24"/>
  <c r="P794" i="24"/>
  <c r="R786" i="24"/>
  <c r="P786" i="24"/>
  <c r="Q786" i="24"/>
  <c r="R781" i="24"/>
  <c r="P781" i="24"/>
  <c r="Q781" i="24"/>
  <c r="Q805" i="24"/>
  <c r="P805" i="24"/>
  <c r="R805" i="24"/>
  <c r="P815" i="24"/>
  <c r="Q815" i="24"/>
  <c r="R815" i="24"/>
  <c r="R809" i="24"/>
  <c r="Q809" i="24"/>
  <c r="P809" i="24"/>
  <c r="P808" i="24"/>
  <c r="Q808" i="24"/>
  <c r="R808" i="24"/>
  <c r="R819" i="24"/>
  <c r="P819" i="24"/>
  <c r="Q819" i="24"/>
  <c r="Q822" i="24"/>
  <c r="P822" i="24"/>
  <c r="R822" i="24"/>
  <c r="Q838" i="24"/>
  <c r="R838" i="24"/>
  <c r="P838" i="24"/>
  <c r="Q831" i="24"/>
  <c r="P831" i="24"/>
  <c r="R831" i="24"/>
  <c r="Q832" i="24"/>
  <c r="P832" i="24"/>
  <c r="R832" i="24"/>
  <c r="R841" i="24"/>
  <c r="Q841" i="24"/>
  <c r="P841" i="24"/>
  <c r="P844" i="24"/>
  <c r="R844" i="24"/>
  <c r="Q844" i="24"/>
  <c r="Q839" i="24"/>
  <c r="R839" i="24"/>
  <c r="P839" i="24"/>
  <c r="Q857" i="24"/>
  <c r="P857" i="24"/>
  <c r="R857" i="24"/>
  <c r="P853" i="24"/>
  <c r="Q853" i="24"/>
  <c r="R853" i="24"/>
  <c r="P865" i="24"/>
  <c r="Q865" i="24"/>
  <c r="R865" i="24"/>
  <c r="Q862" i="24"/>
  <c r="R862" i="24"/>
  <c r="P862" i="24"/>
  <c r="Q870" i="24"/>
  <c r="P870" i="24"/>
  <c r="R870" i="24"/>
  <c r="Q874" i="24"/>
  <c r="P874" i="24"/>
  <c r="R874" i="24"/>
  <c r="R872" i="24"/>
  <c r="P872" i="24"/>
  <c r="Q872" i="24"/>
  <c r="R882" i="24"/>
  <c r="Q882" i="24"/>
  <c r="P882" i="24"/>
  <c r="Q878" i="24"/>
  <c r="P878" i="24"/>
  <c r="R878" i="24"/>
  <c r="Q884" i="24"/>
  <c r="R884" i="24"/>
  <c r="P884" i="24"/>
  <c r="R888" i="24"/>
  <c r="P888" i="24"/>
  <c r="Q888" i="24"/>
  <c r="P895" i="24"/>
  <c r="Q895" i="24"/>
  <c r="R895" i="24"/>
  <c r="Q900" i="24"/>
  <c r="R900" i="24"/>
  <c r="P900" i="24"/>
  <c r="R902" i="24"/>
  <c r="Q902" i="24"/>
  <c r="P902" i="24"/>
  <c r="P910" i="24"/>
  <c r="Q910" i="24"/>
  <c r="R910" i="24"/>
  <c r="P914" i="24"/>
  <c r="Q914" i="24"/>
  <c r="R914" i="24"/>
  <c r="P939" i="24"/>
  <c r="Q939" i="24"/>
  <c r="R939" i="24"/>
  <c r="R917" i="24"/>
  <c r="Q917" i="24"/>
  <c r="P917" i="24"/>
  <c r="Q935" i="24"/>
  <c r="P935" i="24"/>
  <c r="R935" i="24"/>
  <c r="Q942" i="24"/>
  <c r="P942" i="24"/>
  <c r="R942" i="24"/>
  <c r="Q912" i="24"/>
  <c r="R912" i="24"/>
  <c r="P912" i="24"/>
  <c r="P927" i="24"/>
  <c r="R927" i="24"/>
  <c r="Q927" i="24"/>
  <c r="Q926" i="24"/>
  <c r="R926" i="24"/>
  <c r="P926" i="24"/>
  <c r="R946" i="24"/>
  <c r="Q946" i="24"/>
  <c r="P946" i="24"/>
  <c r="R951" i="24"/>
  <c r="P951" i="24"/>
  <c r="Q951" i="24"/>
  <c r="R952" i="24"/>
  <c r="Q952" i="24"/>
  <c r="P952" i="24"/>
  <c r="P961" i="24"/>
  <c r="R961" i="24"/>
  <c r="Q961" i="24"/>
  <c r="P959" i="24"/>
  <c r="Q959" i="24"/>
  <c r="R959" i="24"/>
  <c r="R967" i="24"/>
  <c r="P967" i="24"/>
  <c r="Q967" i="24"/>
  <c r="Q972" i="24"/>
  <c r="P972" i="24"/>
  <c r="R972" i="24"/>
  <c r="R978" i="24"/>
  <c r="P978" i="24"/>
  <c r="Q978" i="24"/>
  <c r="Q966" i="24"/>
  <c r="P966" i="24"/>
  <c r="R966" i="24"/>
  <c r="R994" i="24"/>
  <c r="P994" i="24"/>
  <c r="Q994" i="24"/>
  <c r="Q1002" i="24"/>
  <c r="P1002" i="24"/>
  <c r="R1002" i="24"/>
  <c r="P981" i="24"/>
  <c r="R981" i="24"/>
  <c r="Q981" i="24"/>
  <c r="Q1001" i="24"/>
  <c r="R1001" i="24"/>
  <c r="P1001" i="24"/>
  <c r="R985" i="24"/>
  <c r="P985" i="24"/>
  <c r="Q985" i="24"/>
  <c r="Q996" i="24"/>
  <c r="R996" i="24"/>
  <c r="P996" i="24"/>
  <c r="Q1015" i="24"/>
  <c r="P1015" i="24"/>
  <c r="R1015" i="24"/>
  <c r="P1039" i="24"/>
  <c r="Q1039" i="24"/>
  <c r="R1039" i="24"/>
  <c r="Q1018" i="24"/>
  <c r="P1018" i="24"/>
  <c r="R1018" i="24"/>
  <c r="P1003" i="24"/>
  <c r="Q1003" i="24"/>
  <c r="R1003" i="24"/>
  <c r="R1026" i="24"/>
  <c r="P1026" i="24"/>
  <c r="Q1026" i="24"/>
  <c r="Q1036" i="24"/>
  <c r="R1036" i="24"/>
  <c r="P1036" i="24"/>
  <c r="Q1040" i="24"/>
  <c r="P1040" i="24"/>
  <c r="R1040" i="24"/>
  <c r="P1022" i="24"/>
  <c r="R1022" i="24"/>
  <c r="Q1022" i="24"/>
  <c r="P1023" i="24"/>
  <c r="R1023" i="24"/>
  <c r="Q1023" i="24"/>
  <c r="R1034" i="24"/>
  <c r="Q1034" i="24"/>
  <c r="P1034" i="24"/>
  <c r="R1056" i="24"/>
  <c r="Q1056" i="24"/>
  <c r="P1056" i="24"/>
  <c r="R1060" i="24"/>
  <c r="Q1060" i="24"/>
  <c r="P1060" i="24"/>
  <c r="Q1046" i="24"/>
  <c r="R1046" i="24"/>
  <c r="P1046" i="24"/>
  <c r="P1059" i="24"/>
  <c r="Q1059" i="24"/>
  <c r="R1059" i="24"/>
  <c r="R1064" i="24"/>
  <c r="P1064" i="24"/>
  <c r="Q1064" i="24"/>
  <c r="Q1048" i="24"/>
  <c r="P1048" i="24"/>
  <c r="R1048" i="24"/>
  <c r="R1061" i="24"/>
  <c r="Q1061" i="24"/>
  <c r="P1061" i="24"/>
  <c r="R1075" i="24"/>
  <c r="P1075" i="24"/>
  <c r="Q1075" i="24"/>
  <c r="P1092" i="24"/>
  <c r="Q1092" i="24"/>
  <c r="R1092" i="24"/>
  <c r="P1089" i="24"/>
  <c r="Q1089" i="24"/>
  <c r="R1089" i="24"/>
  <c r="Q1086" i="24"/>
  <c r="R1086" i="24"/>
  <c r="P1086" i="24"/>
  <c r="R1088" i="24"/>
  <c r="Q1088" i="24"/>
  <c r="R1100" i="24"/>
  <c r="Q1100" i="24"/>
  <c r="Q1101" i="24"/>
  <c r="P1101" i="24"/>
  <c r="P1114" i="24"/>
  <c r="R1114" i="24"/>
  <c r="P1105" i="24"/>
  <c r="Q1105" i="24"/>
  <c r="P1111" i="24"/>
  <c r="R1111" i="24"/>
  <c r="Q1099" i="24"/>
  <c r="R1099" i="24"/>
  <c r="P1117" i="24"/>
  <c r="R1117" i="24"/>
  <c r="P1121" i="24"/>
  <c r="R1121" i="24"/>
  <c r="Q1135" i="24"/>
  <c r="R1135" i="24"/>
  <c r="Q1123" i="24"/>
  <c r="R1123" i="24"/>
  <c r="Q1154" i="24"/>
  <c r="P1154" i="24"/>
  <c r="R1125" i="24"/>
  <c r="P1125" i="24"/>
  <c r="Q1150" i="24"/>
  <c r="R1150" i="24"/>
  <c r="P1130" i="24"/>
  <c r="Q1130" i="24"/>
  <c r="R1148" i="24"/>
  <c r="Q1148" i="24"/>
  <c r="P1122" i="24"/>
  <c r="Q1122" i="24"/>
  <c r="Q1151" i="24"/>
  <c r="R1151" i="24"/>
  <c r="Q1160" i="24"/>
  <c r="P1160" i="24"/>
  <c r="P1184" i="24"/>
  <c r="Q1184" i="24"/>
  <c r="Q1183" i="24"/>
  <c r="R1183" i="24"/>
  <c r="R1193" i="24"/>
  <c r="Q1193" i="24"/>
  <c r="Q1187" i="24"/>
  <c r="P1187" i="24"/>
  <c r="R1165" i="24"/>
  <c r="Q1165" i="24"/>
  <c r="P1172" i="24"/>
  <c r="Q1172" i="24"/>
  <c r="P1185" i="24"/>
  <c r="R1185" i="24"/>
  <c r="R1194" i="24"/>
  <c r="P1194" i="24"/>
  <c r="R1198" i="24"/>
  <c r="Q1198" i="24"/>
  <c r="R1228" i="24"/>
  <c r="P1228" i="24"/>
  <c r="R1229" i="24"/>
  <c r="Q1229" i="24"/>
  <c r="P1222" i="24"/>
  <c r="R1222" i="24"/>
  <c r="P1199" i="24"/>
  <c r="R1199" i="24"/>
  <c r="R1197" i="24"/>
  <c r="Q1197" i="24"/>
  <c r="Q1203" i="24"/>
  <c r="R1203" i="24"/>
  <c r="P1218" i="24"/>
  <c r="Q1218" i="24"/>
  <c r="R1214" i="24"/>
  <c r="Q1214" i="24"/>
  <c r="R1206" i="24"/>
  <c r="Q1206" i="24"/>
  <c r="R1245" i="24"/>
  <c r="Q1245" i="24"/>
  <c r="Q1246" i="24"/>
  <c r="P1246" i="24"/>
  <c r="Q1250" i="24"/>
  <c r="R1250" i="24"/>
  <c r="R1242" i="24"/>
  <c r="Q1242" i="24"/>
  <c r="Q1255" i="24"/>
  <c r="P1255" i="24"/>
  <c r="R1254" i="24"/>
  <c r="Q1254" i="24"/>
  <c r="Q1261" i="24"/>
  <c r="R1261" i="24"/>
  <c r="R1270" i="24"/>
  <c r="Q1270" i="24"/>
  <c r="R1266" i="24"/>
  <c r="P1266" i="24"/>
  <c r="Q1284" i="24"/>
  <c r="P1284" i="24"/>
  <c r="Q1283" i="24"/>
  <c r="P1283" i="24"/>
  <c r="P1273" i="24"/>
  <c r="R1273" i="24"/>
  <c r="R1290" i="24"/>
  <c r="Q1290" i="24"/>
  <c r="P1287" i="24"/>
  <c r="Q1287" i="24"/>
  <c r="R1282" i="24"/>
  <c r="Q1282" i="24"/>
  <c r="Q1306" i="24"/>
  <c r="P1306" i="24"/>
  <c r="P1300" i="24"/>
  <c r="Q1300" i="24"/>
  <c r="P1314" i="24"/>
  <c r="Q1314" i="24"/>
  <c r="P30" i="24"/>
  <c r="Q30" i="24"/>
  <c r="R30" i="24"/>
  <c r="Q19" i="24"/>
  <c r="R19" i="24"/>
  <c r="P19" i="24"/>
  <c r="P11" i="24"/>
  <c r="Q11" i="24"/>
  <c r="R11" i="24"/>
  <c r="R13" i="24"/>
  <c r="P13" i="24"/>
  <c r="Q13" i="24"/>
  <c r="Q17" i="24"/>
  <c r="R17" i="24"/>
  <c r="P17" i="24"/>
  <c r="Q9" i="24"/>
  <c r="R9" i="24"/>
  <c r="P9" i="24"/>
  <c r="Q24" i="24"/>
  <c r="P24" i="24"/>
  <c r="R24" i="24"/>
  <c r="R43" i="24"/>
  <c r="Q43" i="24"/>
  <c r="P43" i="24"/>
  <c r="R38" i="24"/>
  <c r="Q38" i="24"/>
  <c r="P38" i="24"/>
  <c r="R40" i="24"/>
  <c r="Q40" i="24"/>
  <c r="P40" i="24"/>
  <c r="R50" i="24"/>
  <c r="Q50" i="24"/>
  <c r="P50" i="24"/>
  <c r="P44" i="24"/>
  <c r="Q44" i="24"/>
  <c r="R44" i="24"/>
  <c r="R58" i="24"/>
  <c r="Q58" i="24"/>
  <c r="P58" i="24"/>
  <c r="P64" i="24"/>
  <c r="Q64" i="24"/>
  <c r="R64" i="24"/>
  <c r="R61" i="24"/>
  <c r="Q61" i="24"/>
  <c r="P61" i="24"/>
  <c r="Q66" i="24"/>
  <c r="R66" i="24"/>
  <c r="P66" i="24"/>
  <c r="Q87" i="24"/>
  <c r="P87" i="24"/>
  <c r="R87" i="24"/>
  <c r="Q89" i="24"/>
  <c r="P89" i="24"/>
  <c r="R89" i="24"/>
  <c r="R77" i="24"/>
  <c r="P77" i="24"/>
  <c r="Q77" i="24"/>
  <c r="Q81" i="24"/>
  <c r="P81" i="24"/>
  <c r="R81" i="24"/>
  <c r="P74" i="24"/>
  <c r="Q74" i="24"/>
  <c r="R74" i="24"/>
  <c r="P103" i="24"/>
  <c r="R103" i="24"/>
  <c r="Q103" i="24"/>
  <c r="P91" i="24"/>
  <c r="R91" i="24"/>
  <c r="Q91" i="24"/>
  <c r="R99" i="24"/>
  <c r="P99" i="24"/>
  <c r="Q99" i="24"/>
  <c r="P93" i="24"/>
  <c r="Q93" i="24"/>
  <c r="R93" i="24"/>
  <c r="R114" i="24"/>
  <c r="P114" i="24"/>
  <c r="Q114" i="24"/>
  <c r="Q119" i="24"/>
  <c r="R119" i="24"/>
  <c r="P119" i="24"/>
  <c r="Q113" i="24"/>
  <c r="R113" i="24"/>
  <c r="P113" i="24"/>
  <c r="P111" i="24"/>
  <c r="R111" i="24"/>
  <c r="Q111" i="24"/>
  <c r="Q126" i="24"/>
  <c r="P126" i="24"/>
  <c r="R126" i="24"/>
  <c r="P133" i="24"/>
  <c r="R133" i="24"/>
  <c r="Q133" i="24"/>
  <c r="R136" i="24"/>
  <c r="Q136" i="24"/>
  <c r="P136" i="24"/>
  <c r="R138" i="24"/>
  <c r="P138" i="24"/>
  <c r="Q138" i="24"/>
  <c r="P148" i="24"/>
  <c r="R148" i="24"/>
  <c r="Q148" i="24"/>
  <c r="Q128" i="24"/>
  <c r="R128" i="24"/>
  <c r="P128" i="24"/>
  <c r="R140" i="24"/>
  <c r="P140" i="24"/>
  <c r="Q140" i="24"/>
  <c r="Q153" i="24"/>
  <c r="R153" i="24"/>
  <c r="P153" i="24"/>
  <c r="P163" i="24"/>
  <c r="Q163" i="24"/>
  <c r="R163" i="24"/>
  <c r="Q150" i="24"/>
  <c r="R150" i="24"/>
  <c r="P150" i="24"/>
  <c r="Q183" i="24"/>
  <c r="R183" i="24"/>
  <c r="P183" i="24"/>
  <c r="R170" i="24"/>
  <c r="Q170" i="24"/>
  <c r="P170" i="24"/>
  <c r="Q192" i="24"/>
  <c r="P192" i="24"/>
  <c r="R192" i="24"/>
  <c r="P181" i="24"/>
  <c r="R181" i="24"/>
  <c r="Q181" i="24"/>
  <c r="P184" i="24"/>
  <c r="Q184" i="24"/>
  <c r="R184" i="24"/>
  <c r="P174" i="24"/>
  <c r="R174" i="24"/>
  <c r="Q174" i="24"/>
  <c r="Q188" i="24"/>
  <c r="P188" i="24"/>
  <c r="R188" i="24"/>
  <c r="P189" i="24"/>
  <c r="R189" i="24"/>
  <c r="Q189" i="24"/>
  <c r="R222" i="24"/>
  <c r="Q222" i="24"/>
  <c r="P222" i="24"/>
  <c r="R195" i="24"/>
  <c r="Q195" i="24"/>
  <c r="P195" i="24"/>
  <c r="P196" i="24"/>
  <c r="Q196" i="24"/>
  <c r="R196" i="24"/>
  <c r="Q209" i="24"/>
  <c r="R209" i="24"/>
  <c r="P209" i="24"/>
  <c r="P219" i="24"/>
  <c r="Q219" i="24"/>
  <c r="R219" i="24"/>
  <c r="Q216" i="24"/>
  <c r="P216" i="24"/>
  <c r="R216" i="24"/>
  <c r="R218" i="24"/>
  <c r="P218" i="24"/>
  <c r="Q218" i="24"/>
  <c r="R213" i="24"/>
  <c r="P213" i="24"/>
  <c r="Q213" i="24"/>
  <c r="Q206" i="24"/>
  <c r="R206" i="24"/>
  <c r="P206" i="24"/>
  <c r="P235" i="24"/>
  <c r="R235" i="24"/>
  <c r="Q235" i="24"/>
  <c r="R258" i="24"/>
  <c r="Q258" i="24"/>
  <c r="P258" i="24"/>
  <c r="P256" i="24"/>
  <c r="Q256" i="24"/>
  <c r="R256" i="24"/>
  <c r="P236" i="24"/>
  <c r="R236" i="24"/>
  <c r="Q236" i="24"/>
  <c r="R234" i="24"/>
  <c r="P234" i="24"/>
  <c r="Q234" i="24"/>
  <c r="Q247" i="24"/>
  <c r="R247" i="24"/>
  <c r="P247" i="24"/>
  <c r="R252" i="24"/>
  <c r="Q252" i="24"/>
  <c r="P252" i="24"/>
  <c r="P267" i="24"/>
  <c r="Q267" i="24"/>
  <c r="R267" i="24"/>
  <c r="P268" i="24"/>
  <c r="R268" i="24"/>
  <c r="Q268" i="24"/>
  <c r="R275" i="24"/>
  <c r="Q275" i="24"/>
  <c r="P275" i="24"/>
  <c r="P259" i="24"/>
  <c r="Q259" i="24"/>
  <c r="R259" i="24"/>
  <c r="P279" i="24"/>
  <c r="R279" i="24"/>
  <c r="Q279" i="24"/>
  <c r="Q285" i="24"/>
  <c r="R285" i="24"/>
  <c r="P285" i="24"/>
  <c r="P292" i="24"/>
  <c r="Q292" i="24"/>
  <c r="R292" i="24"/>
  <c r="R293" i="24"/>
  <c r="P293" i="24"/>
  <c r="Q293" i="24"/>
  <c r="P278" i="24"/>
  <c r="R278" i="24"/>
  <c r="Q278" i="24"/>
  <c r="R277" i="24"/>
  <c r="P277" i="24"/>
  <c r="Q277" i="24"/>
  <c r="R310" i="24"/>
  <c r="P310" i="24"/>
  <c r="Q310" i="24"/>
  <c r="Q321" i="24"/>
  <c r="P321" i="24"/>
  <c r="R321" i="24"/>
  <c r="R318" i="24"/>
  <c r="P318" i="24"/>
  <c r="Q318" i="24"/>
  <c r="R301" i="24"/>
  <c r="P301" i="24"/>
  <c r="Q301" i="24"/>
  <c r="Q303" i="24"/>
  <c r="P303" i="24"/>
  <c r="R303" i="24"/>
  <c r="Q320" i="24"/>
  <c r="P320" i="24"/>
  <c r="R320" i="24"/>
  <c r="Q335" i="24"/>
  <c r="P335" i="24"/>
  <c r="R335" i="24"/>
  <c r="Q325" i="24"/>
  <c r="R325" i="24"/>
  <c r="P325" i="24"/>
  <c r="R324" i="24"/>
  <c r="P324" i="24"/>
  <c r="Q324" i="24"/>
  <c r="Q326" i="24"/>
  <c r="P326" i="24"/>
  <c r="R326" i="24"/>
  <c r="R359" i="24"/>
  <c r="P359" i="24"/>
  <c r="Q359" i="24"/>
  <c r="R348" i="24"/>
  <c r="Q348" i="24"/>
  <c r="P348" i="24"/>
  <c r="P360" i="24"/>
  <c r="Q360" i="24"/>
  <c r="R360" i="24"/>
  <c r="P350" i="24"/>
  <c r="Q350" i="24"/>
  <c r="R350" i="24"/>
  <c r="P345" i="24"/>
  <c r="R345" i="24"/>
  <c r="Q345" i="24"/>
  <c r="Q362" i="24"/>
  <c r="P362" i="24"/>
  <c r="R362" i="24"/>
  <c r="R346" i="24"/>
  <c r="Q346" i="24"/>
  <c r="P346" i="24"/>
  <c r="R377" i="24"/>
  <c r="P377" i="24"/>
  <c r="Q377" i="24"/>
  <c r="P379" i="24"/>
  <c r="R379" i="24"/>
  <c r="Q379" i="24"/>
  <c r="R380" i="24"/>
  <c r="P380" i="24"/>
  <c r="Q380" i="24"/>
  <c r="Q374" i="24"/>
  <c r="P374" i="24"/>
  <c r="R374" i="24"/>
  <c r="Q386" i="24"/>
  <c r="R386" i="24"/>
  <c r="P386" i="24"/>
  <c r="P391" i="24"/>
  <c r="Q391" i="24"/>
  <c r="R391" i="24"/>
  <c r="Q393" i="24"/>
  <c r="P393" i="24"/>
  <c r="R393" i="24"/>
  <c r="Q394" i="24"/>
  <c r="P394" i="24"/>
  <c r="R394" i="24"/>
  <c r="R398" i="24"/>
  <c r="P398" i="24"/>
  <c r="Q398" i="24"/>
  <c r="Q403" i="24"/>
  <c r="P403" i="24"/>
  <c r="R403" i="24"/>
  <c r="P414" i="24"/>
  <c r="Q414" i="24"/>
  <c r="R414" i="24"/>
  <c r="Q413" i="24"/>
  <c r="P413" i="24"/>
  <c r="R413" i="24"/>
  <c r="Q409" i="24"/>
  <c r="P409" i="24"/>
  <c r="R409" i="24"/>
  <c r="P420" i="24"/>
  <c r="Q420" i="24"/>
  <c r="R420" i="24"/>
  <c r="P425" i="24"/>
  <c r="Q425" i="24"/>
  <c r="R425" i="24"/>
  <c r="R429" i="24"/>
  <c r="Q429" i="24"/>
  <c r="P429" i="24"/>
  <c r="Q424" i="24"/>
  <c r="P424" i="24"/>
  <c r="R424" i="24"/>
  <c r="P433" i="24"/>
  <c r="R433" i="24"/>
  <c r="Q433" i="24"/>
  <c r="Q442" i="24"/>
  <c r="P442" i="24"/>
  <c r="R442" i="24"/>
  <c r="P458" i="24"/>
  <c r="Q458" i="24"/>
  <c r="R458" i="24"/>
  <c r="P457" i="24"/>
  <c r="Q457" i="24"/>
  <c r="R457" i="24"/>
  <c r="R464" i="24"/>
  <c r="Q464" i="24"/>
  <c r="P464" i="24"/>
  <c r="Q447" i="24"/>
  <c r="R447" i="24"/>
  <c r="P447" i="24"/>
  <c r="P449" i="24"/>
  <c r="Q449" i="24"/>
  <c r="R449" i="24"/>
  <c r="P438" i="24"/>
  <c r="R438" i="24"/>
  <c r="Q438" i="24"/>
  <c r="Q473" i="24"/>
  <c r="P473" i="24"/>
  <c r="R473" i="24"/>
  <c r="Q474" i="24"/>
  <c r="P474" i="24"/>
  <c r="R474" i="24"/>
  <c r="Q471" i="24"/>
  <c r="P471" i="24"/>
  <c r="R471" i="24"/>
  <c r="R475" i="24"/>
  <c r="P475" i="24"/>
  <c r="Q475" i="24"/>
  <c r="R482" i="24"/>
  <c r="P482" i="24"/>
  <c r="Q482" i="24"/>
  <c r="Q491" i="24"/>
  <c r="R491" i="24"/>
  <c r="P491" i="24"/>
  <c r="P493" i="24"/>
  <c r="Q493" i="24"/>
  <c r="R493" i="24"/>
  <c r="P494" i="24"/>
  <c r="Q494" i="24"/>
  <c r="R494" i="24"/>
  <c r="R500" i="24"/>
  <c r="P500" i="24"/>
  <c r="Q500" i="24"/>
  <c r="R503" i="24"/>
  <c r="P503" i="24"/>
  <c r="Q503" i="24"/>
  <c r="P508" i="24"/>
  <c r="Q508" i="24"/>
  <c r="R508" i="24"/>
  <c r="Q517" i="24"/>
  <c r="P517" i="24"/>
  <c r="R517" i="24"/>
  <c r="R513" i="24"/>
  <c r="P513" i="24"/>
  <c r="Q513" i="24"/>
  <c r="P515" i="24"/>
  <c r="Q515" i="24"/>
  <c r="R515" i="24"/>
  <c r="P514" i="24"/>
  <c r="R514" i="24"/>
  <c r="Q514" i="24"/>
  <c r="Q537" i="24"/>
  <c r="R537" i="24"/>
  <c r="P537" i="24"/>
  <c r="R535" i="24"/>
  <c r="Q535" i="24"/>
  <c r="P535" i="24"/>
  <c r="R532" i="24"/>
  <c r="Q532" i="24"/>
  <c r="P532" i="24"/>
  <c r="R539" i="24"/>
  <c r="Q539" i="24"/>
  <c r="P539" i="24"/>
  <c r="R540" i="24"/>
  <c r="Q540" i="24"/>
  <c r="P540" i="24"/>
  <c r="P525" i="24"/>
  <c r="R525" i="24"/>
  <c r="Q525" i="24"/>
  <c r="R550" i="24"/>
  <c r="Q550" i="24"/>
  <c r="P550" i="24"/>
  <c r="P573" i="24"/>
  <c r="Q573" i="24"/>
  <c r="R573" i="24"/>
  <c r="R566" i="24"/>
  <c r="P566" i="24"/>
  <c r="Q566" i="24"/>
  <c r="Q564" i="24"/>
  <c r="R564" i="24"/>
  <c r="P564" i="24"/>
  <c r="R571" i="24"/>
  <c r="Q571" i="24"/>
  <c r="P571" i="24"/>
  <c r="R562" i="24"/>
  <c r="Q562" i="24"/>
  <c r="P562" i="24"/>
  <c r="Q580" i="24"/>
  <c r="R580" i="24"/>
  <c r="P580" i="24"/>
  <c r="Q587" i="24"/>
  <c r="R587" i="24"/>
  <c r="P587" i="24"/>
  <c r="Q582" i="24"/>
  <c r="R582" i="24"/>
  <c r="P582" i="24"/>
  <c r="R591" i="24"/>
  <c r="Q591" i="24"/>
  <c r="P591" i="24"/>
  <c r="Q615" i="24"/>
  <c r="P615" i="24"/>
  <c r="R615" i="24"/>
  <c r="R598" i="24"/>
  <c r="P598" i="24"/>
  <c r="Q598" i="24"/>
  <c r="Q620" i="24"/>
  <c r="R620" i="24"/>
  <c r="P620" i="24"/>
  <c r="R605" i="24"/>
  <c r="Q605" i="24"/>
  <c r="P605" i="24"/>
  <c r="R611" i="24"/>
  <c r="P611" i="24"/>
  <c r="Q611" i="24"/>
  <c r="Q616" i="24"/>
  <c r="R616" i="24"/>
  <c r="P616" i="24"/>
  <c r="R33" i="24"/>
  <c r="Q33" i="24"/>
  <c r="P33" i="24"/>
  <c r="R29" i="24"/>
  <c r="P29" i="24"/>
  <c r="Q29" i="24"/>
  <c r="P10" i="24"/>
  <c r="Q10" i="24"/>
  <c r="R10" i="24"/>
  <c r="Q32" i="24"/>
  <c r="R32" i="24"/>
  <c r="P32" i="24"/>
  <c r="P23" i="24"/>
  <c r="Q23" i="24"/>
  <c r="R23" i="24"/>
  <c r="Q22" i="24"/>
  <c r="R22" i="24"/>
  <c r="P22" i="24"/>
  <c r="Q21" i="24"/>
  <c r="R21" i="24"/>
  <c r="P21" i="24"/>
  <c r="P52" i="24"/>
  <c r="Q52" i="24"/>
  <c r="R52" i="24"/>
  <c r="P51" i="24"/>
  <c r="R51" i="24"/>
  <c r="Q51" i="24"/>
  <c r="R35" i="24"/>
  <c r="P35" i="24"/>
  <c r="Q35" i="24"/>
  <c r="Q34" i="24"/>
  <c r="R34" i="24"/>
  <c r="P34" i="24"/>
  <c r="P42" i="24"/>
  <c r="R42" i="24"/>
  <c r="Q42" i="24"/>
  <c r="Q68" i="24"/>
  <c r="P68" i="24"/>
  <c r="R68" i="24"/>
  <c r="R60" i="24"/>
  <c r="P60" i="24"/>
  <c r="Q60" i="24"/>
  <c r="Q54" i="24"/>
  <c r="P54" i="24"/>
  <c r="R54" i="24"/>
  <c r="R59" i="24"/>
  <c r="Q59" i="24"/>
  <c r="P59" i="24"/>
  <c r="R56" i="24"/>
  <c r="Q56" i="24"/>
  <c r="P56" i="24"/>
  <c r="Q78" i="24"/>
  <c r="R78" i="24"/>
  <c r="P78" i="24"/>
  <c r="Q72" i="24"/>
  <c r="R72" i="24"/>
  <c r="P72" i="24"/>
  <c r="P85" i="24"/>
  <c r="Q85" i="24"/>
  <c r="R85" i="24"/>
  <c r="Q82" i="24"/>
  <c r="P82" i="24"/>
  <c r="R82" i="24"/>
  <c r="R100" i="24"/>
  <c r="P100" i="24"/>
  <c r="Q100" i="24"/>
  <c r="R106" i="24"/>
  <c r="Q106" i="24"/>
  <c r="P106" i="24"/>
  <c r="P104" i="24"/>
  <c r="Q104" i="24"/>
  <c r="R104" i="24"/>
  <c r="Q97" i="24"/>
  <c r="P97" i="24"/>
  <c r="R97" i="24"/>
  <c r="P96" i="24"/>
  <c r="R96" i="24"/>
  <c r="Q96" i="24"/>
  <c r="R120" i="24"/>
  <c r="P120" i="24"/>
  <c r="Q120" i="24"/>
  <c r="R118" i="24"/>
  <c r="P118" i="24"/>
  <c r="Q118" i="24"/>
  <c r="R110" i="24"/>
  <c r="Q110" i="24"/>
  <c r="P110" i="24"/>
  <c r="Q124" i="24"/>
  <c r="P124" i="24"/>
  <c r="R124" i="24"/>
  <c r="Q122" i="24"/>
  <c r="P122" i="24"/>
  <c r="R122" i="24"/>
  <c r="R130" i="24"/>
  <c r="P130" i="24"/>
  <c r="Q130" i="24"/>
  <c r="R129" i="24"/>
  <c r="Q129" i="24"/>
  <c r="P129" i="24"/>
  <c r="Q132" i="24"/>
  <c r="R132" i="24"/>
  <c r="P132" i="24"/>
  <c r="Q139" i="24"/>
  <c r="P139" i="24"/>
  <c r="R139" i="24"/>
  <c r="P131" i="24"/>
  <c r="Q131" i="24"/>
  <c r="R131" i="24"/>
  <c r="P162" i="24"/>
  <c r="Q162" i="24"/>
  <c r="R162" i="24"/>
  <c r="P149" i="24"/>
  <c r="R149" i="24"/>
  <c r="Q149" i="24"/>
  <c r="P159" i="24"/>
  <c r="Q159" i="24"/>
  <c r="R159" i="24"/>
  <c r="P161" i="24"/>
  <c r="R161" i="24"/>
  <c r="Q161" i="24"/>
  <c r="P172" i="24"/>
  <c r="R172" i="24"/>
  <c r="Q172" i="24"/>
  <c r="R187" i="24"/>
  <c r="Q187" i="24"/>
  <c r="P187" i="24"/>
  <c r="R180" i="24"/>
  <c r="P180" i="24"/>
  <c r="Q180" i="24"/>
  <c r="Q168" i="24"/>
  <c r="R168" i="24"/>
  <c r="P168" i="24"/>
  <c r="R179" i="24"/>
  <c r="P179" i="24"/>
  <c r="Q179" i="24"/>
  <c r="P186" i="24"/>
  <c r="Q186" i="24"/>
  <c r="R186" i="24"/>
  <c r="Q167" i="24"/>
  <c r="R167" i="24"/>
  <c r="P167" i="24"/>
  <c r="R194" i="24"/>
  <c r="Q194" i="24"/>
  <c r="P194" i="24"/>
  <c r="P224" i="24"/>
  <c r="R224" i="24"/>
  <c r="Q224" i="24"/>
  <c r="P223" i="24"/>
  <c r="R223" i="24"/>
  <c r="Q223" i="24"/>
  <c r="R214" i="24"/>
  <c r="P214" i="24"/>
  <c r="Q214" i="24"/>
  <c r="Q201" i="24"/>
  <c r="P201" i="24"/>
  <c r="R201" i="24"/>
  <c r="P205" i="24"/>
  <c r="Q205" i="24"/>
  <c r="R205" i="24"/>
  <c r="P198" i="24"/>
  <c r="R198" i="24"/>
  <c r="Q198" i="24"/>
  <c r="P215" i="24"/>
  <c r="R215" i="24"/>
  <c r="Q215" i="24"/>
  <c r="Q200" i="24"/>
  <c r="R200" i="24"/>
  <c r="P200" i="24"/>
  <c r="P230" i="24"/>
  <c r="R230" i="24"/>
  <c r="Q230" i="24"/>
  <c r="Q248" i="24"/>
  <c r="P248" i="24"/>
  <c r="R248" i="24"/>
  <c r="R257" i="24"/>
  <c r="Q257" i="24"/>
  <c r="P257" i="24"/>
  <c r="R245" i="24"/>
  <c r="Q245" i="24"/>
  <c r="P245" i="24"/>
  <c r="R241" i="24"/>
  <c r="P241" i="24"/>
  <c r="Q241" i="24"/>
  <c r="R250" i="24"/>
  <c r="P250" i="24"/>
  <c r="Q250" i="24"/>
  <c r="P243" i="24"/>
  <c r="Q243" i="24"/>
  <c r="R243" i="24"/>
  <c r="P232" i="24"/>
  <c r="Q232" i="24"/>
  <c r="R232" i="24"/>
  <c r="Q265" i="24"/>
  <c r="R265" i="24"/>
  <c r="P265" i="24"/>
  <c r="P274" i="24"/>
  <c r="Q274" i="24"/>
  <c r="R274" i="24"/>
  <c r="R262" i="24"/>
  <c r="Q262" i="24"/>
  <c r="P262" i="24"/>
  <c r="R260" i="24"/>
  <c r="P260" i="24"/>
  <c r="Q260" i="24"/>
  <c r="R281" i="24"/>
  <c r="Q281" i="24"/>
  <c r="P281" i="24"/>
  <c r="P290" i="24"/>
  <c r="R290" i="24"/>
  <c r="Q290" i="24"/>
  <c r="P291" i="24"/>
  <c r="Q291" i="24"/>
  <c r="R291" i="24"/>
  <c r="R288" i="24"/>
  <c r="Q288" i="24"/>
  <c r="P288" i="24"/>
  <c r="R295" i="24"/>
  <c r="Q295" i="24"/>
  <c r="P295" i="24"/>
  <c r="R315" i="24"/>
  <c r="Q315" i="24"/>
  <c r="P315" i="24"/>
  <c r="Q297" i="24"/>
  <c r="R297" i="24"/>
  <c r="P297" i="24"/>
  <c r="P299" i="24"/>
  <c r="R299" i="24"/>
  <c r="Q299" i="24"/>
  <c r="Q319" i="24"/>
  <c r="R319" i="24"/>
  <c r="P319" i="24"/>
  <c r="P317" i="24"/>
  <c r="R317" i="24"/>
  <c r="Q317" i="24"/>
  <c r="P306" i="24"/>
  <c r="R306" i="24"/>
  <c r="Q306" i="24"/>
  <c r="P322" i="24"/>
  <c r="Q322" i="24"/>
  <c r="R322" i="24"/>
  <c r="Q334" i="24"/>
  <c r="R334" i="24"/>
  <c r="P334" i="24"/>
  <c r="Q338" i="24"/>
  <c r="R338" i="24"/>
  <c r="P338" i="24"/>
  <c r="R328" i="24"/>
  <c r="Q328" i="24"/>
  <c r="P328" i="24"/>
  <c r="R333" i="24"/>
  <c r="Q333" i="24"/>
  <c r="P333" i="24"/>
  <c r="R339" i="24"/>
  <c r="Q339" i="24"/>
  <c r="P339" i="24"/>
  <c r="R361" i="24"/>
  <c r="Q361" i="24"/>
  <c r="P361" i="24"/>
  <c r="Q353" i="24"/>
  <c r="P353" i="24"/>
  <c r="R353" i="24"/>
  <c r="R341" i="24"/>
  <c r="Q341" i="24"/>
  <c r="P341" i="24"/>
  <c r="R363" i="24"/>
  <c r="Q363" i="24"/>
  <c r="P363" i="24"/>
  <c r="Q342" i="24"/>
  <c r="P342" i="24"/>
  <c r="R342" i="24"/>
  <c r="Q371" i="24"/>
  <c r="R371" i="24"/>
  <c r="P371" i="24"/>
  <c r="R376" i="24"/>
  <c r="Q376" i="24"/>
  <c r="P376" i="24"/>
  <c r="P367" i="24"/>
  <c r="Q367" i="24"/>
  <c r="R367" i="24"/>
  <c r="R369" i="24"/>
  <c r="P369" i="24"/>
  <c r="Q369" i="24"/>
  <c r="P399" i="24"/>
  <c r="R399" i="24"/>
  <c r="Q399" i="24"/>
  <c r="R382" i="24"/>
  <c r="P382" i="24"/>
  <c r="Q382" i="24"/>
  <c r="Q400" i="24"/>
  <c r="P400" i="24"/>
  <c r="R400" i="24"/>
  <c r="P385" i="24"/>
  <c r="R385" i="24"/>
  <c r="Q385" i="24"/>
  <c r="Q402" i="24"/>
  <c r="R402" i="24"/>
  <c r="P402" i="24"/>
  <c r="Q388" i="24"/>
  <c r="P388" i="24"/>
  <c r="R388" i="24"/>
  <c r="Q417" i="24"/>
  <c r="P417" i="24"/>
  <c r="R417" i="24"/>
  <c r="Q408" i="24"/>
  <c r="R408" i="24"/>
  <c r="P408" i="24"/>
  <c r="Q411" i="24"/>
  <c r="R411" i="24"/>
  <c r="P411" i="24"/>
  <c r="P418" i="24"/>
  <c r="R418" i="24"/>
  <c r="Q418" i="24"/>
  <c r="Q421" i="24"/>
  <c r="R421" i="24"/>
  <c r="P421" i="24"/>
  <c r="P427" i="24"/>
  <c r="Q427" i="24"/>
  <c r="R427" i="24"/>
  <c r="P435" i="24"/>
  <c r="Q435" i="24"/>
  <c r="R435" i="24"/>
  <c r="R432" i="24"/>
  <c r="Q432" i="24"/>
  <c r="P432" i="24"/>
  <c r="Q437" i="24"/>
  <c r="P437" i="24"/>
  <c r="R437" i="24"/>
  <c r="P451" i="24"/>
  <c r="Q451" i="24"/>
  <c r="R451" i="24"/>
  <c r="P452" i="24"/>
  <c r="R452" i="24"/>
  <c r="Q452" i="24"/>
  <c r="R444" i="24"/>
  <c r="Q444" i="24"/>
  <c r="P444" i="24"/>
  <c r="P463" i="24"/>
  <c r="Q463" i="24"/>
  <c r="R463" i="24"/>
  <c r="Q443" i="24"/>
  <c r="P443" i="24"/>
  <c r="R443" i="24"/>
  <c r="P441" i="24"/>
  <c r="Q441" i="24"/>
  <c r="R441" i="24"/>
  <c r="P484" i="24"/>
  <c r="Q484" i="24"/>
  <c r="R484" i="24"/>
  <c r="Q465" i="24"/>
  <c r="R465" i="24"/>
  <c r="P465" i="24"/>
  <c r="Q466" i="24"/>
  <c r="P466" i="24"/>
  <c r="R466" i="24"/>
  <c r="Q480" i="24"/>
  <c r="R480" i="24"/>
  <c r="P480" i="24"/>
  <c r="R476" i="24"/>
  <c r="Q476" i="24"/>
  <c r="P476" i="24"/>
  <c r="Q478" i="24"/>
  <c r="R478" i="24"/>
  <c r="P478" i="24"/>
  <c r="R492" i="24"/>
  <c r="Q492" i="24"/>
  <c r="P492" i="24"/>
  <c r="Q488" i="24"/>
  <c r="R488" i="24"/>
  <c r="P488" i="24"/>
  <c r="R498" i="24"/>
  <c r="P498" i="24"/>
  <c r="Q498" i="24"/>
  <c r="P505" i="24"/>
  <c r="Q505" i="24"/>
  <c r="R505" i="24"/>
  <c r="R504" i="24"/>
  <c r="Q504" i="24"/>
  <c r="P504" i="24"/>
  <c r="P519" i="24"/>
  <c r="Q519" i="24"/>
  <c r="R519" i="24"/>
  <c r="Q518" i="24"/>
  <c r="P518" i="24"/>
  <c r="R518" i="24"/>
  <c r="Q521" i="24"/>
  <c r="R521" i="24"/>
  <c r="P521" i="24"/>
  <c r="Q524" i="24"/>
  <c r="P524" i="24"/>
  <c r="R524" i="24"/>
  <c r="R541" i="24"/>
  <c r="P541" i="24"/>
  <c r="Q541" i="24"/>
  <c r="R534" i="24"/>
  <c r="P534" i="24"/>
  <c r="Q534" i="24"/>
  <c r="R542" i="24"/>
  <c r="P542" i="24"/>
  <c r="Q542" i="24"/>
  <c r="P528" i="24"/>
  <c r="Q528" i="24"/>
  <c r="R528" i="24"/>
  <c r="Q547" i="24"/>
  <c r="P547" i="24"/>
  <c r="R547" i="24"/>
  <c r="R526" i="24"/>
  <c r="Q526" i="24"/>
  <c r="P526" i="24"/>
  <c r="Q551" i="24"/>
  <c r="P551" i="24"/>
  <c r="R551" i="24"/>
  <c r="P533" i="24"/>
  <c r="Q533" i="24"/>
  <c r="R533" i="24"/>
  <c r="Q561" i="24"/>
  <c r="P561" i="24"/>
  <c r="R561" i="24"/>
  <c r="Q570" i="24"/>
  <c r="R570" i="24"/>
  <c r="P570" i="24"/>
  <c r="R574" i="24"/>
  <c r="Q574" i="24"/>
  <c r="P574" i="24"/>
  <c r="P567" i="24"/>
  <c r="R567" i="24"/>
  <c r="Q567" i="24"/>
  <c r="P558" i="24"/>
  <c r="Q558" i="24"/>
  <c r="R558" i="24"/>
  <c r="P579" i="24"/>
  <c r="Q579" i="24"/>
  <c r="R579" i="24"/>
  <c r="P584" i="24"/>
  <c r="R584" i="24"/>
  <c r="Q584" i="24"/>
  <c r="R576" i="24"/>
  <c r="Q576" i="24"/>
  <c r="P576" i="24"/>
  <c r="Q590" i="24"/>
  <c r="R590" i="24"/>
  <c r="P590" i="24"/>
  <c r="Q594" i="24"/>
  <c r="R594" i="24"/>
  <c r="P594" i="24"/>
  <c r="P608" i="24"/>
  <c r="Q608" i="24"/>
  <c r="R608" i="24"/>
  <c r="Q619" i="24"/>
  <c r="R619" i="24"/>
  <c r="P619" i="24"/>
  <c r="Q597" i="24"/>
  <c r="R597" i="24"/>
  <c r="P597" i="24"/>
  <c r="R614" i="24"/>
  <c r="Q614" i="24"/>
  <c r="P614" i="24"/>
  <c r="P595" i="24"/>
  <c r="Q595" i="24"/>
  <c r="R595" i="24"/>
  <c r="R612" i="24"/>
  <c r="P612" i="24"/>
  <c r="Q612" i="24"/>
  <c r="R632" i="24"/>
  <c r="Q632" i="24"/>
  <c r="P632" i="24"/>
  <c r="Q633" i="24"/>
  <c r="P633" i="24"/>
  <c r="R633" i="24"/>
  <c r="R630" i="24"/>
  <c r="Q630" i="24"/>
  <c r="P630" i="24"/>
  <c r="Q634" i="24"/>
  <c r="R634" i="24"/>
  <c r="P634" i="24"/>
  <c r="R640" i="24"/>
  <c r="Q640" i="24"/>
  <c r="P640" i="24"/>
  <c r="Q637" i="24"/>
  <c r="P637" i="24"/>
  <c r="R637" i="24"/>
  <c r="R638" i="24"/>
  <c r="P638" i="24"/>
  <c r="Q638" i="24"/>
  <c r="P646" i="24"/>
  <c r="Q646" i="24"/>
  <c r="R646" i="24"/>
  <c r="P663" i="24"/>
  <c r="Q663" i="24"/>
  <c r="R663" i="24"/>
  <c r="Q658" i="24"/>
  <c r="P658" i="24"/>
  <c r="R658" i="24"/>
  <c r="R656" i="24"/>
  <c r="Q656" i="24"/>
  <c r="P656" i="24"/>
  <c r="R674" i="24"/>
  <c r="P674" i="24"/>
  <c r="Q674" i="24"/>
  <c r="R667" i="24"/>
  <c r="P667" i="24"/>
  <c r="Q667" i="24"/>
  <c r="R669" i="24"/>
  <c r="Q669" i="24"/>
  <c r="P669" i="24"/>
  <c r="P678" i="24"/>
  <c r="R678" i="24"/>
  <c r="Q678" i="24"/>
  <c r="P683" i="24"/>
  <c r="Q683" i="24"/>
  <c r="R683" i="24"/>
  <c r="R686" i="24"/>
  <c r="Q686" i="24"/>
  <c r="P686" i="24"/>
  <c r="Q689" i="24"/>
  <c r="P689" i="24"/>
  <c r="R689" i="24"/>
  <c r="P1629" i="24"/>
  <c r="P1606" i="24" s="1"/>
  <c r="Q1623" i="24" s="1"/>
  <c r="Q1603" i="24" s="1"/>
  <c r="P1602" i="24" s="1"/>
  <c r="Q1592" i="24" s="1"/>
  <c r="P1569" i="24" s="1"/>
  <c r="P1568" i="24" s="1"/>
  <c r="R1577" i="24" s="1"/>
  <c r="R1553" i="24" s="1"/>
  <c r="P1549" i="24" s="1"/>
  <c r="Q1559" i="24" s="1"/>
  <c r="P1509" i="24" s="1"/>
  <c r="P1527" i="24" s="1"/>
  <c r="P1531" i="24" s="1"/>
  <c r="P1530" i="24" s="1"/>
  <c r="P1496" i="24" s="1"/>
  <c r="P1498" i="24" s="1"/>
  <c r="Q1487" i="24" s="1"/>
  <c r="P1492" i="24" s="1"/>
  <c r="R1467" i="24" s="1"/>
  <c r="Q1452" i="24" s="1"/>
  <c r="P1446" i="24" s="1"/>
  <c r="P1451" i="24" s="1"/>
  <c r="P1434" i="24" s="1"/>
  <c r="P1439" i="24" s="1"/>
  <c r="R1444" i="24" s="1"/>
  <c r="Q1431" i="24" s="1"/>
  <c r="P1441" i="24" s="1"/>
  <c r="P1415" i="24" s="1"/>
  <c r="Q1410" i="24" s="1"/>
  <c r="R1407" i="24" s="1"/>
  <c r="R1413" i="24" s="1"/>
  <c r="Q1405" i="24" s="1"/>
  <c r="Q1402" i="24" s="1"/>
  <c r="Q1381" i="24" s="1"/>
  <c r="P1382" i="24" s="1"/>
  <c r="P1396" i="24" s="1"/>
  <c r="P1377" i="24" s="1"/>
  <c r="P1387" i="24" s="1"/>
  <c r="P1386" i="24" s="1"/>
  <c r="Q1358" i="24" s="1"/>
  <c r="Q1363" i="24" s="1"/>
  <c r="R1370" i="24" s="1"/>
  <c r="P1373" i="24" s="1"/>
  <c r="R1351" i="24" s="1"/>
  <c r="Q1369" i="24" s="1"/>
  <c r="Q1348" i="24" s="1"/>
  <c r="P1344" i="24" s="1"/>
  <c r="R1345" i="24" s="1"/>
  <c r="R1335" i="24" s="1"/>
  <c r="Q1332" i="24" s="1"/>
  <c r="P1322" i="24" s="1"/>
  <c r="Q1326" i="24" s="1"/>
  <c r="R1328" i="24" s="1"/>
  <c r="Q1309" i="24" s="1"/>
  <c r="Q1316" i="24" s="1"/>
  <c r="R1310" i="24" s="1"/>
  <c r="Q687" i="24"/>
  <c r="P687" i="24"/>
  <c r="R687" i="24"/>
  <c r="R685" i="24"/>
  <c r="Q685" i="24"/>
  <c r="P685" i="24"/>
  <c r="Q690" i="24"/>
  <c r="R690" i="24"/>
  <c r="P690" i="24"/>
  <c r="R701" i="24"/>
  <c r="P701" i="24"/>
  <c r="Q701" i="24"/>
  <c r="R691" i="24"/>
  <c r="Q691" i="24"/>
  <c r="P691" i="24"/>
  <c r="P700" i="24"/>
  <c r="Q700" i="24"/>
  <c r="R700" i="24"/>
  <c r="R722" i="24"/>
  <c r="P722" i="24"/>
  <c r="Q722" i="24"/>
  <c r="R720" i="24"/>
  <c r="Q720" i="24"/>
  <c r="P720" i="24"/>
  <c r="R710" i="24"/>
  <c r="P710" i="24"/>
  <c r="Q710" i="24"/>
  <c r="R721" i="24"/>
  <c r="P721" i="24"/>
  <c r="Q721" i="24"/>
  <c r="Q709" i="24"/>
  <c r="P709" i="24"/>
  <c r="R709" i="24"/>
  <c r="Q713" i="24"/>
  <c r="P713" i="24"/>
  <c r="R713" i="24"/>
  <c r="R745" i="24"/>
  <c r="P745" i="24"/>
  <c r="Q745" i="24"/>
  <c r="P732" i="24"/>
  <c r="Q732" i="24"/>
  <c r="R732" i="24"/>
  <c r="P733" i="24"/>
  <c r="Q733" i="24"/>
  <c r="R733" i="24"/>
  <c r="R735" i="24"/>
  <c r="P735" i="24"/>
  <c r="Q735" i="24"/>
  <c r="Q739" i="24"/>
  <c r="P739" i="24"/>
  <c r="R739" i="24"/>
  <c r="R751" i="24"/>
  <c r="Q751" i="24"/>
  <c r="P751" i="24"/>
  <c r="Q758" i="24"/>
  <c r="P758" i="24"/>
  <c r="R758" i="24"/>
  <c r="R764" i="24"/>
  <c r="Q764" i="24"/>
  <c r="P764" i="24"/>
  <c r="P762" i="24"/>
  <c r="Q762" i="24"/>
  <c r="R762" i="24"/>
  <c r="Q770" i="24"/>
  <c r="P770" i="24"/>
  <c r="R770" i="24"/>
  <c r="P769" i="24"/>
  <c r="R769" i="24"/>
  <c r="Q769" i="24"/>
  <c r="P778" i="24"/>
  <c r="Q778" i="24"/>
  <c r="R778" i="24"/>
  <c r="Q795" i="24"/>
  <c r="P795" i="24"/>
  <c r="R795" i="24"/>
  <c r="R792" i="24"/>
  <c r="P792" i="24"/>
  <c r="Q792" i="24"/>
  <c r="R802" i="24"/>
  <c r="P802" i="24"/>
  <c r="Q802" i="24"/>
  <c r="P779" i="24"/>
  <c r="R779" i="24"/>
  <c r="Q779" i="24"/>
  <c r="R783" i="24"/>
  <c r="P783" i="24"/>
  <c r="Q783" i="24"/>
  <c r="P798" i="24"/>
  <c r="R798" i="24"/>
  <c r="Q798" i="24"/>
  <c r="P800" i="24"/>
  <c r="Q800" i="24"/>
  <c r="R800" i="24"/>
  <c r="P813" i="24"/>
  <c r="Q813" i="24"/>
  <c r="R813" i="24"/>
  <c r="Q818" i="24"/>
  <c r="P818" i="24"/>
  <c r="R818" i="24"/>
  <c r="Q806" i="24"/>
  <c r="P806" i="24"/>
  <c r="R806" i="24"/>
  <c r="P823" i="24"/>
  <c r="R823" i="24"/>
  <c r="Q823" i="24"/>
  <c r="R829" i="24"/>
  <c r="Q829" i="24"/>
  <c r="P829" i="24"/>
  <c r="Q827" i="24"/>
  <c r="P827" i="24"/>
  <c r="R827" i="24"/>
  <c r="Q825" i="24"/>
  <c r="R825" i="24"/>
  <c r="P825" i="24"/>
  <c r="R826" i="24"/>
  <c r="Q826" i="24"/>
  <c r="P826" i="24"/>
  <c r="P847" i="24"/>
  <c r="R847" i="24"/>
  <c r="Q847" i="24"/>
  <c r="Q849" i="24"/>
  <c r="R849" i="24"/>
  <c r="P849" i="24"/>
  <c r="P842" i="24"/>
  <c r="Q842" i="24"/>
  <c r="R842" i="24"/>
  <c r="R850" i="24"/>
  <c r="P850" i="24"/>
  <c r="Q850" i="24"/>
  <c r="P855" i="24"/>
  <c r="R855" i="24"/>
  <c r="Q855" i="24"/>
  <c r="Q856" i="24"/>
  <c r="R856" i="24"/>
  <c r="P856" i="24"/>
  <c r="P860" i="24"/>
  <c r="R860" i="24"/>
  <c r="Q860" i="24"/>
  <c r="P869" i="24"/>
  <c r="Q869" i="24"/>
  <c r="R869" i="24"/>
  <c r="R875" i="24"/>
  <c r="Q875" i="24"/>
  <c r="P875" i="24"/>
  <c r="P867" i="24"/>
  <c r="Q867" i="24"/>
  <c r="R867" i="24"/>
  <c r="P886" i="24"/>
  <c r="R886" i="24"/>
  <c r="Q886" i="24"/>
  <c r="R890" i="24"/>
  <c r="P890" i="24"/>
  <c r="Q890" i="24"/>
  <c r="P898" i="24"/>
  <c r="R898" i="24"/>
  <c r="Q898" i="24"/>
  <c r="Q894" i="24"/>
  <c r="R894" i="24"/>
  <c r="P894" i="24"/>
  <c r="R883" i="24"/>
  <c r="P883" i="24"/>
  <c r="Q883" i="24"/>
  <c r="R880" i="24"/>
  <c r="Q880" i="24"/>
  <c r="P880" i="24"/>
  <c r="P908" i="24"/>
  <c r="R908" i="24"/>
  <c r="Q908" i="24"/>
  <c r="Q904" i="24"/>
  <c r="P904" i="24"/>
  <c r="R904" i="24"/>
  <c r="R913" i="24"/>
  <c r="Q913" i="24"/>
  <c r="P913" i="24"/>
  <c r="P938" i="24"/>
  <c r="R938" i="24"/>
  <c r="Q938" i="24"/>
  <c r="P928" i="24"/>
  <c r="Q928" i="24"/>
  <c r="R928" i="24"/>
  <c r="R941" i="24"/>
  <c r="P941" i="24"/>
  <c r="Q941" i="24"/>
  <c r="R921" i="24"/>
  <c r="Q921" i="24"/>
  <c r="P921" i="24"/>
  <c r="P943" i="24"/>
  <c r="R943" i="24"/>
  <c r="Q943" i="24"/>
  <c r="R944" i="24"/>
  <c r="Q944" i="24"/>
  <c r="P944" i="24"/>
  <c r="R930" i="24"/>
  <c r="Q930" i="24"/>
  <c r="P930" i="24"/>
  <c r="R924" i="24"/>
  <c r="Q924" i="24"/>
  <c r="P924" i="24"/>
  <c r="P949" i="24"/>
  <c r="R949" i="24"/>
  <c r="Q949" i="24"/>
  <c r="P953" i="24"/>
  <c r="Q953" i="24"/>
  <c r="R953" i="24"/>
  <c r="P963" i="24"/>
  <c r="Q963" i="24"/>
  <c r="R963" i="24"/>
  <c r="P962" i="24"/>
  <c r="Q962" i="24"/>
  <c r="R962" i="24"/>
  <c r="P964" i="24"/>
  <c r="R964" i="24"/>
  <c r="Q964" i="24"/>
  <c r="R965" i="24"/>
  <c r="P965" i="24"/>
  <c r="Q965" i="24"/>
  <c r="P977" i="24"/>
  <c r="R977" i="24"/>
  <c r="Q977" i="24"/>
  <c r="Q970" i="24"/>
  <c r="P970" i="24"/>
  <c r="R970" i="24"/>
  <c r="Q986" i="24"/>
  <c r="R986" i="24"/>
  <c r="P986" i="24"/>
  <c r="P999" i="24"/>
  <c r="R999" i="24"/>
  <c r="Q999" i="24"/>
  <c r="R997" i="24"/>
  <c r="P997" i="24"/>
  <c r="Q997" i="24"/>
  <c r="P990" i="24"/>
  <c r="R990" i="24"/>
  <c r="Q990" i="24"/>
  <c r="R993" i="24"/>
  <c r="Q993" i="24"/>
  <c r="T1552" i="24"/>
  <c r="T1544" i="24" s="1"/>
  <c r="T2023" i="24"/>
  <c r="T2024" i="24"/>
  <c r="T2021" i="24"/>
  <c r="P2011" i="24"/>
  <c r="R2005" i="24"/>
  <c r="Q1996" i="24"/>
  <c r="P1997" i="24"/>
  <c r="R2001" i="24"/>
  <c r="Q2012" i="24"/>
  <c r="P2007" i="24"/>
  <c r="R1999" i="24"/>
  <c r="Q2008" i="24"/>
  <c r="P2002" i="24"/>
  <c r="R2009" i="24"/>
  <c r="Q2013" i="24"/>
  <c r="P2010" i="24"/>
  <c r="R1990" i="24"/>
  <c r="Q1994" i="24"/>
  <c r="P1993" i="24"/>
  <c r="R1992" i="24"/>
  <c r="Q1995" i="24"/>
  <c r="P1989" i="24"/>
  <c r="P1952" i="24"/>
  <c r="P1967" i="24"/>
  <c r="Q1964" i="24"/>
  <c r="P1929" i="24"/>
  <c r="R1936" i="24"/>
  <c r="P1985" i="24"/>
  <c r="R1898" i="24"/>
  <c r="P1917" i="24"/>
  <c r="R1856" i="24"/>
  <c r="Q1874" i="24"/>
  <c r="R1851" i="24"/>
  <c r="Q1833" i="24"/>
  <c r="R1645" i="24"/>
  <c r="R1638" i="24"/>
  <c r="Q1147" i="24"/>
  <c r="P1107" i="24"/>
  <c r="P1071" i="24"/>
  <c r="Q1051" i="24"/>
  <c r="Q1037" i="24"/>
  <c r="R983" i="24"/>
  <c r="P995" i="24"/>
  <c r="P998" i="24"/>
  <c r="R982" i="24"/>
  <c r="P915" i="24"/>
  <c r="Q892" i="24"/>
  <c r="P899" i="24"/>
  <c r="R887" i="24"/>
  <c r="Q891" i="24"/>
  <c r="Q879" i="24"/>
  <c r="Q866" i="24"/>
  <c r="R861" i="24"/>
  <c r="R854" i="24"/>
  <c r="P852" i="24"/>
  <c r="P840" i="24"/>
  <c r="Q821" i="24"/>
  <c r="Q833" i="24"/>
  <c r="R824" i="24"/>
  <c r="Q820" i="24"/>
  <c r="P814" i="24"/>
  <c r="P816" i="24"/>
  <c r="P817" i="24"/>
  <c r="P784" i="24"/>
  <c r="R780" i="24"/>
  <c r="R782" i="24"/>
  <c r="P774" i="24"/>
  <c r="P752" i="24"/>
  <c r="Q749" i="24"/>
  <c r="R753" i="24"/>
  <c r="R726" i="24"/>
  <c r="Q724" i="24"/>
  <c r="P702" i="24"/>
  <c r="Q1908" i="24"/>
  <c r="P1905" i="24"/>
  <c r="Q1885" i="24"/>
  <c r="Q1891" i="24"/>
  <c r="Q1913" i="24"/>
  <c r="P1869" i="24"/>
  <c r="Q1858" i="24"/>
  <c r="P1862" i="24"/>
  <c r="R1875" i="24"/>
  <c r="Q1871" i="24"/>
  <c r="Q1859" i="24"/>
  <c r="P1839" i="24"/>
  <c r="R1834" i="24"/>
  <c r="R1842" i="24"/>
  <c r="Q1816" i="24"/>
  <c r="Q1812" i="24"/>
  <c r="P1825" i="24"/>
  <c r="R1826" i="24"/>
  <c r="R1806" i="24"/>
  <c r="R1832" i="24"/>
  <c r="R1822" i="24"/>
  <c r="R1788" i="24"/>
  <c r="R1775" i="24"/>
  <c r="R1777" i="24"/>
  <c r="R1781" i="24"/>
  <c r="R1772" i="24"/>
  <c r="R1750" i="24"/>
  <c r="P1742" i="24"/>
  <c r="R1760" i="24"/>
  <c r="P1736" i="24"/>
  <c r="R1728" i="24"/>
  <c r="R1718" i="24"/>
  <c r="P1692" i="24"/>
  <c r="P1693" i="24"/>
  <c r="P1698" i="24"/>
  <c r="P1703" i="24"/>
  <c r="R1690" i="24"/>
  <c r="P1675" i="24"/>
  <c r="P1667" i="24"/>
  <c r="P1642" i="24"/>
  <c r="Q1655" i="24"/>
  <c r="Q1643" i="24"/>
  <c r="R1631" i="24"/>
  <c r="Q1619" i="24"/>
  <c r="R1596" i="24"/>
  <c r="R1610" i="24"/>
  <c r="R1607" i="24"/>
  <c r="P1587" i="24"/>
  <c r="P1582" i="24"/>
  <c r="Q1570" i="24"/>
  <c r="Q1566" i="24"/>
  <c r="P1539" i="24"/>
  <c r="P1543" i="24"/>
  <c r="Q1557" i="24"/>
  <c r="R1533" i="24"/>
  <c r="Q1506" i="24"/>
  <c r="P1521" i="24"/>
  <c r="P1529" i="24"/>
  <c r="P1497" i="24"/>
  <c r="P1503" i="24"/>
  <c r="R1479" i="24"/>
  <c r="Q1484" i="24"/>
  <c r="P1460" i="24"/>
  <c r="R1450" i="24"/>
  <c r="Q1437" i="24"/>
  <c r="P1424" i="24"/>
  <c r="Q1433" i="24"/>
  <c r="R1409" i="24"/>
  <c r="R1414" i="24"/>
  <c r="Q1411" i="24"/>
  <c r="P1394" i="24"/>
  <c r="R1388" i="24"/>
  <c r="Q1384" i="24"/>
  <c r="P1372" i="24"/>
  <c r="P1364" i="24"/>
  <c r="R1350" i="24"/>
  <c r="P1349" i="24"/>
  <c r="Q1336" i="24"/>
  <c r="Q1323" i="24"/>
  <c r="P1325" i="24"/>
  <c r="R1303" i="24"/>
  <c r="Q1313" i="24"/>
  <c r="Q1317" i="24"/>
  <c r="P1280" i="24"/>
  <c r="R1291" i="24"/>
  <c r="R1294" i="24"/>
  <c r="Q1259" i="24"/>
  <c r="R1271" i="24"/>
  <c r="Q1241" i="24"/>
  <c r="R1240" i="24"/>
  <c r="Q1243" i="24"/>
  <c r="P1239" i="24"/>
  <c r="P1207" i="24"/>
  <c r="Q1204" i="24"/>
  <c r="P1215" i="24"/>
  <c r="P1231" i="24"/>
  <c r="R1221" i="24"/>
  <c r="P1209" i="24"/>
  <c r="Q1219" i="24"/>
  <c r="R1182" i="24"/>
  <c r="R1191" i="24"/>
  <c r="Q1168" i="24"/>
  <c r="R1175" i="24"/>
  <c r="P1164" i="24"/>
  <c r="Q1178" i="24"/>
  <c r="R1149" i="24"/>
  <c r="R1161" i="24"/>
  <c r="P1127" i="24"/>
  <c r="Q1134" i="24"/>
  <c r="Q1143" i="24"/>
  <c r="P1144" i="24"/>
  <c r="R1136" i="24"/>
  <c r="P1162" i="24"/>
  <c r="R1119" i="24"/>
  <c r="P1106" i="24"/>
  <c r="Q1096" i="24"/>
  <c r="P1108" i="24"/>
  <c r="R1109" i="24"/>
  <c r="Q1091" i="24"/>
  <c r="P1081" i="24"/>
  <c r="P1070" i="24"/>
  <c r="Q1087" i="24"/>
  <c r="Q1084" i="24"/>
  <c r="R1057" i="24"/>
  <c r="P1045" i="24"/>
  <c r="P1050" i="24"/>
  <c r="P1047" i="24"/>
  <c r="Q1025" i="24"/>
  <c r="Q1029" i="24"/>
  <c r="P1004" i="24"/>
  <c r="P1008" i="24"/>
  <c r="R1021" i="24"/>
  <c r="R1019" i="24"/>
  <c r="P1005" i="24"/>
  <c r="Q1007" i="24"/>
  <c r="Q988" i="24"/>
  <c r="Q696" i="24"/>
  <c r="R696" i="24"/>
  <c r="P696" i="24"/>
  <c r="R703" i="24"/>
  <c r="P703" i="24"/>
  <c r="Q703" i="24"/>
  <c r="Q697" i="24"/>
  <c r="R697" i="24"/>
  <c r="P697" i="24"/>
  <c r="P727" i="24"/>
  <c r="R727" i="24"/>
  <c r="Q727" i="24"/>
  <c r="Q711" i="24"/>
  <c r="R711" i="24"/>
  <c r="P711" i="24"/>
  <c r="R708" i="24"/>
  <c r="P708" i="24"/>
  <c r="Q708" i="24"/>
  <c r="P744" i="24"/>
  <c r="Q744" i="24"/>
  <c r="R744" i="24"/>
  <c r="P743" i="24"/>
  <c r="R743" i="24"/>
  <c r="Q743" i="24"/>
  <c r="R738" i="24"/>
  <c r="Q738" i="24"/>
  <c r="P738" i="24"/>
  <c r="R731" i="24"/>
  <c r="Q731" i="24"/>
  <c r="P731" i="24"/>
  <c r="Q765" i="24"/>
  <c r="P765" i="24"/>
  <c r="R765" i="24"/>
  <c r="P756" i="24"/>
  <c r="Q756" i="24"/>
  <c r="R756" i="24"/>
  <c r="P799" i="24"/>
  <c r="Q799" i="24"/>
  <c r="R799" i="24"/>
  <c r="Q791" i="24"/>
  <c r="P791" i="24"/>
  <c r="R791" i="24"/>
  <c r="P776" i="24"/>
  <c r="R776" i="24"/>
  <c r="Q776" i="24"/>
  <c r="P845" i="24"/>
  <c r="R845" i="24"/>
  <c r="Q845" i="24"/>
  <c r="Q873" i="24"/>
  <c r="R873" i="24"/>
  <c r="P873" i="24"/>
  <c r="R905" i="24"/>
  <c r="P905" i="24"/>
  <c r="Q905" i="24"/>
  <c r="P903" i="24"/>
  <c r="Q903" i="24"/>
  <c r="R903" i="24"/>
  <c r="R934" i="24"/>
  <c r="P934" i="24"/>
  <c r="Q934" i="24"/>
  <c r="P936" i="24"/>
  <c r="Q936" i="24"/>
  <c r="R936" i="24"/>
  <c r="P931" i="24"/>
  <c r="R931" i="24"/>
  <c r="Q931" i="24"/>
  <c r="P929" i="24"/>
  <c r="R929" i="24"/>
  <c r="Q929" i="24"/>
  <c r="R937" i="24"/>
  <c r="Q937" i="24"/>
  <c r="P937" i="24"/>
  <c r="R933" i="24"/>
  <c r="P933" i="24"/>
  <c r="Q933" i="24"/>
  <c r="R932" i="24"/>
  <c r="Q932" i="24"/>
  <c r="P932" i="24"/>
  <c r="R957" i="24"/>
  <c r="P957" i="24"/>
  <c r="Q957" i="24"/>
  <c r="R945" i="24"/>
  <c r="Q945" i="24"/>
  <c r="P945" i="24"/>
  <c r="Q958" i="24"/>
  <c r="P958" i="24"/>
  <c r="R958" i="24"/>
  <c r="Q955" i="24"/>
  <c r="R955" i="24"/>
  <c r="P955" i="24"/>
  <c r="P960" i="24"/>
  <c r="Q960" i="24"/>
  <c r="R960" i="24"/>
  <c r="P969" i="24"/>
  <c r="R969" i="24"/>
  <c r="Q969" i="24"/>
  <c r="Q976" i="24"/>
  <c r="R976" i="24"/>
  <c r="P976" i="24"/>
  <c r="P973" i="24"/>
  <c r="Q973" i="24"/>
  <c r="R973" i="24"/>
  <c r="R968" i="24"/>
  <c r="P968" i="24"/>
  <c r="Q968" i="24"/>
  <c r="R1031" i="24"/>
  <c r="Q1031" i="24"/>
  <c r="P1031" i="24"/>
  <c r="P1006" i="24"/>
  <c r="R1006" i="24"/>
  <c r="Q1006" i="24"/>
  <c r="R1028" i="24"/>
  <c r="P1028" i="24"/>
  <c r="Q1028" i="24"/>
  <c r="Q1013" i="24"/>
  <c r="R1013" i="24"/>
  <c r="Q1042" i="24"/>
  <c r="R1042" i="24"/>
  <c r="P1042" i="24"/>
  <c r="R1032" i="24"/>
  <c r="Q1032" i="24"/>
  <c r="P1032" i="24"/>
  <c r="R1041" i="24"/>
  <c r="P1041" i="24"/>
  <c r="Q1041" i="24"/>
  <c r="P1030" i="24"/>
  <c r="Q1030" i="24"/>
  <c r="P1085" i="24"/>
  <c r="R1085" i="24"/>
  <c r="R1102" i="24"/>
  <c r="P1102" i="24"/>
  <c r="P1155" i="24"/>
  <c r="R1155" i="24"/>
  <c r="Q1140" i="24"/>
  <c r="R1140" i="24"/>
  <c r="Q1131" i="24"/>
  <c r="P1131" i="24"/>
  <c r="Q1674" i="24"/>
  <c r="P1674" i="24"/>
  <c r="P1639" i="24" s="1"/>
  <c r="P1641" i="24" s="1"/>
  <c r="P1651" i="24" s="1"/>
  <c r="P1654" i="24" s="1"/>
  <c r="P1636" i="24" s="1"/>
  <c r="P1635" i="24" s="1"/>
  <c r="P1627" i="24" s="1"/>
  <c r="P1626" i="24" s="1"/>
  <c r="P1601" i="24" s="1"/>
  <c r="P1615" i="24" s="1"/>
  <c r="R1624" i="24" s="1"/>
  <c r="Q1613" i="24" s="1"/>
  <c r="Q1621" i="24" s="1"/>
  <c r="R1609" i="24" s="1"/>
  <c r="Q1612" i="24" s="1"/>
  <c r="P1590" i="24" s="1"/>
  <c r="T1592" i="24" s="1"/>
  <c r="R1593" i="24" s="1"/>
  <c r="T1583" i="24" s="1"/>
  <c r="R1588" i="24" s="1"/>
  <c r="T1584" i="24" s="1"/>
  <c r="P1565" i="24" s="1"/>
  <c r="T1569" i="24" s="1"/>
  <c r="P1576" i="24" s="1"/>
  <c r="T1568" i="24" s="1"/>
  <c r="P1575" i="24" s="1"/>
  <c r="T1563" i="24" s="1"/>
  <c r="P1572" i="24" s="1"/>
  <c r="T1581" i="24" s="1"/>
  <c r="P1562" i="24" s="1"/>
  <c r="T1577" i="24" s="1"/>
  <c r="Q1573" i="24" s="1"/>
  <c r="T1553" i="24" s="1"/>
  <c r="Q1552" i="24" s="1"/>
  <c r="T1541" i="24" s="1"/>
  <c r="R1544" i="24" s="1"/>
  <c r="T1540" i="24" s="1"/>
  <c r="Q1546" i="24" s="1"/>
  <c r="R1538" i="24" s="1"/>
  <c r="T1559" i="24" s="1"/>
  <c r="Q1561" i="24" s="1"/>
  <c r="P1551" i="24" s="1"/>
  <c r="T1514" i="24" s="1"/>
  <c r="R1517" i="24" s="1"/>
  <c r="T1509" i="24" s="1"/>
  <c r="P1508" i="24" s="1"/>
  <c r="T1527" i="24" s="1"/>
  <c r="Q1513" i="24" s="1"/>
  <c r="T1520" i="24" s="1"/>
  <c r="R1516" i="24" s="1"/>
  <c r="T1512" i="24" s="1"/>
  <c r="P1535" i="24" s="1"/>
  <c r="T1531" i="24" s="1"/>
  <c r="P1511" i="24" s="1"/>
  <c r="T1530" i="24" s="1"/>
  <c r="R1526" i="24" s="1"/>
  <c r="T1525" i="24" s="1"/>
  <c r="P1522" i="24" s="1"/>
  <c r="T1493" i="24" s="1"/>
  <c r="R1499" i="24" s="1"/>
  <c r="P1502" i="24" s="1"/>
  <c r="T1498" i="24" s="1"/>
  <c r="Q1494" i="24" s="1"/>
  <c r="T1505" i="24" s="1"/>
  <c r="Q1482" i="24" s="1"/>
  <c r="T1481" i="24" s="1"/>
  <c r="R1490" i="24" s="1"/>
  <c r="T1487" i="24" s="1"/>
  <c r="R1485" i="24" s="1"/>
  <c r="T1492" i="24" s="1"/>
  <c r="Q1491" i="24" s="1"/>
  <c r="T1456" i="24" s="1"/>
  <c r="Q1472" i="24" s="1"/>
  <c r="T1475" i="24" s="1"/>
  <c r="Q1463" i="24" s="1"/>
  <c r="T1474" i="24" s="1"/>
  <c r="R1477" i="24" s="1"/>
  <c r="T1476" i="24" s="1"/>
  <c r="P1473" i="24" s="1"/>
  <c r="T1469" i="24" s="1"/>
  <c r="P1468" i="24" s="1"/>
  <c r="T1467" i="24" s="1"/>
  <c r="P1455" i="24" s="1"/>
  <c r="T1452" i="24" s="1"/>
  <c r="Q1448" i="24" s="1"/>
  <c r="T1446" i="24" s="1"/>
  <c r="Q1447" i="24" s="1"/>
  <c r="T1451" i="24" s="1"/>
  <c r="P1425" i="24" s="1"/>
  <c r="T1434" i="24" s="1"/>
  <c r="P1428" i="24" s="1"/>
  <c r="T1439" i="24" s="1"/>
  <c r="Q1435" i="24" s="1"/>
  <c r="T1444" i="24" s="1"/>
  <c r="Q1443" i="24" s="1"/>
  <c r="T1431" i="24" s="1"/>
  <c r="R1430" i="24" s="1"/>
  <c r="T1441" i="24" s="1"/>
  <c r="P1440" i="24" s="1"/>
  <c r="T1415" i="24" s="1"/>
  <c r="R1406" i="24" s="1"/>
  <c r="T1410" i="24" s="1"/>
  <c r="R1408" i="24" s="1"/>
  <c r="T1407" i="24" s="1"/>
  <c r="R1403" i="24" s="1"/>
  <c r="T1413" i="24" s="1"/>
  <c r="P1412" i="24" s="1"/>
  <c r="T1405" i="24" s="1"/>
  <c r="Q1393" i="24" s="1"/>
  <c r="T1402" i="24" s="1"/>
  <c r="P1383" i="24" s="1"/>
  <c r="T1381" i="24" s="1"/>
  <c r="R1390" i="24" s="1"/>
  <c r="T1382" i="24" s="1"/>
  <c r="Q1380" i="24" s="1"/>
  <c r="T1396" i="24" s="1"/>
  <c r="R1399" i="24" s="1"/>
  <c r="T1377" i="24" s="1"/>
  <c r="P1400" i="24" s="1"/>
  <c r="T1387" i="24" s="1"/>
  <c r="Q1391" i="24" s="1"/>
  <c r="T1386" i="24" s="1"/>
  <c r="P1352" i="24" s="1"/>
  <c r="T1358" i="24" s="1"/>
  <c r="R1359" i="24" s="1"/>
  <c r="T1363" i="24" s="1"/>
  <c r="R1368" i="24" s="1"/>
  <c r="T1370" i="24" s="1"/>
  <c r="R1365" i="24" s="1"/>
  <c r="T1373" i="24" s="1"/>
  <c r="R1366" i="24" s="1"/>
  <c r="T1351" i="24" s="1"/>
  <c r="Q1371" i="24" s="1"/>
  <c r="T1369" i="24" s="1"/>
  <c r="R1353" i="24" s="1"/>
  <c r="T1348" i="24" s="1"/>
  <c r="Q1343" i="24" s="1"/>
  <c r="T1344" i="24" s="1"/>
  <c r="Q1346" i="24" s="1"/>
  <c r="T1345" i="24" s="1"/>
  <c r="P1338" i="24" s="1"/>
  <c r="T1335" i="24" s="1"/>
  <c r="P1337" i="24" s="1"/>
  <c r="T1332" i="24" s="1"/>
  <c r="P1330" i="24" s="1"/>
  <c r="T1322" i="24" s="1"/>
  <c r="Q1329" i="24" s="1"/>
  <c r="T1326" i="24" s="1"/>
  <c r="P1324" i="24" s="1"/>
  <c r="T1328" i="24" s="1"/>
  <c r="R1319" i="24" s="1"/>
  <c r="T1309" i="24" s="1"/>
  <c r="T1496" i="24" s="1"/>
  <c r="P1315" i="24" s="1"/>
  <c r="T1316" i="24" s="1"/>
  <c r="R1311" i="24" s="1"/>
  <c r="T1310" i="24" s="1"/>
  <c r="R1302" i="24" s="1"/>
  <c r="T1314" i="24" s="1"/>
  <c r="P1299" i="24" s="1"/>
  <c r="T1300" i="24" s="1"/>
  <c r="P1305" i="24" s="1"/>
  <c r="T1306" i="24" s="1"/>
  <c r="P1293" i="24" s="1"/>
  <c r="T1282" i="24" s="1"/>
  <c r="Q1296" i="24" s="1"/>
  <c r="T1287" i="24" s="1"/>
  <c r="R1295" i="24" s="1"/>
  <c r="T1290" i="24" s="1"/>
  <c r="Q1277" i="24" s="1"/>
  <c r="T1273" i="24" s="1"/>
  <c r="Q1279" i="24" s="1"/>
  <c r="T1283" i="24" s="1"/>
  <c r="Q1275" i="24" s="1"/>
  <c r="T1284" i="24" s="1"/>
  <c r="P1257" i="24" s="1"/>
  <c r="T1266" i="24" s="1"/>
  <c r="P1268" i="24" s="1"/>
  <c r="T1270" i="24" s="1"/>
  <c r="P1267" i="24" s="1"/>
  <c r="T1261" i="24" s="1"/>
  <c r="P1253" i="24" s="1"/>
  <c r="T1254" i="24" s="1"/>
  <c r="P1263" i="24" s="1"/>
  <c r="T1255" i="24" s="1"/>
  <c r="Q1247" i="24" s="1"/>
  <c r="T1242" i="24" s="1"/>
  <c r="R1248" i="24" s="1"/>
  <c r="T1250" i="24" s="1"/>
  <c r="R1249" i="24" s="1"/>
  <c r="T1246" i="24" s="1"/>
  <c r="P1251" i="24" s="1"/>
  <c r="T1245" i="24" s="1"/>
  <c r="P1227" i="24" s="1"/>
  <c r="T1206" i="24" s="1"/>
  <c r="P1205" i="24" s="1"/>
  <c r="T1214" i="24" s="1"/>
  <c r="Q1232" i="24" s="1"/>
  <c r="T1218" i="24" s="1"/>
  <c r="Q1217" i="24" s="1"/>
  <c r="T1203" i="24" s="1"/>
  <c r="P1208" i="24" s="1"/>
  <c r="T1197" i="24" s="1"/>
  <c r="P1211" i="24" s="1"/>
  <c r="T1199" i="24" s="1"/>
  <c r="P1224" i="24" s="1"/>
  <c r="T1222" i="24" s="1"/>
  <c r="P1196" i="24" s="1"/>
  <c r="T1229" i="24" s="1"/>
  <c r="P1220" i="24" s="1"/>
  <c r="T1228" i="24" s="1"/>
  <c r="R1233" i="24" s="1"/>
  <c r="T1198" i="24" s="1"/>
  <c r="Q1195" i="24" s="1"/>
  <c r="T1194" i="24" s="1"/>
  <c r="P1181" i="24" s="1"/>
  <c r="T1185" i="24" s="1"/>
  <c r="P1186" i="24" s="1"/>
  <c r="T1172" i="24" s="1"/>
  <c r="Q1167" i="24" s="1"/>
  <c r="T1165" i="24" s="1"/>
  <c r="R1179" i="24" s="1"/>
  <c r="T1187" i="24" s="1"/>
  <c r="Q1177" i="24" s="1"/>
  <c r="T1193" i="24" s="1"/>
  <c r="R1170" i="24" s="1"/>
  <c r="T1183" i="24" s="1"/>
  <c r="Q1189" i="24" s="1"/>
  <c r="T1184" i="24" s="1"/>
  <c r="P1133" i="24" s="1"/>
  <c r="T1160" i="24" s="1"/>
  <c r="R1158" i="24" s="1"/>
  <c r="T1151" i="24" s="1"/>
  <c r="R1131" i="24" s="1"/>
  <c r="T1122" i="24" s="1"/>
  <c r="R1159" i="24" s="1"/>
  <c r="T1148" i="24" s="1"/>
  <c r="P1163" i="24" s="1"/>
  <c r="T1130" i="24" s="1"/>
  <c r="P1145" i="24" s="1"/>
  <c r="T1150" i="24" s="1"/>
  <c r="P1147" i="24" s="1"/>
  <c r="T1125" i="24" s="1"/>
  <c r="P1157" i="24" s="1"/>
  <c r="T1154" i="24" s="1"/>
  <c r="P1140" i="24" s="1"/>
  <c r="T1123" i="24" s="1"/>
  <c r="Q1124" i="24" s="1"/>
  <c r="T1135" i="24" s="1"/>
  <c r="Q1155" i="24" s="1"/>
  <c r="T1121" i="24" s="1"/>
  <c r="Q1118" i="24" s="1"/>
  <c r="T1117" i="24" s="1"/>
  <c r="R1110" i="24" s="1"/>
  <c r="T1099" i="24" s="1"/>
  <c r="R1095" i="24" s="1"/>
  <c r="T1111" i="24" s="1"/>
  <c r="R1107" i="24" s="1"/>
  <c r="T1105" i="24" s="1"/>
  <c r="Q1097" i="24" s="1"/>
  <c r="T1114" i="24" s="1"/>
  <c r="Q1102" i="24" s="1"/>
  <c r="T1101" i="24" s="1"/>
  <c r="Q1093" i="24" s="1"/>
  <c r="T1100" i="24" s="1"/>
  <c r="Q1085" i="24" s="1"/>
  <c r="T1088" i="24" s="1"/>
  <c r="P1074" i="24" s="1"/>
  <c r="T1086" i="24" s="1"/>
  <c r="P1083" i="24" s="1"/>
  <c r="T1089" i="24" s="1"/>
  <c r="R1076" i="24" s="1"/>
  <c r="T1092" i="24" s="1"/>
  <c r="R1071" i="24" s="1"/>
  <c r="T1075" i="24" s="1"/>
  <c r="P1078" i="24" s="1"/>
  <c r="T1061" i="24" s="1"/>
  <c r="P1052" i="24" s="1"/>
  <c r="T1048" i="24" s="1"/>
  <c r="P1054" i="24" s="1"/>
  <c r="T1064" i="24" s="1"/>
  <c r="R1051" i="24" s="1"/>
  <c r="T1059" i="24" s="1"/>
  <c r="Q1069" i="24" s="1"/>
  <c r="T1046" i="24" s="1"/>
  <c r="R1063" i="24" s="1"/>
  <c r="T1060" i="24" s="1"/>
  <c r="R1053" i="24" s="1"/>
  <c r="T1056" i="24" s="1"/>
  <c r="R1030" i="24" s="1"/>
  <c r="T1034" i="24" s="1"/>
  <c r="R1012" i="24" s="1"/>
  <c r="T1023" i="24" s="1"/>
  <c r="T1022" i="24" s="1"/>
  <c r="T1040" i="24" s="1"/>
  <c r="T1036" i="24" s="1"/>
  <c r="T1026" i="24" s="1"/>
  <c r="T1003" i="24" s="1"/>
  <c r="T1018" i="24" s="1"/>
  <c r="T1039" i="24" s="1"/>
  <c r="T1015" i="24" s="1"/>
  <c r="T996" i="24" s="1"/>
  <c r="T985" i="24" s="1"/>
  <c r="T1001" i="24" s="1"/>
  <c r="T981" i="24" s="1"/>
  <c r="T1002" i="24" s="1"/>
  <c r="T994" i="24" s="1"/>
  <c r="T966" i="24" s="1"/>
  <c r="T978" i="24" s="1"/>
  <c r="T972" i="24" s="1"/>
  <c r="T967" i="24" s="1"/>
  <c r="T959" i="24" s="1"/>
  <c r="T961" i="24" s="1"/>
  <c r="T952" i="24" s="1"/>
  <c r="T951" i="24" s="1"/>
  <c r="T946" i="24" s="1"/>
  <c r="T926" i="24" s="1"/>
  <c r="T927" i="24" s="1"/>
  <c r="T912" i="24" s="1"/>
  <c r="T942" i="24" s="1"/>
  <c r="T935" i="24" s="1"/>
  <c r="T917" i="24" s="1"/>
  <c r="T939" i="24" s="1"/>
  <c r="T914" i="24" s="1"/>
  <c r="T910" i="24" s="1"/>
  <c r="T902" i="24" s="1"/>
  <c r="T900" i="24" s="1"/>
  <c r="T895" i="24" s="1"/>
  <c r="T888" i="24" s="1"/>
  <c r="T884" i="24" s="1"/>
  <c r="T878" i="24" s="1"/>
  <c r="T882" i="24" s="1"/>
  <c r="T872" i="24" s="1"/>
  <c r="T874" i="24" s="1"/>
  <c r="T870" i="24" s="1"/>
  <c r="T862" i="24" s="1"/>
  <c r="T865" i="24" s="1"/>
  <c r="T853" i="24" s="1"/>
  <c r="T857" i="24" s="1"/>
  <c r="T839" i="24" s="1"/>
  <c r="T844" i="24" s="1"/>
  <c r="T841" i="24" s="1"/>
  <c r="T832" i="24" s="1"/>
  <c r="T831" i="24" s="1"/>
  <c r="T838" i="24" s="1"/>
  <c r="T822" i="24" s="1"/>
  <c r="T819" i="24" s="1"/>
  <c r="T808" i="24" s="1"/>
  <c r="T809" i="24" s="1"/>
  <c r="T815" i="24" s="1"/>
  <c r="T805" i="24" s="1"/>
  <c r="T781" i="24" s="1"/>
  <c r="T786" i="24" s="1"/>
  <c r="T794" i="24" s="1"/>
  <c r="T787" i="24" s="1"/>
  <c r="T797" i="24" s="1"/>
  <c r="T796" i="24" s="1"/>
  <c r="T785" i="24" s="1"/>
  <c r="T767" i="24" s="1"/>
  <c r="T773" i="24" s="1"/>
  <c r="T754" i="24" s="1"/>
  <c r="T748" i="24" s="1"/>
  <c r="T766" i="24" s="1"/>
  <c r="T759" i="24" s="1"/>
  <c r="T750" i="24" s="1"/>
  <c r="T742" i="24" s="1"/>
  <c r="T740" i="24" s="1"/>
  <c r="T746" i="24" s="1"/>
  <c r="T730" i="24" s="1"/>
  <c r="T729" i="24" s="1"/>
  <c r="T719" i="24" s="1"/>
  <c r="T718" i="24" s="1"/>
  <c r="T714" i="24" s="1"/>
  <c r="T716" i="24" s="1"/>
  <c r="T725" i="24" s="1"/>
  <c r="T692" i="24" s="1"/>
  <c r="T705" i="24" s="1"/>
  <c r="T706" i="24" s="1"/>
  <c r="T694" i="24" s="1"/>
  <c r="T704" i="24" s="1"/>
  <c r="T681" i="24" s="1"/>
  <c r="T676" i="24" s="1"/>
  <c r="T677" i="24" s="1"/>
  <c r="T666" i="24" s="1"/>
  <c r="T668" i="24" s="1"/>
  <c r="T659" i="24" s="1"/>
  <c r="T661" i="24" s="1"/>
  <c r="T664" i="24" s="1"/>
  <c r="T662" i="24" s="1"/>
  <c r="T639" i="24" s="1"/>
  <c r="T636" i="24" s="1"/>
  <c r="T649" i="24" s="1"/>
  <c r="T642" i="24" s="1"/>
  <c r="T622" i="24" s="1"/>
  <c r="T631" i="24" s="1"/>
  <c r="T623" i="24" s="1"/>
  <c r="T624" i="24" s="1"/>
  <c r="T603" i="24" s="1"/>
  <c r="T596" i="24" s="1"/>
  <c r="T607" i="24" s="1"/>
  <c r="T601" i="24" s="1"/>
  <c r="T618" i="24" s="1"/>
  <c r="T599" i="24" s="1"/>
  <c r="T604" i="24" s="1"/>
  <c r="T589" i="24" s="1"/>
  <c r="T586" i="24" s="1"/>
  <c r="T575" i="24" s="1"/>
  <c r="T583" i="24" s="1"/>
  <c r="T560" i="24" s="1"/>
  <c r="T569" i="24" s="1"/>
  <c r="T572" i="24" s="1"/>
  <c r="T559" i="24" s="1"/>
  <c r="T565" i="24" s="1"/>
  <c r="T527" i="24" s="1"/>
  <c r="T543" i="24" s="1"/>
  <c r="T555" i="24" s="1"/>
  <c r="T531" i="24" s="1"/>
  <c r="T530" i="24" s="1"/>
  <c r="T554" i="24" s="1"/>
  <c r="T538" i="24" s="1"/>
  <c r="T529" i="24" s="1"/>
  <c r="T510" i="24" s="1"/>
  <c r="T520" i="24" s="1"/>
  <c r="T523" i="24" s="1"/>
  <c r="T507" i="24" s="1"/>
  <c r="T502" i="24" s="1"/>
  <c r="T501" i="24" s="1"/>
  <c r="T495" i="24" s="1"/>
  <c r="T497" i="24" s="1"/>
  <c r="T489" i="24" s="1"/>
  <c r="T485" i="24" s="1"/>
  <c r="T468" i="24" s="1"/>
  <c r="T483" i="24" s="1"/>
  <c r="T467" i="24" s="1"/>
  <c r="T477" i="24" s="1"/>
  <c r="T486" i="24" s="1"/>
  <c r="T440" i="24" s="1"/>
  <c r="T448" i="24" s="1"/>
  <c r="T454" i="24" s="1"/>
  <c r="T462" i="24" s="1"/>
  <c r="T445" i="24" s="1"/>
  <c r="T450" i="24" s="1"/>
  <c r="T455" i="24" s="1"/>
  <c r="T428" i="24" s="1"/>
  <c r="T431" i="24" s="1"/>
  <c r="T426" i="24" s="1"/>
  <c r="T422" i="24" s="1"/>
  <c r="T415" i="24" s="1"/>
  <c r="T406" i="24" s="1"/>
  <c r="T412" i="24" s="1"/>
  <c r="T389" i="24" s="1"/>
  <c r="T397" i="24" s="1"/>
  <c r="T395" i="24" s="1"/>
  <c r="T401" i="24" s="1"/>
  <c r="T390" i="24" s="1"/>
  <c r="T383" i="24" s="1"/>
  <c r="T375" i="24" s="1"/>
  <c r="T368" i="24" s="1"/>
  <c r="T366" i="24" s="1"/>
  <c r="T372" i="24" s="1"/>
  <c r="T365" i="24" s="1"/>
  <c r="T358" i="24" s="1"/>
  <c r="T352" i="24" s="1"/>
  <c r="T351" i="24" s="1"/>
  <c r="T349" i="24" s="1"/>
  <c r="T355" i="24" s="1"/>
  <c r="T364" i="24" s="1"/>
  <c r="T331" i="24" s="1"/>
  <c r="T337" i="24" s="1"/>
  <c r="T329" i="24" s="1"/>
  <c r="T336" i="24" s="1"/>
  <c r="T302" i="24" s="1"/>
  <c r="T300" i="24" s="1"/>
  <c r="T313" i="24" s="1"/>
  <c r="T316" i="24" s="1"/>
  <c r="T308" i="24" s="1"/>
  <c r="T311" i="24" s="1"/>
  <c r="T314" i="24" s="1"/>
  <c r="T276" i="24" s="1"/>
  <c r="T280" i="24" s="1"/>
  <c r="T283" i="24" s="1"/>
  <c r="T286" i="24" s="1"/>
  <c r="T287" i="24" s="1"/>
  <c r="T271" i="24" s="1"/>
  <c r="T272" i="24" s="1"/>
  <c r="T270" i="24" s="1"/>
  <c r="T264" i="24" s="1"/>
  <c r="T244" i="24" s="1"/>
  <c r="T254" i="24" s="1"/>
  <c r="T240" i="24" s="1"/>
  <c r="T253" i="24" s="1"/>
  <c r="T246" i="24" s="1"/>
  <c r="T249" i="24" s="1"/>
  <c r="T233" i="24" s="1"/>
  <c r="T197" i="24" s="1"/>
  <c r="T225" i="24" s="1"/>
  <c r="T207" i="24" s="1"/>
  <c r="T217" i="24" s="1"/>
  <c r="T221" i="24" s="1"/>
  <c r="T199" i="24" s="1"/>
  <c r="T229" i="24" s="1"/>
  <c r="T228" i="24" s="1"/>
  <c r="T204" i="24" s="1"/>
  <c r="T190" i="24" s="1"/>
  <c r="T166" i="24" s="1"/>
  <c r="T169" i="24" s="1"/>
  <c r="T177" i="24" s="1"/>
  <c r="T173" i="24" s="1"/>
  <c r="T193" i="24" s="1"/>
  <c r="T191" i="24" s="1"/>
  <c r="T164" i="24" s="1"/>
  <c r="T154" i="24" s="1"/>
  <c r="T157" i="24" s="1"/>
  <c r="T152" i="24" s="1"/>
  <c r="T160" i="24" s="1"/>
  <c r="T143" i="24" s="1"/>
  <c r="T141" i="24" s="1"/>
  <c r="T145" i="24" s="1"/>
  <c r="T144" i="24" s="1"/>
  <c r="T147" i="24" s="1"/>
  <c r="T125" i="24" s="1"/>
  <c r="T127" i="24" s="1"/>
  <c r="T112" i="24" s="1"/>
  <c r="T108" i="24" s="1"/>
  <c r="T115" i="24" s="1"/>
  <c r="T105" i="24" s="1"/>
  <c r="T92" i="24" s="1"/>
  <c r="T98" i="24" s="1"/>
  <c r="T90" i="24" s="1"/>
  <c r="T76" i="24" s="1"/>
  <c r="T73" i="24" s="1"/>
  <c r="T83" i="24" s="1"/>
  <c r="T80" i="24" s="1"/>
  <c r="T86" i="24" s="1"/>
  <c r="T57" i="24" s="1"/>
  <c r="T67" i="24" s="1"/>
  <c r="T70" i="24" s="1"/>
  <c r="T65" i="24" s="1"/>
  <c r="T49" i="24" s="1"/>
  <c r="T53" i="24" s="1"/>
  <c r="T41" i="24" s="1"/>
  <c r="T46" i="24" s="1"/>
  <c r="T48" i="24" s="1"/>
  <c r="T31" i="24" s="1"/>
  <c r="T25" i="24" s="1"/>
  <c r="T16" i="24" s="1"/>
  <c r="T12" i="24" s="1"/>
  <c r="T8" i="24" s="1"/>
  <c r="T6" i="24" s="1"/>
  <c r="T7" i="24" s="1"/>
  <c r="T28" i="24" s="1"/>
  <c r="Q1838" i="24"/>
  <c r="R1838" i="24"/>
  <c r="R1860" i="24"/>
  <c r="Q1860" i="24"/>
  <c r="Q1861" i="24"/>
  <c r="R1861" i="24"/>
  <c r="Q1872" i="24"/>
  <c r="R1872" i="24"/>
  <c r="Q1884" i="24"/>
  <c r="R1884" i="24"/>
  <c r="Q1901" i="24"/>
  <c r="R1901" i="24"/>
  <c r="P1901" i="24"/>
  <c r="R1919" i="24"/>
  <c r="P1919" i="24"/>
  <c r="Q1919" i="24"/>
  <c r="P1890" i="24"/>
  <c r="R1890" i="24"/>
  <c r="P1909" i="24"/>
  <c r="R1909" i="24"/>
  <c r="P1887" i="24"/>
  <c r="R1887" i="24"/>
  <c r="T1922" i="24"/>
  <c r="T1942" i="24" s="1"/>
  <c r="T1976" i="24" s="1"/>
  <c r="R1941" i="24" s="1"/>
  <c r="R1924" i="24" s="1"/>
  <c r="T1924" i="24" s="1"/>
  <c r="R1948" i="24"/>
  <c r="Q1948" i="24"/>
  <c r="P1948" i="24"/>
  <c r="R1953" i="24"/>
  <c r="P1953" i="24"/>
  <c r="Q1953" i="24"/>
  <c r="R1960" i="24"/>
  <c r="P1960" i="24"/>
  <c r="Q1960" i="24"/>
  <c r="P1972" i="24"/>
  <c r="Q1972" i="24"/>
  <c r="R1972" i="24"/>
  <c r="Q1963" i="24"/>
  <c r="R1963" i="24"/>
  <c r="P1963" i="24"/>
  <c r="T2011" i="24"/>
  <c r="T2005" i="24" s="1"/>
  <c r="T1997" i="24" s="1"/>
  <c r="T2001" i="24" s="1"/>
  <c r="T2007" i="24" s="1"/>
  <c r="T1999" i="24" s="1"/>
  <c r="T2002" i="24" s="1"/>
  <c r="T2009" i="24" s="1"/>
  <c r="T2010" i="24" s="1"/>
  <c r="T1990" i="24" s="1"/>
  <c r="T1993" i="24" s="1"/>
  <c r="T1992" i="24" s="1"/>
  <c r="T1989" i="24" s="1"/>
  <c r="T1982" i="24" s="1"/>
  <c r="T1983" i="24" s="1"/>
  <c r="T1975" i="24" s="1"/>
  <c r="T1950" i="24" s="1"/>
  <c r="T1957" i="24" s="1"/>
  <c r="T1968" i="24" s="1"/>
  <c r="T1954" i="24" s="1"/>
  <c r="T1973" i="24" s="1"/>
  <c r="T1984" i="24" s="1"/>
  <c r="T1962" i="24" s="1"/>
  <c r="T1979" i="24" s="1"/>
  <c r="T1980" i="24" s="1"/>
  <c r="T1988" i="24" s="1"/>
  <c r="T1971" i="24" s="1"/>
  <c r="T1987" i="24" s="1"/>
  <c r="T1955" i="24" s="1"/>
  <c r="T1965" i="24" s="1"/>
  <c r="T1986" i="24" s="1"/>
  <c r="T1923" i="24" s="1"/>
  <c r="T1938" i="24" s="1"/>
  <c r="T1946" i="24" s="1"/>
  <c r="T1928" i="24" s="1"/>
  <c r="T1927" i="24" s="1"/>
  <c r="T1939" i="24" s="1"/>
  <c r="P1924" i="24" s="1"/>
  <c r="P1940" i="24" s="1"/>
  <c r="Q1944" i="24" s="1"/>
  <c r="T1944" i="24" s="1"/>
  <c r="P1947" i="24" s="1"/>
  <c r="P1932" i="24" s="1"/>
  <c r="T1932" i="24" s="1"/>
  <c r="P1921" i="24" s="1"/>
  <c r="Q1943" i="24" s="1"/>
  <c r="T1943" i="24" s="1"/>
  <c r="P1937" i="24" s="1"/>
  <c r="P1931" i="24" s="1"/>
  <c r="T1931" i="24" s="1"/>
  <c r="P1926" i="24" s="1"/>
  <c r="Q1930" i="24" s="1"/>
  <c r="T1930" i="24" s="1"/>
  <c r="P1935" i="24" s="1"/>
  <c r="P1945" i="24" s="1"/>
  <c r="T1945" i="24" s="1"/>
  <c r="Q1911" i="24" s="1"/>
  <c r="T1911" i="24" s="1"/>
  <c r="T1895" i="24" s="1"/>
  <c r="T1888" i="24" s="1"/>
  <c r="T1889" i="24" s="1"/>
  <c r="T1908" i="24" s="1"/>
  <c r="T1906" i="24" s="1"/>
  <c r="T1905" i="24" s="1"/>
  <c r="T1894" i="24" s="1"/>
  <c r="T1899" i="24" s="1"/>
  <c r="T1907" i="24" s="1"/>
  <c r="T1916" i="24" s="1"/>
  <c r="T1897" i="24" s="1"/>
  <c r="T1885" i="24" s="1"/>
  <c r="T1903" i="24" s="1"/>
  <c r="T1891" i="24" s="1"/>
  <c r="T1896" i="24" s="1"/>
  <c r="T1913" i="24" s="1"/>
  <c r="T1920" i="24" s="1"/>
  <c r="T1869" i="24" s="1"/>
  <c r="T1857" i="24" s="1"/>
  <c r="T1858" i="24" s="1"/>
  <c r="T1863" i="24" s="1"/>
  <c r="T1862" i="24" s="1"/>
  <c r="T1883" i="24" s="1"/>
  <c r="T1875" i="24" s="1"/>
  <c r="T1855" i="24" s="1"/>
  <c r="T1880" i="24" s="1"/>
  <c r="T1865" i="24" s="1"/>
  <c r="T1871" i="24" s="1"/>
  <c r="T1878" i="24" s="1"/>
  <c r="T1859" i="24" s="1"/>
  <c r="T1882" i="24" s="1"/>
  <c r="T1881" i="24" s="1"/>
  <c r="T1843" i="24" s="1"/>
  <c r="T1839" i="24" s="1"/>
  <c r="T1841" i="24" s="1"/>
  <c r="T1850" i="24" s="1"/>
  <c r="T1845" i="24" s="1"/>
  <c r="T1834" i="24" s="1"/>
  <c r="T1837" i="24" s="1"/>
  <c r="T1842" i="24" s="1"/>
  <c r="T1848" i="24" s="1"/>
  <c r="T1852" i="24" s="1"/>
  <c r="T1849" i="24" s="1"/>
  <c r="T1816" i="24" s="1"/>
  <c r="T1803" i="24" s="1"/>
  <c r="T1812" i="24" s="1"/>
  <c r="T1809" i="24" s="1"/>
  <c r="T1825" i="24" s="1"/>
  <c r="T1830" i="24" s="1"/>
  <c r="T1826" i="24" s="1"/>
  <c r="T1823" i="24" s="1"/>
  <c r="T1802" i="24" s="1"/>
  <c r="T1819" i="24" s="1"/>
  <c r="T1806" i="24" s="1"/>
  <c r="T1828" i="24" s="1"/>
  <c r="T1832" i="24" s="1"/>
  <c r="T1821" i="24" s="1"/>
  <c r="T1822" i="24" s="1"/>
  <c r="T1769" i="24" s="1"/>
  <c r="T1768" i="24" s="1"/>
  <c r="T1801" i="24" s="1"/>
  <c r="T1788" i="24" s="1"/>
  <c r="T1767" i="24" s="1"/>
  <c r="T1775" i="24" s="1"/>
  <c r="T1800" i="24" s="1"/>
  <c r="T1777" i="24" s="1"/>
  <c r="T1785" i="24" s="1"/>
  <c r="T1781" i="24" s="1"/>
  <c r="T1794" i="24" s="1"/>
  <c r="T1772" i="24" s="1"/>
  <c r="T1738" i="24" s="1"/>
  <c r="T1750" i="24" s="1"/>
  <c r="T1748" i="24" s="1"/>
  <c r="T1742" i="24" s="1"/>
  <c r="T1741" i="24" s="1"/>
  <c r="T1760" i="24" s="1"/>
  <c r="T1746" i="24" s="1"/>
  <c r="T1736" i="24" s="1"/>
  <c r="T1730" i="24" s="1"/>
  <c r="T1728" i="24" s="1"/>
  <c r="T1723" i="24" s="1"/>
  <c r="T1718" i="24" s="1"/>
  <c r="T1688" i="24" s="1"/>
  <c r="T1692" i="24" s="1"/>
  <c r="T1691" i="24" s="1"/>
  <c r="T1693" i="24" s="1"/>
  <c r="T1694" i="24" s="1"/>
  <c r="T1698" i="24" s="1"/>
  <c r="T1708" i="24" s="1"/>
  <c r="T1703" i="24" s="1"/>
  <c r="T1716" i="24" s="1"/>
  <c r="T1690" i="24" s="1"/>
  <c r="T1677" i="24" s="1"/>
  <c r="T1675" i="24" s="1"/>
  <c r="T1671" i="24" s="1"/>
  <c r="T1667" i="24" s="1"/>
  <c r="T1665" i="24" s="1"/>
  <c r="T1640" i="24" s="1"/>
  <c r="T1642" i="24" s="1"/>
  <c r="T1653" i="24" s="1"/>
  <c r="T1655" i="24" s="1"/>
  <c r="T1616" i="24" s="1"/>
  <c r="T1614" i="24" s="1"/>
  <c r="T1623" i="24" s="1"/>
  <c r="T1603" i="24" s="1"/>
  <c r="T1620" i="24" s="1"/>
  <c r="T1617" i="24" s="1"/>
  <c r="T1602" i="24" s="1"/>
  <c r="T1558" i="24" s="1"/>
  <c r="T1543" i="24" s="1"/>
  <c r="T1561" i="24" s="1"/>
  <c r="T1549" i="24" s="1"/>
  <c r="T1554" i="24" s="1"/>
  <c r="T1546" i="24" s="1"/>
  <c r="T1547" i="24" s="1"/>
  <c r="T1556" i="24" s="1"/>
  <c r="R2006" i="24"/>
  <c r="Q2005" i="24"/>
  <c r="P1996" i="24"/>
  <c r="R2004" i="24"/>
  <c r="Q2001" i="24"/>
  <c r="P2012" i="24"/>
  <c r="R2000" i="24"/>
  <c r="Q1999" i="24"/>
  <c r="P2008" i="24"/>
  <c r="R2003" i="24"/>
  <c r="Q2009" i="24"/>
  <c r="P2013" i="24"/>
  <c r="R1998" i="24"/>
  <c r="Q1990" i="24"/>
  <c r="P1994" i="24"/>
  <c r="R1991" i="24"/>
  <c r="Q1992" i="24"/>
  <c r="P1995" i="24"/>
  <c r="Q1959" i="24"/>
  <c r="R1952" i="24"/>
  <c r="R1967" i="24"/>
  <c r="P1951" i="24"/>
  <c r="Q1929" i="24"/>
  <c r="P1936" i="24"/>
  <c r="P1941" i="24"/>
  <c r="R1918" i="24"/>
  <c r="Q1912" i="24"/>
  <c r="Q989" i="24"/>
  <c r="Q998" i="24"/>
  <c r="Q982" i="24"/>
  <c r="P909" i="24"/>
  <c r="R892" i="24"/>
  <c r="Q899" i="24"/>
  <c r="R896" i="24"/>
  <c r="P891" i="24"/>
  <c r="P879" i="24"/>
  <c r="P868" i="24"/>
  <c r="P861" i="24"/>
  <c r="P854" i="24"/>
  <c r="P858" i="24"/>
  <c r="Q840" i="24"/>
  <c r="P821" i="24"/>
  <c r="Q834" i="24"/>
  <c r="Q824" i="24"/>
  <c r="R820" i="24"/>
  <c r="Q811" i="24"/>
  <c r="R816" i="24"/>
  <c r="Q817" i="24"/>
  <c r="Q793" i="24"/>
  <c r="P780" i="24"/>
  <c r="P782" i="24"/>
  <c r="R772" i="24"/>
  <c r="R752" i="24"/>
  <c r="P749" i="24"/>
  <c r="Q741" i="24"/>
  <c r="P726" i="24"/>
  <c r="P724" i="24"/>
  <c r="P1982" i="24"/>
  <c r="Q1975" i="24"/>
  <c r="R1957" i="24"/>
  <c r="P1954" i="24"/>
  <c r="Q1984" i="24"/>
  <c r="R1979" i="24"/>
  <c r="P1988" i="24"/>
  <c r="Q1987" i="24"/>
  <c r="R1965" i="24"/>
  <c r="P1923" i="24"/>
  <c r="R1946" i="24"/>
  <c r="Q1928" i="24"/>
  <c r="Q1927" i="24"/>
  <c r="P1939" i="24"/>
  <c r="Q1888" i="24"/>
  <c r="Q1916" i="24"/>
  <c r="R1885" i="24"/>
  <c r="P1891" i="24"/>
  <c r="R1913" i="24"/>
  <c r="P1858" i="24"/>
  <c r="R1862" i="24"/>
  <c r="P1880" i="24"/>
  <c r="P1871" i="24"/>
  <c r="Q1881" i="24"/>
  <c r="Q1850" i="24"/>
  <c r="Q1834" i="24"/>
  <c r="P1852" i="24"/>
  <c r="P1816" i="24"/>
  <c r="Q1802" i="24"/>
  <c r="P1806" i="24"/>
  <c r="Q1832" i="24"/>
  <c r="Q1768" i="24"/>
  <c r="P1788" i="24"/>
  <c r="R1800" i="24"/>
  <c r="Q1785" i="24"/>
  <c r="Q1794" i="24"/>
  <c r="R1738" i="24"/>
  <c r="R1748" i="24"/>
  <c r="Q1555" i="24"/>
  <c r="R1252" i="24"/>
  <c r="P1243" i="24"/>
  <c r="Q1239" i="24"/>
  <c r="R1230" i="24"/>
  <c r="P1204" i="24"/>
  <c r="R1215" i="24"/>
  <c r="P1200" i="24"/>
  <c r="Q1221" i="24"/>
  <c r="Q1209" i="24"/>
  <c r="R1166" i="24"/>
  <c r="P1182" i="24"/>
  <c r="Q1191" i="24"/>
  <c r="R1173" i="24"/>
  <c r="P1175" i="24"/>
  <c r="Q1164" i="24"/>
  <c r="R1132" i="24"/>
  <c r="P1149" i="24"/>
  <c r="Q1161" i="24"/>
  <c r="R1156" i="24"/>
  <c r="R1134" i="24"/>
  <c r="P1143" i="24"/>
  <c r="P1141" i="24"/>
  <c r="P1136" i="24"/>
  <c r="Q1162" i="24"/>
  <c r="R1115" i="24"/>
  <c r="Q1106" i="24"/>
  <c r="P1096" i="24"/>
  <c r="P1094" i="24"/>
  <c r="P1109" i="24"/>
  <c r="R1091" i="24"/>
  <c r="P1090" i="24"/>
  <c r="R1070" i="24"/>
  <c r="P1087" i="24"/>
  <c r="R1068" i="24"/>
  <c r="Q1057" i="24"/>
  <c r="Q1045" i="24"/>
  <c r="Q1049" i="24"/>
  <c r="Q1047" i="24"/>
  <c r="P1025" i="24"/>
  <c r="R1033" i="24"/>
  <c r="Q1004" i="24"/>
  <c r="Q1008" i="24"/>
  <c r="P1010" i="24"/>
  <c r="P1019" i="24"/>
  <c r="Q1005" i="24"/>
  <c r="Q1038" i="24"/>
  <c r="P988" i="24"/>
  <c r="Q1767" i="24"/>
  <c r="R1767" i="24"/>
  <c r="Q1801" i="24"/>
  <c r="R1801" i="24"/>
  <c r="Q1769" i="24"/>
  <c r="R1769" i="24"/>
  <c r="Q1821" i="24"/>
  <c r="R1821" i="24"/>
  <c r="R1828" i="24"/>
  <c r="Q1828" i="24"/>
  <c r="Q1819" i="24"/>
  <c r="R1819" i="24"/>
  <c r="Q1823" i="24"/>
  <c r="R1823" i="24"/>
  <c r="R1830" i="24"/>
  <c r="Q1830" i="24"/>
  <c r="Q1809" i="24"/>
  <c r="R1809" i="24"/>
  <c r="Q1803" i="24"/>
  <c r="R1803" i="24"/>
  <c r="Q1849" i="24"/>
  <c r="R1849" i="24"/>
  <c r="R1848" i="24"/>
  <c r="P1848" i="24"/>
  <c r="P1837" i="24"/>
  <c r="Q1837" i="24"/>
  <c r="R1845" i="24"/>
  <c r="Q1845" i="24"/>
  <c r="Q1841" i="24"/>
  <c r="R1841" i="24"/>
  <c r="R1843" i="24"/>
  <c r="P1843" i="24"/>
  <c r="P1882" i="24"/>
  <c r="Q1882" i="24"/>
  <c r="R1878" i="24"/>
  <c r="Q1878" i="24"/>
  <c r="Q1865" i="24"/>
  <c r="R1865" i="24"/>
  <c r="R1855" i="24"/>
  <c r="P1855" i="24"/>
  <c r="Q1883" i="24"/>
  <c r="P1883" i="24"/>
  <c r="R1863" i="24"/>
  <c r="Q1863" i="24"/>
  <c r="Q1857" i="24"/>
  <c r="R1857" i="24"/>
  <c r="R1920" i="24"/>
  <c r="Q1920" i="24"/>
  <c r="P1920" i="24"/>
  <c r="R1896" i="24"/>
  <c r="P1896" i="24"/>
  <c r="Q1896" i="24"/>
  <c r="Q1903" i="24"/>
  <c r="R1903" i="24"/>
  <c r="P1903" i="24"/>
  <c r="Q1897" i="24"/>
  <c r="R1897" i="24"/>
  <c r="R1907" i="24"/>
  <c r="Q1907" i="24"/>
  <c r="Q1894" i="24"/>
  <c r="R1894" i="24"/>
  <c r="R1906" i="24"/>
  <c r="Q1906" i="24"/>
  <c r="R1889" i="24"/>
  <c r="Q1889" i="24"/>
  <c r="R1895" i="24"/>
  <c r="P1895" i="24"/>
  <c r="P1976" i="24"/>
  <c r="Q1976" i="24"/>
  <c r="R1976" i="24"/>
  <c r="Q1942" i="24"/>
  <c r="R1942" i="24"/>
  <c r="P1942" i="24"/>
  <c r="R1922" i="24"/>
  <c r="P1922" i="24"/>
  <c r="Q1922" i="24"/>
  <c r="R1938" i="24"/>
  <c r="P1938" i="24"/>
  <c r="Q1938" i="24"/>
  <c r="R1986" i="24"/>
  <c r="P1986" i="24"/>
  <c r="Q1986" i="24"/>
  <c r="Q1955" i="24"/>
  <c r="R1955" i="24"/>
  <c r="P1955" i="24"/>
  <c r="P1971" i="24"/>
  <c r="Q1971" i="24"/>
  <c r="R1971" i="24"/>
  <c r="R1980" i="24"/>
  <c r="P1980" i="24"/>
  <c r="Q1980" i="24"/>
  <c r="Q1962" i="24"/>
  <c r="R1962" i="24"/>
  <c r="P1962" i="24"/>
  <c r="P1973" i="24"/>
  <c r="Q1973" i="24"/>
  <c r="R1973" i="24"/>
  <c r="R1968" i="24"/>
  <c r="P1968" i="24"/>
  <c r="Q1968" i="24"/>
  <c r="Q1950" i="24"/>
  <c r="R1950" i="24"/>
  <c r="P1950" i="24"/>
  <c r="P1983" i="24"/>
  <c r="Q1983" i="24"/>
  <c r="R1983" i="24"/>
  <c r="R2011" i="24"/>
  <c r="Q2006" i="24"/>
  <c r="R1997" i="24"/>
  <c r="Q2004" i="24"/>
  <c r="R2007" i="24"/>
  <c r="Q2000" i="24"/>
  <c r="R2002" i="24"/>
  <c r="Q2003" i="24"/>
  <c r="R2010" i="24"/>
  <c r="Q1998" i="24"/>
  <c r="R1993" i="24"/>
  <c r="Q1991" i="24"/>
  <c r="R1989" i="24"/>
  <c r="P1959" i="24"/>
  <c r="P1964" i="24"/>
  <c r="R1951" i="24"/>
  <c r="R1985" i="24"/>
  <c r="P1912" i="24"/>
  <c r="R1879" i="24"/>
  <c r="R1873" i="24"/>
  <c r="R1844" i="24"/>
  <c r="R1846" i="24"/>
  <c r="Q1652" i="24"/>
  <c r="R1163" i="24"/>
  <c r="P1110" i="24"/>
  <c r="R1083" i="24"/>
  <c r="R1052" i="24"/>
  <c r="P1063" i="24"/>
  <c r="P984" i="24"/>
  <c r="R995" i="24"/>
  <c r="P989" i="24"/>
  <c r="R915" i="24"/>
  <c r="Q909" i="24"/>
  <c r="Q887" i="24"/>
  <c r="Q896" i="24"/>
  <c r="R866" i="24"/>
  <c r="Q868" i="24"/>
  <c r="R852" i="24"/>
  <c r="R858" i="24"/>
  <c r="P833" i="24"/>
  <c r="P834" i="24"/>
  <c r="R814" i="24"/>
  <c r="P811" i="24"/>
  <c r="Q784" i="24"/>
  <c r="P793" i="24"/>
  <c r="R774" i="24"/>
  <c r="P772" i="24"/>
  <c r="P753" i="24"/>
  <c r="P741" i="24"/>
  <c r="R702" i="24"/>
  <c r="R1982" i="24"/>
  <c r="P1975" i="24"/>
  <c r="Q1957" i="24"/>
  <c r="R1954" i="24"/>
  <c r="P1984" i="24"/>
  <c r="Q1979" i="24"/>
  <c r="R1988" i="24"/>
  <c r="P1987" i="24"/>
  <c r="Q1965" i="24"/>
  <c r="Q1923" i="24"/>
  <c r="P1946" i="24"/>
  <c r="R1928" i="24"/>
  <c r="R1927" i="24"/>
  <c r="Q1939" i="24"/>
  <c r="Q1899" i="24"/>
  <c r="P1859" i="24"/>
  <c r="P1850" i="24"/>
  <c r="P1812" i="24"/>
  <c r="R1825" i="24"/>
  <c r="Q1826" i="24"/>
  <c r="R1802" i="24"/>
  <c r="Q1822" i="24"/>
  <c r="R1768" i="24"/>
  <c r="P1748" i="24"/>
  <c r="R1741" i="24"/>
  <c r="R1746" i="24"/>
  <c r="R1730" i="24"/>
  <c r="R1723" i="24"/>
  <c r="R1688" i="24"/>
  <c r="R1691" i="24"/>
  <c r="R1694" i="24"/>
  <c r="R1708" i="24"/>
  <c r="R1716" i="24"/>
  <c r="R1677" i="24"/>
  <c r="R1671" i="24"/>
  <c r="Q1640" i="24"/>
  <c r="R1653" i="24"/>
  <c r="P1637" i="24"/>
  <c r="P1630" i="24"/>
  <c r="P1604" i="24"/>
  <c r="R1600" i="24"/>
  <c r="Q1598" i="24"/>
  <c r="R1625" i="24"/>
  <c r="Q1586" i="24"/>
  <c r="P1591" i="24"/>
  <c r="R1579" i="24"/>
  <c r="P1571" i="24"/>
  <c r="Q1542" i="24"/>
  <c r="Q1558" i="24"/>
  <c r="P1507" i="24"/>
  <c r="R1536" i="24"/>
  <c r="R1518" i="24"/>
  <c r="Q1523" i="24"/>
  <c r="R1495" i="24"/>
  <c r="Q1486" i="24"/>
  <c r="P1489" i="24"/>
  <c r="P1457" i="24"/>
  <c r="Q1459" i="24"/>
  <c r="Q1445" i="24"/>
  <c r="Q1432" i="24"/>
  <c r="Q1427" i="24"/>
  <c r="Q1429" i="24"/>
  <c r="Q1404" i="24"/>
  <c r="P1421" i="24"/>
  <c r="Q1378" i="24"/>
  <c r="Q1389" i="24"/>
  <c r="R1395" i="24"/>
  <c r="P1375" i="24"/>
  <c r="R1367" i="24"/>
  <c r="Q1374" i="24"/>
  <c r="P1360" i="24"/>
  <c r="R1347" i="24"/>
  <c r="Q1339" i="24"/>
  <c r="R1321" i="24"/>
  <c r="P1331" i="24"/>
  <c r="P1301" i="24"/>
  <c r="Q1298" i="24"/>
  <c r="R1272" i="24"/>
  <c r="Q1278" i="24"/>
  <c r="R1285" i="24"/>
  <c r="R1262" i="24"/>
  <c r="R1258" i="24"/>
  <c r="R1264" i="24"/>
  <c r="Q1240" i="24"/>
  <c r="P1252" i="24"/>
  <c r="Q1207" i="24"/>
  <c r="P1230" i="24"/>
  <c r="Q1231" i="24"/>
  <c r="Q1200" i="24"/>
  <c r="P1219" i="24"/>
  <c r="P1166" i="24"/>
  <c r="R1168" i="24"/>
  <c r="P1173" i="24"/>
  <c r="P1178" i="24"/>
  <c r="P1132" i="24"/>
  <c r="Q1127" i="24"/>
  <c r="Q1156" i="24"/>
  <c r="Q1144" i="24"/>
  <c r="Q1141" i="24"/>
  <c r="Q1119" i="24"/>
  <c r="P1115" i="24"/>
  <c r="Q1108" i="24"/>
  <c r="Q1094" i="24"/>
  <c r="Q1081" i="24"/>
  <c r="R1090" i="24"/>
  <c r="P1084" i="24"/>
  <c r="P1068" i="24"/>
  <c r="R1050" i="24"/>
  <c r="R1049" i="24"/>
  <c r="R1029" i="24"/>
  <c r="Q1033" i="24"/>
  <c r="Q1021" i="24"/>
  <c r="R1010" i="24"/>
  <c r="R1007" i="24"/>
  <c r="P1038" i="24"/>
  <c r="P602" i="24"/>
  <c r="R602" i="24"/>
  <c r="Q602" i="24"/>
  <c r="R617" i="24"/>
  <c r="Q617" i="24"/>
  <c r="P617" i="24"/>
  <c r="R621" i="24"/>
  <c r="P621" i="24"/>
  <c r="Q621" i="24"/>
  <c r="P629" i="24"/>
  <c r="R629" i="24"/>
  <c r="Q629" i="24"/>
  <c r="P628" i="24"/>
  <c r="Q628" i="24"/>
  <c r="R628" i="24"/>
  <c r="R635" i="24"/>
  <c r="P635" i="24"/>
  <c r="Q635" i="24"/>
  <c r="Q647" i="24"/>
  <c r="R647" i="24"/>
  <c r="P647" i="24"/>
  <c r="P641" i="24"/>
  <c r="Q641" i="24"/>
  <c r="R641" i="24"/>
  <c r="R643" i="24"/>
  <c r="P643" i="24"/>
  <c r="Q643" i="24"/>
  <c r="R645" i="24"/>
  <c r="Q645" i="24"/>
  <c r="P645" i="24"/>
  <c r="Q660" i="24"/>
  <c r="R660" i="24"/>
  <c r="P660" i="24"/>
  <c r="R654" i="24"/>
  <c r="Q654" i="24"/>
  <c r="P654" i="24"/>
  <c r="R655" i="24"/>
  <c r="P655" i="24"/>
  <c r="Q655" i="24"/>
  <c r="R670" i="24"/>
  <c r="Q670" i="24"/>
  <c r="P670" i="24"/>
  <c r="P675" i="24"/>
  <c r="R675" i="24"/>
  <c r="Q675" i="24"/>
  <c r="R680" i="24"/>
  <c r="Q680" i="24"/>
  <c r="P680" i="24"/>
  <c r="R679" i="24"/>
  <c r="P679" i="24"/>
  <c r="Q679" i="24"/>
  <c r="P682" i="24"/>
  <c r="R682" i="24"/>
  <c r="Q682" i="24"/>
  <c r="P688" i="24"/>
  <c r="R688" i="24"/>
  <c r="Q688" i="24"/>
  <c r="R693" i="24"/>
  <c r="Q693" i="24"/>
  <c r="P693" i="24"/>
  <c r="P699" i="24"/>
  <c r="R699" i="24"/>
  <c r="Q699" i="24"/>
  <c r="P698" i="24"/>
  <c r="R698" i="24"/>
  <c r="Q698" i="24"/>
  <c r="P695" i="24"/>
  <c r="R695" i="24"/>
  <c r="Q695" i="24"/>
  <c r="Q723" i="24"/>
  <c r="R723" i="24"/>
  <c r="P723" i="24"/>
  <c r="R715" i="24"/>
  <c r="P715" i="24"/>
  <c r="Q715" i="24"/>
  <c r="Q728" i="24"/>
  <c r="P728" i="24"/>
  <c r="R728" i="24"/>
  <c r="Q707" i="24"/>
  <c r="P707" i="24"/>
  <c r="R707" i="24"/>
  <c r="R712" i="24"/>
  <c r="Q712" i="24"/>
  <c r="P712" i="24"/>
  <c r="Q717" i="24"/>
  <c r="R717" i="24"/>
  <c r="P717" i="24"/>
  <c r="Q747" i="24"/>
  <c r="R747" i="24"/>
  <c r="P747" i="24"/>
  <c r="P737" i="24"/>
  <c r="Q737" i="24"/>
  <c r="R737" i="24"/>
  <c r="Q736" i="24"/>
  <c r="P736" i="24"/>
  <c r="R736" i="24"/>
  <c r="Q734" i="24"/>
  <c r="R734" i="24"/>
  <c r="P734" i="24"/>
  <c r="R757" i="24"/>
  <c r="P757" i="24"/>
  <c r="Q757" i="24"/>
  <c r="R761" i="24"/>
  <c r="P761" i="24"/>
  <c r="Q761" i="24"/>
  <c r="R755" i="24"/>
  <c r="Q755" i="24"/>
  <c r="P755" i="24"/>
  <c r="Q760" i="24"/>
  <c r="R760" i="24"/>
  <c r="P760" i="24"/>
  <c r="P763" i="24"/>
  <c r="R763" i="24"/>
  <c r="Q763" i="24"/>
  <c r="R771" i="24"/>
  <c r="Q771" i="24"/>
  <c r="P771" i="24"/>
  <c r="Q768" i="24"/>
  <c r="P768" i="24"/>
  <c r="R768" i="24"/>
  <c r="Q790" i="24"/>
  <c r="R790" i="24"/>
  <c r="P790" i="24"/>
  <c r="Q777" i="24"/>
  <c r="R777" i="24"/>
  <c r="P777" i="24"/>
  <c r="P775" i="24"/>
  <c r="Q775" i="24"/>
  <c r="R775" i="24"/>
  <c r="Q789" i="24"/>
  <c r="R789" i="24"/>
  <c r="P789" i="24"/>
  <c r="R803" i="24"/>
  <c r="P803" i="24"/>
  <c r="Q803" i="24"/>
  <c r="P788" i="24"/>
  <c r="Q788" i="24"/>
  <c r="R788" i="24"/>
  <c r="R801" i="24"/>
  <c r="Q801" i="24"/>
  <c r="P801" i="24"/>
  <c r="R804" i="24"/>
  <c r="Q804" i="24"/>
  <c r="P804" i="24"/>
  <c r="Q812" i="24"/>
  <c r="R812" i="24"/>
  <c r="P812" i="24"/>
  <c r="R810" i="24"/>
  <c r="Q810" i="24"/>
  <c r="P810" i="24"/>
  <c r="Q807" i="24"/>
  <c r="R807" i="24"/>
  <c r="P807" i="24"/>
  <c r="P836" i="24"/>
  <c r="Q836" i="24"/>
  <c r="R836" i="24"/>
  <c r="R828" i="24"/>
  <c r="Q828" i="24"/>
  <c r="P828" i="24"/>
  <c r="Q837" i="24"/>
  <c r="R837" i="24"/>
  <c r="P837" i="24"/>
  <c r="Q830" i="24"/>
  <c r="P830" i="24"/>
  <c r="R830" i="24"/>
  <c r="R835" i="24"/>
  <c r="P835" i="24"/>
  <c r="Q835" i="24"/>
  <c r="P846" i="24"/>
  <c r="R846" i="24"/>
  <c r="Q846" i="24"/>
  <c r="R848" i="24"/>
  <c r="Q848" i="24"/>
  <c r="P848" i="24"/>
  <c r="P843" i="24"/>
  <c r="Q843" i="24"/>
  <c r="R843" i="24"/>
  <c r="Q859" i="24"/>
  <c r="P859" i="24"/>
  <c r="R859" i="24"/>
  <c r="Q851" i="24"/>
  <c r="R851" i="24"/>
  <c r="P851" i="24"/>
  <c r="R864" i="24"/>
  <c r="P864" i="24"/>
  <c r="Q864" i="24"/>
  <c r="P863" i="24"/>
  <c r="R863" i="24"/>
  <c r="Q863" i="24"/>
  <c r="R871" i="24"/>
  <c r="Q871" i="24"/>
  <c r="P871" i="24"/>
  <c r="Q877" i="24"/>
  <c r="R877" i="24"/>
  <c r="P877" i="24"/>
  <c r="Q876" i="24"/>
  <c r="P876" i="24"/>
  <c r="R876" i="24"/>
  <c r="P881" i="24"/>
  <c r="R881" i="24"/>
  <c r="Q881" i="24"/>
  <c r="Q897" i="24"/>
  <c r="R897" i="24"/>
  <c r="P897" i="24"/>
  <c r="R893" i="24"/>
  <c r="Q893" i="24"/>
  <c r="P893" i="24"/>
  <c r="R885" i="24"/>
  <c r="Q885" i="24"/>
  <c r="P885" i="24"/>
  <c r="P889" i="24"/>
  <c r="R889" i="24"/>
  <c r="Q889" i="24"/>
  <c r="R907" i="24"/>
  <c r="P907" i="24"/>
  <c r="Q907" i="24"/>
  <c r="P906" i="24"/>
  <c r="Q906" i="24"/>
  <c r="R906" i="24"/>
  <c r="Q901" i="24"/>
  <c r="R901" i="24"/>
  <c r="P901" i="24"/>
  <c r="Q922" i="24"/>
  <c r="R922" i="24"/>
  <c r="P922" i="24"/>
  <c r="R919" i="24"/>
  <c r="Q919" i="24"/>
  <c r="P919" i="24"/>
  <c r="Q940" i="24"/>
  <c r="R940" i="24"/>
  <c r="P940" i="24"/>
  <c r="R920" i="24"/>
  <c r="P920" i="24"/>
  <c r="Q920" i="24"/>
  <c r="R918" i="24"/>
  <c r="Q918" i="24"/>
  <c r="P918" i="24"/>
  <c r="R911" i="24"/>
  <c r="Q911" i="24"/>
  <c r="P911" i="24"/>
  <c r="Q923" i="24"/>
  <c r="R923" i="24"/>
  <c r="P923" i="24"/>
  <c r="P925" i="24"/>
  <c r="Q925" i="24"/>
  <c r="R925" i="24"/>
  <c r="Q916" i="24"/>
  <c r="P916" i="24"/>
  <c r="R916" i="24"/>
  <c r="R950" i="24"/>
  <c r="P950" i="24"/>
  <c r="Q950" i="24"/>
  <c r="P954" i="24"/>
  <c r="R954" i="24"/>
  <c r="Q954" i="24"/>
  <c r="P947" i="24"/>
  <c r="R947" i="24"/>
  <c r="Q947" i="24"/>
  <c r="Q956" i="24"/>
  <c r="R956" i="24"/>
  <c r="P956" i="24"/>
  <c r="P948" i="24"/>
  <c r="R948" i="24"/>
  <c r="Q948" i="24"/>
  <c r="R971" i="24"/>
  <c r="Q971" i="24"/>
  <c r="P971" i="24"/>
  <c r="P974" i="24"/>
  <c r="R974" i="24"/>
  <c r="Q974" i="24"/>
  <c r="R975" i="24"/>
  <c r="Q975" i="24"/>
  <c r="P975" i="24"/>
  <c r="R980" i="24"/>
  <c r="Q980" i="24"/>
  <c r="P980" i="24"/>
  <c r="Q979" i="24"/>
  <c r="P979" i="24"/>
  <c r="R979" i="24"/>
  <c r="Q987" i="24"/>
  <c r="R987" i="24"/>
  <c r="P987" i="24"/>
  <c r="P991" i="24"/>
  <c r="Q991" i="24"/>
  <c r="R991" i="24"/>
  <c r="Q992" i="24"/>
  <c r="P992" i="24"/>
  <c r="R992" i="24"/>
  <c r="R1000" i="24"/>
  <c r="P1000" i="24"/>
  <c r="Q1000" i="24"/>
  <c r="R1014" i="24"/>
  <c r="Q1014" i="24"/>
  <c r="P1014" i="24"/>
  <c r="R1011" i="24"/>
  <c r="Q1011" i="24"/>
  <c r="P1011" i="24"/>
  <c r="P1016" i="24"/>
  <c r="R1016" i="24"/>
  <c r="Q1016" i="24"/>
  <c r="P1009" i="24"/>
  <c r="R1009" i="24"/>
  <c r="Q1009" i="24"/>
  <c r="R1035" i="24"/>
  <c r="P1035" i="24"/>
  <c r="Q1035" i="24"/>
  <c r="Q1024" i="24"/>
  <c r="R1024" i="24"/>
  <c r="P1024" i="24"/>
  <c r="P1020" i="24"/>
  <c r="R1020" i="24"/>
  <c r="Q1020" i="24"/>
  <c r="P1027" i="24"/>
  <c r="Q1027" i="24"/>
  <c r="R1027" i="24"/>
  <c r="Q1017" i="24"/>
  <c r="P1017" i="24"/>
  <c r="R1017" i="24"/>
  <c r="Q1043" i="24"/>
  <c r="P1043" i="24"/>
  <c r="R1043" i="24"/>
  <c r="R1044" i="24"/>
  <c r="P1044" i="24"/>
  <c r="Q1044" i="24"/>
  <c r="Q1062" i="24"/>
  <c r="R1062" i="24"/>
  <c r="P1062" i="24"/>
  <c r="Q1055" i="24"/>
  <c r="R1055" i="24"/>
  <c r="P1055" i="24"/>
  <c r="R1066" i="24"/>
  <c r="P1066" i="24"/>
  <c r="Q1066" i="24"/>
  <c r="R1058" i="24"/>
  <c r="P1058" i="24"/>
  <c r="Q1058" i="24"/>
  <c r="P1065" i="24"/>
  <c r="R1065" i="24"/>
  <c r="Q1065" i="24"/>
  <c r="Q1067" i="24"/>
  <c r="P1067" i="24"/>
  <c r="R1067" i="24"/>
  <c r="Q1072" i="24"/>
  <c r="P1072" i="24"/>
  <c r="R1072" i="24"/>
  <c r="Q1073" i="24"/>
  <c r="P1073" i="24"/>
  <c r="R1073" i="24"/>
  <c r="P1082" i="24"/>
  <c r="Q1082" i="24"/>
  <c r="R1082" i="24"/>
  <c r="Q1079" i="24"/>
  <c r="R1079" i="24"/>
  <c r="P1079" i="24"/>
  <c r="P1080" i="24"/>
  <c r="R1080" i="24"/>
  <c r="Q1080" i="24"/>
  <c r="R1077" i="24"/>
  <c r="Q1077" i="24"/>
  <c r="P1077" i="24"/>
  <c r="P1113" i="24"/>
  <c r="R1113" i="24"/>
  <c r="Q1113" i="24"/>
  <c r="Q1103" i="24"/>
  <c r="R1103" i="24"/>
  <c r="P1103" i="24"/>
  <c r="P1098" i="24"/>
  <c r="R1098" i="24"/>
  <c r="Q1098" i="24"/>
  <c r="R1112" i="24"/>
  <c r="P1112" i="24"/>
  <c r="Q1112" i="24"/>
  <c r="Q1104" i="24"/>
  <c r="R1104" i="24"/>
  <c r="P1104" i="24"/>
  <c r="Q1116" i="24"/>
  <c r="P1116" i="24"/>
  <c r="R1116" i="24"/>
  <c r="R1120" i="24"/>
  <c r="P1120" i="24"/>
  <c r="Q1120" i="24"/>
  <c r="P1128" i="24"/>
  <c r="Q1128" i="24"/>
  <c r="R1128" i="24"/>
  <c r="Q1139" i="24"/>
  <c r="R1139" i="24"/>
  <c r="P1139" i="24"/>
  <c r="P1126" i="24"/>
  <c r="R1126" i="24"/>
  <c r="Q1126" i="24"/>
  <c r="Q1153" i="24"/>
  <c r="R1153" i="24"/>
  <c r="P1153" i="24"/>
  <c r="Q1146" i="24"/>
  <c r="R1146" i="24"/>
  <c r="P1146" i="24"/>
  <c r="R1129" i="24"/>
  <c r="P1129" i="24"/>
  <c r="Q1129" i="24"/>
  <c r="R1137" i="24"/>
  <c r="P1137" i="24"/>
  <c r="Q1137" i="24"/>
  <c r="P1142" i="24"/>
  <c r="Q1142" i="24"/>
  <c r="R1142" i="24"/>
  <c r="P1138" i="24"/>
  <c r="R1138" i="24"/>
  <c r="Q1138" i="24"/>
  <c r="R1152" i="24"/>
  <c r="P1152" i="24"/>
  <c r="Q1152" i="24"/>
  <c r="P1169" i="24"/>
  <c r="Q1169" i="24"/>
  <c r="R1169" i="24"/>
  <c r="Q1174" i="24"/>
  <c r="R1174" i="24"/>
  <c r="P1174" i="24"/>
  <c r="Q1190" i="24"/>
  <c r="P1190" i="24"/>
  <c r="R1190" i="24"/>
  <c r="R1192" i="24"/>
  <c r="P1192" i="24"/>
  <c r="Q1192" i="24"/>
  <c r="P1171" i="24"/>
  <c r="Q1171" i="24"/>
  <c r="R1171" i="24"/>
  <c r="P1188" i="24"/>
  <c r="Q1188" i="24"/>
  <c r="R1188" i="24"/>
  <c r="P1176" i="24"/>
  <c r="R1176" i="24"/>
  <c r="Q1176" i="24"/>
  <c r="Q1180" i="24"/>
  <c r="P1180" i="24"/>
  <c r="R1180" i="24"/>
  <c r="Q1234" i="24"/>
  <c r="R1234" i="24"/>
  <c r="P1234" i="24"/>
  <c r="R1202" i="24"/>
  <c r="Q1202" i="24"/>
  <c r="P1202" i="24"/>
  <c r="R1210" i="24"/>
  <c r="P1210" i="24"/>
  <c r="Q1210" i="24"/>
  <c r="P1213" i="24"/>
  <c r="Q1213" i="24"/>
  <c r="R1213" i="24"/>
  <c r="Q1225" i="24"/>
  <c r="R1225" i="24"/>
  <c r="P1225" i="24"/>
  <c r="P1226" i="24"/>
  <c r="R1226" i="24"/>
  <c r="Q1226" i="24"/>
  <c r="R1216" i="24"/>
  <c r="Q1216" i="24"/>
  <c r="P1216" i="24"/>
  <c r="P1223" i="24"/>
  <c r="Q1223" i="24"/>
  <c r="R1223" i="24"/>
  <c r="P1212" i="24"/>
  <c r="R1212" i="24"/>
  <c r="Q1212" i="24"/>
  <c r="R1201" i="24"/>
  <c r="Q1201" i="24"/>
  <c r="P1201" i="24"/>
  <c r="P1237" i="24"/>
  <c r="Q1237" i="24"/>
  <c r="R1237" i="24"/>
  <c r="R1244" i="24"/>
  <c r="P1244" i="24"/>
  <c r="Q1244" i="24"/>
  <c r="Q1236" i="24"/>
  <c r="R1236" i="24"/>
  <c r="P1236" i="24"/>
  <c r="R1238" i="24"/>
  <c r="Q1238" i="24"/>
  <c r="P1238" i="24"/>
  <c r="Q1235" i="24"/>
  <c r="R1235" i="24"/>
  <c r="P1235" i="24"/>
  <c r="R1269" i="24"/>
  <c r="Q1269" i="24"/>
  <c r="P1269" i="24"/>
  <c r="P1260" i="24"/>
  <c r="Q1260" i="24"/>
  <c r="R1260" i="24"/>
  <c r="P1256" i="24"/>
  <c r="R1256" i="24"/>
  <c r="Q1256" i="24"/>
  <c r="P1265" i="24"/>
  <c r="Q1265" i="24"/>
  <c r="R1265" i="24"/>
  <c r="P1274" i="24"/>
  <c r="Q1274" i="24"/>
  <c r="R1274" i="24"/>
  <c r="R1292" i="24"/>
  <c r="P1292" i="24"/>
  <c r="Q1292" i="24"/>
  <c r="P1286" i="24"/>
  <c r="Q1286" i="24"/>
  <c r="R1286" i="24"/>
  <c r="P1288" i="24"/>
  <c r="R1288" i="24"/>
  <c r="Q1288" i="24"/>
  <c r="P1289" i="24"/>
  <c r="Q1289" i="24"/>
  <c r="R1289" i="24"/>
  <c r="R1281" i="24"/>
  <c r="P1281" i="24"/>
  <c r="Q1281" i="24"/>
  <c r="Q1276" i="24"/>
  <c r="P1276" i="24"/>
  <c r="R1276" i="24"/>
  <c r="Q1307" i="24"/>
  <c r="R1307" i="24"/>
  <c r="P1307" i="24"/>
  <c r="P1304" i="24"/>
  <c r="R1304" i="24"/>
  <c r="Q1304" i="24"/>
  <c r="Q1297" i="24"/>
  <c r="P1297" i="24"/>
  <c r="R1297" i="24"/>
  <c r="R1312" i="24"/>
  <c r="Q1312" i="24"/>
  <c r="P1312" i="24"/>
  <c r="Q1308" i="24"/>
  <c r="P1308" i="24"/>
  <c r="R1308" i="24"/>
  <c r="R1327" i="24"/>
  <c r="Q1327" i="24"/>
  <c r="P1327" i="24"/>
  <c r="R1318" i="24"/>
  <c r="Q1318" i="24"/>
  <c r="P1318" i="24"/>
  <c r="Q1320" i="24"/>
  <c r="R1320" i="24"/>
  <c r="P1320" i="24"/>
  <c r="Q1333" i="24"/>
  <c r="R1333" i="24"/>
  <c r="P1333" i="24"/>
  <c r="R1334" i="24"/>
  <c r="P1334" i="24"/>
  <c r="Q1334" i="24"/>
  <c r="P1340" i="24"/>
  <c r="R1340" i="24"/>
  <c r="Q1340" i="24"/>
  <c r="P1342" i="24"/>
  <c r="R1342" i="24"/>
  <c r="Q1342" i="24"/>
  <c r="P1341" i="24"/>
  <c r="R1341" i="24"/>
  <c r="Q1341" i="24"/>
  <c r="R1354" i="24"/>
  <c r="Q1354" i="24"/>
  <c r="P1354" i="24"/>
  <c r="R1361" i="24"/>
  <c r="Q1361" i="24"/>
  <c r="P1361" i="24"/>
  <c r="Q1355" i="24"/>
  <c r="R1355" i="24"/>
  <c r="P1355" i="24"/>
  <c r="P1362" i="24"/>
  <c r="R1362" i="24"/>
  <c r="Q1362" i="24"/>
  <c r="R1356" i="24"/>
  <c r="P1356" i="24"/>
  <c r="Q1356" i="24"/>
  <c r="Q1357" i="24"/>
  <c r="R1357" i="24"/>
  <c r="P1357" i="24"/>
  <c r="P1398" i="24"/>
  <c r="Q1398" i="24"/>
  <c r="R1398" i="24"/>
  <c r="P1392" i="24"/>
  <c r="R1392" i="24"/>
  <c r="Q1392" i="24"/>
  <c r="P1376" i="24"/>
  <c r="Q1376" i="24"/>
  <c r="R1376" i="24"/>
  <c r="R1379" i="24"/>
  <c r="Q1379" i="24"/>
  <c r="P1379" i="24"/>
  <c r="Q1397" i="24"/>
  <c r="P1397" i="24"/>
  <c r="R1397" i="24"/>
  <c r="Q1385" i="24"/>
  <c r="R1385" i="24"/>
  <c r="P1385" i="24"/>
  <c r="R1401" i="24"/>
  <c r="P1401" i="24"/>
  <c r="Q1401" i="24"/>
  <c r="R1417" i="24"/>
  <c r="Q1417" i="24"/>
  <c r="P1417" i="24"/>
  <c r="P1419" i="24"/>
  <c r="Q1419" i="24"/>
  <c r="R1419" i="24"/>
  <c r="Q1416" i="24"/>
  <c r="R1416" i="24"/>
  <c r="P1416" i="24"/>
  <c r="P1418" i="24"/>
  <c r="R1418" i="24"/>
  <c r="Q1418" i="24"/>
  <c r="R1420" i="24"/>
  <c r="Q1420" i="24"/>
  <c r="P1420" i="24"/>
  <c r="P1438" i="24"/>
  <c r="R1438" i="24"/>
  <c r="Q1438" i="24"/>
  <c r="R1442" i="24"/>
  <c r="P1442" i="24"/>
  <c r="Q1442" i="24"/>
  <c r="R1426" i="24"/>
  <c r="P1426" i="24"/>
  <c r="Q1426" i="24"/>
  <c r="R1436" i="24"/>
  <c r="P1436" i="24"/>
  <c r="Q1436" i="24"/>
  <c r="P1422" i="24"/>
  <c r="R1422" i="24"/>
  <c r="Q1422" i="24"/>
  <c r="R1423" i="24"/>
  <c r="Q1423" i="24"/>
  <c r="P1423" i="24"/>
  <c r="R1449" i="24"/>
  <c r="P1449" i="24"/>
  <c r="Q1449" i="24"/>
  <c r="Q1453" i="24"/>
  <c r="R1453" i="24"/>
  <c r="P1453" i="24"/>
  <c r="R1461" i="24"/>
  <c r="Q1461" i="24"/>
  <c r="Q1454" i="24" s="1"/>
  <c r="P1476" i="24" s="1"/>
  <c r="Q1465" i="24" s="1"/>
  <c r="T1461" i="24" s="1"/>
  <c r="P1461" i="24"/>
  <c r="Q1462" i="24"/>
  <c r="P1462" i="24"/>
  <c r="R1462" i="24"/>
  <c r="Q1470" i="24"/>
  <c r="R1470" i="24"/>
  <c r="P1470" i="24"/>
  <c r="P1466" i="24"/>
  <c r="Q1466" i="24"/>
  <c r="R1466" i="24"/>
  <c r="Q1471" i="24"/>
  <c r="P1471" i="24"/>
  <c r="R1471" i="24"/>
  <c r="Q1458" i="24"/>
  <c r="P1458" i="24"/>
  <c r="R1458" i="24"/>
  <c r="P1488" i="24"/>
  <c r="R1488" i="24"/>
  <c r="Q1488" i="24"/>
  <c r="Q1478" i="24"/>
  <c r="P1478" i="24"/>
  <c r="R1478" i="24"/>
  <c r="P1480" i="24"/>
  <c r="Q1480" i="24"/>
  <c r="R1480" i="24"/>
  <c r="P1483" i="24"/>
  <c r="R1483" i="24"/>
  <c r="Q1483" i="24"/>
  <c r="Q1501" i="24"/>
  <c r="P1501" i="24"/>
  <c r="R1501" i="24"/>
  <c r="R1504" i="24"/>
  <c r="Q1504" i="24"/>
  <c r="P1504" i="24"/>
  <c r="P1500" i="24"/>
  <c r="Q1500" i="24"/>
  <c r="R1500" i="24"/>
  <c r="R1524" i="24"/>
  <c r="T1535" i="24" s="1"/>
  <c r="T1526" i="24" s="1"/>
  <c r="Q1524" i="24"/>
  <c r="P1524" i="24"/>
  <c r="P1537" i="24"/>
  <c r="R1537" i="24"/>
  <c r="Q1537" i="24"/>
  <c r="P1519" i="24"/>
  <c r="R1519" i="24"/>
  <c r="Q1519" i="24"/>
  <c r="Q1528" i="24"/>
  <c r="P1528" i="24"/>
  <c r="R1528" i="24"/>
  <c r="Q1515" i="24"/>
  <c r="R1515" i="24"/>
  <c r="P1515" i="24"/>
  <c r="R1510" i="24"/>
  <c r="P1510" i="24"/>
  <c r="Q1510" i="24"/>
  <c r="Q1532" i="24"/>
  <c r="P1532" i="24"/>
  <c r="R1532" i="24"/>
  <c r="Q1534" i="24"/>
  <c r="R1534" i="24"/>
  <c r="P1534" i="24"/>
  <c r="Q1560" i="24"/>
  <c r="R1560" i="24"/>
  <c r="P1560" i="24"/>
  <c r="R1548" i="24"/>
  <c r="Q1548" i="24"/>
  <c r="P1548" i="24"/>
  <c r="P1545" i="24"/>
  <c r="R1545" i="24"/>
  <c r="Q1545" i="24"/>
  <c r="Q1554" i="24"/>
  <c r="R1554" i="24"/>
  <c r="P1554" i="24"/>
  <c r="R1550" i="24"/>
  <c r="P1550" i="24"/>
  <c r="Q1550" i="24"/>
  <c r="R1547" i="24"/>
  <c r="Q1547" i="24"/>
  <c r="P1547" i="24"/>
  <c r="Q1574" i="24"/>
  <c r="R1574" i="24"/>
  <c r="P1574" i="24"/>
  <c r="P1580" i="24"/>
  <c r="R1580" i="24"/>
  <c r="Q1580" i="24"/>
  <c r="P1564" i="24"/>
  <c r="R1564" i="24"/>
  <c r="Q1564" i="24"/>
  <c r="Q1578" i="24"/>
  <c r="R1578" i="24"/>
  <c r="P1578" i="24"/>
  <c r="P1567" i="24"/>
  <c r="Q1567" i="24"/>
  <c r="R1567" i="24"/>
  <c r="P1594" i="24"/>
  <c r="R1594" i="24"/>
  <c r="Q1594" i="24"/>
  <c r="R1585" i="24"/>
  <c r="P1585" i="24"/>
  <c r="Q1585" i="24"/>
  <c r="Q1589" i="24"/>
  <c r="R1589" i="24"/>
  <c r="P1589" i="24"/>
  <c r="R1595" i="24"/>
  <c r="P1595" i="24"/>
  <c r="Q1595" i="24"/>
  <c r="R1605" i="24"/>
  <c r="Q1605" i="24"/>
  <c r="P1605" i="24"/>
  <c r="R1597" i="24"/>
  <c r="Q1597" i="24"/>
  <c r="P1597" i="24"/>
  <c r="P1622" i="24"/>
  <c r="Q1622" i="24"/>
  <c r="R1622" i="24"/>
  <c r="R1618" i="24"/>
  <c r="Q1618" i="24"/>
  <c r="P1618" i="24"/>
  <c r="R1611" i="24"/>
  <c r="Q1611" i="24"/>
  <c r="P1611" i="24"/>
  <c r="P1608" i="24"/>
  <c r="Q1608" i="24"/>
  <c r="R1608" i="24"/>
  <c r="R1599" i="24"/>
  <c r="Q1599" i="24"/>
  <c r="P1599" i="24"/>
  <c r="R1628" i="24"/>
  <c r="P1628" i="24"/>
  <c r="Q1628" i="24"/>
  <c r="R1635" i="24"/>
  <c r="Q1635" i="24"/>
  <c r="Q1636" i="24"/>
  <c r="R1636" i="24"/>
  <c r="R1654" i="24"/>
  <c r="Q1654" i="24"/>
  <c r="R1651" i="24"/>
  <c r="Q1651" i="24"/>
  <c r="Q1641" i="24"/>
  <c r="R1641" i="24"/>
  <c r="Q1639" i="24"/>
  <c r="R1639" i="24"/>
  <c r="R1668" i="24"/>
  <c r="Q1668" i="24"/>
  <c r="P1668" i="24"/>
  <c r="P1666" i="24"/>
  <c r="R1666" i="24"/>
  <c r="Q1666" i="24"/>
  <c r="Q1670" i="24"/>
  <c r="R1670" i="24"/>
  <c r="P1670" i="24"/>
  <c r="R1663" i="24"/>
  <c r="P1663" i="24"/>
  <c r="Q1663" i="24"/>
  <c r="P1672" i="24"/>
  <c r="Q1672" i="24"/>
  <c r="Q1656" i="24"/>
  <c r="P1656" i="24"/>
  <c r="P1697" i="24"/>
  <c r="Q1697" i="24"/>
  <c r="P1702" i="24"/>
  <c r="Q1702" i="24"/>
  <c r="P1714" i="24"/>
  <c r="Q1714" i="24"/>
  <c r="Q1678" i="24"/>
  <c r="P1678" i="24"/>
  <c r="P1715" i="24"/>
  <c r="Q1715" i="24"/>
  <c r="P1707" i="24"/>
  <c r="Q1707" i="24"/>
  <c r="P1685" i="24"/>
  <c r="Q1685" i="24"/>
  <c r="Q1711" i="24"/>
  <c r="P1711" i="24"/>
  <c r="P1680" i="24"/>
  <c r="Q1680" i="24"/>
  <c r="P1700" i="24"/>
  <c r="Q1700" i="24"/>
  <c r="P1724" i="24"/>
  <c r="Q1724" i="24"/>
  <c r="P1722" i="24"/>
  <c r="Q1722" i="24"/>
  <c r="P1726" i="24"/>
  <c r="Q1726" i="24"/>
  <c r="P1763" i="24"/>
  <c r="Q1763" i="24"/>
  <c r="P1745" i="24"/>
  <c r="Q1745" i="24"/>
  <c r="Q1757" i="24"/>
  <c r="P1757" i="24"/>
  <c r="P1751" i="24"/>
  <c r="Q1751" i="24"/>
  <c r="P1743" i="24"/>
  <c r="Q1743" i="24"/>
  <c r="P1759" i="24"/>
  <c r="Q1759" i="24"/>
  <c r="Q1734" i="24"/>
  <c r="R1734" i="24"/>
  <c r="P1734" i="24"/>
  <c r="R1749" i="24"/>
  <c r="P1749" i="24"/>
  <c r="Q1749" i="24"/>
  <c r="R1737" i="24"/>
  <c r="Q1737" i="24"/>
  <c r="P1737" i="24"/>
  <c r="Q1784" i="24"/>
  <c r="P1784" i="24"/>
  <c r="R1784" i="24"/>
  <c r="Q1780" i="24"/>
  <c r="R1780" i="24"/>
  <c r="P1780" i="24"/>
  <c r="R1799" i="24"/>
  <c r="P1799" i="24"/>
  <c r="Q1799" i="24"/>
  <c r="R1786" i="24"/>
  <c r="Q1786" i="24"/>
  <c r="P1786" i="24"/>
  <c r="Q1766" i="24"/>
  <c r="P1766" i="24"/>
  <c r="R1766" i="24"/>
  <c r="Q1793" i="24"/>
  <c r="R1793" i="24"/>
  <c r="P1793" i="24"/>
  <c r="Q1774" i="24"/>
  <c r="P1774" i="24"/>
  <c r="Q1782" i="24"/>
  <c r="P1782" i="24"/>
  <c r="Q1789" i="24"/>
  <c r="P1789" i="24"/>
  <c r="Q1831" i="24"/>
  <c r="P1831" i="24"/>
  <c r="Q1804" i="24"/>
  <c r="P1804" i="24"/>
  <c r="Q1818" i="24"/>
  <c r="P1818" i="24"/>
  <c r="Q1820" i="24"/>
  <c r="P1820" i="24"/>
  <c r="Q1817" i="24"/>
  <c r="P1817" i="24"/>
  <c r="Q1810" i="24"/>
  <c r="P1810" i="24"/>
  <c r="Q1805" i="24"/>
  <c r="P1805" i="24"/>
  <c r="Q1807" i="24"/>
  <c r="P1807" i="24"/>
  <c r="P1836" i="24"/>
  <c r="Q1836" i="24"/>
  <c r="R1836" i="24"/>
  <c r="R1840" i="24"/>
  <c r="P1840" i="24"/>
  <c r="Q1840" i="24"/>
  <c r="Q1835" i="24"/>
  <c r="R1835" i="24"/>
  <c r="P1835" i="24"/>
  <c r="P1853" i="24"/>
  <c r="Q1853" i="24"/>
  <c r="R1853" i="24"/>
  <c r="R1847" i="24"/>
  <c r="P1847" i="24"/>
  <c r="Q1847" i="24"/>
  <c r="R1864" i="24"/>
  <c r="P1864" i="24"/>
  <c r="Q1864" i="24"/>
  <c r="Q1854" i="24"/>
  <c r="R1854" i="24"/>
  <c r="P1854" i="24"/>
  <c r="P1866" i="24"/>
  <c r="Q1866" i="24"/>
  <c r="R1866" i="24"/>
  <c r="R1877" i="24"/>
  <c r="P1877" i="24"/>
  <c r="Q1877" i="24"/>
  <c r="R1870" i="24"/>
  <c r="P1870" i="24"/>
  <c r="Q1870" i="24"/>
  <c r="Q1868" i="24"/>
  <c r="R1868" i="24"/>
  <c r="P1868" i="24"/>
  <c r="P1867" i="24"/>
  <c r="Q1867" i="24"/>
  <c r="R1867" i="24"/>
  <c r="R1876" i="24"/>
  <c r="P1876" i="24"/>
  <c r="Q1876" i="24"/>
  <c r="P1886" i="24"/>
  <c r="Q1886" i="24"/>
  <c r="R1886" i="24"/>
  <c r="R1904" i="24"/>
  <c r="P1904" i="24"/>
  <c r="Q1904" i="24"/>
  <c r="Q1914" i="24"/>
  <c r="R1914" i="24"/>
  <c r="R1902" i="24"/>
  <c r="Q1902" i="24"/>
  <c r="Q1893" i="24"/>
  <c r="R1893" i="24"/>
  <c r="R1910" i="24"/>
  <c r="Q1910" i="24"/>
  <c r="Q1915" i="24"/>
  <c r="R1915" i="24"/>
  <c r="R1900" i="24"/>
  <c r="P1900" i="24"/>
  <c r="Q1900" i="24"/>
  <c r="R1892" i="24"/>
  <c r="Q1892" i="24"/>
  <c r="P1892" i="24"/>
  <c r="R1932" i="24"/>
  <c r="R1921" i="24" s="1"/>
  <c r="R1943" i="24" s="1"/>
  <c r="R1937" i="24" s="1"/>
  <c r="R1931" i="24" s="1"/>
  <c r="R1926" i="24" s="1"/>
  <c r="R1930" i="24" s="1"/>
  <c r="R1935" i="24" s="1"/>
  <c r="R1945" i="24" s="1"/>
  <c r="P1911" i="24" s="1"/>
  <c r="R1869" i="24" s="1"/>
  <c r="P1856" i="24" s="1"/>
  <c r="P1857" i="24" s="1"/>
  <c r="P1884" i="24" s="1"/>
  <c r="P1863" i="24" s="1"/>
  <c r="P1879" i="24" s="1"/>
  <c r="R1883" i="24" s="1"/>
  <c r="P1875" i="24" s="1"/>
  <c r="P1874" i="24" s="1"/>
  <c r="Q1855" i="24" s="1"/>
  <c r="R1880" i="24" s="1"/>
  <c r="P1872" i="24" s="1"/>
  <c r="P1865" i="24" s="1"/>
  <c r="P1861" i="24" s="1"/>
  <c r="P1878" i="24" s="1"/>
  <c r="P1873" i="24" s="1"/>
  <c r="R1882" i="24" s="1"/>
  <c r="P1881" i="24" s="1"/>
  <c r="P1860" i="24" s="1"/>
  <c r="Q1843" i="24" s="1"/>
  <c r="R1839" i="24" s="1"/>
  <c r="P1851" i="24" s="1"/>
  <c r="P1841" i="24" s="1"/>
  <c r="P1838" i="24" s="1"/>
  <c r="P1845" i="24" s="1"/>
  <c r="P1844" i="24" s="1"/>
  <c r="R1837" i="24" s="1"/>
  <c r="P1842" i="24" s="1"/>
  <c r="P1833" i="24" s="1"/>
  <c r="Q1848" i="24" s="1"/>
  <c r="R1852" i="24" s="1"/>
  <c r="P1846" i="24" s="1"/>
  <c r="P1849" i="24" s="1"/>
  <c r="R1814" i="24" s="1"/>
  <c r="R1829" i="24" s="1"/>
  <c r="R1815" i="24" s="1"/>
  <c r="R1824" i="24" s="1"/>
  <c r="R1811" i="24" s="1"/>
  <c r="R1813" i="24" s="1"/>
  <c r="R1827" i="24" s="1"/>
  <c r="R1808" i="24" s="1"/>
  <c r="R1797" i="24" s="1"/>
  <c r="R1795" i="24" s="1"/>
  <c r="P1798" i="24" s="1"/>
  <c r="P1771" i="24" s="1"/>
  <c r="Q1783" i="24" s="1"/>
  <c r="P1770" i="24" s="1"/>
  <c r="P1776" i="24" s="1"/>
  <c r="P1792" i="24" s="1"/>
  <c r="Q1796" i="24" s="1"/>
  <c r="R1790" i="24" s="1"/>
  <c r="Q1773" i="24" s="1"/>
  <c r="P1787" i="24" s="1"/>
  <c r="P1779" i="24" s="1"/>
  <c r="P1791" i="24" s="1"/>
  <c r="Q1778" i="24" s="1"/>
  <c r="P1735" i="24" s="1"/>
  <c r="Q1765" i="24" s="1"/>
  <c r="R1755" i="24" s="1"/>
  <c r="P1754" i="24" s="1"/>
  <c r="P1740" i="24" s="1"/>
  <c r="R1733" i="24" s="1"/>
  <c r="R1744" i="24" s="1"/>
  <c r="R1753" i="24" s="1"/>
  <c r="R1739" i="24" s="1"/>
  <c r="R1761" i="24" s="1"/>
  <c r="Q1762" i="24" s="1"/>
  <c r="R1756" i="24" s="1"/>
  <c r="Q1758" i="24" s="1"/>
  <c r="R1732" i="24" s="1"/>
  <c r="R1747" i="24" s="1"/>
  <c r="R1752" i="24" s="1"/>
  <c r="R1764" i="24" s="1"/>
  <c r="R1725" i="24" s="1"/>
  <c r="R1727" i="24" s="1"/>
  <c r="R1731" i="24" s="1"/>
  <c r="Q1729" i="24" s="1"/>
  <c r="R1721" i="24" s="1"/>
  <c r="R1720" i="24" s="1"/>
  <c r="R1719" i="24" s="1"/>
  <c r="R1687" i="24" s="1"/>
  <c r="R1682" i="24" s="1"/>
  <c r="R1684" i="24" s="1"/>
  <c r="R1689" i="24" s="1"/>
  <c r="Q1713" i="24" s="1"/>
  <c r="R1712" i="24" s="1"/>
  <c r="R1704" i="24" s="1"/>
  <c r="R1696" i="24" s="1"/>
  <c r="R1695" i="24" s="1"/>
  <c r="R1705" i="24" s="1"/>
  <c r="R1699" i="24" s="1"/>
  <c r="R1709" i="24" s="1"/>
  <c r="Q1681" i="24" s="1"/>
  <c r="R1679" i="24" s="1"/>
  <c r="R1710" i="24" s="1"/>
  <c r="R1717" i="24" s="1"/>
  <c r="R1706" i="24" s="1"/>
  <c r="R1683" i="24" s="1"/>
  <c r="Q1686" i="24" s="1"/>
  <c r="R1701" i="24" s="1"/>
  <c r="Q1661" i="24" s="1"/>
  <c r="R1657" i="24" s="1"/>
  <c r="R1669" i="24" s="1"/>
  <c r="R1659" i="24" s="1"/>
  <c r="P1658" i="24" s="1"/>
  <c r="R1660" i="24" s="1"/>
  <c r="Q1664" i="24" s="1"/>
  <c r="P1662" i="24" s="1"/>
  <c r="Q1676" i="24" s="1"/>
  <c r="P1665" i="24" s="1"/>
  <c r="P1673" i="24" s="1"/>
  <c r="Q1646" i="24" s="1"/>
  <c r="R1649" i="24" s="1"/>
  <c r="R1644" i="24" s="1"/>
  <c r="Q1634" i="24" s="1"/>
  <c r="Q1633" i="24" s="1"/>
  <c r="R1632" i="24" s="1"/>
  <c r="Q1647" i="24" s="1"/>
  <c r="R1650" i="24" s="1"/>
  <c r="R1648" i="24" s="1"/>
  <c r="R1627" i="24" s="1"/>
  <c r="R1629" i="24" s="1"/>
  <c r="Q1626" i="24" s="1"/>
  <c r="R1606" i="24" s="1"/>
  <c r="R1601" i="24" s="1"/>
  <c r="R1616" i="24" s="1"/>
  <c r="R1615" i="24" s="1"/>
  <c r="P1614" i="24" s="1"/>
  <c r="P1624" i="24" s="1"/>
  <c r="P1623" i="24" s="1"/>
  <c r="R1613" i="24" s="1"/>
  <c r="R1603" i="24" s="1"/>
  <c r="R1621" i="24" s="1"/>
  <c r="R1620" i="24" s="1"/>
  <c r="Q1609" i="24" s="1"/>
  <c r="P1617" i="24" s="1"/>
  <c r="R1612" i="24" s="1"/>
  <c r="R1602" i="24" s="1"/>
  <c r="R1590" i="24" s="1"/>
  <c r="R1592" i="24" s="1"/>
  <c r="Q1593" i="24" s="1"/>
  <c r="R1583" i="24" s="1"/>
  <c r="Q1588" i="24" s="1"/>
  <c r="Q1584" i="24" s="1"/>
  <c r="R1565" i="24" s="1"/>
  <c r="R1569" i="24" s="1"/>
  <c r="Q1576" i="24" s="1"/>
  <c r="Q1568" i="24" s="1"/>
  <c r="Q1575" i="24" s="1"/>
  <c r="P1563" i="24" s="1"/>
  <c r="Q1572" i="24" s="1"/>
  <c r="Q1581" i="24" s="1"/>
  <c r="R1562" i="24" s="1"/>
  <c r="Q1577" i="24" s="1"/>
  <c r="R1573" i="24" s="1"/>
  <c r="Q1553" i="24" s="1"/>
  <c r="P1552" i="24" s="1"/>
  <c r="P1541" i="24" s="1"/>
  <c r="Q1544" i="24" s="1"/>
  <c r="R1546" i="24" s="1"/>
  <c r="Q1549" i="24" s="1"/>
  <c r="P1538" i="24" s="1"/>
  <c r="P1559" i="24" s="1"/>
  <c r="P1561" i="24" s="1"/>
  <c r="P1556" i="24" s="1"/>
  <c r="Q1551" i="24" s="1"/>
  <c r="Q1514" i="24" s="1"/>
  <c r="Q1517" i="24" s="1"/>
  <c r="R1509" i="24" s="1"/>
  <c r="Q1508" i="24" s="1"/>
  <c r="R1527" i="24" s="1"/>
  <c r="P1513" i="24" s="1"/>
  <c r="R1520" i="24" s="1"/>
  <c r="Q1516" i="24" s="1"/>
  <c r="Q1512" i="24" s="1"/>
  <c r="Q1535" i="24" s="1"/>
  <c r="R1531" i="24" s="1"/>
  <c r="R1511" i="24" s="1"/>
  <c r="R1530" i="24" s="1"/>
  <c r="Q1526" i="24" s="1"/>
  <c r="Q1525" i="24" s="1"/>
  <c r="Q1522" i="24" s="1"/>
  <c r="Q1493" i="24" s="1"/>
  <c r="P1499" i="24" s="1"/>
  <c r="R1496" i="24" s="1"/>
  <c r="Q1502" i="24" s="1"/>
  <c r="R1498" i="24" s="1"/>
  <c r="R1494" i="24" s="1"/>
  <c r="R1505" i="24" s="1"/>
  <c r="R1482" i="24" s="1"/>
  <c r="P1481" i="24" s="1"/>
  <c r="P1490" i="24" s="1"/>
  <c r="P1487" i="24" s="1"/>
  <c r="P1485" i="24" s="1"/>
  <c r="R1492" i="24" s="1"/>
  <c r="R1491" i="24" s="1"/>
  <c r="P1456" i="24" s="1"/>
  <c r="P1472" i="24" s="1"/>
  <c r="P1463" i="24" s="1"/>
  <c r="P1474" i="24" s="1"/>
  <c r="Q1477" i="24" s="1"/>
  <c r="Q1473" i="24" s="1"/>
  <c r="P1469" i="24" s="1"/>
  <c r="R1468" i="24" s="1"/>
  <c r="P1467" i="24" s="1"/>
  <c r="R1455" i="24" s="1"/>
  <c r="P1452" i="24" s="1"/>
  <c r="R1448" i="24" s="1"/>
  <c r="R1446" i="24" s="1"/>
  <c r="R1447" i="24" s="1"/>
  <c r="Q1451" i="24" s="1"/>
  <c r="Q1425" i="24" s="1"/>
  <c r="Q1434" i="24" s="1"/>
  <c r="Q1428" i="24" s="1"/>
  <c r="Q1439" i="24" s="1"/>
  <c r="P1435" i="24" s="1"/>
  <c r="Q1444" i="24" s="1"/>
  <c r="P1443" i="24" s="1"/>
  <c r="P1431" i="24" s="1"/>
  <c r="Q1430" i="24" s="1"/>
  <c r="Q1441" i="24" s="1"/>
  <c r="Q1440" i="24" s="1"/>
  <c r="R1415" i="24" s="1"/>
  <c r="P1406" i="24" s="1"/>
  <c r="R1410" i="24" s="1"/>
  <c r="P1408" i="24" s="1"/>
  <c r="P1407" i="24" s="1"/>
  <c r="P1403" i="24" s="1"/>
  <c r="Q1413" i="24" s="1"/>
  <c r="Q1412" i="24" s="1"/>
  <c r="P1405" i="24" s="1"/>
  <c r="P1393" i="24" s="1"/>
  <c r="P1402" i="24" s="1"/>
  <c r="R1383" i="24" s="1"/>
  <c r="R1381" i="24" s="1"/>
  <c r="Q1390" i="24" s="1"/>
  <c r="Q1382" i="24" s="1"/>
  <c r="P1380" i="24" s="1"/>
  <c r="Q1396" i="24" s="1"/>
  <c r="P1399" i="24" s="1"/>
  <c r="R1377" i="24" s="1"/>
  <c r="Q1400" i="24" s="1"/>
  <c r="Q1387" i="24" s="1"/>
  <c r="P1391" i="24" s="1"/>
  <c r="Q1386" i="24" s="1"/>
  <c r="R1352" i="24" s="1"/>
  <c r="P1358" i="24" s="1"/>
  <c r="Q1359" i="24" s="1"/>
  <c r="R1363" i="24" s="1"/>
  <c r="P1368" i="24" s="1"/>
  <c r="P1370" i="24" s="1"/>
  <c r="Q1365" i="24" s="1"/>
  <c r="Q1373" i="24" s="1"/>
  <c r="Q1366" i="24" s="1"/>
  <c r="Q1351" i="24" s="1"/>
  <c r="R1371" i="24" s="1"/>
  <c r="P1369" i="24" s="1"/>
  <c r="P1353" i="24" s="1"/>
  <c r="R1348" i="24" s="1"/>
  <c r="R1343" i="24" s="1"/>
  <c r="R1344" i="24" s="1"/>
  <c r="R1346" i="24" s="1"/>
  <c r="Q1345" i="24" s="1"/>
  <c r="Q1338" i="24" s="1"/>
  <c r="P1335" i="24" s="1"/>
  <c r="Q1337" i="24" s="1"/>
  <c r="R1332" i="24" s="1"/>
  <c r="Q1330" i="24" s="1"/>
  <c r="Q1322" i="24" s="1"/>
  <c r="R1329" i="24" s="1"/>
  <c r="R1326" i="24" s="1"/>
  <c r="R1324" i="24" s="1"/>
  <c r="P1328" i="24" s="1"/>
  <c r="P1319" i="24" s="1"/>
  <c r="R1309" i="24" s="1"/>
  <c r="R1315" i="24" s="1"/>
  <c r="P1316" i="24" s="1"/>
  <c r="P1311" i="24" s="1"/>
  <c r="Q1310" i="24" s="1"/>
  <c r="P1302" i="24" s="1"/>
  <c r="R1299" i="24" s="1"/>
  <c r="R1305" i="24" s="1"/>
  <c r="Q1293" i="24" s="1"/>
  <c r="P1296" i="24" s="1"/>
  <c r="P1295" i="24" s="1"/>
  <c r="P1277" i="24" s="1"/>
  <c r="R1279" i="24" s="1"/>
  <c r="P1275" i="24" s="1"/>
  <c r="Q1257" i="24" s="1"/>
  <c r="Q1268" i="24" s="1"/>
  <c r="Q1267" i="24" s="1"/>
  <c r="R1253" i="24" s="1"/>
  <c r="Q1263" i="24" s="1"/>
  <c r="P1247" i="24" s="1"/>
  <c r="P1248" i="24" s="1"/>
  <c r="Q1249" i="24" s="1"/>
  <c r="Q1251" i="24" s="1"/>
  <c r="R1227" i="24" s="1"/>
  <c r="R1205" i="24" s="1"/>
  <c r="P1232" i="24" s="1"/>
  <c r="P1217" i="24" s="1"/>
  <c r="Q1208" i="24" s="1"/>
  <c r="Q1211" i="24" s="1"/>
  <c r="Q1224" i="24" s="1"/>
  <c r="R1196" i="24" s="1"/>
  <c r="Q1220" i="24" s="1"/>
  <c r="P1233" i="24" s="1"/>
  <c r="R1195" i="24" s="1"/>
  <c r="R1181" i="24" s="1"/>
  <c r="Q1186" i="24" s="1"/>
  <c r="R1167" i="24" s="1"/>
  <c r="Q1179" i="24" s="1"/>
  <c r="R1177" i="24" s="1"/>
  <c r="Q1170" i="24" s="1"/>
  <c r="R1189" i="24" s="1"/>
  <c r="Q1133" i="24" s="1"/>
  <c r="P1158" i="24" s="1"/>
  <c r="Q1159" i="24" s="1"/>
  <c r="R1145" i="24" s="1"/>
  <c r="R1157" i="24" s="1"/>
  <c r="P1124" i="24" s="1"/>
  <c r="R1118" i="24" s="1"/>
  <c r="P1095" i="24" s="1"/>
  <c r="P1097" i="24" s="1"/>
  <c r="P1093" i="24" s="1"/>
  <c r="Q1074" i="24" s="1"/>
  <c r="Q1076" i="24" s="1"/>
  <c r="Q1078" i="24" s="1"/>
  <c r="R1054" i="24" s="1"/>
  <c r="R1069" i="24" s="1"/>
  <c r="Q1053" i="24" s="1"/>
  <c r="P1961" i="24"/>
  <c r="Q1961" i="24"/>
  <c r="R1961" i="24"/>
  <c r="R1925" i="24"/>
  <c r="P1925" i="24"/>
  <c r="Q1925" i="24"/>
  <c r="Q1934" i="24"/>
  <c r="R1934" i="24"/>
  <c r="P1934" i="24"/>
  <c r="P1933" i="24"/>
  <c r="Q1933" i="24"/>
  <c r="R1933" i="24"/>
  <c r="P1969" i="24"/>
  <c r="Q1969" i="24"/>
  <c r="R1969" i="24"/>
  <c r="R1981" i="24"/>
  <c r="P1981" i="24"/>
  <c r="Q1981" i="24"/>
  <c r="R1970" i="24"/>
  <c r="P1970" i="24"/>
  <c r="Q1970" i="24"/>
  <c r="R1956" i="24"/>
  <c r="P1956" i="24"/>
  <c r="Q1956" i="24"/>
  <c r="R1966" i="24"/>
  <c r="P1966" i="24"/>
  <c r="Q1966" i="24"/>
  <c r="Q1949" i="24"/>
  <c r="R1949" i="24"/>
  <c r="P1949" i="24"/>
  <c r="Q1974" i="24"/>
  <c r="R1974" i="24"/>
  <c r="P1974" i="24"/>
  <c r="Q1977" i="24"/>
  <c r="R1977" i="24"/>
  <c r="P1977" i="24"/>
  <c r="Q1978" i="24"/>
  <c r="R1978" i="24"/>
  <c r="P1978" i="24"/>
  <c r="P1958" i="24"/>
  <c r="Q1958" i="24"/>
  <c r="R1958" i="24"/>
  <c r="P993" i="24"/>
  <c r="P2023" i="24"/>
  <c r="Q2023" i="24"/>
  <c r="R2023" i="24"/>
  <c r="P2015" i="24"/>
  <c r="Q2015" i="24"/>
  <c r="R2015" i="24"/>
  <c r="P2018" i="24"/>
  <c r="Q2018" i="24"/>
  <c r="R2018" i="24"/>
  <c r="P2019" i="24"/>
  <c r="Q2019" i="24"/>
  <c r="R2019" i="24"/>
  <c r="P2024" i="24"/>
  <c r="Q2024" i="24"/>
  <c r="R2024" i="24"/>
  <c r="P2014" i="24"/>
  <c r="Q2014" i="24"/>
  <c r="R2014" i="24"/>
  <c r="P2025" i="24"/>
  <c r="Q2025" i="24"/>
  <c r="R2025" i="24"/>
  <c r="P2022" i="24"/>
  <c r="Q2022" i="24"/>
  <c r="R2022" i="24"/>
  <c r="P2021" i="24"/>
  <c r="Q2021" i="24"/>
  <c r="R2021" i="24"/>
  <c r="P2016" i="24"/>
  <c r="Q2016" i="24"/>
  <c r="R2016" i="24"/>
  <c r="P2020" i="24"/>
  <c r="Q2020" i="24"/>
  <c r="R2020" i="24"/>
  <c r="P2017" i="24"/>
  <c r="Q2017" i="24"/>
  <c r="R2017" i="24"/>
  <c r="O71" i="7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tc={9B8CA1FA-539F-49C1-9B5D-27CCE90D7543}</author>
  </authors>
  <commentList>
    <comment ref="Q11" authorId="0" shapeId="0" xr:uid="{9B8CA1FA-539F-49C1-9B5D-27CCE90D7543}">
      <text>
        <t>[Threaded comment]
Your version of Excel allows you to read this threaded comment; however, any edits to it will get removed if the file is opened in a newer version of Excel. Learn more: https://go.microsoft.com/fwlink/?linkid=870924
Comment:
    Actividades programadas / Actividades totales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tc={1BE165A5-45FA-4894-B911-9C814DD5FA43}</author>
  </authors>
  <commentList>
    <comment ref="Q11" authorId="0" shapeId="0" xr:uid="{1BE165A5-45FA-4894-B911-9C814DD5FA43}">
      <text>
        <t>[Threaded comment]
Your version of Excel allows you to read this threaded comment; however, any edits to it will get removed if the file is opened in a newer version of Excel. Learn more: https://go.microsoft.com/fwlink/?linkid=870924
Comment:
    Actividades programadas / Actividades totales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4B6EEC-C616-4A31-BDEA-502879C527CA}" odcFile="C:\Users\giancarlo.mamani\Downloads\query - 2026-06-23T082334.128.iqy" keepAlive="1" name="query - 2026-06-23T082334.128" type="5" refreshedVersion="8" minRefreshableVersion="3" saveData="1">
    <dbPr connection="Provider=Microsoft.Office.List.OLEDB.2.0;Data Source=&quot;&quot;;ApplicationName=Excel;Version=12.0.0.0" command="&lt;LIST&gt;&lt;VIEWGUID&gt;519A3980-8512-41B0-8C66-3BB2506D44FA&lt;/VIEWGUID&gt;&lt;LISTNAME&gt;e38fcd7b-5a61-42d6-8a8d-76ae4e583b0f&lt;/LISTNAME&gt;&lt;LISTWEB&gt;https://fabdechocolateslaiberica.sharepoint.com/sites/Registrosdemantenimiento/_vti_bin&lt;/LISTWEB&gt;&lt;LISTSUBWEB&gt;&lt;/LISTSUBWEB&gt;&lt;ROOTFOLDER&gt;&lt;/ROOTFOLDER&gt;&lt;/LIST&gt;" commandType="5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<sst xmlns="http://schemas.openxmlformats.org/spreadsheetml/2006/main" count="22399" uniqueCount="5363">
  <si>
    <t>REPORTE DIARIO DE TÉCNICOS</t>
  </si>
  <si>
    <t>FECHA</t>
  </si>
  <si>
    <t>TECNICO</t>
  </si>
  <si>
    <t>TURNO</t>
  </si>
  <si>
    <t>HR. INICIO</t>
  </si>
  <si>
    <t>HR. FIN</t>
  </si>
  <si>
    <t>T.Total</t>
  </si>
  <si>
    <t>MAQUINA/AREA/EQUIPO</t>
  </si>
  <si>
    <t>CLASIFICACIÓN</t>
  </si>
  <si>
    <t>TIPO ACTIVIDAD</t>
  </si>
  <si>
    <t>P/NP</t>
  </si>
  <si>
    <t>M/E</t>
  </si>
  <si>
    <t>DESCRIPCION DE TRABAJO</t>
  </si>
  <si>
    <t>ACTIVIDAD CORRECTIVO</t>
  </si>
  <si>
    <t>PIEZA</t>
  </si>
  <si>
    <t>PARTE</t>
  </si>
  <si>
    <t>PARTE 1</t>
  </si>
  <si>
    <t>PARTE 2</t>
  </si>
  <si>
    <t>PARTE 3</t>
  </si>
  <si>
    <t>DETALLE</t>
  </si>
  <si>
    <t>PIEZA - PARTE</t>
  </si>
  <si>
    <t>ACUM</t>
  </si>
  <si>
    <t>Carlos Puma</t>
  </si>
  <si>
    <t>TARDE</t>
  </si>
  <si>
    <t>EMP. SACMI</t>
  </si>
  <si>
    <t>Trabajos menores</t>
  </si>
  <si>
    <t>Apoyo a personal tercero retirando polin dañado para toma de medidas</t>
  </si>
  <si>
    <t>HACOS 1</t>
  </si>
  <si>
    <t>Sustitucion</t>
  </si>
  <si>
    <t>Error en C-14</t>
  </si>
  <si>
    <t>Se hizo cambio de resorte de empujador de moldes, se reemplaza piston, se calibro sensores y se regulo el recorrido y velocidad de piston</t>
  </si>
  <si>
    <t>EMP. FLOWPACK 2</t>
  </si>
  <si>
    <t>SET UP</t>
  </si>
  <si>
    <t>Cambio de formato bitesize</t>
  </si>
  <si>
    <t>Se cambio cadena, empujadores y mordaza</t>
  </si>
  <si>
    <t>Cesar Quiroz</t>
  </si>
  <si>
    <t>MAÑANA</t>
  </si>
  <si>
    <t>Cambio de mordaza para minimilky</t>
  </si>
  <si>
    <t>Omar Nina</t>
  </si>
  <si>
    <t>NOCHE</t>
  </si>
  <si>
    <t>Cambio de formato a crema ovalada</t>
  </si>
  <si>
    <t>Se retiro plancha y usillo para lavar y se cambio cuchilla</t>
  </si>
  <si>
    <t>MAQUINARIA DE PLANTA</t>
  </si>
  <si>
    <t>Encendido / Arranque de linea</t>
  </si>
  <si>
    <t>Arranque de equipos de planta</t>
  </si>
  <si>
    <t>Armado de formato x50 agregados en MDS</t>
  </si>
  <si>
    <t>Armado de formato cremas en MDS</t>
  </si>
  <si>
    <t>Desarmado de formato agregados x50 MDS</t>
  </si>
  <si>
    <t>Desarmado de formato x100 agregados en MDS</t>
  </si>
  <si>
    <t>5TO PISO</t>
  </si>
  <si>
    <t>Apoyo a calidad colocando dispensado de papel</t>
  </si>
  <si>
    <t>Programa no responde</t>
  </si>
  <si>
    <t xml:space="preserve">Se reinicia ambos tableros y se probo. Queda operativo </t>
  </si>
  <si>
    <t xml:space="preserve">Se apoya a calidad colocando dispensador </t>
  </si>
  <si>
    <t>Inspección</t>
  </si>
  <si>
    <t>Inspeccion de equipo</t>
  </si>
  <si>
    <t>FORRADORA AUTOMATICA</t>
  </si>
  <si>
    <t>Ajuste /Calibracion</t>
  </si>
  <si>
    <t>Faja detenida</t>
  </si>
  <si>
    <t>Se alineo faja y se dio seguimiento</t>
  </si>
  <si>
    <t>NETCH</t>
  </si>
  <si>
    <t>Limpieza</t>
  </si>
  <si>
    <t>Se desarma equipo para limpieza</t>
  </si>
  <si>
    <t>Inspeccion de funcionamiento de maquinas</t>
  </si>
  <si>
    <t>HANSEL</t>
  </si>
  <si>
    <t>Laminado se mueve nose puede calibrar</t>
  </si>
  <si>
    <t>Se apoyo en la alineacion de laminado. Se realizo pruebas</t>
  </si>
  <si>
    <t>MINIFLEX</t>
  </si>
  <si>
    <t>Al sellar hace agujeros en la parte inferior de la caja</t>
  </si>
  <si>
    <t>Se cambio posicion de teflones de sellado, se hace preubas con producto. Queda operativo</t>
  </si>
  <si>
    <t>MOLINO REBOTE</t>
  </si>
  <si>
    <t xml:space="preserve">No deja encender, sale alarma </t>
  </si>
  <si>
    <t>Se limpio sensor y se encendio. Se deja trabajando</t>
  </si>
  <si>
    <t>CYCLOP</t>
  </si>
  <si>
    <t xml:space="preserve">Revision de funcionamiento </t>
  </si>
  <si>
    <t xml:space="preserve">Alineacion de guiadores, regularizacion de sensor </t>
  </si>
  <si>
    <t>Armado de equipo</t>
  </si>
  <si>
    <t>GIANINI 1 - FAMAIC</t>
  </si>
  <si>
    <t>Ruido al girar</t>
  </si>
  <si>
    <t>Se realizo pruebas y del ruido nose manifesto (ruido intermitente)</t>
  </si>
  <si>
    <t>Inspeccion de equipo  (piston C-14)</t>
  </si>
  <si>
    <t>EMP. AMP ROSE</t>
  </si>
  <si>
    <t>Cuchilla no corta</t>
  </si>
  <si>
    <t>Se calibro cuchilla</t>
  </si>
  <si>
    <t>Temperatura de columnas se baja</t>
  </si>
  <si>
    <t>Se reviso nivel de agua de tanque. Se reviso retorno, se modifico seteado de agua fria, se modifico velocidad de bomba</t>
  </si>
  <si>
    <t>BAÑADORA DE CHOCOLATES 1</t>
  </si>
  <si>
    <t xml:space="preserve">Se retiro filtro para limpieza </t>
  </si>
  <si>
    <t>CARLOS TAPIA</t>
  </si>
  <si>
    <t>08:30</t>
  </si>
  <si>
    <t>09:50</t>
  </si>
  <si>
    <t>1ER PISO</t>
  </si>
  <si>
    <t>NO PROGRAMADA</t>
  </si>
  <si>
    <t>MECÁNICA</t>
  </si>
  <si>
    <t>Bomba del tanque de retorno se encuentra obstruida.</t>
  </si>
  <si>
    <t>Se retiró tuberías conectadas a bomba y se retiró el trapeador que se encontraba obstruyendo el impulsor.</t>
  </si>
  <si>
    <t>10:00</t>
  </si>
  <si>
    <t>11:00</t>
  </si>
  <si>
    <t>BARQUILLERA FRANZ HAAZ</t>
  </si>
  <si>
    <t>Armar máquina para el turno tarde.</t>
  </si>
  <si>
    <t>Se colocó piezas en posición y se dejó habilitada para el turno tarde.</t>
  </si>
  <si>
    <t>05:30</t>
  </si>
  <si>
    <t>06:20</t>
  </si>
  <si>
    <t>PLANTA INDUSTRIAL</t>
  </si>
  <si>
    <t>Arranque de planta.</t>
  </si>
  <si>
    <t>Se encendió líneas de vapor agua y aire. Se revisó y encendió equipos.</t>
  </si>
  <si>
    <t>12:40</t>
  </si>
  <si>
    <t>13:30</t>
  </si>
  <si>
    <t xml:space="preserve">COCINADORA 3 - GIANNINI </t>
  </si>
  <si>
    <t>Fuga de vapor por empaque (brida).</t>
  </si>
  <si>
    <t>Se retiró brida para el reemplazo de empaque. Se dejó operativa.</t>
  </si>
  <si>
    <t>CARLOS PUMA</t>
  </si>
  <si>
    <t>01:00</t>
  </si>
  <si>
    <t>01:45</t>
  </si>
  <si>
    <t>QUEBRANTADOR DE CACAO  01 JAF INOX</t>
  </si>
  <si>
    <t>Problemas con aspiración de ciclo jafinox ,</t>
  </si>
  <si>
    <t>Se invirtió el giro de motor de aspiración y de motor de salida de cascarilla , se reviso circuito eléctrico y se realizó un puente ala bobina del contactor de motor de salida para habilitar el encendido con interruptor del teblero</t>
  </si>
  <si>
    <t>21:55</t>
  </si>
  <si>
    <t>22:25</t>
  </si>
  <si>
    <t>LINEA AUTOMATICA HACOS 1</t>
  </si>
  <si>
    <t>Armado de mds para formato crema ovalada</t>
  </si>
  <si>
    <t/>
  </si>
  <si>
    <t>06:30</t>
  </si>
  <si>
    <t>07:00</t>
  </si>
  <si>
    <t>Desarmar módulo MDS para su limpieza.</t>
  </si>
  <si>
    <t>Se desarmo módulo de MDS.</t>
  </si>
  <si>
    <t>07:30</t>
  </si>
  <si>
    <t>08:00</t>
  </si>
  <si>
    <t>FORRADORA AUTOMATICA 02</t>
  </si>
  <si>
    <t>Inspección de máquina.</t>
  </si>
  <si>
    <t>Se revisó y se calibró la altura de la mesa Se realizó pruebas y se dejó máquina operativa.</t>
  </si>
  <si>
    <t>OMAR NINA</t>
  </si>
  <si>
    <t>08:03</t>
  </si>
  <si>
    <t xml:space="preserve">Armado de MDS para formato frambuesa </t>
  </si>
  <si>
    <t>22:35</t>
  </si>
  <si>
    <t>22:59</t>
  </si>
  <si>
    <t>CONCHA CLOVER 01</t>
  </si>
  <si>
    <t xml:space="preserve">Se retiró tapas, rejillas y guardas para limpieza </t>
  </si>
  <si>
    <t>13:46</t>
  </si>
  <si>
    <t>14:10</t>
  </si>
  <si>
    <t>EMP. NAPOLITANA</t>
  </si>
  <si>
    <t xml:space="preserve">Llenado de aceite </t>
  </si>
  <si>
    <t>02:50</t>
  </si>
  <si>
    <t>03:10</t>
  </si>
  <si>
    <t>Inspección de parámetros de nivel de tanque de masa</t>
  </si>
  <si>
    <t>02:00</t>
  </si>
  <si>
    <t>02:20</t>
  </si>
  <si>
    <t>CODIFICADORA  LASER MACSA 4TO PISO</t>
  </si>
  <si>
    <t>ELÉCTRICA</t>
  </si>
  <si>
    <t xml:space="preserve">No detecta señal de sensor </t>
  </si>
  <si>
    <t xml:space="preserve">Se configuro parámetros y tipo de sensor a usar , se aseguro conexiones y se hizo pruebas </t>
  </si>
  <si>
    <t>10:55</t>
  </si>
  <si>
    <t>11:15</t>
  </si>
  <si>
    <t>EMP. 2 - CARLE MONTANARY</t>
  </si>
  <si>
    <t xml:space="preserve">Inspección funcionamiento de equipo </t>
  </si>
  <si>
    <t>00:03</t>
  </si>
  <si>
    <t>00:20</t>
  </si>
  <si>
    <t>PROGRAMADA</t>
  </si>
  <si>
    <t>Se apoyó en el ajuste de manguera de masa y se regulo parámetros de nivel del tanque de masa</t>
  </si>
  <si>
    <t>08:35</t>
  </si>
  <si>
    <t>08:51</t>
  </si>
  <si>
    <t>Temperatura de túnel de enfriamiento demorar en bajar</t>
  </si>
  <si>
    <t xml:space="preserve">Se agrega refrigerante a compresor </t>
  </si>
  <si>
    <t>07:07</t>
  </si>
  <si>
    <t>07:22</t>
  </si>
  <si>
    <t>RAYOS X 1</t>
  </si>
  <si>
    <t xml:space="preserve">Apoyo retirando faja central para limpieza </t>
  </si>
  <si>
    <t>00:30</t>
  </si>
  <si>
    <t>00:45</t>
  </si>
  <si>
    <t>PROCESADORA DE MASAS - NETZSCH</t>
  </si>
  <si>
    <t xml:space="preserve">Desarme de equipo por limpieza </t>
  </si>
  <si>
    <t>21:30</t>
  </si>
  <si>
    <t>21:45</t>
  </si>
  <si>
    <t>TOSTADOR CARLE MONTANARY</t>
  </si>
  <si>
    <t xml:space="preserve">Reportan válvulas de gas abiertas </t>
  </si>
  <si>
    <t>Se reviso estado de válvulas de gas</t>
  </si>
  <si>
    <t>07:45</t>
  </si>
  <si>
    <t>07:58</t>
  </si>
  <si>
    <t>Colocación de faja</t>
  </si>
  <si>
    <t>JOSÉ HAÑARI</t>
  </si>
  <si>
    <t xml:space="preserve">Habilitar extensión grageadora </t>
  </si>
  <si>
    <t xml:space="preserve">Se habilita extensión en grageadora </t>
  </si>
  <si>
    <t>ENCELOFANADORA ECCOPAC</t>
  </si>
  <si>
    <t>Cambio de formato.</t>
  </si>
  <si>
    <t>Se realizó el cambio de formato en máquina.</t>
  </si>
  <si>
    <t>BATIDORA DE HUEVOS 02 NOVA</t>
  </si>
  <si>
    <t>Reparacion</t>
  </si>
  <si>
    <t xml:space="preserve">Agitador tiene óxido en los pernos </t>
  </si>
  <si>
    <t>Se lleva a taller y se inicia con el cambio de pernos y pulido</t>
  </si>
  <si>
    <t>Cambio de formato de pisco x9 a milky</t>
  </si>
  <si>
    <t xml:space="preserve">Cambio de piezas y calibración de equipo </t>
  </si>
  <si>
    <t>CESAR QUIROZ</t>
  </si>
  <si>
    <t>EMP. SAPAL</t>
  </si>
  <si>
    <t>Cambio de formato para barras x50</t>
  </si>
  <si>
    <t>Reportan que equipo se apagó. Guardamotor th9 protegido</t>
  </si>
  <si>
    <t>Se revisó tensión de línea principal. Se revisó ventiladores y se inicia equipo.</t>
  </si>
  <si>
    <t>Limpieza de módulo mds</t>
  </si>
  <si>
    <t>Desarmado de formato cremas de mds</t>
  </si>
  <si>
    <t>EMP. 1 - CHOCOTECH</t>
  </si>
  <si>
    <t xml:space="preserve">Se regula aspiración de cascarilla </t>
  </si>
  <si>
    <t xml:space="preserve">Contra elevador doblado y rajado </t>
  </si>
  <si>
    <t xml:space="preserve">Se corrige dobaduras y se refuersa con soldadura </t>
  </si>
  <si>
    <t>MOLINO BILLAS</t>
  </si>
  <si>
    <t>No inicia, tablero de tanque de pasta gruesa desactivado</t>
  </si>
  <si>
    <t xml:space="preserve">Se habilitó tablero de tanque de pasta gruesa, se verifico calentamiento de chaqueta, se encendio molino de villas, se dejó trabajando </t>
  </si>
  <si>
    <t>CODIFICADORA  MARKEM IMAJE 9450 4TO PISO</t>
  </si>
  <si>
    <t>No imprime bien</t>
  </si>
  <si>
    <t xml:space="preserve">Se realizó limpieza de cabezal y se realizó pruebas de funcionamiento </t>
  </si>
  <si>
    <t>DESINFECCION DE CASTAÑA</t>
  </si>
  <si>
    <t xml:space="preserve">Revisión de equipo, operador necesita hacer hervir agua </t>
  </si>
  <si>
    <t>Se revisó válvulas y se hizo hervir.</t>
  </si>
  <si>
    <t>CONCHA CLOVER 02</t>
  </si>
  <si>
    <t xml:space="preserve">Inspección visual de equipo </t>
  </si>
  <si>
    <t>Se informa de fisura en chaqueta de agua.</t>
  </si>
  <si>
    <t xml:space="preserve">Se dió seguimiento al funcionamiento de máquina </t>
  </si>
  <si>
    <t>CALDERO, CHRILLER Y COMPRESOR</t>
  </si>
  <si>
    <t>Revisión de funcionamiento y parámetros de trabajo de equipos</t>
  </si>
  <si>
    <t>BATIDORA DE HUEVOS 01 SUPERMAP</t>
  </si>
  <si>
    <t xml:space="preserve">Accesorio con presencia de oxido en pernos </t>
  </si>
  <si>
    <t xml:space="preserve">Se apoyo en el cambio de pernos y limpieza de oxido </t>
  </si>
  <si>
    <t xml:space="preserve">Temperadora bloqueada, no hay chocolate en tanque </t>
  </si>
  <si>
    <t xml:space="preserve">Se restablece guardamotor y se deja en modo calentamiento </t>
  </si>
  <si>
    <t>RAYOS X 2</t>
  </si>
  <si>
    <t xml:space="preserve">Equipo presenta error E8 y E9. </t>
  </si>
  <si>
    <t>Se revisó equipo y se restableció enfriador.</t>
  </si>
  <si>
    <t xml:space="preserve">Inspección de equipo </t>
  </si>
  <si>
    <t xml:space="preserve">Ajuste de medida 4 y apoyo en configuración de formato de fecha </t>
  </si>
  <si>
    <t>No enciende la mesa de vibración con el pulsador de reset.</t>
  </si>
  <si>
    <t>Se revisa conección eléctrica. Estado de relés.</t>
  </si>
  <si>
    <t>Aplasta cajas, y no sella</t>
  </si>
  <si>
    <t>Se calibra presión inicial de cajas. Altura de cuchilla y plegadores</t>
  </si>
  <si>
    <t xml:space="preserve">Alarma de temperatura no deja iniciar equipo </t>
  </si>
  <si>
    <t xml:space="preserve">Se realiza limpieza de condensador y se realiza pruebas de funcionamiento </t>
  </si>
  <si>
    <t>Armado de formato agregados x100 en mds</t>
  </si>
  <si>
    <t xml:space="preserve">Equipo aplasta las cajas </t>
  </si>
  <si>
    <t xml:space="preserve">Se calibro sellador principal, laminado y apertura de mesa, se hizo pruebas y apoyó en la operación </t>
  </si>
  <si>
    <t>POZOS</t>
  </si>
  <si>
    <t xml:space="preserve">Inspección de nivel de agua </t>
  </si>
  <si>
    <t>CYCLOP 80 / F.HUECAS</t>
  </si>
  <si>
    <t>Se revisó y habilitó máquina.</t>
  </si>
  <si>
    <t xml:space="preserve">Inspección de funcionamiento de equipo </t>
  </si>
  <si>
    <t>TOSTADOR PETRONCINI</t>
  </si>
  <si>
    <t>No permite llenar la tolva, el tablero tiene activo el indicador de tolva llena.</t>
  </si>
  <si>
    <t>Se calibra posición de sensor.</t>
  </si>
  <si>
    <t>MEZCLADORA DE DOBLE EJE SSHS40</t>
  </si>
  <si>
    <t>Lubricación</t>
  </si>
  <si>
    <t>Máquina sin presencia de grasa</t>
  </si>
  <si>
    <t xml:space="preserve">Se lubrico equipo por puntos de engrase </t>
  </si>
  <si>
    <t xml:space="preserve">Revisión de funcionamiento y parámetros de trabajo </t>
  </si>
  <si>
    <t>Apoyo en calibración de puntos de goma</t>
  </si>
  <si>
    <t>TUNEL DE ENFRIAMIENTO WHESTONE</t>
  </si>
  <si>
    <t>Reportan que moldes se atoran en el interior del tunel</t>
  </si>
  <si>
    <t>Se reviso que no exista obtruccions , se realizó una limpieza parcial de guías y se tenso guias</t>
  </si>
  <si>
    <t xml:space="preserve">Pieza de empujador suelta fuera de pocision </t>
  </si>
  <si>
    <t>Se reconecto pieza a su respectiva base y se regulo embrague , se hizo pruebas en vacio</t>
  </si>
  <si>
    <t xml:space="preserve">Reconexión habilitación de motor de faja de ingreso a clovers </t>
  </si>
  <si>
    <t>LINEA DE COCCION HANSEL</t>
  </si>
  <si>
    <t xml:space="preserve">Apoyo en máquina </t>
  </si>
  <si>
    <t>Se ajusto uniones sms de tuberías de descarga</t>
  </si>
  <si>
    <t>Inspección de equipos en uso durante el turno</t>
  </si>
  <si>
    <t>13:08</t>
  </si>
  <si>
    <t>14:03</t>
  </si>
  <si>
    <t xml:space="preserve">Revisión de circuitos y tableros eléctricos </t>
  </si>
  <si>
    <t xml:space="preserve">Se hace inspección de circuitos eléctricos del primer piso </t>
  </si>
  <si>
    <t>16:00</t>
  </si>
  <si>
    <t>16:40</t>
  </si>
  <si>
    <t>BAÑADORA DE CHOCOLATE 2</t>
  </si>
  <si>
    <t xml:space="preserve">Se habilita la faja de tranporte de producto y se regula temperatura de cabina </t>
  </si>
  <si>
    <t>19:00</t>
  </si>
  <si>
    <t>19:40</t>
  </si>
  <si>
    <t>LINEA AUTOMATICA HACOS 2</t>
  </si>
  <si>
    <t xml:space="preserve">Sobre torque de línea </t>
  </si>
  <si>
    <t xml:space="preserve">Se realiza punto cero a la linea u se verifica los moldes con apoyo de cesar </t>
  </si>
  <si>
    <t>14:38</t>
  </si>
  <si>
    <t>15:15</t>
  </si>
  <si>
    <t xml:space="preserve">Problemas con el rodillo de arrastre, papel se arruga constantemente </t>
  </si>
  <si>
    <t>Se desarmo y se realizó limpieza y correcta instalación, se lubrico y se realizó pruebas</t>
  </si>
  <si>
    <t>18:15</t>
  </si>
  <si>
    <t>18:50</t>
  </si>
  <si>
    <t xml:space="preserve">Rodillo de arrastre de la vpack arruga el papel aluminio </t>
  </si>
  <si>
    <t xml:space="preserve">Se realiza limpieza de eje y rodamientos y se verifica los gomas con cesar </t>
  </si>
  <si>
    <t>14:00</t>
  </si>
  <si>
    <t>14:30</t>
  </si>
  <si>
    <t xml:space="preserve">Se desarma MDS para limpieza </t>
  </si>
  <si>
    <t>15:29</t>
  </si>
  <si>
    <t>15:54</t>
  </si>
  <si>
    <t>CAMARA DE FRIO</t>
  </si>
  <si>
    <t>Camara de frío sale agua de condensado, acumulación de hielo</t>
  </si>
  <si>
    <t>Se retiro bandeja y se realizó limpieza y descongelacion</t>
  </si>
  <si>
    <t>16:18</t>
  </si>
  <si>
    <t>Moldes de juntan en salida de torre</t>
  </si>
  <si>
    <t>Se regulo presión de rascadores, se realizó pruebas</t>
  </si>
  <si>
    <t>02:30</t>
  </si>
  <si>
    <t>CALDERO 100 BHP</t>
  </si>
  <si>
    <t>Alarma falla de llama</t>
  </si>
  <si>
    <t xml:space="preserve">Se confirmo alarma se reseteo programa , se hizo las purgas de nivel y fondo y se dió seguimiento </t>
  </si>
  <si>
    <t>17:50</t>
  </si>
  <si>
    <t>18:10</t>
  </si>
  <si>
    <t>GARITA</t>
  </si>
  <si>
    <t>Se hace inspección de luminaria de garita y se saca medidas</t>
  </si>
  <si>
    <t>12:39</t>
  </si>
  <si>
    <t>12:58</t>
  </si>
  <si>
    <t>Revisión de funcionamiento y parámetros dé trabajo</t>
  </si>
  <si>
    <t>05:00</t>
  </si>
  <si>
    <t xml:space="preserve">Reportan ruido anómalo en equipo </t>
  </si>
  <si>
    <t xml:space="preserve">Se dió seguimiento al funcionamiento </t>
  </si>
  <si>
    <t>14:07</t>
  </si>
  <si>
    <t>14:23</t>
  </si>
  <si>
    <t>Problemas con la dosificación de goma</t>
  </si>
  <si>
    <t>Se realizó purga y limpieza, se regulo cantidad de salida de goma</t>
  </si>
  <si>
    <t>16:45</t>
  </si>
  <si>
    <t>17:00</t>
  </si>
  <si>
    <t>BAÑADORA DE CHOCOLATE 1</t>
  </si>
  <si>
    <t xml:space="preserve">Faja de tranporte de túnel de bañadora fuera de punto </t>
  </si>
  <si>
    <t xml:space="preserve">Se regula la faja a punto de trabajo </t>
  </si>
  <si>
    <t>04:15</t>
  </si>
  <si>
    <t>04:30</t>
  </si>
  <si>
    <t xml:space="preserve">Apoyó en regulacion mecánica de piezas guías de entrada </t>
  </si>
  <si>
    <t>04:36</t>
  </si>
  <si>
    <t>04:50</t>
  </si>
  <si>
    <t>Falla actuador b6</t>
  </si>
  <si>
    <t xml:space="preserve">Se apoyó regulando velocidad de actuador, se dió seguimiento </t>
  </si>
  <si>
    <t>Sobre torque a530 molde atascado empujador dañado</t>
  </si>
  <si>
    <t>Se retiro molde y restos se retiro empujador y se enderezo empujador y bases, se monto empujador se retiro moldes se coloco en punto O torre de bajada y se subida se hizo pruebas</t>
  </si>
  <si>
    <t xml:space="preserve">Pinzas gastadas sueltan el producto </t>
  </si>
  <si>
    <t>Se retiró pinzas para cambio de gomas</t>
  </si>
  <si>
    <t>Limpieza de zona de carga. Sopletear equipos.</t>
  </si>
  <si>
    <t>Se limpio y sopleteo de carga.Se limpio zona de carga.</t>
  </si>
  <si>
    <t>TALLER DE MANTENIMIENTO</t>
  </si>
  <si>
    <t>Orden y limpieza del taller .</t>
  </si>
  <si>
    <t>Se limpio y ordenó mesa de trabajo.</t>
  </si>
  <si>
    <t>CORTADORA DE TURRON</t>
  </si>
  <si>
    <t>Base de corte no avanza libremente por su guía.</t>
  </si>
  <si>
    <t>Se limpio guía y se lubricó máquina.</t>
  </si>
  <si>
    <t>Revisar niveles de agua en tanques.</t>
  </si>
  <si>
    <t>Se llenó agua en los tanques de la temperadora.</t>
  </si>
  <si>
    <t>Robot de desmolde deja caer producto</t>
  </si>
  <si>
    <t xml:space="preserve">Se reviso y remplazo gomas de sistema de succion </t>
  </si>
  <si>
    <t xml:space="preserve">Apoyó  en máquina </t>
  </si>
  <si>
    <t xml:space="preserve">Se apoyó regulando fajas guías y se dió seguimiento </t>
  </si>
  <si>
    <t xml:space="preserve">Cambio de plancha de Mds , de crema redonda a fondy menta </t>
  </si>
  <si>
    <t>Se dió seguimiento al funcionamiento de máquina.</t>
  </si>
  <si>
    <t>Cambio de formato d emilky a minimilky</t>
  </si>
  <si>
    <t xml:space="preserve">Temperadora bloqueada </t>
  </si>
  <si>
    <t>Se reviso y aumento agua en tanques, se verifico retorno y se dejó calentando</t>
  </si>
  <si>
    <t>Molde atorado en intercambiador de moldes</t>
  </si>
  <si>
    <t>Se retiró molde y se realizó la limpieza de sensor de intercambiador de moldes</t>
  </si>
  <si>
    <t>Cambio de formato de milky x10 a pisco x 9</t>
  </si>
  <si>
    <t>Coordinacion</t>
  </si>
  <si>
    <t xml:space="preserve">Regularizacion de reportes diarios y formato de paradas no programadas </t>
  </si>
  <si>
    <t>Sopletear y limpieza zona de carga de apiladores.</t>
  </si>
  <si>
    <t>Se limpio y sopleteo zona de carga de los apiladores.</t>
  </si>
  <si>
    <t xml:space="preserve">Cambio de formato mds </t>
  </si>
  <si>
    <t>Se desarmo formato de agregados x100 y se armó formato de agregados x50</t>
  </si>
  <si>
    <t>Reportan ruido en sacmi</t>
  </si>
  <si>
    <t>Se informo a jefe de mantenimiento, se dió seguimiento al funcionamiento con velocidad 400</t>
  </si>
  <si>
    <t>Se retiró base dañada de cadena</t>
  </si>
  <si>
    <t xml:space="preserve">Perno robado no se puede retirar </t>
  </si>
  <si>
    <t xml:space="preserve">Se retiró perno con extractor y se remplazo </t>
  </si>
  <si>
    <t xml:space="preserve">Desarmado de MDS formato agregados x50 </t>
  </si>
  <si>
    <t>Arranque de equipos de planta, verificación de nivel de pozos</t>
  </si>
  <si>
    <t>Armado de máquina.</t>
  </si>
  <si>
    <t>Se realizó el armado de máquina.</t>
  </si>
  <si>
    <t>Peineta de quebrantado no gira, faja rota</t>
  </si>
  <si>
    <t xml:space="preserve">Se reemplaza faja y se alinea poleas. Queda operativo </t>
  </si>
  <si>
    <t>2DO PISO</t>
  </si>
  <si>
    <t>Se arma mds a formato Agregado x50</t>
  </si>
  <si>
    <t>Desarmar máquina para su limpieza.</t>
  </si>
  <si>
    <t>Se retiró piezas para su limpieza.</t>
  </si>
  <si>
    <t>Armar máquina.</t>
  </si>
  <si>
    <t>Se colocó piezas en posición.</t>
  </si>
  <si>
    <t xml:space="preserve">Desarmado de equipo para limpieza </t>
  </si>
  <si>
    <t>Armar y habilitar máquina.</t>
  </si>
  <si>
    <t>Se colocó piezas y se habilitó máquina.</t>
  </si>
  <si>
    <t>Armado de MDS, formato agregados x100</t>
  </si>
  <si>
    <t>Desarmado de equipo para limpieza semanal</t>
  </si>
  <si>
    <t xml:space="preserve">Se retira husillo de MDS para limpieza, formato agregados x50. Se esperó que termine limpieza y se volvió a colocar </t>
  </si>
  <si>
    <t>No jala etiqueta, plegado sale mal</t>
  </si>
  <si>
    <t xml:space="preserve">Calibración de altura de boquilla de succión de laminado. Calibración de plegadores </t>
  </si>
  <si>
    <t xml:space="preserve">Se retira husillo para limpieza y se vuelve a colocar </t>
  </si>
  <si>
    <t>Producto sale con manchas</t>
  </si>
  <si>
    <t xml:space="preserve">Se regula presión de contraelevador </t>
  </si>
  <si>
    <t>CHILLER YORK 150 TON</t>
  </si>
  <si>
    <t xml:space="preserve">Revisar y cambiar el seteado de 8 a 10 grados. </t>
  </si>
  <si>
    <t xml:space="preserve">Se apoyo con la revisión y cambio del seteado </t>
  </si>
  <si>
    <t xml:space="preserve">Apoyo en movimiento de guías y plato de samfill para limpieza </t>
  </si>
  <si>
    <t xml:space="preserve">No corta laminado </t>
  </si>
  <si>
    <t>Calibración de cuchilla fija</t>
  </si>
  <si>
    <t>Revisar niveles de agua en tanques de temperadora.</t>
  </si>
  <si>
    <t>Se revisó y llenó agua a tanques.</t>
  </si>
  <si>
    <t>Seguimiento / Pruebas</t>
  </si>
  <si>
    <t xml:space="preserve">Pruebas en equipo con producto </t>
  </si>
  <si>
    <t>11:50</t>
  </si>
  <si>
    <t>13:50</t>
  </si>
  <si>
    <t>Cambio de formato de milky a piscox18.</t>
  </si>
  <si>
    <t>Se retiró piezas de máquina para el cambio de formato solicitado. Se cambió formato y se calibró corte y sellado.</t>
  </si>
  <si>
    <t>23:50</t>
  </si>
  <si>
    <t>01:30</t>
  </si>
  <si>
    <t xml:space="preserve">Se desmonta transmisión, se corta parte dañada de anillo de presión y se realiza pruebas. </t>
  </si>
  <si>
    <t>07:20</t>
  </si>
  <si>
    <t>08:20</t>
  </si>
  <si>
    <t>Cambio de formato a barra por 50gr.</t>
  </si>
  <si>
    <t>Se cambió formato en máquina.</t>
  </si>
  <si>
    <t>10:45</t>
  </si>
  <si>
    <t>11:45</t>
  </si>
  <si>
    <t>M.General</t>
  </si>
  <si>
    <t>Trasladar máquinas y equipos al almacén de máquina.</t>
  </si>
  <si>
    <t>Se forró equipo para el guardado en almacén. Se trasladó equipos.</t>
  </si>
  <si>
    <t>09:15</t>
  </si>
  <si>
    <t>Apoyo en máquina.</t>
  </si>
  <si>
    <t>Se apoyo cambiando la cadena para el formato de funcionamiento size.</t>
  </si>
  <si>
    <t>01:35</t>
  </si>
  <si>
    <t>Lanzador de producto descalibrado, choca con cuchilla de corte de masa</t>
  </si>
  <si>
    <t xml:space="preserve">Se retira guardas, se calibra y se realiza pruebas </t>
  </si>
  <si>
    <t>22:20</t>
  </si>
  <si>
    <t>23:00</t>
  </si>
  <si>
    <t>Reportan ruido en temperadora desde turno anterior.</t>
  </si>
  <si>
    <t>Se revisa sistemas de transmisión de agitadores, un agitador no gira.</t>
  </si>
  <si>
    <t>03:55</t>
  </si>
  <si>
    <t>Se vuelve a desmontar transmisión de eje del agitador en temperadora.</t>
  </si>
  <si>
    <t xml:space="preserve">Se deja para el siguiente turno para realizar cambio de anillo </t>
  </si>
  <si>
    <t>23:10</t>
  </si>
  <si>
    <t>23:40</t>
  </si>
  <si>
    <t>Armado de equipo, se encuentra un oring roto</t>
  </si>
  <si>
    <t xml:space="preserve">Se buscó oring y se reemplaza </t>
  </si>
  <si>
    <t>21:31</t>
  </si>
  <si>
    <t>22:00</t>
  </si>
  <si>
    <t xml:space="preserve">Armado de equipo para formato chocotejas </t>
  </si>
  <si>
    <t>04:48</t>
  </si>
  <si>
    <t>05:15</t>
  </si>
  <si>
    <t>06:00</t>
  </si>
  <si>
    <t>Inspección de máquina. Error B2.</t>
  </si>
  <si>
    <t>Se revisó pistón B2.</t>
  </si>
  <si>
    <t>03:25</t>
  </si>
  <si>
    <t>03:40</t>
  </si>
  <si>
    <t>Problemas continuos en a12, empuja solo medio molde.</t>
  </si>
  <si>
    <t>Se calibra posición de sensores de actuador neumático y se regula flujo de aire.</t>
  </si>
  <si>
    <t>07:15</t>
  </si>
  <si>
    <t>EMP. FLOWPACK 1</t>
  </si>
  <si>
    <t>Lubricar cadena.</t>
  </si>
  <si>
    <t>Se revisó cadena y se lubricó.</t>
  </si>
  <si>
    <t>22:13</t>
  </si>
  <si>
    <t xml:space="preserve">Habilitación de equipo. </t>
  </si>
  <si>
    <t>Se revisa parámetros de trabajo.</t>
  </si>
  <si>
    <t>05:38</t>
  </si>
  <si>
    <t>06:25</t>
  </si>
  <si>
    <t xml:space="preserve">Arranque de planta </t>
  </si>
  <si>
    <t>10:50</t>
  </si>
  <si>
    <t>11:35</t>
  </si>
  <si>
    <t xml:space="preserve">Armado de equipo </t>
  </si>
  <si>
    <t>16:30</t>
  </si>
  <si>
    <t>17:15</t>
  </si>
  <si>
    <t xml:space="preserve">Cambio de cadena y colocación de fajas para formato bite size </t>
  </si>
  <si>
    <t>17:30</t>
  </si>
  <si>
    <t>18:12</t>
  </si>
  <si>
    <t>Armado de MDS para agregados x50</t>
  </si>
  <si>
    <t>13:40</t>
  </si>
  <si>
    <t>14:20</t>
  </si>
  <si>
    <t>FORMADORA DE CORDONES</t>
  </si>
  <si>
    <t xml:space="preserve">Colocación de fajas y armado de equipo </t>
  </si>
  <si>
    <t xml:space="preserve">Colocación de faja y armado de equipo </t>
  </si>
  <si>
    <t>07:40</t>
  </si>
  <si>
    <t>08:15</t>
  </si>
  <si>
    <t xml:space="preserve">Se retiró faja para limpieza </t>
  </si>
  <si>
    <t>19:45</t>
  </si>
  <si>
    <t>20:18</t>
  </si>
  <si>
    <t xml:space="preserve">Cambio de mordaza para formato bite size </t>
  </si>
  <si>
    <t xml:space="preserve">Desarme de equipo para limpieza </t>
  </si>
  <si>
    <t>13:00</t>
  </si>
  <si>
    <t xml:space="preserve">Apoyó en el armado de equipo </t>
  </si>
  <si>
    <t>07:05</t>
  </si>
  <si>
    <t>07:35</t>
  </si>
  <si>
    <t xml:space="preserve">Retiró de polines de túnel de enfriamiento para limpieza </t>
  </si>
  <si>
    <t>23:08</t>
  </si>
  <si>
    <t>23:36</t>
  </si>
  <si>
    <t xml:space="preserve">Papel se arruga constantemente </t>
  </si>
  <si>
    <t xml:space="preserve">Se revisa polin de arrastre, se encuentra con cinta desgastada, se retira cinta y se realiza limpieza de polin y se prueba funcionamiento </t>
  </si>
  <si>
    <t>21:46</t>
  </si>
  <si>
    <t>22:12</t>
  </si>
  <si>
    <t>Problemas con el temperado</t>
  </si>
  <si>
    <t>Se reviso seteado de temperatura de agua fría, se modifico a 6.5, se dejó temperado</t>
  </si>
  <si>
    <t>09:21</t>
  </si>
  <si>
    <t>09:45</t>
  </si>
  <si>
    <t xml:space="preserve">Limpieza de canaletas </t>
  </si>
  <si>
    <t>22:41</t>
  </si>
  <si>
    <t>23:02</t>
  </si>
  <si>
    <t>Papel se va a un costado, empaquetado sale mal</t>
  </si>
  <si>
    <t>Se regula posición de polines de tensador de laminado, se realiza pruebas</t>
  </si>
  <si>
    <t>10:25</t>
  </si>
  <si>
    <t xml:space="preserve">Inspección de temperadora </t>
  </si>
  <si>
    <t>Se llenó agua en tanques de agua fría y caliente y chaqueta de tuberias</t>
  </si>
  <si>
    <t>12:10</t>
  </si>
  <si>
    <t>Colocación y tensado de fajas , se coloco guardas</t>
  </si>
  <si>
    <t>15:00</t>
  </si>
  <si>
    <t>15:20</t>
  </si>
  <si>
    <t>08:40</t>
  </si>
  <si>
    <t>08:58</t>
  </si>
  <si>
    <t xml:space="preserve">Se reparo abrazadera dañada y se coloco manga flexible de alimentación de azucar </t>
  </si>
  <si>
    <t>22:15</t>
  </si>
  <si>
    <t>22:33</t>
  </si>
  <si>
    <t>21:22</t>
  </si>
  <si>
    <t>21:38</t>
  </si>
  <si>
    <t>14:45</t>
  </si>
  <si>
    <t xml:space="preserve">Colocación de guardas </t>
  </si>
  <si>
    <t>09:03</t>
  </si>
  <si>
    <t>09:18</t>
  </si>
  <si>
    <t>Limpieza de canaletas</t>
  </si>
  <si>
    <t>15:45</t>
  </si>
  <si>
    <t>TEMPERADORA CHOCOLATIER</t>
  </si>
  <si>
    <t xml:space="preserve">Colocación de piezas </t>
  </si>
  <si>
    <t>15:23</t>
  </si>
  <si>
    <t>15:38</t>
  </si>
  <si>
    <t>No sale laminado, se arruga en los rodillos de arrastre.</t>
  </si>
  <si>
    <t xml:space="preserve">Se regula altura de guías de laminado acoplados en módulo de arrastre superior. Queda operativo </t>
  </si>
  <si>
    <t>16:06</t>
  </si>
  <si>
    <t>16:20</t>
  </si>
  <si>
    <t>Módulo superior de arrastre de laminado se suelta por la vibración y deja de jalar laminado.</t>
  </si>
  <si>
    <t xml:space="preserve">Se regula presión de seguro y se realiza pruebas. Queda operativo </t>
  </si>
  <si>
    <t>08:18</t>
  </si>
  <si>
    <t xml:space="preserve">Se apoyó retirando guardas para limpieza </t>
  </si>
  <si>
    <t>09:48</t>
  </si>
  <si>
    <t xml:space="preserve">Apoyó en la colocación de polines </t>
  </si>
  <si>
    <t>10:05</t>
  </si>
  <si>
    <t>10:15</t>
  </si>
  <si>
    <t>Apoyó en colocación de guardas</t>
  </si>
  <si>
    <t>19:20</t>
  </si>
  <si>
    <t>19:30</t>
  </si>
  <si>
    <t xml:space="preserve">Reportan que no cae chocolate a Samfill </t>
  </si>
  <si>
    <t xml:space="preserve">Se encontró conector de sensor de llenado desconectado. Se conecto y se revisó dosificación </t>
  </si>
  <si>
    <t xml:space="preserve">Cambio de formato de pisco x9 a pisco x18 </t>
  </si>
  <si>
    <t>Se cambió piezas y se calibro , se hizo pruebas y se dejó muestras</t>
  </si>
  <si>
    <t>12:15</t>
  </si>
  <si>
    <t xml:space="preserve">Se dió servicio a actuador neumático </t>
  </si>
  <si>
    <t>16:15</t>
  </si>
  <si>
    <t>CAMARA DE FRIO FIGURAS HUECAS</t>
  </si>
  <si>
    <t>Goteo de agua de mini split sobre forradora de moldes</t>
  </si>
  <si>
    <t>Se retira guardas y se destapa tubería de drenaje .</t>
  </si>
  <si>
    <t>06:50</t>
  </si>
  <si>
    <t xml:space="preserve">Colación en contra elevador </t>
  </si>
  <si>
    <t xml:space="preserve">Se realiza dobles en contra elevador y soporte de contra elevador </t>
  </si>
  <si>
    <t>23:17</t>
  </si>
  <si>
    <t>23:54</t>
  </si>
  <si>
    <t>Cambio de mordaza y regulación de guiadores para formato fondy 50g</t>
  </si>
  <si>
    <t>14:15</t>
  </si>
  <si>
    <t>Etiquetas salen desalineadas</t>
  </si>
  <si>
    <t xml:space="preserve">Se calibra altura de contraelevador y porta etiquetas </t>
  </si>
  <si>
    <t>21:58</t>
  </si>
  <si>
    <t>22:29</t>
  </si>
  <si>
    <t>Contraelevador choca con pinzas, no hace buena presión a producto</t>
  </si>
  <si>
    <t xml:space="preserve">Se enderezó porta contraelevador, se realizó pruebas de funcionamiento en modo manual, se ajusto posición </t>
  </si>
  <si>
    <t xml:space="preserve">Apoyó en regulacion de caja de etiquetas </t>
  </si>
  <si>
    <t>11:30</t>
  </si>
  <si>
    <t>CODIFICADORA MARKEM IMAJE 9450- FLOWPACK 1</t>
  </si>
  <si>
    <t>Limpieza de cabezal de codificadora</t>
  </si>
  <si>
    <t>CODIFICADORA MARKEM IMAJE 9050- FLOWPACK 2</t>
  </si>
  <si>
    <t>Mantenimiento, limpieza de cabezal y componentes de linea de codificado</t>
  </si>
  <si>
    <t>09:00</t>
  </si>
  <si>
    <t>09:30</t>
  </si>
  <si>
    <t xml:space="preserve">Se desarma imán de molino de billas </t>
  </si>
  <si>
    <t>15:02</t>
  </si>
  <si>
    <t>15:30</t>
  </si>
  <si>
    <t xml:space="preserve">Columna bloqueada, no cae chocolate </t>
  </si>
  <si>
    <t xml:space="preserve">Se calienta columna y se deja temperando </t>
  </si>
  <si>
    <t>19:05</t>
  </si>
  <si>
    <t>14:31</t>
  </si>
  <si>
    <t>14:56</t>
  </si>
  <si>
    <t xml:space="preserve">Reportan ruido en mordazas </t>
  </si>
  <si>
    <t xml:space="preserve">Se revisa correa de trasmisión. Se disminuye temperatura de mordaza para evitar que se pegue el laminado </t>
  </si>
  <si>
    <t>22:34</t>
  </si>
  <si>
    <t>22:58</t>
  </si>
  <si>
    <t>Cambio de cadena para formato fondy 50g</t>
  </si>
  <si>
    <t>15:40</t>
  </si>
  <si>
    <t>16:04</t>
  </si>
  <si>
    <t>08:37</t>
  </si>
  <si>
    <t>Equipo no enciende por alarma de sobrepresion</t>
  </si>
  <si>
    <t>Se  extrangulo valvula de ingreso se dió pulsos de encendido, se apoyó calentando tubería de ingreso y salida de criba</t>
  </si>
  <si>
    <t>20:07</t>
  </si>
  <si>
    <t>20:30</t>
  </si>
  <si>
    <t xml:space="preserve">Desarmado de MDS, formato agregados x50 </t>
  </si>
  <si>
    <t>20:45</t>
  </si>
  <si>
    <t>21:08</t>
  </si>
  <si>
    <t xml:space="preserve">Armado de equipo para crema ovalada </t>
  </si>
  <si>
    <t>21:19</t>
  </si>
  <si>
    <t>21:41</t>
  </si>
  <si>
    <t>20:00</t>
  </si>
  <si>
    <t>11:40</t>
  </si>
  <si>
    <t>12:00</t>
  </si>
  <si>
    <t xml:space="preserve">Se cambia pernos de sontenedores de producto </t>
  </si>
  <si>
    <t xml:space="preserve">Malla de bañadora no avanza </t>
  </si>
  <si>
    <t xml:space="preserve">Se realiza el calentamiento de chocolate </t>
  </si>
  <si>
    <t>18:30</t>
  </si>
  <si>
    <t>00:06</t>
  </si>
  <si>
    <t>00:24</t>
  </si>
  <si>
    <t>Con problemas en la impresión, imprime borroso los número de la fecha</t>
  </si>
  <si>
    <t>Se realiza limpieza a cabezal, se realiza ajuste de punto de ruptura</t>
  </si>
  <si>
    <t>11:23</t>
  </si>
  <si>
    <t xml:space="preserve">Apoyó en colocación de  rascadores en bandas de transporte </t>
  </si>
  <si>
    <t>00:41</t>
  </si>
  <si>
    <t>00:58</t>
  </si>
  <si>
    <t>Regulación de altura y posicion de guiadores para reducir caída de producto en expulsión de producto desbordante</t>
  </si>
  <si>
    <t>10:10</t>
  </si>
  <si>
    <t xml:space="preserve">Papel arruga constantemente </t>
  </si>
  <si>
    <t xml:space="preserve">Se realizó la limpieza de rodillo de arrastre , se regulo guías de rodillo superior </t>
  </si>
  <si>
    <t>08:33</t>
  </si>
  <si>
    <t xml:space="preserve">Se hizo pruebas y se modifico velocidad de funcionamiento </t>
  </si>
  <si>
    <t>12:05</t>
  </si>
  <si>
    <t>Compuertas de dosificación de Mds no funcionan correctamente, atascadas</t>
  </si>
  <si>
    <t>Se retiró compuertas y se remplazo actuador neumático</t>
  </si>
  <si>
    <t>13:15</t>
  </si>
  <si>
    <t>BATIDORA DE FONDANT 2 M&amp;M</t>
  </si>
  <si>
    <t xml:space="preserve">No enciende </t>
  </si>
  <si>
    <t xml:space="preserve">Se calienta equipo y se restablece termomagnético </t>
  </si>
  <si>
    <t>23:15</t>
  </si>
  <si>
    <t>Problemas con temperatura de mds</t>
  </si>
  <si>
    <t>Se reviso mangueras y tanque, se llenó agua y se acomodo mangueras, se deja con temperatura lista para trabajar</t>
  </si>
  <si>
    <t>20:42</t>
  </si>
  <si>
    <t xml:space="preserve">Temperadora bloqueada, protegida por sobrepresión </t>
  </si>
  <si>
    <t xml:space="preserve">Se calienta tuberías y se deja temperando </t>
  </si>
  <si>
    <t xml:space="preserve">Retiró y colocación de husillo de Mds por limpieza </t>
  </si>
  <si>
    <t xml:space="preserve">Se retiró husillo  de Mds por limpieza </t>
  </si>
  <si>
    <t>17:10</t>
  </si>
  <si>
    <t>17:22</t>
  </si>
  <si>
    <t xml:space="preserve">Cuchilla no corta laminado de aluminio </t>
  </si>
  <si>
    <t xml:space="preserve">Se retira cuchilla y se realiza limpieza. </t>
  </si>
  <si>
    <t>21:43</t>
  </si>
  <si>
    <t>21:53</t>
  </si>
  <si>
    <t>Cae agua del fan cool, recipiente de agua condensada lleno</t>
  </si>
  <si>
    <t xml:space="preserve">Se libero recipiente de agua condensada y se limpio área con agua </t>
  </si>
  <si>
    <t xml:space="preserve">Reportan ruido en temperadora. Columna no gira, transmisión dañada </t>
  </si>
  <si>
    <t>Se desmonta transmisión de eje y se coloca platinas metálicas para generar mayor presión. Se monta en equipo y se realiza pruebas. Queda temperando</t>
  </si>
  <si>
    <t>07:50</t>
  </si>
  <si>
    <t>08:50</t>
  </si>
  <si>
    <t>Producto de daña en el empaquetado, papel se arruga constantemente , producto no calza correctamente en disco</t>
  </si>
  <si>
    <t xml:space="preserve">Se coloco goma en contra elevador y se regulo , se remplazo disco por una medida inferior , se regulo recorrido de cuchilla, queda operativa se dió seguimiento </t>
  </si>
  <si>
    <t xml:space="preserve">Temperadora de hacos 2 columnas sin girar </t>
  </si>
  <si>
    <t xml:space="preserve">Se tensa faja y se ajusta tensadores de columna </t>
  </si>
  <si>
    <t>06:40</t>
  </si>
  <si>
    <t xml:space="preserve">Ruido en temperadora </t>
  </si>
  <si>
    <t xml:space="preserve">Se reviso mecanismos de columnas de encontró patinando la polea de distribución y se ajusto , se puso a temperatura y se hizo pruebas </t>
  </si>
  <si>
    <t>23:18</t>
  </si>
  <si>
    <t>23:58</t>
  </si>
  <si>
    <t>Tapado de bombones sale mal, ambiente cálido y alta humedad en zona</t>
  </si>
  <si>
    <t>Se habilitó fancoil de zona de hacos 1, se encendió todos los ventiladores de presión positiva, se reviso temperaturas de túnel de enfriamiento, se reviso estado de crema y se encuentra muy aguada</t>
  </si>
  <si>
    <t>22:37</t>
  </si>
  <si>
    <t>Temperatura de agua no calienta, ruido por agitador interno</t>
  </si>
  <si>
    <t>Se reviso sistema, se estranguló salida de agua fría, se reviso funcionamiento, se dejó temperado</t>
  </si>
  <si>
    <t xml:space="preserve">Producto se daña en fajas, expulsa mucho producto </t>
  </si>
  <si>
    <t xml:space="preserve">Se regulo velocidades y pocision de fajas, se dió seguimiento </t>
  </si>
  <si>
    <t xml:space="preserve">Orden y limpieza de taller de mantenimiento </t>
  </si>
  <si>
    <t xml:space="preserve">No calienta bañadora y no enfríaba </t>
  </si>
  <si>
    <t xml:space="preserve">Se Seva bomba de enfriamiento y se regula en calentador de bañadora </t>
  </si>
  <si>
    <t>BOLEADORA</t>
  </si>
  <si>
    <t xml:space="preserve">Se arma boleadora </t>
  </si>
  <si>
    <t>13:20</t>
  </si>
  <si>
    <t xml:space="preserve">Se lleva materiales de taller a almacén </t>
  </si>
  <si>
    <t>15:10</t>
  </si>
  <si>
    <t>16:35</t>
  </si>
  <si>
    <t>16:59</t>
  </si>
  <si>
    <t xml:space="preserve">Temperadora bloqueada por presión maxima </t>
  </si>
  <si>
    <t>22:08</t>
  </si>
  <si>
    <t>22:30</t>
  </si>
  <si>
    <t>Banda desalineada, a un costado</t>
  </si>
  <si>
    <t>Se reviso y se encontró wypall envuelto en polin tensador, se desarmo y se retiro wypall, se alineó banda y se ajusto polin tensador</t>
  </si>
  <si>
    <t>22:04</t>
  </si>
  <si>
    <t>Agua en zona, envases de almacenamiento de agua condensada llenos</t>
  </si>
  <si>
    <t xml:space="preserve">Se libero envases, se limpio zona </t>
  </si>
  <si>
    <t>13:41</t>
  </si>
  <si>
    <t>09:35</t>
  </si>
  <si>
    <t xml:space="preserve">Problemas en el sellado, lado de plegado invertido </t>
  </si>
  <si>
    <t xml:space="preserve">Se regulo discos de plegado, se regulo guías y altura de cepillo </t>
  </si>
  <si>
    <t>10:30</t>
  </si>
  <si>
    <t>Inspección de temperadora</t>
  </si>
  <si>
    <t>11:20</t>
  </si>
  <si>
    <t xml:space="preserve">Desfogue de camara de frio atorado </t>
  </si>
  <si>
    <t xml:space="preserve">Se realiza limpieza en ducto de camara de frio </t>
  </si>
  <si>
    <t>12:20</t>
  </si>
  <si>
    <t xml:space="preserve">Temperadora de hacos 2 chocolate derramado </t>
  </si>
  <si>
    <t>Se realiza limpieza de temperadora de hacos 2</t>
  </si>
  <si>
    <t>14:42</t>
  </si>
  <si>
    <t xml:space="preserve">Guía de producto desoldada en plancha de formato milky </t>
  </si>
  <si>
    <t xml:space="preserve">Se retira pieza y se suelda parte dañada. Queda operativo </t>
  </si>
  <si>
    <t>21:17</t>
  </si>
  <si>
    <t>21:36</t>
  </si>
  <si>
    <t>14:09</t>
  </si>
  <si>
    <t xml:space="preserve">Inspección de equipo y purgas </t>
  </si>
  <si>
    <t>14:21</t>
  </si>
  <si>
    <t>14:40</t>
  </si>
  <si>
    <t xml:space="preserve">Revienta el producto y por momentos no lo detecta el sensor </t>
  </si>
  <si>
    <t xml:space="preserve">Calibración de posición de entrada de producto. Queda operativo </t>
  </si>
  <si>
    <t>01:15</t>
  </si>
  <si>
    <t>ESTACION TERMICA</t>
  </si>
  <si>
    <t>Reportan Condensado en estación termica de concha elk</t>
  </si>
  <si>
    <t xml:space="preserve">Se limpio y se reviso uniones </t>
  </si>
  <si>
    <t>11:55</t>
  </si>
  <si>
    <t>12:08</t>
  </si>
  <si>
    <t xml:space="preserve">Levantamiento de observaciones </t>
  </si>
  <si>
    <t>08:53</t>
  </si>
  <si>
    <t>09:05</t>
  </si>
  <si>
    <t xml:space="preserve">Se retiró husillo plancha y empujadores de Mds para limpieza </t>
  </si>
  <si>
    <t>06:15</t>
  </si>
  <si>
    <t xml:space="preserve">Cambio de formato a milky </t>
  </si>
  <si>
    <t>06:43</t>
  </si>
  <si>
    <t xml:space="preserve">Se calibrar fajas de flowpack 2 ingreso de producto </t>
  </si>
  <si>
    <t>03:22</t>
  </si>
  <si>
    <t>03:59</t>
  </si>
  <si>
    <t>Goma mancha etiquetas, no sale continuo</t>
  </si>
  <si>
    <t xml:space="preserve">Se regulo posición de boquilla, se redujo cantidad de goma, se bajó temperatura de goma, se realizó pruebas de funcionamiento </t>
  </si>
  <si>
    <t>02:04</t>
  </si>
  <si>
    <t>02:37</t>
  </si>
  <si>
    <t>Desarmado de formato agregados x100 de mds</t>
  </si>
  <si>
    <t>02:40</t>
  </si>
  <si>
    <t>03:12</t>
  </si>
  <si>
    <t>Armado de formato agregados x50 en mds</t>
  </si>
  <si>
    <t>22:28</t>
  </si>
  <si>
    <t>22:57</t>
  </si>
  <si>
    <t>Temperatura de agua no baja en modo temperado</t>
  </si>
  <si>
    <t>Se reviso válvulas y selenoide de intercambiador, se aperturó válvula de retorno de agua fría se regulo posición de válvula y se reviso comportamiento de temperaturas en modo temperado</t>
  </si>
  <si>
    <t>23:27</t>
  </si>
  <si>
    <t>Papel se va a un costado, se dobla y se atasca en cuchilla</t>
  </si>
  <si>
    <t>Se calibro cuchillas de corte, se regulo altura de polines en zona de freno de bobina, se realizó pruebas</t>
  </si>
  <si>
    <t>06:44</t>
  </si>
  <si>
    <t>MOLINO REBOTE - IMPACTO</t>
  </si>
  <si>
    <t xml:space="preserve">Se limpia sensor de molino </t>
  </si>
  <si>
    <t>22:02</t>
  </si>
  <si>
    <t xml:space="preserve">Regulación de guiadores y velocidad de bandas para reducir expulsión de producto desbordante </t>
  </si>
  <si>
    <t>00:14</t>
  </si>
  <si>
    <t>00:36</t>
  </si>
  <si>
    <t>Chocolate se enfría, empieza a sonar agitador interno</t>
  </si>
  <si>
    <t xml:space="preserve">Se regula válvula de salida de agua fría, se coloca en modo calentamiento, y se revisa temperado </t>
  </si>
  <si>
    <t>00:04</t>
  </si>
  <si>
    <t>00:25</t>
  </si>
  <si>
    <t>Fuga de chocolate en temperadora 1</t>
  </si>
  <si>
    <t xml:space="preserve">Se realizó ajuste de estopas de columnas </t>
  </si>
  <si>
    <t>00:50</t>
  </si>
  <si>
    <t>01:11</t>
  </si>
  <si>
    <t>Goma no dosifica en algunos productos</t>
  </si>
  <si>
    <t>Se regulo presión de trabajo y parámetros de goma</t>
  </si>
  <si>
    <t xml:space="preserve">Se pone abrazaderas a manguera de bañadora de 5 piso </t>
  </si>
  <si>
    <t>21:29</t>
  </si>
  <si>
    <t>23:52</t>
  </si>
  <si>
    <t>Cepillo gastado, empaquetado de bombones sale mal</t>
  </si>
  <si>
    <t xml:space="preserve">Se retira cepillo y se realiza cambio por uno en buen estado, se realiza pruebas de funcionamiento </t>
  </si>
  <si>
    <t>01:24</t>
  </si>
  <si>
    <t>01:39</t>
  </si>
  <si>
    <t>Ruido en banda</t>
  </si>
  <si>
    <t>Se identifico banda que tenía ruido, se regulo presión de rascador de banda</t>
  </si>
  <si>
    <t>21:16</t>
  </si>
  <si>
    <t>21:25</t>
  </si>
  <si>
    <t>VESTUARIOS</t>
  </si>
  <si>
    <t>Se rompió candado de casillero de operador vestuario local anexo</t>
  </si>
  <si>
    <t xml:space="preserve">Se arma barquillera y se enciende equipo </t>
  </si>
  <si>
    <t xml:space="preserve">Pernos rodados de plancha de mds de formato cremas ovaladas </t>
  </si>
  <si>
    <t xml:space="preserve">Se realiza el cambio de pernos rodados y se lleva a planta para q lo laven </t>
  </si>
  <si>
    <t xml:space="preserve">Se arma EMP SACMI y se rsaliza el encendido </t>
  </si>
  <si>
    <t xml:space="preserve">Cambio de formato </t>
  </si>
  <si>
    <t xml:space="preserve">Encendido de planta </t>
  </si>
  <si>
    <t xml:space="preserve">Se coloco fajas </t>
  </si>
  <si>
    <t xml:space="preserve">Desarmado de polines de bañadora túnel para limpieza </t>
  </si>
  <si>
    <t>17:25</t>
  </si>
  <si>
    <t>17:53</t>
  </si>
  <si>
    <t>Problemas con polin de arrastre, suelta el papel</t>
  </si>
  <si>
    <t>Se reviso y se aumento cinta al polin de arrastre</t>
  </si>
  <si>
    <t>13:16</t>
  </si>
  <si>
    <t>13:39</t>
  </si>
  <si>
    <t xml:space="preserve">Apoyo en armado de formato cremas de mds </t>
  </si>
  <si>
    <t>14:12</t>
  </si>
  <si>
    <t>14:34</t>
  </si>
  <si>
    <t>Pieza con asperezas, no permite deslizar bien el papel</t>
  </si>
  <si>
    <t>Se desarmo pieza y se lijo hasta eliminar asperezas</t>
  </si>
  <si>
    <t>14:41</t>
  </si>
  <si>
    <t>15:03</t>
  </si>
  <si>
    <t xml:space="preserve">Cambio de gomas a pinzas de repuesto </t>
  </si>
  <si>
    <t>Inspección de temperadora, se aumento agua y se lubrico cadena</t>
  </si>
  <si>
    <t xml:space="preserve">Llenado de tanque de agua de chiller </t>
  </si>
  <si>
    <t xml:space="preserve">Puerta descuadrada de camara de frio de figuras huecas </t>
  </si>
  <si>
    <t xml:space="preserve">Se endereza puerta de figuras huecas </t>
  </si>
  <si>
    <t>15:06</t>
  </si>
  <si>
    <t>15:24</t>
  </si>
  <si>
    <t>Banda de alimentación suelta, perno difícil de desajustar</t>
  </si>
  <si>
    <t xml:space="preserve">Se acomoda posicion de banda y se tensa, se  apoya en desajuste de pernos de pinzas </t>
  </si>
  <si>
    <t>12:49</t>
  </si>
  <si>
    <t>13:07</t>
  </si>
  <si>
    <t xml:space="preserve">Revisión de funcionamiento de equipos y parámetros de trabajo </t>
  </si>
  <si>
    <t>15:56</t>
  </si>
  <si>
    <t>16:11</t>
  </si>
  <si>
    <t>Problemas con el papel se mueve</t>
  </si>
  <si>
    <t xml:space="preserve">Se regulo polin de tensador </t>
  </si>
  <si>
    <t>13:43</t>
  </si>
  <si>
    <t>13:58</t>
  </si>
  <si>
    <t>Apoyo en armado de equipo</t>
  </si>
  <si>
    <t>15:44</t>
  </si>
  <si>
    <t>Papel se arruga</t>
  </si>
  <si>
    <t>Se realizó limpieza de papel atascado en módulo de corte</t>
  </si>
  <si>
    <t>REFINADOR BUHLER</t>
  </si>
  <si>
    <t xml:space="preserve">Se retira cuchilla para limpieza </t>
  </si>
  <si>
    <t>Se coloco fajas y polin tensador</t>
  </si>
  <si>
    <t xml:space="preserve">Reportan olor a quemado </t>
  </si>
  <si>
    <t xml:space="preserve">Se encontró fajas patinando se tomó muestras de temperatura y se apagó equipo, se retiró guardas y se apoyó a ver mecánica en revisión y a enfriar fajas y polines con alta temperatura </t>
  </si>
  <si>
    <t>Temperatura alta en tanque de agua fría de temperadora hacos 1 , compresor protegido</t>
  </si>
  <si>
    <t>Se tomó medidas de presión de gas refrigerante, se hizo pruebas eléctricas , compresor en falla a tierra , se reporto</t>
  </si>
  <si>
    <t>Cambio de formato de milky a pisco x90</t>
  </si>
  <si>
    <t>Laminado se arruga, faja rota en la salida de producto empaquetado.</t>
  </si>
  <si>
    <t>Se endereza guías de papel aluminio y se reemplaza faja.</t>
  </si>
  <si>
    <t xml:space="preserve">Se realiza el traslado de compresora de temperadora de hacos 1 </t>
  </si>
  <si>
    <t xml:space="preserve">Apoyo a personal tercero en habilitación de nuevo compresor </t>
  </si>
  <si>
    <t>Cuchilla deja una parte de laminado sin cortar, filo de cuchilla se encuentra dañado</t>
  </si>
  <si>
    <t>Se realiza cambio de cuchillas y se calibra</t>
  </si>
  <si>
    <t>Se realiza la inspección de compresora de hacos 1</t>
  </si>
  <si>
    <t xml:space="preserve">Se releva a turno anterior con la revisión de compresor de temperadora </t>
  </si>
  <si>
    <t xml:space="preserve">Laminado se arrugó y se acumuló debajo de la cuchilla </t>
  </si>
  <si>
    <t xml:space="preserve">Se desmonta módulo de corte y se realiza limpieza de virutas de papel aluminio </t>
  </si>
  <si>
    <t>Problemas con temperadora</t>
  </si>
  <si>
    <t>Se apoyo en la habilitación de materiales a terceros</t>
  </si>
  <si>
    <t xml:space="preserve">Revision de sistema de arrastre y desbobinando </t>
  </si>
  <si>
    <t>Se realizó pruebas con carga , se habilito completamente el equipo a las 4:45</t>
  </si>
  <si>
    <t>FORRADORA AUTOMATICA 03</t>
  </si>
  <si>
    <t xml:space="preserve">Reportan fuga de lubricante </t>
  </si>
  <si>
    <t xml:space="preserve">Se reviso equipo, se encontró piñones y cadena desalineadas, se reporto </t>
  </si>
  <si>
    <t>Se realizó la limpieza de zócalo debajo de cuchilla</t>
  </si>
  <si>
    <t>Codificado borroso</t>
  </si>
  <si>
    <t xml:space="preserve">Se realiza limpieza de cabezal </t>
  </si>
  <si>
    <t xml:space="preserve">Verificación de funcionamiento de equipo </t>
  </si>
  <si>
    <t>Se apoyó en regulacion de fajas para reducir acumulacion en entrada de sacmi</t>
  </si>
  <si>
    <t xml:space="preserve">Se coloco laina para el correcto tensado/alineación de  banda de transporte de refinadora buhler a conchas </t>
  </si>
  <si>
    <t>Envases de condensado de fancoil llenos</t>
  </si>
  <si>
    <t>Se libero envases de condensado</t>
  </si>
  <si>
    <t xml:space="preserve">Se el retiro de soporta filtro de flowpack 1 y se indica al gerencia técnica para el pedido correspondiente </t>
  </si>
  <si>
    <t xml:space="preserve">No inicia equipo, </t>
  </si>
  <si>
    <t xml:space="preserve">No permite confirmar alarmas, se reinicia y se realiza pruebas </t>
  </si>
  <si>
    <t>Falla en sensor capacitivo</t>
  </si>
  <si>
    <t xml:space="preserve">Se regulo sensor y se hizo pruebas </t>
  </si>
  <si>
    <t xml:space="preserve">Dos piezas con pernos rodados y dos pinzas gomas despegados por colocación con contra elevador </t>
  </si>
  <si>
    <t xml:space="preserve">Se realiza el retiro de pinzas con las respectivas bases de las pinzas y se hace cambio de pernos </t>
  </si>
  <si>
    <t>4TO PISO</t>
  </si>
  <si>
    <t xml:space="preserve">Grasa en cadena e interior de equipo y engranaje desaliniado </t>
  </si>
  <si>
    <t xml:space="preserve">Se alinea engranaje y se hace la limpieza correspondiente </t>
  </si>
  <si>
    <t>Cambio de formato de agregados x50 a fondy menta</t>
  </si>
  <si>
    <t xml:space="preserve">Armado de MDS para agregados x50 </t>
  </si>
  <si>
    <t xml:space="preserve">Sensor a12 se queda siempre activo. No permite ajustar la sensibilidad </t>
  </si>
  <si>
    <t xml:space="preserve">Se reemplaza sensor y se verifica funcionamiento </t>
  </si>
  <si>
    <t xml:space="preserve">Cae agua de los ventiladores </t>
  </si>
  <si>
    <t xml:space="preserve">Se revisa empozamiento de agua, se libera drenaje y se revisa funcionamiento </t>
  </si>
  <si>
    <t xml:space="preserve">Habilitación de equipo para formato milky </t>
  </si>
  <si>
    <t xml:space="preserve">Colocación de mordaza y planchas segun formato </t>
  </si>
  <si>
    <t xml:space="preserve">Desarmado de MDS formato crema </t>
  </si>
  <si>
    <t>MDS no calienta, módulo se encuentra frío, manguera estrangulada en el interior de equipo.</t>
  </si>
  <si>
    <t>Liberación de mangueras, verificación de funcionamiento de bomba de agua y nivel de agua. .</t>
  </si>
  <si>
    <t>Chaqueta de tanque de crema de encuentra fría, mangueras de calefacción desconectadas. No recircula crema.</t>
  </si>
  <si>
    <t xml:space="preserve">Se conecta mangueras y se verifica funcionamiento de calefacción </t>
  </si>
  <si>
    <t xml:space="preserve">Reportan problemas con la calibración de laminado </t>
  </si>
  <si>
    <t xml:space="preserve">Se apoya a operador con la calibración de equipo. Queda operativo </t>
  </si>
  <si>
    <t xml:space="preserve">Cabezal de codificadora no codifica bien </t>
  </si>
  <si>
    <t xml:space="preserve">Se realiza limpieza de cabezal y con los procedimientos de limpieza del equipo </t>
  </si>
  <si>
    <t xml:space="preserve">Equipo no inicia </t>
  </si>
  <si>
    <t>Se verifica sensores de seguridad. Se reinició equipo y se confirma errores</t>
  </si>
  <si>
    <t>05:34</t>
  </si>
  <si>
    <t>06:31</t>
  </si>
  <si>
    <t>Arranque de planta, Encendido de equipos y revisión de pozos</t>
  </si>
  <si>
    <t>12:30</t>
  </si>
  <si>
    <t xml:space="preserve">Se desarma quebrantadora para limpieza </t>
  </si>
  <si>
    <t xml:space="preserve">Puertas de acrílico dañadas </t>
  </si>
  <si>
    <t xml:space="preserve">Se realiza cortes en puertas de acrílico en zona afectada y se hace entrega </t>
  </si>
  <si>
    <t>00:35</t>
  </si>
  <si>
    <t>Plegado de laminado deja dobles en los laterales.</t>
  </si>
  <si>
    <t xml:space="preserve">Calibración de plegadores </t>
  </si>
  <si>
    <t>01:04</t>
  </si>
  <si>
    <t>01:40</t>
  </si>
  <si>
    <t>07:54</t>
  </si>
  <si>
    <t>08:29</t>
  </si>
  <si>
    <t xml:space="preserve">Agua no calienta </t>
  </si>
  <si>
    <t>Se cerró válvulas y se reviso filtros y regulador de presión, se purgó tubería de condensado</t>
  </si>
  <si>
    <t xml:space="preserve">Se arma formato de agredos por 50 en MDS </t>
  </si>
  <si>
    <t>03:35</t>
  </si>
  <si>
    <t>04:10</t>
  </si>
  <si>
    <t>Se retira husillo y plancha para limpieza. Cambio de agregados.</t>
  </si>
  <si>
    <t>10:46</t>
  </si>
  <si>
    <t>11:19</t>
  </si>
  <si>
    <t>Armado de equipo y habilitacion</t>
  </si>
  <si>
    <t>07:14</t>
  </si>
  <si>
    <t>07:46</t>
  </si>
  <si>
    <t xml:space="preserve">Desarmado de equipo para limpieza semanal </t>
  </si>
  <si>
    <t>12:48</t>
  </si>
  <si>
    <t>13:19</t>
  </si>
  <si>
    <t>05:40</t>
  </si>
  <si>
    <t>06:10</t>
  </si>
  <si>
    <t xml:space="preserve">Se desarma faja de bañadora para limpieza </t>
  </si>
  <si>
    <t>21:35</t>
  </si>
  <si>
    <t>22:05</t>
  </si>
  <si>
    <t xml:space="preserve">Se retira husillo para limpieza y se vuelve a colocar. Formato agregados x50 </t>
  </si>
  <si>
    <t>13:27</t>
  </si>
  <si>
    <t>13:53</t>
  </si>
  <si>
    <t>06:42</t>
  </si>
  <si>
    <t>07:08</t>
  </si>
  <si>
    <t>Desarmado de equipo para limpieza</t>
  </si>
  <si>
    <t>08:38</t>
  </si>
  <si>
    <t>09:04</t>
  </si>
  <si>
    <t>Desarmado de polines y piezas para limpieza semanal</t>
  </si>
  <si>
    <t>06:24</t>
  </si>
  <si>
    <t xml:space="preserve">Se realiza el encendido y operatividad de la tostadora </t>
  </si>
  <si>
    <t>22:27</t>
  </si>
  <si>
    <t>22:50</t>
  </si>
  <si>
    <t>23:20</t>
  </si>
  <si>
    <t>09:11</t>
  </si>
  <si>
    <t>09:29</t>
  </si>
  <si>
    <t>Soporte de pinza con desgaste no agarra bien el papel</t>
  </si>
  <si>
    <t>Se retiro soporte y se cambio por perno con diámetro más grande</t>
  </si>
  <si>
    <t>11:21</t>
  </si>
  <si>
    <t>11:38</t>
  </si>
  <si>
    <t>Retiro y colocación de filtro para procedimiento de limpieza</t>
  </si>
  <si>
    <t>09:33</t>
  </si>
  <si>
    <t>09:49</t>
  </si>
  <si>
    <t xml:space="preserve">Orden de herramientas y pernos </t>
  </si>
  <si>
    <t>23:16</t>
  </si>
  <si>
    <t xml:space="preserve">Se retira imán </t>
  </si>
  <si>
    <t>Colocación de cuchilla fija y verificación de corte de papel</t>
  </si>
  <si>
    <t>13:56</t>
  </si>
  <si>
    <t>Problemas con a10 y b18</t>
  </si>
  <si>
    <t>Se reviso actuadores, se regulo posición de sensores  y se realizó pruebas</t>
  </si>
  <si>
    <t>02:15</t>
  </si>
  <si>
    <t>02:25</t>
  </si>
  <si>
    <t>Válvula de descarga tiene el empaque roto</t>
  </si>
  <si>
    <t xml:space="preserve">Reemplazo de empaque </t>
  </si>
  <si>
    <t>15:50</t>
  </si>
  <si>
    <t>Cambio de formato de 50g a 40g</t>
  </si>
  <si>
    <t>HORNO NOVA</t>
  </si>
  <si>
    <t xml:space="preserve">Se apoyó a personal tercero a desmontar el quemador </t>
  </si>
  <si>
    <t>06:16</t>
  </si>
  <si>
    <t>06:38</t>
  </si>
  <si>
    <t xml:space="preserve">Problemas en el inicio </t>
  </si>
  <si>
    <t>Se verifico funcionamiento de sensores de puerta</t>
  </si>
  <si>
    <t>07:03</t>
  </si>
  <si>
    <t>Reportan agua turbia en salida de agua potable</t>
  </si>
  <si>
    <t xml:space="preserve">Se reviso pozo se encontró en nivel bajo se apoyo llenado con potabilización de agua </t>
  </si>
  <si>
    <t>05:43</t>
  </si>
  <si>
    <t>06:04</t>
  </si>
  <si>
    <t>Se coloco empujadores y se lubrico cadena , se regulo fajas guias</t>
  </si>
  <si>
    <t>17:05</t>
  </si>
  <si>
    <t>Abrefacil sale desalineado</t>
  </si>
  <si>
    <t xml:space="preserve">Se regulo presión de caja inicial , velocidad de corte , pocision de sellado , se hizo pruebas </t>
  </si>
  <si>
    <t>13:35</t>
  </si>
  <si>
    <t>13:55</t>
  </si>
  <si>
    <t>Se apoyó en el Desarme de mds</t>
  </si>
  <si>
    <t>ELEVADOR DE CACAO</t>
  </si>
  <si>
    <t xml:space="preserve">Puerta suelta y iman desajustado </t>
  </si>
  <si>
    <t>Se ajusta puerta e iman</t>
  </si>
  <si>
    <t>Se hace inspección a sensores de la refinadora buhler</t>
  </si>
  <si>
    <t>13:10</t>
  </si>
  <si>
    <t>Se apoyó y el armado de mordaza y colocación de guardas</t>
  </si>
  <si>
    <t>15:51</t>
  </si>
  <si>
    <t>16:10</t>
  </si>
  <si>
    <t>Reportan flujo bajo en tubería hacia samfill</t>
  </si>
  <si>
    <t xml:space="preserve">Se modifico parámetros de temperadora, se aumento agua en tanques y se dió seguimiento </t>
  </si>
  <si>
    <t>14:43</t>
  </si>
  <si>
    <t>Restos de papel atorados en cuchilla</t>
  </si>
  <si>
    <t xml:space="preserve">Se realizó la limpieza </t>
  </si>
  <si>
    <t xml:space="preserve">Se apoyó regulando guías de laminado </t>
  </si>
  <si>
    <t>17:45</t>
  </si>
  <si>
    <t>18:00</t>
  </si>
  <si>
    <t>Inspección de equipo durante pruebas</t>
  </si>
  <si>
    <t>17:42</t>
  </si>
  <si>
    <t xml:space="preserve">Desarme de equipo </t>
  </si>
  <si>
    <t>Apoyó en máquina durante pruebas  de chocolate doble</t>
  </si>
  <si>
    <t>Cambio de formato para tableta doble 200g, se regulo fajas y guias</t>
  </si>
  <si>
    <t>Se desarma MDS para limpieza y se vuelve armar</t>
  </si>
  <si>
    <t xml:space="preserve">Se realiza avance de formato de flowpack 2 a tabletas </t>
  </si>
  <si>
    <t>ENVASADORA TEPACK</t>
  </si>
  <si>
    <t xml:space="preserve">Polin de desbobinando desprendido </t>
  </si>
  <si>
    <t xml:space="preserve">Se retiró polin , se reparo en el taller y se montó en el equipo </t>
  </si>
  <si>
    <t>Cambio de formato de pisco x18 a milky x10</t>
  </si>
  <si>
    <t xml:space="preserve">Se cambió piezas </t>
  </si>
  <si>
    <t xml:space="preserve">Porta etiquetas se encuentra con todos los pernos sueltos </t>
  </si>
  <si>
    <t xml:space="preserve">Se calibra posición de Porta etiquetas y alineación de laminado </t>
  </si>
  <si>
    <t>GIRADORA CABRELLON</t>
  </si>
  <si>
    <t xml:space="preserve">No enciende equipo </t>
  </si>
  <si>
    <t xml:space="preserve">Se aisla cable dañado y se verifica funcionamiento </t>
  </si>
  <si>
    <t xml:space="preserve">Raspador de faja con leve sonido y fajas sueltas </t>
  </si>
  <si>
    <t xml:space="preserve">Se regula y se hace el ajuste respectivo de las fajas </t>
  </si>
  <si>
    <t>TANQUE DE CHOCOLATE 01 FIGURAS HUECAS</t>
  </si>
  <si>
    <t xml:space="preserve">Sonido de tanque de figuras huecas </t>
  </si>
  <si>
    <t xml:space="preserve">Se realiza el ajuste de prisioneros y se lubrica </t>
  </si>
  <si>
    <t xml:space="preserve">Se retira condensado de unidades de calefacción </t>
  </si>
  <si>
    <t xml:space="preserve">Se realiza lubricacion de rieles de empujador de moldes </t>
  </si>
  <si>
    <t xml:space="preserve">Cambio de formato para milky </t>
  </si>
  <si>
    <t xml:space="preserve">Se reemplaza empujadores, planchas y se carga receta </t>
  </si>
  <si>
    <t>No jala etiqueta correctamente, bajo succion de válvula de vacio</t>
  </si>
  <si>
    <t xml:space="preserve">Se retiró válvula de vacio para mantenimiento,se montó válvula en equipo y se hizo pruebas </t>
  </si>
  <si>
    <t xml:space="preserve">HMI de mds está en formato agregados </t>
  </si>
  <si>
    <t xml:space="preserve">Se realiza el cambio a cremas </t>
  </si>
  <si>
    <t xml:space="preserve">Se realiza limpieza e inspección de camara de frio de segundo piso </t>
  </si>
  <si>
    <t xml:space="preserve">Tema de condensado de unidad se retira todo el agua </t>
  </si>
  <si>
    <t xml:space="preserve">Se apagó equipo </t>
  </si>
  <si>
    <t xml:space="preserve">Se revisa conexiones eléctricas y se restablece termomagnético </t>
  </si>
  <si>
    <t>Producto tiene una pequeña mancha</t>
  </si>
  <si>
    <t>Se sube contraelevador,</t>
  </si>
  <si>
    <t xml:space="preserve">Equipo no enciende </t>
  </si>
  <si>
    <t>Se reviso circuito eléctrico y se habilto</t>
  </si>
  <si>
    <t>3ER PISO</t>
  </si>
  <si>
    <t>Revision y habilitación de fan coil del área de figuras huecas</t>
  </si>
  <si>
    <t xml:space="preserve">Re reparo tarjeta de termostato </t>
  </si>
  <si>
    <t>Sobretorque en torre de subida</t>
  </si>
  <si>
    <t xml:space="preserve">Se encontró molde atascado en torre de subida, se retiro molde, se colocó en puntos cero y se realizó pruebas de funcionamiento </t>
  </si>
  <si>
    <t>Calibración para formato milky x10</t>
  </si>
  <si>
    <t xml:space="preserve">Cambio de formato a minimilky , apoyó en regulaviok de fajas guías con producto en linea </t>
  </si>
  <si>
    <t>Se ajusto presiones de eje de transmisión, se reviso cadena y estado de piñones</t>
  </si>
  <si>
    <t>Armado de equipo y lubricación de guías de mesa movil</t>
  </si>
  <si>
    <t>Reportan que equipo se apaga al girar</t>
  </si>
  <si>
    <t xml:space="preserve">Se reviso parámetros eléctricos y se dió seguimiento al funcionamiento </t>
  </si>
  <si>
    <t>Problemas con ajuste de pinzas</t>
  </si>
  <si>
    <t>Se apoyo con el ajuste de pinzas</t>
  </si>
  <si>
    <t xml:space="preserve">Se apoyó con el remplazo de perno y tuerca dañada </t>
  </si>
  <si>
    <t>Calibración para formato milky x 10</t>
  </si>
  <si>
    <t>Reportan que equipo de apaga al encender vibrador, varíador en falla</t>
  </si>
  <si>
    <t xml:space="preserve">Se reviso estado de cable y de motor , se modifico parámetros de varíador y se dió seguimiento </t>
  </si>
  <si>
    <t>Desarme de mds formato agregados x100</t>
  </si>
  <si>
    <t>Armado de mds para formato agregados x100</t>
  </si>
  <si>
    <t>FAJA DE CODIFICACION - ENVASES LASER</t>
  </si>
  <si>
    <t xml:space="preserve">Apoyó en Desarme de componentes del túnel de enfriamiento para limpieza y desinfección </t>
  </si>
  <si>
    <t xml:space="preserve">Se retiró tapas, guardas , bandejas, tuberías y ventiladores </t>
  </si>
  <si>
    <t xml:space="preserve">No responde táctil de pantalla </t>
  </si>
  <si>
    <t xml:space="preserve">Se reviso cableado , se habilito equipo </t>
  </si>
  <si>
    <t>Limpieza de ventiladores  de hacos 1 con precencia de moho</t>
  </si>
  <si>
    <t xml:space="preserve">Desarme de túnel de pre enfriamiento </t>
  </si>
  <si>
    <t xml:space="preserve">Se retira polines de bañadora para limpieza </t>
  </si>
  <si>
    <t xml:space="preserve">Se llena agua al sistema de agua fría de temperadora </t>
  </si>
  <si>
    <t>Inspección de temperadora, llenado de agua</t>
  </si>
  <si>
    <t xml:space="preserve">Se retira filtro de bañadora para limpieza </t>
  </si>
  <si>
    <t>Armado de equipo y apoyó en fallas durante el arranque de linea</t>
  </si>
  <si>
    <t>Se coloco tapas guardas , se armó túnel de preenfriamiento, se reviso circuito eléctrico por falla en paradas de emergencia y ssr4 de extensión, se reviso temperadora se purgó y cebo bombas de recirculación de agua</t>
  </si>
  <si>
    <t>ENCEFALONADORA ECCOPAC</t>
  </si>
  <si>
    <t xml:space="preserve">Se realiza cambio de formato en encelofanadora x9 </t>
  </si>
  <si>
    <t xml:space="preserve">No calienta la temperadora de hacos 1 </t>
  </si>
  <si>
    <t xml:space="preserve">Se realiza el llenado de agua al sistema de agua caliente </t>
  </si>
  <si>
    <t xml:space="preserve">Válvula neumática no apertura ingreso de vapor </t>
  </si>
  <si>
    <t xml:space="preserve">Se realiza purga de válvula </t>
  </si>
  <si>
    <t xml:space="preserve">Se apoya en el armando de hacos 1 </t>
  </si>
  <si>
    <t xml:space="preserve">Apoyó a técnico de tarde en regulación de discos y pruebas </t>
  </si>
  <si>
    <t xml:space="preserve">Rompe envoltorio en mordaza </t>
  </si>
  <si>
    <t>Se eleva cabezales de mordaza de 160 a 130</t>
  </si>
  <si>
    <t>Equipo se apaga nuevamente, se encontró llaves protegidas</t>
  </si>
  <si>
    <t>Se identifico zona a la que pertenece llaves, se reviso uno por uno ventiladores de túnel, se encontró conectores sueltos y algunos desconectados, se corrigió, se habilitó llaves y se hizo pruebas, se deja equipo habilitado</t>
  </si>
  <si>
    <t xml:space="preserve">Inspección de máquina en funcionamiento </t>
  </si>
  <si>
    <t>Se dió seguimiento al funcionamiento de máquinas</t>
  </si>
  <si>
    <t xml:space="preserve">Piston de ingreso de molde a túnel en fuera de tiempo </t>
  </si>
  <si>
    <t xml:space="preserve">Se regula ingreso de aire y se librica correderas de pistón </t>
  </si>
  <si>
    <t>Rompe producto</t>
  </si>
  <si>
    <t xml:space="preserve">Se retira goma de elevador </t>
  </si>
  <si>
    <t xml:space="preserve">Sensor no detecta producto </t>
  </si>
  <si>
    <t xml:space="preserve">Se calibrar sensor  y se hace pruebas respectivas </t>
  </si>
  <si>
    <t xml:space="preserve">Apoyó y calibración del punto de sellado y abrefacil </t>
  </si>
  <si>
    <t>Calibración de disco de sellado.</t>
  </si>
  <si>
    <t>Se calibró sellado de producto.</t>
  </si>
  <si>
    <t>Sobre torque en torre de bajada.</t>
  </si>
  <si>
    <t>Se revisó y retiró moldes atrapados y se colocó punto cero.</t>
  </si>
  <si>
    <t>Caja de productos se amontonan.</t>
  </si>
  <si>
    <t>Se revisó y calibró sellado y apertura de mesa.</t>
  </si>
  <si>
    <t>Faja desalineada, polin tensador amarrado</t>
  </si>
  <si>
    <t xml:space="preserve">Se desarmo faja y se corrigió pocision del polin , se armó equipo y se hizo pruebas </t>
  </si>
  <si>
    <t xml:space="preserve">Temperadora con error en pantalla, no permite temperar, error en térmico de columna </t>
  </si>
  <si>
    <t xml:space="preserve">Se habilita llave protegida, se revisa consumo de corriente, se pone a temperar, se hace seguimiento a funcionamiento </t>
  </si>
  <si>
    <t xml:space="preserve">Equipo se apagó </t>
  </si>
  <si>
    <t>Se reviso tablero de equipo y se encontró guarda motor y llave abajo, se habilitó y se reviso funcionamiento de la zona</t>
  </si>
  <si>
    <t>Perno dañado no permite ajustar de manera correcta guarda.</t>
  </si>
  <si>
    <t>Se reemplazo perno y tuerca de guarda.</t>
  </si>
  <si>
    <t>BAÑADORA DE CHOCOLATE 3</t>
  </si>
  <si>
    <t xml:space="preserve">Se desarma bañadora para limpieza del 5 piso </t>
  </si>
  <si>
    <t xml:space="preserve">Contraelevador inclinado hacia la izquierda </t>
  </si>
  <si>
    <t xml:space="preserve">Se enderezó contraelevador y se reviso distancias con pinzas, se probó en modo manual </t>
  </si>
  <si>
    <t xml:space="preserve">Apoyo en ajuste y regulación de guiadores </t>
  </si>
  <si>
    <t>Revisión de funcionamiento</t>
  </si>
  <si>
    <t>Se rompió candado por perdida de llave en el vestuario damas</t>
  </si>
  <si>
    <t>Abrefacil desalineado</t>
  </si>
  <si>
    <t xml:space="preserve">Se regulo pocision de guías de aire , se hizo pruebas </t>
  </si>
  <si>
    <t>Cambio de formato de pisco x9 a milky x10</t>
  </si>
  <si>
    <t xml:space="preserve">Se cambió piezas y se apoyó en la calibración </t>
  </si>
  <si>
    <t>Cambio de formato de Mds de agregados x100 a agregados x50</t>
  </si>
  <si>
    <t>Papel se arruga constantemente, empujador daña producto en entrada</t>
  </si>
  <si>
    <t>Se desarmo módulo de corte, se regulo corte de cuchilla, se regulo brazo de transmisión de corte, se regulo sensibilidad de sensor de entrada</t>
  </si>
  <si>
    <t>Samfill fría, no calienta</t>
  </si>
  <si>
    <t xml:space="preserve">Se reviso conexiones de manguera, se reviso sistema eléctrico de calentamiento de agua, se corrigió estado de conector rápido, se verifico calentamiento de samfill, se deja operativo </t>
  </si>
  <si>
    <t xml:space="preserve">Cambio de interruptor principal </t>
  </si>
  <si>
    <t xml:space="preserve">Cambio de formato de minimilky a bite size </t>
  </si>
  <si>
    <t>Se apoyó cambiando la mordaza</t>
  </si>
  <si>
    <t>Se dió seguimiento y se apoyó en regulación de velocidades de fajas durante arranque de linea</t>
  </si>
  <si>
    <t>COCINA DE PLANTA</t>
  </si>
  <si>
    <t xml:space="preserve">Reportan que demora en calentar </t>
  </si>
  <si>
    <t>Se reviso parámetros eléctricos, se requinto pernos de bormeras eléctricas</t>
  </si>
  <si>
    <t>Papel aluminio se mueve a cun costado, plegado sale mal</t>
  </si>
  <si>
    <t>Se corrige posición de polin de tensador, se regula altura de plegador final, se realiza pruebas</t>
  </si>
  <si>
    <t>Moldes se juntan en salida de torre de bajada</t>
  </si>
  <si>
    <t>Se realizó limpieza de rascadores, se regulo tensión, se limpio chocolate seco en paredes de guias</t>
  </si>
  <si>
    <t xml:space="preserve">Orden y limpieza </t>
  </si>
  <si>
    <t xml:space="preserve">Revisión de funcionamiento de temperadora, nivel de agua de tanques </t>
  </si>
  <si>
    <t>Apoyo en regulación de guiadores para reducir producto expulsado en zona de expulsión de producto desbordante</t>
  </si>
  <si>
    <t>Producto llegan volteados, muchos espacios vacios</t>
  </si>
  <si>
    <t>Se regulo descarga de producto de robot desmoldador de hacos 2, se regulo velocidad de bandas y guiadores</t>
  </si>
  <si>
    <t>Descarga de relleno mal centrado, módulo se movió de posicion</t>
  </si>
  <si>
    <t>Se corrigió posición de módulo de mds</t>
  </si>
  <si>
    <t>Colocación de tubería flexible de alimentación de azucar</t>
  </si>
  <si>
    <t xml:space="preserve">Armado de módulo MDS </t>
  </si>
  <si>
    <t xml:space="preserve">Se armó módulo MDS </t>
  </si>
  <si>
    <t>Error en pantalla de codificadora, no permite iniciar impresion</t>
  </si>
  <si>
    <t xml:space="preserve">Se realizó limpieza de cabezal y regulación de puntos de ruptura, se borró error, se inicializo impresión </t>
  </si>
  <si>
    <t>15:35</t>
  </si>
  <si>
    <t xml:space="preserve">Inspección de máquina </t>
  </si>
  <si>
    <t>22:39</t>
  </si>
  <si>
    <t xml:space="preserve">Error en mordaza, no confirma error </t>
  </si>
  <si>
    <t>Se reviso mordaza, se subió un poco se probó en manual, se realizó limpieza de mordaza, se dejó operativa</t>
  </si>
  <si>
    <t>18:20</t>
  </si>
  <si>
    <t xml:space="preserve">Regular presión de discos </t>
  </si>
  <si>
    <t>Se regulo presión de disco de arrastre</t>
  </si>
  <si>
    <t>21:18</t>
  </si>
  <si>
    <t>21:37</t>
  </si>
  <si>
    <t>23:12</t>
  </si>
  <si>
    <t>23:28</t>
  </si>
  <si>
    <t>Sellado sale abierto</t>
  </si>
  <si>
    <t>Se regulo altura de mordaza, se apoyo en regulación de temperaturas, se realizó pruebas</t>
  </si>
  <si>
    <t>23:39</t>
  </si>
  <si>
    <t>23:55</t>
  </si>
  <si>
    <t xml:space="preserve">Problemas con el papel, se arruga constantemente </t>
  </si>
  <si>
    <t>Se retiro polin de arrastre, se realizó limpieza y se cambió cintas, se regulo brazo de movimiento de cuchilla</t>
  </si>
  <si>
    <t xml:space="preserve">Cajas se atascan al momento de empaquetar </t>
  </si>
  <si>
    <t>Se revisó y abrió mesa de sellado</t>
  </si>
  <si>
    <t>21:42</t>
  </si>
  <si>
    <t>21:54</t>
  </si>
  <si>
    <t>Revisión de funcionamiento, verificación de posición de lanzador</t>
  </si>
  <si>
    <t xml:space="preserve">Se realizó el cambio de formato en máquina </t>
  </si>
  <si>
    <t xml:space="preserve">Desarmar módulo MDS </t>
  </si>
  <si>
    <t xml:space="preserve">Se retiró módulo MDS para su limpieza </t>
  </si>
  <si>
    <t xml:space="preserve">Armar y habilitar máquina </t>
  </si>
  <si>
    <t xml:space="preserve">Se colocó piezas en posición y se habilitó máquina </t>
  </si>
  <si>
    <t xml:space="preserve">Fuga de vapor por válvula de seguridad </t>
  </si>
  <si>
    <t xml:space="preserve">Se revisó y regulo presión de vapor </t>
  </si>
  <si>
    <t>23:04</t>
  </si>
  <si>
    <t>Preventivo semanal programado a linea moldeadora</t>
  </si>
  <si>
    <t>22:22</t>
  </si>
  <si>
    <t>23:03</t>
  </si>
  <si>
    <t>Preventivo semanal temperadora hacos 1</t>
  </si>
  <si>
    <t>Se realizó limpieza, lubricacion y ajuste de acuerdo a formato</t>
  </si>
  <si>
    <t>00:01</t>
  </si>
  <si>
    <t>Sensores de actuadores sueltos</t>
  </si>
  <si>
    <t xml:space="preserve">Se deshabillito aire, se marcó posición correcta de sensores y se aseguro posición con Loctite </t>
  </si>
  <si>
    <t>21:56</t>
  </si>
  <si>
    <t>22:14</t>
  </si>
  <si>
    <t>Mal agarre de pinzas</t>
  </si>
  <si>
    <t xml:space="preserve">Se apoyo en regulacion de pinzas </t>
  </si>
  <si>
    <t>01:54</t>
  </si>
  <si>
    <t>02:33</t>
  </si>
  <si>
    <t>Desarmado de equipo, retiro de bandas y desajuste de rascadores para limpieza semanal</t>
  </si>
  <si>
    <t>01:37</t>
  </si>
  <si>
    <t>Desarmado y retiro de piezas para limpieza semanal</t>
  </si>
  <si>
    <t>00:51</t>
  </si>
  <si>
    <t>Revisión de funcionamiento de equipo</t>
  </si>
  <si>
    <t xml:space="preserve">Desarmado de hacos 1 para limpieza profunda </t>
  </si>
  <si>
    <t xml:space="preserve">Se encendió equipos y líneas de vapor, agua y aire </t>
  </si>
  <si>
    <t>Armado de máquina y habilitar líneas (bandas)</t>
  </si>
  <si>
    <t xml:space="preserve">Se colocó piezas en posición y se encendió bandas </t>
  </si>
  <si>
    <t>Armado de módulo MDS formato agregados x 50</t>
  </si>
  <si>
    <t>Se armó módulo de MDS para agregados</t>
  </si>
  <si>
    <t xml:space="preserve">Se retira polines para limpieza de la faja transporta de bañadora </t>
  </si>
  <si>
    <t>13:54</t>
  </si>
  <si>
    <t>14:22</t>
  </si>
  <si>
    <t xml:space="preserve">Desarmado y retiro de polines para limpieza  semanal </t>
  </si>
  <si>
    <t>13:28</t>
  </si>
  <si>
    <t>13:51</t>
  </si>
  <si>
    <t xml:space="preserve">Limpieza de polin de arrastre y módulo de corte para inicio de empaquetado </t>
  </si>
  <si>
    <t>Desarmar máquina.</t>
  </si>
  <si>
    <t xml:space="preserve">Se retiró piezas para su limpieza </t>
  </si>
  <si>
    <t>10:20</t>
  </si>
  <si>
    <t xml:space="preserve">Desarmar máquina para su limpieza </t>
  </si>
  <si>
    <t>21:40</t>
  </si>
  <si>
    <t>Armado del iman de criba del molino de billas</t>
  </si>
  <si>
    <t>13:06</t>
  </si>
  <si>
    <t>13:09</t>
  </si>
  <si>
    <t>13:26</t>
  </si>
  <si>
    <t xml:space="preserve">Prueba de funcionamiento de movimiento de cadena </t>
  </si>
  <si>
    <t xml:space="preserve">Se realiza inspección equipo desarmado </t>
  </si>
  <si>
    <t>07:10</t>
  </si>
  <si>
    <t>MOLINO DE AZUCAR</t>
  </si>
  <si>
    <t xml:space="preserve">Se retira manguera flexible para limpieza </t>
  </si>
  <si>
    <t xml:space="preserve">Problemas con el enfriamiento de sección 1 de túnel </t>
  </si>
  <si>
    <t>Se apoyo en la revisión de parámetros de compresor, llenado de refrigerante</t>
  </si>
  <si>
    <t>No baja la temperatura en el túnel de enfriamiento. Temperaturas de mantienen en 17 grados.</t>
  </si>
  <si>
    <t>Se revisó y aumentó refrigerante a compresor. Se reguló válvulas de expansión.Se informó a jefe de mantenimiento el estado del compresor y el problema de temperatura en dicho túnel.</t>
  </si>
  <si>
    <t>Pinza colisiona, se encuentra pinza rota, contraelevador torcido</t>
  </si>
  <si>
    <t>Se enderezó contraelevador, se ajusto piezas mal asustadas, se hizo fabricar pinza con personal tercero y se habilitó equipo</t>
  </si>
  <si>
    <t>Reportan que el laminado se sale de los discos</t>
  </si>
  <si>
    <t xml:space="preserve">Se indicó probar con otro laminado, se apoyó en  calibración se hizo pruebas se verifico que el sellado este correcto ,y se apoyó en operación </t>
  </si>
  <si>
    <t xml:space="preserve">Apoyó en alineación de fajas y calibración de piezas , se dió seguimiento </t>
  </si>
  <si>
    <t>Se dió seguimiento al funcionamiento de máquina.Se reguló velocidades en bandas de transporte.</t>
  </si>
  <si>
    <t xml:space="preserve">Se remplazo válvula reguladora del actuador neumático, se regulo movimiento, se calibro laminado y se apoyó en operación </t>
  </si>
  <si>
    <t>Desarmado de formato agregados x50</t>
  </si>
  <si>
    <t>Inspección de equipos en uso</t>
  </si>
  <si>
    <t>Se apoyó en alineación de fajas guías , se acompañó en inicio de empaquetado, se modifo parámetros de robot en hacos 2</t>
  </si>
  <si>
    <t>Retirar husillo para su limpieza y posterior colocación.</t>
  </si>
  <si>
    <t>Se retiró para su limpieza y luego se colocó en posición.</t>
  </si>
  <si>
    <t>Polines con rodamientos atascados.</t>
  </si>
  <si>
    <t>Se retiró polín para su limpieza y lubricación.</t>
  </si>
  <si>
    <t>CONCHA ASPAS</t>
  </si>
  <si>
    <t>Se llenó agua en tanques de equipo cr150</t>
  </si>
  <si>
    <t>Golpe en actuador neumático, válvula reguladora dañada</t>
  </si>
  <si>
    <t>Se regulo provisionalmente para evitar el golpe</t>
  </si>
  <si>
    <t>Problemas con sensor de alimentación de producto, equipo no se detiene en modo automatico</t>
  </si>
  <si>
    <t xml:space="preserve">Se reviso y se ajusto sensibilidad de sensor, se realizó pruebas </t>
  </si>
  <si>
    <t>Reportan % alto de cascarilla en nibs</t>
  </si>
  <si>
    <t>Limpieza de ductos del ciclón jaffinox</t>
  </si>
  <si>
    <t>TEMPERADORA CHOCOTECH</t>
  </si>
  <si>
    <t>Reportan fuga de agua de temperadora de bañadora</t>
  </si>
  <si>
    <t>Se reviso funcionamiento circuito de retorno al chiler</t>
  </si>
  <si>
    <t xml:space="preserve">No codifica , polin no se mueve libremente </t>
  </si>
  <si>
    <t xml:space="preserve">Se libero presión en polin , se verifico moviento del polin y del encoder , se hizo pruebas </t>
  </si>
  <si>
    <t>Dar seguimiento al funcionamiento de máquina, revisar sellado de cajas.</t>
  </si>
  <si>
    <t>Se abrió la distancia de la mesa y se aumentó temperatura en los selladores.</t>
  </si>
  <si>
    <t>Cuchilla desgastada.</t>
  </si>
  <si>
    <t xml:space="preserve">Se retiró cuchilla para su reemplazo. Se reemplazo y habilitó máquina </t>
  </si>
  <si>
    <t>Ruido en bandas</t>
  </si>
  <si>
    <t>Se paró equipo y se reviso estado de bandas se encontró dos bandas mal colocadas, se retiro y se corrigio</t>
  </si>
  <si>
    <t xml:space="preserve">Revisión de temperadora, ajuste de parámetros de alarma de nivel de tanque de almacenamiento </t>
  </si>
  <si>
    <t>Pernos muy ajustados, no permiten calibrar</t>
  </si>
  <si>
    <t>Se apoyo en el desajuste de pernos sin dañarlos</t>
  </si>
  <si>
    <t xml:space="preserve">Problemas con módulo de arrastre , suelta el laminado </t>
  </si>
  <si>
    <t xml:space="preserve">Se compenso diferencia de presión entre rodillos con cinta ,se hizo pruebas </t>
  </si>
  <si>
    <t>Fuga de chocolate por temperadora.</t>
  </si>
  <si>
    <t>Se revisó y ajustó prensaestopa de columna.</t>
  </si>
  <si>
    <t>15:26</t>
  </si>
  <si>
    <t>16:28</t>
  </si>
  <si>
    <t>Sellado de los discos no sella bien, sella con arruga y líneas no están bien marcadas</t>
  </si>
  <si>
    <t>Se coordina con supervisor y se realiza regulación de discos y pruebas con operador, se deja con mejor sellado</t>
  </si>
  <si>
    <t>Sistema de enfriamiento de temperadora no funciona correctamente. Columna 2 se enfría demasiado y no controla temperatura.</t>
  </si>
  <si>
    <t>Se revisó compresor de temperadora se llenó tanques de agua y se informó a jefe de mantenimiento la autorización para agregar refrigerante a compresor.</t>
  </si>
  <si>
    <t xml:space="preserve">Equipo no tempera adecuadamente </t>
  </si>
  <si>
    <t xml:space="preserve">Se realiza seguimiento y se llena el tanque de agua de sistema de frio y se hace seguimiento en la compresora </t>
  </si>
  <si>
    <t>Ingreso de personal tercero para tomar medidas de pinzas y boquillas de máquinas( v-pack y napolitana).</t>
  </si>
  <si>
    <t>Se acompaño a personal tercero a planta para la toma de medidas de piezas para su fabricación.</t>
  </si>
  <si>
    <t xml:space="preserve">Se desarma MODULOS DE MDS para limpieza </t>
  </si>
  <si>
    <t xml:space="preserve">Orden y limpieza de taller </t>
  </si>
  <si>
    <t xml:space="preserve">Se ordenó y limpio taller y mesa de trabajo </t>
  </si>
  <si>
    <t>Se realiza cambio de formato a flowpack 2 a milky</t>
  </si>
  <si>
    <t>13:12</t>
  </si>
  <si>
    <t>13:21</t>
  </si>
  <si>
    <t>Tablero sin energía, agitadores de ollas no encienden</t>
  </si>
  <si>
    <t xml:space="preserve">Se revisa tablero, se activa llaves y se prueba funcionamiento de equipos </t>
  </si>
  <si>
    <t>Sellado de envoltura sale mal y no sella.</t>
  </si>
  <si>
    <t>Se revisó y se indico que cambien de laminado.Se probó con otro laminado y el problema desapareció.</t>
  </si>
  <si>
    <t>POZO DE CHILLER</t>
  </si>
  <si>
    <t xml:space="preserve">Se realiza llenado de pozo de chiller con agua blanda </t>
  </si>
  <si>
    <t xml:space="preserve">Se realiza inspección con el operario por alarmas de equipo </t>
  </si>
  <si>
    <t>05:50</t>
  </si>
  <si>
    <t>BALANZA</t>
  </si>
  <si>
    <t xml:space="preserve">Switch de balanza de elevador de cacao malogrado </t>
  </si>
  <si>
    <t xml:space="preserve">Se realiza el cambio de switch y se deja operativo </t>
  </si>
  <si>
    <t>15:01</t>
  </si>
  <si>
    <t>15:19</t>
  </si>
  <si>
    <t>Revisión de funcionamiento de temperadora, revisión de niveles de agua</t>
  </si>
  <si>
    <t>16:38</t>
  </si>
  <si>
    <t>16:55</t>
  </si>
  <si>
    <t>Apoyo en regulación de posición de guiadores y bandas para mejorar ingreso de producto</t>
  </si>
  <si>
    <t>14:05</t>
  </si>
  <si>
    <t>Pinza no jala bien el papel</t>
  </si>
  <si>
    <t>Se regula posición de pinzas y se realiza pruebas</t>
  </si>
  <si>
    <t xml:space="preserve">Retirar husillo para limpieza y posterior colocación </t>
  </si>
  <si>
    <t>Se retiró husillo para su limpieza y luego se colocó en posición.</t>
  </si>
  <si>
    <t>14:32</t>
  </si>
  <si>
    <t>Sale agua de temperadora</t>
  </si>
  <si>
    <t>Se reviso mangueras, se estranguló entrada de agua fría, se encontró manguera de salida afuera, se colocó dentro de recipiente</t>
  </si>
  <si>
    <t>00:40</t>
  </si>
  <si>
    <t>01:50</t>
  </si>
  <si>
    <t xml:space="preserve">Equipo de detiene por alarma de temperatura baja de producto </t>
  </si>
  <si>
    <t>Se reviso niveles de agua en pozo de chiler y estación termica, se reviso estado de válvulas neumaticas , se cambió a compresor 1 en chiler</t>
  </si>
  <si>
    <t>Coches con ruedas dañadas.</t>
  </si>
  <si>
    <t>Se reemplazo ruedas y rodamientos en coches portabandejas.</t>
  </si>
  <si>
    <t>23:05</t>
  </si>
  <si>
    <t>23:59</t>
  </si>
  <si>
    <t xml:space="preserve">Apoyó en máquina </t>
  </si>
  <si>
    <t>Se apoyó regulando velocidad de fajas de hacos 2 , velocidad de fajas de transporte y velocidades de fajas guías , se dió seguimient</t>
  </si>
  <si>
    <t>Barquillos no salen completamente rectos</t>
  </si>
  <si>
    <t xml:space="preserve">Se apoyó en regulacion de guías y velocidad de rodillo y mandril </t>
  </si>
  <si>
    <t>Reportan que equipo se detiene</t>
  </si>
  <si>
    <t>Se reviso alarmas , temperatura de equipo y de producto</t>
  </si>
  <si>
    <t>01:20</t>
  </si>
  <si>
    <t>Se retiró módulo de MDS y piezas del formato armado.</t>
  </si>
  <si>
    <t>Tapa de guarda presenta golpe y daños.</t>
  </si>
  <si>
    <t>Se enderezó y soldó parte dañada de tapa.</t>
  </si>
  <si>
    <t>22:10</t>
  </si>
  <si>
    <t xml:space="preserve">Cuchilla no corta papel aluminio </t>
  </si>
  <si>
    <t xml:space="preserve">Se regulo recorrido de cuchilla , se hizo pruebas de corte , se aumento cinta en rodillo de desbobinando para mejorar el arrastre </t>
  </si>
  <si>
    <t>03:15</t>
  </si>
  <si>
    <t>Lubricación a cadena .</t>
  </si>
  <si>
    <t>Se lubricó y limpio cadena de máquina.</t>
  </si>
  <si>
    <t>Inspección de máquina en funcionamiento.</t>
  </si>
  <si>
    <t>Se dió seguimiento al sellado y plegado de laminado en cajas de milky.</t>
  </si>
  <si>
    <t>00:10</t>
  </si>
  <si>
    <t>Se aumento agua blanda en equipo cr150</t>
  </si>
  <si>
    <t xml:space="preserve">Apoyo en pruebas realizadas por producción, regulación de temperaturas y altura de plancha para mejora de sellado </t>
  </si>
  <si>
    <t>No sé puede habilitar polin de arrastre, no jala bolsa</t>
  </si>
  <si>
    <t>Se retiro tapa del costado y se regulo posición de sensor para habilitación de polin de arrastre</t>
  </si>
  <si>
    <t xml:space="preserve">SACMI caja de disco sin calibrar </t>
  </si>
  <si>
    <t xml:space="preserve">Se calibrar punto cero y se arma equipo </t>
  </si>
  <si>
    <t>Se armó partes del túnel de enfriamiento, se coloco polines y guardas , se subsanó observaciones de cabina de bañado</t>
  </si>
  <si>
    <t>Armado de piezas en cabina de bañadora. Se apoyó en el cocido de malla transportadora</t>
  </si>
  <si>
    <t>Cambio de bordes de pieza para descarga</t>
  </si>
  <si>
    <t>Arranque y verificación de funcionamiento de equipos de planta</t>
  </si>
  <si>
    <t>Temperaturas de agua incorrectas en temperadora , no calienta</t>
  </si>
  <si>
    <t>Se reviso circuito de agua caliente , se reviso válvulas checks , se purgó bombas, se dejó temperando</t>
  </si>
  <si>
    <t>Error de fase de gota</t>
  </si>
  <si>
    <t xml:space="preserve">Se realizó la limpieza de cabezal y se ejecuto programa de mantenimiento </t>
  </si>
  <si>
    <t>LABORATORIO</t>
  </si>
  <si>
    <t xml:space="preserve">Apoyó en Desarme y armado de equipo </t>
  </si>
  <si>
    <t>Volante de compuerta se salió.</t>
  </si>
  <si>
    <t>Se revisó y se reemplazo pasador que sujeta dicho volante</t>
  </si>
  <si>
    <t xml:space="preserve">se realiza desarmado de equipo  para limpieza </t>
  </si>
  <si>
    <t xml:space="preserve">Desarmado de guardas de hacos 2 para limpieza </t>
  </si>
  <si>
    <t>Retirar husillo para limpieza.</t>
  </si>
  <si>
    <t>Se retiró husillo para su limpieza.</t>
  </si>
  <si>
    <t>Retiro de polines y tapas de túnel para limpieza</t>
  </si>
  <si>
    <t>Reportan que temperatura de agua fría en temperadora demora en bajar</t>
  </si>
  <si>
    <t>Se cargó gas refrigerante, se midio consumo del compresor y se dió seguimiento</t>
  </si>
  <si>
    <t xml:space="preserve">No hay iluminación producto terminado,aduanas y pasadisos </t>
  </si>
  <si>
    <t xml:space="preserve">Se reviso tablero, se encontró circuito nuevo con llaves en falla, se habilitar iluminación </t>
  </si>
  <si>
    <t xml:space="preserve">Desarmado de polines y rascadores para limpieza </t>
  </si>
  <si>
    <t>Chocolate seco en tina, equipo apagado</t>
  </si>
  <si>
    <t>Se coloco equipo en modo calentamiento, se verifico que resistencias empiezen a calentar tina</t>
  </si>
  <si>
    <t>Retiro de tapas y destensado de banda</t>
  </si>
  <si>
    <t xml:space="preserve">Lubricación y colocación de guardas </t>
  </si>
  <si>
    <t xml:space="preserve">Retiro de cadena para lavado </t>
  </si>
  <si>
    <t xml:space="preserve">Se destensa faja de bañadora 2 </t>
  </si>
  <si>
    <t>Reportan que equipo se apagó.</t>
  </si>
  <si>
    <t>Se habilito equipo ,se apoyó en regulación de faja y surtidor</t>
  </si>
  <si>
    <t xml:space="preserve">Se realiza fabricación de chaveta de samfil </t>
  </si>
  <si>
    <t>Habilitacion de linea flowpack 2</t>
  </si>
  <si>
    <t>Se cambió formato para minimilky , se armó y alineó fajas guías , se habilito codificadora y se cambió cartuchos de aditivo y de tinta</t>
  </si>
  <si>
    <t xml:space="preserve">Apoyó en revisión/habilitación  de samfill </t>
  </si>
  <si>
    <t xml:space="preserve">Habilitacion de extractor de aire </t>
  </si>
  <si>
    <t>Se remplazo parada de emergencia y contactos de selector de encendido-apagado</t>
  </si>
  <si>
    <t xml:space="preserve">Se remplazo juego de pinzas y se apoyó en regulación de velocidades de fajas , se dió seguimiento </t>
  </si>
  <si>
    <t>Cambio de formato de minimilky a milky.</t>
  </si>
  <si>
    <t>Se retiró pines y se limpio sensores . Se habilitó bandas y planchas.</t>
  </si>
  <si>
    <t>Borneras de sensor (fin de carrera) se encuentran expuestos.</t>
  </si>
  <si>
    <t>Se colocó una guarda de plastico</t>
  </si>
  <si>
    <t>Reportan problemas con manija de regulación de soplador</t>
  </si>
  <si>
    <t xml:space="preserve">Se reviso manija se realla limpieza y lubricación </t>
  </si>
  <si>
    <t>Columna 1 de la temperadora se enfría demasiado y bloquea el equipo.</t>
  </si>
  <si>
    <t>Se revisó niveles de agua, y se calentó columna</t>
  </si>
  <si>
    <t>Columnas de temperado se bloquean.</t>
  </si>
  <si>
    <t>Se apoyo con el cambio de válvula selenoide de columna 1, ya que se encuentra dañada (tiene pase).Se llena agua a tanques y se realizó purgas.Se activa modo calentamiento y se le dió seguimiento.</t>
  </si>
  <si>
    <t>Plegador fuera de posición, guia de riel se salio</t>
  </si>
  <si>
    <t xml:space="preserve">Se coloco en posición y se ajusto , se regulo distancia de plegador y se realizó pruebas de funcionamiento </t>
  </si>
  <si>
    <t>Montaje y limpieza de cadena de transmisión de bomba de samfill de extension</t>
  </si>
  <si>
    <t xml:space="preserve">Se arma barquillera parar inicio de producto </t>
  </si>
  <si>
    <t>Calibración de máquina. Formato milky x10.</t>
  </si>
  <si>
    <t>Se calibró el plegado y sellado de laminado. Se ajusto el corte de laminado y la apertura de la mesa.</t>
  </si>
  <si>
    <t>Microondas no funciona correctamente</t>
  </si>
  <si>
    <t xml:space="preserve">Se reviso funcionamiento, equipo no calienta, se desarmo y se verifico fusibles de alto voltaje y condensador, se identifico magnetron en mal estado, se informo de problema a supervisor </t>
  </si>
  <si>
    <t>Mordaza y cuchilla sellaron accidentalmente el producto.</t>
  </si>
  <si>
    <t>Se revisó y retiró cuchilla para su limpieza. Se limpió canal de mordazas y se colocó en posición la cuchilla.</t>
  </si>
  <si>
    <t xml:space="preserve">Microondas de chocolate no calienta producto </t>
  </si>
  <si>
    <t xml:space="preserve">Se realizo verificación de fusibles y cables </t>
  </si>
  <si>
    <t xml:space="preserve">Se arma netzsch para pase de producto </t>
  </si>
  <si>
    <t xml:space="preserve">Se desarma la netzsch para limpieza </t>
  </si>
  <si>
    <t xml:space="preserve">Se arma sanfil;se conecta transmisión de equipo y se realiza limpieza correspondiente </t>
  </si>
  <si>
    <t>Tubería de aire con soporte suelto</t>
  </si>
  <si>
    <t>Se completó perno faltante en abrazadera de tubería de aire</t>
  </si>
  <si>
    <t>Retiro de boquillas para toma de medidas de tercero</t>
  </si>
  <si>
    <t>Guarda principal se cae, pistones no logran soportar el peso de la guarda.</t>
  </si>
  <si>
    <t>Se colocó pistones de apoyo para levantar guarda.</t>
  </si>
  <si>
    <t xml:space="preserve">Patrones en rayos x no reconoce </t>
  </si>
  <si>
    <t xml:space="preserve">Se realiza pruebas para reconocimiento de patrones </t>
  </si>
  <si>
    <t>Problemas en temperadora de hacos 1 temperatura de columnas altas</t>
  </si>
  <si>
    <t>Se reemplazo bomba de sistema de agua caliente se deio seguimiento al calentamiento, se activo el temperatura a las 15:00horas , se dió seguimiento al temperado y se verico constantemente niveles de agua en columnas</t>
  </si>
  <si>
    <t xml:space="preserve">Reportan nivel bajo de cloro en agua potable </t>
  </si>
  <si>
    <t xml:space="preserve">Se verifico que sistema dosificador de cloro funciona correctamente </t>
  </si>
  <si>
    <t>Columnas se bloquean. Tanque de agua caliente se queda vacía. Temperadora inoperativa.</t>
  </si>
  <si>
    <t>Se estrangula válvulas de retorno de tanque de agua fría.Se revisó niveles de.agua.  se revisó retorno de producto a tanque. Se habilitó máquina.</t>
  </si>
  <si>
    <t xml:space="preserve">Se desarmo Mds y se volvió a armar luego de su limpieza </t>
  </si>
  <si>
    <t xml:space="preserve">Se apoyó a personal tercero en levantamiento de observaciones </t>
  </si>
  <si>
    <t xml:space="preserve">Se dió seguimiento al funcionamiento de temperadora , se lubrico cadena de transmisión </t>
  </si>
  <si>
    <t>Apoyo en máquina, para reducir el corte de laminado.</t>
  </si>
  <si>
    <t>Se regulo la bobina de laminado, se revisó corte de lamina y sellado.</t>
  </si>
  <si>
    <t xml:space="preserve">Ruido en máquina </t>
  </si>
  <si>
    <t xml:space="preserve">Se reviso equipo en vacío , se regulo presiónn de polin inducido de arrastre </t>
  </si>
  <si>
    <t>SELLADORA DE BOLSAS DOYPACK ECCOPAC</t>
  </si>
  <si>
    <t>Reportan que sellado no sale marcado, un regulador se encuentra atorado</t>
  </si>
  <si>
    <t xml:space="preserve">Se libero perdón de regulador y se apoyó en la calibración de presión de sellado y temperatura </t>
  </si>
  <si>
    <t>Apoyó en modificación de parámetros de fecha y lote</t>
  </si>
  <si>
    <t>Se reviso presión de refrigerante y consumo de corriente en comprésor de temperadora</t>
  </si>
  <si>
    <t xml:space="preserve">Preventivo semanal </t>
  </si>
  <si>
    <t>Sensor sin botón</t>
  </si>
  <si>
    <t>Se busco material y se moldeo para pegarlo y trabaje de botón, se fijó y se reviso estado</t>
  </si>
  <si>
    <t xml:space="preserve">Contraelevador fuera de posición, no retorna a posición </t>
  </si>
  <si>
    <t xml:space="preserve">Se regulo y enderezó contraelevador, se lubrica eje y se realizó pruebas </t>
  </si>
  <si>
    <t>Lubricacion semanal</t>
  </si>
  <si>
    <t>APILADOR ELECTRICO</t>
  </si>
  <si>
    <t>Apilador en mal estado, se detiene</t>
  </si>
  <si>
    <t>Se coordino con supervisora de área, se retiro apilador y se dejó en parte externa de taller</t>
  </si>
  <si>
    <t>Lubricacion de equipo</t>
  </si>
  <si>
    <t>Cambio de cableado e instalación de sensor, pruebas de funcionamiento de sensor</t>
  </si>
  <si>
    <t>Temperatura de mordaza superior varia</t>
  </si>
  <si>
    <t xml:space="preserve">Se realizó limpieza de carbones y colector </t>
  </si>
  <si>
    <t xml:space="preserve">Revisión de sensibilidad en ciertos productos </t>
  </si>
  <si>
    <t>Desarmar  máquinas de los diferentes pisos para su limpieza.</t>
  </si>
  <si>
    <t>Se desarmó SACMI, FLOW PACK2, CORTADORA DE TURRON, NETZCH, HACOS 1, BAÑADORA 1ER PISO, BAÑADORA 5TO PISO, Y QUEBRANTADORA</t>
  </si>
  <si>
    <t xml:space="preserve">Desarme de equipos por limpieza </t>
  </si>
  <si>
    <t>Se desarmo polines de bañadora , v pack , sacmi , quebrantadora , hacos 1, cortadora de turrón, barquillera</t>
  </si>
  <si>
    <t xml:space="preserve">Armado de equipos sacmi, bañadora ,v pack , bañadora 5to piso , barquillera </t>
  </si>
  <si>
    <t xml:space="preserve">Se encendió equipos y líneas de vapor agua y aire </t>
  </si>
  <si>
    <t>Máquina alimenta en vacío, problemas con sensor</t>
  </si>
  <si>
    <t xml:space="preserve">Se reviso funcionamiento de sensor, se encontró cable con conexión dañada, se cortó cable y se corrigio conexión, se realizó pruebas de funcionamiento </t>
  </si>
  <si>
    <t>Error inversor de cintas</t>
  </si>
  <si>
    <t>Se encontró variador en falla, se reseteo falla y se dió marcha, se reviso comportamiento de variador en marcha</t>
  </si>
  <si>
    <t>Error en el sellado lateral</t>
  </si>
  <si>
    <t xml:space="preserve">Se regulo laminado, ancho de mesa y presión de caja inicial </t>
  </si>
  <si>
    <t>CONCHA COCOATOWN</t>
  </si>
  <si>
    <t>Revisión de funcionamiento, y comportamiento de piedras</t>
  </si>
  <si>
    <t>Falta armar piezas, tuberías mal ajustadas</t>
  </si>
  <si>
    <t>Se terminó de armar tuberías de drenaje, se ajusto tuberias</t>
  </si>
  <si>
    <t>Nivel bajo de agua</t>
  </si>
  <si>
    <t>Se aperturó válvulas y sistema de agua blanda para llenado de pozo</t>
  </si>
  <si>
    <t>Equipo atascado/amarrado no permite el giro de la rueda de piedra.</t>
  </si>
  <si>
    <t>Se retiró rueda de piedra para su intervención. Se desarmó piezas en taller y se habilitó máquina.</t>
  </si>
  <si>
    <t>Equipo de calefacción no enciende.</t>
  </si>
  <si>
    <t>Se revisó equipo, y se detectó conexión meneke en mal estado.Se retiró meneke para su reemplazo.</t>
  </si>
  <si>
    <t>Máquina se apaga constantemente.</t>
  </si>
  <si>
    <t>Se revisó máquina y se apoyo con el cambio de conexiones eléctricas.</t>
  </si>
  <si>
    <t>Armado de equipo, colocación de bandas y rascadores, colocación de mordaza y guardas, retiro de pines y cambio de planchas, habilitación de equipo</t>
  </si>
  <si>
    <t xml:space="preserve">Se dió seguimiento al funcionamiento de máquina con carga </t>
  </si>
  <si>
    <t>Se ordenó mesas de trabajo y herramientas.</t>
  </si>
  <si>
    <t>Cinta de rodillo de arrastre en mal estado, se retira cinta y se limpia , se envuelve con una capa de cinta y se realizan pruebas</t>
  </si>
  <si>
    <t>Capacitacion</t>
  </si>
  <si>
    <t>Capacitación del correcto lavado de manos.</t>
  </si>
  <si>
    <t xml:space="preserve">Se asistió a dicha capacitación. </t>
  </si>
  <si>
    <t>Ruido en cabina, agitador salta</t>
  </si>
  <si>
    <t>Se reviso transmisión, se encontró cadena mal prensada, se paró equipo y se corrigió posición de tensador de cadena, se lubrica partes moviles</t>
  </si>
  <si>
    <t>Revisión de funcionamiento de equipo, ajuste de posición de sensor</t>
  </si>
  <si>
    <t>Atender observaciones de planta.</t>
  </si>
  <si>
    <t>Se corrigió observaciones solicitadas.</t>
  </si>
  <si>
    <t>Recipientes de agua condensada llenos de fancoil</t>
  </si>
  <si>
    <t xml:space="preserve">Se libero recipientes y se limpio área </t>
  </si>
  <si>
    <t>TUNEL DE ENFRIAMIENTO AMP ROSE</t>
  </si>
  <si>
    <t>Selector caído, no se puede encender equipo</t>
  </si>
  <si>
    <t xml:space="preserve">Se abre tablero y se revisa selector, se salió de posición por golpe , se colocó selector y se probó funcionamiento </t>
  </si>
  <si>
    <t>Llenado de pozo, apertura de ingreso de agua de sedapar a pozo alterno, activación de sistema de potabilización</t>
  </si>
  <si>
    <t xml:space="preserve">Se corta bobina para laboratorio </t>
  </si>
  <si>
    <t>19:35</t>
  </si>
  <si>
    <t xml:space="preserve">Corte de envoltorio muy largo </t>
  </si>
  <si>
    <t xml:space="preserve">Se recorre el jalador de empaquetadota para reducir el corte </t>
  </si>
  <si>
    <t xml:space="preserve">Dosificador de goma embarra etiqueta; sensores no detecta contra elevador </t>
  </si>
  <si>
    <t xml:space="preserve">Se calibra goma y se regula sensor para que detecte contra elevador </t>
  </si>
  <si>
    <t>00:18</t>
  </si>
  <si>
    <t>Operadora indica que durante el uso salía agua de la base</t>
  </si>
  <si>
    <t>Se retiro guarda para revisar , se encontró acumulación de producto , sensor fuera de posición y pieza de salida de producto suelta, se realizó limpieza y ajuste de sensor y pieza de salida</t>
  </si>
  <si>
    <t xml:space="preserve">Se cambia formato a mds a cremas ovaladas </t>
  </si>
  <si>
    <t xml:space="preserve">Seguros de rodamientos rotos </t>
  </si>
  <si>
    <t xml:space="preserve">Se realiza la puesta de nuevos seguros y se realizó pruebas </t>
  </si>
  <si>
    <t>20:10</t>
  </si>
  <si>
    <t>01:14</t>
  </si>
  <si>
    <t>01:43</t>
  </si>
  <si>
    <t>Armado de formato cremas ovaladas en mds</t>
  </si>
  <si>
    <t>23:32</t>
  </si>
  <si>
    <t>Problemas con el sensor, daña producto</t>
  </si>
  <si>
    <t>Se reviso funcionamiento de sensores, se regulo posición, se modifico parámetros de trabajo y se realizó pruebas</t>
  </si>
  <si>
    <t>23:34</t>
  </si>
  <si>
    <t xml:space="preserve">Desarmado de formato cremas de mds para limpieza </t>
  </si>
  <si>
    <t>21:10</t>
  </si>
  <si>
    <t xml:space="preserve">Se realiza el armado de mds cremas ovaladas </t>
  </si>
  <si>
    <t xml:space="preserve">Borde de faja de producto despintado </t>
  </si>
  <si>
    <t xml:space="preserve">Se pone un cinta provisional para que no se descascare la pintura </t>
  </si>
  <si>
    <t>GRAGEADORA CRG-100X</t>
  </si>
  <si>
    <t xml:space="preserve">Aire acondicionado no enfría </t>
  </si>
  <si>
    <t xml:space="preserve">Se realiza verificación y se cambia de modo de caliente a frio </t>
  </si>
  <si>
    <t>22:42</t>
  </si>
  <si>
    <t>23:01</t>
  </si>
  <si>
    <t>FORRADORA MINIFLEX</t>
  </si>
  <si>
    <t>Cuchilla de de corte de plástico no corta bien, cuchilla principal no corta una esquina</t>
  </si>
  <si>
    <t>Se realizó cambio de  cuchilla, se regulo cuchilla principal, se realizó pruebas</t>
  </si>
  <si>
    <t>02:09</t>
  </si>
  <si>
    <t>02:28</t>
  </si>
  <si>
    <t>Apoyo en regulación de guiadores y velocidad de bandas para reducir expulsión de producto</t>
  </si>
  <si>
    <t>Variación de peso</t>
  </si>
  <si>
    <t>Se reviso funcionamiento, se realizó limpieza de caja de conexiones , se acomodo gomas de patas, se realizó pruebas</t>
  </si>
  <si>
    <t>22:23</t>
  </si>
  <si>
    <t>22:19</t>
  </si>
  <si>
    <t>Corrección de posición de dosificador de cremas mds</t>
  </si>
  <si>
    <t>00:02</t>
  </si>
  <si>
    <t>00:16</t>
  </si>
  <si>
    <t>01:59</t>
  </si>
  <si>
    <t>Aumento de pines a cadena para formato mini milky</t>
  </si>
  <si>
    <t>Tubería no expulsa agua de limpieza</t>
  </si>
  <si>
    <t xml:space="preserve">Se desajusto unión y se limpio producto atascado, se aumento velocidad de bomba de masa para ayudar a limpieza </t>
  </si>
  <si>
    <t>06:05</t>
  </si>
  <si>
    <t xml:space="preserve">Se llenó agua en tanques , se puso a calentar , no se ve retorno, se reviso filtro y libre caída de chocolate, se calentó tuberías sin chaqueta , cintas calefactoras no están funcionando , se reviso circuito eléctrico </t>
  </si>
  <si>
    <t>10:40</t>
  </si>
  <si>
    <t>Cambio de formato de milky x10 a pisco x9</t>
  </si>
  <si>
    <t xml:space="preserve">Se cambió piezas y se calibro </t>
  </si>
  <si>
    <t>00:07</t>
  </si>
  <si>
    <t>00:55</t>
  </si>
  <si>
    <t>Choque de contraelevador con pinzas, se doblo contraelevador, pinzas se descalibraron y se salieron sus gomas</t>
  </si>
  <si>
    <t>Se retiro pinzas y contraelevador, se enderezó contraelevador y se pego gomas de pinzas , se coloca en máquina y se deja calibrando a operadora</t>
  </si>
  <si>
    <t>06:45</t>
  </si>
  <si>
    <t>Variación constante en discos de sellado.</t>
  </si>
  <si>
    <t>Se revisó máquina, se reseteo módulo de temperatura y se calibró en modo automático las temperaturas de sellado.</t>
  </si>
  <si>
    <t>21:51</t>
  </si>
  <si>
    <t>Limpieza programada de pozo</t>
  </si>
  <si>
    <t>Se realizó juego de válvulas para dejar vacío pozo con limpieza programada</t>
  </si>
  <si>
    <t>01:38</t>
  </si>
  <si>
    <t>02:17</t>
  </si>
  <si>
    <t>Contraelevador tiene rose con pinzas, pernos rodados</t>
  </si>
  <si>
    <t>Se cambia pernos de pieza, se endereza contraelevador en máquina y se realiza pruebas de funcionamiento en manual y automatico</t>
  </si>
  <si>
    <t>01:01</t>
  </si>
  <si>
    <t>01:34</t>
  </si>
  <si>
    <t>Armado de formato cremas en mds</t>
  </si>
  <si>
    <t>22:44</t>
  </si>
  <si>
    <t>08:10</t>
  </si>
  <si>
    <t>Boquilla de succión no baja/jala etiqueta al momento de empaquetar.</t>
  </si>
  <si>
    <t>Se retiró válvula de vacío para su limpieza y se calibró altura de boquilla.</t>
  </si>
  <si>
    <t>03:32</t>
  </si>
  <si>
    <t>Pinza rosa con plegador, goma se sale</t>
  </si>
  <si>
    <t>Se retira pinza, se lima bordes, se pega goma , se prueba en equipo y se realiza ajuste de pinzas y se realiza pruebas</t>
  </si>
  <si>
    <t>23:21</t>
  </si>
  <si>
    <t>23:42</t>
  </si>
  <si>
    <t>Apoyo en regulación de guiadores, ajuste de posición de sensor</t>
  </si>
  <si>
    <t>02:46</t>
  </si>
  <si>
    <t>03:05</t>
  </si>
  <si>
    <t>Revisión de funcionamiento de módulo mds, centrado de dosificador</t>
  </si>
  <si>
    <t>02:21</t>
  </si>
  <si>
    <t>02:39</t>
  </si>
  <si>
    <t xml:space="preserve">Soplador de empaques vacíos se mueve </t>
  </si>
  <si>
    <t xml:space="preserve">Se retiro soplador, se colocó teflón en uniones, se ajusto posición </t>
  </si>
  <si>
    <t xml:space="preserve">Reportan que no funciona faja de alimentación </t>
  </si>
  <si>
    <t>Se habilito faja</t>
  </si>
  <si>
    <t>08:25</t>
  </si>
  <si>
    <t>08:45</t>
  </si>
  <si>
    <t>Se verifico temperatura de discos y el sellado del producto final</t>
  </si>
  <si>
    <t>Sensores de las  bandas de alineación no registran el sensado de producto.</t>
  </si>
  <si>
    <t>Se revisó y limpio sensores. También se alineó posición y sensibilidad de los mismos.</t>
  </si>
  <si>
    <t>Se apoyó en seteo de pocision y tiempos de retardo para activación de cuchilla</t>
  </si>
  <si>
    <t>15:37</t>
  </si>
  <si>
    <t>Problemas con la dosificación de ingredientes en bascula</t>
  </si>
  <si>
    <t>Se realizó pruebas con recetas diferentes, se creo nueva receta y se acompaño en proceso de receta, quedó habilitado</t>
  </si>
  <si>
    <t>11:05</t>
  </si>
  <si>
    <t>Encontraron malla de bañadora en mala estado</t>
  </si>
  <si>
    <t>Se remplazo sección rota , se cocio malla y se acomodo partes dobladas en todo el recorrido</t>
  </si>
  <si>
    <t xml:space="preserve">Se reviso estado de bandas transportadoras </t>
  </si>
  <si>
    <t>NO ASIGNADO</t>
  </si>
  <si>
    <t xml:space="preserve">Se apoya con el retiro de químicos de almacén para supervisión </t>
  </si>
  <si>
    <t>EQUIPOS AUXILIARES</t>
  </si>
  <si>
    <t xml:space="preserve">Reportan que cocina electrica pequeña de grajeadora no funciona </t>
  </si>
  <si>
    <t xml:space="preserve">Se hizo su revisión en taller de mantenimiento, se habilito y se entregó a producción </t>
  </si>
  <si>
    <t xml:space="preserve">Se desarma MDS para limpieza por prueba de producción </t>
  </si>
  <si>
    <t>Armado de módulo MDS formato cremas.</t>
  </si>
  <si>
    <t>Se habilitó máquina y se armó el módulo MDS formato cremas ovaladas.</t>
  </si>
  <si>
    <t>16:16</t>
  </si>
  <si>
    <t>FORRADORA AUTOMATICA 01</t>
  </si>
  <si>
    <t xml:space="preserve">Empaquetado sale mal, problemas en sellado y aguja, bolsa se sale de posición </t>
  </si>
  <si>
    <t>Se ajusto ruedas de guia de bolsa, se cambio aguja y se regulo altura de aguja con cinta, se modifico valores de temperatura y se realizó pruebas, se dejó pasando</t>
  </si>
  <si>
    <t xml:space="preserve">Inspección de equipos a usarse en el turno </t>
  </si>
  <si>
    <t>Se inició con el armado de máquina.</t>
  </si>
  <si>
    <t>01:55</t>
  </si>
  <si>
    <t>Se dió seguimiento ala premezcla y se reviso historial de cocciones anteriores de toffe castaña</t>
  </si>
  <si>
    <t>13:48</t>
  </si>
  <si>
    <t>Se apoyo en cambio de formato a tabletas x40</t>
  </si>
  <si>
    <t>01:10</t>
  </si>
  <si>
    <t xml:space="preserve">Hilo rodado en pieza de sapal </t>
  </si>
  <si>
    <t xml:space="preserve">Se corrige pieza se le forma hilo y se le pone nuevos pernos </t>
  </si>
  <si>
    <t>17:20</t>
  </si>
  <si>
    <t xml:space="preserve">Moldes fuera de sintonía de empujadores de línea </t>
  </si>
  <si>
    <t xml:space="preserve">Se corrige sincronía de moldes en modo manual en hacos 2 </t>
  </si>
  <si>
    <t>13:04</t>
  </si>
  <si>
    <t>13:23</t>
  </si>
  <si>
    <t>Poca caída de chocolate en bañado</t>
  </si>
  <si>
    <t>Se retiro filtro para limpieza, se espero y se volvió a colocar</t>
  </si>
  <si>
    <t>12:37</t>
  </si>
  <si>
    <t>12:54</t>
  </si>
  <si>
    <t>Apoyo en máquina, báscula de máquina no pesa correctamente los ingredientes.</t>
  </si>
  <si>
    <t xml:space="preserve">Se revisó y se reseteo receta. Se habilitó máquina </t>
  </si>
  <si>
    <t>Habilitar una ventana o compuerta para el acceso de la faja de transmisión.</t>
  </si>
  <si>
    <t>Se retiró guarda para habilitar una ventana o compuerta.</t>
  </si>
  <si>
    <t>AGUA POTABLE</t>
  </si>
  <si>
    <t>Vaciar el pozo #3 de agua potable, para su limpieza.</t>
  </si>
  <si>
    <t>Con ayuda de una bomba sumergible se logro vaciar por completo y se dejó el pozo listo para su intervención.</t>
  </si>
  <si>
    <t>Orden y limpieza en taller y almacén de mantenimiento.</t>
  </si>
  <si>
    <t>Se ordenó y limpio zonas de trabajo.</t>
  </si>
  <si>
    <t>11:10</t>
  </si>
  <si>
    <t>Dar seguimiento al funcionamiento de máquina con carga.</t>
  </si>
  <si>
    <t>Se dió seguimiento a la cocción y arranque en Hansel.</t>
  </si>
  <si>
    <t xml:space="preserve">Apoyó en retiró y colocación de filtro de chocolate </t>
  </si>
  <si>
    <t xml:space="preserve">Falla en ssr4 extensión </t>
  </si>
  <si>
    <t>Se reviso circuito eléctrico y estado de resistencia, se habilito circuito de calentamiento de tina extensión se hizo pruebas al 50% y 100%</t>
  </si>
  <si>
    <t>05:35</t>
  </si>
  <si>
    <t>06:41</t>
  </si>
  <si>
    <t>Arranque de planta, encendido de equipos</t>
  </si>
  <si>
    <t>04:20</t>
  </si>
  <si>
    <t>05:22</t>
  </si>
  <si>
    <t>Cambio de formato de milky a pisco x18</t>
  </si>
  <si>
    <t>09:10</t>
  </si>
  <si>
    <t xml:space="preserve">Armado de máquina </t>
  </si>
  <si>
    <t>11:59</t>
  </si>
  <si>
    <t>Solicitud para creación de receta para reproceso de producto</t>
  </si>
  <si>
    <t xml:space="preserve">Se creo receta y se acompaño en proceso de cocción </t>
  </si>
  <si>
    <t xml:space="preserve">Se colocó piezas en posición, se colocó bandas y se habilitó máquina </t>
  </si>
  <si>
    <t>04:17</t>
  </si>
  <si>
    <t xml:space="preserve">Se retiró piezas de máquina </t>
  </si>
  <si>
    <t>22:40</t>
  </si>
  <si>
    <t xml:space="preserve">Inspección de equipo. Revisión de temperadora </t>
  </si>
  <si>
    <t xml:space="preserve">Se retiró piezas de máquina para su limpieza </t>
  </si>
  <si>
    <t>Armado de equipo, colocación de polines y retiro de filtro para limpieza</t>
  </si>
  <si>
    <t>23:30</t>
  </si>
  <si>
    <t>23:51</t>
  </si>
  <si>
    <t xml:space="preserve">Verificación funcionamiento de equipo </t>
  </si>
  <si>
    <t>08:59</t>
  </si>
  <si>
    <t>09:20</t>
  </si>
  <si>
    <t>Drenaje tapado, sale agua en zona de pozos</t>
  </si>
  <si>
    <t>Se utilizo manguera y agua a presión para destapar drenaje, se realizó limpieza de area</t>
  </si>
  <si>
    <t>11:32</t>
  </si>
  <si>
    <t>11:52</t>
  </si>
  <si>
    <t>Bajo nivel de agua en pozo</t>
  </si>
  <si>
    <t>Se realizó llenado con agua blanda</t>
  </si>
  <si>
    <t>Mejora</t>
  </si>
  <si>
    <t xml:space="preserve">Colocar visor de faja en máquina </t>
  </si>
  <si>
    <t xml:space="preserve">Se colocó un visor en la guarda de la faja </t>
  </si>
  <si>
    <t xml:space="preserve">Perno no ajusta plancha de enfriamiento </t>
  </si>
  <si>
    <t xml:space="preserve">Se reemplaza perno por uno de mayor diámetro </t>
  </si>
  <si>
    <t>21:50</t>
  </si>
  <si>
    <t>22:06</t>
  </si>
  <si>
    <t>Lubricación de cadena</t>
  </si>
  <si>
    <t>Producción solicitada el retiro de ventilador empotrado del cuarto piso.</t>
  </si>
  <si>
    <t xml:space="preserve">Se retiró ventilador para su limpieza </t>
  </si>
  <si>
    <t>El agua no llega a calentar, debido a una obstrucción en la tuberías.</t>
  </si>
  <si>
    <t xml:space="preserve">Se revisó las tuberías de retorno y se libero presión de agua </t>
  </si>
  <si>
    <t>06:57</t>
  </si>
  <si>
    <t>Equipo con producto seco y apagado</t>
  </si>
  <si>
    <t xml:space="preserve">Se encendió equipo y se colocó en modo calentamiento </t>
  </si>
  <si>
    <t>01:57</t>
  </si>
  <si>
    <t xml:space="preserve">Verificación de nivel de agua </t>
  </si>
  <si>
    <t>07:06</t>
  </si>
  <si>
    <t>07:18</t>
  </si>
  <si>
    <t>Retiro de tapas y guardas para limpieza</t>
  </si>
  <si>
    <t>05:25</t>
  </si>
  <si>
    <t>CYCLOP 50/ MOLDEO MANUAL</t>
  </si>
  <si>
    <t>Reportan ruido extraño</t>
  </si>
  <si>
    <t xml:space="preserve">Se coordina con supervisor para retirar chocolate de la tina y poder revisar el interior. Queda pendiente para siguiente turno </t>
  </si>
  <si>
    <t>03:18</t>
  </si>
  <si>
    <t>03:28</t>
  </si>
  <si>
    <t xml:space="preserve">Pastillas se juntan en las fajas de alimentación </t>
  </si>
  <si>
    <t>Se configura parámetros de velocidad de fajas</t>
  </si>
  <si>
    <t>CONCHA ELK</t>
  </si>
  <si>
    <t>Pantalla no enciende de equipo</t>
  </si>
  <si>
    <t xml:space="preserve">Se reviso tablero y se habilitó UPS , se verifico correcto encendido </t>
  </si>
  <si>
    <t>21:28</t>
  </si>
  <si>
    <t xml:space="preserve">ASCENSOR TK </t>
  </si>
  <si>
    <t>Ascensor en falla</t>
  </si>
  <si>
    <t xml:space="preserve">Se desenergiza equipo y se verifica correcto apagado </t>
  </si>
  <si>
    <t>Utensilio se atascó en la malla de máquina; malla se encuentra dañada.</t>
  </si>
  <si>
    <t>Se apagó la transmisión de la malla y se informó a producción sobre lo sucedido. Se procedió a reemplazar parte dañada de malla.</t>
  </si>
  <si>
    <t>Producción solicita la colocación de ventilador y anclaje de andamio.</t>
  </si>
  <si>
    <t>Se colocó ventilador empotrado en pared y se ancló estante.</t>
  </si>
  <si>
    <t>01:03</t>
  </si>
  <si>
    <t>01:05</t>
  </si>
  <si>
    <t xml:space="preserve">Armado de MDS para milky frambuesa </t>
  </si>
  <si>
    <t>22:38</t>
  </si>
  <si>
    <t>Inspección de equipo.</t>
  </si>
  <si>
    <t xml:space="preserve">Se configura parámetros de temperado. Operadora reporta variación de temperatura </t>
  </si>
  <si>
    <t>Cambio de gomas a pinzas de repuesto</t>
  </si>
  <si>
    <t>05:41</t>
  </si>
  <si>
    <t>04:00</t>
  </si>
  <si>
    <t xml:space="preserve">Verificación de parámetros de trabajo </t>
  </si>
  <si>
    <t>06:56</t>
  </si>
  <si>
    <t>Bajo nivel de agua en pozo de agua potable</t>
  </si>
  <si>
    <t xml:space="preserve">Se realizó juego de válvulas para llenado con potabilización </t>
  </si>
  <si>
    <t>07:28</t>
  </si>
  <si>
    <t>Dobles sale mal de empaquetado</t>
  </si>
  <si>
    <t>Se regulo altura de plegador y posición de pinzas</t>
  </si>
  <si>
    <t>Pinzas gastadas en máquina.</t>
  </si>
  <si>
    <t>Se reemplazo todas las pinzas.</t>
  </si>
  <si>
    <t xml:space="preserve">Equipo en reparación </t>
  </si>
  <si>
    <t xml:space="preserve">Se bloquea tablero eléctrico con candado de seguridad </t>
  </si>
  <si>
    <t>14:55</t>
  </si>
  <si>
    <t xml:space="preserve">Cambio de formato en salpa de 40 a 50 </t>
  </si>
  <si>
    <t>15:55</t>
  </si>
  <si>
    <t>16:34</t>
  </si>
  <si>
    <t>Se realiza creación de receta de rayos x del 4 piso</t>
  </si>
  <si>
    <t xml:space="preserve">Desarmado de MDS para limpieza </t>
  </si>
  <si>
    <t xml:space="preserve">Se desarma netzsch para limpieza </t>
  </si>
  <si>
    <t xml:space="preserve">Pruebas con recetas en rayos x del 4 piso </t>
  </si>
  <si>
    <t xml:space="preserve">Se calibra robot para desmoldeo manual </t>
  </si>
  <si>
    <t>Cambio de formato a mini milky y calibración de altura de planchas respecto a discos de sellado</t>
  </si>
  <si>
    <t>01:18</t>
  </si>
  <si>
    <t>20:15</t>
  </si>
  <si>
    <t>20:40</t>
  </si>
  <si>
    <t xml:space="preserve">Se arma imán en laboratorio </t>
  </si>
  <si>
    <t>06:13</t>
  </si>
  <si>
    <t>06:35</t>
  </si>
  <si>
    <t xml:space="preserve">No sella producto </t>
  </si>
  <si>
    <t xml:space="preserve">Se calibrar sellado de producto </t>
  </si>
  <si>
    <t>16:50</t>
  </si>
  <si>
    <t xml:space="preserve">Abrazaderas de sapal malogrados en sapal </t>
  </si>
  <si>
    <t xml:space="preserve">Se realiza cambio de abrazaderas en sapal </t>
  </si>
  <si>
    <t xml:space="preserve">Robot suelta producto, se reemplaza 3 ventosas dañadas </t>
  </si>
  <si>
    <t>23:25</t>
  </si>
  <si>
    <t>23:45</t>
  </si>
  <si>
    <t>00:05</t>
  </si>
  <si>
    <t xml:space="preserve">Ascensor pequeño se quedó atascado en el 3er piso con personal en su interior </t>
  </si>
  <si>
    <t xml:space="preserve">Se reinicia ascensor se retira personal </t>
  </si>
  <si>
    <t>01:42</t>
  </si>
  <si>
    <t>No detecta patrones</t>
  </si>
  <si>
    <t xml:space="preserve">Se crea receta para mini milky </t>
  </si>
  <si>
    <t>14:25</t>
  </si>
  <si>
    <t xml:space="preserve">Se realiza el cebado de bomba de presión constante </t>
  </si>
  <si>
    <t>20:50</t>
  </si>
  <si>
    <t>21:00</t>
  </si>
  <si>
    <t xml:space="preserve">Se habilita faja para limpieza </t>
  </si>
  <si>
    <t xml:space="preserve">No circula chocolate </t>
  </si>
  <si>
    <t xml:space="preserve">Se restablece variador de columna y se deja temperando </t>
  </si>
  <si>
    <t>Capacitación de uso de equipo</t>
  </si>
  <si>
    <t>Calidad solicitada la revisión de la calibración del formato minimilky en rayos x del segundo piso.</t>
  </si>
  <si>
    <t xml:space="preserve">Se revisó y se aumentó sensibilidad, se informó a jefe de mantenimiento y se dió seguimiento a la operación y  funcionamiento del equipo </t>
  </si>
  <si>
    <t>Fabricación de guía para pastillas.</t>
  </si>
  <si>
    <t xml:space="preserve">Se pulió guía y se colocó en máquina </t>
  </si>
  <si>
    <t>Rayos x de cuarto piso no reconoce patrones en productos</t>
  </si>
  <si>
    <t xml:space="preserve">Se realizó regulación de sensibilidad y pruebas </t>
  </si>
  <si>
    <t>No reconoce alambre en receta de mini milky</t>
  </si>
  <si>
    <t>Se realizó modificaciones en sensibilidad y pruebas de funcionamiento en máquina, se cambio receta y se dejó probando equipo</t>
  </si>
  <si>
    <t>Problemas con temperado de samfill</t>
  </si>
  <si>
    <t xml:space="preserve">Se reviso sistema de mangueras y tuberías, se reviso funcionamiento de chiller, se probó funcionamiento de válvulas, se libero presión , se dejó operativa </t>
  </si>
  <si>
    <t xml:space="preserve">Sammffill no tempera. </t>
  </si>
  <si>
    <t xml:space="preserve">Se revisó máquina. Se libero agua caliente y se revisó el flujo de agua helada chiller </t>
  </si>
  <si>
    <t>Fuga de agua por mangueras y tubería.</t>
  </si>
  <si>
    <t>Se revisó y colocó manguera en posición. También se ajusto abrazaderas.</t>
  </si>
  <si>
    <t xml:space="preserve">Solicitan crear receta para bite size </t>
  </si>
  <si>
    <t>No permite crear una receta adecuada, da demasiados falsos y no detecta el patrón de alambre. Se indica que pasen el producto en rayos x del 4to piso</t>
  </si>
  <si>
    <t xml:space="preserve">No sella y sale mal plegado los laterales </t>
  </si>
  <si>
    <t xml:space="preserve">Se calibra plegadores, presión inicial y se realiza pruebas </t>
  </si>
  <si>
    <t>Columnas se bloquearon, reportan variación de temperatura de 5 grados en columna 2</t>
  </si>
  <si>
    <t>Llenado de tanques de agua y calentamiento de tuberías.  Verificación de correcto retorno a tanque. Queda temperando</t>
  </si>
  <si>
    <t xml:space="preserve">Cambio de bobina y verificación de funcionamiento </t>
  </si>
  <si>
    <t xml:space="preserve">Corte y sellado lo realiza sobre los octogonos </t>
  </si>
  <si>
    <t>Se calibra posición de mácula y se verifica corte de laminado correcto</t>
  </si>
  <si>
    <t xml:space="preserve">Revisión de parámetros de receta </t>
  </si>
  <si>
    <t>Se excede 20 litros de agua en la receta de crema de leche</t>
  </si>
  <si>
    <t xml:space="preserve">Se crea una nueva receta con los mismos parámetros y se inicia ciclo automático. Queda operativo </t>
  </si>
  <si>
    <t>Se realiza purgas</t>
  </si>
  <si>
    <t>Se salió la goma de una pinza</t>
  </si>
  <si>
    <t xml:space="preserve">Se pega goma y se coloca en equipo </t>
  </si>
  <si>
    <t>Marcación de herramientas de trabajo</t>
  </si>
  <si>
    <t>Contraelevador un poco torcido</t>
  </si>
  <si>
    <t>Se enderezó contraelevador y se realizó pruebas</t>
  </si>
  <si>
    <t>Habilitación de tablero de control de tanques</t>
  </si>
  <si>
    <t>Cambio de formato a barra por 50 gramos.</t>
  </si>
  <si>
    <t xml:space="preserve">Se cambió mordazas y piezas de máquina para dicho formato </t>
  </si>
  <si>
    <t>Plástico sale movido, no sella bien, caja se pegan</t>
  </si>
  <si>
    <t>Sea justo posición de sujetador de plástico, se regulo plegadores, se realizó pruebas de funcionamiento, se pasó muestras</t>
  </si>
  <si>
    <t>Mal plegado en empaquetado de productos</t>
  </si>
  <si>
    <t>Se reguló altura de plegador de envoltura y se ajustó pinzas</t>
  </si>
  <si>
    <t>Revisión de funcionamiento y parámetros de trabajo</t>
  </si>
  <si>
    <t>BOMBA CONTRAINCENDIOS</t>
  </si>
  <si>
    <t>Se revisó gabinete #1 de manguera en la zona de oficinas administrativas.</t>
  </si>
  <si>
    <t xml:space="preserve">Se verifico que la manguera tenía presión. Se comunicó a encargado de seguridad y a jefe de mantenimiento </t>
  </si>
  <si>
    <t>Armado de equipo para producción</t>
  </si>
  <si>
    <t>Se rompió candado de personal de producción por perdida de llave en vestuario local anexotuarioa</t>
  </si>
  <si>
    <t xml:space="preserve">Se reviso módulo de corte, se realizó pruebas de corte de papel, no cortaba esquina, se desarmo módulo de corte , se realizó limpieza y calibración de módulo de corte, equipo queda habilitado </t>
  </si>
  <si>
    <t>Reportan golpes en el intercambiador de moldes.</t>
  </si>
  <si>
    <t xml:space="preserve">Se revisó y alineó A510, se realizó pruebas de posición. Se dejó habilitada la máquina </t>
  </si>
  <si>
    <t xml:space="preserve"> Se Apoya a calibración de la napolitana </t>
  </si>
  <si>
    <t>Se armó máquina y se colocó bandas.</t>
  </si>
  <si>
    <t>Personal de Laboratorio - Calidad, solicitan el corte de material para obtener particulas para pruebas.</t>
  </si>
  <si>
    <t>Se cortó y limo pedazos de material, para obtener muestras.</t>
  </si>
  <si>
    <t>CORTADORA DE MASA</t>
  </si>
  <si>
    <t xml:space="preserve">Se arma cortadora de masa </t>
  </si>
  <si>
    <t xml:space="preserve">Banda número 4 se rompió </t>
  </si>
  <si>
    <t xml:space="preserve">Se retiro banda rota, se cambio por banda nueva, se regulo tensador, estaba muy tensada, se realizó pruebas de funcionamiento </t>
  </si>
  <si>
    <t>No hay presión de agua potable, bomba desebada</t>
  </si>
  <si>
    <t>Se reviso niveles de pozo, se encontraba bien, se cebo tuberías y se encendió equipo, se dejó operativo</t>
  </si>
  <si>
    <t>Armado de módulo MDS formato agregados x 50 gr</t>
  </si>
  <si>
    <t xml:space="preserve">Se colocó piezas en posición y se armó módulo de MDS </t>
  </si>
  <si>
    <t>Faltan pernos en tapas, aspirador bota mucho polvillo</t>
  </si>
  <si>
    <t xml:space="preserve">Se completó pernos, se ajusto tapas, en salida de aspirador falta jebe, se busco jebe no se encontró, se reporto </t>
  </si>
  <si>
    <t>Reportan ruido en empaquetadora 2</t>
  </si>
  <si>
    <t xml:space="preserve">Se regula cuchilla de empaquetadora 2 </t>
  </si>
  <si>
    <t xml:space="preserve">Se limpia ductos de desfogue en barquillera </t>
  </si>
  <si>
    <t>Se revisó y reseteo variador de banda con alarma.</t>
  </si>
  <si>
    <t>TANQUE DE CHOCOLATE 02 FIGURAS HUECAS</t>
  </si>
  <si>
    <t xml:space="preserve">Se verifica funcionamiento de olla fundidora de figuras huecas ( se verifica que el agitador está funcionando, resistente este a su temperatura seteada ) </t>
  </si>
  <si>
    <t>Goma no sale bien, mancha etiquetas</t>
  </si>
  <si>
    <t xml:space="preserve">Se regulo posición de boquilla de goma, se modifico parámetros de distancia y cantidad de goma </t>
  </si>
  <si>
    <t xml:space="preserve">Banda se va a un costado </t>
  </si>
  <si>
    <t>Se encontró sensor suelto, se colocó en posición y se ajusto</t>
  </si>
  <si>
    <t xml:space="preserve">Se arma piezas de napolitana para su uso </t>
  </si>
  <si>
    <t xml:space="preserve">Pieza fuera de posición </t>
  </si>
  <si>
    <t xml:space="preserve">Se desajusto pieza y se regulo posición </t>
  </si>
  <si>
    <t xml:space="preserve">Revisión de funcionamiento, revisión de estado de empaques </t>
  </si>
  <si>
    <t>Revision de funcionamiento y temperaturas de tunel</t>
  </si>
  <si>
    <t xml:space="preserve">Sammfil no disifica chocolate </t>
  </si>
  <si>
    <t xml:space="preserve">Conectore de señal desconectado.se corrige </t>
  </si>
  <si>
    <t>Personal de producción atrapado en ascensor</t>
  </si>
  <si>
    <t>Se realizó rescate de personal aperturando puerta de ascensor de manera manual</t>
  </si>
  <si>
    <t>Armado de MDS para agregados x100</t>
  </si>
  <si>
    <t xml:space="preserve">Se desarma mds para limpieza </t>
  </si>
  <si>
    <t>Se arma MDS para agregados x100</t>
  </si>
  <si>
    <t>Se regulo posición de pinzas, se realizó pruebas</t>
  </si>
  <si>
    <t>Temperadora se bloquea</t>
  </si>
  <si>
    <t>Se habilitó guarda motor, se reviso filtro, se habilitó equipo</t>
  </si>
  <si>
    <t>Temperatura varia en mordaza</t>
  </si>
  <si>
    <t xml:space="preserve">Se realizó limpieza de colector y carbones, se probó funcionamiento </t>
  </si>
  <si>
    <t>Equipo no enciende, llaves protegidas</t>
  </si>
  <si>
    <t>Se restableció llaves, equipo se protege por corto, se reviso circuito, se retiro carga de estabilizador y se conecto directo, se deja equipo habilitado</t>
  </si>
  <si>
    <t>Sellado sale mal, no corta un costado</t>
  </si>
  <si>
    <t>Se realiza limpieza de cuchilla, se cambio cinta de base y se realizó pruebas</t>
  </si>
  <si>
    <t>00:00</t>
  </si>
  <si>
    <t xml:space="preserve">Se realiza entrega contra elevador de vpack nueva </t>
  </si>
  <si>
    <t>Error 52</t>
  </si>
  <si>
    <t>Se calibrar sensor</t>
  </si>
  <si>
    <t>Armado de máquina y colocación de guardas</t>
  </si>
  <si>
    <t>Se colocó piezas en posición, se colocó guardas y polines de bandas.</t>
  </si>
  <si>
    <t xml:space="preserve">Se colocó bombas y piezas en posición </t>
  </si>
  <si>
    <t>13:25</t>
  </si>
  <si>
    <t>14:04</t>
  </si>
  <si>
    <t>Colocación de guardas y fajas</t>
  </si>
  <si>
    <t>14:58</t>
  </si>
  <si>
    <t>Falla de chiller por flujo de agua</t>
  </si>
  <si>
    <t>Se reviso bombas y pozo, se encontró bomba primaria 1 con llave protegida, se cambio a bomba primaria 2 y se restableció sistema de chiller</t>
  </si>
  <si>
    <t>18:41</t>
  </si>
  <si>
    <t>19:17</t>
  </si>
  <si>
    <t>Problemas con la cuchilla, no corta bien</t>
  </si>
  <si>
    <t>Se regulo cuchilla, se enderezó piezas de escobilla, se realizó pruebas</t>
  </si>
  <si>
    <t>Máquina se apaga repentinamente y botón de emergencia no funciona.</t>
  </si>
  <si>
    <t>Se revisó y se reemplazo botón de emergencia. Se cambió cable de pulsador.</t>
  </si>
  <si>
    <t>15:42</t>
  </si>
  <si>
    <t>Apoyo en alineación de bandas y ajuste de guiadores</t>
  </si>
  <si>
    <t>18:06</t>
  </si>
  <si>
    <t>18:38</t>
  </si>
  <si>
    <t>Armado de equipo, colocación de polines, retiro de filtro para limpieza</t>
  </si>
  <si>
    <t xml:space="preserve">No jala laminado; no empuja producto adecuadamente </t>
  </si>
  <si>
    <t xml:space="preserve">Se calibrar laminado;se regula empujador de producto y se hace pruebas correspondientes </t>
  </si>
  <si>
    <t xml:space="preserve">Se realiza armado de iman </t>
  </si>
  <si>
    <t>Colocación de mordaza y guardas</t>
  </si>
  <si>
    <t xml:space="preserve">Tuberías de chocolate obstruidas </t>
  </si>
  <si>
    <t xml:space="preserve">Se hace seguimiento y se realiza el calentado correspondiente </t>
  </si>
  <si>
    <t>13:49</t>
  </si>
  <si>
    <t>Desarmado y retiro de polines para limpieza semanal</t>
  </si>
  <si>
    <t>19:39</t>
  </si>
  <si>
    <t>20:05</t>
  </si>
  <si>
    <t>No corta la cortadora de miniflex</t>
  </si>
  <si>
    <t>Se realiza ajuste en cortadora en miniflex</t>
  </si>
  <si>
    <t>17:40</t>
  </si>
  <si>
    <t>18:02</t>
  </si>
  <si>
    <t>Desarmado de iman</t>
  </si>
  <si>
    <t xml:space="preserve">Retiró de guardas y fajas para limpieza semanal </t>
  </si>
  <si>
    <t xml:space="preserve">No dosifica chocolate a bañadora </t>
  </si>
  <si>
    <t xml:space="preserve">Se verifica motor de temperadora de chocolate y se restablece el flujo de chocolate </t>
  </si>
  <si>
    <t>12:55</t>
  </si>
  <si>
    <t>13:14</t>
  </si>
  <si>
    <t>Tanque de cloro vacio</t>
  </si>
  <si>
    <t>Se busco cloro en almacén, se informo de falta de insumos, se dejó bomba de dosificación apagada</t>
  </si>
  <si>
    <t>17:18</t>
  </si>
  <si>
    <t>17:37</t>
  </si>
  <si>
    <t xml:space="preserve">Pozo con nivel bajo </t>
  </si>
  <si>
    <t>Se llenó pozo de chiller con agua blanda</t>
  </si>
  <si>
    <t xml:space="preserve">Sistema de drenaje desarmado </t>
  </si>
  <si>
    <t>Se armó sistema de tuberías de drenaje</t>
  </si>
  <si>
    <t xml:space="preserve">Se calibrar dosificacion de mds </t>
  </si>
  <si>
    <t xml:space="preserve">Retirar husillo y piezas para su limpieza </t>
  </si>
  <si>
    <t xml:space="preserve">Se retiró piezas solicitadas para su limpieza </t>
  </si>
  <si>
    <t>12:52</t>
  </si>
  <si>
    <t>14:18</t>
  </si>
  <si>
    <t>15:36</t>
  </si>
  <si>
    <t>19:22</t>
  </si>
  <si>
    <t>Desarmado para limpieza</t>
  </si>
  <si>
    <t>20:12</t>
  </si>
  <si>
    <t>20:24</t>
  </si>
  <si>
    <t>22:45</t>
  </si>
  <si>
    <t>Se pone sensor electromagnético en la refinadora buhler</t>
  </si>
  <si>
    <t>Limpiar zona de carga y mejorar la caída de producto en volva inicial de carga.</t>
  </si>
  <si>
    <t>Se sacó guardas para su limpieza. Se modifico volva de inicio de carga.  Nota: La máquina no estaban usando debido a que ya terminaron de tostar e ingresaba el turno siguiente.</t>
  </si>
  <si>
    <t>Tornillo sinfín atascado y con exceso de grasa sucia.</t>
  </si>
  <si>
    <t>Se desmontó piezas para su limpieza y reparación en su acople. Se revisó y reparó acople de sinfín.</t>
  </si>
  <si>
    <t>Sin fin de extracción de cascarilla en el ciclon se encuentra amarrado, se protege guardamotor.</t>
  </si>
  <si>
    <t xml:space="preserve">Se retira motor caja y sinfín para limpieza y verificación en taller de mantenimiento </t>
  </si>
  <si>
    <t xml:space="preserve">Se apoya a calidad en rayos x del 4to piso </t>
  </si>
  <si>
    <t>Se dió seguimiento al funcionamiento de máquina con rayos x.</t>
  </si>
  <si>
    <t xml:space="preserve">Se dió seguimiento al funcionamiento de máquina en línea </t>
  </si>
  <si>
    <t>Orden y limpieza de taller.</t>
  </si>
  <si>
    <t>Se ordenó y limpio taller y mesas de trabajo.</t>
  </si>
  <si>
    <t xml:space="preserve">Se desarma a mds para limpieza </t>
  </si>
  <si>
    <t xml:space="preserve">Le falta goma </t>
  </si>
  <si>
    <t xml:space="preserve">Se lleva envase nuevo con goma adicional </t>
  </si>
  <si>
    <t xml:space="preserve">Inspección funcionamiento de temperadora </t>
  </si>
  <si>
    <t>Lubricación de partes moviles.</t>
  </si>
  <si>
    <t>Se lubricó con interfón engranajes.</t>
  </si>
  <si>
    <t xml:space="preserve">Faja de ingreso de producto movidos </t>
  </si>
  <si>
    <t xml:space="preserve">Se verifica fajas y se dejó operativo </t>
  </si>
  <si>
    <t xml:space="preserve">Se acabó cinta de doble contacto </t>
  </si>
  <si>
    <t xml:space="preserve">Se busca cinta y se entrega a operador de equipo </t>
  </si>
  <si>
    <t xml:space="preserve">Se enciende rayos x del 4to piso para pruebas de calidad </t>
  </si>
  <si>
    <t xml:space="preserve">Se completa tuerca faltante </t>
  </si>
  <si>
    <t>STEPHAN - PROCESADOR DE MASAS</t>
  </si>
  <si>
    <t xml:space="preserve">Colocación de sello de tapa y cuchilla </t>
  </si>
  <si>
    <t>No inicia faja de carga de cacao</t>
  </si>
  <si>
    <t>Se inicia sesión en hmi y se da inicio a carga</t>
  </si>
  <si>
    <t xml:space="preserve">Sensor de masa en falla, detiene el arrastre del cordón de masa y no restablece </t>
  </si>
  <si>
    <t xml:space="preserve">Se retira sensor y se realiza limpieza de contactos en su conector </t>
  </si>
  <si>
    <t xml:space="preserve">Se retiró bombas y mangueras para su limpieza </t>
  </si>
  <si>
    <t>Cambio de formato a bite size</t>
  </si>
  <si>
    <t xml:space="preserve">Desarmar módulo MDS para su limpieza </t>
  </si>
  <si>
    <t>Apoyo en regulación de bandas y guiadores</t>
  </si>
  <si>
    <t>Se evidencia oscilaciones en la olla al momento de girar.</t>
  </si>
  <si>
    <t>Se revisó y se alineó base de olla.</t>
  </si>
  <si>
    <t>Desarmado de formato agregados en mds</t>
  </si>
  <si>
    <t xml:space="preserve">Se reguló medidas para mejorar el empaquetado del producto. Se dió seguimiento al funcionamiento de máquina </t>
  </si>
  <si>
    <t>Sistema de desbobinado dañado.</t>
  </si>
  <si>
    <t xml:space="preserve">Se desmontó piezas dañadas, se reemplazo pernos y se limpio piezas </t>
  </si>
  <si>
    <t>Contactor dañado, no manda una fase</t>
  </si>
  <si>
    <t xml:space="preserve">Se realizó cambio de contactor y prueba de funcionamiento </t>
  </si>
  <si>
    <t xml:space="preserve">Apoyo en regulación de posición de olla </t>
  </si>
  <si>
    <t xml:space="preserve">Armado de formato cremas en mds </t>
  </si>
  <si>
    <t>LAMINADORA DE MASA</t>
  </si>
  <si>
    <t>Ruido excesivo en máquina.</t>
  </si>
  <si>
    <t>Se revisó, se limpio y lubricó partes moviles.</t>
  </si>
  <si>
    <t>QUEBRANTADOR DE CACAO  02</t>
  </si>
  <si>
    <t>Sentido de giro inverso al de quebrantadora 1</t>
  </si>
  <si>
    <t>Se realizó modificación de sentido de giro</t>
  </si>
  <si>
    <t>Tuberías frías en zona de HACOS 1 y 2, no permite bombear chocolate de tanque de almacenamiento hacías las máquinas en el segundo piso.</t>
  </si>
  <si>
    <t>Se revisó tuberías, se revisó estación térmica y se acondicionó el ingreso de agua caliente de estación térmica hacia tuberías. Se dió seguimiento y se informó a jefe de mantenimiento.</t>
  </si>
  <si>
    <t>03:00</t>
  </si>
  <si>
    <t>TUBERIAS</t>
  </si>
  <si>
    <t>Se apoyó a 3ros en Revisión de circuito de tuberías hacos 1 y 2</t>
  </si>
  <si>
    <t xml:space="preserve">Cinta codificadora se rompe </t>
  </si>
  <si>
    <t xml:space="preserve">Se regula presión y se ajusta plancha </t>
  </si>
  <si>
    <t>Cambio de formato de bite size a chocolate a la taza , regulación de velocidadd y altura de fajas para chocolate a la taza</t>
  </si>
  <si>
    <t xml:space="preserve">Colocación de fajas, guardas y piezas de formato </t>
  </si>
  <si>
    <t>Robot deja bombones rotos al desmoldar</t>
  </si>
  <si>
    <t>Se regula flujo de aire en robot y ángulo de giro</t>
  </si>
  <si>
    <t>Producto se acumula en fajas ,faseador no da la separación corrcta</t>
  </si>
  <si>
    <t xml:space="preserve">Se calibro sensores de faseador, se regulo velocidad de fajas </t>
  </si>
  <si>
    <t xml:space="preserve">Inspección de proveedor de tk elevadores para parámetros de ascensor nuevo </t>
  </si>
  <si>
    <t>Contraelevador doblado, pinza choca con media luna</t>
  </si>
  <si>
    <t xml:space="preserve">Se enderza contraelevador y se lima pinza. </t>
  </si>
  <si>
    <t xml:space="preserve">Se arma formato MDS para cremas ovaladas </t>
  </si>
  <si>
    <t xml:space="preserve">Fuga de producto </t>
  </si>
  <si>
    <t xml:space="preserve">Se fabrica un empaque provicional </t>
  </si>
  <si>
    <t xml:space="preserve">Se desarma para limpieza </t>
  </si>
  <si>
    <t>Creaciones de receta para chocolate a la taza</t>
  </si>
  <si>
    <t>06:58</t>
  </si>
  <si>
    <t xml:space="preserve">Colocación de husillo, plancha y pistones </t>
  </si>
  <si>
    <t>03:30</t>
  </si>
  <si>
    <t>Alarma por nivel alto</t>
  </si>
  <si>
    <t>Se calentó tuberías y se realizó la limpieza de sensor , se limpio pasta acumulada en paradas de embudo</t>
  </si>
  <si>
    <t>06:06</t>
  </si>
  <si>
    <t>06:28</t>
  </si>
  <si>
    <t>Mordaza no corta laminado de chocolate a la taza. Tabletas se acumulan en fajas de alimentación.</t>
  </si>
  <si>
    <t>Se regula presión de mordaza y temperatura. Se configura velocidades de fajas de alimentación y se alinea.</t>
  </si>
  <si>
    <t>Se realiza limpieza de polines en faja de elevación de cacao petroncini</t>
  </si>
  <si>
    <t xml:space="preserve">Inspección de contra elevador de vpack </t>
  </si>
  <si>
    <t>12:53</t>
  </si>
  <si>
    <t>05:45</t>
  </si>
  <si>
    <t>Se revisó retorno de agua y se revisó temperaturas en tuberías.</t>
  </si>
  <si>
    <t xml:space="preserve">Verificación de temperadora </t>
  </si>
  <si>
    <t>Retiró de husillo, plancha y pistones para limpieza.</t>
  </si>
  <si>
    <t>Probar el encendido de bomba reemplazada y verificar el sentido de giro.</t>
  </si>
  <si>
    <t>Se revisó el sentido de giro y se encendió el boma de chocolate.</t>
  </si>
  <si>
    <t xml:space="preserve">Armado de máquina y habilitar máquina </t>
  </si>
  <si>
    <t xml:space="preserve">Se colocó piezas en posición se colocó bombas y se encendió máquina </t>
  </si>
  <si>
    <t xml:space="preserve">Se desarma netzsch para su limpieza </t>
  </si>
  <si>
    <t>20:20</t>
  </si>
  <si>
    <t>Temperaturas no llegan a su setpoint</t>
  </si>
  <si>
    <t xml:space="preserve">Se reviso y llenó agua en tanques , se verifico que válvulas checks funcionen correctamente , tempero completamente a las 8pm , se da seguimiento </t>
  </si>
  <si>
    <t>Cambio de formato de milky a pisco x 18</t>
  </si>
  <si>
    <t>Se cambió piezas y se calibro</t>
  </si>
  <si>
    <t xml:space="preserve">Pernos sobresalientes;armado de fajas </t>
  </si>
  <si>
    <t xml:space="preserve">Se realiza cortado y montaje de fajas en empaquetadora vpack </t>
  </si>
  <si>
    <t>Piezas desoldada/rota de la compuerta en concha ELK BUHLER.</t>
  </si>
  <si>
    <t>Se retiró pieza para su reparación con soldadura.</t>
  </si>
  <si>
    <t>07:24</t>
  </si>
  <si>
    <t>07:59</t>
  </si>
  <si>
    <t>Equipo se apagó y no enciende</t>
  </si>
  <si>
    <t>Se reviso tablero y se detecto corto en ventiladores, se reviso uno por uno y se corrigió conexión de ventilador, se habilitó llaves y se encendió equipo</t>
  </si>
  <si>
    <t>Armado de Mds para formato de agregados x50</t>
  </si>
  <si>
    <t>Manguera de de agua caliente se soltó, lavatorio de 1er piso.</t>
  </si>
  <si>
    <t>Conexión y ajuste de manguera.</t>
  </si>
  <si>
    <t>09:22</t>
  </si>
  <si>
    <t>Avance de cambio de piezas para cambio de formato a milky x10</t>
  </si>
  <si>
    <t>14:50</t>
  </si>
  <si>
    <t>Inspección de temperadora.</t>
  </si>
  <si>
    <t xml:space="preserve">Se retiró polines guardas y cuchilla para su limpieza </t>
  </si>
  <si>
    <t xml:space="preserve">Accesorio de la emp amp rose hilos rodados </t>
  </si>
  <si>
    <t>Se realiza cambio de perno a unos de inoxidable y se realiza nuevo hilo</t>
  </si>
  <si>
    <t>10:04</t>
  </si>
  <si>
    <t xml:space="preserve">Colocación de filtro, armado de equipo, colocación de polines </t>
  </si>
  <si>
    <t>Inspección de funcionamiento. Verificación de fajas de transporte de cacao</t>
  </si>
  <si>
    <t xml:space="preserve">Verificación de equipo. </t>
  </si>
  <si>
    <t>11:36</t>
  </si>
  <si>
    <t>12:01</t>
  </si>
  <si>
    <t>Prueba de funcionamiento de equipo junto con operadores</t>
  </si>
  <si>
    <t xml:space="preserve">Inspección de parámetros de trabajo </t>
  </si>
  <si>
    <t>08:42</t>
  </si>
  <si>
    <t>Colocación de bandas y habilitación de equipo</t>
  </si>
  <si>
    <t>Inspección de funcionamiento de equipo.</t>
  </si>
  <si>
    <t xml:space="preserve">Se colocó piezas en posición </t>
  </si>
  <si>
    <t>Cuchilla realiza corte al instante de detecta producto, muerda las cajas.</t>
  </si>
  <si>
    <t>Se enseña a operadora configuración de parámetros de corte en la pantalla táctil.</t>
  </si>
  <si>
    <t xml:space="preserve">Se recibe capacitación de uso de equipo </t>
  </si>
  <si>
    <t xml:space="preserve">Verificación de correcto funcionamiento de equipo </t>
  </si>
  <si>
    <t xml:space="preserve">Colocación de cuchilla de corte te laminado. </t>
  </si>
  <si>
    <t>08:04</t>
  </si>
  <si>
    <t>Máquina no inicia, indica puerta o parada accionada</t>
  </si>
  <si>
    <t>Se reviso puertas y paradas, se encontró módulo de comunicación con falla, se reporto a supervisor para la atención por terceros</t>
  </si>
  <si>
    <t>12:23</t>
  </si>
  <si>
    <t>Lubricacion de cadena y ajuste de tension</t>
  </si>
  <si>
    <t>07:21</t>
  </si>
  <si>
    <t xml:space="preserve">Se apoyó en la revision rejillas </t>
  </si>
  <si>
    <t>18:45</t>
  </si>
  <si>
    <t>Revision de válvula neumática deslizante</t>
  </si>
  <si>
    <t>Se reporta para la compra válvulas neumática deslizante de 1/8</t>
  </si>
  <si>
    <t>Sensor electromagnético no detecta la guarda( rejillas)</t>
  </si>
  <si>
    <t xml:space="preserve">Se ajusta sensor y se calibrar para q lo detecte </t>
  </si>
  <si>
    <t xml:space="preserve">Muerde producto </t>
  </si>
  <si>
    <t xml:space="preserve">Calibración de sensores de producto. Queda operativo </t>
  </si>
  <si>
    <t>Problemas con actuador A12, muy lento</t>
  </si>
  <si>
    <t>Se reviso funcionamiento, se encontró sensor de posición suelto, se colocó en posición y se ajusto</t>
  </si>
  <si>
    <t>Colocación de polines</t>
  </si>
  <si>
    <t xml:space="preserve">Capacitación de calderas </t>
  </si>
  <si>
    <t xml:space="preserve">Se realiza capacitación de calderas </t>
  </si>
  <si>
    <t>Capacitación anual de calderos.</t>
  </si>
  <si>
    <t>Se asistió a capacitación de calderos.</t>
  </si>
  <si>
    <t>16:05</t>
  </si>
  <si>
    <t>Fallas en temperadora , no baja temperatura de agua fria</t>
  </si>
  <si>
    <t xml:space="preserve">Se recargo gas refrigerante y se dió seguimiento al sistema de enfriamiento se coloca en modo calentamiento, una vez alcanzado los setpointd de agua fría y caliente se pone a temperatura , se da seguimiento durante todo el proceso </t>
  </si>
  <si>
    <t xml:space="preserve">Desmontaje de eje, limpieza y lubricación de chumaceras en taller de mantenimiento </t>
  </si>
  <si>
    <t xml:space="preserve">Colocación de eje en equipo y verificación de funcionamiento. Queda operativo </t>
  </si>
  <si>
    <t>19:55</t>
  </si>
  <si>
    <t>21:05</t>
  </si>
  <si>
    <t xml:space="preserve">Pruebas de forrado con formato dulce armonía </t>
  </si>
  <si>
    <t>Armado y habilitación de equipo en formato mini milky</t>
  </si>
  <si>
    <t>Pruebas de formatos en equipo</t>
  </si>
  <si>
    <t>Se realizó cambio de piezas y calibración para probar empaquetado de producto</t>
  </si>
  <si>
    <t xml:space="preserve">Tabletas se rompen, papel aluminio sale roto en un costado de la tableta </t>
  </si>
  <si>
    <t xml:space="preserve">Calibración de guías de entra de producto, calibración de plegadores y topes de fierrocel. Ajuste de escobillas en la salida de empaquetado. Queda operativo </t>
  </si>
  <si>
    <t>Cambio de formato Mds , se desarmo a formato de agregados x100 y se armó formato de cremas ovaladas</t>
  </si>
  <si>
    <t>No sale goma, tableta se quiebra en el elevador.</t>
  </si>
  <si>
    <t xml:space="preserve">Calibración altura de boquillas de goma y altura de contraelevador </t>
  </si>
  <si>
    <t>Revisar niveles de agua en pozos. Llenar pozos auxiliares de agua potable para su uso, debido a corte de suministro de agua.</t>
  </si>
  <si>
    <t>Se dió seguimiento y se revisó todos los pozos en planta.</t>
  </si>
  <si>
    <t>Habilitación de sistema de dosificación de goma</t>
  </si>
  <si>
    <t>Error "monitoreo accionamiento" no deja prender motor principal.</t>
  </si>
  <si>
    <t>Sensor de verificación de funcionamiento de cinta de cocción se mantiene siempre activo, eje no gira. Por exceso de temperatura no se puede desmontar pieza, se deja enfriar.</t>
  </si>
  <si>
    <t xml:space="preserve">Se apoya con la habilitación de dosificacion de goma en napolitana </t>
  </si>
  <si>
    <t>Revisión de funcionamiento de equipo, ajuste de salida de aire de actuador b6</t>
  </si>
  <si>
    <t>19:25</t>
  </si>
  <si>
    <t>Se acompañó a calidad en validación de recetas</t>
  </si>
  <si>
    <t>18:40</t>
  </si>
  <si>
    <t>19:50</t>
  </si>
  <si>
    <t>Manija de válvula de mariposas desprendida</t>
  </si>
  <si>
    <t xml:space="preserve">Se reparo en taller y se montó en equipo </t>
  </si>
  <si>
    <t>Verificación de pozos de agua potable.</t>
  </si>
  <si>
    <t>Encendido de bomba de local anexo y seguimiento de llenado de pozos.</t>
  </si>
  <si>
    <t>Pozos de potabilización con nivel bajo.</t>
  </si>
  <si>
    <t>Activación de bomba de local anexo y seguimiento de llenado de pozo</t>
  </si>
  <si>
    <t xml:space="preserve">Ruido en máquina, pinza tiene rose con pieza fija de pliegue </t>
  </si>
  <si>
    <t xml:space="preserve">Se retiro pinza se limo base y zona de goma, se probó en equipo, queda habilitado </t>
  </si>
  <si>
    <t xml:space="preserve">Se realiza cambio de formato a milky x10 </t>
  </si>
  <si>
    <t>Husillo de mds agregados x 50 se encuentra atascado/amarrado en  el módulo.</t>
  </si>
  <si>
    <t>Se llevó módulo MDS a taller de mantenimiento para intervenir e intentar retirar husillo atascado.</t>
  </si>
  <si>
    <t>Orden y limpieza en taller de mantenimiento.</t>
  </si>
  <si>
    <t>Se retiró papeles sucios piezas a desechas. Se ordenó estantes y se limpio mesas.</t>
  </si>
  <si>
    <t>12:50</t>
  </si>
  <si>
    <t xml:space="preserve">Se arma mds para cremas ovaladas </t>
  </si>
  <si>
    <t>Cuchilla deja huecos en el sellado.</t>
  </si>
  <si>
    <t xml:space="preserve">Se calibra altura de cuchillas y tensión de laminado </t>
  </si>
  <si>
    <t>Apoyo en laboratorio, con el pegado y ajuste de piezas de baner.</t>
  </si>
  <si>
    <t>Se ajusto tornillos y se pego con Loctite baner.</t>
  </si>
  <si>
    <t>Faja de extractor de ollas de tercer piso roto</t>
  </si>
  <si>
    <t xml:space="preserve">Se realizo la coordinación para el pedido de nuevas fajas por falta de stock </t>
  </si>
  <si>
    <t>Acople de tubería con producto seco.</t>
  </si>
  <si>
    <t>Se retiró acople para su limpieza. Se colocó pieza en posición.</t>
  </si>
  <si>
    <t xml:space="preserve">Armado de MDS para crema ovalada </t>
  </si>
  <si>
    <t xml:space="preserve">Bomba de recirculación de chocolate en falla en variador </t>
  </si>
  <si>
    <t xml:space="preserve">Se informó de sobre consumo q realiza al ingeniero y re recepciono al tercero para q realize la inspección necesaria </t>
  </si>
  <si>
    <t>MOLDEO MANUAL</t>
  </si>
  <si>
    <t>Solicitan bajar toma colgante que se encuentra sobre mesas.</t>
  </si>
  <si>
    <t xml:space="preserve">Se lleva escalera y se habilita toma colgante </t>
  </si>
  <si>
    <t>Ruido en máquina.</t>
  </si>
  <si>
    <t>Se revisó y se lubricó cadena. Se ajusto prisioneros de tambor.</t>
  </si>
  <si>
    <t>03:20</t>
  </si>
  <si>
    <t xml:space="preserve">Reportan ruido en temperadora </t>
  </si>
  <si>
    <t xml:space="preserve">Revision de correas de transmisión </t>
  </si>
  <si>
    <t>Cuchilla de corte (laminado) no sube y no permite el desbobinado.</t>
  </si>
  <si>
    <t>Se apoyo a técnico de turno con la intervención de la máquina y el ajusto de resorte de dicha cuchilla.</t>
  </si>
  <si>
    <t>02:10</t>
  </si>
  <si>
    <t>Codificado sale borroso.</t>
  </si>
  <si>
    <t>Se regula presión de aire de codificado.</t>
  </si>
  <si>
    <t xml:space="preserve">Revisión funcionamiento de equipo </t>
  </si>
  <si>
    <t>Bomba de tina 1 siempre se mantiene encendida.</t>
  </si>
  <si>
    <t xml:space="preserve">Verificación de sensor de nivel de chocolate requiere cambio, no permite calibrar sensibilidad. Queda pendiente su reemplazo </t>
  </si>
  <si>
    <t>03:42</t>
  </si>
  <si>
    <t>Cambio de formato de milky a chocolate a la taza.</t>
  </si>
  <si>
    <t xml:space="preserve">Cambio de planchas y calibración de fajas de alineación de producto </t>
  </si>
  <si>
    <t xml:space="preserve">Inspección de válvulas de lavamanos de tercer piso </t>
  </si>
  <si>
    <t>Pulsador atorado</t>
  </si>
  <si>
    <t xml:space="preserve">Se retiró pulsador para limpieza, se coloco pulsador y se hizo pruebas </t>
  </si>
  <si>
    <t>Reportan de que laminado sale holgado</t>
  </si>
  <si>
    <t>Se regulo laminado y se calibro el sellado</t>
  </si>
  <si>
    <t>09:02</t>
  </si>
  <si>
    <t>10:16</t>
  </si>
  <si>
    <t>RAYOS X 3</t>
  </si>
  <si>
    <t>Creación y validación de recetas</t>
  </si>
  <si>
    <t>07:32</t>
  </si>
  <si>
    <t xml:space="preserve">Ruido en temperadora, correa de columna suelta, tensador se movió </t>
  </si>
  <si>
    <t>Se desajusta tensador, se encuentra perno roto, se realiza cambio de perno, se tensa correa y se ajusta tensador</t>
  </si>
  <si>
    <t>Correa suelta en columna. Tensador suelto debido a pernos rotos.</t>
  </si>
  <si>
    <t xml:space="preserve">Se reemplazo pernos y se tensó correa. Se habilitó máquina y se comunicó a producción </t>
  </si>
  <si>
    <t>12:17</t>
  </si>
  <si>
    <t>Apoyó en el armado de mds</t>
  </si>
  <si>
    <t>Se remplazo pulsador y contactos</t>
  </si>
  <si>
    <t xml:space="preserve">Revision de robot de desmolde </t>
  </si>
  <si>
    <t xml:space="preserve">Desarme de mds para limpieza </t>
  </si>
  <si>
    <t>10:44</t>
  </si>
  <si>
    <t>11:12</t>
  </si>
  <si>
    <t>Desarmado de formato mds cremas para lavado de piezas</t>
  </si>
  <si>
    <t>05:39</t>
  </si>
  <si>
    <t>10:18</t>
  </si>
  <si>
    <t>10:43</t>
  </si>
  <si>
    <t xml:space="preserve">Problemas al desmoldar, robot no sujeta todo el producto </t>
  </si>
  <si>
    <t>Se reviso robot y planchas con chupones, se modifico para otros y se realizó pruebas</t>
  </si>
  <si>
    <t>06:14</t>
  </si>
  <si>
    <t>No cae chocolate</t>
  </si>
  <si>
    <t>Se encontró variador con falla y motor caliente, se colocó a calentar y se probó funcionamiento de bomba</t>
  </si>
  <si>
    <t>Variación de temperatura constante en mordazas.</t>
  </si>
  <si>
    <t>Se revisó y se limpio carboncillos. Se seco y se dejó habilitado.</t>
  </si>
  <si>
    <t xml:space="preserve">Papel se arruga constantemente, cinta gasta de polin de arrastre </t>
  </si>
  <si>
    <t>Se retiro polin de arrastre, se realizó limpieza y se colocó una vuelta de cinta, se probó equipo</t>
  </si>
  <si>
    <t>08:41</t>
  </si>
  <si>
    <t>Se realizó limpieza de carboncillos y colector</t>
  </si>
  <si>
    <t>07:29</t>
  </si>
  <si>
    <t>Cuchilla no corta bien</t>
  </si>
  <si>
    <t>Se encontró brazo de cuchilla descalibrado, cuchilla no cerraba por completo, se regulo y se realizó pruebas</t>
  </si>
  <si>
    <t>15:05</t>
  </si>
  <si>
    <t>Reconocimiento de circuito alimentador de elevador de cacao para toma de cargas</t>
  </si>
  <si>
    <t>Apoyo en máquina, no sale chocolate.</t>
  </si>
  <si>
    <t>Se encontró con falla el variador y se comunicó a jefe de mantenimiento.</t>
  </si>
  <si>
    <t>Encendido de equipo de planta, habilitación de aire, vapor, agua potable</t>
  </si>
  <si>
    <t>07:02</t>
  </si>
  <si>
    <t>Banda se mueve a un costado</t>
  </si>
  <si>
    <t>Se destenso banda, se cambio de posición, se regulo posición de polin tensador, se realizó pruebas</t>
  </si>
  <si>
    <t xml:space="preserve">Creación de receta junto con inspector </t>
  </si>
  <si>
    <t>07:37</t>
  </si>
  <si>
    <t>07:57</t>
  </si>
  <si>
    <t>Variación de temperatura de mordaza</t>
  </si>
  <si>
    <t>Se realizó limpieza de carboncillos y colectores</t>
  </si>
  <si>
    <t>08:05</t>
  </si>
  <si>
    <t>08:21</t>
  </si>
  <si>
    <t>Apoyo en cambio de bobina</t>
  </si>
  <si>
    <t>08:43</t>
  </si>
  <si>
    <t>Reportan pieza caída en ascensor nuevo</t>
  </si>
  <si>
    <t>Se revisa y se retira piezas y se busca tornillo, se deja pieza en taller y se reporta a supervisor</t>
  </si>
  <si>
    <t xml:space="preserve">Desarme de equipos para limpieza </t>
  </si>
  <si>
    <t xml:space="preserve">Se apoyó en el Desarme de cortadora de turrón , bañadora 1 y 3 v pack , hacos 1 y 2 </t>
  </si>
  <si>
    <t>Armar y habilitar máquina para el uso con el turno tarde.</t>
  </si>
  <si>
    <t xml:space="preserve">Se colocó piezas en posición y se comunicó a supervisor de producción la habilitación de la máquina </t>
  </si>
  <si>
    <t>Se encendió equipos de aire agua y vapor.</t>
  </si>
  <si>
    <t xml:space="preserve">Laminado se sale, sellado de discos no sale bien, laminado se mueve </t>
  </si>
  <si>
    <t xml:space="preserve">Se apoyo en regulación de tensión de bobina, modificación de parámetros de temperatura y velocidad </t>
  </si>
  <si>
    <t xml:space="preserve">Se colocó mordazas en posición y se armó toda la cabina de la máquina </t>
  </si>
  <si>
    <t xml:space="preserve">Se realiza traslado de piezas de hacos a almacén </t>
  </si>
  <si>
    <t xml:space="preserve">Se completa pernos faltantes y se arma limpiezadores de polines </t>
  </si>
  <si>
    <t>Malla se detiene por momentos. Piñón de teflón le faltan 2 dientes.</t>
  </si>
  <si>
    <t xml:space="preserve">Sustitución de piñón y verificación de funcionamiento </t>
  </si>
  <si>
    <t>Contraelevador se mueve y choca con las pinzas</t>
  </si>
  <si>
    <t>Se retira contraelevador y se ajusta piezas.</t>
  </si>
  <si>
    <t>Producto no cae de la tolva, fajas de transporte se quedan en falla.</t>
  </si>
  <si>
    <t xml:space="preserve">Se reinicia tablero de fajas y se vuelve a cargar receta </t>
  </si>
  <si>
    <t>Desarmado de formato agregados x50 en mds</t>
  </si>
  <si>
    <t>Problemas en la transmisión de malla, engranaje de teflón dañado</t>
  </si>
  <si>
    <t xml:space="preserve">Se apoyó en el desmontaje de transmisión y remplazo de engranaje </t>
  </si>
  <si>
    <t xml:space="preserve">Codobde molino de villas con chocolate seco </t>
  </si>
  <si>
    <t xml:space="preserve">Se realiza el retiro de chocolate secos y se limpia </t>
  </si>
  <si>
    <t>Armado de equipo para agregados x50.</t>
  </si>
  <si>
    <t xml:space="preserve">Apoyo en armado de equipo </t>
  </si>
  <si>
    <t xml:space="preserve">Desarmar máquina para su limpieza profunda </t>
  </si>
  <si>
    <t>Se retiró piezas para su limpieza incluyendo guardas</t>
  </si>
  <si>
    <t>Se desarmó cabina y se retiró bandas.de máquina.</t>
  </si>
  <si>
    <t>Sensor retirado para limpieza</t>
  </si>
  <si>
    <t>Se colocó sensor , se regulo posición y se habilitó equipo</t>
  </si>
  <si>
    <t>Banda se va a un costado, estante suelto y torcido</t>
  </si>
  <si>
    <t xml:space="preserve">Se enderezó posición de estante y se ajusto soportes, se regulo posición de banda, se tenso y se regulo polin </t>
  </si>
  <si>
    <t xml:space="preserve">Revisión de funcionamiento y ajuste de guías en salida de producto </t>
  </si>
  <si>
    <t>Acumulación de producto en entrada</t>
  </si>
  <si>
    <t>Se regulo velocidad de bandas, se regulo posición de guiadores, se ajusto sensor</t>
  </si>
  <si>
    <t xml:space="preserve">Sensor de regilla no detecta </t>
  </si>
  <si>
    <t xml:space="preserve">Se regula sensor de regilla de refinadora para q pasen chocolate blanco </t>
  </si>
  <si>
    <t>Verificación de correcto funcionamiento de desmolde de producto.</t>
  </si>
  <si>
    <t>Expulsión de papel sin producto</t>
  </si>
  <si>
    <t>Se regulo posición de sensor, se realizó pruebas</t>
  </si>
  <si>
    <t>Temperatura de agua fría en temperadora no baja de 27°</t>
  </si>
  <si>
    <t>Verificación de presión y aumento de refrigerante en compresor de temperadora.</t>
  </si>
  <si>
    <t>Producción requiere poner a temperar extensión de bañadora</t>
  </si>
  <si>
    <t>Capacitación de procedimiento para poner a temperar equipo.</t>
  </si>
  <si>
    <t>Lubricacion, colocación de usillo y habilitación de mds formato agregados x50</t>
  </si>
  <si>
    <t>No tempera , temperatura se mantiene alta</t>
  </si>
  <si>
    <t xml:space="preserve">Se reviso circuito de ingreso y retorno de agua fría , se aperturó y regulo válvula de salida, se dió seguimiento al temperado </t>
  </si>
  <si>
    <t>Se pone empaque a la olla stephan</t>
  </si>
  <si>
    <t>Retiro de usillo para limpieza</t>
  </si>
  <si>
    <t>Robot de descarga suelta productos anticipadamente.</t>
  </si>
  <si>
    <t xml:space="preserve">Configuración de parámetros de robot. Queda operativo </t>
  </si>
  <si>
    <t xml:space="preserve">Cuchilla no realiza corte </t>
  </si>
  <si>
    <t xml:space="preserve">Se atoro con producto se realizo limpieza </t>
  </si>
  <si>
    <t>Temperatura de calefactor de moldes no calienta lo suficiente.</t>
  </si>
  <si>
    <t>Se configura setpoin de calefactor y se verifica funcionamiento.</t>
  </si>
  <si>
    <t>Sensores de producto no se activa.</t>
  </si>
  <si>
    <t>Calibración de posición y sensibilidad de sensor de producto.</t>
  </si>
  <si>
    <t xml:space="preserve">Codificado desalineado </t>
  </si>
  <si>
    <t xml:space="preserve">Se realizó una limpieza rápido de cabezal, se hizo pruebas de impresión </t>
  </si>
  <si>
    <t>Cambio de formato para pastillas de 300gramos.</t>
  </si>
  <si>
    <t>Se realizó el cambio de piezas para pastillas por 300gr.</t>
  </si>
  <si>
    <t xml:space="preserve">No realiza el sellado adecuadamente </t>
  </si>
  <si>
    <t xml:space="preserve">Se realiza el seguimiento y pruebas,se cambia fajas de arrastre y se notifica rodamito dañados en equipo </t>
  </si>
  <si>
    <t xml:space="preserve">Se retira sensor de nivel de producto y se realiza limpieza. </t>
  </si>
  <si>
    <t>Instalación y calibración de sensor.</t>
  </si>
  <si>
    <t xml:space="preserve">Se cambia formato para barra por 50 </t>
  </si>
  <si>
    <t xml:space="preserve">Se realizó pruebas con laminado y producto queda operativa </t>
  </si>
  <si>
    <t xml:space="preserve">Regulación de fajas guías </t>
  </si>
  <si>
    <t xml:space="preserve">Se regulo pocision y velocidad de fajas guías y de fajas de transporte </t>
  </si>
  <si>
    <t>Apoyó en pruebas de formato pastillas x300</t>
  </si>
  <si>
    <t>Se realiza capacitación de equipo en local anexo ( almacén)</t>
  </si>
  <si>
    <t>13:32</t>
  </si>
  <si>
    <t xml:space="preserve">Tabletas se quiebran, producto se cae antes de llegar a las escobillas </t>
  </si>
  <si>
    <t xml:space="preserve">Calibracion de posición de escobillas y guías de producto. Calibración de plegadores y altura de elevador </t>
  </si>
  <si>
    <t xml:space="preserve">No hay agua caliente en los pisos </t>
  </si>
  <si>
    <t xml:space="preserve">Se verifica la estación térmica y se deja operativo </t>
  </si>
  <si>
    <t>23:13</t>
  </si>
  <si>
    <t>No hay presión de agua, bomba desebada</t>
  </si>
  <si>
    <t>Se realizó cambio de uso de pozo, se sebo bomba, se hizo juego de valvulas</t>
  </si>
  <si>
    <t>15:25</t>
  </si>
  <si>
    <t>No cae chocolate, columna demasiado fría.</t>
  </si>
  <si>
    <t>Calentado de tuberías y columna, configuración de parámetros de temperado.</t>
  </si>
  <si>
    <t>Revisión de funcionamiento de equipo, revisión de sensores y parámetros de equipo</t>
  </si>
  <si>
    <t xml:space="preserve">Capacitación de uso de equipo </t>
  </si>
  <si>
    <t>Empujador de producto de cadena roto</t>
  </si>
  <si>
    <t xml:space="preserve">Se realiza el remplazo de empujadores </t>
  </si>
  <si>
    <t xml:space="preserve">Contraelevador se desacopla, pernos dañados </t>
  </si>
  <si>
    <t xml:space="preserve">Retiro de piezas y reemplazo de pernos dañados en taller de mantenimiento </t>
  </si>
  <si>
    <t>16:42</t>
  </si>
  <si>
    <t xml:space="preserve">Inspección de equipo, faja de alimentación tiene sonido </t>
  </si>
  <si>
    <t>Regulación de presión de rascador respecto a las fajas.</t>
  </si>
  <si>
    <t>17:13</t>
  </si>
  <si>
    <t>Armado de MDS para fondy menta</t>
  </si>
  <si>
    <t>Bomba de agua potable desebada</t>
  </si>
  <si>
    <t>Se hizo el cambio de pozo y se sebo bomba</t>
  </si>
  <si>
    <t>No transporta de tolva de almacenamiento a tolva de tostador</t>
  </si>
  <si>
    <t xml:space="preserve">Se apoyó en revisión , se  operó canciones manualmente </t>
  </si>
  <si>
    <t xml:space="preserve">Desarmado de MDS para limpieza, formato frambuesa </t>
  </si>
  <si>
    <t>14:46</t>
  </si>
  <si>
    <t>Supervisor de turno reporta fallas de sensores.</t>
  </si>
  <si>
    <t>Se da seguimiento a equipo, no presenta ningún problema.</t>
  </si>
  <si>
    <t>Salida de concha falta ajustar, falta tuerca</t>
  </si>
  <si>
    <t xml:space="preserve">Se consiguió tuerca y se colocó tapas y empaques, </t>
  </si>
  <si>
    <t>09:40</t>
  </si>
  <si>
    <t>Se dió seguimiento al transporte y empaquetado</t>
  </si>
  <si>
    <t>Apoyo en el elevador de cacao de Petroncini, con falla (time maximo de carga).</t>
  </si>
  <si>
    <t>Se revisó y se restableció máquina.</t>
  </si>
  <si>
    <t>TOSTADOR PETRONCINI NUEVO</t>
  </si>
  <si>
    <t>Producto no cae de la tolva.</t>
  </si>
  <si>
    <t xml:space="preserve">Se reinicia tablero de fajas y se inicia proceso </t>
  </si>
  <si>
    <t>21:32</t>
  </si>
  <si>
    <t>21:49</t>
  </si>
  <si>
    <t>19:06</t>
  </si>
  <si>
    <t>Apoyo en habilitación de equipo para milky</t>
  </si>
  <si>
    <t>Unibach no descargar producto, alarma de nivel maximo en unidad de descarga no borra .</t>
  </si>
  <si>
    <t xml:space="preserve">Se fuerza apertura de de válvula de descarga y se espera vaciado de producto para revisar </t>
  </si>
  <si>
    <t>Pruebas para pasar producto minimilky en máquina.</t>
  </si>
  <si>
    <t>Se creó receta y se cambió piezas para su calibración en máquina.</t>
  </si>
  <si>
    <t xml:space="preserve">Se realiza inspección de equipo por prueba de producto </t>
  </si>
  <si>
    <t>Sustitución</t>
  </si>
  <si>
    <t xml:space="preserve">Se remplazo conector/regulador de aire y se continúa con pruebas de pastillas </t>
  </si>
  <si>
    <t>00:32</t>
  </si>
  <si>
    <t>01:25</t>
  </si>
  <si>
    <t>Ajuste / Calibración</t>
  </si>
  <si>
    <t>Moldes se juntaron, intercambiador de moldes desalineado, velocidad real de equipo con mucha diferencia de velocidad seteada</t>
  </si>
  <si>
    <t>Se reinicio sistema de equipo , se regulo presión de rascador, se alineó intercambiador de moldes, se realizó pruebas</t>
  </si>
  <si>
    <t>23:06</t>
  </si>
  <si>
    <t>Desarmado de equipo para limpieza y lavados de piezas</t>
  </si>
  <si>
    <t>Apoyo a Calidad en la calibración de sensibilidad para diferentes recetas</t>
  </si>
  <si>
    <t>09:55</t>
  </si>
  <si>
    <t>Se remplazo cuchilla fija y apoyó en la regulación de puntos de goma</t>
  </si>
  <si>
    <t xml:space="preserve">Se lleva equipos a almacén </t>
  </si>
  <si>
    <t xml:space="preserve">Apoyo calibración de equipo </t>
  </si>
  <si>
    <t>COMEDOR</t>
  </si>
  <si>
    <t>Receso</t>
  </si>
  <si>
    <t xml:space="preserve">Inspección de correcto funcionamiento de equipo </t>
  </si>
  <si>
    <t xml:space="preserve">Producto se revienta al ingreso de plato. Sensor de producto se activa por momentos en vacío. </t>
  </si>
  <si>
    <t>Calibración de guías de producto, calibración de posición y sensibilidad de sensor.</t>
  </si>
  <si>
    <t xml:space="preserve">Temperatura de temperadora osila demasiado </t>
  </si>
  <si>
    <t xml:space="preserve">Se realiza el llenado de agua en tanques de agua caliente y fría y se realiza seguimiento </t>
  </si>
  <si>
    <t xml:space="preserve">Se realizó la limpieza de taller de mantenimiento </t>
  </si>
  <si>
    <t xml:space="preserve">Se calibró máquina para el sellado de bolsas con producto de exportación </t>
  </si>
  <si>
    <t>01:26</t>
  </si>
  <si>
    <t>Revisión de funcionamiento de intercambiador, y rascador de moldes</t>
  </si>
  <si>
    <t>15:33</t>
  </si>
  <si>
    <t xml:space="preserve">Apoyo en calibración de expulsión de paquetes vacíos </t>
  </si>
  <si>
    <t>Producto muy separado, muchos espacios vacios</t>
  </si>
  <si>
    <t xml:space="preserve">Se regulo velocidad de salida de hacos 2, velocidad de bandas </t>
  </si>
  <si>
    <t>Se reemplaza gomas de pinzas de vpack. Formato que no se está usando.</t>
  </si>
  <si>
    <t xml:space="preserve">Se cambia formato a mini milky </t>
  </si>
  <si>
    <t>Se realiza avance de preventivo y engrado</t>
  </si>
  <si>
    <t xml:space="preserve">Empujador de vpack rompe producto </t>
  </si>
  <si>
    <t xml:space="preserve">Se realiza calibración de empujador y sostenedore de producto </t>
  </si>
  <si>
    <t xml:space="preserve">Se habilito equipo se apoyó en regulación de temperatura y se hizo pruebas </t>
  </si>
  <si>
    <t xml:space="preserve">Armado de módulo MDS formato cremas ovaladas </t>
  </si>
  <si>
    <t>Se colocó piezas en posición y se habilitó mds</t>
  </si>
  <si>
    <t>21:33</t>
  </si>
  <si>
    <t>22:55</t>
  </si>
  <si>
    <t>Moldes se juntaron</t>
  </si>
  <si>
    <t>Se bajó empujadores, se ordenó moldes, se limpio zona de torsión y se regulo presión de rascadores</t>
  </si>
  <si>
    <t>00:21</t>
  </si>
  <si>
    <t>02:49</t>
  </si>
  <si>
    <t xml:space="preserve">Inspección de robot de desmolde </t>
  </si>
  <si>
    <t>Pistón B6 tiene un empuje fuerte.</t>
  </si>
  <si>
    <t>Se revisó y se reguló el flujo de aire en pistón B6</t>
  </si>
  <si>
    <t>02:12</t>
  </si>
  <si>
    <t>02:26</t>
  </si>
  <si>
    <t>Se retiro rascadores y se realizó limpieza, se volvió a colocar</t>
  </si>
  <si>
    <t>14:57</t>
  </si>
  <si>
    <t>Cambio de formato, operadora solicita verificación de correcto corte de laminado.</t>
  </si>
  <si>
    <t>Se regula tirante de cuchilla móvil.  Se requiere reemplazar tirantes de cuchilla de diferentes formatos. Tienen desgaste que dificulta calibración.</t>
  </si>
  <si>
    <t>Apoyó en el ajuste y regulación de quitacola</t>
  </si>
  <si>
    <t>Se coloco iman guarda y rejillas de tolva de molino de azucar</t>
  </si>
  <si>
    <t>02:57</t>
  </si>
  <si>
    <t xml:space="preserve">Cambio de formato de pisco x 18 a pisco x9 , y calibración </t>
  </si>
  <si>
    <t>Apoyó en cambio de formato a pisco x18</t>
  </si>
  <si>
    <t>Reparación</t>
  </si>
  <si>
    <t>Plástico atascado en transmisión de arrastre de bolsa</t>
  </si>
  <si>
    <t xml:space="preserve">Se desmonta motor y se retira, se libera plástico atascado, se realiza limpieza, y se vuelva a armar, se prueba funcionamiento </t>
  </si>
  <si>
    <t xml:space="preserve">Se desarmo Mds para limpieza  y se armó y inicio equipo </t>
  </si>
  <si>
    <t>21:52</t>
  </si>
  <si>
    <t>22:24</t>
  </si>
  <si>
    <t>Papel aluminio se arruga mucho</t>
  </si>
  <si>
    <t>Se encuentra cinta dañada en polín de arrastre, se retira cinta y se coloca cinta nueva, se realiza pruebas de funcionamiento</t>
  </si>
  <si>
    <t>00:48</t>
  </si>
  <si>
    <t>01:17</t>
  </si>
  <si>
    <t>Rodillo 3 se calentó, sale alarma</t>
  </si>
  <si>
    <t>Se reviso funcionamiento de chiller, se aplicó ingreso de agua fría en modo manual para enfriamiento, se realizó seguimiento a funcionamiento</t>
  </si>
  <si>
    <t>23:31</t>
  </si>
  <si>
    <t>Abre fácil fuera de posición, corte a un costado, cajas se pegan</t>
  </si>
  <si>
    <t xml:space="preserve">Se regulo posición de cuchilla de abre fácil, se regulo presión de cajas, se realizó pruebas de funcionamiento </t>
  </si>
  <si>
    <t>Armado de mds</t>
  </si>
  <si>
    <t>Bomba desebada,</t>
  </si>
  <si>
    <t xml:space="preserve">Se cebó bomba, se verifico presión de agua en diferentes puntos en planta </t>
  </si>
  <si>
    <t xml:space="preserve">Arruga papel constantemente, se acumula producto </t>
  </si>
  <si>
    <t xml:space="preserve">Se remplazo cinta de rodillo de arrastre se regulo sensores y velocidad de fajas </t>
  </si>
  <si>
    <t>00:13</t>
  </si>
  <si>
    <t>00:29</t>
  </si>
  <si>
    <t>Baja presión en sistema de agua potable</t>
  </si>
  <si>
    <t>Se realiza el cambio de foto y se realiza cebado de bomba</t>
  </si>
  <si>
    <t>Se cambió plancha y pistones de mds</t>
  </si>
  <si>
    <t>08:32</t>
  </si>
  <si>
    <t>Máquina rompe producto, laminado (aluminio) no se alineó correctamente.Maquina con ruido de golpe en la trasmisión.</t>
  </si>
  <si>
    <t>Se revisó y se calibró máquina. Se realizó pruebas y se dejó habilitada.</t>
  </si>
  <si>
    <t>Máquina con ruido y desprendimientos de piezas por romperse.</t>
  </si>
  <si>
    <t>Se retiró polín para su reparación. Se cambió rodamientos y se modifico el alojamiento de los mismos rodamientos. Se habilitó máquina.</t>
  </si>
  <si>
    <t>Se encendió equipos y habilitó líneas de vapor aire y agua.</t>
  </si>
  <si>
    <t>Se realiza cambio de formato a enselofanadora x10</t>
  </si>
  <si>
    <t xml:space="preserve">Habilitación de equipo </t>
  </si>
  <si>
    <t xml:space="preserve">Se coloca guardas, fajas y piezas de equipo </t>
  </si>
  <si>
    <t>Pero no roto y perno de cuchilla de habré fácil rodado</t>
  </si>
  <si>
    <t xml:space="preserve">Se realiza el retiro de perno rodado y hace cambio de pernos a medida más grande </t>
  </si>
  <si>
    <t xml:space="preserve">Arranque de equipos de planta </t>
  </si>
  <si>
    <t xml:space="preserve">Compresora de temperadora de hacos 1 sin refrigerante </t>
  </si>
  <si>
    <t xml:space="preserve">Se realiza el llenado de refrigerante al equipo </t>
  </si>
  <si>
    <t xml:space="preserve">Robot de desmoldeo vota producto </t>
  </si>
  <si>
    <t xml:space="preserve">Se apoya con calibración de robot </t>
  </si>
  <si>
    <t>Operadora reporta que equipo no avanza, error en empujadores e Intercambiador de moldes.</t>
  </si>
  <si>
    <t xml:space="preserve">Calibración de ángulo de giro de empujadores y desplazamiento. Calibración de posición de Intercambiador de moldes y verificación de funcionamiento </t>
  </si>
  <si>
    <t>Solicitan desarmado de samfill para limpieza. Pasarán chocolate blanco.</t>
  </si>
  <si>
    <t>Se retiró tolva y agitador para limpieza.</t>
  </si>
  <si>
    <t xml:space="preserve">Sensor de regilla de refinadora sacado por limpieza </t>
  </si>
  <si>
    <t xml:space="preserve">Se coloca sensor electromagnético de refinadora y se calibrar </t>
  </si>
  <si>
    <t xml:space="preserve">Se desarma tapas de unidades de refrigeración para limpieza </t>
  </si>
  <si>
    <t xml:space="preserve">Desarmar máquina </t>
  </si>
  <si>
    <t xml:space="preserve">Sensor de refinadora de regilla no detecta </t>
  </si>
  <si>
    <t xml:space="preserve">Se calibrar sensor de regilla </t>
  </si>
  <si>
    <t xml:space="preserve">Manguera flexile rota </t>
  </si>
  <si>
    <t xml:space="preserve">Se realiza un corte en la manguera y se pone conector </t>
  </si>
  <si>
    <t xml:space="preserve">Faja de arrastre se sale </t>
  </si>
  <si>
    <t xml:space="preserve">Se rectificar los engranajes de la faja y se calibrar </t>
  </si>
  <si>
    <t>Ruido excesivo y golpe de piezas entre si. No sé puede empaquetar.</t>
  </si>
  <si>
    <t>Se revisó y se retiró piezas para pulir partes dañadas.Se colocó y lubricó partes moviles, luego se calibró máquina para empaquetar.</t>
  </si>
  <si>
    <t xml:space="preserve">Falla f185 en variador de motor principal </t>
  </si>
  <si>
    <t xml:space="preserve">Se reviso el circuito eléctrico de precarga, se encontró fusible dañado , se reporta para la compra de repuestos </t>
  </si>
  <si>
    <t>S encontró malla rota</t>
  </si>
  <si>
    <t>Se remplazo parte dañada</t>
  </si>
  <si>
    <t>05:56</t>
  </si>
  <si>
    <t xml:space="preserve">No calienta, receta no se cargó correctamente </t>
  </si>
  <si>
    <t>Se vuelve a cargar receta y se da seguimiento a primer bach</t>
  </si>
  <si>
    <t>Banda tiene roce con guarda y se daño</t>
  </si>
  <si>
    <t>Se cortó parte dañada y se alineó banda</t>
  </si>
  <si>
    <t>Exceso de líquido por sistema de mantenimiento neumático.</t>
  </si>
  <si>
    <t xml:space="preserve">Se revisó y se limpio dicho sistema. Se informó a supervisor de mantenimiento sobre la variación de temperatura en máquina </t>
  </si>
  <si>
    <t xml:space="preserve">Se calibrar cuchilla y se hace pruebas correspondientes </t>
  </si>
  <si>
    <t xml:space="preserve">Faja presenta rozamiento </t>
  </si>
  <si>
    <t xml:space="preserve">Se realiza corte y se deja operativo </t>
  </si>
  <si>
    <t xml:space="preserve">Bomba de tanque de chocolate de hacos 1 presenta fuga de aceite </t>
  </si>
  <si>
    <t xml:space="preserve">Se alista material para limpieza </t>
  </si>
  <si>
    <t>Inspección de máquina paradas o con falla del turno noche.</t>
  </si>
  <si>
    <t>Se apoyo con la revisión de máquina paradas.</t>
  </si>
  <si>
    <t xml:space="preserve">Robot no desmolda correctamente, </t>
  </si>
  <si>
    <t xml:space="preserve">Se reviso pistón y goma de compuerta de succión , se remplazo goma y se dió seguimiento </t>
  </si>
  <si>
    <t xml:space="preserve">Apoyo a personal de calidad y laboratorio </t>
  </si>
  <si>
    <t>Se apoyo con trabajo de traslado y revisión de equipos</t>
  </si>
  <si>
    <t>15:27</t>
  </si>
  <si>
    <t>15:57</t>
  </si>
  <si>
    <t xml:space="preserve">Moldes se atasca y saltan a la salida de torre de bajada </t>
  </si>
  <si>
    <t>Se reviso rascadores y guías, se regulo rascadores y se alineó guias</t>
  </si>
  <si>
    <t>13:36</t>
  </si>
  <si>
    <t xml:space="preserve">Cuchilla no corta bien papel aluminio se atasca </t>
  </si>
  <si>
    <t xml:space="preserve">Se regulo cuchilla y se realizó pruebas de funcionamiento </t>
  </si>
  <si>
    <t>18:43</t>
  </si>
  <si>
    <t>19:10</t>
  </si>
  <si>
    <t>Banda se mueve hacia guarda y empieza a dañarse</t>
  </si>
  <si>
    <t>Se destenso banda y se regulo polin tensador y alineamiento automatico</t>
  </si>
  <si>
    <t>13:45</t>
  </si>
  <si>
    <t>14:06</t>
  </si>
  <si>
    <t>Bomba de hacos con presencia de grasa y aceite</t>
  </si>
  <si>
    <t>Se realizó limpieza de zona y se verifico ajuste de pernos</t>
  </si>
  <si>
    <t>12:44</t>
  </si>
  <si>
    <t>13:05</t>
  </si>
  <si>
    <t>Reportan que moldes saltan durante el intercambio de moldes</t>
  </si>
  <si>
    <t xml:space="preserve">Se reviso funcionamiento de equipo, se ajusto pernos sueltos </t>
  </si>
  <si>
    <t>Se realiza inspección en temperadora de hacos 1</t>
  </si>
  <si>
    <t xml:space="preserve">Se apoyó en la calibración de sensor de ingreso de producto </t>
  </si>
  <si>
    <t>14:13</t>
  </si>
  <si>
    <t>14:28</t>
  </si>
  <si>
    <t>Tabletas se dañan en la entrada</t>
  </si>
  <si>
    <t>Se regulo altura de elevador de producto, se realizó pruebas</t>
  </si>
  <si>
    <t xml:space="preserve">Se retira manga de azúcar para limpieza </t>
  </si>
  <si>
    <t xml:space="preserve">Error MT manual no borra. </t>
  </si>
  <si>
    <t>Configuración de parámetro MT según receta y seguimiento de bach</t>
  </si>
  <si>
    <t>08:19</t>
  </si>
  <si>
    <t>Temperadora se bloquea por columnas frías.</t>
  </si>
  <si>
    <t>Se revisó máquina. Se revisó niveles de agua y se restableció calentamiento de columnas.</t>
  </si>
  <si>
    <t>Se desarmo Mds por limpieza y se volvió a armar</t>
  </si>
  <si>
    <t>Laminado de rompe en el sellado</t>
  </si>
  <si>
    <t xml:space="preserve">Se regulo temperaturas y tiempo de sellado , se cambió teflón y cintas </t>
  </si>
  <si>
    <t>Mantenimiento a sistema de desplazamiento de codificadora y limpieza interior de codificadora laser</t>
  </si>
  <si>
    <t>Apoyo en máquina. Producto sale pegado una caja tras otra.</t>
  </si>
  <si>
    <t>Se revisó y se calibró plegadores laterales. Se ajusto la  apertura de la mesa.</t>
  </si>
  <si>
    <t>Cambio de formato de 40 a 50</t>
  </si>
  <si>
    <t>08:55</t>
  </si>
  <si>
    <t>Sistema de desplazamiento dañado. Se llevó a taller de mantenimiento.</t>
  </si>
  <si>
    <t>Se revisó y limpio sistema. Se reparo rodamientos de desplazamiento.</t>
  </si>
  <si>
    <t xml:space="preserve">Se retiró plancha y husillo de Mds y se volvió a colocar después de la limpieza </t>
  </si>
  <si>
    <t xml:space="preserve">No sé conecta con tostador </t>
  </si>
  <si>
    <t>Se apoyó en la operación manual ,Se reviso condiciones para. Carga de receta y s elogra habilitar la carga de receta</t>
  </si>
  <si>
    <t>Plegado sale mal</t>
  </si>
  <si>
    <t>Se regulo plegador , se regulo distancia entre plegadores y selladores  ,se hizo pruebas y se dejó muestras</t>
  </si>
  <si>
    <t>11:58</t>
  </si>
  <si>
    <t xml:space="preserve">Cambio de formato de crema ovalada a fondy menta </t>
  </si>
  <si>
    <t xml:space="preserve">Cambio de plancha y pistones </t>
  </si>
  <si>
    <t xml:space="preserve">Verificación de temperatura de cinta </t>
  </si>
  <si>
    <t xml:space="preserve">No enciende sinfín de extracción de cascarilla </t>
  </si>
  <si>
    <t>Verificación de circuito eléctrico.</t>
  </si>
  <si>
    <t>Desplazamiento de posición de codificadora dañado, se salieron las villas del rodamiento.</t>
  </si>
  <si>
    <t xml:space="preserve">Se retira equipo a taller de mantenimiento </t>
  </si>
  <si>
    <t xml:space="preserve">Cuchilla muerde producto </t>
  </si>
  <si>
    <t xml:space="preserve">Se cambia a sensor horizontal, queda operativo </t>
  </si>
  <si>
    <t>Sensor de producto no detecta algunas tabletas de chocolate.</t>
  </si>
  <si>
    <t>Se revisó y se reguló dicho sensor.</t>
  </si>
  <si>
    <t>Apoyo en máquina. Con el ajuste de cantidad de goma.</t>
  </si>
  <si>
    <t>Se regulo la cantidad de goma de las etiquetas.</t>
  </si>
  <si>
    <t xml:space="preserve">No corta el laminado </t>
  </si>
  <si>
    <t xml:space="preserve">Calibración altura de cuchillas </t>
  </si>
  <si>
    <t>10:08</t>
  </si>
  <si>
    <t xml:space="preserve">Pantalla de apagó, sistema operativo se actualizo automáticamente </t>
  </si>
  <si>
    <t xml:space="preserve">Se inicia sesión y se verifica correcto funcionamiento </t>
  </si>
  <si>
    <t>Temperadora se amarra. La temperatura no baja para empezar moldeo de coquillas</t>
  </si>
  <si>
    <t xml:space="preserve">Se realiza el seguimiento de temperadora y se realiza correcciones correspondientes </t>
  </si>
  <si>
    <t>Pieza dañada no permite calibrar máquina.</t>
  </si>
  <si>
    <t>Se retiró piezas para su reparación y pulido. Posteriormente se colocó en máquina y se calibró.</t>
  </si>
  <si>
    <t>14:16</t>
  </si>
  <si>
    <t xml:space="preserve">Laminado se pega </t>
  </si>
  <si>
    <t>Se calibrar equipo</t>
  </si>
  <si>
    <t>Temperadora se amarra</t>
  </si>
  <si>
    <t xml:space="preserve">Se realiza llenado de agua de temperadora </t>
  </si>
  <si>
    <t>Ascensor queda en EP</t>
  </si>
  <si>
    <t xml:space="preserve">Se realiza seguimiento y se reinicia equipo pero no responde se reporta </t>
  </si>
  <si>
    <t>12:47</t>
  </si>
  <si>
    <t>13:11</t>
  </si>
  <si>
    <t>13:24</t>
  </si>
  <si>
    <t>13:47</t>
  </si>
  <si>
    <t>Orden de herramientas y limpieza de mesa de trabajo</t>
  </si>
  <si>
    <t xml:space="preserve">Empujador de aluminio cintas gastadas </t>
  </si>
  <si>
    <t xml:space="preserve">Se realiza cambio de cintas y se pone nuevas </t>
  </si>
  <si>
    <t>Tapón roto en módulo mds.</t>
  </si>
  <si>
    <t xml:space="preserve">Se revisó y se retiró tapón roto del módulo MDS </t>
  </si>
  <si>
    <t xml:space="preserve">Faja se mueve a un lado </t>
  </si>
  <si>
    <t xml:space="preserve">Se realiza correcciones en calibración de faja </t>
  </si>
  <si>
    <t>05:55</t>
  </si>
  <si>
    <t>Solicitan juntar más la medida 4</t>
  </si>
  <si>
    <t xml:space="preserve">Se modifica medida y se verifica funcionamiento </t>
  </si>
  <si>
    <t>Pistola de aire en máquina con fuga.</t>
  </si>
  <si>
    <t>Se revisó y se reemplazo pistola de aire.</t>
  </si>
  <si>
    <t>02:05</t>
  </si>
  <si>
    <t>Malla dañada , presenta un hilo roto</t>
  </si>
  <si>
    <t xml:space="preserve">Se remplazo sección dañada </t>
  </si>
  <si>
    <t>Papel arrugado</t>
  </si>
  <si>
    <t>Se retiró rodillo de arrastre se hizo el cambio de cintas , se regulo presión de guías y reposición eje desvíado</t>
  </si>
  <si>
    <t>Se reviso estado de caldera y compresor ,</t>
  </si>
  <si>
    <t>Se realizó purgas</t>
  </si>
  <si>
    <t>Reportan fuga de chocolate de temperadora</t>
  </si>
  <si>
    <t>Se reviso el ajuste de prensaestopas , se coloco tapas y guardas</t>
  </si>
  <si>
    <t>Calibración de abrefacil</t>
  </si>
  <si>
    <t>Sellado sale mal</t>
  </si>
  <si>
    <t xml:space="preserve">Se regulo guía y plegador lateral </t>
  </si>
  <si>
    <t>Codificado sale borroso</t>
  </si>
  <si>
    <t xml:space="preserve">Se ejecuto programa de limpieza, se limpio cabezal y se hizo pruebas </t>
  </si>
  <si>
    <t>02:55</t>
  </si>
  <si>
    <t>Buje dañado en polin de arrastre, eje se desvia</t>
  </si>
  <si>
    <t>Se coloco eje en pocision y se reporto</t>
  </si>
  <si>
    <t>15:48</t>
  </si>
  <si>
    <t>Cambio de formato de x50 a x100</t>
  </si>
  <si>
    <t>13:52</t>
  </si>
  <si>
    <t>14:24</t>
  </si>
  <si>
    <t>Desmontaje de módulo de corte para revisión de cuchilla</t>
  </si>
  <si>
    <t>Imprime borroso, letras no se notan bien</t>
  </si>
  <si>
    <t>Se realizó procedimiento de limpieza de cabezal, desopturacion de bus y alineación de chorro</t>
  </si>
  <si>
    <t>14:53</t>
  </si>
  <si>
    <t>Producto se pega, abre fácil se mueve y no sella bien</t>
  </si>
  <si>
    <t xml:space="preserve">Se realizó pruebas y ajustes de piezas, se modifico medidas y se probó funcionamiento </t>
  </si>
  <si>
    <t>Limpieza de temperadora</t>
  </si>
  <si>
    <t>Apoyo en retiro de chocolate en equipo</t>
  </si>
  <si>
    <t>17:33</t>
  </si>
  <si>
    <t>17:47</t>
  </si>
  <si>
    <t>Plancha se calienta demasiado</t>
  </si>
  <si>
    <t>Se reviso y plancha Rosana con disco, se enderezó plancha, y se reviso que no chocara</t>
  </si>
  <si>
    <t>15:39</t>
  </si>
  <si>
    <t>15:47</t>
  </si>
  <si>
    <t>Abre fácil se movió, no está alineado con el corte</t>
  </si>
  <si>
    <t>Se retiro celofán y se volvió a posicionar, se alineó corte y se realizó pruebas</t>
  </si>
  <si>
    <t>Cambiar formato a bite size.</t>
  </si>
  <si>
    <t>Se retiró piezas y se cambió de formato a bote size.</t>
  </si>
  <si>
    <t>05:36</t>
  </si>
  <si>
    <t>Arranque de equipos de planta, verificación de pozos</t>
  </si>
  <si>
    <t xml:space="preserve">Tina se encuentra llena. Bomba impulsa poco chocolate </t>
  </si>
  <si>
    <t xml:space="preserve">Calibración de sensor de nivel de tina. Retiró de tubería para limpieza y pruebas de funcionamiento. Problema persiste </t>
  </si>
  <si>
    <t>Se desarmó máquina para su limpieza. Se apoyo con el retiro de chocolate de tina y la desconexión de tuberías.</t>
  </si>
  <si>
    <t>Desarmar máquina para su limpieza. Retirar mordazas y cadena para su limpieza.</t>
  </si>
  <si>
    <t xml:space="preserve">Se retiró mordazas y se desarmó máquina para su limpieza </t>
  </si>
  <si>
    <t>Armado y habilitación de equipo</t>
  </si>
  <si>
    <t>Verificación de arrastre de laminado, se realiza pruebas de piezas adaptada para pasar laminado de bite size</t>
  </si>
  <si>
    <t>01:33</t>
  </si>
  <si>
    <t>Armado de MDS para crema ovalada</t>
  </si>
  <si>
    <t>Calibración de laminado y pruebas con producto. Pisco x18</t>
  </si>
  <si>
    <t>00:34</t>
  </si>
  <si>
    <t>Producción indica que ya no pasaráilky, que se vuelva a cambiar a pisco x18</t>
  </si>
  <si>
    <t>Se  coloca piezas de formato pisco x18</t>
  </si>
  <si>
    <t xml:space="preserve">Pieza de sellado dañada. </t>
  </si>
  <si>
    <t>Se revisó y se reemplazo alambre de micro. Se realizó pruebas y se habilitó maquina</t>
  </si>
  <si>
    <t>09:51</t>
  </si>
  <si>
    <t>Imprime borroso</t>
  </si>
  <si>
    <t>Se realizó procedimiento de limpieza de cabezal</t>
  </si>
  <si>
    <t>23:26</t>
  </si>
  <si>
    <t>Codificado sale borroso y distorsionado</t>
  </si>
  <si>
    <t>Se realizó limpieza de cabezal y procedimiento de limpieza de electroválvulas</t>
  </si>
  <si>
    <t>09:47</t>
  </si>
  <si>
    <t>Cambio de mordaza para formato bite size, colocación de guardas</t>
  </si>
  <si>
    <t>08:44</t>
  </si>
  <si>
    <t>09:12</t>
  </si>
  <si>
    <t>Pedal no acciona, cuchilla no corta</t>
  </si>
  <si>
    <t>Se calibro cuchilla, se regulo sensores y se ajusto resorte</t>
  </si>
  <si>
    <t>06:49</t>
  </si>
  <si>
    <t>07:13</t>
  </si>
  <si>
    <t>Apoyo en arranque de equipo</t>
  </si>
  <si>
    <t>Guía de laminado se encuentra doblado</t>
  </si>
  <si>
    <t xml:space="preserve">Se retira pieza y se endereza. Se realiza pruebas en equipo </t>
  </si>
  <si>
    <t>22:07</t>
  </si>
  <si>
    <t>Solicitan cambio de formato de pisco x9 a milky</t>
  </si>
  <si>
    <t>Se retiro piezas de formato de pisco</t>
  </si>
  <si>
    <t>11:08</t>
  </si>
  <si>
    <t>11:27</t>
  </si>
  <si>
    <t>Revisión de temperado y niveles de agua en temperadora</t>
  </si>
  <si>
    <t>Se retiró piezas y guardas.</t>
  </si>
  <si>
    <t>00:52</t>
  </si>
  <si>
    <t>B6 empuja demasiado fuerte los moldes</t>
  </si>
  <si>
    <t xml:space="preserve">Regulación de flujo de aire </t>
  </si>
  <si>
    <t>08:28</t>
  </si>
  <si>
    <t xml:space="preserve">Apoyo en desarmado de equipo para limpieza </t>
  </si>
  <si>
    <t>07:27</t>
  </si>
  <si>
    <t>Válvula abierta de unidad de mantenimiento de aire</t>
  </si>
  <si>
    <t>Se retiro guarda, se reviso unidad de mantenimiento, se retiro válvula y se colocó se reviso cierre de valvula</t>
  </si>
  <si>
    <t>Cambio de formato a milky x 10.</t>
  </si>
  <si>
    <t>Se reemplazo piezas para formato milky x 10. Posteriormente se calibró el sellado de cajas. Se aviso a supervisor de producción.</t>
  </si>
  <si>
    <t>06:55</t>
  </si>
  <si>
    <t>08:08</t>
  </si>
  <si>
    <t>08:13</t>
  </si>
  <si>
    <t>09:25</t>
  </si>
  <si>
    <t>Canal de entrada de producto desnivelado, producto choca y sale mal el corte</t>
  </si>
  <si>
    <t>Se retiro piezas para rectificación, se limo asperezas de piezas, se realizó ajuste y pruebas</t>
  </si>
  <si>
    <t>01:52</t>
  </si>
  <si>
    <t>02:45</t>
  </si>
  <si>
    <t xml:space="preserve">Cambio de formato de bite size a mini fondy </t>
  </si>
  <si>
    <t xml:space="preserve">Cambio de cadenas, mordazas, planchas y empujadores </t>
  </si>
  <si>
    <t>Laminado se sale continuamente, mordaza muerde producto</t>
  </si>
  <si>
    <t>Se apoyo en calibracion</t>
  </si>
  <si>
    <t>06:34</t>
  </si>
  <si>
    <t>07:16</t>
  </si>
  <si>
    <t xml:space="preserve">Se retiro filtro para limpieza, se calentó tuberías , se colocó en modo calentamiento, se calentó entrada de tina hacia bomba, se hablito funcionamiento </t>
  </si>
  <si>
    <t>01:08</t>
  </si>
  <si>
    <t>Tina se llenó, bomba no impulsa suficiente chocolate.</t>
  </si>
  <si>
    <t>Limpieza de filtro y calentamiento de tuberías conectadas a bomba</t>
  </si>
  <si>
    <t xml:space="preserve">Se desarmó módulo MDS </t>
  </si>
  <si>
    <t>Colisión de piezas.</t>
  </si>
  <si>
    <t>Se retiró piezas para su reparación y posteriormente se colocó en posición. Se dejó habilitada la máquina.</t>
  </si>
  <si>
    <t>Armado de módulo de corte en maquina</t>
  </si>
  <si>
    <t>Desarmado de MDS para limpieza, cambio de sabor</t>
  </si>
  <si>
    <t>23:33</t>
  </si>
  <si>
    <t xml:space="preserve">Armado de iman </t>
  </si>
  <si>
    <t xml:space="preserve">Se dió soporte a personal tercero con la pruebas en máquina. </t>
  </si>
  <si>
    <t>04:16</t>
  </si>
  <si>
    <t>04:35</t>
  </si>
  <si>
    <t xml:space="preserve">Cambio de formato a crema redonda </t>
  </si>
  <si>
    <t xml:space="preserve">Cambio de plancha y pistones según formato </t>
  </si>
  <si>
    <t>Sellador aplasta las cajas</t>
  </si>
  <si>
    <t>Calibración de presión y posición de selladores.</t>
  </si>
  <si>
    <t>Apoyo en ajuste de pieza para presión de laminado bite size</t>
  </si>
  <si>
    <t>06:29</t>
  </si>
  <si>
    <t xml:space="preserve">No codifica correctamente </t>
  </si>
  <si>
    <t>Se reviso, lector y sensor, se cambio de posición lector, se realizó pruebas</t>
  </si>
  <si>
    <t>Se retiró tuberías para su limpieza.</t>
  </si>
  <si>
    <t>09:42</t>
  </si>
  <si>
    <t>06:27</t>
  </si>
  <si>
    <t xml:space="preserve">Lubricacion </t>
  </si>
  <si>
    <t>02:58</t>
  </si>
  <si>
    <t xml:space="preserve">Verificación de arranque correcto en formato mini milky </t>
  </si>
  <si>
    <t>04:04</t>
  </si>
  <si>
    <t>04:14</t>
  </si>
  <si>
    <t>Producto se junta en faja</t>
  </si>
  <si>
    <t xml:space="preserve">Configuración de parámetros de control de fajas de alimentación </t>
  </si>
  <si>
    <t xml:space="preserve">Laminado se hace bolsa </t>
  </si>
  <si>
    <t xml:space="preserve">Se recalibra arrastre </t>
  </si>
  <si>
    <t xml:space="preserve">No sella aluminio, se rompe el producto. Codificado sale a la mitad </t>
  </si>
  <si>
    <t>Calibración de posición de sellador, ajuste de cuchilla y configuración de codificadora laser</t>
  </si>
  <si>
    <t>01:28</t>
  </si>
  <si>
    <t xml:space="preserve">Tensador de laminado desajustado, puntos de goma desalineados. Papel aluminio se pega a sellador y se rompe producto </t>
  </si>
  <si>
    <t>Calibración de posición de tensador de laminado y ajuste. Calibración de puntos de goma. Colocación de teflón en resistencia de sellado.</t>
  </si>
  <si>
    <t>Falta empujador de cadena</t>
  </si>
  <si>
    <t xml:space="preserve">Se coloca empujador. </t>
  </si>
  <si>
    <t>00:26</t>
  </si>
  <si>
    <t xml:space="preserve">Desarmado de MDS. Formato frambuesa </t>
  </si>
  <si>
    <t>07:19</t>
  </si>
  <si>
    <t>07:43</t>
  </si>
  <si>
    <t>Contraelevador no se puede bajar más, tiene rose con pinzas</t>
  </si>
  <si>
    <t xml:space="preserve">Requieren lubricación en cadena </t>
  </si>
  <si>
    <t xml:space="preserve">Se realiza lubricación de cadena </t>
  </si>
  <si>
    <t xml:space="preserve">Producto sale ladeado </t>
  </si>
  <si>
    <t xml:space="preserve">Se regula pistón antes de ingresar al túnel </t>
  </si>
  <si>
    <t xml:space="preserve">Codificado sale borroso </t>
  </si>
  <si>
    <t xml:space="preserve">Limpieza de cabezal </t>
  </si>
  <si>
    <t>Cambio de formato a milky</t>
  </si>
  <si>
    <t xml:space="preserve">Se retira empujadores y se carga receta </t>
  </si>
  <si>
    <t>No cae chocolate, columna bloqueada</t>
  </si>
  <si>
    <t xml:space="preserve">Verificación de nivel de chocolate, calentado de columna. Queda temperando </t>
  </si>
  <si>
    <t xml:space="preserve">Inspección de temperadora de hacos 1 </t>
  </si>
  <si>
    <t>03:36</t>
  </si>
  <si>
    <t>03:50</t>
  </si>
  <si>
    <t xml:space="preserve">Robot no desmolda correctamente </t>
  </si>
  <si>
    <t xml:space="preserve">Configuración de parámetros de robot </t>
  </si>
  <si>
    <t xml:space="preserve">Falla de arrastre </t>
  </si>
  <si>
    <t xml:space="preserve">Se lleva fajas de arrastre antiguas </t>
  </si>
  <si>
    <t>Armado de máquina y tuberías. Colocar piezas en posición y habilitar máquina.</t>
  </si>
  <si>
    <t>Se colocó piezas a máquina, se conecto tuberías y se armó máquina.</t>
  </si>
  <si>
    <t>12:22</t>
  </si>
  <si>
    <t>14:01</t>
  </si>
  <si>
    <t xml:space="preserve">Problemas en temperadora, no tempera </t>
  </si>
  <si>
    <t>Se reviso estado de temperadora, se llenó tanque de agua fría, se reviso compresor se aumento refrigerante, se realizó seguimiento a temperado</t>
  </si>
  <si>
    <t xml:space="preserve">Cambiar formato a pisco x 9 </t>
  </si>
  <si>
    <t>Se realizó el cambio de formato, se calibró maquina</t>
  </si>
  <si>
    <t>07:33</t>
  </si>
  <si>
    <t xml:space="preserve">Sobretorque en b520, torre de subida </t>
  </si>
  <si>
    <t>Se reviso, se retiro moldes, se verifico puentes y obstrucciones, se modifico fuerza de motor y se realizó pruebas</t>
  </si>
  <si>
    <t xml:space="preserve">Cambio de formato de pisco x9 a milky x10 </t>
  </si>
  <si>
    <t>18:05</t>
  </si>
  <si>
    <t>Cambio de formato Mds , se desarmo formato de agregados x50 y se armó formato agregados x100</t>
  </si>
  <si>
    <t xml:space="preserve">Receso </t>
  </si>
  <si>
    <t>Apoyo en el armado de bañadora</t>
  </si>
  <si>
    <t xml:space="preserve">Temperatura alta en sección 1 del túnel de enfriamiento </t>
  </si>
  <si>
    <t xml:space="preserve">Se reviso estado de válvulas de expansión, presión de refrigerante, se aumento refrigerante </t>
  </si>
  <si>
    <t>Se realizó pruebas de circuito de enfriamiento en samfill</t>
  </si>
  <si>
    <t xml:space="preserve">Armado de módulo MDS formato agregados </t>
  </si>
  <si>
    <t>Se apoyo a técnico de turno con el armado de módulo MDS.</t>
  </si>
  <si>
    <t xml:space="preserve">Se apoyó en operación y pruebas </t>
  </si>
  <si>
    <t>20:25</t>
  </si>
  <si>
    <t xml:space="preserve">Error en ssr4 de sistema de pre calentamiento </t>
  </si>
  <si>
    <t>Se reviso circuito eléctrico , se reviso estado de fusibles</t>
  </si>
  <si>
    <t>Limpieza de carbones en máquina.</t>
  </si>
  <si>
    <t>Se realizó la limpieza de carboncillos.</t>
  </si>
  <si>
    <t>08:57</t>
  </si>
  <si>
    <t>Se cambió de pozos de cebó bomba , se habilito agua en planta</t>
  </si>
  <si>
    <t>Impresora con falla en el codificado.</t>
  </si>
  <si>
    <t xml:space="preserve">Se realiza la limpieza de cabezal y alineación de impresión </t>
  </si>
  <si>
    <t>12:45</t>
  </si>
  <si>
    <t>Inspección de temperadora y compresor</t>
  </si>
  <si>
    <t>14:35</t>
  </si>
  <si>
    <t xml:space="preserve">Apoyó en operación de codificadora </t>
  </si>
  <si>
    <t xml:space="preserve">Se coloco guardas de ventiladores en túnel de enfriamiento </t>
  </si>
  <si>
    <t>17:55</t>
  </si>
  <si>
    <t>EQUIPO DE FRIO 05 - 1 CUERPO  TOFFEE</t>
  </si>
  <si>
    <t xml:space="preserve">Habilitación de equipo , se translado a la planta y se conecto a tablero eléctrico </t>
  </si>
  <si>
    <t>Apoyó en la regulación de velocidades de fajas guias</t>
  </si>
  <si>
    <t xml:space="preserve">Se reviso equipo de frio , estado de ventiladores , se desahabilito ventiladores en cortocircuito , se agrego gas refrigerante y se dió seguimiento </t>
  </si>
  <si>
    <t xml:space="preserve">Error en eje de empujador, reportan que se acumula producto </t>
  </si>
  <si>
    <t>Se reinicio pocision de servos, se hizo pruebas en modo manual, se apoyó regulando la velocidad de fajas</t>
  </si>
  <si>
    <t>Se regulo inclinación de plegador lateral , se hizo pruebas y se. Dejó muetsras</t>
  </si>
  <si>
    <t>Se apoyó a técnico de san marco en la habilitación de codificadora y pruebas</t>
  </si>
  <si>
    <t xml:space="preserve">Papel arrugado </t>
  </si>
  <si>
    <t xml:space="preserve">Se aumento cinta en rodilla de arrastre y se dió seguimiento </t>
  </si>
  <si>
    <t>Se instalo codificadora en linea de flowpack 1</t>
  </si>
  <si>
    <t xml:space="preserve">Apoyó en cambio de formato </t>
  </si>
  <si>
    <t xml:space="preserve">Papel se atasca corte sale mal </t>
  </si>
  <si>
    <t>Se desarmo módulo de corte, se limpio restos de papel aluminio atascado, se regulo y verifico corte, se realizó pruebas</t>
  </si>
  <si>
    <t>Se colocó piezas en posición, guardas bandas y pinzas.</t>
  </si>
  <si>
    <t>Se encendió equipos para las líneas de agua vapor y aire.</t>
  </si>
  <si>
    <t>16:32</t>
  </si>
  <si>
    <t>17:12</t>
  </si>
  <si>
    <t xml:space="preserve">Se arruga laminado constantemente </t>
  </si>
  <si>
    <t>Se realiza limpieza de polín de arrastre . Tiene restos de goma de cinta.</t>
  </si>
  <si>
    <t>14:17</t>
  </si>
  <si>
    <t xml:space="preserve">Columna bloqueada, no cae chocolate a samfill </t>
  </si>
  <si>
    <t>Se calienta tuberías, se revisó filtro y se verifica temperado</t>
  </si>
  <si>
    <t>Se retiro polín de arrastre se retiro cinta y se realizó limpieza de polin con aditivo, se colocó cinta nueva, se realizó limpieza de módulo de corte</t>
  </si>
  <si>
    <t xml:space="preserve">Se retiró polines y piezas para su limpieza </t>
  </si>
  <si>
    <t>Se armó máquina y se habilitó bandas para culminar su limpieza.</t>
  </si>
  <si>
    <t>Deja agujeros al sellar</t>
  </si>
  <si>
    <t xml:space="preserve">Se calibra altura de cuchillas </t>
  </si>
  <si>
    <t>15:28</t>
  </si>
  <si>
    <t>GIRADORA COLLMAN 02</t>
  </si>
  <si>
    <t>Reportan que equipo no se apaga</t>
  </si>
  <si>
    <t xml:space="preserve">Se verifica cableado eléctrico </t>
  </si>
  <si>
    <t>21:21</t>
  </si>
  <si>
    <t xml:space="preserve">Impresora no arranca </t>
  </si>
  <si>
    <t>Se reviso condiciones de arranque, se forzó arranque de chorro en modo manual, se inicializo impresión, se realizó pruebas</t>
  </si>
  <si>
    <t xml:space="preserve">Retirar mordazas para su limpieza </t>
  </si>
  <si>
    <t>Se retiró mordazas para su limpieza.</t>
  </si>
  <si>
    <t>Se dió seguimiento al arranque de máquina.</t>
  </si>
  <si>
    <t>22:09</t>
  </si>
  <si>
    <t>Fuga de aire , manguera neumática rota.</t>
  </si>
  <si>
    <t xml:space="preserve">Se reemplaza manguera y se verifica con equipo en funcionamiento </t>
  </si>
  <si>
    <t>Manguera rota.</t>
  </si>
  <si>
    <t xml:space="preserve">Se corta parte dañada de manguera y se conecta a tuberías </t>
  </si>
  <si>
    <t>TANQUE DE CHOCOLATE DE BAÑADORA</t>
  </si>
  <si>
    <t>Fuga de agua por depósito posterior.</t>
  </si>
  <si>
    <t xml:space="preserve">Se revisó y se activo bomba de descarga de agua del depósito </t>
  </si>
  <si>
    <t>23:41</t>
  </si>
  <si>
    <t>23:56</t>
  </si>
  <si>
    <t xml:space="preserve">Se realizó limpieza de carbones y colector, se reviso funcionamiento </t>
  </si>
  <si>
    <t>15:04</t>
  </si>
  <si>
    <t>Armado de equipo , chocolatier</t>
  </si>
  <si>
    <t>Reportan fuga de agua en zona</t>
  </si>
  <si>
    <t>Se reviso recipiente de agua fría, se verifico funcionamiento de bomba de salida, se estranguló entrada de agua fria</t>
  </si>
  <si>
    <t>22:26</t>
  </si>
  <si>
    <t>Revisión de nivel y llenado de agua en tanques de agua fría y caliente</t>
  </si>
  <si>
    <t xml:space="preserve">Se apoya con armado y calibración de sacmi </t>
  </si>
  <si>
    <t xml:space="preserve">No hay agua caliente </t>
  </si>
  <si>
    <t xml:space="preserve">Se realiza sebado de bomba de sistema de agua caliente </t>
  </si>
  <si>
    <t xml:space="preserve">Se realiza sebado de bomba del sistema de agua caliente </t>
  </si>
  <si>
    <t xml:space="preserve">Se apoya con  desarmado de mds para limpieza </t>
  </si>
  <si>
    <t xml:space="preserve">Se arma MDS para cremas redondas </t>
  </si>
  <si>
    <t>Tuberías de desfogue de producto para limpieza atorado</t>
  </si>
  <si>
    <t xml:space="preserve">Se realiza calentamiento de tuberías </t>
  </si>
  <si>
    <t>Armado y habilitación de formato para fondy menta</t>
  </si>
  <si>
    <t>Bandas se mueve a un costado</t>
  </si>
  <si>
    <t xml:space="preserve">Se destenso y se regula posición, se revisa funcionamiento </t>
  </si>
  <si>
    <t>Se realiza inspección de temperadora de hacos 1</t>
  </si>
  <si>
    <t>No sella formato x18</t>
  </si>
  <si>
    <t xml:space="preserve">Se realiza calibración de sellador </t>
  </si>
  <si>
    <t>Problemas con el sensor de producto, empujador demora en actuar y producto se acumula en banda</t>
  </si>
  <si>
    <t>Se regula posición y sensibilidad de sensor, se ajusta posición de guías para producto</t>
  </si>
  <si>
    <t xml:space="preserve">Problemas con la impresión de fecha, sale borrosa e incompleta </t>
  </si>
  <si>
    <t>Se retira cañón y se realiza limpieza y se prueba funcionamiento k</t>
  </si>
  <si>
    <t xml:space="preserve">Se rompe tubo de aceite </t>
  </si>
  <si>
    <t xml:space="preserve">Se realiza un corte y se pone accesorios de lubricación </t>
  </si>
  <si>
    <t>Problemas en polin de arrastre, papel arrugado, funcionamiento intermitente de equipo con microparadas</t>
  </si>
  <si>
    <t>Se ajusto altura de polin de desbobinado y se dejo operativo</t>
  </si>
  <si>
    <t>Cambio de formato a milky x 10</t>
  </si>
  <si>
    <t>Cambio de formato mds</t>
  </si>
  <si>
    <t>Se desarmo formato de cremas y se armó formato agregados x50</t>
  </si>
  <si>
    <t>Cambio de formato a tabletas x100</t>
  </si>
  <si>
    <t>09:52</t>
  </si>
  <si>
    <t>Apoyó en calibración de equipo para pasar pastillas</t>
  </si>
  <si>
    <t>No hay presión de agua en planta</t>
  </si>
  <si>
    <t xml:space="preserve">Se reviso pozos de agua y estado de bomba, presión cayó, se detuvo bomba y se cebo sistema, se arrancó y se verifico funcionamiento </t>
  </si>
  <si>
    <t>22:43</t>
  </si>
  <si>
    <t>Acumulación de producto en la entrada</t>
  </si>
  <si>
    <t>Se realizó limpieza de sensores, se regulo bandas de flowpack 2 y hacos 2, se verifico funcionamiento, se fue ajustando velocidades con máquina trabajando</t>
  </si>
  <si>
    <t xml:space="preserve">Cuchilla no corta, sensor no reconoce producto </t>
  </si>
  <si>
    <t>Limpieza y calibración de cuchilla, calibración de sensor</t>
  </si>
  <si>
    <t xml:space="preserve">Tolerancia de temperatura de producto negativa , ingreso de agua fría aún cuando el equipo está frío </t>
  </si>
  <si>
    <t xml:space="preserve">Se reinicio equipo , se calentó y se hizo pruebas </t>
  </si>
  <si>
    <t>Temperatura varían en mordazas</t>
  </si>
  <si>
    <t>Limpieza de escobillas y carboncillos</t>
  </si>
  <si>
    <t xml:space="preserve">Se realiza calibración y cambio de cuchilla </t>
  </si>
  <si>
    <t>Cuchilla no corta, piezas chocan entre sí.</t>
  </si>
  <si>
    <t>Se realiza cambio de cuchilla y se retira piezas para limar</t>
  </si>
  <si>
    <t xml:space="preserve">Se apoya en seguimiento y de piezas de la empaquetadora mp rose </t>
  </si>
  <si>
    <t>15:18</t>
  </si>
  <si>
    <t xml:space="preserve">Se revisa cuchillas, se espera repuesto para realiza cambio </t>
  </si>
  <si>
    <t>Se desarma mds de agrados x50 y se arma agregados x100</t>
  </si>
  <si>
    <t xml:space="preserve">Se preparo pernos tipo botón para cambio en cuchilla amp rose y se apoyó en calibración </t>
  </si>
  <si>
    <t>Forrado sale mal, cajas se pegan y no sella bien</t>
  </si>
  <si>
    <t>Se corrigió medidas y se calibro sellado, se realizó pruebas</t>
  </si>
  <si>
    <t>Cambio de formato a mini milky</t>
  </si>
  <si>
    <t>18:55</t>
  </si>
  <si>
    <t xml:space="preserve">Cambio de cuchilla y verificación de funcionamiento </t>
  </si>
  <si>
    <t>00:22</t>
  </si>
  <si>
    <t>00:57</t>
  </si>
  <si>
    <t>23:19</t>
  </si>
  <si>
    <t>Desarmado de formato.agregados x100 de mds</t>
  </si>
  <si>
    <t>16:53</t>
  </si>
  <si>
    <t>Pernos dañados.</t>
  </si>
  <si>
    <t>Se revisó y se reemplazo pernos en máquina.</t>
  </si>
  <si>
    <t>01:23</t>
  </si>
  <si>
    <t>Sale error en pantalla de empujador en mala posicion</t>
  </si>
  <si>
    <t xml:space="preserve">Mensaje se resetea y vuelve a salir, se retira tapas, se realiza limpieza de sensor de empujador, se lubrica cadena y se revisa posición de empujadores </t>
  </si>
  <si>
    <t>21:39</t>
  </si>
  <si>
    <t>22:03</t>
  </si>
  <si>
    <t>Problemas en movimiento de mds</t>
  </si>
  <si>
    <t>Se habilitó equipo mds, se realizó pruebas</t>
  </si>
  <si>
    <t xml:space="preserve">Ascensor nuevo no responde </t>
  </si>
  <si>
    <t xml:space="preserve">Se reinicio equipo, se restableció llave termomagnético en tablero de control </t>
  </si>
  <si>
    <t>Se reviso ajuste de prensaestopas y nivel de agua</t>
  </si>
  <si>
    <t xml:space="preserve">Se entrega material a tercero para habilitar tomacorrientes en primer piso </t>
  </si>
  <si>
    <t>Pieza no encaja, pernos nuevos sobre salen</t>
  </si>
  <si>
    <t>Se retiro piezas y se limo lo necesario para encajar pernos, se dejó piezas montadas</t>
  </si>
  <si>
    <t>11:25</t>
  </si>
  <si>
    <t>Reportan lavadero obstruido</t>
  </si>
  <si>
    <t xml:space="preserve">Se libero obstrucción y se realizó la limpieza </t>
  </si>
  <si>
    <t xml:space="preserve">Se reviso desgaste de polin motriz en faja alimentadora </t>
  </si>
  <si>
    <t>Se realizó pruebas y se verifico el corte de laminado</t>
  </si>
  <si>
    <t>18:35</t>
  </si>
  <si>
    <t>Temperatura demasiado baja en tanque.</t>
  </si>
  <si>
    <t>Se configura parámetros de temperado</t>
  </si>
  <si>
    <t>00:19</t>
  </si>
  <si>
    <t>Banda se movió a un costado</t>
  </si>
  <si>
    <t xml:space="preserve">Se destenso, se colocó en posición y se ajusto sensor de alineación automática </t>
  </si>
  <si>
    <t>Alarma por puerta abierta, (todas las puertas estabas cerradas)</t>
  </si>
  <si>
    <t xml:space="preserve">Se reviso sensores de puertas y se habilito equipo </t>
  </si>
  <si>
    <t xml:space="preserve">Seguimiento de corriente de motor principal durante carga de producto </t>
  </si>
  <si>
    <t xml:space="preserve">Armado de máquina y encendido </t>
  </si>
  <si>
    <t xml:space="preserve">Se colocó piezas en posición y se ajusto guardas. Se dejó habilitada </t>
  </si>
  <si>
    <t xml:space="preserve">Cambio de formato a mini milky </t>
  </si>
  <si>
    <t>No sella completamente los costados, caja no tiene solidez</t>
  </si>
  <si>
    <t xml:space="preserve">Se apoyó en el Desarme y armado de Camara climatizada por limpieza </t>
  </si>
  <si>
    <t>Base de pistón que sostiene alineador de producto (sacmi) doblado.</t>
  </si>
  <si>
    <t>Se revisó y enderezó base, luego se pulió.</t>
  </si>
  <si>
    <t xml:space="preserve">Verificación de funcionamiento de túnel de enfriamiento </t>
  </si>
  <si>
    <t>Preparación de juego de pinzas para sacmi</t>
  </si>
  <si>
    <t xml:space="preserve">Se apoyo a técnico de turno con el desarmado de máquina para su limpieza </t>
  </si>
  <si>
    <t xml:space="preserve">Retiró de polines y guardas para limpieza </t>
  </si>
  <si>
    <t>Inspección de equipo</t>
  </si>
  <si>
    <t xml:space="preserve">Se salieron 3 polines de cadena del horno </t>
  </si>
  <si>
    <t xml:space="preserve">Se coloca en posición y se verifica funcionamiento </t>
  </si>
  <si>
    <t>Habilitación de luminarias. Se puentea diferencial</t>
  </si>
  <si>
    <t>Inspección con el encendido y arranque de máquina.</t>
  </si>
  <si>
    <t>Se dió seguimiento al arranque de máquina, se reguló flujo de aire en pistones y se colocó puertas (guardas).</t>
  </si>
  <si>
    <t>Atasco de pastillas en faja</t>
  </si>
  <si>
    <t>Se alineó faja alimentadora</t>
  </si>
  <si>
    <t>00:15</t>
  </si>
  <si>
    <t xml:space="preserve">Sellado sale mal , rompe el laminado </t>
  </si>
  <si>
    <t xml:space="preserve">Se aumento cinta se regulo temperatura </t>
  </si>
  <si>
    <t>Retirar filtro de chocolate para su revisión y limpieza.</t>
  </si>
  <si>
    <t>Se retiró dicho filtro con ayuda del operador.</t>
  </si>
  <si>
    <t>Cambio de juego de pinzas</t>
  </si>
  <si>
    <t>Cambio de formato de Mds, rodillo agregados amarrado , tapones de módulo de cremas amareados</t>
  </si>
  <si>
    <t>Se desarmo  formato agregados y se armó formato de cremas</t>
  </si>
  <si>
    <t>Cambio de formato de 100gr a tabletas por 50gr.</t>
  </si>
  <si>
    <t>Se realizó el cambio de formato en máquina. Y se reemplazo pernos dañados.</t>
  </si>
  <si>
    <t xml:space="preserve">Se culminó con el armado y habilitación de máquina </t>
  </si>
  <si>
    <t xml:space="preserve">Apoyo en habilitación de equipo </t>
  </si>
  <si>
    <t>Calibracion para formato pisco x18</t>
  </si>
  <si>
    <t>Armado de bomba y llenado de chaqueta de tina</t>
  </si>
  <si>
    <t xml:space="preserve">Inspección de equipo, verificación de parámetros de trabajo </t>
  </si>
  <si>
    <t xml:space="preserve">No cae chocolate, columna bloqueada </t>
  </si>
  <si>
    <t xml:space="preserve">Se calienta columna con pistola de calor y se verifica funcionamiento </t>
  </si>
  <si>
    <t>Fuga de chocolate, manguera rota entre criba y bomba</t>
  </si>
  <si>
    <t xml:space="preserve">Se reparo temporalmete y se continúa con producción </t>
  </si>
  <si>
    <t>Se apoyo con el desarmado de iman</t>
  </si>
  <si>
    <t>Reportan que no reconoce muestra patron</t>
  </si>
  <si>
    <t>Se reviso parámetros, se indicó la manera correcta de pasar los patrones</t>
  </si>
  <si>
    <t xml:space="preserve">Malla no avanza </t>
  </si>
  <si>
    <t>Se calentó chocolate solidificado , se tenso malla , queda habilitado</t>
  </si>
  <si>
    <t xml:space="preserve">Faja de carga no avanza </t>
  </si>
  <si>
    <t>Limpieza de polines</t>
  </si>
  <si>
    <t xml:space="preserve">Verificación de túnel de enfriamiento </t>
  </si>
  <si>
    <t xml:space="preserve">Colocación de empaque y cuchilla </t>
  </si>
  <si>
    <t xml:space="preserve">No cae chocolate, columna protegida </t>
  </si>
  <si>
    <t xml:space="preserve">Se restablece error de variador y se verifica temperado </t>
  </si>
  <si>
    <t>04:40</t>
  </si>
  <si>
    <t xml:space="preserve">Cuchilla no corta </t>
  </si>
  <si>
    <t xml:space="preserve">Calibración de cuchilla </t>
  </si>
  <si>
    <t>Error fuera de tiempo a530</t>
  </si>
  <si>
    <t xml:space="preserve">Se revise punto cero de cadena y torres . </t>
  </si>
  <si>
    <t>Se cambió formato en máquina y se calibró maquina</t>
  </si>
  <si>
    <t>Cambio de formato de pisco x 9 a milky x10</t>
  </si>
  <si>
    <t>Verificar extensión de Hacos 1.</t>
  </si>
  <si>
    <t>Se revisó revisó extensión de Hacos 1 y se armó sanfill 2. Se dejó habilitada para su posterior uso</t>
  </si>
  <si>
    <t>Limpieza de polines en banda de carga</t>
  </si>
  <si>
    <t>Se limpio polines</t>
  </si>
  <si>
    <t xml:space="preserve">De revisó máquina en funcionamiento </t>
  </si>
  <si>
    <t xml:space="preserve">Rotular utensilios rodillos de producción </t>
  </si>
  <si>
    <t xml:space="preserve">Se rótulo rodillos de chocolatier y los utensilios de producción </t>
  </si>
  <si>
    <t xml:space="preserve">Limpieza de polines </t>
  </si>
  <si>
    <t>Falla en extensión de hacos 1</t>
  </si>
  <si>
    <t>Se regulo sensor de actuador neumático y se hizo pruebas</t>
  </si>
  <si>
    <t>No hay presión de agua en planta.</t>
  </si>
  <si>
    <t>Se revisó bomba y se cebó para generar presión en tuberias</t>
  </si>
  <si>
    <t>Limpieza de sensor.</t>
  </si>
  <si>
    <t xml:space="preserve">Se retiró tapa y se limpio sensor. Se restableció operación </t>
  </si>
  <si>
    <t xml:space="preserve">No cae chocolate </t>
  </si>
  <si>
    <t xml:space="preserve">Se corrigió el sentido de giro de la bomba y se indicó a operadores el modo de funcionamiento </t>
  </si>
  <si>
    <t>Fuga de chocolate de tubería de bañadora</t>
  </si>
  <si>
    <t xml:space="preserve">Se reviso circuito de tuberías , se ajusto uniones y se apoyó en limpieza de máquina </t>
  </si>
  <si>
    <t>Apoyo con el cambio de formato, para bitesize.</t>
  </si>
  <si>
    <t>Se apoyo a técnico de turno con el cambio de formato.</t>
  </si>
  <si>
    <t>Tornillo sin fin amarrado</t>
  </si>
  <si>
    <t xml:space="preserve">Se retiró nibs de tolva de hizo pruebas invirtiendo el giro , se desacoplo tubería acoplada a sin fin y se realizó la limpieza </t>
  </si>
  <si>
    <t xml:space="preserve">Con apoyó de producción se coloco tubería acoplada a tornillo sin fin y se habilito equipo </t>
  </si>
  <si>
    <t>Verificación de luminarias en toda la planta. Registrar cantidad, tipo, y ubicación de luminarias de planta.</t>
  </si>
  <si>
    <t>Se realizó el registro y conteo de luminarias por zonas y pisos de toda la planta.</t>
  </si>
  <si>
    <t>11:51</t>
  </si>
  <si>
    <t>Se retiró plancha y rodillo de Mds para limpieza y se volvió a armar</t>
  </si>
  <si>
    <t>Temperatura de agua fría no baja</t>
  </si>
  <si>
    <t xml:space="preserve">Se reviso nivel en tanque de agua fría , se reviso presión de gas refrigerante en compresor , se aumento gas refrigerante a 20 psi , se dió seguimiento </t>
  </si>
  <si>
    <t>12:38</t>
  </si>
  <si>
    <t>Cajas de pegan</t>
  </si>
  <si>
    <t>Temperatura de cuchilla varia</t>
  </si>
  <si>
    <t>Se verifico estado del sensor cable y conexión, se ajusto bornerss</t>
  </si>
  <si>
    <t xml:space="preserve">Reportan fallas en horno </t>
  </si>
  <si>
    <t xml:space="preserve">Verificación de funcionamiento </t>
  </si>
  <si>
    <t xml:space="preserve">Falla A23 fuera de tiempo en extensión </t>
  </si>
  <si>
    <t xml:space="preserve">Se regulo sensores de final de carrera de actuador neumático </t>
  </si>
  <si>
    <t>Contraelevador desviado, goma de pinza despegandose</t>
  </si>
  <si>
    <t>Calibración de posición de contraelevador y pegado de goma</t>
  </si>
  <si>
    <t>23:35</t>
  </si>
  <si>
    <t>Laminado sale volteaod</t>
  </si>
  <si>
    <t xml:space="preserve">Se regulo lanzador y canal de entrada de producto </t>
  </si>
  <si>
    <t xml:space="preserve">No hay presión de agua en planta </t>
  </si>
  <si>
    <t xml:space="preserve">Se ceba bomba y se verifica funcionamiento </t>
  </si>
  <si>
    <t>Sellado sale mal , actuador no regresa a su posicion</t>
  </si>
  <si>
    <t xml:space="preserve">Se libero pieza obstruida y se hizo pruebas </t>
  </si>
  <si>
    <t xml:space="preserve">Desarmar MDS para su limpieza </t>
  </si>
  <si>
    <t xml:space="preserve">Operador reporta problemas con los cangilones, no se detienen por más de 15 minutos </t>
  </si>
  <si>
    <t>Se explicó funcionamiento de equipo y se enseñó a operador a confirmar error .</t>
  </si>
  <si>
    <t xml:space="preserve">Armado de MDS formato crema ovalada </t>
  </si>
  <si>
    <t xml:space="preserve">Armado y habilitación de equipo </t>
  </si>
  <si>
    <t>Se colocó piezas en posición y se encendió equipo.</t>
  </si>
  <si>
    <t xml:space="preserve">Apoyo en calibración </t>
  </si>
  <si>
    <t>Apoyo en regulación de bandas transportadoras</t>
  </si>
  <si>
    <t>Se retiró husillo de Mds por limpieza, se volvió a colocar</t>
  </si>
  <si>
    <t xml:space="preserve">Bomba desebada </t>
  </si>
  <si>
    <t xml:space="preserve">Cebado de bomba de agua potable </t>
  </si>
  <si>
    <t>Inspección de máquina en funcionamiento con carga.</t>
  </si>
  <si>
    <t>Se dió seguimiento al funcionamiento de máquina y se reguló sensor de posición de pistón A23</t>
  </si>
  <si>
    <t xml:space="preserve">Apoyo en máquina, para cargar receta y ajustar parámetros </t>
  </si>
  <si>
    <t xml:space="preserve">Se cargo receta y se ajusto calibración </t>
  </si>
  <si>
    <t xml:space="preserve">Error en variador de frecuencia de vibrador t5 </t>
  </si>
  <si>
    <t xml:space="preserve">Se borró falla y si indicó no usar el vibrador </t>
  </si>
  <si>
    <t xml:space="preserve">Desarme de cabina de bañado </t>
  </si>
  <si>
    <t>Se retiró accesorios y tina</t>
  </si>
  <si>
    <t>Falta de adhesivo en etiquetas</t>
  </si>
  <si>
    <t xml:space="preserve">Se realizó purgas y se regulo sensor de etiqueta, se reviso módulo de adhesivo se retiró boquilla y se hizo purgas , se limpio boquilla y se montó módulo en máquina , se repitió purga se regulo pocision y se hizo pruebas </t>
  </si>
  <si>
    <t>Se retirara piezas de cabina de bañado a pedido de producción y calidad</t>
  </si>
  <si>
    <t>Cambio de formato de milky x10 a pisco x18</t>
  </si>
  <si>
    <t xml:space="preserve">Se apoyó en el cambio de piezas y calibración </t>
  </si>
  <si>
    <t>Cuchilla se atasca</t>
  </si>
  <si>
    <t>Se acondicionó nuevo resorte y pin para cuchilla</t>
  </si>
  <si>
    <t>Se apoyó en alineación de fajas para formato mini milky</t>
  </si>
  <si>
    <t>Armado de máquina. Colocar malla y tuberías.</t>
  </si>
  <si>
    <t>Se colocó piezas en posición, se colocó malla nueva y se conectó tuberías en máquina. Se dejó habilitada y se informó a supervisor de producción.</t>
  </si>
  <si>
    <t>Armado y habilitación de máquina.</t>
  </si>
  <si>
    <t>Se colocó piezas en posición, se conectó tuberías de bomba y se habilitó máquina.</t>
  </si>
  <si>
    <t>Cambio de disco y medidas</t>
  </si>
  <si>
    <t xml:space="preserve">Apoyó en reparación de tubería dañada </t>
  </si>
  <si>
    <t>Apoyó en calibración par formato milky x10</t>
  </si>
  <si>
    <t>Controlador de motor de fajas dañado</t>
  </si>
  <si>
    <t xml:space="preserve">Se reviso y reparo controlador , se montó en equipo y se realizó pruebas </t>
  </si>
  <si>
    <t>Apoyó en cambio de formato de pisco x9 a milky x10</t>
  </si>
  <si>
    <t>Armado de mds para fondy menta</t>
  </si>
  <si>
    <t>Cajas salen pegadas y algunas aplastadas.</t>
  </si>
  <si>
    <t>Calibración de plancha de sellado y separación de mesa</t>
  </si>
  <si>
    <t>Sobre torque A100</t>
  </si>
  <si>
    <t xml:space="preserve">Se retiró moldes se lubrico , se verifico el libre recorrido de empujadores </t>
  </si>
  <si>
    <t xml:space="preserve">Puntos de goma fuera de posición, papel aluminio se pega al sellador y rompe las tabletas </t>
  </si>
  <si>
    <t>Calibración de puntos de goma y calibración de selladores</t>
  </si>
  <si>
    <t xml:space="preserve">Variador en falla por sobrecarga </t>
  </si>
  <si>
    <t>Se restableció variador y se dió seguimiento al consumo</t>
  </si>
  <si>
    <t>Rodillo amarrado de mds</t>
  </si>
  <si>
    <t xml:space="preserve">Se retiró para limpieza y se volvió a colocar </t>
  </si>
  <si>
    <t>Se tomó datos de sensor y conectores y se reviso el stock</t>
  </si>
  <si>
    <t xml:space="preserve">Retiró de husillo para limpieza, formato agregados x50 </t>
  </si>
  <si>
    <t xml:space="preserve">Colocación de husillo </t>
  </si>
  <si>
    <t xml:space="preserve">Temperadora bloqueada, no circula chocolate </t>
  </si>
  <si>
    <t>Se encontró bomba en falla, se reporta para realizar cambio .</t>
  </si>
  <si>
    <t>Apoyo en máquina, nose puede confirmar alarma de puertas/ventanas cerradas.</t>
  </si>
  <si>
    <t>Se revisó máquina y se confirmó alarma</t>
  </si>
  <si>
    <t>Apoyo en máquina, sensor de ventana no confirma alarma</t>
  </si>
  <si>
    <t xml:space="preserve">Se revisó y se confirmó alarma de ventana cerrada </t>
  </si>
  <si>
    <t xml:space="preserve">Se remplazo resortes vencido de rodillos de arrastre de laminado, se remplazo cableado y conector de sensor de contraelevador </t>
  </si>
  <si>
    <t xml:space="preserve">Roturo en el eje de bomba de descarga </t>
  </si>
  <si>
    <t>Se realizó la limpieza de tuberías de descarga hacia mesas y se apoyó a terceros en desmontaje de la bomba</t>
  </si>
  <si>
    <t xml:space="preserve">Pruebas en vacío de bomba de producto. </t>
  </si>
  <si>
    <t>Se verifica si hay vibración o fugas en bomba. Se informa a producción para su uso</t>
  </si>
  <si>
    <t xml:space="preserve">Se apoyó a personal tercero en el montaje de bomba de descargá </t>
  </si>
  <si>
    <t>07:26</t>
  </si>
  <si>
    <t>07:55</t>
  </si>
  <si>
    <t>Temperatura de mordaza varia</t>
  </si>
  <si>
    <t>Se reviso y se realizó limpieza de carbones y colector</t>
  </si>
  <si>
    <t>Horno se apaga de la nada.</t>
  </si>
  <si>
    <t>Ajuste de contactos en circuito de control</t>
  </si>
  <si>
    <t xml:space="preserve">Apoyo en calibración de puntos de goma y corte de laminado </t>
  </si>
  <si>
    <t>05:44</t>
  </si>
  <si>
    <t xml:space="preserve">Ascensor nuevo no responde se queda en segundo piso con personal de producción dentro </t>
  </si>
  <si>
    <t xml:space="preserve">Se revisa condiciones de ascensor, se reinicia equipo, se revisa comportamiento, se retira personal atrapado, se verifica funcionamiento de ascensor </t>
  </si>
  <si>
    <t>08:07</t>
  </si>
  <si>
    <t xml:space="preserve">Extensión dañada </t>
  </si>
  <si>
    <t>Se corrigió conexión de extensión para habilitación de balanza en la zona</t>
  </si>
  <si>
    <t>Error en pantalla HDMI, no permite la conexión correcta con los servomotores.</t>
  </si>
  <si>
    <t>Se revisó y se limpio conectores y se ajustó borneras.</t>
  </si>
  <si>
    <t xml:space="preserve">Se reviso nivel y Se llenó agua en tanques  </t>
  </si>
  <si>
    <t>08:36</t>
  </si>
  <si>
    <t>08:52</t>
  </si>
  <si>
    <t>Problemas con tensador de bobina</t>
  </si>
  <si>
    <t xml:space="preserve">Se apoyo en regulación de tensador de bobina, se verifico funcionamiento </t>
  </si>
  <si>
    <t xml:space="preserve">Remplazo de piezas de hierro por piezas de acero inoxidable </t>
  </si>
  <si>
    <t>07:25</t>
  </si>
  <si>
    <t>Apoyo en máquina. Para retirar tapa de tubería, para la descarga de chocolate.</t>
  </si>
  <si>
    <t xml:space="preserve">Se revisó y se retiró tapa atascada. Luego se llevó tapa al taller para su reparación y limado.ir y </t>
  </si>
  <si>
    <t>Apoyo en máquina, no permite el arranque en línea.</t>
  </si>
  <si>
    <t>Se revisó y se le indico a operador que la revisión de puertas y botones de emergencia. Se restablece alarma y el arranque de máquina.</t>
  </si>
  <si>
    <t>Se apoyó en la nivelación de base de codificado</t>
  </si>
  <si>
    <t xml:space="preserve">Se verifico niveles de pozos de agua </t>
  </si>
  <si>
    <t>Apoyó en cambio de formato de Mds a crema ovalada</t>
  </si>
  <si>
    <t>Cambio de formato en máquina, barra por 40gramos.</t>
  </si>
  <si>
    <t xml:space="preserve">Se realizó el cambio de formato en máquina. Y se reemplazo pernos dañados </t>
  </si>
  <si>
    <t xml:space="preserve">Apoyo con la culminación de cambio de formato en máquina </t>
  </si>
  <si>
    <t>Se realizó con la culminación de cambio de formato en máquina.</t>
  </si>
  <si>
    <t xml:space="preserve">Cambio de formato, de bite size a mini milky </t>
  </si>
  <si>
    <t>Cambio de mordaza, cadena y planchas</t>
  </si>
  <si>
    <t>Se regulo pocision y velocidad de fajas transportadoras para reducir el descarte de producto mal posicionado y se apoyó a operario en regulación de temperatura y velocidad de linea</t>
  </si>
  <si>
    <t xml:space="preserve">Retiro de husillo, plancha y pistones para limpieza </t>
  </si>
  <si>
    <t xml:space="preserve">Se espera que realicen limpieza y se vuelve a armar </t>
  </si>
  <si>
    <t>Creación de recetas para productos de chocolatier</t>
  </si>
  <si>
    <t>Se retiró plancha y husillo por limpieza y se volvió armar ya estando limpios</t>
  </si>
  <si>
    <t>Se verifo temperatura de agua en chaquetas , se encendido bomba de chocolate y se dió seguimiento se indicó a producción para que puedan temperar</t>
  </si>
  <si>
    <t>Calibración de selladores y plegadores</t>
  </si>
  <si>
    <t>Variación de temperatura en mordaza</t>
  </si>
  <si>
    <t xml:space="preserve">Se realizó limpieza y regulación de posición de carbones </t>
  </si>
  <si>
    <t>Revisión de funcionamiento de bomba de masa, prueba en vacio</t>
  </si>
  <si>
    <t>Sellado sale mal, cajas se pegan</t>
  </si>
  <si>
    <t>Se regulo piezas y se realizó pruebas, se modifico temperaturas</t>
  </si>
  <si>
    <t>Papel se arruga, brazo de módulo de corte suelto</t>
  </si>
  <si>
    <t xml:space="preserve">Se regulo brazo de módulo de corte, se realizó pruebas </t>
  </si>
  <si>
    <t>Ruido en mordazas , alarma de empujador</t>
  </si>
  <si>
    <t xml:space="preserve">Se borró alarma , se hizo homing y se regulo presión de mordazas </t>
  </si>
  <si>
    <t>Variación constante en temperatura de mordazas superior.</t>
  </si>
  <si>
    <t xml:space="preserve">Se revisó carbones y colector de mordazas, se realizó limpieza de carbones y se ajustó borneras de resistencia </t>
  </si>
  <si>
    <t>Se revisó y se dió seguimiento al funcionamiento de bomba de descarga.</t>
  </si>
  <si>
    <t xml:space="preserve">Traslado de mobiliario a pedido de jefe de mantenimiento </t>
  </si>
  <si>
    <t>Inspección de linea automática bw system</t>
  </si>
  <si>
    <t>Se desarma equipo ara límpieza</t>
  </si>
  <si>
    <t>No sale relleno de una de las boquillas de la mds</t>
  </si>
  <si>
    <t>Se retiró plancha y husillo para limpieza, se limpio módulo de cremas y armó mds</t>
  </si>
  <si>
    <t>Calefactor se cae</t>
  </si>
  <si>
    <t>Pistón de gas rendido, se apoyo en cambio de pistón para evitar caída de calefactor</t>
  </si>
  <si>
    <t>Apoyo con la calibración en máquina.</t>
  </si>
  <si>
    <t>Se revisó y se realizó ajustes en el elevador y corte de laminado.</t>
  </si>
  <si>
    <t>Pistón gastado y/o rendido, no soporta el peso de calefactor en máquina.</t>
  </si>
  <si>
    <t>Se retiró y se reemplazo pistón.</t>
  </si>
  <si>
    <t>Inspección de bomba de temperadora de bañadora</t>
  </si>
  <si>
    <t>Se reviso el consumo de corriente , 5.5 amperios con carga chocolate temperado</t>
  </si>
  <si>
    <t xml:space="preserve">Temperadora bloqueada, no cae chocolate a samfill </t>
  </si>
  <si>
    <t xml:space="preserve">Revisión de filtro y calentamiento de tuberías </t>
  </si>
  <si>
    <t>Fuga de agua en temperadora</t>
  </si>
  <si>
    <t>Revisión de bomba de retorno de agua helada.</t>
  </si>
  <si>
    <t xml:space="preserve">Faja se detiene </t>
  </si>
  <si>
    <t xml:space="preserve">Se ajusta contactos en tablero de control </t>
  </si>
  <si>
    <t>Pernos dañado en tolva de descarga.</t>
  </si>
  <si>
    <t>Se revisó y se reemplazo perno inmediatamente.</t>
  </si>
  <si>
    <t xml:space="preserve">No corta </t>
  </si>
  <si>
    <t xml:space="preserve">Se realiza inspección de sellador y se observa q la cuchilla perdió de aderencia contra el plástico se realizó limpieza </t>
  </si>
  <si>
    <t xml:space="preserve">Se realiza cambio de formato x50 </t>
  </si>
  <si>
    <t xml:space="preserve">Manija de camara de frio de segundo piso en mal estado </t>
  </si>
  <si>
    <t xml:space="preserve">Se realiza cambio de manija </t>
  </si>
  <si>
    <t xml:space="preserve">Se lleva pinzas al taller para cnio de goma </t>
  </si>
  <si>
    <t xml:space="preserve">Mancha goma </t>
  </si>
  <si>
    <t xml:space="preserve">Se calibrar dosificacion de goma en equipo </t>
  </si>
  <si>
    <t xml:space="preserve">Se arma equipo </t>
  </si>
  <si>
    <t xml:space="preserve">Guias sueltas </t>
  </si>
  <si>
    <t xml:space="preserve">Se realiza ajuste de guias en equipo demostrado los laterales </t>
  </si>
  <si>
    <t>06:54</t>
  </si>
  <si>
    <t>Requieren limpieza de módulo mds</t>
  </si>
  <si>
    <t>Se desarmo mds formato agregados x100</t>
  </si>
  <si>
    <t>Equipo no arranca manda alarma</t>
  </si>
  <si>
    <t>Se realizó limpieza de parte baja se retiró guardas y se habilitó</t>
  </si>
  <si>
    <t>06:32</t>
  </si>
  <si>
    <t>Malla salta con quita cola</t>
  </si>
  <si>
    <t>Se reviso y chocolate estaba muy espeso, se colocó a calentar y temperar nuevamente</t>
  </si>
  <si>
    <t>05:47</t>
  </si>
  <si>
    <t>Se realiza inspección en sistema de pozos de agua potable y chillers</t>
  </si>
  <si>
    <t xml:space="preserve">Se realiza el llenado de pozo de chillers </t>
  </si>
  <si>
    <t>Equipo no inicia</t>
  </si>
  <si>
    <t>Se abrió tablero se restableció llaves y se habilitó equipo</t>
  </si>
  <si>
    <t>Se colocó piezas en posición y se habilitó maquina</t>
  </si>
  <si>
    <t xml:space="preserve">Falta de receta en rayos x </t>
  </si>
  <si>
    <t>Se realiza creación de receta en rayos x pelota,alpaca y barra x80</t>
  </si>
  <si>
    <t>Apoyo en limpieza y orden de taller</t>
  </si>
  <si>
    <t xml:space="preserve">Traslado de accesorios a tacho de chatarras </t>
  </si>
  <si>
    <t>Corte de laminado sale de diferentes tamaños.</t>
  </si>
  <si>
    <t xml:space="preserve">Se modifica freno, se coloca espárrago y tuerca para mejorar la calibración </t>
  </si>
  <si>
    <t>Arranque de planta</t>
  </si>
  <si>
    <t>Se encendió equipos de vapor agua y aire.</t>
  </si>
  <si>
    <t>Cambio de formato en MDS, de agregados x50 a fondy menta</t>
  </si>
  <si>
    <t>Se desarma equipo y se vuelve a armar para crema</t>
  </si>
  <si>
    <t xml:space="preserve">Se apoya en faja de bañadora </t>
  </si>
  <si>
    <t xml:space="preserve">Seguimiento proceso de cocción y verificación de vacío </t>
  </si>
  <si>
    <t>Problema de alarma en la tina</t>
  </si>
  <si>
    <t>Se realizó cambio de sensor, y se realizó pruebas</t>
  </si>
  <si>
    <t xml:space="preserve">Cyclop columna fría </t>
  </si>
  <si>
    <t xml:space="preserve">Se realiza el caliéntamiento correspondiente de la máquina y se resetea variador </t>
  </si>
  <si>
    <t>Fuga de glucosa por valvula de tuberia</t>
  </si>
  <si>
    <t>Se desarmo válvula, se llevó a taller, se soldo eje roto, se armó válvula J</t>
  </si>
  <si>
    <t xml:space="preserve">Guarda de soldada </t>
  </si>
  <si>
    <t xml:space="preserve">Se realiza soldadura en guarda y se deja en equipo </t>
  </si>
  <si>
    <t>Tanques de chocolate se encuentran fríos. No sé puede bombear chocolate a temperadora.</t>
  </si>
  <si>
    <t>Se revisó y encendió sistema de calefacción de tanques. Se informó a jefe de mantenimiento y a supervisor de producción. Ya que demoraría el calentamiento de tanques.</t>
  </si>
  <si>
    <t xml:space="preserve">Apoyo en máquina con la operación y carga de producto </t>
  </si>
  <si>
    <t>Se dió seguimiento al funcionamiento y operación en máquina.</t>
  </si>
  <si>
    <t>Bandas de transporte no avanzan.</t>
  </si>
  <si>
    <t xml:space="preserve">Se revisó y se tensó banda principal </t>
  </si>
  <si>
    <t xml:space="preserve">Túnel de enfriamiento no llega a seteado puesto </t>
  </si>
  <si>
    <t xml:space="preserve">Se realiza seguimiento de presiones y recarga de gas </t>
  </si>
  <si>
    <t>Faja de túnel se encuentra desalineada</t>
  </si>
  <si>
    <t>Se calibra posición de sensores y se ajusta rascadores de los polines</t>
  </si>
  <si>
    <t>Planchas chocan con el disco, sensor de empujadores se encuentra dañado.</t>
  </si>
  <si>
    <t>Calibración posición de planchas y cambio de sensor.</t>
  </si>
  <si>
    <t xml:space="preserve">Creación de receta para bombon ron </t>
  </si>
  <si>
    <t>Problemas en temperadora, no enfría tanque de agua fria</t>
  </si>
  <si>
    <t xml:space="preserve">Se reviso compresor , se cargó gas refrigerante, se dejó temperando </t>
  </si>
  <si>
    <t xml:space="preserve">Se realiza encendido de llave de seguridad </t>
  </si>
  <si>
    <t xml:space="preserve">Se restablece guardamotor y se da seguimiento de consumo de corriente durante temperado </t>
  </si>
  <si>
    <t>Bomba pierde presión.</t>
  </si>
  <si>
    <t>Se revisó y se hizo el cambio de bomba y cierre de válvulas.</t>
  </si>
  <si>
    <t>Equipo no enciende y no gira.</t>
  </si>
  <si>
    <t>Se revisó tablero eléctrico y transmisión mecánica.</t>
  </si>
  <si>
    <t xml:space="preserve">Se saca husillo para limpieza </t>
  </si>
  <si>
    <t>Sale alarma constantemente de problemas con bomba de tina de samfill</t>
  </si>
  <si>
    <t>Se revisa sensor, voltajes y tablero</t>
  </si>
  <si>
    <t>Válvula dañada , fuga de glucosa</t>
  </si>
  <si>
    <t>Se cerró válvula de salida de tanque de glucosa para posterior reparacion</t>
  </si>
  <si>
    <t>Explicación y apoyo  en regulación de tensión de bobina</t>
  </si>
  <si>
    <t xml:space="preserve">Bomba de agua potable descebada </t>
  </si>
  <si>
    <t xml:space="preserve">Se cebo bomba </t>
  </si>
  <si>
    <t>Se apoyó en encendido de equipo , se inició en perfil avanzado</t>
  </si>
  <si>
    <t xml:space="preserve">Temperatura de túnel no llega a su setpoin </t>
  </si>
  <si>
    <t xml:space="preserve">Se agrega un poco de refrigerante y se informa para realizar compra y agregar más </t>
  </si>
  <si>
    <t>Calibración para formato x18</t>
  </si>
  <si>
    <t>Cambio de formato de pisco x18 a pisco x9</t>
  </si>
  <si>
    <t xml:space="preserve">Cambio de piezas y calibración de laminado </t>
  </si>
  <si>
    <t>Temperatura de mordazas varian</t>
  </si>
  <si>
    <t>Se retiró guarda y verifo estado de sensores y borneras , se limpio carboness</t>
  </si>
  <si>
    <t xml:space="preserve">Se apoyó regulando velocidad de fajas guías , se dió seguimiento </t>
  </si>
  <si>
    <t>Se cambia formato x90</t>
  </si>
  <si>
    <t>SISTEMA DE MECANIZADO DE ENCAJADO MANUAL</t>
  </si>
  <si>
    <t>Se cambia formato x180</t>
  </si>
  <si>
    <t xml:space="preserve">Pozo se queda vacío, corte de agua </t>
  </si>
  <si>
    <t xml:space="preserve">Se activa potabilización y llenado de pozos  </t>
  </si>
  <si>
    <t>Bomba de agua potable descebada</t>
  </si>
  <si>
    <t xml:space="preserve">Se cebó bomba de agua potable , bomba de potabilización y se restableció el flujo de agua caliente </t>
  </si>
  <si>
    <t>Desarmado de formato cremas de mds para limpieza</t>
  </si>
  <si>
    <t>Armado de formato cremas de mds</t>
  </si>
  <si>
    <t xml:space="preserve">Se realiza sebado de bomba de presión constante </t>
  </si>
  <si>
    <t xml:space="preserve">Se apoya en equipo </t>
  </si>
  <si>
    <t xml:space="preserve">Se cambia formato a mds a a cremas redondas </t>
  </si>
  <si>
    <t xml:space="preserve">Se cambia formato a cremas ovaladas </t>
  </si>
  <si>
    <t xml:space="preserve">Lavado de filtro y calentamiento de tuberías </t>
  </si>
  <si>
    <t xml:space="preserve">Apoyó a técnico de turno en intervención en máquina </t>
  </si>
  <si>
    <t xml:space="preserve">Flowpack no sella </t>
  </si>
  <si>
    <t>Se apoya calibración de flowpack 2</t>
  </si>
  <si>
    <t>Contraelevador tiene rose con pinzas, banda se mueve a un costado</t>
  </si>
  <si>
    <t xml:space="preserve">Se endereza contraelevador, se regula posición de bandas </t>
  </si>
  <si>
    <t>Producto sale manchado con goma, no pega bien un costado, producto se atasca en volteador de producto</t>
  </si>
  <si>
    <t>Se regulo parámetros de goma y se realizó pruebas, se modifico dosificación de goma, se regulo posición de piezas</t>
  </si>
  <si>
    <t xml:space="preserve">No sé separan las fajas de arrastre </t>
  </si>
  <si>
    <t xml:space="preserve">Se  calibrar fajas de arrastre </t>
  </si>
  <si>
    <t>Cambio de plancha de fondy menta a crema redonda en mds</t>
  </si>
  <si>
    <t xml:space="preserve">Laminado se arruga constantemente </t>
  </si>
  <si>
    <t xml:space="preserve">Calibración de altura de corte de laminado y altura de contraelevador </t>
  </si>
  <si>
    <t>Fuga de crema en plancha de módulo mds, falla de actuador a10, habilitación de mds</t>
  </si>
  <si>
    <t>Se ajusta bien plancha de módulo, se regula aire de actuador y posición de sensor</t>
  </si>
  <si>
    <t xml:space="preserve">Se realiza el cambio de pozos de agua potable </t>
  </si>
  <si>
    <t>Llenado de pozo, desde pozo del exterior</t>
  </si>
  <si>
    <t>Inspección de bomba inoperativa</t>
  </si>
  <si>
    <t xml:space="preserve">Requiere habilitación de extensión para tercero </t>
  </si>
  <si>
    <t xml:space="preserve">Soldadura en tubería de retorno de caldera </t>
  </si>
  <si>
    <t xml:space="preserve">Verificación de freno y ajuste </t>
  </si>
  <si>
    <t>Apoyo en habilitación de equipo</t>
  </si>
  <si>
    <t xml:space="preserve">Inspección de bomba de descarga </t>
  </si>
  <si>
    <t xml:space="preserve">Cuchilla no corta el laminado </t>
  </si>
  <si>
    <t xml:space="preserve">Se regulo cuchilla </t>
  </si>
  <si>
    <t xml:space="preserve">No sella una esquina de laminado </t>
  </si>
  <si>
    <t xml:space="preserve">Configuración de parámetros de temperatura de mordaza </t>
  </si>
  <si>
    <t>Cambio de formato de pisco a minimilky.</t>
  </si>
  <si>
    <t>Se reemplazo las piezas de máquina para dicho formato (minimilky). Se calibró sellado y corte de laminado.</t>
  </si>
  <si>
    <t xml:space="preserve">Se desarma barquillera para limpieza </t>
  </si>
  <si>
    <t>Cambio de formato y calibración para pisco x9</t>
  </si>
  <si>
    <t xml:space="preserve">Se apoya armando equipo sacmi </t>
  </si>
  <si>
    <t>Mejorar el frenado de laminado. Darle seguimiento al funcionamiento de máquina con producto.</t>
  </si>
  <si>
    <t xml:space="preserve">Se revisó y se calibró ángulo de frenado. También se modifico el eje de regulación del frenado. Se realizó pruebas y se dió seguimiento </t>
  </si>
  <si>
    <t>Se cambia formato de cremas a agregado x100</t>
  </si>
  <si>
    <t xml:space="preserve">Pegado de goma irregular </t>
  </si>
  <si>
    <t xml:space="preserve">Se retiró boquillas dosificadoras de goma se realizó limpieza de bujes , se montó y calibro </t>
  </si>
  <si>
    <t>Agitador de tina no se mueve.</t>
  </si>
  <si>
    <t>Se revisó y se observo piezas dañada en la trasmisión. Se retiró pieza para su reparación.</t>
  </si>
  <si>
    <t xml:space="preserve">Se arma imán de molino de villas </t>
  </si>
  <si>
    <t xml:space="preserve">Apoyó en arranque de máquina y ajustes </t>
  </si>
  <si>
    <t xml:space="preserve">Tomacorrientes primer piso lado tostador sin energía </t>
  </si>
  <si>
    <t xml:space="preserve">Se verifica tomacorrientes en mal estado y extenciones en corto se realiza la corrección correspondiente </t>
  </si>
  <si>
    <t xml:space="preserve">Se regula posición de sensores de alineamiento automático </t>
  </si>
  <si>
    <t xml:space="preserve">Se desarma iman de molino de villas </t>
  </si>
  <si>
    <t xml:space="preserve">Variación de temperatura en mordaza, problemas con tensión de bobina </t>
  </si>
  <si>
    <t>Se realizó limpieza de colector y carbones, se regulo tensión para bobina nueva, se realizó pruebas</t>
  </si>
  <si>
    <t>Traslado de equipo nuevo (encubadora).</t>
  </si>
  <si>
    <t>Se revisó y se traslado el equipo a laboratorio.</t>
  </si>
  <si>
    <t>Bajo nivel de refrigerante en túnel de enfriamiento.</t>
  </si>
  <si>
    <t>Se revisó y se aumentó refrigerante a compresor. Se dió seguimiento al funcionamiento de túnel y máquina.</t>
  </si>
  <si>
    <t>Bajar mesa de producción (5to piso) y trasladarlo a local anexó.</t>
  </si>
  <si>
    <t>Se traslado mesa a local anexo</t>
  </si>
  <si>
    <t>Revision de freno de bobina</t>
  </si>
  <si>
    <t>Se apoyó con la impieza de bajas y regulación de temperatura y presion</t>
  </si>
  <si>
    <t>Cae poco chocolate a tina</t>
  </si>
  <si>
    <t xml:space="preserve">Se retiro filtro para limpieza, se espero y se volvió a colocar y verificar funcionamiento </t>
  </si>
  <si>
    <t>Ruido por zona de bomba</t>
  </si>
  <si>
    <t>Se reviso transmisión, se limpio zona y se lubrica, se eliminó ruido</t>
  </si>
  <si>
    <t xml:space="preserve">Apoyó en purga de chocolate en tuberías </t>
  </si>
  <si>
    <t>Se regulo separación de mesa y corte de abrefacil</t>
  </si>
  <si>
    <t>Contraelevador torcido a un lado</t>
  </si>
  <si>
    <t>Se endereza y se realiza cambio de pernos de ajuste</t>
  </si>
  <si>
    <t>Impresora no inicia</t>
  </si>
  <si>
    <t xml:space="preserve">Se forzó arranque de chorro, se inicializo funcionamiento </t>
  </si>
  <si>
    <t>LOCAL ANEXO</t>
  </si>
  <si>
    <t>Se apoyó con el desatorr de la tubería del elevador neumático de cacao</t>
  </si>
  <si>
    <t xml:space="preserve">Apoyó en configuración de mensajes </t>
  </si>
  <si>
    <t xml:space="preserve">Banda atascada, sale error no avanza </t>
  </si>
  <si>
    <t>Se retiro guardas, se realizó limpieza y se volvió a armar equioo</t>
  </si>
  <si>
    <t xml:space="preserve">Faja se va a un lado </t>
  </si>
  <si>
    <t xml:space="preserve">Se realiza inspección y búsqueda de falla en túnel </t>
  </si>
  <si>
    <t>Se cambia formato sapal x100</t>
  </si>
  <si>
    <t>Cambio de formato a milky x10</t>
  </si>
  <si>
    <t xml:space="preserve">No enfría túnel de moldeo manual </t>
  </si>
  <si>
    <t xml:space="preserve">Se apoya con recarga de refrigerante en equipo </t>
  </si>
  <si>
    <t>Cajas se pegan</t>
  </si>
  <si>
    <t>Túnel no baja de 20°</t>
  </si>
  <si>
    <t xml:space="preserve">Se agrega refrigerante a compresor y se verifica funcionamiento </t>
  </si>
  <si>
    <t xml:space="preserve">Piensa torcida </t>
  </si>
  <si>
    <t xml:space="preserve">Se rectificar pinza y se deja operativo </t>
  </si>
  <si>
    <t xml:space="preserve">Desarmado MDS para limpieza </t>
  </si>
  <si>
    <t xml:space="preserve">No pega etiqueta </t>
  </si>
  <si>
    <t xml:space="preserve">Se realiza limpieza y se calibrar cerdas de agarre </t>
  </si>
  <si>
    <t>Verificación de funcionamiento de equipo. Revisión de estado de freno</t>
  </si>
  <si>
    <t xml:space="preserve">Guillotina no corta </t>
  </si>
  <si>
    <t xml:space="preserve">Se realiza afilado y ajustes de guillotina </t>
  </si>
  <si>
    <t xml:space="preserve">Limpieza de taller </t>
  </si>
  <si>
    <t xml:space="preserve">Cambio de formato a 100 </t>
  </si>
  <si>
    <t>Empaquetado sale mal</t>
  </si>
  <si>
    <t>Modificacion de medidas, para mejorar empaquetamiento</t>
  </si>
  <si>
    <t>Faja de carga no gira</t>
  </si>
  <si>
    <t xml:space="preserve">Limpieza de polines y verificación de funcionamiento </t>
  </si>
  <si>
    <t xml:space="preserve">Codificadora no inicia, error de tinta y aditivo </t>
  </si>
  <si>
    <t>Se retira tinta con boquilla dañada y se inicializa</t>
  </si>
  <si>
    <t xml:space="preserve">Climatizador gotea </t>
  </si>
  <si>
    <t>Se cambia de modo de enfriamiento</t>
  </si>
  <si>
    <t>Cangilones no avanzan</t>
  </si>
  <si>
    <t xml:space="preserve">Se vuelve a cargar receta </t>
  </si>
  <si>
    <t xml:space="preserve">Laminado chueco </t>
  </si>
  <si>
    <t xml:space="preserve">Se realiza seguimiento y pruebas en equipo </t>
  </si>
  <si>
    <t>Cambio de formato de pisco x9 a milky x 10</t>
  </si>
  <si>
    <t xml:space="preserve">Se coloco piezas de milky x 10 y se calibro equipo </t>
  </si>
  <si>
    <t>Armado de máquina y encendido de la misma.</t>
  </si>
  <si>
    <t>Cambio de formato para bitesize size</t>
  </si>
  <si>
    <t xml:space="preserve">Se apoyo a técnico de turno con el cambio de formato en máquina </t>
  </si>
  <si>
    <t>Se encendió equipos y se habilitó líneas de vapor, agua y aire.</t>
  </si>
  <si>
    <t>Se realiza cambio de formato de bate size a mini milky</t>
  </si>
  <si>
    <t>Se arma mds para formato cremas milki relleno</t>
  </si>
  <si>
    <t xml:space="preserve">Se continúa las pruebas correspondientes </t>
  </si>
  <si>
    <t xml:space="preserve">Colocación de guardas y polines </t>
  </si>
  <si>
    <t>12:35</t>
  </si>
  <si>
    <t>Se cambia formato a enselofanadora x90</t>
  </si>
  <si>
    <t xml:space="preserve">Laminado sale hacia un lado, cuchilla no corta completamente </t>
  </si>
  <si>
    <t>Se ajusto profundidad de fajas de desbobinado, se regulo cuchilla</t>
  </si>
  <si>
    <t>Cambio de formato de pisco x 9 a milky x 10</t>
  </si>
  <si>
    <t xml:space="preserve">Se retiro piezas de formato anterior </t>
  </si>
  <si>
    <t xml:space="preserve">Laminado se sale de los discos </t>
  </si>
  <si>
    <t xml:space="preserve">Retirar guardas del elevador de cacao para su limpieza </t>
  </si>
  <si>
    <t xml:space="preserve">Se retiró polines de reflon y se sacó las guardas de la banda, para su limpieza </t>
  </si>
  <si>
    <t xml:space="preserve">Retiro de guardas y polines para limpieza </t>
  </si>
  <si>
    <t xml:space="preserve">Goma no se dosifica correctamente </t>
  </si>
  <si>
    <t xml:space="preserve">Se retiró boquillas dosificadoras y se realizó la limpieza y regulación, se montó boquillas en máquina y se hizo pruebas </t>
  </si>
  <si>
    <t xml:space="preserve">Se calibrar fajas </t>
  </si>
  <si>
    <t xml:space="preserve">Armado de túnel de pre enfriamiento </t>
  </si>
  <si>
    <t xml:space="preserve">Hmi no enciende </t>
  </si>
  <si>
    <t xml:space="preserve">Revisión de circuito eléctrico </t>
  </si>
  <si>
    <t>Revisar depósito de condensado del sistema de climatizacion</t>
  </si>
  <si>
    <t xml:space="preserve">Se libero obstrucción del depósito y se habilito equipo </t>
  </si>
  <si>
    <t xml:space="preserve">Se remplazo resortes y se regulo cuchilla se hizo pruebas </t>
  </si>
  <si>
    <t xml:space="preserve">Conector neumático roto. </t>
  </si>
  <si>
    <t xml:space="preserve">Se busca en taller y se reemplaza </t>
  </si>
  <si>
    <t>Temperatura alta en ambiente de toffe</t>
  </si>
  <si>
    <t xml:space="preserve">Se reviso el funcionamiento de extractor, sistema de climatización y sistema de ventilación forzado </t>
  </si>
  <si>
    <t xml:space="preserve">Se realiza inspección ha temperadora de hacos 1 </t>
  </si>
  <si>
    <t xml:space="preserve">Se arma netzsch para su uso </t>
  </si>
  <si>
    <t xml:space="preserve">Lubricación de cadena </t>
  </si>
  <si>
    <t>En samfill no aparece ningún Parámetro</t>
  </si>
  <si>
    <t>Se verifica cable de red</t>
  </si>
  <si>
    <t xml:space="preserve">Se retiró piezas y mangueras para su limpieza </t>
  </si>
  <si>
    <t>Cuchilla no corta , tirante roto</t>
  </si>
  <si>
    <t xml:space="preserve">Se retiró y se calibro  módulo de cuchilla , se remplazo tirando por uno de otro formato, se hizo pruebas </t>
  </si>
  <si>
    <t xml:space="preserve">Se realiza desarmado y armado de formato en mds </t>
  </si>
  <si>
    <t>08:46</t>
  </si>
  <si>
    <t xml:space="preserve">Cambio de controladores de temperatura </t>
  </si>
  <si>
    <t xml:space="preserve">Cambio y configuración de parámetros de controladores de temperatura </t>
  </si>
  <si>
    <t xml:space="preserve">Pieza doblada. Apoyo con la calibración de máquina para tableta de 50 gr exportación </t>
  </si>
  <si>
    <t>Se retiró pieza para enderezar y pulir. Luego se colocó piezas en posición y se calibró máquina.</t>
  </si>
  <si>
    <t xml:space="preserve">Se apoyó en el Desarme y armado de mds por limpieza </t>
  </si>
  <si>
    <t xml:space="preserve">No corta cuchilla </t>
  </si>
  <si>
    <t xml:space="preserve">Calibración de cuchillas </t>
  </si>
  <si>
    <t>14:52</t>
  </si>
  <si>
    <t xml:space="preserve">Cambio de dispensadores de papel y fluorescente </t>
  </si>
  <si>
    <t xml:space="preserve">Creación de receta a pedido de producción </t>
  </si>
  <si>
    <t>09:39</t>
  </si>
  <si>
    <t xml:space="preserve">Se apoyó calentando tuberías y se hizo pruebas </t>
  </si>
  <si>
    <t>Reemplazar perno dañado y ajustar bases.</t>
  </si>
  <si>
    <t xml:space="preserve">Se ajusto bases y se cambió turca y perno dañado </t>
  </si>
  <si>
    <t xml:space="preserve">No cae productoen proceso de cocción </t>
  </si>
  <si>
    <t xml:space="preserve">Confirmación de errores y seguimiento de proceso de descarga </t>
  </si>
  <si>
    <t xml:space="preserve">Mordaza corta laminado, se regula presión de mordaza </t>
  </si>
  <si>
    <t xml:space="preserve">No sella correctamente </t>
  </si>
  <si>
    <t xml:space="preserve">Se apoyó regulando temperatura de sellador lateral </t>
  </si>
  <si>
    <t>12:59</t>
  </si>
  <si>
    <t xml:space="preserve">Creación de receta </t>
  </si>
  <si>
    <t>Problemas en sensores</t>
  </si>
  <si>
    <t xml:space="preserve">Se regulo sensibilidad y se hizo pruebas </t>
  </si>
  <si>
    <t>Se llenó agua an tanques</t>
  </si>
  <si>
    <t>Se realiza inspección a equipo</t>
  </si>
  <si>
    <t>Sensor de temperatura dañado</t>
  </si>
  <si>
    <t xml:space="preserve">Se realiza el cambio de sensor y se dejó operativo </t>
  </si>
  <si>
    <t>Apoyo en desarmado de formato cremas en mds</t>
  </si>
  <si>
    <t>06:09</t>
  </si>
  <si>
    <t xml:space="preserve">Error de flama, no enciende </t>
  </si>
  <si>
    <t>Se confirma error en quemador y se verifica arranque de equipo</t>
  </si>
  <si>
    <t>17:31</t>
  </si>
  <si>
    <t>Pieza se mueve y hace que cuchilla choque con brazo de pinza</t>
  </si>
  <si>
    <t xml:space="preserve">Se desajusta  pieza y se regula posición con topes y se ajusta, se realizó pruebas </t>
  </si>
  <si>
    <t>Sensor desalineado</t>
  </si>
  <si>
    <t xml:space="preserve">Se realiza calibración de sensor </t>
  </si>
  <si>
    <t>12:25</t>
  </si>
  <si>
    <t xml:space="preserve">Baja presión de agua potable </t>
  </si>
  <si>
    <t xml:space="preserve">Cambio de pozo y encendido de bomba </t>
  </si>
  <si>
    <t>05:05</t>
  </si>
  <si>
    <t xml:space="preserve">COCINADORA 6 -FAMAIC </t>
  </si>
  <si>
    <t>Sensor de pocision de olla en mal estado</t>
  </si>
  <si>
    <t xml:space="preserve">Se necesita remplazar , no se encuentra en almacén </t>
  </si>
  <si>
    <t xml:space="preserve">Contraelevador desalineado </t>
  </si>
  <si>
    <t xml:space="preserve">Calibración de contraelevador </t>
  </si>
  <si>
    <t>Empujador roto</t>
  </si>
  <si>
    <t xml:space="preserve">Se lleva repuesto y se realiza cambio </t>
  </si>
  <si>
    <t>No sale un punto de goma</t>
  </si>
  <si>
    <t xml:space="preserve">Calibración altura de boquillas de goma </t>
  </si>
  <si>
    <t>19:42</t>
  </si>
  <si>
    <t xml:space="preserve">Banda se dañó, </t>
  </si>
  <si>
    <t>Se retiro guarda, se destenso correa, se realizó cambio de correa de transmisión, se realizó pruebas de funcionamiento y se realizó limpieza de area</t>
  </si>
  <si>
    <t>Desarmado de de MDS y armado para agregados x100</t>
  </si>
  <si>
    <t>Variación constante de temperatura en mordazas.</t>
  </si>
  <si>
    <t>Se realizó el cambio y adecuación de sistema de carbones en mordazas. Se dió seguimiento al funcionamiento con el nuevo sistema</t>
  </si>
  <si>
    <t>Apoyó en arranque de linea para chocolate doble</t>
  </si>
  <si>
    <t xml:space="preserve">Se regulo presión de mordazas , se regulo velocidad de fajas , se dió seguimiento </t>
  </si>
  <si>
    <t>Cambio de formato a 100</t>
  </si>
  <si>
    <t>15:52</t>
  </si>
  <si>
    <t xml:space="preserve">Calibración de posición de contraelevador </t>
  </si>
  <si>
    <t>Temperatura de moradazas varía 30°</t>
  </si>
  <si>
    <t>Limpieza de carbones y colector</t>
  </si>
  <si>
    <t>Calibración de inclinación de sellador y ajuste de presión inicial</t>
  </si>
  <si>
    <t>Variación de temperatura en mordaza parte superior</t>
  </si>
  <si>
    <t xml:space="preserve">Se realizó limpieza y llegó pruebas, se dejó pasando </t>
  </si>
  <si>
    <t>16:22</t>
  </si>
  <si>
    <t>Armado de formato cremas ovaladas en hacos 1</t>
  </si>
  <si>
    <t>09:06</t>
  </si>
  <si>
    <t>Solicitan goma.</t>
  </si>
  <si>
    <t xml:space="preserve">Se busca goma en almacén y se lleva a máquina </t>
  </si>
  <si>
    <t>14:27</t>
  </si>
  <si>
    <t>Cajas salen pegadas, no sella bien longseal</t>
  </si>
  <si>
    <t>Se regulo presión de cajas, se regulo temperatura y posición de sellado de longsal</t>
  </si>
  <si>
    <t>07:42</t>
  </si>
  <si>
    <t>Cambio de sensor inductivo</t>
  </si>
  <si>
    <t>17:34</t>
  </si>
  <si>
    <t xml:space="preserve">Pruebas de laminado nuevo lote, apoyo en regulación de temperatura y regulación de guiadores </t>
  </si>
  <si>
    <t xml:space="preserve">Se realizó el armado y habilitación de máquina </t>
  </si>
  <si>
    <t xml:space="preserve">Parada de emergencia accionada permanentemente </t>
  </si>
  <si>
    <t xml:space="preserve">Se remplazo botón de parada de emergencia </t>
  </si>
  <si>
    <t xml:space="preserve">Se reviso estado de faja de transmisión </t>
  </si>
  <si>
    <t xml:space="preserve">Armado de samfill </t>
  </si>
  <si>
    <t xml:space="preserve">Goma mancha etiqueta </t>
  </si>
  <si>
    <t xml:space="preserve">Calibración de altura de boquillas de goma </t>
  </si>
  <si>
    <t>Temperatura vuelve a tener variación en mordaza superior</t>
  </si>
  <si>
    <t>Se realiza limpieza y se modifica angulo de carbones</t>
  </si>
  <si>
    <t>20:27</t>
  </si>
  <si>
    <t>20:43</t>
  </si>
  <si>
    <t>Desmontaje de samfill para lavado de piezas</t>
  </si>
  <si>
    <t>Cambio de cuchilla</t>
  </si>
  <si>
    <t>Se realizó el cambio de cuchilla en máquina.</t>
  </si>
  <si>
    <t>No sella bien primero sellado, cajas salen pegadas</t>
  </si>
  <si>
    <t xml:space="preserve">Se regulo angulo de sellador y temperatura </t>
  </si>
  <si>
    <t xml:space="preserve">Ajustar cuchilla fija. No realiza el corte adecuado </t>
  </si>
  <si>
    <t>Se revisó y se ajusto cuchilla</t>
  </si>
  <si>
    <t>05:58</t>
  </si>
  <si>
    <t>Creación de recetas para turrón almendras, pistachos castaña.</t>
  </si>
  <si>
    <t xml:space="preserve">Cambio de porta carbones de mordaza superior y verificación de funcionamiento en vacío </t>
  </si>
  <si>
    <t xml:space="preserve">Cortinas de salida de planta dañadas </t>
  </si>
  <si>
    <t xml:space="preserve">Se busco material, se cortó y se perforó para realizar cambio, se realizó el cambio de </t>
  </si>
  <si>
    <t>10:48</t>
  </si>
  <si>
    <t>Parte de fondo de tina tiene chocolate solidificado, resistencias se encuentran apagadas.</t>
  </si>
  <si>
    <t xml:space="preserve">Verificación de circuito eléctrico, anulación de resistencia en corto y verificación de correcto funcionamiento </t>
  </si>
  <si>
    <t>17:16</t>
  </si>
  <si>
    <t>Tolva de agregados dañado por caida</t>
  </si>
  <si>
    <t>Se retiro tolva a taller y se enderezó piezas y tapas, se corrigió cableado y se retorno a su area</t>
  </si>
  <si>
    <t>Apoyo cambio de formato de 100 a 40</t>
  </si>
  <si>
    <t>16:07</t>
  </si>
  <si>
    <t xml:space="preserve">Pinza no sujeta bien papel </t>
  </si>
  <si>
    <t xml:space="preserve">Se reviso funcionamiento, se encontró pieza con desgaste, se fabrico nueva pieza usando pernos y soldadura, se reemplazo pieza y se probó funcionamiento </t>
  </si>
  <si>
    <t>Se desarmo formato de cremas y se armó formato de agregados x100</t>
  </si>
  <si>
    <t xml:space="preserve">Capacitación de Calibración para elementos faltantes </t>
  </si>
  <si>
    <t xml:space="preserve">Pinza no sujeta laminado </t>
  </si>
  <si>
    <t xml:space="preserve">Se apoya con la instalación de pieza en equipo </t>
  </si>
  <si>
    <t xml:space="preserve">Problemas constante son sensores </t>
  </si>
  <si>
    <t>Se realiza seguimiento y se encontró sensor suelto</t>
  </si>
  <si>
    <t>19:53</t>
  </si>
  <si>
    <t>20:26</t>
  </si>
  <si>
    <t>Cambio de formato de 40g a 50</t>
  </si>
  <si>
    <t>Se seguro sensibilidad para disminuir falsos  en receta barra 50g</t>
  </si>
  <si>
    <t>Armado de módulo MDS formato cremas</t>
  </si>
  <si>
    <t xml:space="preserve">Se armó módulo MDS y se habilitó máquina </t>
  </si>
  <si>
    <t>No dosifica goma</t>
  </si>
  <si>
    <t xml:space="preserve">Se limpio boquillas y se regulo dosificado , se dió seguimiento </t>
  </si>
  <si>
    <t>14:26</t>
  </si>
  <si>
    <t>14:51</t>
  </si>
  <si>
    <t>Problemas frecuentes con sensor b21</t>
  </si>
  <si>
    <t>Se reviso funcionamiento de sensores y empujadores, se encontró sensor de molde suelto, se ajusto posición y se realizó pruebas</t>
  </si>
  <si>
    <t xml:space="preserve">Se regulo presión de mordazas , se aumento temperatura de mordazas , se hizo pruebas </t>
  </si>
  <si>
    <t xml:space="preserve">Seguimiento de control de temperaturas de mordazas </t>
  </si>
  <si>
    <t>09:36</t>
  </si>
  <si>
    <t>09:58</t>
  </si>
  <si>
    <t>Reportan oring roto</t>
  </si>
  <si>
    <t xml:space="preserve">Se busca en almacén repuesto y se reemplaza en equipo </t>
  </si>
  <si>
    <t>13:01</t>
  </si>
  <si>
    <t>18:32</t>
  </si>
  <si>
    <t>18:54</t>
  </si>
  <si>
    <t xml:space="preserve">Problemas con cuchilla, no corta bien </t>
  </si>
  <si>
    <t>Se regulo presión de cuchilla y apertura, se corrigió posición de resorte</t>
  </si>
  <si>
    <t>19:16</t>
  </si>
  <si>
    <t>19:37</t>
  </si>
  <si>
    <t>Cuchilla no corta correctamente, no sale un punto de goma</t>
  </si>
  <si>
    <t>Se regulo cuchilla , se regulo puntos de goma</t>
  </si>
  <si>
    <t>Laminado se desplaza para un lado.</t>
  </si>
  <si>
    <t xml:space="preserve">Se calibra posición de bobina </t>
  </si>
  <si>
    <t xml:space="preserve">No hay retorno de chocolate, tanque vacío </t>
  </si>
  <si>
    <t>Se indica que llene tanque para restablecer bomba</t>
  </si>
  <si>
    <t>Bomba bloqueada, guarda motor protegido</t>
  </si>
  <si>
    <t>Se restableció guarda motor , se encendido bomba y se verifico la corriente de consumo</t>
  </si>
  <si>
    <t xml:space="preserve">Por momentos no sella el papel aluminio </t>
  </si>
  <si>
    <t xml:space="preserve">Calibración de sellador </t>
  </si>
  <si>
    <t>Se apoyó en regulación de puntos de goma</t>
  </si>
  <si>
    <t>22:53</t>
  </si>
  <si>
    <t>Reportan que quemador no enciende</t>
  </si>
  <si>
    <t xml:space="preserve">Se encendio quemador y se dió seguimiento </t>
  </si>
  <si>
    <t>15:16</t>
  </si>
  <si>
    <t>Armado de malla de equipo</t>
  </si>
  <si>
    <t xml:space="preserve">Se realiza armado para su funcionamiento </t>
  </si>
  <si>
    <t xml:space="preserve">Orden y limpieza en taller </t>
  </si>
  <si>
    <t>04:45</t>
  </si>
  <si>
    <t xml:space="preserve">Se reviso estado de cuchilla </t>
  </si>
  <si>
    <t>Orden y limpieza de herramientas y mesa de trabajo</t>
  </si>
  <si>
    <t>18:25</t>
  </si>
  <si>
    <t xml:space="preserve">Se destenso y se corrigió posición de banda, se modifico posición de polín tensador </t>
  </si>
  <si>
    <t>Se reviso medidas para el formato barra x50</t>
  </si>
  <si>
    <t>07:51</t>
  </si>
  <si>
    <t xml:space="preserve">Se apoya en instalación de la pieza en máquina </t>
  </si>
  <si>
    <t>16:02</t>
  </si>
  <si>
    <t>Preventivo semanal</t>
  </si>
  <si>
    <t>Creación de receta</t>
  </si>
  <si>
    <t>13:17</t>
  </si>
  <si>
    <t xml:space="preserve">No sella </t>
  </si>
  <si>
    <t>Se regulo sellador y se modifico angulo de sopladores, se realizó pruebas</t>
  </si>
  <si>
    <t>FORMADOR DE BOLAS</t>
  </si>
  <si>
    <t>15:12</t>
  </si>
  <si>
    <t>15:31</t>
  </si>
  <si>
    <t>Problema con receta de bombón curacao, detecta muchos falsos</t>
  </si>
  <si>
    <t>Se elimino receta y se creo nuevamente, se válido con calidad</t>
  </si>
  <si>
    <t>13:03</t>
  </si>
  <si>
    <t>Armado máquina y colocación de mordazas y cadena.</t>
  </si>
  <si>
    <t>Se colocó mordazas, guardas y se habilitó máquina.</t>
  </si>
  <si>
    <t xml:space="preserve">Apoyo con el armado de máquina </t>
  </si>
  <si>
    <t xml:space="preserve">Se apoyo con el armado de máquina </t>
  </si>
  <si>
    <t>05:37</t>
  </si>
  <si>
    <t>06:26</t>
  </si>
  <si>
    <t xml:space="preserve">Arranque de equipos de planta, se encendió caldero, chiller, bomba de agua y compresor </t>
  </si>
  <si>
    <t>MDS no calienta, fuga de aire en conector neumático de calefactor.</t>
  </si>
  <si>
    <t xml:space="preserve">Llenado de tanque de agua caliente en MDS y ajuste de conector neumático en calefactor </t>
  </si>
  <si>
    <t>Faja 5 no gira, faja 2 desalineada.</t>
  </si>
  <si>
    <t xml:space="preserve">Calibración de tensadores de faja y pruebas en modo manual </t>
  </si>
  <si>
    <t xml:space="preserve">Cajas se pegan </t>
  </si>
  <si>
    <t xml:space="preserve">Calibración de plegadores y pruebas </t>
  </si>
  <si>
    <t>09:19</t>
  </si>
  <si>
    <t>Armado y habilitación de equipo, se realizó cambio de cadena y colocación de rascadores de bandas</t>
  </si>
  <si>
    <t>Armado de formato cremas x50 en mds</t>
  </si>
  <si>
    <t>Fuga de chocolate por tuberías de tanque.</t>
  </si>
  <si>
    <t>Se revisó y se ajustó todas las uniones y conexiones del tanque.</t>
  </si>
  <si>
    <t>10:13</t>
  </si>
  <si>
    <t>Retiro de sensor de temperatura para calibración por parte de LO JUSTO</t>
  </si>
  <si>
    <t>No hay iluminación en zona de grageadora</t>
  </si>
  <si>
    <t xml:space="preserve">Se revisa tableros, se identifica llave diferencial accionada, se habilita llave, </t>
  </si>
  <si>
    <t>Revisión de niveles de pozos, y presión de trabajo de bombas de agua</t>
  </si>
  <si>
    <t xml:space="preserve">Toma de datos de colector eléctrico para la compra de repuestos </t>
  </si>
  <si>
    <t xml:space="preserve">Se tomó los datos necesarios solicitados para la compra de repuestos </t>
  </si>
  <si>
    <t>23:47</t>
  </si>
  <si>
    <t>Contraelevador tiene juego.</t>
  </si>
  <si>
    <t xml:space="preserve">Ajuste de pernos y verificación de estado de soporte de contraelevador </t>
  </si>
  <si>
    <t>06:47</t>
  </si>
  <si>
    <t xml:space="preserve">Solicitan cambio de formato </t>
  </si>
  <si>
    <t>Se alista piezas y módulo, módulo se encuentra sucio y se reporta a supervisor de producción para su respectiva limpieza</t>
  </si>
  <si>
    <t>07:09</t>
  </si>
  <si>
    <t>Revisión de funcionamiento, revisión de estado de tanques y temperadoras</t>
  </si>
  <si>
    <t>Punta de pistola desprendida, se retiro punta y se llevó a taller para pegarlo</t>
  </si>
  <si>
    <t>Se verifico velocidades de bandas y se regulo banda #8</t>
  </si>
  <si>
    <t>07:31</t>
  </si>
  <si>
    <t>07:49</t>
  </si>
  <si>
    <t>Equipo muy duro para empujar</t>
  </si>
  <si>
    <t>Se realizó limpieza a y se lubrico parte Movil</t>
  </si>
  <si>
    <t>06:17</t>
  </si>
  <si>
    <t>Llenado de pozo con agua blanda</t>
  </si>
  <si>
    <t>05:48</t>
  </si>
  <si>
    <t xml:space="preserve">Temperadora no enciende </t>
  </si>
  <si>
    <t xml:space="preserve">Se revisó y se encendió temperadora, se puso modo calentamiento </t>
  </si>
  <si>
    <t>Apoyo en máquina. Producto se junta y el equipo lo rechaza</t>
  </si>
  <si>
    <t xml:space="preserve">Se revisó equipo y se aumentó velocidad de banda de ingreso de 11,5  a. 13. Queda equipo trabajando correctamente </t>
  </si>
  <si>
    <t xml:space="preserve">Inspección de equipos en uso </t>
  </si>
  <si>
    <t>Se apoyo en la colocación de dispensadores</t>
  </si>
  <si>
    <t>Cambio de formato de cremas a agregados x50</t>
  </si>
  <si>
    <t xml:space="preserve">Se darlos formato de cremas , se apoyó con el lavado de piezas para formato agregados y se armó formato de agregados </t>
  </si>
  <si>
    <t xml:space="preserve">Orden y limpieza de taller, revision y reparación de utensilios </t>
  </si>
  <si>
    <t>Cajas se pegan entre si</t>
  </si>
  <si>
    <t>Se calibro  sellado , plegadores y ancho de mesa , se hizo pruebas</t>
  </si>
  <si>
    <t xml:space="preserve">Se realiza inspección de parámetros </t>
  </si>
  <si>
    <t>Se preparo y apoyó en el inicio de linea automática hacos 2 - sacmi</t>
  </si>
  <si>
    <t xml:space="preserve">Se realiza el desarmado de accesorios de la barquillera para limpieza </t>
  </si>
  <si>
    <t xml:space="preserve">Falta acolple </t>
  </si>
  <si>
    <t xml:space="preserve">Se realiza la entrega de acople y ajuste de faja de bañadora </t>
  </si>
  <si>
    <t xml:space="preserve">Falta agua en temperadora </t>
  </si>
  <si>
    <t xml:space="preserve">Se realiza el llenado de agua en tanques de temperadora </t>
  </si>
  <si>
    <t xml:space="preserve">Se arma sacmi </t>
  </si>
  <si>
    <t xml:space="preserve">Se realiza la inspección de equipos entregados </t>
  </si>
  <si>
    <t xml:space="preserve">Accesorio doblado en sensores </t>
  </si>
  <si>
    <t xml:space="preserve">Se realiza rectificacion correspondiente </t>
  </si>
  <si>
    <t>Se retiró guarda para la limpieza de polines. En zona de carga.</t>
  </si>
  <si>
    <t>Cuchilla no corta el laminado.</t>
  </si>
  <si>
    <t>Se encontró cuchilla suelta y sucia. Se retiró cuchilla para su limpieza y se colocó en posición correcta.</t>
  </si>
  <si>
    <t>No logran calibrar el sellado, el plegado se abre y se mueve.</t>
  </si>
  <si>
    <t xml:space="preserve">Se revisó y se ajusto banda de arrastre. Se alineó sellador y plegadores. Se realizó pruebas y se dejó máquina operativa </t>
  </si>
  <si>
    <t>Apoyo en tanque de chocolate.</t>
  </si>
  <si>
    <t>Se revisó tanque de chocolate, se coordino la limpieza del mismo</t>
  </si>
  <si>
    <t xml:space="preserve">No permite iniciar máquina </t>
  </si>
  <si>
    <t xml:space="preserve">Verificación de sensores. </t>
  </si>
  <si>
    <t xml:space="preserve">Lubricación </t>
  </si>
  <si>
    <t>22:16</t>
  </si>
  <si>
    <t xml:space="preserve">Calibración de tirante de cuchilla para formato mazapán </t>
  </si>
  <si>
    <t>Sonido extraño, papel aluminio sale demasiado largo, solo sale un punto de goma y etiquetas desalineadas</t>
  </si>
  <si>
    <t xml:space="preserve">Lubricación y calibración de equipo </t>
  </si>
  <si>
    <t xml:space="preserve">Producto se rompe en los selladores </t>
  </si>
  <si>
    <t>Calibración de selladores y medida 4</t>
  </si>
  <si>
    <t>Desarmado de MDS, formato dubai</t>
  </si>
  <si>
    <t xml:space="preserve">Limpieza de tablero eléctrico de tanque de almacenamiento </t>
  </si>
  <si>
    <t>No desbobina laminado</t>
  </si>
  <si>
    <t xml:space="preserve">Se regulo sensores de pedal y se realizó pruebas </t>
  </si>
  <si>
    <t xml:space="preserve">Desarme de samfill para limpieza </t>
  </si>
  <si>
    <t xml:space="preserve">Goma no dosifica correctamente </t>
  </si>
  <si>
    <t>Se limpio boquilla, se purgó goma , se retiró parte de impurezas , se regulo pocision de dosificador y sensor , se apoyó regulando puntos de goma</t>
  </si>
  <si>
    <t>Armado de samfill</t>
  </si>
  <si>
    <t xml:space="preserve">Cambio de formato flowpack 2 </t>
  </si>
  <si>
    <t>Se cambió formato de milky a bite size</t>
  </si>
  <si>
    <t xml:space="preserve">Inspección de equipo de aire acondicionado </t>
  </si>
  <si>
    <t xml:space="preserve">Se realiza inspección de equipos y parámetros </t>
  </si>
  <si>
    <t xml:space="preserve">Se arma napolitana para uso </t>
  </si>
  <si>
    <t xml:space="preserve">Jujecion de cortadora lineal no sujeta </t>
  </si>
  <si>
    <t xml:space="preserve">Se fabrica accesorio y se deja en el tercer piso </t>
  </si>
  <si>
    <t xml:space="preserve">Espuma de contra elevador dañado </t>
  </si>
  <si>
    <t xml:space="preserve">Se realiza el pegado de espuma y limpieza de bujes </t>
  </si>
  <si>
    <t xml:space="preserve">Se pega cajas </t>
  </si>
  <si>
    <t xml:space="preserve">Se realiza la calibración correspondiente </t>
  </si>
  <si>
    <t xml:space="preserve">No pega goma en etiqueta </t>
  </si>
  <si>
    <t xml:space="preserve">Se realiza la calibración y limpieza de boquilla en dosicacion de goma en equipo </t>
  </si>
  <si>
    <t xml:space="preserve">Se realiza ala limpieza correspondiente del sensor </t>
  </si>
  <si>
    <t xml:space="preserve">No desbobina laminado y cuchilla no corta </t>
  </si>
  <si>
    <t>CONTEO-NOMBRE</t>
  </si>
  <si>
    <t>INICIO</t>
  </si>
  <si>
    <t>FIN</t>
  </si>
  <si>
    <t>T.TOTAL</t>
  </si>
  <si>
    <t>MAQUINA / EQUIPO</t>
  </si>
  <si>
    <t>CLASIFICACION</t>
  </si>
  <si>
    <t>TIPO</t>
  </si>
  <si>
    <t>OBSERVACION</t>
  </si>
  <si>
    <t>ACT. CORRECTIVA</t>
  </si>
  <si>
    <t>CONTEO</t>
  </si>
  <si>
    <t>Maq.</t>
  </si>
  <si>
    <t>Maquinaria</t>
  </si>
  <si>
    <t>MAQUINARIA</t>
  </si>
  <si>
    <t>Area</t>
  </si>
  <si>
    <t>BAÑADORA 1</t>
  </si>
  <si>
    <t>BAÑADORA 2</t>
  </si>
  <si>
    <t>BARQUILLERA</t>
  </si>
  <si>
    <t>BATIDORA DE FONDANT</t>
  </si>
  <si>
    <t>CLOVER</t>
  </si>
  <si>
    <t>COCINA DE TOFFEE</t>
  </si>
  <si>
    <t>COD. MACSA</t>
  </si>
  <si>
    <t>CODIF. 4TO PISO</t>
  </si>
  <si>
    <t>CODIF. 5TO PISO</t>
  </si>
  <si>
    <t>CONCHA BAWERMEISTER</t>
  </si>
  <si>
    <t>CORTADORA DE CASTAÑA</t>
  </si>
  <si>
    <t>CORTADORA DE CENTROS</t>
  </si>
  <si>
    <t>Equipos auxiliares</t>
  </si>
  <si>
    <t>DETECTOR DE METALES</t>
  </si>
  <si>
    <t>EMP. CHOCOTECH</t>
  </si>
  <si>
    <t>EMPAQUETADORA 2</t>
  </si>
  <si>
    <t>EMPAQUETADORA AMP ROSE</t>
  </si>
  <si>
    <t>EMPAQUETADORA GD</t>
  </si>
  <si>
    <t>ENCEFALONADORA</t>
  </si>
  <si>
    <t>FAMAIC</t>
  </si>
  <si>
    <t>FLOWPACK 1</t>
  </si>
  <si>
    <t>FLOWPACK 2</t>
  </si>
  <si>
    <t>FORRADORA</t>
  </si>
  <si>
    <t>GIANINNI 1</t>
  </si>
  <si>
    <t>GIANNINI 3</t>
  </si>
  <si>
    <t>GIRADORA COLLMAN</t>
  </si>
  <si>
    <t>GRAGEADORA</t>
  </si>
  <si>
    <t>HACOS 2</t>
  </si>
  <si>
    <t>IMPRESORA LASER MACSA</t>
  </si>
  <si>
    <t>JAF INOX</t>
  </si>
  <si>
    <t>LAMINADORA</t>
  </si>
  <si>
    <t>MDS</t>
  </si>
  <si>
    <t>MELANGER</t>
  </si>
  <si>
    <t>METALMAQ</t>
  </si>
  <si>
    <t>MEZCLADOR LEHMAN</t>
  </si>
  <si>
    <t>MEZCLADORA BUHLER</t>
  </si>
  <si>
    <t>NAPOLITANA</t>
  </si>
  <si>
    <t>NOVA</t>
  </si>
  <si>
    <t>OTRO</t>
  </si>
  <si>
    <t>OTROS</t>
  </si>
  <si>
    <t>OTTO HANSEL</t>
  </si>
  <si>
    <t>PETRONCINI</t>
  </si>
  <si>
    <t>PICADOR DE CASTAÑA</t>
  </si>
  <si>
    <t>PLANTA PILOTO</t>
  </si>
  <si>
    <t>PROCESADORA BOXA</t>
  </si>
  <si>
    <t xml:space="preserve">QUEB. DE CACAO  </t>
  </si>
  <si>
    <t>27-2026</t>
  </si>
  <si>
    <t>Suma de T.TOTAL</t>
  </si>
  <si>
    <t>Etiquetas de columna</t>
  </si>
  <si>
    <t>Etiquetas de fila</t>
  </si>
  <si>
    <t>Total general</t>
  </si>
  <si>
    <t>Cuenta de M/E</t>
  </si>
  <si>
    <t>REFINADOR  LEHMAN</t>
  </si>
  <si>
    <t>REFINADOR BAWERMEISTER</t>
  </si>
  <si>
    <t>SACMI</t>
  </si>
  <si>
    <t>SALA DE CORRIDO</t>
  </si>
  <si>
    <t>SAPAL</t>
  </si>
  <si>
    <t>SELLADORA DE BOLSITAS</t>
  </si>
  <si>
    <t>SELLADORA ECOPACK</t>
  </si>
  <si>
    <t xml:space="preserve">TANQUE DE CHOCOLATE </t>
  </si>
  <si>
    <t>TANQUE DE PASTA GRUESA</t>
  </si>
  <si>
    <t>(Varios elementos)</t>
  </si>
  <si>
    <t xml:space="preserve">TANQUE PASTA FINA </t>
  </si>
  <si>
    <t>TOSTADOR CM</t>
  </si>
  <si>
    <t>Cuenta de TURNO</t>
  </si>
  <si>
    <t>RANGO</t>
  </si>
  <si>
    <t xml:space="preserve">MEDIO </t>
  </si>
  <si>
    <t>MAX</t>
  </si>
  <si>
    <t>LIMITE</t>
  </si>
  <si>
    <t>MIN</t>
  </si>
  <si>
    <t>Fecha</t>
  </si>
  <si>
    <t>📅</t>
  </si>
  <si>
    <t>RESUMEN DIARIO - MANTENIMIENTO</t>
  </si>
  <si>
    <t>Fabrica de Chocolates la Iberica</t>
  </si>
  <si>
    <t>Horas totales de mantenimiento</t>
  </si>
  <si>
    <t>Horas no programadas</t>
  </si>
  <si>
    <t>Intervenciones totales</t>
  </si>
  <si>
    <t>Equipo crtitico del dia</t>
  </si>
  <si>
    <t>Tasa de actividades programadas</t>
  </si>
  <si>
    <t>Tiempo</t>
  </si>
  <si>
    <t>Detalle</t>
  </si>
  <si>
    <t>Equipo</t>
  </si>
  <si>
    <t>PARETO</t>
  </si>
  <si>
    <t>AJUSTAR VALORES A PARETO - ARRASTRAR</t>
  </si>
  <si>
    <t>Total</t>
  </si>
  <si>
    <t>Porcentaje (%)</t>
  </si>
  <si>
    <t>Acumulado</t>
  </si>
  <si>
    <t>Hrs (0.00)</t>
  </si>
  <si>
    <t>Porcentaje</t>
  </si>
  <si>
    <t>(en blanco)</t>
  </si>
  <si>
    <t>** Selecciona el grafico y pasa el mouse por la tabla, arrastra hasta donde pertenezca</t>
  </si>
  <si>
    <t>CONSUMO</t>
  </si>
  <si>
    <t>ESTADO</t>
  </si>
  <si>
    <t>PORCENTAJE</t>
  </si>
  <si>
    <t>CONTADOR</t>
  </si>
  <si>
    <t>CONSUMO FORM</t>
  </si>
  <si>
    <t>GENERAL</t>
  </si>
  <si>
    <t>BAÑOS</t>
  </si>
  <si>
    <t>CALDERAS</t>
  </si>
  <si>
    <t>PTAR</t>
  </si>
  <si>
    <t>TANQUE DIESEL</t>
  </si>
  <si>
    <t>MV6</t>
  </si>
  <si>
    <t>MV9</t>
  </si>
  <si>
    <t>MV12</t>
  </si>
  <si>
    <t>ENERGIA</t>
  </si>
  <si>
    <t>POTENCIA ACTIVA</t>
  </si>
  <si>
    <t>CONCAT</t>
  </si>
  <si>
    <t>2026 - 7</t>
  </si>
  <si>
    <t>2026 - 6</t>
  </si>
  <si>
    <t>Suma de GENERAL
CAL</t>
  </si>
  <si>
    <t>Suma de LCC 
GENERAL</t>
  </si>
  <si>
    <t>Suma de ENERGIA</t>
  </si>
  <si>
    <t>Suma de LCC ENERGIA</t>
  </si>
  <si>
    <t>Suma de P.ACTIVA</t>
  </si>
  <si>
    <t>Suma de LCC  P.ACTIVA</t>
  </si>
  <si>
    <t>Maquina/ Equipo</t>
  </si>
  <si>
    <t>Clasif.</t>
  </si>
  <si>
    <t>Turno</t>
  </si>
  <si>
    <t>Hora de inicio</t>
  </si>
  <si>
    <t>Hora de fin</t>
  </si>
  <si>
    <t>Tiempo de atención</t>
  </si>
  <si>
    <t>Tipo de Actividad</t>
  </si>
  <si>
    <t>Descripcion de actividad</t>
  </si>
  <si>
    <t>Observaciones</t>
  </si>
  <si>
    <t>Nº</t>
  </si>
  <si>
    <t>NOMBRE</t>
  </si>
  <si>
    <t>&lt;</t>
  </si>
  <si>
    <t>LUNES</t>
  </si>
  <si>
    <t>ACTUALIZAR LAS 4 TABLAS</t>
  </si>
  <si>
    <t>SABADO</t>
  </si>
  <si>
    <t>HOY</t>
  </si>
  <si>
    <t>** MAYOR A 2 HORAS DE ATENCIÓN</t>
  </si>
  <si>
    <t xml:space="preserve">** SE CONSIDERO A LOS QUE TENGAN MAS DE 3 ATENCIONES </t>
  </si>
  <si>
    <t>1-lunes</t>
  </si>
  <si>
    <t>3-miércoles</t>
  </si>
  <si>
    <t>4-jueves</t>
  </si>
  <si>
    <t>5-viernes</t>
  </si>
  <si>
    <t>6-sábado</t>
  </si>
  <si>
    <t>FECHA REGISTRO</t>
  </si>
  <si>
    <t>POZOS Y OFICINAS</t>
  </si>
  <si>
    <t>BAÑOS Y OFICINAS</t>
  </si>
  <si>
    <t>SEDAPAR
GENERAL</t>
  </si>
  <si>
    <t>P.ACTIVA</t>
  </si>
  <si>
    <t>GENERAL
CAL</t>
  </si>
  <si>
    <t>POZOS
CAL</t>
  </si>
  <si>
    <t>BAÑOS
CAL</t>
  </si>
  <si>
    <t>CALDERAS
CAL</t>
  </si>
  <si>
    <t>PTAR
CAL</t>
  </si>
  <si>
    <t>SEDAPAR
CAL</t>
  </si>
  <si>
    <t>MV6
CAL</t>
  </si>
  <si>
    <t>MV9
CAL</t>
  </si>
  <si>
    <t>MV12
CAL</t>
  </si>
  <si>
    <t>TANQUE DE GLP</t>
  </si>
  <si>
    <t>SEMANA</t>
  </si>
  <si>
    <t>AÑO</t>
  </si>
  <si>
    <t>MES</t>
  </si>
  <si>
    <t>LCC 
GENERAL</t>
  </si>
  <si>
    <t>LCC ENERGIA</t>
  </si>
  <si>
    <t>LCC  P.ACTIVA</t>
  </si>
  <si>
    <t>Tecnicos</t>
  </si>
  <si>
    <t>Columna1</t>
  </si>
  <si>
    <t>Maquina2</t>
  </si>
  <si>
    <t>Clasificacion</t>
  </si>
  <si>
    <t>TIPO DE ACTIVIDAD</t>
  </si>
  <si>
    <t>Mes</t>
  </si>
  <si>
    <t>SEM-AÑO</t>
  </si>
  <si>
    <t>COD</t>
  </si>
  <si>
    <t>MAQUINA</t>
  </si>
  <si>
    <t>LINEA</t>
  </si>
  <si>
    <t>ABREVIATURA</t>
  </si>
  <si>
    <t>Carlos Tapia</t>
  </si>
  <si>
    <t>Tipos</t>
  </si>
  <si>
    <t>ENERO</t>
  </si>
  <si>
    <t>MQ-001</t>
  </si>
  <si>
    <t>Torrefactor de Cacao CARLE &amp; MONTANARI CM 3-50 (TT030)</t>
  </si>
  <si>
    <t>TOSTADO</t>
  </si>
  <si>
    <t>FEBRERO</t>
  </si>
  <si>
    <t>MQ-002</t>
  </si>
  <si>
    <t>Torrefactor de Cacao PETRONCINI TTA60</t>
  </si>
  <si>
    <t>Equipos</t>
  </si>
  <si>
    <t>MARZO</t>
  </si>
  <si>
    <t>MQ-003</t>
  </si>
  <si>
    <t>Quebrantador de Cacao 1 Jaf Inox</t>
  </si>
  <si>
    <t>ABRIL</t>
  </si>
  <si>
    <t>MQ-006</t>
  </si>
  <si>
    <t>Refinador de 3 Cilindros LEHMAN</t>
  </si>
  <si>
    <t>FÁBRICA_CHOCOLATE</t>
  </si>
  <si>
    <t>Refinador LEHMAN</t>
  </si>
  <si>
    <t>Jose Añari</t>
  </si>
  <si>
    <t>MAYO</t>
  </si>
  <si>
    <t>EDWIN HUAMANI</t>
  </si>
  <si>
    <t>Edwin Huamani</t>
  </si>
  <si>
    <t>Sistema</t>
  </si>
  <si>
    <t>JUNIO</t>
  </si>
  <si>
    <t>Vehiculos</t>
  </si>
  <si>
    <t>ALMACEN DE MANTENIMIENTO</t>
  </si>
  <si>
    <t>JULIO</t>
  </si>
  <si>
    <t>MQ-009</t>
  </si>
  <si>
    <t>Concha de Aspas</t>
  </si>
  <si>
    <t>Casa fuerza</t>
  </si>
  <si>
    <t>ALMACEN DE MATERIA PRIMA</t>
  </si>
  <si>
    <t>AGOSTO</t>
  </si>
  <si>
    <t>MQ-010</t>
  </si>
  <si>
    <t>Mezclador de 2 rodillos LEHMAN</t>
  </si>
  <si>
    <t>Mezclador LEHMAN</t>
  </si>
  <si>
    <t>SEPTIEMBRE</t>
  </si>
  <si>
    <t>MQ-011</t>
  </si>
  <si>
    <t>Refinador de 5 cilindros Bawermeister</t>
  </si>
  <si>
    <t>Refinador Bawermeister</t>
  </si>
  <si>
    <t>ASCENSORES</t>
  </si>
  <si>
    <t>OCTUBRE</t>
  </si>
  <si>
    <t>MQ-012</t>
  </si>
  <si>
    <t>Concha BAWERMEISTER</t>
  </si>
  <si>
    <t>NOVIEMBRE</t>
  </si>
  <si>
    <t>MQ-013</t>
  </si>
  <si>
    <t>Concha CLOVER 30 - N°1</t>
  </si>
  <si>
    <t>CLOVER 1</t>
  </si>
  <si>
    <t>DICIEMBRE</t>
  </si>
  <si>
    <t>MQ-014</t>
  </si>
  <si>
    <t>Concha CLOVER 30 - N°2</t>
  </si>
  <si>
    <t>CLOVER 2</t>
  </si>
  <si>
    <t>MQ-015</t>
  </si>
  <si>
    <t>Concha de Chocolate ELK</t>
  </si>
  <si>
    <t>MQ-017</t>
  </si>
  <si>
    <t xml:space="preserve">Molino de rebote y cizallamiento (SCS4) </t>
  </si>
  <si>
    <t>MQ-018</t>
  </si>
  <si>
    <t>Molino de Bolas (SCAA)</t>
  </si>
  <si>
    <t>MQ-019</t>
  </si>
  <si>
    <t>Tanque de Pasta Fina Estufado de Cacao 01</t>
  </si>
  <si>
    <t>TANQUE PASTA FINA 1</t>
  </si>
  <si>
    <t>MQ-020</t>
  </si>
  <si>
    <t>Tanque de Pasta Fina Estufado de Cacao 02</t>
  </si>
  <si>
    <t>TANQUE PASTA FINA 2</t>
  </si>
  <si>
    <t>BOMBA DE AGUA</t>
  </si>
  <si>
    <t>MQ-021</t>
  </si>
  <si>
    <t>Tanque de Pasta Gruesa de Cacao</t>
  </si>
  <si>
    <t>CALDERO</t>
  </si>
  <si>
    <t>MQ-022</t>
  </si>
  <si>
    <t>Tanque de Almacenamiento de Chocolate 1 Leche</t>
  </si>
  <si>
    <t>TANQUE DE CHOCOLATE 1</t>
  </si>
  <si>
    <t>MQ-023</t>
  </si>
  <si>
    <t>Estacion Térmica principal Rotoplás</t>
  </si>
  <si>
    <t>-</t>
  </si>
  <si>
    <t>MQ-024</t>
  </si>
  <si>
    <t>Mezcladora de doble  eje  SSHS40</t>
  </si>
  <si>
    <t>CHILLER</t>
  </si>
  <si>
    <t>MQ-025</t>
  </si>
  <si>
    <t>Volcador de Tanque NIMO-KG</t>
  </si>
  <si>
    <t xml:space="preserve">COCINADORA 1 -GIANINNI </t>
  </si>
  <si>
    <t>MQ-026</t>
  </si>
  <si>
    <t>Extractor de humos y polvo - Nederman</t>
  </si>
  <si>
    <t>MQ-027</t>
  </si>
  <si>
    <t>Refinadora 5 cilindros Buhler</t>
  </si>
  <si>
    <t>MQ-028</t>
  </si>
  <si>
    <t>Faja 1 Alimentación Refinador</t>
  </si>
  <si>
    <t xml:space="preserve">  </t>
  </si>
  <si>
    <t xml:space="preserve"> </t>
  </si>
  <si>
    <t>Lunes</t>
  </si>
  <si>
    <t>Martes</t>
  </si>
  <si>
    <t>Miércoles</t>
  </si>
  <si>
    <t>EUROCHILLER</t>
  </si>
  <si>
    <t>Jueves</t>
  </si>
  <si>
    <t>Viernes</t>
  </si>
  <si>
    <t>COMPRESORES</t>
  </si>
  <si>
    <t>MQ-030</t>
  </si>
  <si>
    <t>Horno de Conveccion NOVA</t>
  </si>
  <si>
    <t>Sábado</t>
  </si>
  <si>
    <t>MQ-031</t>
  </si>
  <si>
    <t xml:space="preserve">Batidora de Fondant </t>
  </si>
  <si>
    <t>TERCER_PISO</t>
  </si>
  <si>
    <t>Domingo</t>
  </si>
  <si>
    <t>MQ-033</t>
  </si>
  <si>
    <t>Batidora de Salva</t>
  </si>
  <si>
    <t>MQ-034</t>
  </si>
  <si>
    <t>Picador de Castaña</t>
  </si>
  <si>
    <t>CONCHAS CLOVER</t>
  </si>
  <si>
    <t>MQ-036</t>
  </si>
  <si>
    <t>Cocinadora / Mezcladora GIANINI</t>
  </si>
  <si>
    <t>GIANNINI 1</t>
  </si>
  <si>
    <t>MQ-037</t>
  </si>
  <si>
    <t>Mesa Vibradora 01</t>
  </si>
  <si>
    <t>MQ-038</t>
  </si>
  <si>
    <t>Mesa Vibradora 02</t>
  </si>
  <si>
    <t>MQ-039</t>
  </si>
  <si>
    <t>Refrigeradora #1 Almacén 3 cuerpos</t>
  </si>
  <si>
    <t>ALMACÉN INSUMOS</t>
  </si>
  <si>
    <t>MQ-040</t>
  </si>
  <si>
    <t>Refrigeradora #2 1 cuerpo</t>
  </si>
  <si>
    <t>MQ-041</t>
  </si>
  <si>
    <t>Refrigeradora #3 Almacén 1 cuerpo</t>
  </si>
  <si>
    <t>MQ-042</t>
  </si>
  <si>
    <t>Refrigeradora #4 2 cuerpos</t>
  </si>
  <si>
    <t>MQ-043</t>
  </si>
  <si>
    <t>Temperador KREUTER 01</t>
  </si>
  <si>
    <t>LÍNEA_BAÑADORA</t>
  </si>
  <si>
    <t>ELEVADOR DE GESTANTES</t>
  </si>
  <si>
    <t>MQ-044</t>
  </si>
  <si>
    <t>Temperador CHOCOTECH TP1</t>
  </si>
  <si>
    <t>MQ-045</t>
  </si>
  <si>
    <t>Tanque de Circulacion de Agua Caliente CHOCOTECH</t>
  </si>
  <si>
    <t>MQ-046</t>
  </si>
  <si>
    <t>Bañadora de chocolate CHOCOTECH S40</t>
  </si>
  <si>
    <t>MQ-047</t>
  </si>
  <si>
    <t>Codificador IMAJE 9450 FLOWPACK</t>
  </si>
  <si>
    <t>LÍNEA_EMPAQUE</t>
  </si>
  <si>
    <t>CODIFICADOR FLOWPACK 1</t>
  </si>
  <si>
    <t>EMP. GD</t>
  </si>
  <si>
    <t>MQ-048</t>
  </si>
  <si>
    <t>Empaquetador Horizontal FlowPack SCHIB</t>
  </si>
  <si>
    <t>MQ-049</t>
  </si>
  <si>
    <t>Empaquetador Sapal TD09</t>
  </si>
  <si>
    <t>MQ-050</t>
  </si>
  <si>
    <t>Empaquetador V-PACK CARLE &amp; MONTANARI</t>
  </si>
  <si>
    <t>EMP. CM</t>
  </si>
  <si>
    <t>MQ-051</t>
  </si>
  <si>
    <t>Empaquetador de Bombones CHOCOTECH ED1</t>
  </si>
  <si>
    <t>EQUIPOS DE PLANTA</t>
  </si>
  <si>
    <t>MQ-052</t>
  </si>
  <si>
    <t>Tanque de Temperado N° 01 WHETSTONE</t>
  </si>
  <si>
    <t>LÍNEA_FIGURAS_HUECAS</t>
  </si>
  <si>
    <t>MQ-053</t>
  </si>
  <si>
    <t>Tanque de Temperado N° 02 WHETSTONE</t>
  </si>
  <si>
    <t>MQ-054</t>
  </si>
  <si>
    <t>Tanque de Circulacion de Agua Caliente WHETSTONE</t>
  </si>
  <si>
    <t>MQ-055</t>
  </si>
  <si>
    <t>Temperador de Chocolate WHETSTONE</t>
  </si>
  <si>
    <t>MQ-056</t>
  </si>
  <si>
    <t>Dosificador de Chocolate SMITH</t>
  </si>
  <si>
    <t>MQ-057</t>
  </si>
  <si>
    <t>Girador de Moldes COLLMAN</t>
  </si>
  <si>
    <t>MQ-058</t>
  </si>
  <si>
    <t>Girador de Moldes MAXI08 CABRELLON</t>
  </si>
  <si>
    <t>MQ-059</t>
  </si>
  <si>
    <t>Cámara de enfriamiento</t>
  </si>
  <si>
    <t>MQ-060</t>
  </si>
  <si>
    <t>Barquillera en Linea Franz Haanz</t>
  </si>
  <si>
    <t>LÍNEA_BARQUILLOS</t>
  </si>
  <si>
    <t>FRANZ HAANZ</t>
  </si>
  <si>
    <t>MQ-061</t>
  </si>
  <si>
    <t>Linea de Moldeo HACOS 1</t>
  </si>
  <si>
    <t>MOLDEO_AUTOMÁTICO</t>
  </si>
  <si>
    <t>LUMINARIAS</t>
  </si>
  <si>
    <t>MQ-062</t>
  </si>
  <si>
    <t>Temperador de Chocolate IT1x500 HACOS 1</t>
  </si>
  <si>
    <t>ILUMINACION</t>
  </si>
  <si>
    <t>MQ-063</t>
  </si>
  <si>
    <t>Tanque de Almacenamiento HSK 2x1000 HACOS 1</t>
  </si>
  <si>
    <t>MQ-064</t>
  </si>
  <si>
    <t>Depositador MDS 1D-40 HACOS 1</t>
  </si>
  <si>
    <t>MESA DE ENFRIAMIENTO</t>
  </si>
  <si>
    <t>MQ-065</t>
  </si>
  <si>
    <t>Dosificador SAMMFILL HACOS 1</t>
  </si>
  <si>
    <t>MQ-066</t>
  </si>
  <si>
    <t>Unidad de refrigeración 1 DORIN UA-H500CS IZ</t>
  </si>
  <si>
    <t>MQ-067</t>
  </si>
  <si>
    <t>Unidad de refrigeración 2 DORIN UA-H300CS MED</t>
  </si>
  <si>
    <t>MQ-068</t>
  </si>
  <si>
    <t>Formador de Bolas</t>
  </si>
  <si>
    <t>LÍNEA_PASTAS</t>
  </si>
  <si>
    <t>MQ-069</t>
  </si>
  <si>
    <t>Formador de Cordones</t>
  </si>
  <si>
    <t>MQ-070</t>
  </si>
  <si>
    <t>Laminador de Masa</t>
  </si>
  <si>
    <t>MQ-071</t>
  </si>
  <si>
    <t>Cortador de Masa</t>
  </si>
  <si>
    <t>MQ-072</t>
  </si>
  <si>
    <t>Envasador al Vacio MULTIVAC</t>
  </si>
  <si>
    <t>MQ-073</t>
  </si>
  <si>
    <t>Dosificador de Praline</t>
  </si>
  <si>
    <t>OFICINAS ADMINSITRATIVAS</t>
  </si>
  <si>
    <t>MQ-075</t>
  </si>
  <si>
    <t>Cortador de Turron</t>
  </si>
  <si>
    <t>MQ-076</t>
  </si>
  <si>
    <t>Cocinadora / Mezcladora METALMAQ</t>
  </si>
  <si>
    <t>PATIO</t>
  </si>
  <si>
    <t>MQ-077</t>
  </si>
  <si>
    <t>Empaquetadora de Napolitanas - Otto Hansel Junior</t>
  </si>
  <si>
    <t>MQ-078</t>
  </si>
  <si>
    <t>Cocina de Induccion</t>
  </si>
  <si>
    <t>MQ-079</t>
  </si>
  <si>
    <t>Cocinador Toffee HAMAC HANSELLA</t>
  </si>
  <si>
    <t>LÍNEA_TOFFEE</t>
  </si>
  <si>
    <t>MQ-080</t>
  </si>
  <si>
    <t>Bastonador - Egalizador de Toffee GD</t>
  </si>
  <si>
    <t>MQ-081</t>
  </si>
  <si>
    <t>Empaquetador de Toffee GD</t>
  </si>
  <si>
    <t>MQ-082</t>
  </si>
  <si>
    <t>Tambor de Enfriamiento AMP Rose</t>
  </si>
  <si>
    <t>MQ-083</t>
  </si>
  <si>
    <t>Bastonador - Egalizador de Toffee AMP Rose</t>
  </si>
  <si>
    <t>QUEBRANTADOR JAF INOX</t>
  </si>
  <si>
    <t>MQ-084</t>
  </si>
  <si>
    <t>Túnel de Enfriamiento AMP Rose</t>
  </si>
  <si>
    <t>MQ-085</t>
  </si>
  <si>
    <t>Empaquetador de Toffee AMP Rose</t>
  </si>
  <si>
    <t>MQ-086</t>
  </si>
  <si>
    <t>Mesa de Enfriamiento 01</t>
  </si>
  <si>
    <t>MQ-087</t>
  </si>
  <si>
    <t>Mesa de Enfriamiento 02</t>
  </si>
  <si>
    <t>MQ-088</t>
  </si>
  <si>
    <t>Sellador de Bolsas en L ZELLMAN</t>
  </si>
  <si>
    <t>LÍNEA_ENCAJADO</t>
  </si>
  <si>
    <t>REFRIGERADORA DE MOLDEO MANUAL</t>
  </si>
  <si>
    <t>MQ-089</t>
  </si>
  <si>
    <t>Horno Termoencogible ECCOPACK SLA-4555</t>
  </si>
  <si>
    <t>ROTOPLAS</t>
  </si>
  <si>
    <t>MQ-090</t>
  </si>
  <si>
    <t>Sellador de Bolsas en L ECCOPACK</t>
  </si>
  <si>
    <t>SAMMFILL</t>
  </si>
  <si>
    <t>MQ-091</t>
  </si>
  <si>
    <t>Horno Termoencogible ECCOPACK</t>
  </si>
  <si>
    <t>MQ-092</t>
  </si>
  <si>
    <t>Maquina Automatica Selladora SLA-4555</t>
  </si>
  <si>
    <t>FORRADORA 1</t>
  </si>
  <si>
    <t>MQ-093</t>
  </si>
  <si>
    <t>Maquina Envolvedora MiniFlex</t>
  </si>
  <si>
    <t>SISTEMA DE INYECCION DE AIRE</t>
  </si>
  <si>
    <t>MQ-094</t>
  </si>
  <si>
    <t>Codificador MARKEM-IMAJE 9450 4to piso</t>
  </si>
  <si>
    <t>LÍNEA_CODIFICADORA</t>
  </si>
  <si>
    <t>MQ-095</t>
  </si>
  <si>
    <t>Faja de Codificacion de Envases</t>
  </si>
  <si>
    <t>MQ-105</t>
  </si>
  <si>
    <t>Equipo de inspeccion rayos "X" ISHIDA</t>
  </si>
  <si>
    <t>RAYOS_X</t>
  </si>
  <si>
    <t>MQ-106</t>
  </si>
  <si>
    <t>Cocina electrica CORINPER 8000W</t>
  </si>
  <si>
    <t>MQ-107</t>
  </si>
  <si>
    <t>Tanque de Almacenamiento de Chocolate 2 Bitter</t>
  </si>
  <si>
    <t>MQ-108</t>
  </si>
  <si>
    <t>Tanque de Almacenamiento de Chocolate 3 Leche</t>
  </si>
  <si>
    <t>MQ-109</t>
  </si>
  <si>
    <t xml:space="preserve">Faja de codificado Marken Imax </t>
  </si>
  <si>
    <t>GIANINI 2</t>
  </si>
  <si>
    <t>MQ-110</t>
  </si>
  <si>
    <t>Codificadora laser macsa 4to piso</t>
  </si>
  <si>
    <t>T-PACK</t>
  </si>
  <si>
    <t>TUNEL DE ENFRIAMIENTO</t>
  </si>
  <si>
    <t>VENTILADORES</t>
  </si>
  <si>
    <t>REFLECTORES</t>
  </si>
  <si>
    <t>TOSTADOR</t>
  </si>
  <si>
    <t>COCHES DE CACAO</t>
  </si>
  <si>
    <t>SUB-ESTACION</t>
  </si>
  <si>
    <t xml:space="preserve">REFRIGERADORA #1 </t>
  </si>
  <si>
    <t>FAJA DE CARGA</t>
  </si>
  <si>
    <t>INFRAESTRUCTURA</t>
  </si>
  <si>
    <t>COCHES DE PLANTA</t>
  </si>
  <si>
    <t>MEZCLADORA DE DOBLE EJE</t>
  </si>
  <si>
    <t>TRANSPALETA - STOCKA</t>
  </si>
  <si>
    <t>MQ-111</t>
  </si>
  <si>
    <t>Codificadora laser macsa sapal</t>
  </si>
  <si>
    <t>ZONA DE PASTAS</t>
  </si>
  <si>
    <t>CODIFICADORA - FLOWPACK 1</t>
  </si>
  <si>
    <t>TANQUE DE AGUA CALIENTE</t>
  </si>
  <si>
    <t>EXTRACTOR DE HUMO DE 4TO PISO</t>
  </si>
  <si>
    <t>STEPHAN</t>
  </si>
  <si>
    <t>MQ-112</t>
  </si>
  <si>
    <t>Central termica de Tanques de Pastas MQ(19,20,21)</t>
  </si>
  <si>
    <t>BANCO DE CONDENSADORES</t>
  </si>
  <si>
    <t>MQ-113</t>
  </si>
  <si>
    <t>Faja 2 descarga refinador</t>
  </si>
  <si>
    <t>MQ-114</t>
  </si>
  <si>
    <t>Faja 3 transversal</t>
  </si>
  <si>
    <t>MQ-115</t>
  </si>
  <si>
    <t>Faja 4 alimentadora conchas</t>
  </si>
  <si>
    <t>ADUANA SANITARIA</t>
  </si>
  <si>
    <t>FUNDIDORA DE MANTEQUILLA</t>
  </si>
  <si>
    <t>MQ-116</t>
  </si>
  <si>
    <t>Faja transporte PT</t>
  </si>
  <si>
    <t>PRODUCTO_TERMINADO</t>
  </si>
  <si>
    <t>MQ-117</t>
  </si>
  <si>
    <t>Procesadora de masas NETZSCH</t>
  </si>
  <si>
    <t>ALMACEN DE ENVASES</t>
  </si>
  <si>
    <t>MQ-118</t>
  </si>
  <si>
    <t>Quebrantador de Cacao 2</t>
  </si>
  <si>
    <t>MQ-119</t>
  </si>
  <si>
    <t>Molino de Azucar Bawermeister</t>
  </si>
  <si>
    <t>MOLIENDA</t>
  </si>
  <si>
    <t>MQ-120</t>
  </si>
  <si>
    <t xml:space="preserve">Concha COCO TOWN 1 </t>
  </si>
  <si>
    <t>EXTRACTOR DE POLVO NEDERMAN</t>
  </si>
  <si>
    <t>MQ-121</t>
  </si>
  <si>
    <t>Concha COCO TOWN 2</t>
  </si>
  <si>
    <t>ENCAJADO MANUAL</t>
  </si>
  <si>
    <t>BAÑOS - OPERARIOS</t>
  </si>
  <si>
    <t>MQ-122</t>
  </si>
  <si>
    <t>Procesadora de masas BOXA</t>
  </si>
  <si>
    <t>DUCTOS DE PRESION POSITIVA</t>
  </si>
  <si>
    <t>MQ-123</t>
  </si>
  <si>
    <t>Dosificador SAMMFILL HACOS EXTENSIÓN  HACOS 1</t>
  </si>
  <si>
    <t>MOLDEO AUTOMÁTICO</t>
  </si>
  <si>
    <t>MONTACARGA</t>
  </si>
  <si>
    <t>MQ-124</t>
  </si>
  <si>
    <t>Unidad de refrigeración 3 pre enfriamiento   HACOS 1</t>
  </si>
  <si>
    <t>ALMACEN DE FRUTOS SECOS</t>
  </si>
  <si>
    <t>MQ-125</t>
  </si>
  <si>
    <t>Linea de Moldeo HACOS 2</t>
  </si>
  <si>
    <t>LINEA AUTOMÁTICA</t>
  </si>
  <si>
    <t>FIGURAS HUECAS</t>
  </si>
  <si>
    <t>MQ-126</t>
  </si>
  <si>
    <t>Temperador de Chocolate  1 Hacos 2</t>
  </si>
  <si>
    <t>MESAS VIBRADORAS</t>
  </si>
  <si>
    <t>MQ-127</t>
  </si>
  <si>
    <t>Temperador de Chocolate  2 Hacos 2</t>
  </si>
  <si>
    <t>UNIDAD DE REFRIGERACION</t>
  </si>
  <si>
    <t>MQ-128</t>
  </si>
  <si>
    <t>Tanques de Almacenamiento Hacos 2</t>
  </si>
  <si>
    <t>MQ-129</t>
  </si>
  <si>
    <t>Dosificador SAMMFILL 3 Hacos 2</t>
  </si>
  <si>
    <t>MQ-130</t>
  </si>
  <si>
    <t>Unidad de condensación Torre Subida Hacos 2</t>
  </si>
  <si>
    <t>MQ-131</t>
  </si>
  <si>
    <t>Unidad de condensación Temperadoras Hacos 2</t>
  </si>
  <si>
    <t>MQ-132</t>
  </si>
  <si>
    <t>Unidad de condensación Torre bajada Hacos 2</t>
  </si>
  <si>
    <t>MQ-133</t>
  </si>
  <si>
    <t>Tostadora Cocoatown</t>
  </si>
  <si>
    <t>MQ-134</t>
  </si>
  <si>
    <t>Mini concha Cocoatown</t>
  </si>
  <si>
    <t>MQ-135</t>
  </si>
  <si>
    <t>Congeladora ELECTROLUX</t>
  </si>
  <si>
    <t>MQ-136</t>
  </si>
  <si>
    <t>Embolsadora TEPACK</t>
  </si>
  <si>
    <t>MQ-140</t>
  </si>
  <si>
    <t>Mezclador de 1 rodillo</t>
  </si>
  <si>
    <t>MQ-141</t>
  </si>
  <si>
    <t>Cocinadora / mezcladora GIANINI 2</t>
  </si>
  <si>
    <t>DESINFECCIÓN CASTAÑA</t>
  </si>
  <si>
    <t>MQ-142</t>
  </si>
  <si>
    <t>Temperadora Cyclop 50</t>
  </si>
  <si>
    <t>MQ-143</t>
  </si>
  <si>
    <t>Refrigeradora #5 1 cuerpo alta nueva</t>
  </si>
  <si>
    <t>ASCENSOR OTIS</t>
  </si>
  <si>
    <t>MQ-144</t>
  </si>
  <si>
    <t>Refrigeradora #6 planta piloto</t>
  </si>
  <si>
    <t>MQ-145</t>
  </si>
  <si>
    <t>Unidad de refrigeración 2 DORIN EXTENSION DER</t>
  </si>
  <si>
    <t>MQ-146</t>
  </si>
  <si>
    <t>Mesa Vibradora 03 Planta Piloto</t>
  </si>
  <si>
    <t>GARITA 01</t>
  </si>
  <si>
    <t>MQ-150</t>
  </si>
  <si>
    <t>Máquina Automática Selladora SLA-4555 N°2</t>
  </si>
  <si>
    <t>FORRADORA 2</t>
  </si>
  <si>
    <t>MQ-151</t>
  </si>
  <si>
    <t>Sellador de bolsas Doypack - Eccopack N°01 (Horizontal)</t>
  </si>
  <si>
    <t xml:space="preserve">COCINADORA 4 -GIANINNI </t>
  </si>
  <si>
    <t>MQ-152</t>
  </si>
  <si>
    <t xml:space="preserve">Sellador de bolsas Doypack - Eccopack N°02 (vertical) </t>
  </si>
  <si>
    <t>MQ-154</t>
  </si>
  <si>
    <t>Cortadora de gianduja</t>
  </si>
  <si>
    <t>MQ-180</t>
  </si>
  <si>
    <t>Cocinadora / Mezcladora GIANINI 03</t>
  </si>
  <si>
    <t>MQ-156</t>
  </si>
  <si>
    <t>Enfriador giratorio AMP ROSE</t>
  </si>
  <si>
    <t>MQ-90</t>
  </si>
  <si>
    <t>Tunel de enfriamiento Whestone</t>
  </si>
  <si>
    <t>MOLDEO_MANUAL</t>
  </si>
  <si>
    <t>MQ-160</t>
  </si>
  <si>
    <t>Cocinadora a vapor Giannini #4</t>
  </si>
  <si>
    <t>MQ-161</t>
  </si>
  <si>
    <t>Cocinadora a vapor Giannini #5</t>
  </si>
  <si>
    <t>MQ-158</t>
  </si>
  <si>
    <t>Tanque de chocolate # 4</t>
  </si>
  <si>
    <t>BATIDORA DE FONDANT 1 OTTO HANSEL</t>
  </si>
  <si>
    <t>MQ-168</t>
  </si>
  <si>
    <t>Central termica de Tanques de Pastas lado derecho</t>
  </si>
  <si>
    <t xml:space="preserve">COCINADORA 2 - GIANINI </t>
  </si>
  <si>
    <t>MQ-157</t>
  </si>
  <si>
    <t>Tambor enfriamiento AMP Rose</t>
  </si>
  <si>
    <t>MQ-165</t>
  </si>
  <si>
    <t>Codificadora Markem Imaje (planta 2)</t>
  </si>
  <si>
    <t>MQ-153</t>
  </si>
  <si>
    <t>Cortadora de cuerdas</t>
  </si>
  <si>
    <t>MQ-200</t>
  </si>
  <si>
    <t>Empaquetadora SACMI</t>
  </si>
  <si>
    <t>LINEA_AUTOMÁTICA</t>
  </si>
  <si>
    <t>MQ-201</t>
  </si>
  <si>
    <t>Cocinadora / Mezcladora FAMAIC 2</t>
  </si>
  <si>
    <t>CALDERO 50 BHP</t>
  </si>
  <si>
    <t>MQ-202</t>
  </si>
  <si>
    <t>Empaquetador Horizontal FlowPack 2</t>
  </si>
  <si>
    <t>TANQUE DE CHOCOLATE 01 LECHE</t>
  </si>
  <si>
    <t>MQ-203</t>
  </si>
  <si>
    <t>T_PACK</t>
  </si>
  <si>
    <t>TANQUE DE CHOCOLATE 02 BITTER</t>
  </si>
  <si>
    <t>Cortadora de turron</t>
  </si>
  <si>
    <t>Taller</t>
  </si>
  <si>
    <t>MQ-300</t>
  </si>
  <si>
    <t>OTR</t>
  </si>
  <si>
    <t>MQ-301</t>
  </si>
  <si>
    <t>Bañadora 2</t>
  </si>
  <si>
    <t>CONCHA CR 150</t>
  </si>
  <si>
    <t>TANQUE DE CHOCOLATE 05</t>
  </si>
  <si>
    <t>TANQUE DE CHOCOLATE 04</t>
  </si>
  <si>
    <t>EQUIPO DE FRIO 04 - 2 CUERPOS MOLDEO MANUAL</t>
  </si>
  <si>
    <t>TANQUE DE PASTAS 02 FINA</t>
  </si>
  <si>
    <t>RESUMEN DIARIO DE ACTIVIDADES DE MANTENIMIENTO</t>
  </si>
  <si>
    <t>&lt;1:00</t>
  </si>
  <si>
    <t>1:00&lt;X&lt;2:00</t>
  </si>
  <si>
    <t>PROGRAMA</t>
  </si>
  <si>
    <t>&gt;2:00</t>
  </si>
  <si>
    <t>BASE DE DATOS DETALLE</t>
  </si>
  <si>
    <t>EJEMPLO DEMOSTRATIVO</t>
  </si>
  <si>
    <r>
      <t>UNIRCADENAS(", ";VERDADERO;FILTRAR(</t>
    </r>
    <r>
      <rPr>
        <sz val="11"/>
        <color rgb="FF006CBE"/>
        <rFont val="Consolas"/>
        <family val="3"/>
      </rPr>
      <t>Tabla26[PIEZA]</t>
    </r>
    <r>
      <rPr>
        <sz val="11"/>
        <color rgb="FF242424"/>
        <rFont val="Consolas"/>
        <family val="3"/>
      </rPr>
      <t>;ESNUMERO(HALLAR(</t>
    </r>
    <r>
      <rPr>
        <sz val="11"/>
        <color rgb="FFBC2F32"/>
        <rFont val="Consolas"/>
        <family val="3"/>
      </rPr>
      <t>Tabla26[PCLAVE]</t>
    </r>
    <r>
      <rPr>
        <sz val="11"/>
        <color rgb="FF242424"/>
        <rFont val="Consolas"/>
        <family val="3"/>
      </rPr>
      <t>;</t>
    </r>
    <r>
      <rPr>
        <sz val="11"/>
        <color rgb="FF7C53AC"/>
        <rFont val="Consolas"/>
        <family val="3"/>
      </rPr>
      <t>L11</t>
    </r>
    <r>
      <rPr>
        <sz val="11"/>
        <color rgb="FF242424"/>
        <rFont val="Consolas"/>
        <family val="3"/>
      </rPr>
      <t>));"No encontrado"))</t>
    </r>
  </si>
  <si>
    <t>DESCRIP</t>
  </si>
  <si>
    <t>PCLAVE</t>
  </si>
  <si>
    <t>PCLAVE2</t>
  </si>
  <si>
    <t>SECCION</t>
  </si>
  <si>
    <t>PCLAVE3</t>
  </si>
  <si>
    <t>sens*</t>
  </si>
  <si>
    <t>sensor</t>
  </si>
  <si>
    <t>column*</t>
  </si>
  <si>
    <t>columna</t>
  </si>
  <si>
    <t>Ajuste de aseguramiento de sensores</t>
  </si>
  <si>
    <t>A1</t>
  </si>
  <si>
    <t xml:space="preserve"> samfil</t>
  </si>
  <si>
    <t>Sammfill</t>
  </si>
  <si>
    <t>abiert*</t>
  </si>
  <si>
    <t>Abierto</t>
  </si>
  <si>
    <t>asegur*</t>
  </si>
  <si>
    <t>aseguramiento</t>
  </si>
  <si>
    <t>caden*</t>
  </si>
  <si>
    <t>cadena</t>
  </si>
  <si>
    <t>Ajuste de estopa columna #3</t>
  </si>
  <si>
    <t>A10</t>
  </si>
  <si>
    <t>camara*</t>
  </si>
  <si>
    <t>Camara De Temperado</t>
  </si>
  <si>
    <t>acumulac*</t>
  </si>
  <si>
    <t>Acumulacion De Producto</t>
  </si>
  <si>
    <t>pern*</t>
  </si>
  <si>
    <t>perno</t>
  </si>
  <si>
    <t>temperado*</t>
  </si>
  <si>
    <t>temperado</t>
  </si>
  <si>
    <t>Ajuste de pernos sueltos</t>
  </si>
  <si>
    <t>A11</t>
  </si>
  <si>
    <t>cambio de mold*</t>
  </si>
  <si>
    <t>Intercambiador De Moldes</t>
  </si>
  <si>
    <t>alarm*</t>
  </si>
  <si>
    <t>Alarma</t>
  </si>
  <si>
    <t>sog*</t>
  </si>
  <si>
    <t>soga</t>
  </si>
  <si>
    <t xml:space="preserve">Ajuste de soga en columna, lubricacion de cadena </t>
  </si>
  <si>
    <t>A12</t>
  </si>
  <si>
    <t>climatiza*</t>
  </si>
  <si>
    <t>Climatizador</t>
  </si>
  <si>
    <t>aliment*</t>
  </si>
  <si>
    <t>Alimentacion Obstruida</t>
  </si>
  <si>
    <t>prensaestop*</t>
  </si>
  <si>
    <t>prensaestopa</t>
  </si>
  <si>
    <t>Ajuste prensaestopas temperadora</t>
  </si>
  <si>
    <t>A13</t>
  </si>
  <si>
    <t>codif*</t>
  </si>
  <si>
    <t>Codificador</t>
  </si>
  <si>
    <t>alta temperatura</t>
  </si>
  <si>
    <t>Alta Temperatura</t>
  </si>
  <si>
    <t>Columna</t>
  </si>
  <si>
    <t>temperatura alta</t>
  </si>
  <si>
    <t>A14</t>
  </si>
  <si>
    <t>contraele*</t>
  </si>
  <si>
    <t>Contraelevador</t>
  </si>
  <si>
    <t>altur*</t>
  </si>
  <si>
    <t>Altura</t>
  </si>
  <si>
    <t>dosific*</t>
  </si>
  <si>
    <t>Dosificador</t>
  </si>
  <si>
    <t>amarra*</t>
  </si>
  <si>
    <t>Amarrado</t>
  </si>
  <si>
    <t>A19</t>
  </si>
  <si>
    <t>extens*</t>
  </si>
  <si>
    <t>Extension</t>
  </si>
  <si>
    <t>apagad*</t>
  </si>
  <si>
    <t>Apagado</t>
  </si>
  <si>
    <t>horn*</t>
  </si>
  <si>
    <t>Horno</t>
  </si>
  <si>
    <t>se apaga*</t>
  </si>
  <si>
    <t>A2</t>
  </si>
  <si>
    <t>impresor*</t>
  </si>
  <si>
    <t>Impresora</t>
  </si>
  <si>
    <t>aplastam*</t>
  </si>
  <si>
    <t>Aplastamiento</t>
  </si>
  <si>
    <t>A24</t>
  </si>
  <si>
    <t>intercambiador de moldes</t>
  </si>
  <si>
    <t>arrugad*</t>
  </si>
  <si>
    <t>Arrugado</t>
  </si>
  <si>
    <t>intercambiador de vaci*</t>
  </si>
  <si>
    <t>Intercambiador De Vacio</t>
  </si>
  <si>
    <t>atrapad*</t>
  </si>
  <si>
    <t>Atrapado</t>
  </si>
  <si>
    <t>A3</t>
  </si>
  <si>
    <t>MDS*</t>
  </si>
  <si>
    <t>Mds</t>
  </si>
  <si>
    <t>baja tempera*</t>
  </si>
  <si>
    <t>Baja Temperatura</t>
  </si>
  <si>
    <t>A4</t>
  </si>
  <si>
    <t>mesa de enfr*</t>
  </si>
  <si>
    <t xml:space="preserve">Mesa De Enfriamiento </t>
  </si>
  <si>
    <t>temperatura baj*</t>
  </si>
  <si>
    <t>A5 *</t>
  </si>
  <si>
    <t>A5</t>
  </si>
  <si>
    <t>modulo de cort*</t>
  </si>
  <si>
    <t>Modulo De Corte</t>
  </si>
  <si>
    <t>bajo niv*</t>
  </si>
  <si>
    <t>Bajo Nivel</t>
  </si>
  <si>
    <t>A500</t>
  </si>
  <si>
    <t>pre enfriamiento</t>
  </si>
  <si>
    <t>Preenfriamiento</t>
  </si>
  <si>
    <t>nivel baj*</t>
  </si>
  <si>
    <t>A510</t>
  </si>
  <si>
    <t>preenfriam*</t>
  </si>
  <si>
    <t>bloqu*</t>
  </si>
  <si>
    <t>Bloqueado</t>
  </si>
  <si>
    <t>A520</t>
  </si>
  <si>
    <t>premezcl*</t>
  </si>
  <si>
    <t>Premezcla</t>
  </si>
  <si>
    <t>borros*</t>
  </si>
  <si>
    <t>Borrosa</t>
  </si>
  <si>
    <t>A530</t>
  </si>
  <si>
    <t>robat*</t>
  </si>
  <si>
    <t>Robatech</t>
  </si>
  <si>
    <t>ajust*</t>
  </si>
  <si>
    <t>Calibracion</t>
  </si>
  <si>
    <t>A6</t>
  </si>
  <si>
    <t>robo*</t>
  </si>
  <si>
    <t>Robot</t>
  </si>
  <si>
    <t>calibr*</t>
  </si>
  <si>
    <t>A7</t>
  </si>
  <si>
    <t>sammfil</t>
  </si>
  <si>
    <t>format*</t>
  </si>
  <si>
    <t>Cambio De Formato</t>
  </si>
  <si>
    <t>A8</t>
  </si>
  <si>
    <t>sistema neum*</t>
  </si>
  <si>
    <t>Sistema Neumatico</t>
  </si>
  <si>
    <t>espes*</t>
  </si>
  <si>
    <t>Chocolate Espeso</t>
  </si>
  <si>
    <t>A9</t>
  </si>
  <si>
    <t>tanq*</t>
  </si>
  <si>
    <t>Tanque</t>
  </si>
  <si>
    <t>choca*</t>
  </si>
  <si>
    <t>Colision</t>
  </si>
  <si>
    <t xml:space="preserve"> abrazade*</t>
  </si>
  <si>
    <t>Abrazaderas</t>
  </si>
  <si>
    <t>tanque pulm*</t>
  </si>
  <si>
    <t>Tanque Pulmon</t>
  </si>
  <si>
    <t>colisi*</t>
  </si>
  <si>
    <t xml:space="preserve"> actuad*</t>
  </si>
  <si>
    <t>Actuadores</t>
  </si>
  <si>
    <t>Temperadora</t>
  </si>
  <si>
    <t>agujer*</t>
  </si>
  <si>
    <t>Con Agujeros</t>
  </si>
  <si>
    <t>aditiv*</t>
  </si>
  <si>
    <t>Aditivo</t>
  </si>
  <si>
    <t>torr*</t>
  </si>
  <si>
    <t>con huec*</t>
  </si>
  <si>
    <t>Con Huecos</t>
  </si>
  <si>
    <t>agitad*</t>
  </si>
  <si>
    <t>Agitador</t>
  </si>
  <si>
    <t>tunel*</t>
  </si>
  <si>
    <t>Tunel De Enfriamiento</t>
  </si>
  <si>
    <t>oxid*</t>
  </si>
  <si>
    <t>Con Oxido</t>
  </si>
  <si>
    <t>alambr*</t>
  </si>
  <si>
    <t>Alambre</t>
  </si>
  <si>
    <t>unibat*</t>
  </si>
  <si>
    <t>Unibath*</t>
  </si>
  <si>
    <t>con rebab*</t>
  </si>
  <si>
    <t>Con Rebaba</t>
  </si>
  <si>
    <t xml:space="preserve"> angul*</t>
  </si>
  <si>
    <t>Angulo</t>
  </si>
  <si>
    <t>unidad de enfri*</t>
  </si>
  <si>
    <t>Unidad De Enfriamiento</t>
  </si>
  <si>
    <t>rest*</t>
  </si>
  <si>
    <t>Con Restos</t>
  </si>
  <si>
    <t>apilad*</t>
  </si>
  <si>
    <t>Apilador</t>
  </si>
  <si>
    <t>vibrado*</t>
  </si>
  <si>
    <t>Vibradora</t>
  </si>
  <si>
    <t>virut*</t>
  </si>
  <si>
    <t>Con Virutas</t>
  </si>
  <si>
    <t>arandel*</t>
  </si>
  <si>
    <t>Arandela</t>
  </si>
  <si>
    <t>cortocir*</t>
  </si>
  <si>
    <t>Cortocircuito</t>
  </si>
  <si>
    <t>aspirad*</t>
  </si>
  <si>
    <t>Aspirador</t>
  </si>
  <si>
    <t>dañad*</t>
  </si>
  <si>
    <t>Dañado</t>
  </si>
  <si>
    <t>B1</t>
  </si>
  <si>
    <t>emor*</t>
  </si>
  <si>
    <t>Demora</t>
  </si>
  <si>
    <t>B10</t>
  </si>
  <si>
    <t>desajust*</t>
  </si>
  <si>
    <t>Desajustado</t>
  </si>
  <si>
    <t>B11</t>
  </si>
  <si>
    <t>alineac*</t>
  </si>
  <si>
    <t>Desalineado</t>
  </si>
  <si>
    <t>B12</t>
  </si>
  <si>
    <t>centrad*</t>
  </si>
  <si>
    <t>B2</t>
  </si>
  <si>
    <t>desalin*</t>
  </si>
  <si>
    <t>B21</t>
  </si>
  <si>
    <t>mal centrad*</t>
  </si>
  <si>
    <t>B23</t>
  </si>
  <si>
    <t>mal cuadr*</t>
  </si>
  <si>
    <t>B3</t>
  </si>
  <si>
    <t>se va a un cost*</t>
  </si>
  <si>
    <t>B4</t>
  </si>
  <si>
    <t>a un lado*</t>
  </si>
  <si>
    <t>B5</t>
  </si>
  <si>
    <t>descalib*</t>
  </si>
  <si>
    <t>Descalibrado</t>
  </si>
  <si>
    <t>B530</t>
  </si>
  <si>
    <t>se balanc*</t>
  </si>
  <si>
    <t>B6</t>
  </si>
  <si>
    <t>varia el pes*</t>
  </si>
  <si>
    <t>B7</t>
  </si>
  <si>
    <t>caen*</t>
  </si>
  <si>
    <t>Desgaste</t>
  </si>
  <si>
    <t>B8</t>
  </si>
  <si>
    <t>desceb*</t>
  </si>
  <si>
    <t>B9</t>
  </si>
  <si>
    <t>desgast*</t>
  </si>
  <si>
    <t>balanz*</t>
  </si>
  <si>
    <t>Balanza</t>
  </si>
  <si>
    <t>gastad*</t>
  </si>
  <si>
    <t>balon*</t>
  </si>
  <si>
    <t>Balon</t>
  </si>
  <si>
    <t>desmold*</t>
  </si>
  <si>
    <t>Desmolde</t>
  </si>
  <si>
    <t>band*</t>
  </si>
  <si>
    <t>Banda</t>
  </si>
  <si>
    <t>desniv*</t>
  </si>
  <si>
    <t>Desnivel</t>
  </si>
  <si>
    <t xml:space="preserve"> alumini*</t>
  </si>
  <si>
    <t>Bobina</t>
  </si>
  <si>
    <t>detenid*</t>
  </si>
  <si>
    <t>Detenido</t>
  </si>
  <si>
    <t>bobin*</t>
  </si>
  <si>
    <t>bolsa*</t>
  </si>
  <si>
    <t>Bolsa/ Envoltura</t>
  </si>
  <si>
    <t>se detien*</t>
  </si>
  <si>
    <t>bomb*</t>
  </si>
  <si>
    <t xml:space="preserve">Bomba </t>
  </si>
  <si>
    <t>doblad*</t>
  </si>
  <si>
    <t>Doblada</t>
  </si>
  <si>
    <t>bomba de choc*</t>
  </si>
  <si>
    <t>Bomba De Chocolate</t>
  </si>
  <si>
    <t>driv*</t>
  </si>
  <si>
    <t>Driver</t>
  </si>
  <si>
    <t>bomba de retor*</t>
  </si>
  <si>
    <t>Bomba De Retorno</t>
  </si>
  <si>
    <t>enmic*</t>
  </si>
  <si>
    <t>Enmicado</t>
  </si>
  <si>
    <t>boquill*</t>
  </si>
  <si>
    <t>Boquilla</t>
  </si>
  <si>
    <t>enroll*</t>
  </si>
  <si>
    <t>Enrollado</t>
  </si>
  <si>
    <t>borner*</t>
  </si>
  <si>
    <t>Borneras</t>
  </si>
  <si>
    <t>erro*</t>
  </si>
  <si>
    <t>Error</t>
  </si>
  <si>
    <t>boton dfe em*</t>
  </si>
  <si>
    <t>Boton De Emergencia</t>
  </si>
  <si>
    <t>expues*</t>
  </si>
  <si>
    <t>Expuesto</t>
  </si>
  <si>
    <t>braz*</t>
  </si>
  <si>
    <t>Brazo</t>
  </si>
  <si>
    <t>expulsi*</t>
  </si>
  <si>
    <t>Expulsion</t>
  </si>
  <si>
    <t>C1</t>
  </si>
  <si>
    <t>presi*</t>
  </si>
  <si>
    <t>Falla De Presion</t>
  </si>
  <si>
    <t>C10</t>
  </si>
  <si>
    <t>velocid*</t>
  </si>
  <si>
    <t>Falla En Velocid*</t>
  </si>
  <si>
    <t>C11</t>
  </si>
  <si>
    <t>falla neumat*</t>
  </si>
  <si>
    <t>Falla Neumatica</t>
  </si>
  <si>
    <t>C12</t>
  </si>
  <si>
    <t>fals*</t>
  </si>
  <si>
    <t>Falsa Señal</t>
  </si>
  <si>
    <t>C13</t>
  </si>
  <si>
    <t>filtr*</t>
  </si>
  <si>
    <t>Filtracion</t>
  </si>
  <si>
    <t>C14</t>
  </si>
  <si>
    <t>flama*</t>
  </si>
  <si>
    <t>Flama</t>
  </si>
  <si>
    <t>C2</t>
  </si>
  <si>
    <t>fuera de*</t>
  </si>
  <si>
    <t>Fuera De Posicion</t>
  </si>
  <si>
    <t>C3</t>
  </si>
  <si>
    <t>fuera de tiemp*</t>
  </si>
  <si>
    <t>Fuera De Tiempo</t>
  </si>
  <si>
    <t>C4</t>
  </si>
  <si>
    <t>fug*</t>
  </si>
  <si>
    <t>Fuga</t>
  </si>
  <si>
    <t>C5</t>
  </si>
  <si>
    <t>fuga de ace*</t>
  </si>
  <si>
    <t>Fuga De Aceite</t>
  </si>
  <si>
    <t>C6</t>
  </si>
  <si>
    <t>fuga de agua*</t>
  </si>
  <si>
    <t>Fuga De Agua</t>
  </si>
  <si>
    <t>C7</t>
  </si>
  <si>
    <t>fuga de air*</t>
  </si>
  <si>
    <t>Fuga De Aire</t>
  </si>
  <si>
    <t>C8</t>
  </si>
  <si>
    <t>fuga de choc*</t>
  </si>
  <si>
    <t>Fuga De Chocolate</t>
  </si>
  <si>
    <t>C9</t>
  </si>
  <si>
    <t>golp*</t>
  </si>
  <si>
    <t>Golpea</t>
  </si>
  <si>
    <t>cabez*</t>
  </si>
  <si>
    <t>Cabezal</t>
  </si>
  <si>
    <t>gote*</t>
  </si>
  <si>
    <t>Goteo</t>
  </si>
  <si>
    <t>cabl*</t>
  </si>
  <si>
    <t>Cable</t>
  </si>
  <si>
    <t>humed*</t>
  </si>
  <si>
    <t>Humedad</t>
  </si>
  <si>
    <t>caja*</t>
  </si>
  <si>
    <t>Cajas</t>
  </si>
  <si>
    <t>incomplet*</t>
  </si>
  <si>
    <t>Incompleto</t>
  </si>
  <si>
    <t>calefact*</t>
  </si>
  <si>
    <t>Calefactor</t>
  </si>
  <si>
    <t>incorrect*</t>
  </si>
  <si>
    <t>Incorrecto</t>
  </si>
  <si>
    <t>canale*</t>
  </si>
  <si>
    <t>Canaletas</t>
  </si>
  <si>
    <t>junt*</t>
  </si>
  <si>
    <t>Juntos</t>
  </si>
  <si>
    <t>cangilon*</t>
  </si>
  <si>
    <t>Cangilones</t>
  </si>
  <si>
    <t>lamin*</t>
  </si>
  <si>
    <t>Laminado</t>
  </si>
  <si>
    <t>caño*</t>
  </si>
  <si>
    <t>Cañon</t>
  </si>
  <si>
    <t>lent*</t>
  </si>
  <si>
    <t>Lento</t>
  </si>
  <si>
    <t>carbo*</t>
  </si>
  <si>
    <t>Carbon</t>
  </si>
  <si>
    <t>lubric*</t>
  </si>
  <si>
    <t>Lubricacion</t>
  </si>
  <si>
    <t>cartuch*</t>
  </si>
  <si>
    <t>Cartucho</t>
  </si>
  <si>
    <t>mal coloca*</t>
  </si>
  <si>
    <t>Mal Colocado</t>
  </si>
  <si>
    <t>chaque*</t>
  </si>
  <si>
    <t>Chaqueta</t>
  </si>
  <si>
    <t>mal plegad*</t>
  </si>
  <si>
    <t>Mal Plegadas</t>
  </si>
  <si>
    <t>cilindr*</t>
  </si>
  <si>
    <t>Cilindro</t>
  </si>
  <si>
    <t>mal sellad*</t>
  </si>
  <si>
    <t>Mal Sellado</t>
  </si>
  <si>
    <t>compuert*</t>
  </si>
  <si>
    <t>Compuerta</t>
  </si>
  <si>
    <t>Mala Posicion</t>
  </si>
  <si>
    <t>conect*</t>
  </si>
  <si>
    <t>Conector</t>
  </si>
  <si>
    <t>mala posic*</t>
  </si>
  <si>
    <t>correa*</t>
  </si>
  <si>
    <t>Correa</t>
  </si>
  <si>
    <t>ensuc*</t>
  </si>
  <si>
    <t>Mancha Etiquetas</t>
  </si>
  <si>
    <t>cuchill*</t>
  </si>
  <si>
    <t>Cuchilla</t>
  </si>
  <si>
    <t>manch*</t>
  </si>
  <si>
    <t>cuchilla mov*</t>
  </si>
  <si>
    <t>Cuchilla Movil</t>
  </si>
  <si>
    <t>duro*</t>
  </si>
  <si>
    <t>Muy Duro</t>
  </si>
  <si>
    <t>cuerd*</t>
  </si>
  <si>
    <t>Cuerda</t>
  </si>
  <si>
    <t>frio*</t>
  </si>
  <si>
    <t>Muy Frio</t>
  </si>
  <si>
    <t>dient*</t>
  </si>
  <si>
    <t>Dientes</t>
  </si>
  <si>
    <t>Muy Lento</t>
  </si>
  <si>
    <t>disc*</t>
  </si>
  <si>
    <t>Disco</t>
  </si>
  <si>
    <t>muy lent*</t>
  </si>
  <si>
    <t>dispensad*</t>
  </si>
  <si>
    <t>Dispensador</t>
  </si>
  <si>
    <t>rapid*</t>
  </si>
  <si>
    <t>Muy Rapido</t>
  </si>
  <si>
    <t>displa*</t>
  </si>
  <si>
    <t>Display</t>
  </si>
  <si>
    <t>muy tens*</t>
  </si>
  <si>
    <t>Muy Tenso</t>
  </si>
  <si>
    <t xml:space="preserve"> duct*</t>
  </si>
  <si>
    <t>Ductos</t>
  </si>
  <si>
    <t>nivel*</t>
  </si>
  <si>
    <t>Nivel</t>
  </si>
  <si>
    <t>elevad*</t>
  </si>
  <si>
    <t>Elevador</t>
  </si>
  <si>
    <t>nivel alt*</t>
  </si>
  <si>
    <t>Nivel Alto</t>
  </si>
  <si>
    <t>embrag*</t>
  </si>
  <si>
    <t>Embrague</t>
  </si>
  <si>
    <t>no abre*</t>
  </si>
  <si>
    <t>No Abre</t>
  </si>
  <si>
    <t>empaq*</t>
  </si>
  <si>
    <t>Empaque</t>
  </si>
  <si>
    <t>no accion*</t>
  </si>
  <si>
    <t>No Acciona</t>
  </si>
  <si>
    <t>empujad*</t>
  </si>
  <si>
    <t>Empujador</t>
  </si>
  <si>
    <t>no jal*</t>
  </si>
  <si>
    <t>No Arrastra</t>
  </si>
  <si>
    <t>etique*</t>
  </si>
  <si>
    <t>Envoltura</t>
  </si>
  <si>
    <t>no avanz*</t>
  </si>
  <si>
    <t>No Avanza</t>
  </si>
  <si>
    <t>estop*</t>
  </si>
  <si>
    <t>Estopa</t>
  </si>
  <si>
    <t>no corr*</t>
  </si>
  <si>
    <t>extracto*</t>
  </si>
  <si>
    <t>Extractor</t>
  </si>
  <si>
    <t>no recorr*</t>
  </si>
  <si>
    <t>faj*</t>
  </si>
  <si>
    <t>nose muev*</t>
  </si>
  <si>
    <t>faja de trans*</t>
  </si>
  <si>
    <t>Faja De Transmisión</t>
  </si>
  <si>
    <t>se detuv*</t>
  </si>
  <si>
    <t>fech*</t>
  </si>
  <si>
    <t>no cae*</t>
  </si>
  <si>
    <t>No Cae Producto</t>
  </si>
  <si>
    <t>filt*</t>
  </si>
  <si>
    <t>Filtro</t>
  </si>
  <si>
    <t>no codif*</t>
  </si>
  <si>
    <t>No Codifica</t>
  </si>
  <si>
    <t>foc*</t>
  </si>
  <si>
    <t>Foco</t>
  </si>
  <si>
    <t>no cort*</t>
  </si>
  <si>
    <t>No Corta</t>
  </si>
  <si>
    <t>fotomarc*</t>
  </si>
  <si>
    <t>Fotomarca</t>
  </si>
  <si>
    <t>no desmold*</t>
  </si>
  <si>
    <t>No Desmolda</t>
  </si>
  <si>
    <t>freno*</t>
  </si>
  <si>
    <t>Freno</t>
  </si>
  <si>
    <t>no dosif*</t>
  </si>
  <si>
    <t>No Dosifica</t>
  </si>
  <si>
    <t>goma*</t>
  </si>
  <si>
    <t>Gomas</t>
  </si>
  <si>
    <t>no enciend*</t>
  </si>
  <si>
    <t>No Enciende</t>
  </si>
  <si>
    <t>pastillas con marc*</t>
  </si>
  <si>
    <t>no enfri*</t>
  </si>
  <si>
    <t>No Enfria</t>
  </si>
  <si>
    <t>pastillas rot*</t>
  </si>
  <si>
    <t>no gir*</t>
  </si>
  <si>
    <t>No Gira</t>
  </si>
  <si>
    <t>pastillas sale*</t>
  </si>
  <si>
    <t>no impri*</t>
  </si>
  <si>
    <t>No Imprime</t>
  </si>
  <si>
    <t>pastillas se caen</t>
  </si>
  <si>
    <t>no arranq*</t>
  </si>
  <si>
    <t>No Inicia</t>
  </si>
  <si>
    <t>guarda *</t>
  </si>
  <si>
    <t>Guarda</t>
  </si>
  <si>
    <t>no inici*</t>
  </si>
  <si>
    <t>guardamot*</t>
  </si>
  <si>
    <t>Guardamotor</t>
  </si>
  <si>
    <t>no permite ini*</t>
  </si>
  <si>
    <t>guia*</t>
  </si>
  <si>
    <t>Guias</t>
  </si>
  <si>
    <t>no peg*</t>
  </si>
  <si>
    <t>No Pega</t>
  </si>
  <si>
    <t>hilo*</t>
  </si>
  <si>
    <t>Hilo</t>
  </si>
  <si>
    <t>no recirc*</t>
  </si>
  <si>
    <t>No Recircula</t>
  </si>
  <si>
    <t>husill*</t>
  </si>
  <si>
    <t>Husillo</t>
  </si>
  <si>
    <t>no respond*</t>
  </si>
  <si>
    <t>No Responde</t>
  </si>
  <si>
    <t>usill*</t>
  </si>
  <si>
    <t>no retorn*</t>
  </si>
  <si>
    <t>No Retorna</t>
  </si>
  <si>
    <t>iman*</t>
  </si>
  <si>
    <t>Iman</t>
  </si>
  <si>
    <t>no sella*</t>
  </si>
  <si>
    <t>No Sella</t>
  </si>
  <si>
    <t>interrupt*</t>
  </si>
  <si>
    <t>Interruptor</t>
  </si>
  <si>
    <t>no sub*</t>
  </si>
  <si>
    <t>No Sube</t>
  </si>
  <si>
    <t>jeb*</t>
  </si>
  <si>
    <t>Jebe</t>
  </si>
  <si>
    <t>no temper*</t>
  </si>
  <si>
    <t>No Tempera</t>
  </si>
  <si>
    <t>sin parar*</t>
  </si>
  <si>
    <t>Nose Detiene</t>
  </si>
  <si>
    <t>lavator*</t>
  </si>
  <si>
    <t>Lavatorio</t>
  </si>
  <si>
    <t>atorami*</t>
  </si>
  <si>
    <t>Obstruccion</t>
  </si>
  <si>
    <t xml:space="preserve"> llave*</t>
  </si>
  <si>
    <t>Llave</t>
  </si>
  <si>
    <t>atasc*</t>
  </si>
  <si>
    <t>Obstruido</t>
  </si>
  <si>
    <t>lowe*</t>
  </si>
  <si>
    <t>Lower Long Seal</t>
  </si>
  <si>
    <t>obstru*</t>
  </si>
  <si>
    <t>macul*</t>
  </si>
  <si>
    <t>Macula</t>
  </si>
  <si>
    <t>presencia de gra*</t>
  </si>
  <si>
    <t>Presencia De Grasa</t>
  </si>
  <si>
    <t>mall*</t>
  </si>
  <si>
    <t>Malla</t>
  </si>
  <si>
    <t>quemad*</t>
  </si>
  <si>
    <t>Quemado</t>
  </si>
  <si>
    <t>mandr*</t>
  </si>
  <si>
    <t>Mandril</t>
  </si>
  <si>
    <t>rajad*</t>
  </si>
  <si>
    <t>Rajadura</t>
  </si>
  <si>
    <t>manguer*</t>
  </si>
  <si>
    <t>Manguera</t>
  </si>
  <si>
    <t>rebos*</t>
  </si>
  <si>
    <t>Rebose</t>
  </si>
  <si>
    <t>manij*</t>
  </si>
  <si>
    <t>Manija</t>
  </si>
  <si>
    <t>rescate*</t>
  </si>
  <si>
    <t>Rescate De Personal Tercero</t>
  </si>
  <si>
    <t>menek*</t>
  </si>
  <si>
    <t>Meneke</t>
  </si>
  <si>
    <t>sobrepasa el niv*</t>
  </si>
  <si>
    <t>meneq*</t>
  </si>
  <si>
    <t>reset*</t>
  </si>
  <si>
    <t>Reset</t>
  </si>
  <si>
    <t>mes*</t>
  </si>
  <si>
    <t>Mesa</t>
  </si>
  <si>
    <t>destroz*</t>
  </si>
  <si>
    <t>Rotura</t>
  </si>
  <si>
    <t>mordaz*</t>
  </si>
  <si>
    <t>Mordaza</t>
  </si>
  <si>
    <t>huec*</t>
  </si>
  <si>
    <t>motor*</t>
  </si>
  <si>
    <t>Motor</t>
  </si>
  <si>
    <t>quebrad*</t>
  </si>
  <si>
    <t>nivel de tin*</t>
  </si>
  <si>
    <t>Nivel De Tinta</t>
  </si>
  <si>
    <t>quiebr*</t>
  </si>
  <si>
    <t>oring*</t>
  </si>
  <si>
    <t>Oring</t>
  </si>
  <si>
    <t>rot*</t>
  </si>
  <si>
    <t>P100*</t>
  </si>
  <si>
    <t>P100</t>
  </si>
  <si>
    <t>destruid*</t>
  </si>
  <si>
    <t>P21</t>
  </si>
  <si>
    <t>romp*</t>
  </si>
  <si>
    <t>palet*</t>
  </si>
  <si>
    <t>Paletas</t>
  </si>
  <si>
    <t>chillid*</t>
  </si>
  <si>
    <t>Ruido</t>
  </si>
  <si>
    <t>pantall*</t>
  </si>
  <si>
    <t>Pantalla</t>
  </si>
  <si>
    <t>ruid*</t>
  </si>
  <si>
    <t xml:space="preserve"> parada de eme*</t>
  </si>
  <si>
    <t>Parada De Emergencia</t>
  </si>
  <si>
    <t>sonid*</t>
  </si>
  <si>
    <t>paramet*</t>
  </si>
  <si>
    <t>Parametros</t>
  </si>
  <si>
    <t>se cae*</t>
  </si>
  <si>
    <t>Se cae</t>
  </si>
  <si>
    <t>past*</t>
  </si>
  <si>
    <t>Pasta</t>
  </si>
  <si>
    <t>se peg*</t>
  </si>
  <si>
    <t>Se Pegan</t>
  </si>
  <si>
    <t>patron*</t>
  </si>
  <si>
    <t>Patrones</t>
  </si>
  <si>
    <t>se proteg*</t>
  </si>
  <si>
    <t>Se Protege</t>
  </si>
  <si>
    <t>peda*</t>
  </si>
  <si>
    <t>Pedal</t>
  </si>
  <si>
    <t>se tap*</t>
  </si>
  <si>
    <t>Se Tapo</t>
  </si>
  <si>
    <t>perill*</t>
  </si>
  <si>
    <t>Perilla</t>
  </si>
  <si>
    <t>tapad*</t>
  </si>
  <si>
    <t>Perno</t>
  </si>
  <si>
    <t>sec*</t>
  </si>
  <si>
    <t>Seco</t>
  </si>
  <si>
    <t>pine*</t>
  </si>
  <si>
    <t>Pines</t>
  </si>
  <si>
    <t>sellad*</t>
  </si>
  <si>
    <t>Sellado</t>
  </si>
  <si>
    <t>pinz*</t>
  </si>
  <si>
    <t>Pinzas</t>
  </si>
  <si>
    <t>montaj*</t>
  </si>
  <si>
    <t>Setup</t>
  </si>
  <si>
    <t>pistol*</t>
  </si>
  <si>
    <t>Pistola De Aire</t>
  </si>
  <si>
    <t>sobretorq*</t>
  </si>
  <si>
    <t>Sobretorque</t>
  </si>
  <si>
    <t>iston*</t>
  </si>
  <si>
    <t>Piston(es)</t>
  </si>
  <si>
    <t>salio*</t>
  </si>
  <si>
    <t>Soltura</t>
  </si>
  <si>
    <t>plancha de sell*</t>
  </si>
  <si>
    <t>Plancha De Sellado</t>
  </si>
  <si>
    <t>se salier*</t>
  </si>
  <si>
    <t>planch*</t>
  </si>
  <si>
    <t>Planchas</t>
  </si>
  <si>
    <t>suelt*</t>
  </si>
  <si>
    <t>plato*</t>
  </si>
  <si>
    <t>Plato</t>
  </si>
  <si>
    <t>tensad*</t>
  </si>
  <si>
    <t>plegad*</t>
  </si>
  <si>
    <t>Plegador</t>
  </si>
  <si>
    <t>suci*</t>
  </si>
  <si>
    <t>Suciedad</t>
  </si>
  <si>
    <t>diferentes med*</t>
  </si>
  <si>
    <t>Polin De Arrastre</t>
  </si>
  <si>
    <t>reempla*</t>
  </si>
  <si>
    <t>diferentes tama*</t>
  </si>
  <si>
    <t>retir*</t>
  </si>
  <si>
    <t>polin de arrastre*</t>
  </si>
  <si>
    <t>demora en temp*</t>
  </si>
  <si>
    <t>Temperado</t>
  </si>
  <si>
    <t>polin*</t>
  </si>
  <si>
    <t>º</t>
  </si>
  <si>
    <t>Temperatura</t>
  </si>
  <si>
    <t>porta bobin*</t>
  </si>
  <si>
    <t>Portabobina</t>
  </si>
  <si>
    <t>calient*</t>
  </si>
  <si>
    <t>portabobin*</t>
  </si>
  <si>
    <t>fria*</t>
  </si>
  <si>
    <t>potencio*</t>
  </si>
  <si>
    <t>Potenciometro</t>
  </si>
  <si>
    <t>no calient*</t>
  </si>
  <si>
    <t>Prensaestopa</t>
  </si>
  <si>
    <t>Velocidad</t>
  </si>
  <si>
    <t>prision*</t>
  </si>
  <si>
    <t>Prisionero</t>
  </si>
  <si>
    <t>vibra*</t>
  </si>
  <si>
    <t>Vibracion</t>
  </si>
  <si>
    <t>chocol*</t>
  </si>
  <si>
    <t>Producto</t>
  </si>
  <si>
    <t>voltead*</t>
  </si>
  <si>
    <t>Volteado</t>
  </si>
  <si>
    <t>masa*</t>
  </si>
  <si>
    <t>carga*</t>
  </si>
  <si>
    <t>Carga/descarga</t>
  </si>
  <si>
    <t>mezcla*</t>
  </si>
  <si>
    <t>product*</t>
  </si>
  <si>
    <t>tableta*</t>
  </si>
  <si>
    <t>puert*</t>
  </si>
  <si>
    <t>Puerta</t>
  </si>
  <si>
    <t>rascad*</t>
  </si>
  <si>
    <t>Rascador</t>
  </si>
  <si>
    <t>rejill*</t>
  </si>
  <si>
    <t>Rejilla</t>
  </si>
  <si>
    <t>resist*</t>
  </si>
  <si>
    <t>Resistencia</t>
  </si>
  <si>
    <t>resort*</t>
  </si>
  <si>
    <t>Resorte</t>
  </si>
  <si>
    <t>rodamien*</t>
  </si>
  <si>
    <t>Rodamiento</t>
  </si>
  <si>
    <t>rosc*</t>
  </si>
  <si>
    <t>Rosca</t>
  </si>
  <si>
    <t>segur*</t>
  </si>
  <si>
    <t>Seguro</t>
  </si>
  <si>
    <t>Sensor</t>
  </si>
  <si>
    <t>Soga</t>
  </si>
  <si>
    <t>soplad*</t>
  </si>
  <si>
    <t>Soplador</t>
  </si>
  <si>
    <t>SSR28</t>
  </si>
  <si>
    <t>Ssr28</t>
  </si>
  <si>
    <t>sumid*</t>
  </si>
  <si>
    <t>Sumidero</t>
  </si>
  <si>
    <t>Tablero elect*</t>
  </si>
  <si>
    <t>Tablero Electrico</t>
  </si>
  <si>
    <t>tapa*</t>
  </si>
  <si>
    <t>Tapa</t>
  </si>
  <si>
    <t>tapon*</t>
  </si>
  <si>
    <t>Tapones</t>
  </si>
  <si>
    <t>teflo*</t>
  </si>
  <si>
    <t>Teflon</t>
  </si>
  <si>
    <t>termolog*</t>
  </si>
  <si>
    <t>Termologer</t>
  </si>
  <si>
    <t xml:space="preserve"> tin*</t>
  </si>
  <si>
    <t>Tina</t>
  </si>
  <si>
    <t>tolv*</t>
  </si>
  <si>
    <t>Tolva</t>
  </si>
  <si>
    <t>tomacorrien*</t>
  </si>
  <si>
    <t>Tomacorriente</t>
  </si>
  <si>
    <t>tuber*</t>
  </si>
  <si>
    <t>Tuberias</t>
  </si>
  <si>
    <t>tuerc*</t>
  </si>
  <si>
    <t>Tuerca</t>
  </si>
  <si>
    <t>valvul*</t>
  </si>
  <si>
    <t>Valvula</t>
  </si>
  <si>
    <t>variad*</t>
  </si>
  <si>
    <t xml:space="preserve">Variador </t>
  </si>
  <si>
    <t>ventan*</t>
  </si>
  <si>
    <t>Ventana</t>
  </si>
  <si>
    <t>ventil*</t>
  </si>
  <si>
    <t>Ventilador</t>
  </si>
  <si>
    <t>ventos*</t>
  </si>
  <si>
    <t>Ventosas</t>
  </si>
  <si>
    <t>Virutas</t>
  </si>
  <si>
    <t>visagr*</t>
  </si>
  <si>
    <t>Visagras</t>
  </si>
  <si>
    <t>abrefa*</t>
  </si>
  <si>
    <t>Abrefacil</t>
  </si>
  <si>
    <t>bastonad*</t>
  </si>
  <si>
    <t>Bastonador</t>
  </si>
  <si>
    <t>Cadena</t>
  </si>
  <si>
    <t>criba*</t>
  </si>
  <si>
    <t>Criba</t>
  </si>
  <si>
    <t>expulsa*</t>
  </si>
  <si>
    <t>Expulsador</t>
  </si>
  <si>
    <t>molde*</t>
  </si>
  <si>
    <t>Moldes</t>
  </si>
  <si>
    <t>Quemador</t>
  </si>
  <si>
    <t>tensado*</t>
  </si>
  <si>
    <t>Tensador</t>
  </si>
  <si>
    <t>transm*</t>
  </si>
  <si>
    <t>Transmisión</t>
  </si>
  <si>
    <t>UPS</t>
  </si>
  <si>
    <t>interlock*</t>
  </si>
  <si>
    <t>Interlock</t>
  </si>
  <si>
    <t>rodillo*</t>
  </si>
  <si>
    <t>Rodillo</t>
  </si>
  <si>
    <t>Fecha de registro</t>
  </si>
  <si>
    <t>Tecnico</t>
  </si>
  <si>
    <t>turno</t>
  </si>
  <si>
    <t>Hora inicio</t>
  </si>
  <si>
    <t>Hora de termino</t>
  </si>
  <si>
    <t>Maquina</t>
  </si>
  <si>
    <t>Descripción de trabajo</t>
  </si>
  <si>
    <t>Accion correctiva</t>
  </si>
  <si>
    <t>Modificado</t>
  </si>
  <si>
    <t>Creado</t>
  </si>
  <si>
    <t>Tipo de elemento</t>
  </si>
  <si>
    <t>Ruta de acceso</t>
  </si>
  <si>
    <t>Hora Fin</t>
  </si>
  <si>
    <t>Elemento</t>
  </si>
  <si>
    <t>sites/Registrosdemantenimiento/Lists/Registro de mantenimiento</t>
  </si>
  <si>
    <t>02/07/2026</t>
  </si>
  <si>
    <t>Apoyo en máquina. No logran calibrar el sellado, el plegado se abre y se mueve.</t>
  </si>
  <si>
    <t>REPORTE SEMANAL DE ACTIVIDADES DE MANTENIMIENTO</t>
  </si>
  <si>
    <t>** PEGAR COMO VALOR</t>
  </si>
  <si>
    <t>PARTE/AREA</t>
  </si>
  <si>
    <t>DESCRIPCION</t>
  </si>
  <si>
    <t>SOLUCION</t>
  </si>
  <si>
    <t>SEM</t>
  </si>
  <si>
    <t>MES2</t>
  </si>
  <si>
    <t>Horas</t>
  </si>
  <si>
    <t>Año</t>
  </si>
  <si>
    <t>Mes-Año</t>
  </si>
  <si>
    <t>Año-Sem</t>
  </si>
  <si>
    <t>CONTAR</t>
  </si>
  <si>
    <t>CONTADOR 2</t>
  </si>
  <si>
    <t>Tiempo (min)</t>
  </si>
  <si>
    <t>dia-text</t>
  </si>
  <si>
    <t>Se ajusto prensaestopa de columna y se reviso niveles de agua</t>
  </si>
  <si>
    <t>Se aumento fuerza de torsión, se apoyó en el cambio de ventosas dañadas y se configuro parámetros del robot</t>
  </si>
  <si>
    <t>Problemas con el vacío, válvulas no calibradas</t>
  </si>
  <si>
    <t>Se aborto receta y se descargo manualmente a mesa de toffe, se regulo la presión de vacío sin carga</t>
  </si>
  <si>
    <t>Trabajos menores en planta</t>
  </si>
  <si>
    <t>Charla informativa sobre intercambiador de moldes</t>
  </si>
  <si>
    <t>Se retiró guardas, rejillas y piezas de máquina para su respectiva limpieza.</t>
  </si>
  <si>
    <t>Válvula de descarga, no realiza la apertura de forma manual. Se presencia fuga de aire por actuador neumático.</t>
  </si>
  <si>
    <t>Se revisó y aperturó de forma manual válvula de descarga.Se informó a jefe de mantenimiento y a supervisor de producción, para la intervención (retiro de válvula).</t>
  </si>
  <si>
    <t>No hay tensión en luminarias y tomacorrientes en almacén de envases.</t>
  </si>
  <si>
    <t>Se revisó tablero eléctrico y se identifico llaves que dicha zona.</t>
  </si>
  <si>
    <t>Se buscó piezas para armar máquina, se le informó a supervisores de producción sobre las piezas de máquina para que puedan buscarlas. Se colocó piezas en cabina de máquina.</t>
  </si>
  <si>
    <t>Válvula de descarga hansel, con empaques (o ring) desgastados.</t>
  </si>
  <si>
    <t>Se apoyo a personal tercero MV.mecanica a la sustitución y se dió seguimiento al momento del montaje en maquina.</t>
  </si>
  <si>
    <t>Se colocó piezas en posición y se habilitó máquina.</t>
  </si>
  <si>
    <t>Reparar sumideros inoxidables de Hansell.</t>
  </si>
  <si>
    <t>Se soldó asa en sumidero de zona toffee-Hansell.</t>
  </si>
  <si>
    <t xml:space="preserve">Arranque de equipos de planta y verificación de correcto encendido </t>
  </si>
  <si>
    <t xml:space="preserve">Se desarma equipo para limpieza </t>
  </si>
  <si>
    <t xml:space="preserve">Se retira guardas y bandas para limpieza </t>
  </si>
  <si>
    <t xml:space="preserve">Se retira guardas para realizar limpieza </t>
  </si>
  <si>
    <t>08:14</t>
  </si>
  <si>
    <t xml:space="preserve">Se coloca polines </t>
  </si>
  <si>
    <t>Falla en sensor A10</t>
  </si>
  <si>
    <t xml:space="preserve">Se calibra posición de sensores y se regula flujo de aire en actuador </t>
  </si>
  <si>
    <t xml:space="preserve">Armado de equipo, se coloca guardas fajas y se inicializa </t>
  </si>
  <si>
    <t>11:41</t>
  </si>
  <si>
    <t>12:12</t>
  </si>
  <si>
    <t xml:space="preserve">Se busca piezas y se arma MD para formato milky frambuesa </t>
  </si>
  <si>
    <t xml:space="preserve">Faja de alimentación se frena por momentos, se tensa y se realiza pruebas </t>
  </si>
  <si>
    <t xml:space="preserve">Revisión de funcionamiento de martillo, ajuste de ingreso de aire </t>
  </si>
  <si>
    <t>16:09</t>
  </si>
  <si>
    <t>Montaje de bandas alimentadoras y pruebas de funcionamiento, habilitación de equipo</t>
  </si>
  <si>
    <t>16:12</t>
  </si>
  <si>
    <t xml:space="preserve">Armado de equipo y habilitación </t>
  </si>
  <si>
    <t>16:36</t>
  </si>
  <si>
    <t>17:04</t>
  </si>
  <si>
    <t>Laminado se mueve, empaquetado sale mal</t>
  </si>
  <si>
    <t>Se reviso, se regulo guías de plancha, se ajusto posición de plancha de discos y se realizó pruebas</t>
  </si>
  <si>
    <t>17:35</t>
  </si>
  <si>
    <t xml:space="preserve">Se reviso, se lubrico rodamientos y se verifico funcionamiento </t>
  </si>
  <si>
    <t>18:51</t>
  </si>
  <si>
    <t>19:12</t>
  </si>
  <si>
    <t>Ruido en maquina</t>
  </si>
  <si>
    <t>Se corrigió posición de rascador de bandas, se ajusto posición de guiadores de entrada</t>
  </si>
  <si>
    <t>18:17</t>
  </si>
  <si>
    <t>Desarmado de formato agregados para limpieza</t>
  </si>
  <si>
    <t>19:24</t>
  </si>
  <si>
    <t>Armado de formato cremas y habilitación en mds</t>
  </si>
  <si>
    <t>Preparación de juego de pinzas para sacami</t>
  </si>
  <si>
    <t>Cambio de pinzas</t>
  </si>
  <si>
    <t>Se coloco guardas y se completo pernos</t>
  </si>
  <si>
    <t xml:space="preserve">Inspección de funcionamiento de actuador b6 y martillo </t>
  </si>
  <si>
    <t>Se regulo velocidad de agitacion</t>
  </si>
  <si>
    <t>Revisión de equipo y purgas</t>
  </si>
  <si>
    <t>06:23</t>
  </si>
  <si>
    <t xml:space="preserve">Inspección de niveles de agua </t>
  </si>
  <si>
    <t>Faja se desalinea y genera virutas, polín de arrastre tiene juego</t>
  </si>
  <si>
    <t xml:space="preserve">Se informa para intervención con personal tercero </t>
  </si>
  <si>
    <t>Cambio de formato de 50 a 100</t>
  </si>
  <si>
    <t>Colocar piezas en posición</t>
  </si>
  <si>
    <t>Se colocó cuchilla y empaque en máquina.</t>
  </si>
  <si>
    <t>12:06</t>
  </si>
  <si>
    <t xml:space="preserve">Cuchilla no corta laminado </t>
  </si>
  <si>
    <t>Se calibra posición de cuchilla fija</t>
  </si>
  <si>
    <t>Apoyo a técnico de turno con el cambio de formato en máquina.</t>
  </si>
  <si>
    <t>Se realizó el cambio de formato en máquina a formato por 100gr</t>
  </si>
  <si>
    <t>Desarmar módulo de MDS para su limpieza.</t>
  </si>
  <si>
    <t>10:41</t>
  </si>
  <si>
    <t>Armar módulo MDS formato agregados x100gr</t>
  </si>
  <si>
    <t>Se armó módulo de MDS.</t>
  </si>
  <si>
    <t xml:space="preserve">Purgas y revisión </t>
  </si>
  <si>
    <t>Cambio de formato de milky a pisco x9</t>
  </si>
  <si>
    <t>Inspección de alineación de fajas</t>
  </si>
  <si>
    <t xml:space="preserve">Orden y limpieza de área </t>
  </si>
  <si>
    <t xml:space="preserve">De guardo repuesto en almacén </t>
  </si>
  <si>
    <t xml:space="preserve">Se retira husillo y plancha para limpieza </t>
  </si>
  <si>
    <t xml:space="preserve">Cambio de formato de milky a mini milky </t>
  </si>
  <si>
    <t xml:space="preserve">Se coloca empujadores y se carga recetas </t>
  </si>
  <si>
    <t xml:space="preserve">Se coloca husillo y plancha en MDS y se inicializa </t>
  </si>
  <si>
    <t xml:space="preserve">Charla de seguridad </t>
  </si>
  <si>
    <t>Se desarmo máquina.</t>
  </si>
  <si>
    <t>Se ajusto pernos de guardas y se apoyo con el levantamiento de imán.</t>
  </si>
  <si>
    <t>Se ordeno y limpio taller de mantenimiento.</t>
  </si>
  <si>
    <t>Gomas gastada en pinzas.</t>
  </si>
  <si>
    <t>Se reemplazo gomas de las pinzas.</t>
  </si>
  <si>
    <t>Charla de seguridad en el trabajo y primeros auxilios.</t>
  </si>
  <si>
    <t>Se asistió a las respectivas charlas.</t>
  </si>
  <si>
    <t>Cambio de formato de mds</t>
  </si>
  <si>
    <t>Se retiró rodillo, plancha y empujadores , se apoyó con el secado de piezas y se armó equipo</t>
  </si>
  <si>
    <t>01:07</t>
  </si>
  <si>
    <t xml:space="preserve">Inspección de robot </t>
  </si>
  <si>
    <t xml:space="preserve">Revisión de sensores y solenoides de sección 1 del túnel de enfriamiento </t>
  </si>
  <si>
    <t>Fallo en impresor, rotura de cinta</t>
  </si>
  <si>
    <t>Se coloco cinta , se restableció impresor y se hizo pruebas</t>
  </si>
  <si>
    <t>Cambio de formato para chocolate a la taza</t>
  </si>
  <si>
    <t>Se cambió formato y se preparó línea automática para el formato de chocolate a la taza</t>
  </si>
  <si>
    <t>Problemas con el corte , hace hueco la bolsa</t>
  </si>
  <si>
    <t>Se regulo angulo de corte de cuchilla , se calibro corte y sellado y se hizo pruebas</t>
  </si>
  <si>
    <t xml:space="preserve">Inspección de funcionamiento </t>
  </si>
  <si>
    <t>Apoyó en maquina</t>
  </si>
  <si>
    <t xml:space="preserve">Se apoyó con regulación de fajas guías para formato de chocolate a la taza, se corrigio provisionalmente la altura de par de bandas de ingreso , se dió seguimiento y se apoyó en operación </t>
  </si>
  <si>
    <t>Se reviso el estado de cuchillas de ambos lados</t>
  </si>
  <si>
    <t>Rotura del vástago del pistón</t>
  </si>
  <si>
    <t xml:space="preserve">Se retiró pistón y vástago del equipo, se hizo el soldeo en taller de mantenimiento, se montó pisto reparado y se hizo pruebas </t>
  </si>
  <si>
    <t>Calibración para formato de pisco x 18</t>
  </si>
  <si>
    <t xml:space="preserve">Se calibro laminado, abrefacil corte , sellado y plegado , se hizo pruebas y se dejó producto de muestra </t>
  </si>
  <si>
    <t xml:space="preserve">Se reviso parámetros de controlador de temperatura </t>
  </si>
  <si>
    <t xml:space="preserve">Lubricacion según formato </t>
  </si>
  <si>
    <t>Se lubrico y limpio excedentes den empaquetadora y realizadora GD</t>
  </si>
  <si>
    <t>13:44</t>
  </si>
  <si>
    <t xml:space="preserve">Desarmado de formato cremas de mds, para limpieza </t>
  </si>
  <si>
    <t>No pega bien etiqueta</t>
  </si>
  <si>
    <t>Se reviso boquillas de goma, le falta billa, se reviso alrededor no se encontró, se llevó boquilla a taller para buscar adecuarlo</t>
  </si>
  <si>
    <t>12:46</t>
  </si>
  <si>
    <t>13:02</t>
  </si>
  <si>
    <t>Variación de temperatura en mordazas</t>
  </si>
  <si>
    <t xml:space="preserve">Se realizó limpieza de colector y carboncillos, se realizó pruebas de funcionamiento </t>
  </si>
  <si>
    <t>Ruido en maquina, perno rodado en ajuste de bobina</t>
  </si>
  <si>
    <t>Se reviso ruido, se reporto y se realizó cambio de pernos rodado</t>
  </si>
  <si>
    <t>Prueba de funcionamiento de bomba de pozo subterráneo de local anexo</t>
  </si>
  <si>
    <t>Problemas en el empaquetado</t>
  </si>
  <si>
    <t>Se regulo cuchilla, se retraso cierre de pinzas, se regulo altura de plegador</t>
  </si>
  <si>
    <t>14:49</t>
  </si>
  <si>
    <t>15:09</t>
  </si>
  <si>
    <t>Tubería desajustada, plancha no ajusta bien</t>
  </si>
  <si>
    <t>Se ajusto tubería y se apoyo ajustando plancha de dosificador</t>
  </si>
  <si>
    <t>16:03</t>
  </si>
  <si>
    <t xml:space="preserve">Apoyo al área de seguridad, se rompió candados de casilleros de vestuario de local anexo </t>
  </si>
  <si>
    <t>Polines con chocolate seco en banda, sensor con problemas en tina de samfill</t>
  </si>
  <si>
    <t xml:space="preserve">Se realizó limpieza de polines de banda, se retiro sensor de tina se le realizó limpieza y se sello con silicona, se realizó pruebas de funcionamiento </t>
  </si>
  <si>
    <t>18:49</t>
  </si>
  <si>
    <t>Problemas en el envasado de producto</t>
  </si>
  <si>
    <t xml:space="preserve">Se reviso funcionamiento y se regulo brazos de salida </t>
  </si>
  <si>
    <t>19:26</t>
  </si>
  <si>
    <t>Controlador de temperatura con botones dañados</t>
  </si>
  <si>
    <t xml:space="preserve">Se realizó cambio de controlador, se realizó configuración según temperatura </t>
  </si>
  <si>
    <t>20:57</t>
  </si>
  <si>
    <t>Cambio de medidas y piezas para formato pisco x18</t>
  </si>
  <si>
    <t xml:space="preserve">Revisión de funcionamiento de vacío en coccion de toffee chocolate </t>
  </si>
  <si>
    <t>REGISTRO DE ACTIVIDADES DE LA SEMANA</t>
  </si>
  <si>
    <t>Examinar  equipos y componentes para detectar posibles problemas antes de que se conviertan en fallas mayores.</t>
  </si>
  <si>
    <t>Aplicar una sustancia (lubricante) entre superficies en movimiento para reducir la fricción, el desgaste y disipar el calor, mejorando la eficiencia y prolongando la vida útil de los componentes.</t>
  </si>
  <si>
    <t>Reemplazar piezas o componentes desgastados o dañados para mantener los equipos en óptimas condiciones de operación.</t>
  </si>
  <si>
    <t>Afinar y calibrar equipos para asegurar que funcionan con la precisión y eficiencia necesarias, despues de arranque de línea</t>
  </si>
  <si>
    <t>Remover suciedad, residuos y contaminantes de los equipos y áreas de trabajo para mantener un ambiente seguro y eficiente.</t>
  </si>
  <si>
    <t>Realizar evaluaciones funcionales de equipos para verificar que operan correctamente y cumplen con los estándares requeridos.</t>
  </si>
  <si>
    <t>Iniciar o reiniciar equipos, equipos auxiliares y sistemas para asegurar que comienzan a operar de manera adecuada."</t>
  </si>
  <si>
    <t>Arreglar o dar soluciones a maquinaria o equipos asegurando su correcta funcionalidad</t>
  </si>
  <si>
    <t>Preparar y configurar equipos y maquinaria para nuevas operaciones o tareas específicas previos al arranque de Linea</t>
  </si>
  <si>
    <t>Implementar cambios o actualizaciones en equipos y procesos para aumentar la eficiencia y el rendimiento."</t>
  </si>
  <si>
    <t>Proveer formación y desarrollo al personal operario para mejorar sus habilidades y conocimientos. Asimismo, la adquisicion de conocimientos y competencias por parte del personal tercero al tecnico de mantenimiento</t>
  </si>
  <si>
    <t>Organizar y gestionar actividades y recursos de mantenimiento para asegurar un flujo de trabajo eficiente.</t>
  </si>
  <si>
    <t>Realizar diversas tareas de mantenimiento anexas como: Marcado, apoyo, tralados de repuestos, limpiezas de taller y almacen</t>
  </si>
  <si>
    <t>Romper candados, soporte a luminarias y grifos.</t>
  </si>
  <si>
    <t>RESUMEN</t>
  </si>
  <si>
    <t>T.Total.</t>
  </si>
  <si>
    <t>FREC.</t>
  </si>
  <si>
    <t>Temperatura, Temperatura</t>
  </si>
  <si>
    <t>S-A</t>
  </si>
  <si>
    <t>M-A</t>
  </si>
  <si>
    <t>24-20</t>
  </si>
  <si>
    <t>Jun-20</t>
  </si>
  <si>
    <t>25-20</t>
  </si>
  <si>
    <t>26-20</t>
  </si>
  <si>
    <t>27-20</t>
  </si>
  <si>
    <t>28-20</t>
  </si>
  <si>
    <t>Jul-20</t>
  </si>
  <si>
    <t>29-20</t>
  </si>
  <si>
    <t>30-20</t>
  </si>
  <si>
    <t>31-20</t>
  </si>
  <si>
    <t>32-20</t>
  </si>
  <si>
    <t>Ago-20</t>
  </si>
  <si>
    <t>33-20</t>
  </si>
  <si>
    <t>34-20</t>
  </si>
  <si>
    <t>35-20</t>
  </si>
  <si>
    <t>36-20</t>
  </si>
  <si>
    <t>Sep-20</t>
  </si>
  <si>
    <t>37-20</t>
  </si>
  <si>
    <t>38-20</t>
  </si>
  <si>
    <t>39-20</t>
  </si>
  <si>
    <t>40-20</t>
  </si>
  <si>
    <t>Oct-20</t>
  </si>
  <si>
    <t>41-20</t>
  </si>
  <si>
    <t>42-20</t>
  </si>
  <si>
    <t>43-20</t>
  </si>
  <si>
    <t>44-20</t>
  </si>
  <si>
    <t>45-20</t>
  </si>
  <si>
    <t>Nov-20</t>
  </si>
  <si>
    <t>46-20</t>
  </si>
  <si>
    <t>47-20</t>
  </si>
  <si>
    <t>48-20</t>
  </si>
  <si>
    <t>49-20</t>
  </si>
  <si>
    <t>Dic-20</t>
  </si>
  <si>
    <t>50-20</t>
  </si>
  <si>
    <t>51-20</t>
  </si>
  <si>
    <t>52-20</t>
  </si>
  <si>
    <t>53-20</t>
  </si>
  <si>
    <t>1-21</t>
  </si>
  <si>
    <t>Ene-21</t>
  </si>
  <si>
    <t>2-21</t>
  </si>
  <si>
    <t>3-21</t>
  </si>
  <si>
    <t>4-21</t>
  </si>
  <si>
    <t>5-21</t>
  </si>
  <si>
    <t>Feb-21</t>
  </si>
  <si>
    <t>6-21</t>
  </si>
  <si>
    <t>7-21</t>
  </si>
  <si>
    <t>8-21</t>
  </si>
  <si>
    <t>9-21</t>
  </si>
  <si>
    <t>Mar-21</t>
  </si>
  <si>
    <t>10-21</t>
  </si>
  <si>
    <t>11-21</t>
  </si>
  <si>
    <t>12-21</t>
  </si>
  <si>
    <t>13-21</t>
  </si>
  <si>
    <t>14-21</t>
  </si>
  <si>
    <t>Abr-21</t>
  </si>
  <si>
    <t>15-21</t>
  </si>
  <si>
    <t>16-21</t>
  </si>
  <si>
    <t>17-21</t>
  </si>
  <si>
    <t>18-21</t>
  </si>
  <si>
    <t>May-21</t>
  </si>
  <si>
    <t>19-21</t>
  </si>
  <si>
    <t>20-21</t>
  </si>
  <si>
    <t>21-21</t>
  </si>
  <si>
    <t>22-21</t>
  </si>
  <si>
    <t>Jun-21</t>
  </si>
  <si>
    <t>23-21</t>
  </si>
  <si>
    <t>24-21</t>
  </si>
  <si>
    <t>25-21</t>
  </si>
  <si>
    <t>26-21</t>
  </si>
  <si>
    <t>27-21</t>
  </si>
  <si>
    <t>Jul-21</t>
  </si>
  <si>
    <t>28-21</t>
  </si>
  <si>
    <t>29-21</t>
  </si>
  <si>
    <t>30-21</t>
  </si>
  <si>
    <t>31-21</t>
  </si>
  <si>
    <t>Ago-21</t>
  </si>
  <si>
    <t>32-21</t>
  </si>
  <si>
    <t>33-21</t>
  </si>
  <si>
    <t>34-21</t>
  </si>
  <si>
    <t>35-21</t>
  </si>
  <si>
    <t>Sep-21</t>
  </si>
  <si>
    <t>36-21</t>
  </si>
  <si>
    <t>37-21</t>
  </si>
  <si>
    <t>38-21</t>
  </si>
  <si>
    <t>40-21</t>
  </si>
  <si>
    <t>Oct-21</t>
  </si>
  <si>
    <t>41-21</t>
  </si>
  <si>
    <t>42-21</t>
  </si>
  <si>
    <t>43-21</t>
  </si>
  <si>
    <t>44-21</t>
  </si>
  <si>
    <t>Nov-21</t>
  </si>
  <si>
    <t>45-21</t>
  </si>
  <si>
    <t>46-21</t>
  </si>
  <si>
    <t>47-21</t>
  </si>
  <si>
    <t>48-21</t>
  </si>
  <si>
    <t>Dic-21</t>
  </si>
  <si>
    <t>49-21</t>
  </si>
  <si>
    <t>50-21</t>
  </si>
  <si>
    <t>51-21</t>
  </si>
  <si>
    <t>52-21</t>
  </si>
  <si>
    <t>1-22</t>
  </si>
  <si>
    <t>Ene-22</t>
  </si>
  <si>
    <t>2-22</t>
  </si>
  <si>
    <t>3-22</t>
  </si>
  <si>
    <t>4-22</t>
  </si>
  <si>
    <t>5-22</t>
  </si>
  <si>
    <t>Feb-22</t>
  </si>
  <si>
    <t>6-22</t>
  </si>
  <si>
    <t>7-22</t>
  </si>
  <si>
    <t>8-22</t>
  </si>
  <si>
    <t>9-22</t>
  </si>
  <si>
    <t>Mar-22</t>
  </si>
  <si>
    <t>10-22</t>
  </si>
  <si>
    <t>11-22</t>
  </si>
  <si>
    <t>12-22</t>
  </si>
  <si>
    <t>15-22</t>
  </si>
  <si>
    <t>Abr-22</t>
  </si>
  <si>
    <t>16-22</t>
  </si>
  <si>
    <t>17-22</t>
  </si>
  <si>
    <t>18-22</t>
  </si>
  <si>
    <t>May-22</t>
  </si>
  <si>
    <t>19-22</t>
  </si>
  <si>
    <t>20-22</t>
  </si>
  <si>
    <t>21-22</t>
  </si>
  <si>
    <t>22-22</t>
  </si>
  <si>
    <t>Jun-22</t>
  </si>
  <si>
    <t>23-22</t>
  </si>
  <si>
    <t>24-22</t>
  </si>
  <si>
    <t>25-22</t>
  </si>
  <si>
    <t>26-22</t>
  </si>
  <si>
    <t>27-22</t>
  </si>
  <si>
    <t>Jul-22</t>
  </si>
  <si>
    <t>28-22</t>
  </si>
  <si>
    <t>29-22</t>
  </si>
  <si>
    <t>30-22</t>
  </si>
  <si>
    <t>31-22</t>
  </si>
  <si>
    <t>Ago-22</t>
  </si>
  <si>
    <t>32-22</t>
  </si>
  <si>
    <t>33-22</t>
  </si>
  <si>
    <t>34-22</t>
  </si>
  <si>
    <t>35-22</t>
  </si>
  <si>
    <t>36-22</t>
  </si>
  <si>
    <t>Sep-22</t>
  </si>
  <si>
    <t>37-22</t>
  </si>
  <si>
    <t>38-22</t>
  </si>
  <si>
    <t>39-22</t>
  </si>
  <si>
    <t>40-22</t>
  </si>
  <si>
    <t>Oct-22</t>
  </si>
  <si>
    <t>41-22</t>
  </si>
  <si>
    <t>42-22</t>
  </si>
  <si>
    <t>43-22</t>
  </si>
  <si>
    <t>44-22</t>
  </si>
  <si>
    <t>Nov-22</t>
  </si>
  <si>
    <t>45-22</t>
  </si>
  <si>
    <t>46-22</t>
  </si>
  <si>
    <t>47-22</t>
  </si>
  <si>
    <t>48-22</t>
  </si>
  <si>
    <t>49-22</t>
  </si>
  <si>
    <t>Dic-22</t>
  </si>
  <si>
    <t>50-22</t>
  </si>
  <si>
    <t>51-22</t>
  </si>
  <si>
    <t>52-22</t>
  </si>
  <si>
    <t>1-23</t>
  </si>
  <si>
    <t>Ene-23</t>
  </si>
  <si>
    <t>2-23</t>
  </si>
  <si>
    <t>3-23</t>
  </si>
  <si>
    <t>4-23</t>
  </si>
  <si>
    <t>5-23</t>
  </si>
  <si>
    <t>Feb-23</t>
  </si>
  <si>
    <t>6-23</t>
  </si>
  <si>
    <t>7-23</t>
  </si>
  <si>
    <t>8-23</t>
  </si>
  <si>
    <t>MQ-</t>
  </si>
  <si>
    <t>9-23</t>
  </si>
  <si>
    <t>Mar-23</t>
  </si>
  <si>
    <t>10-23</t>
  </si>
  <si>
    <t>11-23</t>
  </si>
  <si>
    <t>12-23</t>
  </si>
  <si>
    <t>13-23</t>
  </si>
  <si>
    <t>14-23</t>
  </si>
  <si>
    <t>Abr-23</t>
  </si>
  <si>
    <t>15-23</t>
  </si>
  <si>
    <t>16-23</t>
  </si>
  <si>
    <t>17-23</t>
  </si>
  <si>
    <t>18-23</t>
  </si>
  <si>
    <t>May-23</t>
  </si>
  <si>
    <t>19-23</t>
  </si>
  <si>
    <t>20-23</t>
  </si>
  <si>
    <t>21-23</t>
  </si>
  <si>
    <t>22-23</t>
  </si>
  <si>
    <t>Jun-23</t>
  </si>
  <si>
    <t>24-23</t>
  </si>
  <si>
    <t>23-23</t>
  </si>
  <si>
    <t>25-23</t>
  </si>
  <si>
    <t>26-23</t>
  </si>
  <si>
    <t>27-23</t>
  </si>
  <si>
    <t>Jul-23</t>
  </si>
  <si>
    <t>28-23</t>
  </si>
  <si>
    <t>29-23</t>
  </si>
  <si>
    <t>30-23</t>
  </si>
  <si>
    <t>31-23</t>
  </si>
  <si>
    <t>Ago-23</t>
  </si>
  <si>
    <t>32-23</t>
  </si>
  <si>
    <t>33-23</t>
  </si>
  <si>
    <t>34-23</t>
  </si>
  <si>
    <t>35-23</t>
  </si>
  <si>
    <t>36-23</t>
  </si>
  <si>
    <t>Sep-23</t>
  </si>
  <si>
    <t>37-23</t>
  </si>
  <si>
    <t>38-23</t>
  </si>
  <si>
    <t>39-23</t>
  </si>
  <si>
    <t>40-23</t>
  </si>
  <si>
    <t>Oct-23</t>
  </si>
  <si>
    <t>41-23</t>
  </si>
  <si>
    <t>42-23</t>
  </si>
  <si>
    <t>43-23</t>
  </si>
  <si>
    <t>44-23</t>
  </si>
  <si>
    <t>Nov-23</t>
  </si>
  <si>
    <t>45-23</t>
  </si>
  <si>
    <t>46-23</t>
  </si>
  <si>
    <t>47-23</t>
  </si>
  <si>
    <t>48-23</t>
  </si>
  <si>
    <t>49-23</t>
  </si>
  <si>
    <t>Dic-23</t>
  </si>
  <si>
    <t>50-23</t>
  </si>
  <si>
    <t>51-23</t>
  </si>
  <si>
    <t>52-23</t>
  </si>
  <si>
    <t xml:space="preserve"> 98i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</si>
</sst>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400]h:mm:ss\ AM/PM"/>
    <numFmt numFmtId="165" formatCode="h:mm:ss;@"/>
    <numFmt numFmtId="166" formatCode="h:mm;@"/>
    <numFmt numFmtId="167" formatCode="hh:mm;@"/>
    <numFmt numFmtId="168" formatCode="[h]:mm"/>
    <numFmt numFmtId="169" formatCode="[h]\.mm"/>
    <numFmt numFmtId="170" formatCode="0.0"/>
    <numFmt numFmtId="171" formatCode="0.0%"/>
  </numFmts>
  <fonts count="9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b/>
      <sz val="26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6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name val="Segoe U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Segoe UI"/>
      <family val="2"/>
    </font>
    <font>
      <b/>
      <sz val="20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28"/>
      <color theme="0"/>
      <name val="Corbel"/>
      <family val="2"/>
    </font>
    <font>
      <sz val="20"/>
      <color theme="0"/>
      <name val="Calibri"/>
      <family val="2"/>
      <scheme val="minor"/>
    </font>
    <font>
      <sz val="28"/>
      <name val="Segoe UI"/>
      <family val="2"/>
    </font>
    <font>
      <b/>
      <sz val="48"/>
      <color theme="0"/>
      <name val="Aptos Narrow"/>
      <family val="2"/>
    </font>
    <font>
      <b/>
      <sz val="36"/>
      <color theme="0"/>
      <name val="Corbel"/>
      <family val="2"/>
    </font>
    <font>
      <sz val="26"/>
      <color theme="1"/>
      <name val="Calibri"/>
      <family val="2"/>
      <scheme val="minor"/>
    </font>
    <font>
      <b/>
      <sz val="40"/>
      <color theme="0"/>
      <name val="Times New Roman"/>
      <family val="1"/>
    </font>
    <font>
      <b/>
      <sz val="72"/>
      <color theme="0"/>
      <name val="Times New Roman"/>
      <family val="1"/>
    </font>
    <font>
      <b/>
      <sz val="48"/>
      <color theme="0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28"/>
      <color rgb="FF00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20"/>
      <color rgb="FFC0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48"/>
      <color theme="0"/>
      <name val="Times New Roman"/>
      <family val="1"/>
    </font>
    <font>
      <b/>
      <sz val="36"/>
      <color theme="0"/>
      <name val="Calibri"/>
      <family val="2"/>
      <scheme val="minor"/>
    </font>
    <font>
      <b/>
      <sz val="72"/>
      <color theme="4" tint="-0.499984740745262"/>
      <name val="Calibri"/>
      <family val="2"/>
      <scheme val="minor"/>
    </font>
    <font>
      <b/>
      <sz val="18"/>
      <color rgb="FF000000"/>
      <name val="Aptos Narrow"/>
      <family val="2"/>
    </font>
    <font>
      <b/>
      <sz val="11"/>
      <color rgb="FFFFFFFF"/>
      <name val="Calibri"/>
      <family val="2"/>
    </font>
    <font>
      <b/>
      <sz val="11"/>
      <color rgb="FFFF0000"/>
      <name val="Calibri"/>
      <family val="2"/>
    </font>
    <font>
      <sz val="11"/>
      <color rgb="FF006CBE"/>
      <name val="Consolas"/>
      <family val="3"/>
    </font>
    <font>
      <sz val="11"/>
      <color rgb="FF242424"/>
      <name val="Consolas"/>
      <family val="3"/>
    </font>
    <font>
      <sz val="11"/>
      <color rgb="FFBC2F32"/>
      <name val="Consolas"/>
      <family val="3"/>
    </font>
    <font>
      <sz val="11"/>
      <color rgb="FF7C53AC"/>
      <name val="Consolas"/>
      <family val="3"/>
    </font>
    <font>
      <sz val="8"/>
      <name val="Calibri"/>
      <family val="2"/>
      <scheme val="minor"/>
    </font>
    <font>
      <sz val="26"/>
      <color rgb="FF000000"/>
      <name val="Calibri"/>
      <family val="2"/>
      <scheme val="minor"/>
    </font>
    <font>
      <sz val="24"/>
      <color rgb="FF000000"/>
      <name val="Calibri"/>
      <family val="2"/>
      <scheme val="minor"/>
    </font>
    <font>
      <b/>
      <sz val="26"/>
      <color theme="0"/>
      <name val="Corbel"/>
      <family val="2"/>
    </font>
    <font>
      <sz val="72"/>
      <color theme="0"/>
      <name val="Georgia"/>
      <family val="1"/>
    </font>
    <font>
      <sz val="24"/>
      <color theme="0"/>
      <name val="Calibri"/>
      <family val="2"/>
      <scheme val="minor"/>
    </font>
    <font>
      <sz val="26"/>
      <name val="Calibri"/>
      <family val="2"/>
      <scheme val="minor"/>
    </font>
    <font>
      <sz val="11"/>
      <color rgb="FF000000"/>
      <name val="Aptos Narrow"/>
      <family val="2"/>
    </font>
    <font>
      <sz val="11"/>
      <color theme="1"/>
      <name val="Calibri"/>
      <family val="2"/>
      <scheme val="minor"/>
    </font>
    <font>
      <sz val="24"/>
      <color rgb="FFC00000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name val="Calibri"/>
      <family val="2"/>
      <scheme val="minor"/>
    </font>
    <font>
      <sz val="11"/>
      <name val="Calibri"/>
      <family val="2"/>
      <scheme val="minor"/>
    </font>
    <font>
      <sz val="72"/>
      <name val="Georgia"/>
      <family val="1"/>
    </font>
    <font>
      <sz val="28"/>
      <color theme="1"/>
      <name val="Calibri"/>
      <family val="2"/>
      <scheme val="minor"/>
    </font>
    <font>
      <b/>
      <sz val="40"/>
      <color theme="4" tint="-0.499984740745262"/>
      <name val="Times New Roman"/>
      <family val="1"/>
    </font>
    <font>
      <sz val="72"/>
      <color theme="4" tint="-0.499984740745262"/>
      <name val="Calibri"/>
      <family val="2"/>
      <scheme val="minor"/>
    </font>
    <font>
      <sz val="18"/>
      <color rgb="FFC00000"/>
      <name val="Calibri"/>
      <family val="2"/>
      <scheme val="minor"/>
    </font>
    <font>
      <sz val="28"/>
      <color rgb="FFC00000"/>
      <name val="Calibri"/>
      <family val="2"/>
      <scheme val="minor"/>
    </font>
    <font>
      <sz val="22"/>
      <color rgb="FFC0000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8"/>
      <color rgb="FFC00000"/>
      <name val="Calibri"/>
      <family val="2"/>
      <scheme val="minor"/>
    </font>
    <font>
      <sz val="16"/>
      <color rgb="FFC00000"/>
      <name val="Calibri"/>
      <family val="2"/>
      <scheme val="minor"/>
    </font>
    <font>
      <sz val="14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36"/>
      <color theme="0"/>
      <name val="Calibri"/>
      <family val="2"/>
      <scheme val="minor"/>
    </font>
    <font>
      <sz val="20"/>
      <color theme="9" tint="-0.249977111117893"/>
      <name val="Calibri"/>
      <family val="2"/>
      <scheme val="minor"/>
    </font>
    <font>
      <sz val="11"/>
      <color rgb="FF007564"/>
      <name val="Calibri"/>
      <family val="2"/>
      <scheme val="minor"/>
    </font>
    <font>
      <sz val="11"/>
      <color rgb="FF8F6200"/>
      <name val="Calibri"/>
      <family val="2"/>
      <scheme val="minor"/>
    </font>
    <font>
      <sz val="9"/>
      <color rgb="FF8F6200"/>
      <name val="Calibri"/>
      <family val="2"/>
      <scheme val="minor"/>
    </font>
    <font>
      <sz val="9"/>
      <color rgb="FF666666"/>
      <name val="Calibri"/>
      <family val="2"/>
      <scheme val="minor"/>
    </font>
    <font>
      <sz val="9"/>
      <color rgb="FF323130"/>
      <name val="Segoe UI"/>
      <family val="2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D9E1F2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D9E1F2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rgb="FFD9E1F2"/>
      </patternFill>
    </fill>
    <fill>
      <patternFill patternType="solid">
        <fgColor theme="4"/>
        <bgColor theme="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2336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E6F5"/>
        <bgColor rgb="FFC0E6F5"/>
      </patternFill>
    </fill>
    <fill>
      <patternFill patternType="solid">
        <fgColor rgb="FFF0A19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0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000000"/>
      </top>
      <bottom/>
      <diagonal/>
    </border>
    <border>
      <left style="thin">
        <color theme="4" tint="0.3999755851924192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rgb="FF44B3E1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thin">
        <color rgb="FF44B3E1"/>
      </left>
      <right/>
      <top style="thin">
        <color rgb="FF44B3E1"/>
      </top>
      <bottom/>
      <diagonal/>
    </border>
    <border>
      <left/>
      <right style="thin">
        <color rgb="FF44B3E1"/>
      </right>
      <top style="thin">
        <color rgb="FF44B3E1"/>
      </top>
      <bottom/>
      <diagonal/>
    </border>
    <border>
      <left style="thin">
        <color rgb="FF000000"/>
      </left>
      <right style="thin">
        <color theme="4" tint="0.3999755851924192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theme="4" tint="0.39997558519241921"/>
      </right>
      <top style="thin">
        <color rgb="FF000000"/>
      </top>
      <bottom style="thin">
        <color theme="4" tint="0.39997558519241921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theme="4" tint="0.3999755851924192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9" fontId="61" fillId="0" borderId="0" applyFont="0" applyFill="0" applyBorder="0" applyAlignment="0" applyProtection="0"/>
  </cellStyleXfs>
  <cellXfs count="80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4" fontId="0" fillId="0" borderId="0" xfId="0" applyNumberFormat="1"/>
    <xf numFmtId="0" fontId="0" fillId="0" borderId="1" xfId="0" applyBorder="1"/>
    <xf numFmtId="0" fontId="0" fillId="0" borderId="0" xfId="0" applyAlignment="1">
      <alignment horizontal="center"/>
    </xf>
    <xf numFmtId="0" fontId="1" fillId="0" borderId="0" xfId="0" applyFont="1"/>
    <xf numFmtId="0" fontId="0" fillId="0" borderId="5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16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3" fillId="0" borderId="0" xfId="0" applyFont="1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0" xfId="0" applyFill="1"/>
    <xf numFmtId="0" fontId="9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0" fillId="0" borderId="3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1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4" borderId="17" xfId="0" applyFill="1" applyBorder="1" applyAlignment="1">
      <alignment horizontal="left"/>
    </xf>
    <xf numFmtId="0" fontId="0" fillId="0" borderId="17" xfId="0" applyBorder="1" applyAlignment="1">
      <alignment horizontal="left" vertical="center"/>
    </xf>
    <xf numFmtId="0" fontId="0" fillId="4" borderId="17" xfId="0" applyFill="1" applyBorder="1" applyAlignment="1">
      <alignment horizontal="left" vertical="center"/>
    </xf>
    <xf numFmtId="0" fontId="19" fillId="0" borderId="0" xfId="0" applyFont="1" applyAlignment="1">
      <alignment wrapText="1"/>
    </xf>
    <xf numFmtId="0" fontId="19" fillId="2" borderId="0" xfId="0" applyFont="1" applyFill="1" applyAlignment="1">
      <alignment wrapText="1"/>
    </xf>
    <xf numFmtId="0" fontId="19" fillId="7" borderId="0" xfId="0" applyFont="1" applyFill="1" applyAlignment="1">
      <alignment wrapText="1"/>
    </xf>
    <xf numFmtId="0" fontId="9" fillId="7" borderId="0" xfId="0" applyFont="1" applyFill="1" applyAlignment="1">
      <alignment vertical="center"/>
    </xf>
    <xf numFmtId="0" fontId="0" fillId="0" borderId="1" xfId="0" applyBorder="1" applyAlignment="1">
      <alignment horizontal="left" wrapText="1"/>
    </xf>
    <xf numFmtId="0" fontId="0" fillId="0" borderId="10" xfId="0" applyBorder="1"/>
    <xf numFmtId="0" fontId="0" fillId="0" borderId="11" xfId="0" applyBorder="1"/>
    <xf numFmtId="0" fontId="0" fillId="0" borderId="16" xfId="0" applyBorder="1"/>
    <xf numFmtId="0" fontId="0" fillId="0" borderId="4" xfId="0" applyBorder="1"/>
    <xf numFmtId="0" fontId="3" fillId="0" borderId="11" xfId="0" applyFont="1" applyBorder="1"/>
    <xf numFmtId="0" fontId="5" fillId="0" borderId="11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0" fillId="0" borderId="8" xfId="0" applyBorder="1" applyAlignment="1">
      <alignment horizontal="left" wrapText="1"/>
    </xf>
    <xf numFmtId="0" fontId="21" fillId="0" borderId="0" xfId="0" applyFont="1" applyAlignment="1">
      <alignment vertical="center"/>
    </xf>
    <xf numFmtId="0" fontId="24" fillId="0" borderId="0" xfId="0" applyFont="1" applyAlignment="1">
      <alignment horizontal="left" vertical="center" wrapText="1"/>
    </xf>
    <xf numFmtId="0" fontId="23" fillId="4" borderId="1" xfId="0" applyFont="1" applyFill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20" fillId="7" borderId="0" xfId="0" applyFont="1" applyFill="1" applyAlignment="1">
      <alignment wrapText="1"/>
    </xf>
    <xf numFmtId="0" fontId="20" fillId="2" borderId="0" xfId="0" applyFont="1" applyFill="1" applyAlignment="1">
      <alignment wrapText="1"/>
    </xf>
    <xf numFmtId="0" fontId="20" fillId="0" borderId="0" xfId="0" applyFont="1" applyAlignment="1">
      <alignment wrapText="1"/>
    </xf>
    <xf numFmtId="0" fontId="20" fillId="0" borderId="0" xfId="0" applyFont="1" applyAlignment="1">
      <alignment horizontal="left" vertical="center" wrapText="1"/>
    </xf>
    <xf numFmtId="0" fontId="26" fillId="5" borderId="16" xfId="0" applyFont="1" applyFill="1" applyBorder="1" applyAlignment="1">
      <alignment horizontal="center" vertical="center" wrapText="1"/>
    </xf>
    <xf numFmtId="0" fontId="27" fillId="5" borderId="13" xfId="0" applyFont="1" applyFill="1" applyBorder="1" applyAlignment="1">
      <alignment horizontal="center" vertical="center" wrapText="1"/>
    </xf>
    <xf numFmtId="0" fontId="27" fillId="5" borderId="16" xfId="0" applyFont="1" applyFill="1" applyBorder="1" applyAlignment="1">
      <alignment horizontal="center" vertical="center" wrapText="1"/>
    </xf>
    <xf numFmtId="0" fontId="27" fillId="5" borderId="9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14" fontId="0" fillId="0" borderId="8" xfId="0" applyNumberFormat="1" applyBorder="1" applyAlignment="1">
      <alignment horizontal="center"/>
    </xf>
    <xf numFmtId="0" fontId="8" fillId="3" borderId="0" xfId="0" applyFont="1" applyFill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/>
    </xf>
    <xf numFmtId="164" fontId="3" fillId="3" borderId="8" xfId="0" applyNumberFormat="1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23" fillId="0" borderId="0" xfId="0" applyFont="1"/>
    <xf numFmtId="0" fontId="23" fillId="2" borderId="0" xfId="0" applyFont="1" applyFill="1"/>
    <xf numFmtId="0" fontId="23" fillId="0" borderId="0" xfId="0" applyFont="1" applyAlignment="1">
      <alignment horizontal="center"/>
    </xf>
    <xf numFmtId="0" fontId="11" fillId="0" borderId="0" xfId="0" applyFont="1" applyAlignment="1">
      <alignment horizontal="left" vertical="center" wrapText="1"/>
    </xf>
    <xf numFmtId="0" fontId="5" fillId="0" borderId="16" xfId="0" applyFont="1" applyBorder="1" applyAlignment="1">
      <alignment horizontal="left"/>
    </xf>
    <xf numFmtId="0" fontId="0" fillId="0" borderId="9" xfId="0" applyBorder="1"/>
    <xf numFmtId="0" fontId="4" fillId="0" borderId="1" xfId="0" applyFont="1" applyBorder="1" applyAlignment="1">
      <alignment horizontal="left"/>
    </xf>
    <xf numFmtId="0" fontId="0" fillId="0" borderId="18" xfId="0" applyBorder="1" applyAlignment="1">
      <alignment horizontal="center"/>
    </xf>
    <xf numFmtId="0" fontId="0" fillId="0" borderId="12" xfId="0" applyBorder="1" applyAlignment="1">
      <alignment horizontal="left"/>
    </xf>
    <xf numFmtId="0" fontId="20" fillId="7" borderId="0" xfId="0" applyFont="1" applyFill="1"/>
    <xf numFmtId="0" fontId="19" fillId="7" borderId="0" xfId="0" applyFont="1" applyFill="1"/>
    <xf numFmtId="0" fontId="30" fillId="5" borderId="10" xfId="0" applyFont="1" applyFill="1" applyBorder="1" applyAlignment="1">
      <alignment horizontal="center" vertical="center" wrapText="1"/>
    </xf>
    <xf numFmtId="0" fontId="31" fillId="5" borderId="13" xfId="0" applyFont="1" applyFill="1" applyBorder="1" applyAlignment="1">
      <alignment horizontal="center" vertical="center" wrapText="1"/>
    </xf>
    <xf numFmtId="0" fontId="31" fillId="5" borderId="12" xfId="0" applyFont="1" applyFill="1" applyBorder="1" applyAlignment="1">
      <alignment horizontal="center" vertical="center" wrapText="1"/>
    </xf>
    <xf numFmtId="0" fontId="35" fillId="5" borderId="16" xfId="0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15" fillId="2" borderId="19" xfId="0" applyFont="1" applyFill="1" applyBorder="1" applyAlignment="1">
      <alignment horizontal="center" vertical="center" wrapText="1"/>
    </xf>
    <xf numFmtId="0" fontId="36" fillId="0" borderId="20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25" fillId="0" borderId="20" xfId="0" applyFont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0" fillId="2" borderId="0" xfId="0" applyFill="1" applyAlignment="1">
      <alignment horizontal="left"/>
    </xf>
    <xf numFmtId="165" fontId="15" fillId="0" borderId="0" xfId="0" applyNumberFormat="1" applyFont="1"/>
    <xf numFmtId="166" fontId="0" fillId="0" borderId="0" xfId="0" applyNumberFormat="1"/>
    <xf numFmtId="0" fontId="0" fillId="0" borderId="2" xfId="0" applyBorder="1"/>
    <xf numFmtId="0" fontId="0" fillId="4" borderId="5" xfId="0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0" fontId="17" fillId="0" borderId="5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0" fillId="0" borderId="5" xfId="0" applyBorder="1" applyAlignment="1">
      <alignment horizontal="left" wrapText="1"/>
    </xf>
    <xf numFmtId="0" fontId="38" fillId="0" borderId="1" xfId="0" applyFont="1" applyBorder="1" applyAlignment="1">
      <alignment horizontal="center"/>
    </xf>
    <xf numFmtId="0" fontId="38" fillId="0" borderId="8" xfId="0" applyFont="1" applyBorder="1" applyAlignment="1">
      <alignment horizontal="center"/>
    </xf>
    <xf numFmtId="0" fontId="32" fillId="2" borderId="1" xfId="0" applyFont="1" applyFill="1" applyBorder="1" applyAlignment="1">
      <alignment horizontal="center" vertical="center" wrapText="1"/>
    </xf>
    <xf numFmtId="164" fontId="16" fillId="5" borderId="1" xfId="0" applyNumberFormat="1" applyFont="1" applyFill="1" applyBorder="1" applyAlignment="1">
      <alignment horizontal="center" vertical="center" wrapText="1"/>
    </xf>
    <xf numFmtId="164" fontId="37" fillId="2" borderId="1" xfId="0" applyNumberFormat="1" applyFont="1" applyFill="1" applyBorder="1" applyAlignment="1">
      <alignment horizontal="left" vertical="center" wrapText="1"/>
    </xf>
    <xf numFmtId="0" fontId="37" fillId="2" borderId="1" xfId="0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center" vertical="center" wrapText="1"/>
    </xf>
    <xf numFmtId="0" fontId="32" fillId="2" borderId="20" xfId="0" applyFont="1" applyFill="1" applyBorder="1" applyAlignment="1">
      <alignment horizontal="center" vertical="center" wrapText="1"/>
    </xf>
    <xf numFmtId="164" fontId="16" fillId="5" borderId="20" xfId="0" applyNumberFormat="1" applyFont="1" applyFill="1" applyBorder="1" applyAlignment="1">
      <alignment horizontal="center" vertical="center" wrapText="1"/>
    </xf>
    <xf numFmtId="164" fontId="37" fillId="2" borderId="20" xfId="0" applyNumberFormat="1" applyFont="1" applyFill="1" applyBorder="1" applyAlignment="1">
      <alignment horizontal="left" vertical="center" wrapText="1"/>
    </xf>
    <xf numFmtId="0" fontId="37" fillId="2" borderId="20" xfId="0" applyFont="1" applyFill="1" applyBorder="1" applyAlignment="1">
      <alignment horizontal="left" vertical="center" wrapText="1"/>
    </xf>
    <xf numFmtId="0" fontId="25" fillId="0" borderId="23" xfId="0" applyFont="1" applyBorder="1" applyAlignment="1">
      <alignment horizontal="center" vertical="center" wrapText="1"/>
    </xf>
    <xf numFmtId="0" fontId="32" fillId="2" borderId="24" xfId="0" applyFont="1" applyFill="1" applyBorder="1" applyAlignment="1">
      <alignment horizontal="center" vertical="center" wrapText="1"/>
    </xf>
    <xf numFmtId="164" fontId="16" fillId="5" borderId="24" xfId="0" applyNumberFormat="1" applyFont="1" applyFill="1" applyBorder="1" applyAlignment="1">
      <alignment horizontal="center" vertical="center" wrapText="1"/>
    </xf>
    <xf numFmtId="164" fontId="37" fillId="2" borderId="24" xfId="0" applyNumberFormat="1" applyFont="1" applyFill="1" applyBorder="1" applyAlignment="1">
      <alignment horizontal="left" vertical="center" wrapText="1"/>
    </xf>
    <xf numFmtId="0" fontId="37" fillId="2" borderId="24" xfId="0" applyFont="1" applyFill="1" applyBorder="1" applyAlignment="1">
      <alignment horizontal="left" vertical="center" wrapText="1"/>
    </xf>
    <xf numFmtId="0" fontId="25" fillId="0" borderId="25" xfId="0" applyFont="1" applyBorder="1" applyAlignment="1">
      <alignment horizontal="center" vertical="center" wrapText="1"/>
    </xf>
    <xf numFmtId="0" fontId="32" fillId="2" borderId="8" xfId="0" applyFont="1" applyFill="1" applyBorder="1" applyAlignment="1">
      <alignment horizontal="center" vertical="center" wrapText="1"/>
    </xf>
    <xf numFmtId="164" fontId="16" fillId="5" borderId="8" xfId="0" applyNumberFormat="1" applyFont="1" applyFill="1" applyBorder="1" applyAlignment="1">
      <alignment horizontal="center" vertical="center" wrapText="1"/>
    </xf>
    <xf numFmtId="164" fontId="37" fillId="2" borderId="8" xfId="0" applyNumberFormat="1" applyFont="1" applyFill="1" applyBorder="1" applyAlignment="1">
      <alignment horizontal="left" vertical="center" wrapText="1"/>
    </xf>
    <xf numFmtId="0" fontId="37" fillId="2" borderId="8" xfId="0" applyFont="1" applyFill="1" applyBorder="1" applyAlignment="1">
      <alignment horizontal="left" vertical="center" wrapText="1"/>
    </xf>
    <xf numFmtId="0" fontId="25" fillId="0" borderId="32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0" fontId="15" fillId="2" borderId="28" xfId="0" applyFont="1" applyFill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164" fontId="10" fillId="3" borderId="14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42" fillId="0" borderId="18" xfId="0" applyFont="1" applyBorder="1" applyAlignment="1">
      <alignment horizontal="left"/>
    </xf>
    <xf numFmtId="0" fontId="42" fillId="0" borderId="18" xfId="0" applyFont="1" applyBorder="1" applyAlignment="1">
      <alignment horizontal="center"/>
    </xf>
    <xf numFmtId="0" fontId="0" fillId="2" borderId="0" xfId="0" applyFill="1" applyAlignment="1">
      <alignment horizontal="center"/>
    </xf>
    <xf numFmtId="0" fontId="42" fillId="0" borderId="18" xfId="0" pivotButton="1" applyFont="1" applyBorder="1" applyAlignment="1">
      <alignment horizontal="center"/>
    </xf>
    <xf numFmtId="0" fontId="0" fillId="0" borderId="0" xfId="0" applyAlignment="1">
      <alignment horizontal="left" vertical="top"/>
    </xf>
    <xf numFmtId="0" fontId="32" fillId="0" borderId="1" xfId="0" applyFont="1" applyBorder="1" applyAlignment="1">
      <alignment horizontal="left" vertical="top"/>
    </xf>
    <xf numFmtId="0" fontId="42" fillId="0" borderId="18" xfId="0" pivotButton="1" applyFont="1" applyBorder="1" applyAlignment="1">
      <alignment horizontal="left" vertical="top"/>
    </xf>
    <xf numFmtId="0" fontId="0" fillId="2" borderId="0" xfId="0" applyFill="1" applyAlignment="1">
      <alignment horizontal="left" vertical="top"/>
    </xf>
    <xf numFmtId="0" fontId="42" fillId="0" borderId="18" xfId="0" applyFont="1" applyBorder="1" applyAlignment="1">
      <alignment horizontal="left" vertical="top"/>
    </xf>
    <xf numFmtId="0" fontId="23" fillId="0" borderId="0" xfId="0" applyFont="1" applyAlignment="1">
      <alignment horizontal="left" vertical="top" wrapText="1"/>
    </xf>
    <xf numFmtId="164" fontId="28" fillId="3" borderId="18" xfId="0" applyNumberFormat="1" applyFont="1" applyFill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25" fillId="0" borderId="34" xfId="0" applyFont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 wrapText="1"/>
    </xf>
    <xf numFmtId="0" fontId="25" fillId="0" borderId="38" xfId="0" applyFont="1" applyBorder="1" applyAlignment="1">
      <alignment horizontal="center" vertical="center" wrapText="1"/>
    </xf>
    <xf numFmtId="0" fontId="25" fillId="0" borderId="39" xfId="0" applyFont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25" fillId="0" borderId="42" xfId="0" applyFont="1" applyBorder="1" applyAlignment="1">
      <alignment horizontal="center" vertical="center" wrapText="1"/>
    </xf>
    <xf numFmtId="0" fontId="25" fillId="0" borderId="45" xfId="0" applyFont="1" applyBorder="1" applyAlignment="1">
      <alignment horizontal="center" vertical="center" wrapText="1"/>
    </xf>
    <xf numFmtId="0" fontId="25" fillId="0" borderId="46" xfId="0" applyFont="1" applyBorder="1" applyAlignment="1">
      <alignment horizontal="center" vertical="center" wrapText="1"/>
    </xf>
    <xf numFmtId="0" fontId="25" fillId="0" borderId="49" xfId="0" applyFont="1" applyBorder="1" applyAlignment="1">
      <alignment horizontal="center" vertical="center" wrapText="1"/>
    </xf>
    <xf numFmtId="0" fontId="25" fillId="0" borderId="50" xfId="0" applyFont="1" applyBorder="1" applyAlignment="1">
      <alignment horizontal="center" vertical="center" wrapText="1"/>
    </xf>
    <xf numFmtId="166" fontId="15" fillId="0" borderId="18" xfId="0" applyNumberFormat="1" applyFont="1" applyBorder="1" applyAlignment="1">
      <alignment horizontal="center" vertical="center"/>
    </xf>
    <xf numFmtId="166" fontId="15" fillId="0" borderId="18" xfId="0" applyNumberFormat="1" applyFont="1" applyBorder="1" applyAlignment="1">
      <alignment horizontal="center" wrapText="1"/>
    </xf>
    <xf numFmtId="0" fontId="15" fillId="0" borderId="18" xfId="0" applyFont="1" applyBorder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0" fillId="2" borderId="28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44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35" xfId="0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164" fontId="13" fillId="3" borderId="2" xfId="0" applyNumberFormat="1" applyFont="1" applyFill="1" applyBorder="1" applyAlignment="1">
      <alignment vertical="center" wrapText="1"/>
    </xf>
    <xf numFmtId="164" fontId="41" fillId="3" borderId="3" xfId="0" applyNumberFormat="1" applyFont="1" applyFill="1" applyBorder="1" applyAlignment="1">
      <alignment vertical="center" wrapText="1"/>
    </xf>
    <xf numFmtId="0" fontId="12" fillId="3" borderId="3" xfId="0" applyFont="1" applyFill="1" applyBorder="1" applyAlignment="1">
      <alignment vertical="center" wrapText="1"/>
    </xf>
    <xf numFmtId="0" fontId="9" fillId="3" borderId="3" xfId="0" applyFont="1" applyFill="1" applyBorder="1" applyAlignment="1">
      <alignment vertical="center" wrapText="1"/>
    </xf>
    <xf numFmtId="14" fontId="9" fillId="3" borderId="3" xfId="0" applyNumberFormat="1" applyFont="1" applyFill="1" applyBorder="1" applyAlignment="1">
      <alignment vertical="center" wrapText="1"/>
    </xf>
    <xf numFmtId="164" fontId="13" fillId="3" borderId="4" xfId="0" applyNumberFormat="1" applyFont="1" applyFill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8" fillId="0" borderId="8" xfId="0" applyFont="1" applyBorder="1" applyAlignment="1">
      <alignment vertical="center" wrapText="1"/>
    </xf>
    <xf numFmtId="164" fontId="3" fillId="3" borderId="5" xfId="0" applyNumberFormat="1" applyFont="1" applyFill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14" fontId="0" fillId="0" borderId="8" xfId="0" applyNumberForma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164" fontId="0" fillId="0" borderId="8" xfId="0" applyNumberFormat="1" applyBorder="1" applyAlignment="1">
      <alignment vertical="center" wrapText="1"/>
    </xf>
    <xf numFmtId="0" fontId="15" fillId="2" borderId="20" xfId="0" applyFont="1" applyFill="1" applyBorder="1" applyAlignment="1">
      <alignment horizontal="center" vertical="center" wrapText="1"/>
    </xf>
    <xf numFmtId="164" fontId="15" fillId="2" borderId="20" xfId="0" applyNumberFormat="1" applyFont="1" applyFill="1" applyBorder="1" applyAlignment="1">
      <alignment horizontal="left" vertical="center" wrapText="1"/>
    </xf>
    <xf numFmtId="0" fontId="15" fillId="2" borderId="20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center" vertical="center" wrapText="1"/>
    </xf>
    <xf numFmtId="164" fontId="15" fillId="2" borderId="1" xfId="0" applyNumberFormat="1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15" fillId="2" borderId="8" xfId="0" applyFont="1" applyFill="1" applyBorder="1" applyAlignment="1">
      <alignment horizontal="center" vertical="center" wrapText="1"/>
    </xf>
    <xf numFmtId="164" fontId="15" fillId="2" borderId="8" xfId="0" applyNumberFormat="1" applyFont="1" applyFill="1" applyBorder="1" applyAlignment="1">
      <alignment horizontal="left" vertical="center" wrapText="1"/>
    </xf>
    <xf numFmtId="0" fontId="15" fillId="2" borderId="8" xfId="0" applyFont="1" applyFill="1" applyBorder="1" applyAlignment="1">
      <alignment horizontal="left" vertical="center" wrapText="1"/>
    </xf>
    <xf numFmtId="0" fontId="15" fillId="2" borderId="38" xfId="0" applyFont="1" applyFill="1" applyBorder="1" applyAlignment="1">
      <alignment horizontal="center" vertical="center" wrapText="1"/>
    </xf>
    <xf numFmtId="164" fontId="15" fillId="2" borderId="38" xfId="0" applyNumberFormat="1" applyFont="1" applyFill="1" applyBorder="1" applyAlignment="1">
      <alignment horizontal="left" vertical="center" wrapText="1"/>
    </xf>
    <xf numFmtId="0" fontId="15" fillId="2" borderId="38" xfId="0" applyFont="1" applyFill="1" applyBorder="1" applyAlignment="1">
      <alignment horizontal="left" vertical="center" wrapText="1"/>
    </xf>
    <xf numFmtId="0" fontId="15" fillId="2" borderId="18" xfId="0" applyFont="1" applyFill="1" applyBorder="1" applyAlignment="1">
      <alignment horizontal="center" vertical="center" wrapText="1"/>
    </xf>
    <xf numFmtId="164" fontId="15" fillId="2" borderId="18" xfId="0" applyNumberFormat="1" applyFont="1" applyFill="1" applyBorder="1" applyAlignment="1">
      <alignment horizontal="left" vertical="center" wrapText="1"/>
    </xf>
    <xf numFmtId="0" fontId="15" fillId="2" borderId="18" xfId="0" applyFont="1" applyFill="1" applyBorder="1" applyAlignment="1">
      <alignment horizontal="left" vertical="center" wrapText="1"/>
    </xf>
    <xf numFmtId="0" fontId="15" fillId="2" borderId="45" xfId="0" applyFont="1" applyFill="1" applyBorder="1" applyAlignment="1">
      <alignment horizontal="center" vertical="center" wrapText="1"/>
    </xf>
    <xf numFmtId="164" fontId="15" fillId="2" borderId="45" xfId="0" applyNumberFormat="1" applyFont="1" applyFill="1" applyBorder="1" applyAlignment="1">
      <alignment horizontal="left" vertical="center" wrapText="1"/>
    </xf>
    <xf numFmtId="0" fontId="15" fillId="2" borderId="45" xfId="0" applyFont="1" applyFill="1" applyBorder="1" applyAlignment="1">
      <alignment horizontal="left" vertical="center" wrapText="1"/>
    </xf>
    <xf numFmtId="0" fontId="15" fillId="2" borderId="48" xfId="0" applyFont="1" applyFill="1" applyBorder="1" applyAlignment="1">
      <alignment horizontal="center" vertical="center" wrapText="1"/>
    </xf>
    <xf numFmtId="164" fontId="15" fillId="2" borderId="49" xfId="0" applyNumberFormat="1" applyFont="1" applyFill="1" applyBorder="1" applyAlignment="1">
      <alignment horizontal="left" vertical="center" wrapText="1"/>
    </xf>
    <xf numFmtId="0" fontId="15" fillId="2" borderId="49" xfId="0" applyFont="1" applyFill="1" applyBorder="1" applyAlignment="1">
      <alignment horizontal="left" vertical="center" wrapText="1"/>
    </xf>
    <xf numFmtId="0" fontId="15" fillId="2" borderId="51" xfId="0" applyFont="1" applyFill="1" applyBorder="1" applyAlignment="1">
      <alignment horizontal="center" vertical="center" wrapText="1"/>
    </xf>
    <xf numFmtId="0" fontId="15" fillId="2" borderId="52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164" fontId="15" fillId="2" borderId="3" xfId="0" applyNumberFormat="1" applyFont="1" applyFill="1" applyBorder="1" applyAlignment="1">
      <alignment horizontal="left" vertical="center" wrapText="1"/>
    </xf>
    <xf numFmtId="0" fontId="15" fillId="2" borderId="3" xfId="0" applyFont="1" applyFill="1" applyBorder="1" applyAlignment="1">
      <alignment horizontal="left" vertical="center" wrapText="1"/>
    </xf>
    <xf numFmtId="0" fontId="15" fillId="2" borderId="24" xfId="0" applyFont="1" applyFill="1" applyBorder="1" applyAlignment="1">
      <alignment horizontal="center" vertical="center" wrapText="1"/>
    </xf>
    <xf numFmtId="164" fontId="15" fillId="2" borderId="24" xfId="0" applyNumberFormat="1" applyFont="1" applyFill="1" applyBorder="1" applyAlignment="1">
      <alignment horizontal="left" vertical="center" wrapText="1"/>
    </xf>
    <xf numFmtId="0" fontId="15" fillId="2" borderId="24" xfId="0" applyFont="1" applyFill="1" applyBorder="1" applyAlignment="1">
      <alignment horizontal="left" vertical="center" wrapText="1"/>
    </xf>
    <xf numFmtId="164" fontId="28" fillId="5" borderId="20" xfId="0" applyNumberFormat="1" applyFont="1" applyFill="1" applyBorder="1" applyAlignment="1">
      <alignment horizontal="center" vertical="center" wrapText="1"/>
    </xf>
    <xf numFmtId="0" fontId="28" fillId="5" borderId="20" xfId="0" applyFont="1" applyFill="1" applyBorder="1" applyAlignment="1">
      <alignment horizontal="center" vertical="center" wrapText="1"/>
    </xf>
    <xf numFmtId="164" fontId="28" fillId="5" borderId="1" xfId="0" applyNumberFormat="1" applyFont="1" applyFill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center" vertical="center" wrapText="1"/>
    </xf>
    <xf numFmtId="164" fontId="28" fillId="5" borderId="8" xfId="0" applyNumberFormat="1" applyFont="1" applyFill="1" applyBorder="1" applyAlignment="1">
      <alignment horizontal="center" vertical="center" wrapText="1"/>
    </xf>
    <xf numFmtId="0" fontId="28" fillId="5" borderId="8" xfId="0" applyFont="1" applyFill="1" applyBorder="1" applyAlignment="1">
      <alignment horizontal="center" vertical="center" wrapText="1"/>
    </xf>
    <xf numFmtId="164" fontId="28" fillId="5" borderId="38" xfId="0" applyNumberFormat="1" applyFont="1" applyFill="1" applyBorder="1" applyAlignment="1">
      <alignment horizontal="center" vertical="center" wrapText="1"/>
    </xf>
    <xf numFmtId="0" fontId="28" fillId="5" borderId="38" xfId="0" applyFont="1" applyFill="1" applyBorder="1" applyAlignment="1">
      <alignment horizontal="center" vertical="center" wrapText="1"/>
    </xf>
    <xf numFmtId="164" fontId="28" fillId="5" borderId="18" xfId="0" applyNumberFormat="1" applyFont="1" applyFill="1" applyBorder="1" applyAlignment="1">
      <alignment horizontal="center" vertical="center" wrapText="1"/>
    </xf>
    <xf numFmtId="0" fontId="28" fillId="5" borderId="18" xfId="0" applyFont="1" applyFill="1" applyBorder="1" applyAlignment="1">
      <alignment horizontal="center" vertical="center" wrapText="1"/>
    </xf>
    <xf numFmtId="164" fontId="28" fillId="5" borderId="45" xfId="0" applyNumberFormat="1" applyFont="1" applyFill="1" applyBorder="1" applyAlignment="1">
      <alignment horizontal="center" vertical="center" wrapText="1"/>
    </xf>
    <xf numFmtId="0" fontId="28" fillId="5" borderId="45" xfId="0" applyFont="1" applyFill="1" applyBorder="1" applyAlignment="1">
      <alignment horizontal="center" vertical="center" wrapText="1"/>
    </xf>
    <xf numFmtId="164" fontId="28" fillId="5" borderId="49" xfId="0" applyNumberFormat="1" applyFont="1" applyFill="1" applyBorder="1" applyAlignment="1">
      <alignment horizontal="center" vertical="center" wrapText="1"/>
    </xf>
    <xf numFmtId="0" fontId="28" fillId="5" borderId="49" xfId="0" applyFont="1" applyFill="1" applyBorder="1" applyAlignment="1">
      <alignment horizontal="center" vertical="center" wrapText="1"/>
    </xf>
    <xf numFmtId="164" fontId="28" fillId="5" borderId="3" xfId="0" applyNumberFormat="1" applyFont="1" applyFill="1" applyBorder="1" applyAlignment="1">
      <alignment horizontal="center" vertical="center" wrapText="1"/>
    </xf>
    <xf numFmtId="0" fontId="28" fillId="5" borderId="3" xfId="0" applyFont="1" applyFill="1" applyBorder="1" applyAlignment="1">
      <alignment horizontal="center" vertical="center" wrapText="1"/>
    </xf>
    <xf numFmtId="164" fontId="28" fillId="5" borderId="24" xfId="0" applyNumberFormat="1" applyFont="1" applyFill="1" applyBorder="1" applyAlignment="1">
      <alignment horizontal="center" vertical="center" wrapText="1"/>
    </xf>
    <xf numFmtId="0" fontId="28" fillId="5" borderId="24" xfId="0" applyFont="1" applyFill="1" applyBorder="1" applyAlignment="1">
      <alignment horizontal="center" vertical="center" wrapText="1"/>
    </xf>
    <xf numFmtId="16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167" fontId="3" fillId="3" borderId="1" xfId="0" applyNumberFormat="1" applyFont="1" applyFill="1" applyBorder="1" applyAlignment="1">
      <alignment vertical="center" wrapText="1"/>
    </xf>
    <xf numFmtId="167" fontId="3" fillId="6" borderId="1" xfId="0" applyNumberFormat="1" applyFont="1" applyFill="1" applyBorder="1" applyAlignment="1">
      <alignment vertical="center" wrapText="1"/>
    </xf>
    <xf numFmtId="168" fontId="28" fillId="3" borderId="18" xfId="0" applyNumberFormat="1" applyFont="1" applyFill="1" applyBorder="1" applyAlignment="1">
      <alignment horizontal="center" vertical="center" wrapText="1"/>
    </xf>
    <xf numFmtId="168" fontId="15" fillId="0" borderId="18" xfId="0" applyNumberFormat="1" applyFont="1" applyBorder="1" applyAlignment="1">
      <alignment horizontal="center" vertical="center"/>
    </xf>
    <xf numFmtId="168" fontId="15" fillId="0" borderId="18" xfId="0" applyNumberFormat="1" applyFont="1" applyBorder="1" applyAlignment="1">
      <alignment horizontal="center" vertical="center" wrapText="1"/>
    </xf>
    <xf numFmtId="169" fontId="15" fillId="0" borderId="18" xfId="0" applyNumberFormat="1" applyFont="1" applyBorder="1" applyAlignment="1">
      <alignment horizontal="center" vertical="center" wrapText="1"/>
    </xf>
    <xf numFmtId="169" fontId="15" fillId="0" borderId="0" xfId="0" applyNumberFormat="1" applyFont="1" applyAlignment="1">
      <alignment horizontal="center" vertical="center" wrapText="1"/>
    </xf>
    <xf numFmtId="14" fontId="23" fillId="0" borderId="1" xfId="0" applyNumberFormat="1" applyFont="1" applyBorder="1" applyAlignment="1">
      <alignment horizontal="center" vertical="center"/>
    </xf>
    <xf numFmtId="0" fontId="23" fillId="2" borderId="0" xfId="0" applyFont="1" applyFill="1" applyAlignment="1">
      <alignment horizontal="center"/>
    </xf>
    <xf numFmtId="0" fontId="23" fillId="0" borderId="18" xfId="0" pivotButton="1" applyFont="1" applyBorder="1" applyAlignment="1">
      <alignment horizontal="center"/>
    </xf>
    <xf numFmtId="166" fontId="23" fillId="0" borderId="18" xfId="0" applyNumberFormat="1" applyFont="1" applyBorder="1" applyAlignment="1">
      <alignment horizontal="center"/>
    </xf>
    <xf numFmtId="0" fontId="14" fillId="0" borderId="18" xfId="0" pivotButton="1" applyFont="1" applyBorder="1" applyAlignment="1">
      <alignment horizontal="left" vertical="top"/>
    </xf>
    <xf numFmtId="0" fontId="14" fillId="0" borderId="18" xfId="0" applyFont="1" applyBorder="1" applyAlignment="1">
      <alignment horizontal="left"/>
    </xf>
    <xf numFmtId="0" fontId="23" fillId="2" borderId="0" xfId="0" applyFont="1" applyFill="1" applyAlignment="1">
      <alignment horizontal="center" vertical="center"/>
    </xf>
    <xf numFmtId="0" fontId="14" fillId="0" borderId="0" xfId="0" applyFont="1"/>
    <xf numFmtId="0" fontId="0" fillId="2" borderId="0" xfId="0" applyFill="1" applyAlignment="1">
      <alignment horizontal="center" vertical="center"/>
    </xf>
    <xf numFmtId="14" fontId="34" fillId="5" borderId="0" xfId="0" applyNumberFormat="1" applyFont="1" applyFill="1" applyAlignment="1">
      <alignment horizontal="center" vertical="center"/>
    </xf>
    <xf numFmtId="14" fontId="15" fillId="2" borderId="20" xfId="0" applyNumberFormat="1" applyFont="1" applyFill="1" applyBorder="1" applyAlignment="1">
      <alignment horizontal="center" vertical="center" wrapText="1"/>
    </xf>
    <xf numFmtId="14" fontId="15" fillId="2" borderId="1" xfId="0" applyNumberFormat="1" applyFont="1" applyFill="1" applyBorder="1" applyAlignment="1">
      <alignment horizontal="center" vertical="center" wrapText="1"/>
    </xf>
    <xf numFmtId="14" fontId="15" fillId="2" borderId="8" xfId="0" applyNumberFormat="1" applyFont="1" applyFill="1" applyBorder="1" applyAlignment="1">
      <alignment horizontal="center" vertical="center" wrapText="1"/>
    </xf>
    <xf numFmtId="14" fontId="15" fillId="2" borderId="38" xfId="0" applyNumberFormat="1" applyFont="1" applyFill="1" applyBorder="1" applyAlignment="1">
      <alignment horizontal="center" vertical="center" wrapText="1"/>
    </xf>
    <xf numFmtId="14" fontId="15" fillId="2" borderId="18" xfId="0" applyNumberFormat="1" applyFont="1" applyFill="1" applyBorder="1" applyAlignment="1">
      <alignment horizontal="center" vertical="center" wrapText="1"/>
    </xf>
    <xf numFmtId="14" fontId="15" fillId="2" borderId="45" xfId="0" applyNumberFormat="1" applyFont="1" applyFill="1" applyBorder="1" applyAlignment="1">
      <alignment horizontal="center" vertical="center" wrapText="1"/>
    </xf>
    <xf numFmtId="14" fontId="15" fillId="2" borderId="48" xfId="0" applyNumberFormat="1" applyFont="1" applyFill="1" applyBorder="1" applyAlignment="1">
      <alignment horizontal="center" vertical="center" wrapText="1"/>
    </xf>
    <xf numFmtId="14" fontId="15" fillId="2" borderId="51" xfId="0" applyNumberFormat="1" applyFont="1" applyFill="1" applyBorder="1" applyAlignment="1">
      <alignment horizontal="center" vertical="center" wrapText="1"/>
    </xf>
    <xf numFmtId="14" fontId="15" fillId="2" borderId="52" xfId="0" applyNumberFormat="1" applyFont="1" applyFill="1" applyBorder="1" applyAlignment="1">
      <alignment horizontal="center" vertical="center" wrapText="1"/>
    </xf>
    <xf numFmtId="14" fontId="15" fillId="2" borderId="3" xfId="0" applyNumberFormat="1" applyFont="1" applyFill="1" applyBorder="1" applyAlignment="1">
      <alignment horizontal="center" vertical="center" wrapText="1"/>
    </xf>
    <xf numFmtId="14" fontId="15" fillId="2" borderId="24" xfId="0" applyNumberFormat="1" applyFont="1" applyFill="1" applyBorder="1" applyAlignment="1">
      <alignment horizontal="center" vertical="center" wrapText="1"/>
    </xf>
    <xf numFmtId="0" fontId="0" fillId="4" borderId="15" xfId="0" applyFill="1" applyBorder="1"/>
    <xf numFmtId="0" fontId="0" fillId="0" borderId="15" xfId="0" applyBorder="1"/>
    <xf numFmtId="0" fontId="0" fillId="4" borderId="54" xfId="0" applyFill="1" applyBorder="1"/>
    <xf numFmtId="0" fontId="0" fillId="4" borderId="55" xfId="0" applyFill="1" applyBorder="1"/>
    <xf numFmtId="0" fontId="47" fillId="9" borderId="56" xfId="0" applyFont="1" applyFill="1" applyBorder="1"/>
    <xf numFmtId="0" fontId="7" fillId="10" borderId="57" xfId="0" applyFont="1" applyFill="1" applyBorder="1"/>
    <xf numFmtId="0" fontId="7" fillId="10" borderId="58" xfId="0" applyFont="1" applyFill="1" applyBorder="1"/>
    <xf numFmtId="0" fontId="7" fillId="11" borderId="57" xfId="0" applyFont="1" applyFill="1" applyBorder="1"/>
    <xf numFmtId="0" fontId="7" fillId="11" borderId="58" xfId="0" applyFont="1" applyFill="1" applyBorder="1"/>
    <xf numFmtId="0" fontId="46" fillId="0" borderId="0" xfId="0" applyFont="1"/>
    <xf numFmtId="0" fontId="48" fillId="0" borderId="56" xfId="0" applyFont="1" applyBorder="1"/>
    <xf numFmtId="0" fontId="0" fillId="4" borderId="53" xfId="0" applyFill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22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7" fillId="10" borderId="0" xfId="0" applyFont="1" applyFill="1"/>
    <xf numFmtId="0" fontId="7" fillId="11" borderId="0" xfId="0" applyFont="1" applyFill="1"/>
    <xf numFmtId="0" fontId="0" fillId="0" borderId="58" xfId="0" applyBorder="1"/>
    <xf numFmtId="0" fontId="7" fillId="12" borderId="57" xfId="0" applyFont="1" applyFill="1" applyBorder="1"/>
    <xf numFmtId="0" fontId="7" fillId="12" borderId="58" xfId="0" applyFont="1" applyFill="1" applyBorder="1"/>
    <xf numFmtId="0" fontId="0" fillId="2" borderId="57" xfId="0" applyFill="1" applyBorder="1"/>
    <xf numFmtId="0" fontId="7" fillId="13" borderId="58" xfId="0" applyFont="1" applyFill="1" applyBorder="1"/>
    <xf numFmtId="0" fontId="0" fillId="2" borderId="58" xfId="0" applyFill="1" applyBorder="1"/>
    <xf numFmtId="0" fontId="7" fillId="12" borderId="0" xfId="0" applyFont="1" applyFill="1"/>
    <xf numFmtId="0" fontId="7" fillId="13" borderId="0" xfId="0" applyFont="1" applyFill="1"/>
    <xf numFmtId="0" fontId="0" fillId="2" borderId="59" xfId="0" applyFill="1" applyBorder="1"/>
    <xf numFmtId="0" fontId="7" fillId="12" borderId="60" xfId="0" applyFont="1" applyFill="1" applyBorder="1"/>
    <xf numFmtId="0" fontId="2" fillId="3" borderId="0" xfId="0" applyFont="1" applyFill="1" applyAlignment="1">
      <alignment horizontal="left" vertical="center"/>
    </xf>
    <xf numFmtId="0" fontId="0" fillId="0" borderId="0" xfId="0" pivotButton="1" applyAlignment="1">
      <alignment horizontal="left"/>
    </xf>
    <xf numFmtId="164" fontId="0" fillId="0" borderId="0" xfId="0" applyNumberFormat="1" applyAlignment="1">
      <alignment horizontal="left"/>
    </xf>
    <xf numFmtId="0" fontId="3" fillId="14" borderId="1" xfId="0" applyFont="1" applyFill="1" applyBorder="1" applyAlignment="1">
      <alignment horizontal="center"/>
    </xf>
    <xf numFmtId="0" fontId="23" fillId="0" borderId="0" xfId="0" applyFont="1" applyAlignment="1">
      <alignment vertical="center"/>
    </xf>
    <xf numFmtId="0" fontId="7" fillId="10" borderId="59" xfId="0" applyFont="1" applyFill="1" applyBorder="1"/>
    <xf numFmtId="0" fontId="7" fillId="10" borderId="60" xfId="0" applyFont="1" applyFill="1" applyBorder="1"/>
    <xf numFmtId="0" fontId="7" fillId="15" borderId="57" xfId="0" applyFont="1" applyFill="1" applyBorder="1"/>
    <xf numFmtId="0" fontId="7" fillId="15" borderId="0" xfId="0" applyFont="1" applyFill="1"/>
    <xf numFmtId="0" fontId="7" fillId="15" borderId="59" xfId="0" applyFont="1" applyFill="1" applyBorder="1"/>
    <xf numFmtId="0" fontId="7" fillId="16" borderId="59" xfId="0" applyFont="1" applyFill="1" applyBorder="1"/>
    <xf numFmtId="0" fontId="7" fillId="11" borderId="60" xfId="0" applyFont="1" applyFill="1" applyBorder="1"/>
    <xf numFmtId="0" fontId="0" fillId="0" borderId="57" xfId="0" applyBorder="1"/>
    <xf numFmtId="0" fontId="7" fillId="0" borderId="57" xfId="0" applyFont="1" applyBorder="1"/>
    <xf numFmtId="0" fontId="7" fillId="0" borderId="58" xfId="0" applyFont="1" applyBorder="1"/>
    <xf numFmtId="0" fontId="0" fillId="0" borderId="0" xfId="0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14" fillId="0" borderId="18" xfId="0" pivotButton="1" applyFont="1" applyBorder="1" applyAlignment="1">
      <alignment horizontal="center" vertical="center" wrapText="1"/>
    </xf>
    <xf numFmtId="0" fontId="23" fillId="0" borderId="0" xfId="0" applyFont="1" applyAlignment="1">
      <alignment wrapText="1"/>
    </xf>
    <xf numFmtId="1" fontId="0" fillId="0" borderId="1" xfId="0" applyNumberFormat="1" applyBorder="1" applyAlignment="1">
      <alignment horizontal="center"/>
    </xf>
    <xf numFmtId="0" fontId="18" fillId="0" borderId="6" xfId="0" applyFont="1" applyBorder="1" applyAlignment="1">
      <alignment vertical="center" wrapText="1"/>
    </xf>
    <xf numFmtId="0" fontId="18" fillId="0" borderId="9" xfId="0" applyFont="1" applyBorder="1" applyAlignment="1">
      <alignment vertical="center" wrapText="1"/>
    </xf>
    <xf numFmtId="1" fontId="13" fillId="3" borderId="7" xfId="0" applyNumberFormat="1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vertical="center" wrapText="1"/>
    </xf>
    <xf numFmtId="0" fontId="40" fillId="3" borderId="12" xfId="0" applyFont="1" applyFill="1" applyBorder="1" applyAlignment="1">
      <alignment vertical="center" wrapText="1"/>
    </xf>
    <xf numFmtId="0" fontId="18" fillId="2" borderId="0" xfId="0" applyFont="1" applyFill="1" applyAlignment="1">
      <alignment vertical="center"/>
    </xf>
    <xf numFmtId="0" fontId="23" fillId="2" borderId="0" xfId="0" applyFont="1" applyFill="1" applyAlignment="1">
      <alignment horizontal="left" vertical="center" wrapText="1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4" fontId="0" fillId="0" borderId="12" xfId="0" applyNumberFormat="1" applyBorder="1" applyAlignment="1">
      <alignment horizontal="center"/>
    </xf>
    <xf numFmtId="0" fontId="38" fillId="0" borderId="12" xfId="0" applyFont="1" applyBorder="1" applyAlignment="1">
      <alignment horizontal="center"/>
    </xf>
    <xf numFmtId="20" fontId="32" fillId="2" borderId="20" xfId="0" applyNumberFormat="1" applyFont="1" applyFill="1" applyBorder="1" applyAlignment="1">
      <alignment horizontal="center" vertical="center" wrapText="1"/>
    </xf>
    <xf numFmtId="20" fontId="32" fillId="2" borderId="1" xfId="0" applyNumberFormat="1" applyFont="1" applyFill="1" applyBorder="1" applyAlignment="1">
      <alignment horizontal="center" vertical="center" wrapText="1"/>
    </xf>
    <xf numFmtId="20" fontId="32" fillId="2" borderId="8" xfId="0" applyNumberFormat="1" applyFont="1" applyFill="1" applyBorder="1" applyAlignment="1">
      <alignment horizontal="center" vertical="center" wrapText="1"/>
    </xf>
    <xf numFmtId="20" fontId="32" fillId="2" borderId="24" xfId="0" applyNumberFormat="1" applyFont="1" applyFill="1" applyBorder="1" applyAlignment="1">
      <alignment horizontal="center" vertical="center" wrapText="1"/>
    </xf>
    <xf numFmtId="0" fontId="0" fillId="4" borderId="61" xfId="0" applyFill="1" applyBorder="1"/>
    <xf numFmtId="0" fontId="0" fillId="0" borderId="61" xfId="0" applyBorder="1"/>
    <xf numFmtId="0" fontId="0" fillId="0" borderId="62" xfId="0" applyBorder="1"/>
    <xf numFmtId="0" fontId="0" fillId="4" borderId="62" xfId="0" applyFill="1" applyBorder="1"/>
    <xf numFmtId="0" fontId="2" fillId="17" borderId="61" xfId="0" applyFont="1" applyFill="1" applyBorder="1" applyAlignment="1">
      <alignment horizontal="center"/>
    </xf>
    <xf numFmtId="0" fontId="0" fillId="4" borderId="5" xfId="0" applyFill="1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17" xfId="0" applyBorder="1"/>
    <xf numFmtId="0" fontId="0" fillId="3" borderId="8" xfId="0" applyFill="1" applyBorder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64" fontId="3" fillId="3" borderId="12" xfId="0" applyNumberFormat="1" applyFont="1" applyFill="1" applyBorder="1" applyAlignment="1">
      <alignment horizontal="center"/>
    </xf>
    <xf numFmtId="165" fontId="15" fillId="2" borderId="20" xfId="0" applyNumberFormat="1" applyFont="1" applyFill="1" applyBorder="1" applyAlignment="1">
      <alignment horizontal="center" vertical="center" wrapText="1"/>
    </xf>
    <xf numFmtId="165" fontId="15" fillId="2" borderId="1" xfId="0" applyNumberFormat="1" applyFont="1" applyFill="1" applyBorder="1" applyAlignment="1">
      <alignment horizontal="center" vertical="center" wrapText="1"/>
    </xf>
    <xf numFmtId="165" fontId="15" fillId="2" borderId="8" xfId="0" applyNumberFormat="1" applyFont="1" applyFill="1" applyBorder="1" applyAlignment="1">
      <alignment horizontal="center" vertical="center" wrapText="1"/>
    </xf>
    <xf numFmtId="165" fontId="15" fillId="2" borderId="38" xfId="0" applyNumberFormat="1" applyFont="1" applyFill="1" applyBorder="1" applyAlignment="1">
      <alignment horizontal="center" vertical="center" wrapText="1"/>
    </xf>
    <xf numFmtId="165" fontId="15" fillId="2" borderId="18" xfId="0" applyNumberFormat="1" applyFont="1" applyFill="1" applyBorder="1" applyAlignment="1">
      <alignment horizontal="center" vertical="center" wrapText="1"/>
    </xf>
    <xf numFmtId="165" fontId="15" fillId="2" borderId="45" xfId="0" applyNumberFormat="1" applyFont="1" applyFill="1" applyBorder="1" applyAlignment="1">
      <alignment horizontal="center" vertical="center" wrapText="1"/>
    </xf>
    <xf numFmtId="165" fontId="15" fillId="2" borderId="49" xfId="0" applyNumberFormat="1" applyFont="1" applyFill="1" applyBorder="1" applyAlignment="1">
      <alignment horizontal="center" vertical="center" wrapText="1"/>
    </xf>
    <xf numFmtId="165" fontId="15" fillId="2" borderId="3" xfId="0" applyNumberFormat="1" applyFont="1" applyFill="1" applyBorder="1" applyAlignment="1">
      <alignment horizontal="center" vertical="center" wrapText="1"/>
    </xf>
    <xf numFmtId="165" fontId="15" fillId="2" borderId="24" xfId="0" applyNumberFormat="1" applyFont="1" applyFill="1" applyBorder="1" applyAlignment="1">
      <alignment horizontal="center" vertical="center" wrapText="1"/>
    </xf>
    <xf numFmtId="20" fontId="0" fillId="0" borderId="1" xfId="0" applyNumberFormat="1" applyBorder="1" applyAlignment="1">
      <alignment horizontal="center"/>
    </xf>
    <xf numFmtId="20" fontId="0" fillId="0" borderId="8" xfId="0" applyNumberFormat="1" applyBorder="1" applyAlignment="1">
      <alignment horizontal="center"/>
    </xf>
    <xf numFmtId="46" fontId="0" fillId="0" borderId="8" xfId="0" applyNumberFormat="1" applyBorder="1" applyAlignment="1">
      <alignment horizontal="center"/>
    </xf>
    <xf numFmtId="164" fontId="54" fillId="5" borderId="20" xfId="0" applyNumberFormat="1" applyFont="1" applyFill="1" applyBorder="1" applyAlignment="1">
      <alignment horizontal="center" vertical="center" wrapText="1"/>
    </xf>
    <xf numFmtId="164" fontId="54" fillId="5" borderId="1" xfId="0" applyNumberFormat="1" applyFont="1" applyFill="1" applyBorder="1" applyAlignment="1">
      <alignment horizontal="center" vertical="center" wrapText="1"/>
    </xf>
    <xf numFmtId="164" fontId="54" fillId="5" borderId="8" xfId="0" applyNumberFormat="1" applyFont="1" applyFill="1" applyBorder="1" applyAlignment="1">
      <alignment horizontal="center" vertical="center" wrapText="1"/>
    </xf>
    <xf numFmtId="164" fontId="54" fillId="5" borderId="24" xfId="0" applyNumberFormat="1" applyFont="1" applyFill="1" applyBorder="1" applyAlignment="1">
      <alignment horizontal="center" vertical="center" wrapText="1"/>
    </xf>
    <xf numFmtId="164" fontId="55" fillId="19" borderId="20" xfId="0" applyNumberFormat="1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32" fillId="2" borderId="3" xfId="0" applyFont="1" applyFill="1" applyBorder="1" applyAlignment="1">
      <alignment horizontal="center" vertical="center" wrapText="1"/>
    </xf>
    <xf numFmtId="20" fontId="32" fillId="2" borderId="3" xfId="0" applyNumberFormat="1" applyFont="1" applyFill="1" applyBorder="1" applyAlignment="1">
      <alignment horizontal="center" vertical="center" wrapText="1"/>
    </xf>
    <xf numFmtId="164" fontId="54" fillId="5" borderId="3" xfId="0" applyNumberFormat="1" applyFont="1" applyFill="1" applyBorder="1" applyAlignment="1">
      <alignment horizontal="center" vertical="center" wrapText="1"/>
    </xf>
    <xf numFmtId="164" fontId="16" fillId="5" borderId="3" xfId="0" applyNumberFormat="1" applyFont="1" applyFill="1" applyBorder="1" applyAlignment="1">
      <alignment horizontal="center" vertical="center" wrapText="1"/>
    </xf>
    <xf numFmtId="164" fontId="37" fillId="2" borderId="3" xfId="0" applyNumberFormat="1" applyFont="1" applyFill="1" applyBorder="1" applyAlignment="1">
      <alignment horizontal="left" vertical="center" wrapText="1"/>
    </xf>
    <xf numFmtId="0" fontId="37" fillId="2" borderId="3" xfId="0" applyFont="1" applyFill="1" applyBorder="1" applyAlignment="1">
      <alignment horizontal="left" vertical="center" wrapText="1"/>
    </xf>
    <xf numFmtId="0" fontId="31" fillId="5" borderId="0" xfId="0" applyFont="1" applyFill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27" fillId="5" borderId="6" xfId="0" applyFont="1" applyFill="1" applyBorder="1" applyAlignment="1">
      <alignment horizontal="center" vertical="center" wrapText="1"/>
    </xf>
    <xf numFmtId="0" fontId="31" fillId="5" borderId="5" xfId="0" applyFont="1" applyFill="1" applyBorder="1" applyAlignment="1">
      <alignment horizontal="center" vertical="center" wrapText="1"/>
    </xf>
    <xf numFmtId="164" fontId="55" fillId="18" borderId="3" xfId="0" applyNumberFormat="1" applyFont="1" applyFill="1" applyBorder="1" applyAlignment="1">
      <alignment horizontal="center" vertical="center" wrapText="1"/>
    </xf>
    <xf numFmtId="0" fontId="56" fillId="5" borderId="3" xfId="0" applyFont="1" applyFill="1" applyBorder="1" applyAlignment="1">
      <alignment horizontal="center" vertical="center" wrapText="1"/>
    </xf>
    <xf numFmtId="166" fontId="3" fillId="3" borderId="1" xfId="0" applyNumberFormat="1" applyFont="1" applyFill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0" fontId="14" fillId="0" borderId="18" xfId="0" applyFont="1" applyBorder="1" applyAlignment="1">
      <alignment horizontal="left" vertical="top"/>
    </xf>
    <xf numFmtId="166" fontId="0" fillId="0" borderId="18" xfId="0" applyNumberFormat="1" applyBorder="1" applyAlignment="1">
      <alignment horizontal="center"/>
    </xf>
    <xf numFmtId="20" fontId="20" fillId="0" borderId="0" xfId="0" applyNumberFormat="1" applyFont="1" applyAlignment="1">
      <alignment wrapText="1"/>
    </xf>
    <xf numFmtId="0" fontId="16" fillId="5" borderId="1" xfId="0" applyFont="1" applyFill="1" applyBorder="1" applyAlignment="1">
      <alignment horizontal="center" vertical="center" wrapText="1"/>
    </xf>
    <xf numFmtId="0" fontId="0" fillId="0" borderId="18" xfId="0" applyBorder="1"/>
    <xf numFmtId="49" fontId="0" fillId="0" borderId="15" xfId="0" applyNumberFormat="1" applyBorder="1"/>
    <xf numFmtId="22" fontId="0" fillId="0" borderId="15" xfId="0" applyNumberFormat="1" applyBorder="1"/>
    <xf numFmtId="0" fontId="1" fillId="0" borderId="0" xfId="0" applyFont="1" applyAlignment="1">
      <alignment vertical="center" wrapText="1"/>
    </xf>
    <xf numFmtId="166" fontId="3" fillId="3" borderId="18" xfId="0" applyNumberFormat="1" applyFont="1" applyFill="1" applyBorder="1" applyAlignment="1">
      <alignment horizontal="center"/>
    </xf>
    <xf numFmtId="0" fontId="3" fillId="3" borderId="18" xfId="0" applyFont="1" applyFill="1" applyBorder="1"/>
    <xf numFmtId="0" fontId="2" fillId="17" borderId="55" xfId="0" applyFont="1" applyFill="1" applyBorder="1"/>
    <xf numFmtId="22" fontId="0" fillId="0" borderId="54" xfId="0" applyNumberFormat="1" applyBorder="1"/>
    <xf numFmtId="0" fontId="0" fillId="0" borderId="54" xfId="0" applyBorder="1"/>
    <xf numFmtId="49" fontId="0" fillId="0" borderId="54" xfId="0" applyNumberFormat="1" applyBorder="1"/>
    <xf numFmtId="0" fontId="2" fillId="3" borderId="18" xfId="0" applyFont="1" applyFill="1" applyBorder="1" applyAlignment="1">
      <alignment horizontal="left" vertical="center"/>
    </xf>
    <xf numFmtId="0" fontId="2" fillId="3" borderId="18" xfId="0" applyFont="1" applyFill="1" applyBorder="1" applyAlignment="1">
      <alignment horizontal="center" vertical="center"/>
    </xf>
    <xf numFmtId="14" fontId="0" fillId="0" borderId="18" xfId="0" applyNumberFormat="1" applyBorder="1" applyAlignment="1">
      <alignment horizontal="center"/>
    </xf>
    <xf numFmtId="49" fontId="0" fillId="0" borderId="18" xfId="0" applyNumberFormat="1" applyBorder="1" applyAlignment="1">
      <alignment horizontal="center"/>
    </xf>
    <xf numFmtId="22" fontId="0" fillId="0" borderId="0" xfId="0" applyNumberFormat="1"/>
    <xf numFmtId="0" fontId="0" fillId="3" borderId="1" xfId="0" applyFill="1" applyBorder="1" applyAlignment="1">
      <alignment vertical="center" wrapText="1"/>
    </xf>
    <xf numFmtId="0" fontId="0" fillId="3" borderId="8" xfId="0" applyFill="1" applyBorder="1" applyAlignment="1">
      <alignment vertical="center" wrapText="1"/>
    </xf>
    <xf numFmtId="0" fontId="0" fillId="4" borderId="70" xfId="0" applyFill="1" applyBorder="1"/>
    <xf numFmtId="14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33" fillId="2" borderId="0" xfId="0" applyFont="1" applyFill="1" applyAlignment="1">
      <alignment horizontal="center" vertical="center"/>
    </xf>
    <xf numFmtId="14" fontId="34" fillId="2" borderId="0" xfId="0" applyNumberFormat="1" applyFont="1" applyFill="1" applyAlignment="1">
      <alignment horizontal="center" vertical="center"/>
    </xf>
    <xf numFmtId="0" fontId="1" fillId="2" borderId="0" xfId="0" applyFont="1" applyFill="1"/>
    <xf numFmtId="0" fontId="22" fillId="2" borderId="0" xfId="0" applyFont="1" applyFill="1" applyAlignment="1">
      <alignment horizontal="left" vertical="center" wrapText="1"/>
    </xf>
    <xf numFmtId="0" fontId="24" fillId="2" borderId="0" xfId="0" applyFont="1" applyFill="1" applyAlignment="1">
      <alignment horizontal="left" vertical="center" wrapText="1"/>
    </xf>
    <xf numFmtId="0" fontId="21" fillId="2" borderId="0" xfId="0" applyFont="1" applyFill="1" applyAlignment="1">
      <alignment vertical="center"/>
    </xf>
    <xf numFmtId="0" fontId="0" fillId="2" borderId="1" xfId="0" applyFill="1" applyBorder="1" applyAlignment="1">
      <alignment horizontal="left"/>
    </xf>
    <xf numFmtId="164" fontId="28" fillId="3" borderId="8" xfId="0" applyNumberFormat="1" applyFont="1" applyFill="1" applyBorder="1" applyAlignment="1">
      <alignment horizontal="center" vertical="center"/>
    </xf>
    <xf numFmtId="1" fontId="28" fillId="3" borderId="8" xfId="0" applyNumberFormat="1" applyFont="1" applyFill="1" applyBorder="1" applyAlignment="1">
      <alignment horizontal="center" vertical="center"/>
    </xf>
    <xf numFmtId="164" fontId="28" fillId="3" borderId="8" xfId="0" applyNumberFormat="1" applyFont="1" applyFill="1" applyBorder="1" applyAlignment="1">
      <alignment horizontal="left" vertical="center"/>
    </xf>
    <xf numFmtId="0" fontId="27" fillId="5" borderId="1" xfId="0" applyFont="1" applyFill="1" applyBorder="1" applyAlignment="1">
      <alignment horizontal="left" vertical="center" wrapText="1"/>
    </xf>
    <xf numFmtId="20" fontId="0" fillId="0" borderId="0" xfId="0" applyNumberFormat="1" applyAlignment="1">
      <alignment horizontal="center"/>
    </xf>
    <xf numFmtId="0" fontId="0" fillId="0" borderId="18" xfId="0" applyBorder="1" applyAlignment="1">
      <alignment horizontal="left"/>
    </xf>
    <xf numFmtId="0" fontId="4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 wrapText="1"/>
    </xf>
    <xf numFmtId="0" fontId="0" fillId="0" borderId="0" xfId="0" pivotButton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23" fillId="2" borderId="0" xfId="0" applyFont="1" applyFill="1" applyAlignment="1">
      <alignment horizontal="center" vertical="center" wrapText="1"/>
    </xf>
    <xf numFmtId="0" fontId="19" fillId="0" borderId="0" xfId="0" applyFont="1" applyAlignment="1">
      <alignment horizontal="center" wrapText="1"/>
    </xf>
    <xf numFmtId="0" fontId="20" fillId="2" borderId="0" xfId="0" applyFont="1" applyFill="1" applyAlignment="1">
      <alignment horizontal="left" wrapText="1"/>
    </xf>
    <xf numFmtId="164" fontId="28" fillId="3" borderId="8" xfId="0" applyNumberFormat="1" applyFont="1" applyFill="1" applyBorder="1" applyAlignment="1">
      <alignment horizontal="left"/>
    </xf>
    <xf numFmtId="0" fontId="0" fillId="0" borderId="18" xfId="0" pivotButton="1" applyBorder="1" applyAlignment="1">
      <alignment horizontal="left"/>
    </xf>
    <xf numFmtId="0" fontId="20" fillId="0" borderId="0" xfId="0" applyFont="1" applyAlignment="1">
      <alignment horizontal="left" wrapText="1"/>
    </xf>
    <xf numFmtId="0" fontId="0" fillId="0" borderId="72" xfId="0" applyBorder="1" applyAlignment="1">
      <alignment horizontal="center"/>
    </xf>
    <xf numFmtId="1" fontId="0" fillId="0" borderId="18" xfId="0" applyNumberFormat="1" applyBorder="1" applyAlignment="1">
      <alignment horizontal="center"/>
    </xf>
    <xf numFmtId="0" fontId="37" fillId="2" borderId="73" xfId="0" applyFont="1" applyFill="1" applyBorder="1" applyAlignment="1">
      <alignment horizontal="left" vertical="center" wrapText="1"/>
    </xf>
    <xf numFmtId="0" fontId="37" fillId="2" borderId="6" xfId="0" applyFont="1" applyFill="1" applyBorder="1" applyAlignment="1">
      <alignment horizontal="left" vertical="center" wrapText="1"/>
    </xf>
    <xf numFmtId="0" fontId="37" fillId="2" borderId="74" xfId="0" applyFont="1" applyFill="1" applyBorder="1" applyAlignment="1">
      <alignment horizontal="left" vertical="center" wrapText="1"/>
    </xf>
    <xf numFmtId="0" fontId="25" fillId="0" borderId="75" xfId="0" applyFont="1" applyBorder="1" applyAlignment="1">
      <alignment horizontal="center" vertical="center" wrapText="1"/>
    </xf>
    <xf numFmtId="0" fontId="25" fillId="0" borderId="76" xfId="0" applyFont="1" applyBorder="1" applyAlignment="1">
      <alignment horizontal="center" vertical="center" wrapText="1"/>
    </xf>
    <xf numFmtId="0" fontId="25" fillId="0" borderId="77" xfId="0" applyFont="1" applyBorder="1" applyAlignment="1">
      <alignment horizontal="center" vertical="center" wrapText="1"/>
    </xf>
    <xf numFmtId="0" fontId="25" fillId="0" borderId="78" xfId="0" applyFont="1" applyBorder="1" applyAlignment="1">
      <alignment horizontal="center" vertical="center" wrapText="1"/>
    </xf>
    <xf numFmtId="0" fontId="25" fillId="0" borderId="79" xfId="0" applyFont="1" applyBorder="1" applyAlignment="1">
      <alignment horizontal="center" vertical="center" wrapText="1"/>
    </xf>
    <xf numFmtId="0" fontId="58" fillId="5" borderId="3" xfId="0" applyFont="1" applyFill="1" applyBorder="1" applyAlignment="1">
      <alignment horizontal="center" vertical="center" wrapText="1"/>
    </xf>
    <xf numFmtId="0" fontId="58" fillId="5" borderId="1" xfId="0" applyFont="1" applyFill="1" applyBorder="1" applyAlignment="1">
      <alignment horizontal="center" vertical="center" wrapText="1"/>
    </xf>
    <xf numFmtId="0" fontId="58" fillId="5" borderId="8" xfId="0" applyFont="1" applyFill="1" applyBorder="1" applyAlignment="1">
      <alignment horizontal="center" vertical="center" wrapText="1"/>
    </xf>
    <xf numFmtId="0" fontId="58" fillId="5" borderId="20" xfId="0" applyFont="1" applyFill="1" applyBorder="1" applyAlignment="1">
      <alignment horizontal="center" vertical="center" wrapText="1"/>
    </xf>
    <xf numFmtId="0" fontId="58" fillId="5" borderId="24" xfId="0" applyFont="1" applyFill="1" applyBorder="1" applyAlignment="1">
      <alignment horizontal="center" vertical="center" wrapText="1"/>
    </xf>
    <xf numFmtId="164" fontId="58" fillId="5" borderId="1" xfId="0" applyNumberFormat="1" applyFont="1" applyFill="1" applyBorder="1" applyAlignment="1">
      <alignment horizontal="center" vertical="center" wrapText="1"/>
    </xf>
    <xf numFmtId="164" fontId="58" fillId="5" borderId="24" xfId="0" applyNumberFormat="1" applyFont="1" applyFill="1" applyBorder="1" applyAlignment="1">
      <alignment horizontal="center" vertical="center" wrapText="1"/>
    </xf>
    <xf numFmtId="164" fontId="58" fillId="5" borderId="20" xfId="0" applyNumberFormat="1" applyFont="1" applyFill="1" applyBorder="1" applyAlignment="1">
      <alignment horizontal="center" vertical="center" wrapText="1"/>
    </xf>
    <xf numFmtId="164" fontId="58" fillId="5" borderId="3" xfId="0" applyNumberFormat="1" applyFont="1" applyFill="1" applyBorder="1" applyAlignment="1">
      <alignment horizontal="center" vertical="center" wrapText="1"/>
    </xf>
    <xf numFmtId="164" fontId="58" fillId="5" borderId="8" xfId="0" applyNumberFormat="1" applyFont="1" applyFill="1" applyBorder="1" applyAlignment="1">
      <alignment horizontal="center" vertical="center" wrapText="1"/>
    </xf>
    <xf numFmtId="0" fontId="59" fillId="5" borderId="3" xfId="0" applyFont="1" applyFill="1" applyBorder="1" applyAlignment="1">
      <alignment horizontal="center" vertical="center" wrapText="1"/>
    </xf>
    <xf numFmtId="0" fontId="59" fillId="5" borderId="20" xfId="0" applyFont="1" applyFill="1" applyBorder="1" applyAlignment="1">
      <alignment horizontal="center" vertical="center" wrapText="1"/>
    </xf>
    <xf numFmtId="0" fontId="0" fillId="21" borderId="0" xfId="0" applyFill="1"/>
    <xf numFmtId="0" fontId="3" fillId="21" borderId="0" xfId="0" applyFont="1" applyFill="1"/>
    <xf numFmtId="0" fontId="0" fillId="0" borderId="0" xfId="0" pivotButton="1"/>
    <xf numFmtId="20" fontId="0" fillId="0" borderId="0" xfId="0" applyNumberFormat="1" applyAlignment="1">
      <alignment vertical="center"/>
    </xf>
    <xf numFmtId="164" fontId="55" fillId="23" borderId="20" xfId="0" applyNumberFormat="1" applyFont="1" applyFill="1" applyBorder="1" applyAlignment="1">
      <alignment horizontal="center" vertical="center" wrapText="1"/>
    </xf>
    <xf numFmtId="0" fontId="0" fillId="0" borderId="18" xfId="0" pivotButton="1" applyBorder="1"/>
    <xf numFmtId="0" fontId="0" fillId="0" borderId="81" xfId="0" applyBorder="1" applyAlignment="1">
      <alignment horizontal="center"/>
    </xf>
    <xf numFmtId="22" fontId="60" fillId="0" borderId="57" xfId="0" applyNumberFormat="1" applyFont="1" applyBorder="1"/>
    <xf numFmtId="0" fontId="60" fillId="0" borderId="80" xfId="0" applyFont="1" applyBorder="1" applyAlignment="1">
      <alignment wrapText="1"/>
    </xf>
    <xf numFmtId="0" fontId="60" fillId="0" borderId="80" xfId="0" applyFont="1" applyBorder="1"/>
    <xf numFmtId="20" fontId="60" fillId="0" borderId="80" xfId="0" applyNumberFormat="1" applyFont="1" applyBorder="1"/>
    <xf numFmtId="14" fontId="60" fillId="0" borderId="80" xfId="0" applyNumberFormat="1" applyFont="1" applyBorder="1"/>
    <xf numFmtId="22" fontId="60" fillId="0" borderId="80" xfId="0" applyNumberFormat="1" applyFont="1" applyBorder="1"/>
    <xf numFmtId="22" fontId="60" fillId="22" borderId="57" xfId="0" applyNumberFormat="1" applyFont="1" applyFill="1" applyBorder="1"/>
    <xf numFmtId="0" fontId="60" fillId="22" borderId="80" xfId="0" applyFont="1" applyFill="1" applyBorder="1" applyAlignment="1">
      <alignment wrapText="1"/>
    </xf>
    <xf numFmtId="0" fontId="60" fillId="22" borderId="80" xfId="0" applyFont="1" applyFill="1" applyBorder="1"/>
    <xf numFmtId="20" fontId="60" fillId="22" borderId="80" xfId="0" applyNumberFormat="1" applyFont="1" applyFill="1" applyBorder="1"/>
    <xf numFmtId="14" fontId="60" fillId="22" borderId="80" xfId="0" applyNumberFormat="1" applyFont="1" applyFill="1" applyBorder="1"/>
    <xf numFmtId="22" fontId="60" fillId="22" borderId="80" xfId="0" applyNumberFormat="1" applyFont="1" applyFill="1" applyBorder="1"/>
    <xf numFmtId="0" fontId="20" fillId="2" borderId="72" xfId="0" applyFont="1" applyFill="1" applyBorder="1" applyAlignment="1">
      <alignment horizontal="center" wrapText="1"/>
    </xf>
    <xf numFmtId="0" fontId="60" fillId="22" borderId="58" xfId="0" applyFont="1" applyFill="1" applyBorder="1"/>
    <xf numFmtId="0" fontId="60" fillId="0" borderId="58" xfId="0" applyFont="1" applyBorder="1"/>
    <xf numFmtId="166" fontId="54" fillId="5" borderId="3" xfId="0" applyNumberFormat="1" applyFont="1" applyFill="1" applyBorder="1" applyAlignment="1">
      <alignment horizontal="center" vertical="center" wrapText="1"/>
    </xf>
    <xf numFmtId="166" fontId="54" fillId="5" borderId="1" xfId="0" applyNumberFormat="1" applyFont="1" applyFill="1" applyBorder="1" applyAlignment="1">
      <alignment horizontal="center" vertical="center" wrapText="1"/>
    </xf>
    <xf numFmtId="166" fontId="54" fillId="5" borderId="8" xfId="0" applyNumberFormat="1" applyFont="1" applyFill="1" applyBorder="1" applyAlignment="1">
      <alignment horizontal="center" vertical="center" wrapText="1"/>
    </xf>
    <xf numFmtId="166" fontId="54" fillId="5" borderId="20" xfId="0" applyNumberFormat="1" applyFont="1" applyFill="1" applyBorder="1" applyAlignment="1">
      <alignment horizontal="center" vertical="center" wrapText="1"/>
    </xf>
    <xf numFmtId="166" fontId="54" fillId="5" borderId="24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166" fontId="0" fillId="0" borderId="18" xfId="0" applyNumberFormat="1" applyBorder="1"/>
    <xf numFmtId="0" fontId="14" fillId="0" borderId="18" xfId="0" pivotButton="1" applyFont="1" applyBorder="1"/>
    <xf numFmtId="0" fontId="14" fillId="0" borderId="18" xfId="0" applyFont="1" applyBorder="1"/>
    <xf numFmtId="166" fontId="14" fillId="0" borderId="18" xfId="0" applyNumberFormat="1" applyFont="1" applyBorder="1"/>
    <xf numFmtId="0" fontId="42" fillId="0" borderId="18" xfId="0" applyFont="1" applyBorder="1"/>
    <xf numFmtId="0" fontId="23" fillId="0" borderId="18" xfId="0" applyFont="1" applyBorder="1"/>
    <xf numFmtId="166" fontId="23" fillId="0" borderId="18" xfId="0" applyNumberFormat="1" applyFont="1" applyBorder="1"/>
    <xf numFmtId="2" fontId="0" fillId="0" borderId="18" xfId="0" applyNumberFormat="1" applyBorder="1" applyAlignment="1">
      <alignment horizontal="center"/>
    </xf>
    <xf numFmtId="0" fontId="42" fillId="0" borderId="18" xfId="0" pivotButton="1" applyFont="1" applyBorder="1"/>
    <xf numFmtId="0" fontId="67" fillId="0" borderId="0" xfId="0" applyFont="1"/>
    <xf numFmtId="0" fontId="33" fillId="2" borderId="0" xfId="0" applyFont="1" applyFill="1" applyAlignment="1">
      <alignment vertical="center"/>
    </xf>
    <xf numFmtId="166" fontId="68" fillId="2" borderId="0" xfId="0" applyNumberFormat="1" applyFont="1" applyFill="1" applyAlignment="1">
      <alignment vertical="center"/>
    </xf>
    <xf numFmtId="0" fontId="67" fillId="0" borderId="18" xfId="0" applyFont="1" applyBorder="1" applyAlignment="1">
      <alignment horizontal="center"/>
    </xf>
    <xf numFmtId="9" fontId="67" fillId="0" borderId="18" xfId="2" applyFont="1" applyBorder="1" applyAlignment="1">
      <alignment horizontal="center"/>
    </xf>
    <xf numFmtId="14" fontId="67" fillId="0" borderId="18" xfId="0" applyNumberFormat="1" applyFont="1" applyBorder="1" applyAlignment="1">
      <alignment horizontal="center" vertical="center"/>
    </xf>
    <xf numFmtId="0" fontId="67" fillId="0" borderId="18" xfId="0" applyFont="1" applyBorder="1" applyAlignment="1">
      <alignment horizontal="center" vertical="center"/>
    </xf>
    <xf numFmtId="2" fontId="0" fillId="0" borderId="18" xfId="0" applyNumberFormat="1" applyBorder="1"/>
    <xf numFmtId="166" fontId="14" fillId="0" borderId="18" xfId="0" applyNumberFormat="1" applyFont="1" applyBorder="1" applyAlignment="1">
      <alignment horizontal="center"/>
    </xf>
    <xf numFmtId="2" fontId="42" fillId="0" borderId="18" xfId="2" applyNumberFormat="1" applyFont="1" applyBorder="1" applyAlignment="1">
      <alignment horizontal="center"/>
    </xf>
    <xf numFmtId="0" fontId="71" fillId="24" borderId="18" xfId="0" applyFont="1" applyFill="1" applyBorder="1" applyAlignment="1">
      <alignment horizontal="center"/>
    </xf>
    <xf numFmtId="170" fontId="71" fillId="24" borderId="82" xfId="0" applyNumberFormat="1" applyFont="1" applyFill="1" applyBorder="1" applyAlignment="1">
      <alignment horizontal="center"/>
    </xf>
    <xf numFmtId="0" fontId="72" fillId="24" borderId="18" xfId="0" applyFont="1" applyFill="1" applyBorder="1" applyAlignment="1">
      <alignment horizontal="center"/>
    </xf>
    <xf numFmtId="0" fontId="62" fillId="24" borderId="18" xfId="0" applyFont="1" applyFill="1" applyBorder="1" applyAlignment="1">
      <alignment horizontal="center"/>
    </xf>
    <xf numFmtId="0" fontId="72" fillId="0" borderId="18" xfId="0" applyFont="1" applyBorder="1" applyAlignment="1">
      <alignment horizontal="center"/>
    </xf>
    <xf numFmtId="9" fontId="63" fillId="0" borderId="18" xfId="2" applyFont="1" applyBorder="1" applyAlignment="1">
      <alignment horizontal="center" vertical="center"/>
    </xf>
    <xf numFmtId="0" fontId="76" fillId="0" borderId="0" xfId="0" applyFont="1" applyAlignment="1">
      <alignment horizontal="left" wrapText="1"/>
    </xf>
    <xf numFmtId="166" fontId="76" fillId="0" borderId="0" xfId="0" applyNumberFormat="1" applyFont="1" applyAlignment="1">
      <alignment horizontal="left" wrapText="1"/>
    </xf>
    <xf numFmtId="0" fontId="74" fillId="0" borderId="18" xfId="0" applyFont="1" applyBorder="1" applyAlignment="1">
      <alignment horizontal="center"/>
    </xf>
    <xf numFmtId="166" fontId="0" fillId="0" borderId="0" xfId="0" applyNumberFormat="1" applyAlignment="1">
      <alignment horizontal="center" vertical="center" wrapText="1"/>
    </xf>
    <xf numFmtId="0" fontId="74" fillId="0" borderId="18" xfId="0" applyFont="1" applyBorder="1" applyAlignment="1">
      <alignment horizontal="center" vertical="center" wrapText="1"/>
    </xf>
    <xf numFmtId="166" fontId="74" fillId="0" borderId="18" xfId="0" applyNumberFormat="1" applyFont="1" applyBorder="1" applyAlignment="1">
      <alignment horizontal="center" vertical="center" wrapText="1"/>
    </xf>
    <xf numFmtId="166" fontId="0" fillId="0" borderId="18" xfId="0" applyNumberFormat="1" applyBorder="1" applyAlignment="1">
      <alignment horizontal="center" wrapText="1"/>
    </xf>
    <xf numFmtId="164" fontId="28" fillId="3" borderId="3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5" fillId="2" borderId="0" xfId="0" applyFont="1" applyFill="1" applyAlignment="1">
      <alignment horizontal="left"/>
    </xf>
    <xf numFmtId="166" fontId="63" fillId="0" borderId="18" xfId="0" applyNumberFormat="1" applyFont="1" applyBorder="1" applyAlignment="1">
      <alignment horizontal="center" wrapText="1"/>
    </xf>
    <xf numFmtId="0" fontId="70" fillId="23" borderId="18" xfId="0" applyFont="1" applyFill="1" applyBorder="1" applyAlignment="1">
      <alignment horizontal="center" wrapText="1"/>
    </xf>
    <xf numFmtId="9" fontId="61" fillId="0" borderId="18" xfId="2" applyFont="1" applyBorder="1"/>
    <xf numFmtId="9" fontId="0" fillId="0" borderId="82" xfId="0" applyNumberFormat="1" applyBorder="1"/>
    <xf numFmtId="0" fontId="0" fillId="0" borderId="71" xfId="0" applyBorder="1"/>
    <xf numFmtId="0" fontId="0" fillId="0" borderId="22" xfId="0" applyBorder="1"/>
    <xf numFmtId="0" fontId="5" fillId="4" borderId="22" xfId="0" applyFont="1" applyFill="1" applyBorder="1" applyAlignment="1">
      <alignment horizontal="center" vertical="center"/>
    </xf>
    <xf numFmtId="0" fontId="5" fillId="4" borderId="85" xfId="0" applyFont="1" applyFill="1" applyBorder="1" applyAlignment="1">
      <alignment horizontal="center" vertical="center"/>
    </xf>
    <xf numFmtId="166" fontId="0" fillId="0" borderId="86" xfId="0" applyNumberFormat="1" applyBorder="1"/>
    <xf numFmtId="2" fontId="0" fillId="0" borderId="86" xfId="0" applyNumberFormat="1" applyBorder="1" applyAlignment="1">
      <alignment horizontal="center"/>
    </xf>
    <xf numFmtId="9" fontId="61" fillId="0" borderId="86" xfId="2" applyFont="1" applyBorder="1"/>
    <xf numFmtId="9" fontId="0" fillId="0" borderId="81" xfId="0" applyNumberFormat="1" applyBorder="1"/>
    <xf numFmtId="0" fontId="0" fillId="0" borderId="18" xfId="0" applyBorder="1" applyAlignment="1">
      <alignment horizontal="center" vertical="center" wrapText="1"/>
    </xf>
    <xf numFmtId="0" fontId="76" fillId="0" borderId="83" xfId="0" applyFont="1" applyBorder="1"/>
    <xf numFmtId="0" fontId="76" fillId="0" borderId="84" xfId="0" applyFont="1" applyBorder="1"/>
    <xf numFmtId="0" fontId="22" fillId="0" borderId="87" xfId="0" applyFont="1" applyBorder="1" applyAlignment="1">
      <alignment horizontal="center" vertical="center"/>
    </xf>
    <xf numFmtId="0" fontId="75" fillId="4" borderId="18" xfId="0" applyFont="1" applyFill="1" applyBorder="1" applyAlignment="1">
      <alignment horizontal="center" vertical="center" wrapText="1"/>
    </xf>
    <xf numFmtId="170" fontId="75" fillId="4" borderId="18" xfId="0" applyNumberFormat="1" applyFont="1" applyFill="1" applyBorder="1" applyAlignment="1">
      <alignment horizontal="center" vertical="center" wrapText="1"/>
    </xf>
    <xf numFmtId="171" fontId="74" fillId="0" borderId="18" xfId="2" applyNumberFormat="1" applyFont="1" applyBorder="1" applyAlignment="1">
      <alignment horizontal="center" vertical="center" wrapText="1"/>
    </xf>
    <xf numFmtId="9" fontId="0" fillId="0" borderId="18" xfId="2" applyFont="1" applyBorder="1" applyAlignment="1">
      <alignment horizontal="center"/>
    </xf>
    <xf numFmtId="0" fontId="0" fillId="2" borderId="3" xfId="0" applyFill="1" applyBorder="1" applyAlignment="1">
      <alignment horizontal="left"/>
    </xf>
    <xf numFmtId="0" fontId="0" fillId="2" borderId="3" xfId="0" applyFill="1" applyBorder="1" applyAlignment="1">
      <alignment horizontal="center"/>
    </xf>
    <xf numFmtId="0" fontId="59" fillId="2" borderId="0" xfId="0" applyFont="1" applyFill="1" applyAlignment="1">
      <alignment horizontal="center" vertical="center" wrapText="1"/>
    </xf>
    <xf numFmtId="164" fontId="58" fillId="2" borderId="0" xfId="0" applyNumberFormat="1" applyFont="1" applyFill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164" fontId="58" fillId="7" borderId="1" xfId="0" applyNumberFormat="1" applyFont="1" applyFill="1" applyBorder="1" applyAlignment="1">
      <alignment horizontal="center" vertical="center" wrapText="1"/>
    </xf>
    <xf numFmtId="166" fontId="58" fillId="7" borderId="3" xfId="0" applyNumberFormat="1" applyFont="1" applyFill="1" applyBorder="1" applyAlignment="1">
      <alignment horizontal="center" vertical="center" wrapText="1"/>
    </xf>
    <xf numFmtId="166" fontId="58" fillId="7" borderId="1" xfId="0" applyNumberFormat="1" applyFont="1" applyFill="1" applyBorder="1" applyAlignment="1">
      <alignment horizontal="center" vertical="center" wrapText="1"/>
    </xf>
    <xf numFmtId="166" fontId="58" fillId="7" borderId="8" xfId="0" applyNumberFormat="1" applyFont="1" applyFill="1" applyBorder="1" applyAlignment="1">
      <alignment horizontal="center" vertical="center" wrapText="1"/>
    </xf>
    <xf numFmtId="166" fontId="58" fillId="7" borderId="20" xfId="0" applyNumberFormat="1" applyFont="1" applyFill="1" applyBorder="1" applyAlignment="1">
      <alignment horizontal="center" vertical="center" wrapText="1"/>
    </xf>
    <xf numFmtId="166" fontId="58" fillId="7" borderId="24" xfId="0" applyNumberFormat="1" applyFont="1" applyFill="1" applyBorder="1" applyAlignment="1">
      <alignment horizontal="center" vertical="center" wrapText="1"/>
    </xf>
    <xf numFmtId="164" fontId="13" fillId="7" borderId="3" xfId="0" applyNumberFormat="1" applyFont="1" applyFill="1" applyBorder="1" applyAlignment="1">
      <alignment horizontal="center" vertical="center" wrapText="1"/>
    </xf>
    <xf numFmtId="0" fontId="13" fillId="7" borderId="3" xfId="0" applyFont="1" applyFill="1" applyBorder="1" applyAlignment="1">
      <alignment horizontal="center" vertical="center" wrapText="1"/>
    </xf>
    <xf numFmtId="164" fontId="13" fillId="7" borderId="1" xfId="0" applyNumberFormat="1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164" fontId="13" fillId="7" borderId="8" xfId="0" applyNumberFormat="1" applyFont="1" applyFill="1" applyBorder="1" applyAlignment="1">
      <alignment horizontal="center" vertical="center" wrapText="1"/>
    </xf>
    <xf numFmtId="0" fontId="13" fillId="7" borderId="8" xfId="0" applyFont="1" applyFill="1" applyBorder="1" applyAlignment="1">
      <alignment horizontal="center" vertical="center" wrapText="1"/>
    </xf>
    <xf numFmtId="164" fontId="13" fillId="7" borderId="20" xfId="0" applyNumberFormat="1" applyFont="1" applyFill="1" applyBorder="1" applyAlignment="1">
      <alignment horizontal="center" vertical="center" wrapText="1"/>
    </xf>
    <xf numFmtId="0" fontId="13" fillId="7" borderId="20" xfId="0" applyFont="1" applyFill="1" applyBorder="1" applyAlignment="1">
      <alignment horizontal="center" vertical="center" wrapText="1"/>
    </xf>
    <xf numFmtId="164" fontId="13" fillId="7" borderId="24" xfId="0" applyNumberFormat="1" applyFont="1" applyFill="1" applyBorder="1" applyAlignment="1">
      <alignment horizontal="center" vertical="center" wrapText="1"/>
    </xf>
    <xf numFmtId="0" fontId="13" fillId="7" borderId="24" xfId="0" applyFont="1" applyFill="1" applyBorder="1" applyAlignment="1">
      <alignment horizontal="center" vertical="center" wrapText="1"/>
    </xf>
    <xf numFmtId="164" fontId="64" fillId="25" borderId="3" xfId="0" applyNumberFormat="1" applyFont="1" applyFill="1" applyBorder="1" applyAlignment="1">
      <alignment horizontal="left" vertical="center" wrapText="1"/>
    </xf>
    <xf numFmtId="164" fontId="64" fillId="25" borderId="1" xfId="0" applyNumberFormat="1" applyFont="1" applyFill="1" applyBorder="1" applyAlignment="1">
      <alignment horizontal="left" vertical="center" wrapText="1"/>
    </xf>
    <xf numFmtId="164" fontId="64" fillId="25" borderId="8" xfId="0" applyNumberFormat="1" applyFont="1" applyFill="1" applyBorder="1" applyAlignment="1">
      <alignment horizontal="left" vertical="center" wrapText="1"/>
    </xf>
    <xf numFmtId="164" fontId="64" fillId="25" borderId="20" xfId="0" applyNumberFormat="1" applyFont="1" applyFill="1" applyBorder="1" applyAlignment="1">
      <alignment horizontal="left" vertical="center" wrapText="1"/>
    </xf>
    <xf numFmtId="164" fontId="64" fillId="25" borderId="24" xfId="0" applyNumberFormat="1" applyFont="1" applyFill="1" applyBorder="1" applyAlignment="1">
      <alignment horizontal="left" vertical="center" wrapText="1"/>
    </xf>
    <xf numFmtId="0" fontId="15" fillId="25" borderId="2" xfId="0" applyFont="1" applyFill="1" applyBorder="1" applyAlignment="1">
      <alignment horizontal="center" vertical="center" wrapText="1"/>
    </xf>
    <xf numFmtId="0" fontId="15" fillId="25" borderId="3" xfId="0" applyFont="1" applyFill="1" applyBorder="1" applyAlignment="1">
      <alignment horizontal="center" vertical="center" wrapText="1"/>
    </xf>
    <xf numFmtId="20" fontId="18" fillId="25" borderId="3" xfId="0" applyNumberFormat="1" applyFont="1" applyFill="1" applyBorder="1" applyAlignment="1">
      <alignment horizontal="center" vertical="center" wrapText="1"/>
    </xf>
    <xf numFmtId="0" fontId="15" fillId="25" borderId="5" xfId="0" applyFont="1" applyFill="1" applyBorder="1" applyAlignment="1">
      <alignment horizontal="center" vertical="center" wrapText="1"/>
    </xf>
    <xf numFmtId="0" fontId="15" fillId="25" borderId="1" xfId="0" applyFont="1" applyFill="1" applyBorder="1" applyAlignment="1">
      <alignment horizontal="center" vertical="center" wrapText="1"/>
    </xf>
    <xf numFmtId="20" fontId="18" fillId="25" borderId="1" xfId="0" applyNumberFormat="1" applyFont="1" applyFill="1" applyBorder="1" applyAlignment="1">
      <alignment horizontal="center" vertical="center" wrapText="1"/>
    </xf>
    <xf numFmtId="0" fontId="15" fillId="25" borderId="8" xfId="0" applyFont="1" applyFill="1" applyBorder="1" applyAlignment="1">
      <alignment horizontal="center" vertical="center" wrapText="1"/>
    </xf>
    <xf numFmtId="20" fontId="18" fillId="25" borderId="8" xfId="0" applyNumberFormat="1" applyFont="1" applyFill="1" applyBorder="1" applyAlignment="1">
      <alignment horizontal="center" vertical="center" wrapText="1"/>
    </xf>
    <xf numFmtId="0" fontId="15" fillId="25" borderId="19" xfId="0" applyFont="1" applyFill="1" applyBorder="1" applyAlignment="1">
      <alignment horizontal="center" vertical="center" wrapText="1"/>
    </xf>
    <xf numFmtId="0" fontId="15" fillId="25" borderId="20" xfId="0" applyFont="1" applyFill="1" applyBorder="1" applyAlignment="1">
      <alignment horizontal="center" vertical="center" wrapText="1"/>
    </xf>
    <xf numFmtId="20" fontId="18" fillId="25" borderId="20" xfId="0" applyNumberFormat="1" applyFont="1" applyFill="1" applyBorder="1" applyAlignment="1">
      <alignment horizontal="center" vertical="center" wrapText="1"/>
    </xf>
    <xf numFmtId="0" fontId="15" fillId="25" borderId="7" xfId="0" applyFont="1" applyFill="1" applyBorder="1" applyAlignment="1">
      <alignment horizontal="center" vertical="center" wrapText="1"/>
    </xf>
    <xf numFmtId="0" fontId="15" fillId="25" borderId="28" xfId="0" applyFont="1" applyFill="1" applyBorder="1" applyAlignment="1">
      <alignment horizontal="center" vertical="center" wrapText="1"/>
    </xf>
    <xf numFmtId="0" fontId="15" fillId="25" borderId="24" xfId="0" applyFont="1" applyFill="1" applyBorder="1" applyAlignment="1">
      <alignment horizontal="center" vertical="center" wrapText="1"/>
    </xf>
    <xf numFmtId="20" fontId="18" fillId="25" borderId="24" xfId="0" applyNumberFormat="1" applyFont="1" applyFill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12" fillId="7" borderId="5" xfId="0" applyFont="1" applyFill="1" applyBorder="1" applyAlignment="1">
      <alignment horizontal="center" vertical="center" wrapText="1"/>
    </xf>
    <xf numFmtId="0" fontId="0" fillId="25" borderId="7" xfId="0" applyFill="1" applyBorder="1" applyAlignment="1">
      <alignment horizontal="center" vertical="center" wrapText="1"/>
    </xf>
    <xf numFmtId="46" fontId="14" fillId="0" borderId="18" xfId="0" applyNumberFormat="1" applyFont="1" applyBorder="1" applyAlignment="1">
      <alignment horizontal="center" vertical="center"/>
    </xf>
    <xf numFmtId="164" fontId="79" fillId="25" borderId="3" xfId="0" applyNumberFormat="1" applyFont="1" applyFill="1" applyBorder="1" applyAlignment="1">
      <alignment horizontal="center" vertical="center" wrapText="1"/>
    </xf>
    <xf numFmtId="164" fontId="79" fillId="25" borderId="1" xfId="0" applyNumberFormat="1" applyFont="1" applyFill="1" applyBorder="1" applyAlignment="1">
      <alignment horizontal="center" vertical="center" wrapText="1"/>
    </xf>
    <xf numFmtId="164" fontId="79" fillId="25" borderId="8" xfId="0" applyNumberFormat="1" applyFont="1" applyFill="1" applyBorder="1" applyAlignment="1">
      <alignment horizontal="center" vertical="center" wrapText="1"/>
    </xf>
    <xf numFmtId="164" fontId="79" fillId="25" borderId="20" xfId="0" applyNumberFormat="1" applyFont="1" applyFill="1" applyBorder="1" applyAlignment="1">
      <alignment horizontal="center" vertical="center" wrapText="1"/>
    </xf>
    <xf numFmtId="164" fontId="79" fillId="25" borderId="24" xfId="0" applyNumberFormat="1" applyFont="1" applyFill="1" applyBorder="1" applyAlignment="1">
      <alignment horizontal="center" vertical="center" wrapText="1"/>
    </xf>
    <xf numFmtId="0" fontId="36" fillId="0" borderId="19" xfId="0" applyFont="1" applyBorder="1" applyAlignment="1">
      <alignment horizontal="center" vertical="center"/>
    </xf>
    <xf numFmtId="0" fontId="36" fillId="0" borderId="5" xfId="0" applyFont="1" applyBorder="1" applyAlignment="1">
      <alignment horizontal="center" vertical="center"/>
    </xf>
    <xf numFmtId="0" fontId="36" fillId="0" borderId="7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25" fillId="0" borderId="28" xfId="0" applyFont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wrapText="1"/>
    </xf>
    <xf numFmtId="0" fontId="25" fillId="0" borderId="89" xfId="0" applyFont="1" applyBorder="1" applyAlignment="1">
      <alignment horizontal="center" vertical="center" wrapText="1"/>
    </xf>
    <xf numFmtId="0" fontId="65" fillId="2" borderId="93" xfId="0" applyFont="1" applyFill="1" applyBorder="1"/>
    <xf numFmtId="0" fontId="65" fillId="2" borderId="0" xfId="0" applyFont="1" applyFill="1"/>
    <xf numFmtId="0" fontId="65" fillId="2" borderId="94" xfId="0" applyFont="1" applyFill="1" applyBorder="1"/>
    <xf numFmtId="0" fontId="20" fillId="2" borderId="93" xfId="0" applyFont="1" applyFill="1" applyBorder="1" applyAlignment="1">
      <alignment wrapText="1"/>
    </xf>
    <xf numFmtId="0" fontId="0" fillId="2" borderId="94" xfId="0" applyFill="1" applyBorder="1" applyAlignment="1">
      <alignment horizontal="center"/>
    </xf>
    <xf numFmtId="0" fontId="12" fillId="7" borderId="76" xfId="0" applyFont="1" applyFill="1" applyBorder="1" applyAlignment="1">
      <alignment horizontal="center" vertical="center" wrapText="1"/>
    </xf>
    <xf numFmtId="0" fontId="12" fillId="7" borderId="77" xfId="0" applyFont="1" applyFill="1" applyBorder="1" applyAlignment="1">
      <alignment horizontal="center" vertical="center" wrapText="1"/>
    </xf>
    <xf numFmtId="0" fontId="64" fillId="25" borderId="95" xfId="0" applyFont="1" applyFill="1" applyBorder="1" applyAlignment="1">
      <alignment horizontal="left" vertical="center" wrapText="1"/>
    </xf>
    <xf numFmtId="0" fontId="64" fillId="25" borderId="77" xfId="0" applyFont="1" applyFill="1" applyBorder="1" applyAlignment="1">
      <alignment horizontal="left" vertical="center" wrapText="1"/>
    </xf>
    <xf numFmtId="0" fontId="64" fillId="25" borderId="41" xfId="0" applyFont="1" applyFill="1" applyBorder="1" applyAlignment="1">
      <alignment horizontal="left" vertical="center" wrapText="1"/>
    </xf>
    <xf numFmtId="0" fontId="64" fillId="25" borderId="97" xfId="0" applyFont="1" applyFill="1" applyBorder="1" applyAlignment="1">
      <alignment horizontal="left" vertical="center" wrapText="1"/>
    </xf>
    <xf numFmtId="0" fontId="64" fillId="25" borderId="102" xfId="0" applyFont="1" applyFill="1" applyBorder="1" applyAlignment="1">
      <alignment horizontal="left" vertical="center" wrapText="1"/>
    </xf>
    <xf numFmtId="0" fontId="15" fillId="25" borderId="89" xfId="0" applyFont="1" applyFill="1" applyBorder="1" applyAlignment="1">
      <alignment horizontal="center" vertical="center" wrapText="1"/>
    </xf>
    <xf numFmtId="0" fontId="15" fillId="25" borderId="103" xfId="0" applyFont="1" applyFill="1" applyBorder="1" applyAlignment="1">
      <alignment horizontal="center" vertical="center" wrapText="1"/>
    </xf>
    <xf numFmtId="20" fontId="18" fillId="25" borderId="103" xfId="0" applyNumberFormat="1" applyFont="1" applyFill="1" applyBorder="1" applyAlignment="1">
      <alignment horizontal="center" vertical="center" wrapText="1"/>
    </xf>
    <xf numFmtId="164" fontId="58" fillId="7" borderId="103" xfId="0" applyNumberFormat="1" applyFont="1" applyFill="1" applyBorder="1" applyAlignment="1">
      <alignment horizontal="center" vertical="center" wrapText="1"/>
    </xf>
    <xf numFmtId="164" fontId="79" fillId="25" borderId="103" xfId="0" applyNumberFormat="1" applyFont="1" applyFill="1" applyBorder="1" applyAlignment="1">
      <alignment horizontal="center" vertical="center" wrapText="1"/>
    </xf>
    <xf numFmtId="164" fontId="13" fillId="7" borderId="103" xfId="0" applyNumberFormat="1" applyFont="1" applyFill="1" applyBorder="1" applyAlignment="1">
      <alignment horizontal="center" vertical="center" wrapText="1"/>
    </xf>
    <xf numFmtId="164" fontId="64" fillId="25" borderId="103" xfId="0" applyNumberFormat="1" applyFont="1" applyFill="1" applyBorder="1" applyAlignment="1">
      <alignment horizontal="left" vertical="center" wrapText="1"/>
    </xf>
    <xf numFmtId="0" fontId="64" fillId="25" borderId="79" xfId="0" applyFont="1" applyFill="1" applyBorder="1" applyAlignment="1">
      <alignment horizontal="left" vertical="center" wrapText="1"/>
    </xf>
    <xf numFmtId="0" fontId="65" fillId="2" borderId="104" xfId="0" applyFont="1" applyFill="1" applyBorder="1"/>
    <xf numFmtId="0" fontId="65" fillId="2" borderId="105" xfId="0" applyFont="1" applyFill="1" applyBorder="1"/>
    <xf numFmtId="0" fontId="65" fillId="2" borderId="106" xfId="0" applyFont="1" applyFill="1" applyBorder="1"/>
    <xf numFmtId="0" fontId="59" fillId="2" borderId="91" xfId="0" applyFont="1" applyFill="1" applyBorder="1" applyAlignment="1">
      <alignment horizontal="center" vertical="center" wrapText="1"/>
    </xf>
    <xf numFmtId="0" fontId="59" fillId="2" borderId="105" xfId="0" applyFont="1" applyFill="1" applyBorder="1" applyAlignment="1">
      <alignment horizontal="center" vertical="center" wrapText="1"/>
    </xf>
    <xf numFmtId="164" fontId="28" fillId="2" borderId="105" xfId="0" applyNumberFormat="1" applyFont="1" applyFill="1" applyBorder="1" applyAlignment="1">
      <alignment horizontal="center" vertical="center" wrapText="1"/>
    </xf>
    <xf numFmtId="0" fontId="16" fillId="2" borderId="105" xfId="0" applyFont="1" applyFill="1" applyBorder="1" applyAlignment="1">
      <alignment horizontal="center" vertical="center" wrapText="1"/>
    </xf>
    <xf numFmtId="0" fontId="80" fillId="0" borderId="18" xfId="0" pivotButton="1" applyFont="1" applyBorder="1" applyAlignment="1">
      <alignment horizontal="center" wrapText="1"/>
    </xf>
    <xf numFmtId="0" fontId="80" fillId="0" borderId="18" xfId="0" applyFont="1" applyBorder="1" applyAlignment="1">
      <alignment horizontal="center" vertical="center" wrapText="1"/>
    </xf>
    <xf numFmtId="0" fontId="81" fillId="0" borderId="18" xfId="0" pivotButton="1" applyFont="1" applyBorder="1" applyAlignment="1">
      <alignment horizontal="left" wrapText="1"/>
    </xf>
    <xf numFmtId="0" fontId="17" fillId="0" borderId="18" xfId="0" applyFont="1" applyBorder="1" applyAlignment="1">
      <alignment horizontal="center" wrapText="1"/>
    </xf>
    <xf numFmtId="0" fontId="17" fillId="0" borderId="18" xfId="0" pivotButton="1" applyFont="1" applyBorder="1"/>
    <xf numFmtId="0" fontId="82" fillId="0" borderId="18" xfId="0" pivotButton="1" applyFont="1" applyBorder="1" applyAlignment="1">
      <alignment horizontal="center" vertical="center"/>
    </xf>
    <xf numFmtId="0" fontId="82" fillId="0" borderId="18" xfId="0" applyFont="1" applyBorder="1" applyAlignment="1">
      <alignment horizontal="center" vertical="center"/>
    </xf>
    <xf numFmtId="0" fontId="80" fillId="0" borderId="18" xfId="0" pivotButton="1" applyFont="1" applyBorder="1" applyAlignment="1">
      <alignment horizontal="center"/>
    </xf>
    <xf numFmtId="0" fontId="0" fillId="0" borderId="18" xfId="0" pivotButton="1" applyBorder="1" applyAlignment="1">
      <alignment horizontal="center"/>
    </xf>
    <xf numFmtId="0" fontId="74" fillId="0" borderId="18" xfId="0" pivotButton="1" applyFont="1" applyBorder="1" applyAlignment="1">
      <alignment horizontal="center" wrapText="1"/>
    </xf>
    <xf numFmtId="166" fontId="3" fillId="3" borderId="8" xfId="0" applyNumberFormat="1" applyFont="1" applyFill="1" applyBorder="1" applyAlignment="1">
      <alignment horizontal="center"/>
    </xf>
    <xf numFmtId="0" fontId="3" fillId="14" borderId="8" xfId="0" applyFont="1" applyFill="1" applyBorder="1" applyAlignment="1">
      <alignment horizontal="center"/>
    </xf>
    <xf numFmtId="0" fontId="0" fillId="0" borderId="82" xfId="0" applyBorder="1" applyAlignment="1">
      <alignment horizontal="center"/>
    </xf>
    <xf numFmtId="0" fontId="0" fillId="0" borderId="83" xfId="0" applyBorder="1" applyAlignment="1">
      <alignment horizontal="center"/>
    </xf>
    <xf numFmtId="2" fontId="67" fillId="0" borderId="18" xfId="0" applyNumberFormat="1" applyFont="1" applyBorder="1" applyAlignment="1">
      <alignment horizontal="center"/>
    </xf>
    <xf numFmtId="4" fontId="0" fillId="0" borderId="0" xfId="0" applyNumberFormat="1"/>
    <xf numFmtId="3" fontId="0" fillId="0" borderId="0" xfId="0" applyNumberFormat="1"/>
    <xf numFmtId="0" fontId="0" fillId="5" borderId="71" xfId="0" applyFill="1" applyBorder="1" applyAlignment="1">
      <alignment horizontal="center" vertical="center" wrapText="1"/>
    </xf>
    <xf numFmtId="0" fontId="0" fillId="5" borderId="22" xfId="0" applyFill="1" applyBorder="1" applyAlignment="1">
      <alignment horizontal="center" vertical="center" wrapText="1"/>
    </xf>
    <xf numFmtId="0" fontId="0" fillId="5" borderId="85" xfId="0" applyFill="1" applyBorder="1" applyAlignment="1">
      <alignment horizontal="center" vertical="center" wrapText="1"/>
    </xf>
    <xf numFmtId="4" fontId="0" fillId="26" borderId="18" xfId="0" applyNumberFormat="1" applyFill="1" applyBorder="1" applyAlignment="1">
      <alignment horizontal="center"/>
    </xf>
    <xf numFmtId="4" fontId="0" fillId="27" borderId="18" xfId="0" applyNumberFormat="1" applyFill="1" applyBorder="1" applyAlignment="1">
      <alignment horizontal="center"/>
    </xf>
    <xf numFmtId="4" fontId="0" fillId="28" borderId="18" xfId="0" applyNumberFormat="1" applyFill="1" applyBorder="1" applyAlignment="1">
      <alignment horizontal="center"/>
    </xf>
    <xf numFmtId="4" fontId="0" fillId="29" borderId="18" xfId="0" applyNumberFormat="1" applyFill="1" applyBorder="1" applyAlignment="1">
      <alignment horizontal="center"/>
    </xf>
    <xf numFmtId="0" fontId="0" fillId="29" borderId="18" xfId="0" applyFill="1" applyBorder="1" applyAlignment="1">
      <alignment horizontal="center"/>
    </xf>
    <xf numFmtId="0" fontId="0" fillId="27" borderId="18" xfId="0" applyFill="1" applyBorder="1" applyAlignment="1">
      <alignment horizontal="center"/>
    </xf>
    <xf numFmtId="9" fontId="0" fillId="30" borderId="18" xfId="0" applyNumberForma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3" fontId="3" fillId="5" borderId="18" xfId="0" applyNumberFormat="1" applyFont="1" applyFill="1" applyBorder="1" applyAlignment="1">
      <alignment horizontal="center"/>
    </xf>
    <xf numFmtId="3" fontId="3" fillId="5" borderId="82" xfId="0" applyNumberFormat="1" applyFont="1" applyFill="1" applyBorder="1" applyAlignment="1">
      <alignment horizontal="center"/>
    </xf>
    <xf numFmtId="4" fontId="0" fillId="26" borderId="86" xfId="0" applyNumberFormat="1" applyFill="1" applyBorder="1" applyAlignment="1">
      <alignment horizontal="center"/>
    </xf>
    <xf numFmtId="4" fontId="0" fillId="27" borderId="86" xfId="0" applyNumberFormat="1" applyFill="1" applyBorder="1" applyAlignment="1">
      <alignment horizontal="center"/>
    </xf>
    <xf numFmtId="4" fontId="0" fillId="28" borderId="86" xfId="0" applyNumberFormat="1" applyFill="1" applyBorder="1" applyAlignment="1">
      <alignment horizontal="center"/>
    </xf>
    <xf numFmtId="4" fontId="0" fillId="29" borderId="86" xfId="0" applyNumberFormat="1" applyFill="1" applyBorder="1" applyAlignment="1">
      <alignment horizontal="center"/>
    </xf>
    <xf numFmtId="0" fontId="0" fillId="29" borderId="86" xfId="0" applyFill="1" applyBorder="1" applyAlignment="1">
      <alignment horizontal="center"/>
    </xf>
    <xf numFmtId="0" fontId="0" fillId="27" borderId="86" xfId="0" applyFill="1" applyBorder="1" applyAlignment="1">
      <alignment horizontal="center"/>
    </xf>
    <xf numFmtId="9" fontId="0" fillId="30" borderId="86" xfId="0" applyNumberFormat="1" applyFill="1" applyBorder="1" applyAlignment="1">
      <alignment horizontal="center"/>
    </xf>
    <xf numFmtId="0" fontId="3" fillId="5" borderId="86" xfId="0" applyFont="1" applyFill="1" applyBorder="1" applyAlignment="1">
      <alignment horizontal="center"/>
    </xf>
    <xf numFmtId="3" fontId="3" fillId="5" borderId="86" xfId="0" applyNumberFormat="1" applyFont="1" applyFill="1" applyBorder="1" applyAlignment="1">
      <alignment horizontal="center"/>
    </xf>
    <xf numFmtId="3" fontId="3" fillId="5" borderId="81" xfId="0" applyNumberFormat="1" applyFont="1" applyFill="1" applyBorder="1" applyAlignment="1">
      <alignment horizontal="center"/>
    </xf>
    <xf numFmtId="0" fontId="15" fillId="0" borderId="0" xfId="0" applyFont="1"/>
    <xf numFmtId="14" fontId="28" fillId="5" borderId="18" xfId="0" applyNumberFormat="1" applyFont="1" applyFill="1" applyBorder="1"/>
    <xf numFmtId="0" fontId="28" fillId="5" borderId="18" xfId="0" applyFont="1" applyFill="1" applyBorder="1" applyAlignment="1">
      <alignment wrapText="1"/>
    </xf>
    <xf numFmtId="0" fontId="15" fillId="0" borderId="18" xfId="0" applyFont="1" applyBorder="1" applyAlignment="1">
      <alignment vertical="center"/>
    </xf>
    <xf numFmtId="9" fontId="15" fillId="0" borderId="18" xfId="2" applyFont="1" applyBorder="1" applyAlignment="1">
      <alignment horizontal="center" vertical="center"/>
    </xf>
    <xf numFmtId="0" fontId="28" fillId="5" borderId="18" xfId="0" applyFont="1" applyFill="1" applyBorder="1" applyAlignment="1">
      <alignment horizontal="center"/>
    </xf>
    <xf numFmtId="171" fontId="15" fillId="0" borderId="18" xfId="2" applyNumberFormat="1" applyFont="1" applyBorder="1" applyAlignment="1">
      <alignment horizontal="center" vertical="center"/>
    </xf>
    <xf numFmtId="1" fontId="15" fillId="0" borderId="18" xfId="0" applyNumberFormat="1" applyFont="1" applyBorder="1" applyAlignment="1">
      <alignment vertical="center"/>
    </xf>
    <xf numFmtId="0" fontId="28" fillId="5" borderId="87" xfId="0" applyFont="1" applyFill="1" applyBorder="1" applyAlignment="1">
      <alignment horizontal="center"/>
    </xf>
    <xf numFmtId="0" fontId="84" fillId="0" borderId="18" xfId="0" applyFont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 wrapText="1"/>
    </xf>
    <xf numFmtId="16" fontId="3" fillId="5" borderId="83" xfId="0" applyNumberFormat="1" applyFont="1" applyFill="1" applyBorder="1" applyAlignment="1">
      <alignment horizontal="center"/>
    </xf>
    <xf numFmtId="16" fontId="3" fillId="5" borderId="84" xfId="0" applyNumberFormat="1" applyFont="1" applyFill="1" applyBorder="1" applyAlignment="1">
      <alignment horizontal="center"/>
    </xf>
    <xf numFmtId="16" fontId="0" fillId="0" borderId="0" xfId="0" applyNumberFormat="1"/>
    <xf numFmtId="16" fontId="0" fillId="0" borderId="0" xfId="0" applyNumberFormat="1" applyAlignment="1">
      <alignment horizontal="left"/>
    </xf>
    <xf numFmtId="0" fontId="31" fillId="2" borderId="90" xfId="0" applyFont="1" applyFill="1" applyBorder="1" applyAlignment="1">
      <alignment horizontal="center" vertical="center" wrapText="1"/>
    </xf>
    <xf numFmtId="0" fontId="31" fillId="2" borderId="91" xfId="0" applyFont="1" applyFill="1" applyBorder="1" applyAlignment="1">
      <alignment horizontal="center" vertical="center" wrapText="1"/>
    </xf>
    <xf numFmtId="0" fontId="56" fillId="2" borderId="91" xfId="0" applyFont="1" applyFill="1" applyBorder="1" applyAlignment="1">
      <alignment horizontal="center" vertical="center" wrapText="1"/>
    </xf>
    <xf numFmtId="0" fontId="31" fillId="2" borderId="92" xfId="0" applyFont="1" applyFill="1" applyBorder="1" applyAlignment="1">
      <alignment horizontal="center" vertical="center" wrapText="1"/>
    </xf>
    <xf numFmtId="0" fontId="31" fillId="2" borderId="93" xfId="0" applyFont="1" applyFill="1" applyBorder="1" applyAlignment="1">
      <alignment horizontal="center" vertical="center" wrapText="1"/>
    </xf>
    <xf numFmtId="0" fontId="31" fillId="2" borderId="0" xfId="0" applyFont="1" applyFill="1" applyAlignment="1">
      <alignment horizontal="center" vertical="center" wrapText="1"/>
    </xf>
    <xf numFmtId="0" fontId="31" fillId="2" borderId="94" xfId="0" applyFont="1" applyFill="1" applyBorder="1" applyAlignment="1">
      <alignment horizontal="center" vertical="center" wrapText="1"/>
    </xf>
    <xf numFmtId="0" fontId="31" fillId="2" borderId="104" xfId="0" applyFont="1" applyFill="1" applyBorder="1" applyAlignment="1">
      <alignment horizontal="center" vertical="center" wrapText="1"/>
    </xf>
    <xf numFmtId="0" fontId="31" fillId="2" borderId="105" xfId="0" applyFont="1" applyFill="1" applyBorder="1" applyAlignment="1">
      <alignment horizontal="center" vertical="center" wrapText="1"/>
    </xf>
    <xf numFmtId="0" fontId="31" fillId="2" borderId="106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left"/>
    </xf>
    <xf numFmtId="0" fontId="76" fillId="0" borderId="18" xfId="0" applyFont="1" applyBorder="1" applyAlignment="1">
      <alignment horizontal="center" wrapText="1"/>
    </xf>
    <xf numFmtId="0" fontId="85" fillId="0" borderId="0" xfId="0" applyFont="1"/>
    <xf numFmtId="0" fontId="86" fillId="0" borderId="0" xfId="0" applyFont="1"/>
    <xf numFmtId="0" fontId="87" fillId="0" borderId="0" xfId="0" applyFont="1" applyAlignment="1">
      <alignment vertical="center"/>
    </xf>
    <xf numFmtId="0" fontId="88" fillId="0" borderId="0" xfId="0" applyFont="1" applyAlignment="1">
      <alignment vertical="center"/>
    </xf>
    <xf numFmtId="0" fontId="89" fillId="0" borderId="0" xfId="0" applyFont="1" applyAlignment="1">
      <alignment horizontal="right" vertical="center" wrapText="1"/>
    </xf>
    <xf numFmtId="10" fontId="89" fillId="0" borderId="0" xfId="0" applyNumberFormat="1" applyFont="1" applyAlignment="1">
      <alignment horizontal="right" vertical="center" wrapText="1"/>
    </xf>
    <xf numFmtId="0" fontId="91" fillId="31" borderId="18" xfId="0" applyFont="1" applyFill="1" applyBorder="1" applyAlignment="1">
      <alignment horizontal="center"/>
    </xf>
    <xf numFmtId="0" fontId="90" fillId="31" borderId="18" xfId="0" applyFont="1" applyFill="1" applyBorder="1" applyAlignment="1">
      <alignment horizontal="left"/>
    </xf>
    <xf numFmtId="0" fontId="91" fillId="31" borderId="18" xfId="0" applyFont="1" applyFill="1" applyBorder="1" applyAlignment="1">
      <alignment horizontal="center" vertical="center" wrapText="1"/>
    </xf>
    <xf numFmtId="16" fontId="17" fillId="31" borderId="0" xfId="0" applyNumberFormat="1" applyFont="1" applyFill="1" applyAlignment="1">
      <alignment horizontal="left"/>
    </xf>
    <xf numFmtId="16" fontId="90" fillId="31" borderId="0" xfId="0" applyNumberFormat="1" applyFont="1" applyFill="1" applyAlignment="1">
      <alignment horizontal="left"/>
    </xf>
    <xf numFmtId="14" fontId="90" fillId="31" borderId="0" xfId="0" applyNumberFormat="1" applyFont="1" applyFill="1" applyAlignment="1">
      <alignment horizontal="left"/>
    </xf>
    <xf numFmtId="0" fontId="65" fillId="32" borderId="93" xfId="0" applyFont="1" applyFill="1" applyBorder="1"/>
    <xf numFmtId="0" fontId="65" fillId="32" borderId="0" xfId="0" applyFont="1" applyFill="1"/>
    <xf numFmtId="0" fontId="65" fillId="32" borderId="94" xfId="0" applyFont="1" applyFill="1" applyBorder="1"/>
    <xf numFmtId="0" fontId="65" fillId="32" borderId="104" xfId="0" applyFont="1" applyFill="1" applyBorder="1"/>
    <xf numFmtId="0" fontId="65" fillId="32" borderId="105" xfId="0" applyFont="1" applyFill="1" applyBorder="1"/>
    <xf numFmtId="0" fontId="65" fillId="32" borderId="106" xfId="0" applyFont="1" applyFill="1" applyBorder="1"/>
    <xf numFmtId="20" fontId="0" fillId="0" borderId="18" xfId="0" applyNumberFormat="1" applyBorder="1" applyAlignment="1">
      <alignment horizontal="center"/>
    </xf>
    <xf numFmtId="0" fontId="0" fillId="0" borderId="107" xfId="0" applyBorder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39" fillId="0" borderId="11" xfId="0" applyFont="1" applyBorder="1" applyAlignment="1">
      <alignment horizontal="center" vertical="center"/>
    </xf>
    <xf numFmtId="0" fontId="77" fillId="0" borderId="18" xfId="0" applyFont="1" applyBorder="1" applyAlignment="1">
      <alignment horizontal="center"/>
    </xf>
    <xf numFmtId="0" fontId="18" fillId="0" borderId="18" xfId="0" applyFont="1" applyBorder="1" applyAlignment="1">
      <alignment horizontal="center" vertical="center"/>
    </xf>
    <xf numFmtId="0" fontId="78" fillId="0" borderId="18" xfId="0" applyFont="1" applyBorder="1" applyAlignment="1">
      <alignment horizontal="center" vertical="center"/>
    </xf>
    <xf numFmtId="0" fontId="70" fillId="23" borderId="82" xfId="0" applyFont="1" applyFill="1" applyBorder="1" applyAlignment="1">
      <alignment horizontal="center" wrapText="1"/>
    </xf>
    <xf numFmtId="0" fontId="70" fillId="23" borderId="83" xfId="0" applyFont="1" applyFill="1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88" xfId="0" applyBorder="1" applyAlignment="1">
      <alignment horizontal="center"/>
    </xf>
    <xf numFmtId="0" fontId="74" fillId="0" borderId="18" xfId="0" applyFont="1" applyBorder="1" applyAlignment="1">
      <alignment horizontal="center" wrapText="1"/>
    </xf>
    <xf numFmtId="0" fontId="70" fillId="24" borderId="83" xfId="0" applyFont="1" applyFill="1" applyBorder="1" applyAlignment="1">
      <alignment horizontal="center"/>
    </xf>
    <xf numFmtId="0" fontId="70" fillId="24" borderId="18" xfId="0" applyFont="1" applyFill="1" applyBorder="1" applyAlignment="1">
      <alignment horizontal="center"/>
    </xf>
    <xf numFmtId="0" fontId="63" fillId="0" borderId="83" xfId="0" applyFont="1" applyBorder="1" applyAlignment="1">
      <alignment horizontal="center"/>
    </xf>
    <xf numFmtId="0" fontId="63" fillId="0" borderId="18" xfId="0" applyFont="1" applyBorder="1" applyAlignment="1">
      <alignment horizontal="center"/>
    </xf>
    <xf numFmtId="0" fontId="11" fillId="7" borderId="100" xfId="0" applyFont="1" applyFill="1" applyBorder="1" applyAlignment="1">
      <alignment horizontal="center" vertical="center" wrapText="1"/>
    </xf>
    <xf numFmtId="0" fontId="11" fillId="7" borderId="40" xfId="0" applyFont="1" applyFill="1" applyBorder="1" applyAlignment="1">
      <alignment horizontal="center" vertical="center" wrapText="1"/>
    </xf>
    <xf numFmtId="0" fontId="11" fillId="7" borderId="43" xfId="0" applyFont="1" applyFill="1" applyBorder="1" applyAlignment="1">
      <alignment horizontal="center" vertical="center" wrapText="1"/>
    </xf>
    <xf numFmtId="0" fontId="11" fillId="7" borderId="101" xfId="0" applyFont="1" applyFill="1" applyBorder="1" applyAlignment="1">
      <alignment horizontal="center" vertical="center" wrapText="1"/>
    </xf>
    <xf numFmtId="0" fontId="10" fillId="7" borderId="100" xfId="0" applyFont="1" applyFill="1" applyBorder="1" applyAlignment="1">
      <alignment horizontal="center" vertical="center" wrapText="1"/>
    </xf>
    <xf numFmtId="0" fontId="10" fillId="7" borderId="40" xfId="0" applyFont="1" applyFill="1" applyBorder="1" applyAlignment="1">
      <alignment horizontal="center" vertical="center" wrapText="1"/>
    </xf>
    <xf numFmtId="0" fontId="10" fillId="7" borderId="101" xfId="0" applyFont="1" applyFill="1" applyBorder="1" applyAlignment="1">
      <alignment horizontal="center" vertical="center" wrapText="1"/>
    </xf>
    <xf numFmtId="0" fontId="42" fillId="0" borderId="18" xfId="0" applyFont="1" applyBorder="1" applyAlignment="1">
      <alignment horizontal="center" vertical="center"/>
    </xf>
    <xf numFmtId="0" fontId="83" fillId="5" borderId="0" xfId="0" applyFont="1" applyFill="1" applyAlignment="1">
      <alignment horizontal="center"/>
    </xf>
    <xf numFmtId="0" fontId="65" fillId="32" borderId="90" xfId="0" applyFont="1" applyFill="1" applyBorder="1" applyAlignment="1">
      <alignment horizontal="center"/>
    </xf>
    <xf numFmtId="0" fontId="65" fillId="32" borderId="91" xfId="0" applyFont="1" applyFill="1" applyBorder="1" applyAlignment="1">
      <alignment horizontal="center"/>
    </xf>
    <xf numFmtId="0" fontId="65" fillId="32" borderId="93" xfId="0" applyFont="1" applyFill="1" applyBorder="1" applyAlignment="1">
      <alignment horizontal="center"/>
    </xf>
    <xf numFmtId="0" fontId="65" fillId="32" borderId="0" xfId="0" applyFont="1" applyFill="1" applyAlignment="1">
      <alignment horizontal="center"/>
    </xf>
    <xf numFmtId="0" fontId="69" fillId="32" borderId="91" xfId="0" applyFont="1" applyFill="1" applyBorder="1" applyAlignment="1">
      <alignment horizontal="center" vertical="top" wrapText="1"/>
    </xf>
    <xf numFmtId="0" fontId="69" fillId="32" borderId="91" xfId="0" applyFont="1" applyFill="1" applyBorder="1" applyAlignment="1">
      <alignment horizontal="center" vertical="top"/>
    </xf>
    <xf numFmtId="0" fontId="69" fillId="32" borderId="0" xfId="0" applyFont="1" applyFill="1" applyAlignment="1">
      <alignment horizontal="center" vertical="top"/>
    </xf>
    <xf numFmtId="14" fontId="66" fillId="32" borderId="92" xfId="0" applyNumberFormat="1" applyFont="1" applyFill="1" applyBorder="1" applyAlignment="1">
      <alignment horizontal="center" vertical="center"/>
    </xf>
    <xf numFmtId="14" fontId="66" fillId="32" borderId="94" xfId="0" applyNumberFormat="1" applyFont="1" applyFill="1" applyBorder="1" applyAlignment="1">
      <alignment horizontal="center" vertical="center"/>
    </xf>
    <xf numFmtId="0" fontId="11" fillId="7" borderId="96" xfId="0" applyFont="1" applyFill="1" applyBorder="1" applyAlignment="1">
      <alignment horizontal="center" vertical="center" wrapText="1"/>
    </xf>
    <xf numFmtId="0" fontId="11" fillId="7" borderId="98" xfId="0" applyFont="1" applyFill="1" applyBorder="1" applyAlignment="1">
      <alignment horizontal="center" vertical="center" wrapText="1"/>
    </xf>
    <xf numFmtId="0" fontId="11" fillId="7" borderId="99" xfId="0" applyFont="1" applyFill="1" applyBorder="1" applyAlignment="1">
      <alignment horizontal="center" vertical="center" wrapText="1"/>
    </xf>
    <xf numFmtId="0" fontId="63" fillId="0" borderId="83" xfId="0" applyFont="1" applyBorder="1" applyAlignment="1">
      <alignment horizontal="center" vertical="center"/>
    </xf>
    <xf numFmtId="0" fontId="63" fillId="0" borderId="18" xfId="0" applyFont="1" applyBorder="1" applyAlignment="1">
      <alignment horizontal="center" vertical="center"/>
    </xf>
    <xf numFmtId="0" fontId="73" fillId="0" borderId="83" xfId="0" applyFont="1" applyBorder="1" applyAlignment="1">
      <alignment horizontal="center" vertical="center" wrapText="1"/>
    </xf>
    <xf numFmtId="0" fontId="42" fillId="0" borderId="18" xfId="0" applyFont="1" applyBorder="1" applyAlignment="1">
      <alignment horizontal="center" vertical="center" wrapText="1"/>
    </xf>
    <xf numFmtId="0" fontId="42" fillId="0" borderId="83" xfId="0" applyFont="1" applyBorder="1" applyAlignment="1">
      <alignment horizontal="center" vertical="center" wrapText="1"/>
    </xf>
    <xf numFmtId="0" fontId="23" fillId="8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2" fillId="5" borderId="29" xfId="0" applyFont="1" applyFill="1" applyBorder="1" applyAlignment="1">
      <alignment horizontal="center" vertical="center" wrapText="1"/>
    </xf>
    <xf numFmtId="0" fontId="12" fillId="5" borderId="30" xfId="0" applyFont="1" applyFill="1" applyBorder="1" applyAlignment="1">
      <alignment horizontal="center" vertical="center" wrapText="1"/>
    </xf>
    <xf numFmtId="0" fontId="12" fillId="5" borderId="31" xfId="0" applyFont="1" applyFill="1" applyBorder="1" applyAlignment="1">
      <alignment horizontal="center" vertical="center" wrapText="1"/>
    </xf>
    <xf numFmtId="0" fontId="3" fillId="20" borderId="0" xfId="0" applyFont="1" applyFill="1" applyAlignment="1">
      <alignment horizontal="center"/>
    </xf>
    <xf numFmtId="0" fontId="57" fillId="20" borderId="0" xfId="0" applyFont="1" applyFill="1" applyAlignment="1">
      <alignment horizontal="center" vertical="center"/>
    </xf>
    <xf numFmtId="14" fontId="57" fillId="20" borderId="0" xfId="0" applyNumberFormat="1" applyFont="1" applyFill="1" applyAlignment="1">
      <alignment horizontal="center" vertical="center"/>
    </xf>
    <xf numFmtId="0" fontId="31" fillId="5" borderId="64" xfId="0" applyFont="1" applyFill="1" applyBorder="1" applyAlignment="1">
      <alignment horizontal="center" vertical="center" wrapText="1"/>
    </xf>
    <xf numFmtId="0" fontId="31" fillId="5" borderId="65" xfId="0" applyFont="1" applyFill="1" applyBorder="1" applyAlignment="1">
      <alignment horizontal="center" vertical="center" wrapText="1"/>
    </xf>
    <xf numFmtId="0" fontId="31" fillId="5" borderId="66" xfId="0" applyFont="1" applyFill="1" applyBorder="1" applyAlignment="1">
      <alignment horizontal="center" vertical="center" wrapText="1"/>
    </xf>
    <xf numFmtId="0" fontId="31" fillId="5" borderId="67" xfId="0" applyFont="1" applyFill="1" applyBorder="1" applyAlignment="1">
      <alignment horizontal="center" vertical="center" wrapText="1"/>
    </xf>
    <xf numFmtId="0" fontId="31" fillId="5" borderId="68" xfId="0" applyFont="1" applyFill="1" applyBorder="1" applyAlignment="1">
      <alignment horizontal="center" vertical="center" wrapText="1"/>
    </xf>
    <xf numFmtId="0" fontId="31" fillId="5" borderId="69" xfId="0" applyFont="1" applyFill="1" applyBorder="1" applyAlignment="1">
      <alignment horizontal="center" vertical="center" wrapText="1"/>
    </xf>
    <xf numFmtId="0" fontId="33" fillId="5" borderId="65" xfId="0" applyFont="1" applyFill="1" applyBorder="1" applyAlignment="1">
      <alignment horizontal="center" vertical="center"/>
    </xf>
    <xf numFmtId="0" fontId="33" fillId="5" borderId="66" xfId="0" applyFont="1" applyFill="1" applyBorder="1" applyAlignment="1">
      <alignment horizontal="center" vertical="center"/>
    </xf>
    <xf numFmtId="0" fontId="33" fillId="5" borderId="68" xfId="0" applyFont="1" applyFill="1" applyBorder="1" applyAlignment="1">
      <alignment horizontal="center" vertical="center"/>
    </xf>
    <xf numFmtId="0" fontId="33" fillId="5" borderId="69" xfId="0" applyFont="1" applyFill="1" applyBorder="1" applyAlignment="1">
      <alignment horizontal="center" vertical="center"/>
    </xf>
    <xf numFmtId="14" fontId="34" fillId="5" borderId="66" xfId="0" applyNumberFormat="1" applyFont="1" applyFill="1" applyBorder="1" applyAlignment="1">
      <alignment horizontal="center" vertical="center"/>
    </xf>
    <xf numFmtId="14" fontId="34" fillId="5" borderId="69" xfId="0" applyNumberFormat="1" applyFont="1" applyFill="1" applyBorder="1" applyAlignment="1">
      <alignment horizontal="center" vertical="center"/>
    </xf>
    <xf numFmtId="0" fontId="12" fillId="5" borderId="26" xfId="0" applyFont="1" applyFill="1" applyBorder="1" applyAlignment="1">
      <alignment horizontal="center" vertical="center" wrapText="1"/>
    </xf>
    <xf numFmtId="0" fontId="12" fillId="5" borderId="27" xfId="0" applyFont="1" applyFill="1" applyBorder="1" applyAlignment="1">
      <alignment horizontal="center" vertical="center" wrapText="1"/>
    </xf>
    <xf numFmtId="0" fontId="12" fillId="5" borderId="33" xfId="0" applyFont="1" applyFill="1" applyBorder="1" applyAlignment="1">
      <alignment horizontal="center" vertical="center" wrapText="1"/>
    </xf>
    <xf numFmtId="0" fontId="9" fillId="5" borderId="29" xfId="0" applyFont="1" applyFill="1" applyBorder="1" applyAlignment="1">
      <alignment horizontal="center" vertical="center" wrapText="1"/>
    </xf>
    <xf numFmtId="0" fontId="9" fillId="5" borderId="30" xfId="0" applyFont="1" applyFill="1" applyBorder="1" applyAlignment="1">
      <alignment horizontal="center" vertical="center" wrapText="1"/>
    </xf>
    <xf numFmtId="0" fontId="9" fillId="5" borderId="31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14" fontId="34" fillId="5" borderId="0" xfId="0" applyNumberFormat="1" applyFont="1" applyFill="1" applyAlignment="1">
      <alignment horizontal="center" vertical="center"/>
    </xf>
    <xf numFmtId="0" fontId="45" fillId="0" borderId="0" xfId="0" applyFont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43" fillId="5" borderId="0" xfId="0" applyFont="1" applyFill="1" applyAlignment="1">
      <alignment horizontal="center" vertical="center"/>
    </xf>
    <xf numFmtId="0" fontId="44" fillId="5" borderId="47" xfId="0" applyFont="1" applyFill="1" applyBorder="1" applyAlignment="1">
      <alignment horizontal="center" vertical="center" wrapText="1"/>
    </xf>
    <xf numFmtId="0" fontId="44" fillId="5" borderId="30" xfId="0" applyFont="1" applyFill="1" applyBorder="1" applyAlignment="1">
      <alignment horizontal="center" vertical="center" wrapText="1"/>
    </xf>
    <xf numFmtId="0" fontId="44" fillId="5" borderId="31" xfId="0" applyFont="1" applyFill="1" applyBorder="1" applyAlignment="1">
      <alignment horizontal="center" vertical="center" wrapText="1"/>
    </xf>
    <xf numFmtId="0" fontId="44" fillId="5" borderId="29" xfId="0" applyFont="1" applyFill="1" applyBorder="1" applyAlignment="1">
      <alignment horizontal="center" vertical="center" wrapText="1"/>
    </xf>
    <xf numFmtId="0" fontId="44" fillId="5" borderId="36" xfId="0" applyFont="1" applyFill="1" applyBorder="1" applyAlignment="1">
      <alignment horizontal="center" vertical="center" wrapText="1"/>
    </xf>
    <xf numFmtId="0" fontId="44" fillId="5" borderId="40" xfId="0" applyFont="1" applyFill="1" applyBorder="1" applyAlignment="1">
      <alignment horizontal="center" vertical="center" wrapText="1"/>
    </xf>
    <xf numFmtId="0" fontId="44" fillId="5" borderId="43" xfId="0" applyFont="1" applyFill="1" applyBorder="1" applyAlignment="1">
      <alignment horizontal="center" vertical="center" wrapText="1"/>
    </xf>
    <xf numFmtId="0" fontId="35" fillId="5" borderId="29" xfId="0" applyFont="1" applyFill="1" applyBorder="1" applyAlignment="1">
      <alignment horizontal="center" vertical="center" wrapText="1"/>
    </xf>
    <xf numFmtId="0" fontId="35" fillId="5" borderId="30" xfId="0" applyFont="1" applyFill="1" applyBorder="1" applyAlignment="1">
      <alignment horizontal="center" vertical="center" wrapText="1"/>
    </xf>
    <xf numFmtId="0" fontId="35" fillId="5" borderId="31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left" vertical="center" wrapText="1"/>
    </xf>
    <xf numFmtId="0" fontId="26" fillId="7" borderId="10" xfId="0" applyFont="1" applyFill="1" applyBorder="1" applyAlignment="1">
      <alignment horizontal="center" vertical="center" wrapText="1"/>
    </xf>
    <xf numFmtId="0" fontId="26" fillId="7" borderId="5" xfId="0" applyFont="1" applyFill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center" vertical="center" wrapText="1"/>
    </xf>
    <xf numFmtId="0" fontId="65" fillId="2" borderId="90" xfId="0" applyFont="1" applyFill="1" applyBorder="1" applyAlignment="1">
      <alignment horizontal="center"/>
    </xf>
    <xf numFmtId="0" fontId="65" fillId="2" borderId="91" xfId="0" applyFont="1" applyFill="1" applyBorder="1" applyAlignment="1">
      <alignment horizontal="center"/>
    </xf>
    <xf numFmtId="0" fontId="65" fillId="2" borderId="93" xfId="0" applyFont="1" applyFill="1" applyBorder="1" applyAlignment="1">
      <alignment horizontal="center"/>
    </xf>
    <xf numFmtId="0" fontId="65" fillId="2" borderId="0" xfId="0" applyFont="1" applyFill="1" applyAlignment="1">
      <alignment horizontal="center"/>
    </xf>
    <xf numFmtId="0" fontId="69" fillId="2" borderId="91" xfId="0" applyFont="1" applyFill="1" applyBorder="1" applyAlignment="1">
      <alignment horizontal="center" vertical="top" wrapText="1"/>
    </xf>
    <xf numFmtId="0" fontId="69" fillId="2" borderId="91" xfId="0" applyFont="1" applyFill="1" applyBorder="1" applyAlignment="1">
      <alignment horizontal="center" vertical="top"/>
    </xf>
    <xf numFmtId="0" fontId="69" fillId="2" borderId="0" xfId="0" applyFont="1" applyFill="1" applyAlignment="1">
      <alignment horizontal="center" vertical="top"/>
    </xf>
    <xf numFmtId="14" fontId="66" fillId="2" borderId="92" xfId="0" applyNumberFormat="1" applyFont="1" applyFill="1" applyBorder="1" applyAlignment="1">
      <alignment horizontal="center" vertical="center"/>
    </xf>
    <xf numFmtId="14" fontId="66" fillId="2" borderId="94" xfId="0" applyNumberFormat="1" applyFont="1" applyFill="1" applyBorder="1" applyAlignment="1">
      <alignment horizontal="center" vertical="center"/>
    </xf>
    <xf numFmtId="0" fontId="46" fillId="0" borderId="0" xfId="0" applyFont="1" applyAlignment="1"/>
  </cellXfs>
  <cellStyles count="3">
    <cellStyle name="Hyperlink" xfId="1" xr:uid="{00000000-000B-0000-0000-000008000000}"/>
    <cellStyle name="Normal" xfId="0" builtinId="0"/>
    <cellStyle name="Porcentaje" xfId="2" builtinId="5"/>
  </cellStyles>
  <dxfs count="1176">
    <dxf>
      <font>
        <color rgb="FFC00000"/>
      </font>
      <fill>
        <patternFill patternType="solid">
          <bgColor rgb="FFF7CBCB"/>
        </patternFill>
      </fill>
    </dxf>
    <dxf>
      <font>
        <color theme="7" tint="-0.499984740745262"/>
      </font>
      <fill>
        <patternFill patternType="solid">
          <bgColor theme="7" tint="0.79998168889431442"/>
        </patternFill>
      </fill>
    </dxf>
    <dxf>
      <font>
        <color rgb="FFC00000"/>
      </font>
      <fill>
        <patternFill patternType="solid">
          <bgColor rgb="FFF7CBCB"/>
        </patternFill>
      </fill>
    </dxf>
    <dxf>
      <font>
        <color theme="7" tint="-0.499984740745262"/>
      </font>
      <fill>
        <patternFill patternType="solid">
          <bgColor theme="7" tint="0.79998168889431442"/>
        </patternFill>
      </fill>
    </dxf>
    <dxf>
      <font>
        <color rgb="FFC00000"/>
      </font>
      <fill>
        <patternFill patternType="solid">
          <bgColor theme="0" tint="-0.249977111117893"/>
        </patternFill>
      </fill>
    </dxf>
    <dxf>
      <font>
        <color rgb="FFC00000"/>
      </font>
      <fill>
        <patternFill patternType="solid">
          <bgColor theme="0" tint="-0.249977111117893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8" tint="0.59999389629810485"/>
        </patternFill>
      </fill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h:mm;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theme="0"/>
      </font>
      <fill>
        <patternFill patternType="solid">
          <bgColor theme="5" tint="-0.24994659260841701"/>
        </patternFill>
      </fill>
    </dxf>
    <dxf>
      <font>
        <color theme="0"/>
      </font>
      <fill>
        <patternFill patternType="solid">
          <bgColor theme="7" tint="-0.24994659260841701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rgb="FFC00000"/>
      </font>
      <fill>
        <patternFill patternType="solid">
          <bgColor rgb="FFF7CBCB"/>
        </patternFill>
      </fill>
    </dxf>
    <dxf>
      <font>
        <color theme="7" tint="-0.499984740745262"/>
      </font>
      <fill>
        <patternFill patternType="solid">
          <bgColor theme="7" tint="0.79998168889431442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2060"/>
        </patternFill>
      </fill>
    </dxf>
    <dxf>
      <font>
        <color rgb="FFC00000"/>
      </font>
      <fill>
        <patternFill patternType="solid">
          <bgColor theme="0" tint="-0.249977111117893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 tint="-4.9989318521683403E-2"/>
      </font>
      <fill>
        <patternFill patternType="solid">
          <bgColor theme="7" tint="-0.24994659260841701"/>
        </patternFill>
      </fill>
    </dxf>
    <dxf>
      <font>
        <color theme="0"/>
      </font>
      <fill>
        <patternFill patternType="solid">
          <bgColor theme="5" tint="-0.24994659260841701"/>
        </patternFill>
      </fill>
    </dxf>
    <dxf>
      <font>
        <color theme="0"/>
      </font>
      <fill>
        <patternFill patternType="solid">
          <bgColor rgb="FF002060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numFmt numFmtId="1" formatCode="0"/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sz val="24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24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24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24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24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24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24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24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24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24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24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24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24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24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fill>
        <patternFill patternType="solid">
          <fgColor indexed="64"/>
          <bgColor theme="4" tint="-0.249977111117893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7" formatCode="hh:mm;@"/>
      <fill>
        <patternFill patternType="solid">
          <fgColor indexed="64"/>
          <bgColor theme="4" tint="-0.249977111117893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4" formatCode="[$-F400]h:mm:ss\ AM/PM"/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4" formatCode="[$-F400]h:mm:ss\ AM/PM"/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72" formatCode="dd/mm/yyyy"/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[$-F400]h:mm:ss\ AM/PM"/>
      <fill>
        <patternFill patternType="solid">
          <fgColor indexed="64"/>
          <bgColor theme="8" tint="-0.499984740745262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4" formatCode="[$-F400]h:mm:ss\ AM/PM"/>
      <alignment horizontal="general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numFmt numFmtId="164" formatCode="[$-F400]h:mm:ss\ AM/PM"/>
      <fill>
        <patternFill patternType="solid">
          <fgColor indexed="64"/>
          <bgColor theme="8" tint="-0.49998474074526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E67E7E"/>
        </patternFill>
      </fill>
    </dxf>
    <dxf>
      <font>
        <color theme="7" tint="-0.2499465926084170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0" tint="-0.14996795556505021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ont>
        <color theme="5" tint="-0.499984740745262"/>
      </font>
      <fill>
        <patternFill>
          <bgColor theme="5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5" tint="-0.499984740745262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numFmt numFmtId="27" formatCode="d/mm/yyyy\ h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d/mm/yyyy\ h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d/mm/yyyy\ h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d/mm/yyyy\ h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4472C4"/>
          <bgColor rgb="FF4472C4"/>
        </patternFill>
      </fill>
      <alignment horizontal="general" vertical="bottom" textRotation="0" wrapText="0" indent="0" justifyLastLine="0" shrinkToFit="0" readingOrder="0"/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4472C4"/>
          <bgColor rgb="FF4472C4"/>
        </patternFill>
      </fill>
      <alignment horizontal="general" vertical="bottom" textRotation="0" wrapText="0" indent="0" justifyLastLine="0" shrinkToFit="0" readingOrder="0"/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4472C4"/>
          <bgColor rgb="FF4472C4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center"/>
    </dxf>
    <dxf>
      <alignment horizontal="center" vertical="center"/>
    </dxf>
    <dxf>
      <font>
        <color rgb="FFC00000"/>
      </font>
      <fill>
        <patternFill patternType="solid">
          <bgColor rgb="FFF7CBCB"/>
        </patternFill>
      </fill>
    </dxf>
    <dxf>
      <font>
        <color theme="7" tint="-0.499984740745262"/>
      </font>
      <fill>
        <patternFill patternType="solid">
          <bgColor theme="7" tint="0.79998168889431442"/>
        </patternFill>
      </fill>
    </dxf>
    <dxf>
      <font>
        <color rgb="FFC00000"/>
      </font>
      <fill>
        <patternFill patternType="solid">
          <bgColor rgb="FFF7CBCB"/>
        </patternFill>
      </fill>
    </dxf>
    <dxf>
      <font>
        <color theme="7" tint="-0.499984740745262"/>
      </font>
      <fill>
        <patternFill patternType="solid">
          <bgColor theme="7" tint="0.79998168889431442"/>
        </patternFill>
      </fill>
    </dxf>
    <dxf>
      <font>
        <color rgb="FFC00000"/>
      </font>
      <fill>
        <patternFill patternType="solid">
          <bgColor theme="0" tint="-0.249977111117893"/>
        </patternFill>
      </fill>
    </dxf>
    <dxf>
      <font>
        <color rgb="FFC00000"/>
      </font>
      <fill>
        <patternFill patternType="solid">
          <bgColor theme="0" tint="-0.249977111117893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8" tint="0.59999389629810485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alignment horizontal="left" vertical="bottom" textRotation="0" wrapText="0" indent="0" justifyLastLine="0" shrinkToFit="0" readingOrder="0"/>
    </dxf>
    <dxf>
      <fill>
        <patternFill patternType="none"/>
      </fill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theme="9" tint="-0.499984740745262"/>
        </patternFill>
      </fill>
    </dxf>
    <dxf>
      <fill>
        <patternFill patternType="none"/>
      </fill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theme="9" tint="-0.499984740745262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>
          <fgColor indexed="64"/>
          <bgColor theme="4" tint="-0.49998474074526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" formatCode="#,##0"/>
      <fill>
        <patternFill patternType="solid">
          <fgColor indexed="64"/>
          <bgColor theme="4" tint="-0.49998474074526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" formatCode="#,##0"/>
      <fill>
        <patternFill patternType="solid">
          <fgColor indexed="64"/>
          <bgColor theme="4" tint="-0.49998474074526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theme="4" tint="-0.49998474074526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  <fill>
        <patternFill patternType="solid">
          <fgColor indexed="64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fill>
        <patternFill patternType="solid">
          <fgColor indexed="64"/>
          <bgColor theme="7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7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fill>
        <patternFill patternType="solid">
          <fgColor indexed="64"/>
          <bgColor theme="7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fill>
        <patternFill patternType="solid">
          <fgColor indexed="64"/>
          <bgColor theme="7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fill>
        <patternFill patternType="solid">
          <fgColor indexed="64"/>
          <bgColor theme="7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fill>
        <patternFill patternType="solid">
          <fgColor indexed="64"/>
          <bgColor theme="7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21" formatCode="d\-mmm"/>
      <fill>
        <patternFill patternType="solid">
          <fgColor indexed="64"/>
          <bgColor theme="4" tint="-0.49998474074526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h:mm;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theme="0"/>
      </font>
      <fill>
        <patternFill patternType="solid">
          <bgColor theme="5" tint="-0.24994659260841701"/>
        </patternFill>
      </fill>
    </dxf>
    <dxf>
      <font>
        <color theme="0"/>
      </font>
      <fill>
        <patternFill patternType="solid">
          <bgColor theme="7" tint="-0.24994659260841701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rgb="FFC00000"/>
      </font>
      <fill>
        <patternFill patternType="solid">
          <bgColor rgb="FFF7CBCB"/>
        </patternFill>
      </fill>
    </dxf>
    <dxf>
      <font>
        <color theme="7" tint="-0.499984740745262"/>
      </font>
      <fill>
        <patternFill patternType="solid">
          <bgColor theme="7" tint="0.79998168889431442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2060"/>
        </patternFill>
      </fill>
    </dxf>
    <dxf>
      <font>
        <color rgb="FFC00000"/>
      </font>
      <fill>
        <patternFill patternType="solid">
          <bgColor theme="0" tint="-0.249977111117893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 tint="-4.9989318521683403E-2"/>
      </font>
      <fill>
        <patternFill patternType="solid">
          <bgColor theme="7" tint="-0.24994659260841701"/>
        </patternFill>
      </fill>
    </dxf>
    <dxf>
      <font>
        <color theme="0"/>
      </font>
      <fill>
        <patternFill patternType="solid">
          <bgColor theme="5" tint="-0.24994659260841701"/>
        </patternFill>
      </fill>
    </dxf>
    <dxf>
      <font>
        <color theme="0"/>
      </font>
      <fill>
        <patternFill patternType="solid">
          <bgColor rgb="FF002060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8" tint="0.59999389629810485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0"/>
        <name val="Calibri"/>
        <family val="2"/>
        <scheme val="minor"/>
      </font>
      <numFmt numFmtId="1" formatCode="0"/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20"/>
        <name val="Calibri"/>
        <family val="2"/>
        <scheme val="minor"/>
      </font>
      <fill>
        <patternFill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20"/>
        <name val="Calibri"/>
        <family val="2"/>
        <scheme val="minor"/>
      </font>
      <fill>
        <patternFill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20"/>
        <color rgb="FFC00000"/>
        <name val="Calibri"/>
        <family val="2"/>
        <scheme val="minor"/>
      </font>
      <numFmt numFmtId="0" formatCode="General"/>
      <fill>
        <patternFill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20"/>
        <color rgb="FFC00000"/>
        <name val="Calibri"/>
        <family val="2"/>
        <scheme val="minor"/>
      </font>
      <numFmt numFmtId="0" formatCode="General"/>
      <fill>
        <patternFill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20"/>
        <color rgb="FFC00000"/>
        <name val="Calibri"/>
        <family val="2"/>
        <scheme val="minor"/>
      </font>
      <fill>
        <patternFill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20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theme="8" tint="-0.49998474074526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20"/>
        <name val="Calibri"/>
        <family val="2"/>
        <scheme val="minor"/>
      </font>
      <fill>
        <patternFill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0"/>
        <name val="Calibri"/>
        <family val="2"/>
        <scheme val="minor"/>
      </font>
      <numFmt numFmtId="166" formatCode="h:mm;@"/>
      <fill>
        <patternFill patternType="solid">
          <fgColor indexed="64"/>
          <bgColor theme="8" tint="-0.49998474074526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20"/>
        <name val="Calibri"/>
        <family val="2"/>
        <scheme val="minor"/>
      </font>
      <numFmt numFmtId="166" formatCode="h:mm;@"/>
      <fill>
        <patternFill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20"/>
        <name val="Calibri"/>
        <family val="2"/>
        <scheme val="minor"/>
      </font>
      <numFmt numFmtId="166" formatCode="h:mm;@"/>
      <fill>
        <patternFill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20"/>
        <name val="Calibri"/>
        <family val="2"/>
        <scheme val="minor"/>
      </font>
      <fill>
        <patternFill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20"/>
        <name val="Calibri"/>
        <family val="2"/>
        <scheme val="minor"/>
      </font>
      <fill>
        <patternFill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20"/>
        <name val="Calibri"/>
        <family val="2"/>
        <scheme val="minor"/>
      </font>
      <numFmt numFmtId="19" formatCode="d/mm/yyyy"/>
      <fill>
        <patternFill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0"/>
        <name val="Calibri"/>
        <family val="2"/>
        <scheme val="minor"/>
      </font>
      <numFmt numFmtId="164" formatCode="[$-F400]h:mm:ss\ AM/PM"/>
      <fill>
        <patternFill patternType="solid">
          <fgColor indexed="64"/>
          <bgColor theme="8" tint="-0.49998474074526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20"/>
        <name val="Calibri"/>
        <family val="2"/>
        <scheme val="minor"/>
      </font>
      <numFmt numFmtId="164" formatCode="[$-F400]h:mm:ss\ AM/P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0"/>
        <name val="Calibri"/>
        <family val="2"/>
        <scheme val="minor"/>
      </font>
      <numFmt numFmtId="164" formatCode="[$-F400]h:mm:ss\ AM/PM"/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theme="3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49998474074526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6" formatCode="h:mm;@"/>
      <fill>
        <patternFill patternType="solid">
          <fgColor indexed="64"/>
          <bgColor theme="8" tint="-0.49998474074526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numFmt numFmtId="166" formatCode="h:mm;@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numFmt numFmtId="166" formatCode="h:mm;@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numFmt numFmtId="19" formatCode="d/mm/yyyy"/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4" formatCode="[$-F400]h:mm:ss\ AM/PM"/>
    </dxf>
    <dxf>
      <numFmt numFmtId="166" formatCode="h:mm;@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/>
    </dxf>
    <dxf>
      <alignment horizontal="center"/>
    </dxf>
    <dxf>
      <font>
        <color rgb="FFFF0000"/>
      </font>
    </dxf>
    <dxf>
      <font>
        <color rgb="FFFF0000"/>
      </font>
    </dxf>
    <dxf>
      <numFmt numFmtId="21" formatCode="d\-mmm"/>
    </dxf>
    <dxf>
      <numFmt numFmtId="21" formatCode="d\-mmm"/>
    </dxf>
    <dxf>
      <numFmt numFmtId="3" formatCode="#,##0"/>
    </dxf>
    <dxf>
      <numFmt numFmtId="166" formatCode="h:mm;@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color rgb="FFFF0000"/>
      </font>
    </dxf>
    <dxf>
      <font>
        <color rgb="FFFF0000"/>
      </font>
    </dxf>
    <dxf>
      <numFmt numFmtId="166" formatCode="h:mm;@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numFmt numFmtId="166" formatCode="h:mm;@"/>
    </dxf>
    <dxf>
      <font>
        <color rgb="FFFF0000"/>
      </font>
    </dxf>
    <dxf>
      <font>
        <color rgb="FFFF0000"/>
      </font>
    </dxf>
    <dxf>
      <numFmt numFmtId="166" formatCode="h:mm;@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color rgb="FFFF0000"/>
      </font>
    </dxf>
    <dxf>
      <font>
        <color rgb="FFFF0000"/>
      </font>
    </dxf>
    <dxf>
      <numFmt numFmtId="166" formatCode="h:mm;@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/>
    </dxf>
    <dxf>
      <alignment horizontal="center"/>
    </dxf>
    <dxf>
      <font>
        <color rgb="FFFF0000"/>
      </font>
    </dxf>
    <dxf>
      <font>
        <color rgb="FFFF0000"/>
      </font>
    </dxf>
    <dxf>
      <numFmt numFmtId="166" formatCode="h:mm;@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color rgb="FFFF0000"/>
      </font>
    </dxf>
    <dxf>
      <font>
        <color rgb="FFFF0000"/>
      </font>
    </dxf>
    <dxf>
      <numFmt numFmtId="166" formatCode="h:mm;@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color rgb="FFFF0000"/>
      </font>
    </dxf>
    <dxf>
      <font>
        <color rgb="FFFF0000"/>
      </font>
    </dxf>
    <dxf>
      <numFmt numFmtId="21" formatCode="d\-mmm"/>
    </dxf>
    <dxf>
      <numFmt numFmtId="21" formatCode="d\-mmm"/>
    </dxf>
    <dxf>
      <numFmt numFmtId="3" formatCode="#,##0"/>
    </dxf>
    <dxf>
      <numFmt numFmtId="21" formatCode="d\-mmm"/>
    </dxf>
    <dxf>
      <numFmt numFmtId="21" formatCode="d\-mmm"/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alignment horizont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top"/>
    </dxf>
    <dxf>
      <alignment vertical="top"/>
    </dxf>
    <dxf>
      <alignment vertical="top"/>
    </dxf>
    <dxf>
      <alignment vertical="top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6" formatCode="h:mm;@"/>
    </dxf>
    <dxf>
      <alignment wrapText="0"/>
    </dxf>
    <dxf>
      <alignment wrapText="0"/>
    </dxf>
    <dxf>
      <alignment wrapText="0"/>
    </dxf>
    <dxf>
      <alignment horizontal="left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wrapText="1"/>
    </dxf>
    <dxf>
      <font>
        <sz val="14"/>
      </font>
    </dxf>
    <dxf>
      <font>
        <sz val="14"/>
      </font>
    </dxf>
    <dxf>
      <font>
        <sz val="14"/>
      </font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4"/>
        <color theme="0"/>
      </font>
      <numFmt numFmtId="164" formatCode="[$-F400]h:mm:ss\ AM/PM"/>
      <fill>
        <patternFill patternType="solid">
          <fgColor indexed="64"/>
          <bgColor theme="8" tint="-0.499984740745262"/>
        </patternFill>
      </fill>
      <alignment vertical="center" wrapText="1"/>
    </dxf>
    <dxf>
      <font>
        <sz val="14"/>
        <color theme="0"/>
      </font>
      <numFmt numFmtId="164" formatCode="[$-F400]h:mm:ss\ AM/PM"/>
      <fill>
        <patternFill patternType="solid">
          <fgColor indexed="64"/>
          <bgColor theme="8" tint="-0.499984740745262"/>
        </patternFill>
      </fill>
      <alignment vertical="center" wrapText="1"/>
    </dxf>
    <dxf>
      <font>
        <sz val="14"/>
        <color theme="0"/>
      </font>
      <numFmt numFmtId="164" formatCode="[$-F400]h:mm:ss\ AM/PM"/>
      <fill>
        <patternFill patternType="solid">
          <fgColor indexed="64"/>
          <bgColor theme="8" tint="-0.499984740745262"/>
        </patternFill>
      </fill>
      <alignment vertical="center" wrapText="1"/>
    </dxf>
    <dxf>
      <font>
        <sz val="14"/>
        <color theme="0"/>
      </font>
      <numFmt numFmtId="164" formatCode="[$-F400]h:mm:ss\ AM/PM"/>
      <fill>
        <patternFill patternType="solid">
          <fgColor indexed="64"/>
          <bgColor theme="8" tint="-0.499984740745262"/>
        </patternFill>
      </fill>
      <alignment vertical="center" wrapText="1"/>
    </dxf>
    <dxf>
      <font>
        <sz val="14"/>
        <color theme="0"/>
      </font>
      <numFmt numFmtId="164" formatCode="[$-F400]h:mm:ss\ AM/PM"/>
      <fill>
        <patternFill patternType="solid">
          <fgColor indexed="64"/>
          <bgColor theme="8" tint="-0.499984740745262"/>
        </patternFill>
      </fill>
      <alignment vertical="center" wrapText="1"/>
    </dxf>
    <dxf>
      <numFmt numFmtId="2" formatCode="0.00"/>
    </dxf>
    <dxf>
      <alignment vertical="center"/>
    </dxf>
    <dxf>
      <numFmt numFmtId="165" formatCode="h:mm:ss;@"/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numFmt numFmtId="166" formatCode="h:mm;@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4"/>
        <color theme="0"/>
      </font>
      <numFmt numFmtId="164" formatCode="[$-F400]h:mm:ss\ AM/PM"/>
      <fill>
        <patternFill patternType="solid">
          <fgColor indexed="64"/>
          <bgColor theme="8" tint="-0.499984740745262"/>
        </patternFill>
      </fill>
      <alignment vertical="center" wrapText="1"/>
    </dxf>
    <dxf>
      <font>
        <sz val="14"/>
        <color theme="0"/>
      </font>
      <numFmt numFmtId="164" formatCode="[$-F400]h:mm:ss\ AM/PM"/>
      <fill>
        <patternFill patternType="solid">
          <fgColor indexed="64"/>
          <bgColor theme="8" tint="-0.499984740745262"/>
        </patternFill>
      </fill>
      <alignment vertical="center" wrapText="1"/>
    </dxf>
    <dxf>
      <font>
        <sz val="14"/>
        <color theme="0"/>
      </font>
      <numFmt numFmtId="164" formatCode="[$-F400]h:mm:ss\ AM/PM"/>
      <fill>
        <patternFill patternType="solid">
          <fgColor indexed="64"/>
          <bgColor theme="8" tint="-0.499984740745262"/>
        </patternFill>
      </fill>
      <alignment vertical="center" wrapText="1"/>
    </dxf>
    <dxf>
      <font>
        <sz val="14"/>
        <color theme="0"/>
      </font>
      <numFmt numFmtId="164" formatCode="[$-F400]h:mm:ss\ AM/PM"/>
      <fill>
        <patternFill patternType="solid">
          <fgColor indexed="64"/>
          <bgColor theme="8" tint="-0.499984740745262"/>
        </patternFill>
      </fill>
      <alignment vertical="center" wrapText="1"/>
    </dxf>
    <dxf>
      <font>
        <sz val="14"/>
        <color theme="0"/>
      </font>
      <numFmt numFmtId="164" formatCode="[$-F400]h:mm:ss\ AM/PM"/>
      <fill>
        <patternFill patternType="solid">
          <fgColor indexed="64"/>
          <bgColor theme="8" tint="-0.499984740745262"/>
        </patternFill>
      </fill>
      <alignment vertical="center" wrapText="1"/>
    </dxf>
    <dxf>
      <numFmt numFmtId="165" formatCode="h:mm:ss;@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5" formatCode="h:mm:ss;@"/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numFmt numFmtId="166" formatCode="h:mm;@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top"/>
    </dxf>
    <dxf>
      <alignment vertical="top"/>
    </dxf>
    <dxf>
      <alignment vertical="top"/>
    </dxf>
    <dxf>
      <alignment vertical="top"/>
    </dxf>
    <dxf>
      <alignment horizontal="left"/>
    </dxf>
    <dxf>
      <alignment horizontal="left"/>
    </dxf>
    <dxf>
      <alignment horizontal="left"/>
    </dxf>
    <dxf>
      <alignment horizontal="left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4"/>
        <color theme="0"/>
      </font>
      <numFmt numFmtId="164" formatCode="[$-F400]h:mm:ss\ AM/PM"/>
      <fill>
        <patternFill patternType="solid">
          <fgColor indexed="64"/>
          <bgColor theme="8" tint="-0.499984740745262"/>
        </patternFill>
      </fill>
      <alignment vertical="center" wrapText="1"/>
    </dxf>
    <dxf>
      <font>
        <sz val="14"/>
        <color theme="0"/>
      </font>
      <numFmt numFmtId="164" formatCode="[$-F400]h:mm:ss\ AM/PM"/>
      <fill>
        <patternFill patternType="solid">
          <fgColor indexed="64"/>
          <bgColor theme="8" tint="-0.499984740745262"/>
        </patternFill>
      </fill>
      <alignment vertical="center" wrapText="1"/>
    </dxf>
    <dxf>
      <font>
        <sz val="14"/>
        <color theme="0"/>
      </font>
      <numFmt numFmtId="164" formatCode="[$-F400]h:mm:ss\ AM/PM"/>
      <fill>
        <patternFill patternType="solid">
          <fgColor indexed="64"/>
          <bgColor theme="8" tint="-0.499984740745262"/>
        </patternFill>
      </fill>
      <alignment vertical="center" wrapText="1"/>
    </dxf>
    <dxf>
      <font>
        <sz val="14"/>
        <color theme="0"/>
      </font>
      <numFmt numFmtId="164" formatCode="[$-F400]h:mm:ss\ AM/PM"/>
      <fill>
        <patternFill patternType="solid">
          <fgColor indexed="64"/>
          <bgColor theme="8" tint="-0.499984740745262"/>
        </patternFill>
      </fill>
      <alignment vertical="center" wrapText="1"/>
    </dxf>
    <dxf>
      <font>
        <sz val="14"/>
        <color theme="0"/>
      </font>
      <numFmt numFmtId="164" formatCode="[$-F400]h:mm:ss\ AM/PM"/>
      <fill>
        <patternFill patternType="solid">
          <fgColor indexed="64"/>
          <bgColor theme="8" tint="-0.499984740745262"/>
        </patternFill>
      </fill>
      <alignment vertical="center" wrapText="1"/>
    </dxf>
    <dxf>
      <numFmt numFmtId="165" formatCode="h:mm:ss;@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numFmt numFmtId="166" formatCode="h:mm;@"/>
    </dxf>
    <dxf>
      <numFmt numFmtId="169" formatCode="[h]\.mm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numFmt numFmtId="166" formatCode="h:mm;@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4"/>
        <color theme="0"/>
      </font>
      <numFmt numFmtId="164" formatCode="[$-F400]h:mm:ss\ AM/PM"/>
      <fill>
        <patternFill patternType="solid">
          <fgColor indexed="64"/>
          <bgColor theme="8" tint="-0.499984740745262"/>
        </patternFill>
      </fill>
      <alignment vertical="center" wrapText="1"/>
    </dxf>
    <dxf>
      <font>
        <sz val="14"/>
        <color theme="0"/>
      </font>
      <numFmt numFmtId="164" formatCode="[$-F400]h:mm:ss\ AM/PM"/>
      <fill>
        <patternFill patternType="solid">
          <fgColor indexed="64"/>
          <bgColor theme="8" tint="-0.499984740745262"/>
        </patternFill>
      </fill>
      <alignment vertical="center" wrapText="1"/>
    </dxf>
    <dxf>
      <font>
        <sz val="14"/>
        <color theme="0"/>
      </font>
      <numFmt numFmtId="164" formatCode="[$-F400]h:mm:ss\ AM/PM"/>
      <fill>
        <patternFill patternType="solid">
          <fgColor indexed="64"/>
          <bgColor theme="8" tint="-0.499984740745262"/>
        </patternFill>
      </fill>
      <alignment vertical="center" wrapText="1"/>
    </dxf>
    <dxf>
      <font>
        <sz val="14"/>
        <color theme="0"/>
      </font>
      <numFmt numFmtId="164" formatCode="[$-F400]h:mm:ss\ AM/PM"/>
      <fill>
        <patternFill patternType="solid">
          <fgColor indexed="64"/>
          <bgColor theme="8" tint="-0.499984740745262"/>
        </patternFill>
      </fill>
      <alignment vertical="center" wrapText="1"/>
    </dxf>
    <dxf>
      <font>
        <sz val="14"/>
        <color theme="0"/>
      </font>
      <numFmt numFmtId="164" formatCode="[$-F400]h:mm:ss\ AM/PM"/>
      <fill>
        <patternFill patternType="solid">
          <fgColor indexed="64"/>
          <bgColor theme="8" tint="-0.499984740745262"/>
        </patternFill>
      </fill>
      <alignment vertical="center" wrapText="1"/>
    </dxf>
    <dxf>
      <numFmt numFmtId="165" formatCode="h:mm:ss;@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top"/>
    </dxf>
    <dxf>
      <alignment vertical="top"/>
    </dxf>
    <dxf>
      <alignment horizontal="left"/>
    </dxf>
    <dxf>
      <alignment horizontal="left"/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alignment horizontal="center"/>
    </dxf>
    <dxf>
      <alignment vertical="center"/>
    </dxf>
    <dxf>
      <numFmt numFmtId="168" formatCode="[h]:mm"/>
    </dxf>
    <dxf>
      <numFmt numFmtId="168" formatCode="[h]:mm"/>
    </dxf>
    <dxf>
      <numFmt numFmtId="168" formatCode="[h]:mm"/>
    </dxf>
    <dxf>
      <numFmt numFmtId="168" formatCode="[h]:mm"/>
    </dxf>
    <dxf>
      <numFmt numFmtId="168" formatCode="[h]:mm"/>
    </dxf>
    <dxf>
      <numFmt numFmtId="168" formatCode="[h]:mm"/>
    </dxf>
    <dxf>
      <numFmt numFmtId="21" formatCode="d\-mmm"/>
    </dxf>
    <dxf>
      <numFmt numFmtId="21" formatCode="d\-mmm"/>
    </dxf>
    <dxf>
      <numFmt numFmtId="3" formatCode="#,##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numFmt numFmtId="166" formatCode="h:mm;@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ont>
        <b/>
      </font>
    </dxf>
    <dxf>
      <numFmt numFmtId="166" formatCode="h:mm;@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ont>
        <color rgb="FFFF0000"/>
      </font>
    </dxf>
    <dxf>
      <font>
        <b/>
      </font>
    </dxf>
    <dxf>
      <alignment horizontal="left"/>
    </dxf>
    <dxf>
      <numFmt numFmtId="166" formatCode="h:mm;@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/>
    </dxf>
    <dxf>
      <alignment horizontal="center"/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ont>
        <color rgb="FFFF0000"/>
      </font>
    </dxf>
    <dxf>
      <font>
        <b/>
      </font>
    </dxf>
    <dxf>
      <numFmt numFmtId="166" formatCode="h:mm;@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ont>
        <color rgb="FFFF0000"/>
      </font>
    </dxf>
    <dxf>
      <font>
        <b/>
      </font>
    </dxf>
    <dxf>
      <numFmt numFmtId="166" formatCode="h:mm;@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/>
    </dxf>
    <dxf>
      <alignment horizontal="center"/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ont>
        <color rgb="FFFF0000"/>
      </font>
    </dxf>
    <dxf>
      <font>
        <b/>
      </font>
    </dxf>
    <dxf>
      <numFmt numFmtId="21" formatCode="d\-mmm"/>
    </dxf>
    <dxf>
      <numFmt numFmtId="21" formatCode="d\-mmm"/>
    </dxf>
    <dxf>
      <numFmt numFmtId="3" formatCode="#,##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numFmt numFmtId="21" formatCode="d\-mmm"/>
    </dxf>
    <dxf>
      <numFmt numFmtId="21" formatCode="d\-mmm"/>
    </dxf>
    <dxf>
      <numFmt numFmtId="3" formatCode="#,##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numFmt numFmtId="166" formatCode="h:mm;@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numFmt numFmtId="166" formatCode="h:mm;@"/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ont>
        <color rgb="FFFF0000"/>
      </font>
    </dxf>
    <dxf>
      <font>
        <b/>
      </font>
    </dxf>
    <dxf>
      <numFmt numFmtId="166" formatCode="h:mm;@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ont>
        <color rgb="FFFF0000"/>
      </font>
    </dxf>
    <dxf>
      <font>
        <b/>
      </font>
    </dxf>
    <dxf>
      <alignment horizontal="left"/>
    </dxf>
    <dxf>
      <numFmt numFmtId="25" formatCode="hh:mm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5" formatCode="hh:mm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numFmt numFmtId="25" formatCode="hh:mm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numFmt numFmtId="1" formatCode="0"/>
    </dxf>
    <dxf>
      <numFmt numFmtId="25" formatCode="hh:mm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</dxfs>
  <tableStyles count="0" defaultTableStyle="TableStyleMedium2" defaultPivotStyle="PivotStyleLight16"/>
  <colors>
    <mruColors>
      <color rgb="FFF0A197"/>
      <color rgb="FFFACBBC"/>
      <color rgb="FF3C1A56"/>
      <color rgb="FF9D58FA"/>
      <color rgb="FF75F61E"/>
      <color rgb="FF259EA1"/>
      <color rgb="FFB37DFB"/>
      <color rgb="FF379F3C"/>
      <color rgb="FFFF3333"/>
      <color rgb="FF2336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26" Type="http://schemas.microsoft.com/office/2007/relationships/slicerCache" Target="slicerCaches/slicerCache7.xml"/><Relationship Id="rId39" Type="http://schemas.openxmlformats.org/officeDocument/2006/relationships/calcChain" Target="calcChain.xml"/><Relationship Id="rId21" Type="http://schemas.microsoft.com/office/2007/relationships/slicerCache" Target="slicerCaches/slicerCache2.xml"/><Relationship Id="rId34" Type="http://schemas.microsoft.com/office/2022/10/relationships/richValueRel" Target="richData/richValueRel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microsoft.com/office/2007/relationships/slicerCache" Target="slicerCaches/slicerCache1.xml"/><Relationship Id="rId29" Type="http://schemas.openxmlformats.org/officeDocument/2006/relationships/theme" Target="theme/theme1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07/relationships/slicerCache" Target="slicerCaches/slicerCache5.xml"/><Relationship Id="rId32" Type="http://schemas.openxmlformats.org/officeDocument/2006/relationships/sharedStrings" Target="sharedStrings.xml"/><Relationship Id="rId37" Type="http://schemas.microsoft.com/office/2017/06/relationships/rdRichValueTypes" Target="richData/rdRichValueType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07/relationships/slicerCache" Target="slicerCaches/slicerCache4.xml"/><Relationship Id="rId28" Type="http://schemas.microsoft.com/office/2007/relationships/slicerCache" Target="slicerCaches/slicerCache9.xml"/><Relationship Id="rId36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4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07/relationships/slicerCache" Target="slicerCaches/slicerCache3.xml"/><Relationship Id="rId27" Type="http://schemas.microsoft.com/office/2007/relationships/slicerCache" Target="slicerCaches/slicerCache8.xml"/><Relationship Id="rId30" Type="http://schemas.openxmlformats.org/officeDocument/2006/relationships/connections" Target="connections.xml"/><Relationship Id="rId35" Type="http://schemas.microsoft.com/office/2017/06/relationships/rdRichValue" Target="richData/rdrichvalue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5" Type="http://schemas.microsoft.com/office/2007/relationships/slicerCache" Target="slicerCaches/slicerCache6.xml"/><Relationship Id="rId33" Type="http://schemas.openxmlformats.org/officeDocument/2006/relationships/sheetMetadata" Target="metadata.xml"/><Relationship Id="rId38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[MANTENIMIENTO DIARIO v2..xlsx]PRESENTACION F.!TablaDinámica67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PROGRAMADO VS NO PROGRAMADO</a:t>
            </a:r>
          </a:p>
        </c:rich>
      </c:tx>
      <c:layout>
        <c:manualLayout>
          <c:xMode val="edge"/>
          <c:yMode val="edge"/>
          <c:x val="0.17271121158288305"/>
          <c:y val="4.60634863929309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206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00206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002060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002060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002060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002060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002060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00206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0536093922560437"/>
          <c:y val="0.13861212823372923"/>
          <c:w val="0.31166422458014564"/>
          <c:h val="0.82899812269292594"/>
        </c:manualLayout>
      </c:layout>
      <c:doughnutChart>
        <c:varyColors val="1"/>
        <c:ser>
          <c:idx val="0"/>
          <c:order val="0"/>
          <c:tx>
            <c:strRef>
              <c:f>'PRESENTACION F.'!$W$24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4E0C-4D5E-8E38-85D4BF79D9D6}"/>
              </c:ext>
            </c:extLst>
          </c:dPt>
          <c:dPt>
            <c:idx val="1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4E0C-4D5E-8E38-85D4BF79D9D6}"/>
              </c:ext>
            </c:extLst>
          </c:dPt>
          <c:cat>
            <c:strRef>
              <c:f>'PRESENTACION F.'!$V$25:$V$26</c:f>
              <c:strCache>
                <c:ptCount val="2"/>
                <c:pt idx="0">
                  <c:v>NO PROGRAMADA</c:v>
                </c:pt>
                <c:pt idx="1">
                  <c:v>PROGRAMADA</c:v>
                </c:pt>
              </c:strCache>
            </c:strRef>
          </c:cat>
          <c:val>
            <c:numRef>
              <c:f>'PRESENTACION F.'!$W$25:$W$26</c:f>
              <c:numCache>
                <c:formatCode>h:mm;@</c:formatCode>
                <c:ptCount val="2"/>
                <c:pt idx="0">
                  <c:v>0.05</c:v>
                </c:pt>
                <c:pt idx="1">
                  <c:v>0.10277777777777777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E0C-4D5E-8E38-85D4BF79D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cap="sq">
          <a:solidFill>
            <a:schemeClr val="bg1">
              <a:lumMod val="95000"/>
            </a:schemeClr>
          </a:solidFill>
          <a:bevel/>
        </a:ln>
        <a:effectLst/>
      </c:spPr>
    </c:plotArea>
    <c:plotVisOnly val="1"/>
    <c:dispBlanksAs val="gap"/>
    <c:showDLblsOverMax val="0"/>
    <c:extLst/>
  </c:chart>
  <c:spPr>
    <a:solidFill>
      <a:schemeClr val="bg1">
        <a:lumMod val="95000"/>
      </a:schemeClr>
    </a:solidFill>
    <a:ln w="9525" cap="rnd" cmpd="sng" algn="ctr">
      <a:solidFill>
        <a:schemeClr val="tx1">
          <a:lumMod val="15000"/>
          <a:lumOff val="85000"/>
        </a:schemeClr>
      </a:solidFill>
      <a:miter lim="800000"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[MANTENIMIENTO DIARIO v2..xlsx]TABLA-DIA!TablaDinámica8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accent3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2400" b="1">
                <a:solidFill>
                  <a:schemeClr val="accent3">
                    <a:lumMod val="50000"/>
                  </a:schemeClr>
                </a:solidFill>
                <a:latin typeface="+mn-lt"/>
              </a:rPr>
              <a:t>ACUMULADO DE CANTIDAD DE FALLAS POR SEMANA</a:t>
            </a:r>
          </a:p>
        </c:rich>
      </c:tx>
      <c:layout>
        <c:manualLayout>
          <c:xMode val="edge"/>
          <c:yMode val="edge"/>
          <c:x val="0.19424832799569935"/>
          <c:y val="1.35996430260204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accent3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75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lumMod val="75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>
              <a:lumMod val="75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lumMod val="75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>
              <a:lumMod val="75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002060"/>
          </a:solidFill>
          <a:ln>
            <a:solidFill>
              <a:srgbClr val="00206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0000"/>
          </a:solidFill>
          <a:ln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3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3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'TABLA-DIA'!$M$69:$M$71</c:f>
              <c:strCache>
                <c:ptCount val="1"/>
                <c:pt idx="0">
                  <c:v>NO PROGRAMADA - ELÉCTRICA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'TABLA-DIA'!$L$72:$L$79</c:f>
              <c:strCache>
                <c:ptCount val="8"/>
                <c:pt idx="0">
                  <c:v>1ER PISO</c:v>
                </c:pt>
                <c:pt idx="1">
                  <c:v>CORTADORA DE TURRON</c:v>
                </c:pt>
                <c:pt idx="2">
                  <c:v>EMP. 2 - CARLE MONTANARY</c:v>
                </c:pt>
                <c:pt idx="3">
                  <c:v>EMP. SACMI</c:v>
                </c:pt>
                <c:pt idx="4">
                  <c:v>ENCELOFANADORA ECCOPAC</c:v>
                </c:pt>
                <c:pt idx="5">
                  <c:v>LINEA AUTOMATICA HACOS 1</c:v>
                </c:pt>
                <c:pt idx="6">
                  <c:v>RAYOS X 2</c:v>
                </c:pt>
                <c:pt idx="7">
                  <c:v>TEMPERADORA CHOCOLATIER</c:v>
                </c:pt>
              </c:strCache>
            </c:strRef>
          </c:cat>
          <c:val>
            <c:numRef>
              <c:f>'TABLA-DIA'!$M$72:$M$79</c:f>
              <c:numCache>
                <c:formatCode>General</c:formatCode>
                <c:ptCount val="8"/>
                <c:pt idx="0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89-4ACD-B2BB-CEC241E46D02}"/>
            </c:ext>
          </c:extLst>
        </c:ser>
        <c:ser>
          <c:idx val="1"/>
          <c:order val="1"/>
          <c:tx>
            <c:strRef>
              <c:f>'TABLA-DIA'!$N$69:$N$71</c:f>
              <c:strCache>
                <c:ptCount val="1"/>
                <c:pt idx="0">
                  <c:v>NO PROGRAMADA - MECÁNICA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'TABLA-DIA'!$L$72:$L$79</c:f>
              <c:strCache>
                <c:ptCount val="8"/>
                <c:pt idx="0">
                  <c:v>1ER PISO</c:v>
                </c:pt>
                <c:pt idx="1">
                  <c:v>CORTADORA DE TURRON</c:v>
                </c:pt>
                <c:pt idx="2">
                  <c:v>EMP. 2 - CARLE MONTANARY</c:v>
                </c:pt>
                <c:pt idx="3">
                  <c:v>EMP. SACMI</c:v>
                </c:pt>
                <c:pt idx="4">
                  <c:v>ENCELOFANADORA ECCOPAC</c:v>
                </c:pt>
                <c:pt idx="5">
                  <c:v>LINEA AUTOMATICA HACOS 1</c:v>
                </c:pt>
                <c:pt idx="6">
                  <c:v>RAYOS X 2</c:v>
                </c:pt>
                <c:pt idx="7">
                  <c:v>TEMPERADORA CHOCOLATIER</c:v>
                </c:pt>
              </c:strCache>
            </c:strRef>
          </c:cat>
          <c:val>
            <c:numRef>
              <c:f>'TABLA-DIA'!$N$72:$N$79</c:f>
              <c:numCache>
                <c:formatCode>General</c:formatCode>
                <c:ptCount val="8"/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51-4A56-B479-1FB3E4CA78B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83151839"/>
        <c:axId val="1283154719"/>
      </c:barChart>
      <c:catAx>
        <c:axId val="1283151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83154719"/>
        <c:crosses val="autoZero"/>
        <c:auto val="1"/>
        <c:lblAlgn val="ctr"/>
        <c:lblOffset val="100"/>
        <c:noMultiLvlLbl val="0"/>
      </c:catAx>
      <c:valAx>
        <c:axId val="1283154719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83151839"/>
        <c:crosses val="autoZero"/>
        <c:crossBetween val="between"/>
      </c:valAx>
      <c:spPr>
        <a:noFill/>
        <a:ln w="12700">
          <a:solidFill>
            <a:schemeClr val="bg1"/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2400" b="1"/>
              <a:t>PARETO</a:t>
            </a:r>
            <a:r>
              <a:rPr lang="es-PE" sz="2400" b="1" baseline="0"/>
              <a:t> DE TIEMPO DE ACT. NO PROGRAMADA POR EQUIPO</a:t>
            </a:r>
            <a:endParaRPr lang="es-PE" sz="2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0.13151009589738241"/>
          <c:y val="6.3531002212008678E-2"/>
          <c:w val="0.86848990410261762"/>
          <c:h val="0.7078133194021690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b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'PRESENTACION F.'!$P$26:$P$29</c:f>
              <c:strCache>
                <c:ptCount val="4"/>
                <c:pt idx="0">
                  <c:v>EMP. SACMI</c:v>
                </c:pt>
                <c:pt idx="1">
                  <c:v>CORTADORA DE TURRON</c:v>
                </c:pt>
                <c:pt idx="2">
                  <c:v>TEMPERADORA CHOCOLATIER</c:v>
                </c:pt>
                <c:pt idx="3">
                  <c:v>RAYOS X 2</c:v>
                </c:pt>
              </c:strCache>
            </c:strRef>
          </c:cat>
          <c:val>
            <c:numRef>
              <c:f>'PRESENTACION F.'!$R$26:$R$29</c:f>
              <c:numCache>
                <c:formatCode>0.00</c:formatCode>
                <c:ptCount val="4"/>
                <c:pt idx="0">
                  <c:v>0.4</c:v>
                </c:pt>
                <c:pt idx="1">
                  <c:v>0.30000000000000004</c:v>
                </c:pt>
                <c:pt idx="2">
                  <c:v>0.25</c:v>
                </c:pt>
                <c:pt idx="3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08-4A33-B0BC-A5140765D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0069808"/>
        <c:axId val="175007460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'PRESENTACION F.'!$S$25</c15:sqref>
                        </c15:formulaRef>
                      </c:ext>
                    </c:extLst>
                    <c:strCache>
                      <c:ptCount val="1"/>
                      <c:pt idx="0">
                        <c:v>Porcentaje (%)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'PRESENTACION F.'!$P$26:$P$29</c15:sqref>
                        </c15:formulaRef>
                      </c:ext>
                    </c:extLst>
                    <c:strCache>
                      <c:ptCount val="4"/>
                      <c:pt idx="0">
                        <c:v>EMP. SACMI</c:v>
                      </c:pt>
                      <c:pt idx="1">
                        <c:v>CORTADORA DE TURRON</c:v>
                      </c:pt>
                      <c:pt idx="2">
                        <c:v>TEMPERADORA CHOCOLATIER</c:v>
                      </c:pt>
                      <c:pt idx="3">
                        <c:v>RAYOS X 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'PRESENTACION F.'!$S$26:$S$30</c15:sqref>
                        </c15:formulaRef>
                      </c:ext>
                    </c:extLst>
                    <c:numCache>
                      <c:formatCode>0%</c:formatCode>
                      <c:ptCount val="5"/>
                      <c:pt idx="0">
                        <c:v>0.33333333333333331</c:v>
                      </c:pt>
                      <c:pt idx="1">
                        <c:v>0.25</c:v>
                      </c:pt>
                      <c:pt idx="2">
                        <c:v>0.20833333333333331</c:v>
                      </c:pt>
                      <c:pt idx="3">
                        <c:v>0.20833333333333331</c:v>
                      </c:pt>
                      <c:pt idx="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E708-4A33-B0BC-A5140765DEF8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b" anchorCtr="0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accent4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'PRESENTACION F.'!$P$26:$P$29</c:f>
              <c:strCache>
                <c:ptCount val="4"/>
                <c:pt idx="0">
                  <c:v>EMP. SACMI</c:v>
                </c:pt>
                <c:pt idx="1">
                  <c:v>CORTADORA DE TURRON</c:v>
                </c:pt>
                <c:pt idx="2">
                  <c:v>TEMPERADORA CHOCOLATIER</c:v>
                </c:pt>
                <c:pt idx="3">
                  <c:v>RAYOS X 2</c:v>
                </c:pt>
              </c:strCache>
            </c:strRef>
          </c:cat>
          <c:val>
            <c:numRef>
              <c:f>'PRESENTACION F.'!$T$26:$T$29</c:f>
              <c:numCache>
                <c:formatCode>0%</c:formatCode>
                <c:ptCount val="4"/>
                <c:pt idx="0">
                  <c:v>0.33333333333333331</c:v>
                </c:pt>
                <c:pt idx="1">
                  <c:v>0.58333333333333326</c:v>
                </c:pt>
                <c:pt idx="2">
                  <c:v>0.79166666666666652</c:v>
                </c:pt>
                <c:pt idx="3">
                  <c:v>0.99999999999999978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08-4A33-B0BC-A5140765D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0069808"/>
        <c:axId val="1750074608"/>
      </c:lineChart>
      <c:catAx>
        <c:axId val="175006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260000" spcFirstLastPara="1" vertOverflow="ellipsis" wrap="square" anchor="ctr" anchorCtr="0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50074608"/>
        <c:crosses val="autoZero"/>
        <c:auto val="1"/>
        <c:lblAlgn val="ctr"/>
        <c:lblOffset val="100"/>
        <c:noMultiLvlLbl val="0"/>
      </c:catAx>
      <c:valAx>
        <c:axId val="175007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50069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rgbClr val="000000">
          <a:alpha val="97000"/>
        </a:srgbClr>
      </a:outerShdw>
      <a:softEdge rad="0"/>
    </a:effectLst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[MANTENIMIENTO DIARIO v2..xlsx]PRESENTACION F.!TablaDinámica69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accent3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chemeClr val="accent3">
                    <a:lumMod val="50000"/>
                  </a:schemeClr>
                </a:solidFill>
              </a:rPr>
              <a:t>TIEMPO POR TIPO DE ACTIVIDAD</a:t>
            </a:r>
          </a:p>
        </c:rich>
      </c:tx>
      <c:layout>
        <c:manualLayout>
          <c:xMode val="edge"/>
          <c:yMode val="edge"/>
          <c:x val="0.25755647823497629"/>
          <c:y val="2.41049868766404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accent3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-F400]h:mm:ss\ AM/PM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53529988286288E-2"/>
          <c:y val="0.10264720909886263"/>
          <c:w val="0.89512111071232781"/>
          <c:h val="0.7932716260264134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'PRESENTACION F.'!$O$51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[$-F400]h:mm:ss\ AM/PM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'PRESENTACION F.'!$N$52:$N$58</c:f>
              <c:strCache>
                <c:ptCount val="7"/>
                <c:pt idx="0">
                  <c:v>Encendido / Arranque de linea</c:v>
                </c:pt>
                <c:pt idx="1">
                  <c:v>Ajuste /Calibracion</c:v>
                </c:pt>
                <c:pt idx="2">
                  <c:v>SET UP</c:v>
                </c:pt>
                <c:pt idx="3">
                  <c:v>M.General</c:v>
                </c:pt>
                <c:pt idx="4">
                  <c:v>Lubricación</c:v>
                </c:pt>
                <c:pt idx="5">
                  <c:v>Reparacion</c:v>
                </c:pt>
                <c:pt idx="6">
                  <c:v>Inspección</c:v>
                </c:pt>
              </c:strCache>
            </c:strRef>
          </c:cat>
          <c:val>
            <c:numRef>
              <c:f>'PRESENTACION F.'!$O$52:$O$58</c:f>
              <c:numCache>
                <c:formatCode>h:mm;@</c:formatCode>
                <c:ptCount val="7"/>
                <c:pt idx="0">
                  <c:v>1.0416666666666666E-2</c:v>
                </c:pt>
                <c:pt idx="1">
                  <c:v>1.0416666666666666E-2</c:v>
                </c:pt>
                <c:pt idx="2">
                  <c:v>1.0416666666666666E-2</c:v>
                </c:pt>
                <c:pt idx="3">
                  <c:v>1.1805555555555555E-2</c:v>
                </c:pt>
                <c:pt idx="4">
                  <c:v>1.2500000000000001E-2</c:v>
                </c:pt>
                <c:pt idx="5">
                  <c:v>1.6666666666666666E-2</c:v>
                </c:pt>
                <c:pt idx="6">
                  <c:v>8.0555555555555561E-2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F7-49FC-84A7-D7EC50760E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21192976"/>
        <c:axId val="421197776"/>
      </c:barChart>
      <c:catAx>
        <c:axId val="4211929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1197776"/>
        <c:crosses val="autoZero"/>
        <c:auto val="1"/>
        <c:lblAlgn val="ctr"/>
        <c:lblOffset val="100"/>
        <c:noMultiLvlLbl val="0"/>
      </c:catAx>
      <c:valAx>
        <c:axId val="421197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2119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2400" b="1"/>
              <a:t>DISTRIBUCIÓN POR TURNO (HORAS)</a:t>
            </a:r>
          </a:p>
        </c:rich>
      </c:tx>
      <c:layout>
        <c:manualLayout>
          <c:xMode val="edge"/>
          <c:yMode val="edge"/>
          <c:x val="0.2984736086627921"/>
          <c:y val="8.003950296098892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0.12883788276465441"/>
          <c:y val="0.12326042890904469"/>
          <c:w val="0.47787979002624664"/>
          <c:h val="0.80213801024420395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85C-4F92-B1FB-9117990D4ADE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85C-4F92-B1FB-9117990D4ADE}"/>
              </c:ext>
            </c:extLst>
          </c:dPt>
          <c:dPt>
            <c:idx val="2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1-485C-4F92-B1FB-9117990D4ADE}"/>
              </c:ext>
            </c:extLst>
          </c:dPt>
          <c:cat>
            <c:strRef>
              <c:f>'PRESENTACION F.'!$Q$56:$Q$58</c:f>
              <c:strCache>
                <c:ptCount val="3"/>
                <c:pt idx="0">
                  <c:v>MAÑANA</c:v>
                </c:pt>
                <c:pt idx="1">
                  <c:v>TARDE</c:v>
                </c:pt>
                <c:pt idx="2">
                  <c:v>NOCHE</c:v>
                </c:pt>
              </c:strCache>
            </c:strRef>
          </c:cat>
          <c:val>
            <c:numRef>
              <c:f>'PRESENTACION F.'!$R$56:$R$58</c:f>
              <c:numCache>
                <c:formatCode>0.00</c:formatCode>
                <c:ptCount val="3"/>
                <c:pt idx="0">
                  <c:v>3.666666666666667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5C-4F92-B1FB-9117990D4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"/>
        <c:holeSize val="64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s-PE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[MANTENIMIENTO DIARIO v2..xlsx]PRESENTACION F.!TablaDinámica23</c:name>
    <c:fmtId val="13"/>
  </c:pivotSource>
  <c:chart>
    <c:autoTitleDeleted val="0"/>
    <c:pivotFmts>
      <c:pivotFmt>
        <c:idx val="0"/>
        <c:spPr>
          <a:solidFill>
            <a:schemeClr val="accent1"/>
          </a:solidFill>
          <a:ln w="412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44450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412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44450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412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44450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412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44450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'PRESENTACION F.'!$O$96</c:f>
              <c:strCache>
                <c:ptCount val="1"/>
                <c:pt idx="0">
                  <c:v>Suma de GENERAL
CAL</c:v>
                </c:pt>
              </c:strCache>
            </c:strRef>
          </c:tx>
          <c:spPr>
            <a:ln w="412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'PRESENTACION F.'!$N$97:$N$99</c:f>
              <c:strCache>
                <c:ptCount val="2"/>
                <c:pt idx="0">
                  <c:v>1/07/2026</c:v>
                </c:pt>
                <c:pt idx="1">
                  <c:v>2/07/2026</c:v>
                </c:pt>
              </c:strCache>
            </c:strRef>
          </c:cat>
          <c:val>
            <c:numRef>
              <c:f>'PRESENTACION F.'!$O$97:$O$99</c:f>
              <c:numCache>
                <c:formatCode>#,##0.00</c:formatCode>
                <c:ptCount val="2"/>
                <c:pt idx="0">
                  <c:v>70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E1-48A8-9E00-1D2670F0B2EE}"/>
            </c:ext>
          </c:extLst>
        </c:ser>
        <c:ser>
          <c:idx val="1"/>
          <c:order val="1"/>
          <c:tx>
            <c:strRef>
              <c:f>'PRESENTACION F.'!$P$96</c:f>
              <c:strCache>
                <c:ptCount val="1"/>
                <c:pt idx="0">
                  <c:v>Suma de LCC 
GENERAL</c:v>
                </c:pt>
              </c:strCache>
            </c:strRef>
          </c:tx>
          <c:spPr>
            <a:ln w="444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'PRESENTACION F.'!$N$97:$N$99</c:f>
              <c:strCache>
                <c:ptCount val="2"/>
                <c:pt idx="0">
                  <c:v>1/07/2026</c:v>
                </c:pt>
                <c:pt idx="1">
                  <c:v>2/07/2026</c:v>
                </c:pt>
              </c:strCache>
            </c:strRef>
          </c:cat>
          <c:val>
            <c:numRef>
              <c:f>'PRESENTACION F.'!$P$97:$P$99</c:f>
              <c:numCache>
                <c:formatCode>General</c:formatCode>
                <c:ptCount val="2"/>
                <c:pt idx="0">
                  <c:v>75</c:v>
                </c:pt>
                <c:pt idx="1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E1-48A8-9E00-1D2670F0B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5331359"/>
        <c:axId val="745331839"/>
      </c:lineChart>
      <c:catAx>
        <c:axId val="74533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45331839"/>
        <c:crosses val="autoZero"/>
        <c:auto val="1"/>
        <c:lblAlgn val="ctr"/>
        <c:lblOffset val="100"/>
        <c:noMultiLvlLbl val="0"/>
      </c:catAx>
      <c:valAx>
        <c:axId val="745331839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bg1">
                  <a:alpha val="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45331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[MANTENIMIENTO DIARIO v2..xlsx]PRESENTACION F.!TablaDinámica24</c:name>
    <c:fmtId val="16"/>
  </c:pivotSource>
  <c:chart>
    <c:autoTitleDeleted val="0"/>
    <c:pivotFmts>
      <c:pivotFmt>
        <c:idx val="0"/>
        <c:spPr>
          <a:solidFill>
            <a:schemeClr val="accent1"/>
          </a:solidFill>
          <a:ln w="44450" cap="rnd">
            <a:solidFill>
              <a:schemeClr val="accent4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accent4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44450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44450" cap="rnd">
            <a:solidFill>
              <a:schemeClr val="accent4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accent4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44450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44450" cap="rnd">
            <a:solidFill>
              <a:schemeClr val="accent4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accent4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44450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44450" cap="rnd">
            <a:solidFill>
              <a:schemeClr val="accent4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accent4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44450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'PRESENTACION F.'!$S$96</c:f>
              <c:strCache>
                <c:ptCount val="1"/>
                <c:pt idx="0">
                  <c:v>Suma de ENERGIA</c:v>
                </c:pt>
              </c:strCache>
            </c:strRef>
          </c:tx>
          <c:spPr>
            <a:ln w="444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accent4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'PRESENTACION F.'!$R$97:$R$99</c:f>
              <c:strCache>
                <c:ptCount val="2"/>
                <c:pt idx="0">
                  <c:v>1/07/2026</c:v>
                </c:pt>
                <c:pt idx="1">
                  <c:v>2/07/2026</c:v>
                </c:pt>
              </c:strCache>
            </c:strRef>
          </c:cat>
          <c:val>
            <c:numRef>
              <c:f>'PRESENTACION F.'!$S$97:$S$99</c:f>
              <c:numCache>
                <c:formatCode>General</c:formatCode>
                <c:ptCount val="2"/>
                <c:pt idx="0">
                  <c:v>5059</c:v>
                </c:pt>
                <c:pt idx="1">
                  <c:v>6998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1E-4460-8ACE-860B376AB096}"/>
            </c:ext>
          </c:extLst>
        </c:ser>
        <c:ser>
          <c:idx val="1"/>
          <c:order val="1"/>
          <c:tx>
            <c:strRef>
              <c:f>'PRESENTACION F.'!$T$96</c:f>
              <c:strCache>
                <c:ptCount val="1"/>
                <c:pt idx="0">
                  <c:v>Suma de LCC ENERGIA</c:v>
                </c:pt>
              </c:strCache>
            </c:strRef>
          </c:tx>
          <c:spPr>
            <a:ln w="444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'PRESENTACION F.'!$R$97:$R$99</c:f>
              <c:strCache>
                <c:ptCount val="2"/>
                <c:pt idx="0">
                  <c:v>1/07/2026</c:v>
                </c:pt>
                <c:pt idx="1">
                  <c:v>2/07/2026</c:v>
                </c:pt>
              </c:strCache>
            </c:strRef>
          </c:cat>
          <c:val>
            <c:numRef>
              <c:f>'PRESENTACION F.'!$T$97:$T$99</c:f>
              <c:numCache>
                <c:formatCode>General</c:formatCode>
                <c:ptCount val="2"/>
                <c:pt idx="0">
                  <c:v>8000</c:v>
                </c:pt>
                <c:pt idx="1">
                  <c:v>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1E-4460-8ACE-860B376AB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2410799"/>
        <c:axId val="582420879"/>
      </c:lineChart>
      <c:catAx>
        <c:axId val="58241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4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82420879"/>
        <c:crosses val="autoZero"/>
        <c:auto val="1"/>
        <c:lblAlgn val="ctr"/>
        <c:lblOffset val="100"/>
        <c:noMultiLvlLbl val="0"/>
      </c:catAx>
      <c:valAx>
        <c:axId val="582420879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rgbClr val="C00000">
                  <a:alpha val="0"/>
                </a:srgb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accent4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82410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[MANTENIMIENTO DIARIO v2..xlsx]TABLA-DIA!TablaDinámica4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r>
              <a:rPr lang="es-PE" sz="3200">
                <a:solidFill>
                  <a:schemeClr val="accent2">
                    <a:lumMod val="50000"/>
                  </a:schemeClr>
                </a:solidFill>
                <a:latin typeface="Georgia" panose="02040502050405020303" pitchFamily="18" charset="0"/>
              </a:rPr>
              <a:t>TIEMPO</a:t>
            </a:r>
            <a:r>
              <a:rPr lang="es-PE" sz="3200" baseline="0">
                <a:solidFill>
                  <a:schemeClr val="accent2">
                    <a:lumMod val="50000"/>
                  </a:schemeClr>
                </a:solidFill>
                <a:latin typeface="Georgia" panose="02040502050405020303" pitchFamily="18" charset="0"/>
              </a:rPr>
              <a:t> DE ACTIVIDAD DE MAQUINA POR TIPO DE ACTIVIDAD</a:t>
            </a:r>
            <a:endParaRPr lang="es-PE" sz="3200">
              <a:solidFill>
                <a:schemeClr val="accent2">
                  <a:lumMod val="50000"/>
                </a:schemeClr>
              </a:solidFill>
              <a:latin typeface="Georgia" panose="02040502050405020303" pitchFamily="18" charset="0"/>
            </a:endParaRPr>
          </a:p>
        </c:rich>
      </c:tx>
      <c:layout>
        <c:manualLayout>
          <c:xMode val="edge"/>
          <c:yMode val="edge"/>
          <c:x val="0.31977261598233547"/>
          <c:y val="1.3541194422836121E-2"/>
        </c:manualLayout>
      </c:layout>
      <c:overlay val="0"/>
      <c:spPr>
        <a:solidFill>
          <a:schemeClr val="accent6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baseline="0">
              <a:solidFill>
                <a:schemeClr val="accent2">
                  <a:lumMod val="50000"/>
                </a:schemeClr>
              </a:solidFill>
              <a:latin typeface="Georgia" panose="02040502050405020303" pitchFamily="18" charset="0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3333"/>
          </a:soli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27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379F3C"/>
          </a:soli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27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379F3C"/>
          </a:soli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27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379F3C"/>
          </a:soli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27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6.8832775864682227E-2"/>
          <c:y val="7.7932358030154344E-2"/>
          <c:w val="0.93116722413531772"/>
          <c:h val="0.778699618689324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'TABLA-DIA'!$C$68:$C$69</c:f>
              <c:strCache>
                <c:ptCount val="1"/>
                <c:pt idx="0">
                  <c:v>NO PROGRAMADA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'TABLA-DIA'!$B$70:$B$79</c:f>
              <c:strCache>
                <c:ptCount val="9"/>
                <c:pt idx="0">
                  <c:v>LINEA AUTOMATICA HACOS 2</c:v>
                </c:pt>
                <c:pt idx="1">
                  <c:v>EMP. SACMI</c:v>
                </c:pt>
                <c:pt idx="2">
                  <c:v>BARQUILLERA FRANZ HAAZ</c:v>
                </c:pt>
                <c:pt idx="3">
                  <c:v>CORTADORA DE TURRON</c:v>
                </c:pt>
                <c:pt idx="4">
                  <c:v>POZO DE CHILLER</c:v>
                </c:pt>
                <c:pt idx="5">
                  <c:v>CALDERO, CHRILLER Y COMPRESOR</c:v>
                </c:pt>
                <c:pt idx="6">
                  <c:v>TEMPERADORA CHOCOLATIER</c:v>
                </c:pt>
                <c:pt idx="7">
                  <c:v>PROCESADORA DE MASAS - NETZSCH</c:v>
                </c:pt>
                <c:pt idx="8">
                  <c:v>RAYOS X 2</c:v>
                </c:pt>
              </c:strCache>
            </c:strRef>
          </c:cat>
          <c:val>
            <c:numRef>
              <c:f>'TABLA-DIA'!$C$70:$C$79</c:f>
              <c:numCache>
                <c:formatCode>h:mm</c:formatCode>
                <c:ptCount val="9"/>
                <c:pt idx="1">
                  <c:v>1.6666666666666666E-2</c:v>
                </c:pt>
                <c:pt idx="3">
                  <c:v>1.2500000000000001E-2</c:v>
                </c:pt>
                <c:pt idx="6">
                  <c:v>1.0416666666666666E-2</c:v>
                </c:pt>
                <c:pt idx="8">
                  <c:v>1.0416666666666666E-2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5-46C5-889A-DD6F00CCBE8F}"/>
            </c:ext>
          </c:extLst>
        </c:ser>
        <c:ser>
          <c:idx val="1"/>
          <c:order val="1"/>
          <c:tx>
            <c:strRef>
              <c:f>'TABLA-DIA'!$D$68:$D$69</c:f>
              <c:strCache>
                <c:ptCount val="1"/>
                <c:pt idx="0">
                  <c:v>PROGRAMADA</c:v>
                </c:pt>
              </c:strCache>
            </c:strRef>
          </c:tx>
          <c:spPr>
            <a:solidFill>
              <a:srgbClr val="379F3C"/>
            </a:solidFill>
            <a:ln>
              <a:solidFill>
                <a:schemeClr val="tx1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'TABLA-DIA'!$B$70:$B$79</c:f>
              <c:strCache>
                <c:ptCount val="9"/>
                <c:pt idx="0">
                  <c:v>LINEA AUTOMATICA HACOS 2</c:v>
                </c:pt>
                <c:pt idx="1">
                  <c:v>EMP. SACMI</c:v>
                </c:pt>
                <c:pt idx="2">
                  <c:v>BARQUILLERA FRANZ HAAZ</c:v>
                </c:pt>
                <c:pt idx="3">
                  <c:v>CORTADORA DE TURRON</c:v>
                </c:pt>
                <c:pt idx="4">
                  <c:v>POZO DE CHILLER</c:v>
                </c:pt>
                <c:pt idx="5">
                  <c:v>CALDERO, CHRILLER Y COMPRESOR</c:v>
                </c:pt>
                <c:pt idx="6">
                  <c:v>TEMPERADORA CHOCOLATIER</c:v>
                </c:pt>
                <c:pt idx="7">
                  <c:v>PROCESADORA DE MASAS - NETZSCH</c:v>
                </c:pt>
                <c:pt idx="8">
                  <c:v>RAYOS X 2</c:v>
                </c:pt>
              </c:strCache>
            </c:strRef>
          </c:cat>
          <c:val>
            <c:numRef>
              <c:f>'TABLA-DIA'!$D$70:$D$79</c:f>
              <c:numCache>
                <c:formatCode>h:mm</c:formatCode>
                <c:ptCount val="9"/>
                <c:pt idx="0">
                  <c:v>5.486111111111111E-2</c:v>
                </c:pt>
                <c:pt idx="2">
                  <c:v>1.3888888888888888E-2</c:v>
                </c:pt>
                <c:pt idx="4">
                  <c:v>1.1805555555555555E-2</c:v>
                </c:pt>
                <c:pt idx="5">
                  <c:v>1.1805555555555555E-2</c:v>
                </c:pt>
                <c:pt idx="7">
                  <c:v>1.0416666666666666E-2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98-49D2-92F0-0369D4A713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74761520"/>
        <c:axId val="1374760080"/>
      </c:barChart>
      <c:catAx>
        <c:axId val="137476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74760080"/>
        <c:crosses val="autoZero"/>
        <c:auto val="1"/>
        <c:lblAlgn val="ctr"/>
        <c:lblOffset val="100"/>
        <c:noMultiLvlLbl val="0"/>
      </c:catAx>
      <c:valAx>
        <c:axId val="137476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h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7476152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rgbClr val="233616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20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</c:dTable>
      <c:spPr>
        <a:noFill/>
        <a:ln w="22225"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[MANTENIMIENTO DIARIO v2..xlsx]TABLA-DIA!TablaDinámica5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accent2">
                    <a:lumMod val="50000"/>
                  </a:schemeClr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r>
              <a:rPr lang="es-PE" sz="3200" b="1">
                <a:solidFill>
                  <a:schemeClr val="accent2">
                    <a:lumMod val="50000"/>
                  </a:schemeClr>
                </a:solidFill>
                <a:latin typeface="Georgia" panose="02040502050405020303" pitchFamily="18" charset="0"/>
              </a:rPr>
              <a:t>TIEMPO</a:t>
            </a:r>
            <a:r>
              <a:rPr lang="es-PE" sz="3200" b="1" baseline="0">
                <a:solidFill>
                  <a:schemeClr val="accent2">
                    <a:lumMod val="50000"/>
                  </a:schemeClr>
                </a:solidFill>
                <a:latin typeface="Georgia" panose="02040502050405020303" pitchFamily="18" charset="0"/>
              </a:rPr>
              <a:t> DE PARADA DE MAQUINA NO PROGRAMADA POR TIPO  DE FALLA</a:t>
            </a:r>
            <a:endParaRPr lang="es-PE" sz="3200" b="1">
              <a:solidFill>
                <a:schemeClr val="accent2">
                  <a:lumMod val="50000"/>
                </a:schemeClr>
              </a:solidFill>
              <a:latin typeface="Georgia" panose="02040502050405020303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accent2">
                  <a:lumMod val="50000"/>
                </a:schemeClr>
              </a:solidFill>
              <a:latin typeface="Georgia" panose="02040502050405020303" pitchFamily="18" charset="0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>
              <a:lumMod val="75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75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2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'TABLA-DIA'!$C$98:$C$99</c:f>
              <c:strCache>
                <c:ptCount val="1"/>
                <c:pt idx="0">
                  <c:v>ELÉCTRICA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'TABLA-DIA'!$B$100:$B$104</c:f>
              <c:strCache>
                <c:ptCount val="4"/>
                <c:pt idx="0">
                  <c:v>EMP. SACMI</c:v>
                </c:pt>
                <c:pt idx="1">
                  <c:v>CORTADORA DE TURRON</c:v>
                </c:pt>
                <c:pt idx="2">
                  <c:v>TEMPERADORA CHOCOLATIER</c:v>
                </c:pt>
                <c:pt idx="3">
                  <c:v>RAYOS X 2</c:v>
                </c:pt>
              </c:strCache>
            </c:strRef>
          </c:cat>
          <c:val>
            <c:numRef>
              <c:f>'TABLA-DIA'!$C$100:$C$104</c:f>
              <c:numCache>
                <c:formatCode>h:mm</c:formatCode>
                <c:ptCount val="4"/>
                <c:pt idx="2">
                  <c:v>1.0416666666666666E-2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6B-4900-8753-DF3CD34D6EAE}"/>
            </c:ext>
          </c:extLst>
        </c:ser>
        <c:ser>
          <c:idx val="1"/>
          <c:order val="1"/>
          <c:tx>
            <c:strRef>
              <c:f>'TABLA-DIA'!$D$98:$D$99</c:f>
              <c:strCache>
                <c:ptCount val="1"/>
                <c:pt idx="0">
                  <c:v>MECÁNICA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'TABLA-DIA'!$B$100:$B$104</c:f>
              <c:strCache>
                <c:ptCount val="4"/>
                <c:pt idx="0">
                  <c:v>EMP. SACMI</c:v>
                </c:pt>
                <c:pt idx="1">
                  <c:v>CORTADORA DE TURRON</c:v>
                </c:pt>
                <c:pt idx="2">
                  <c:v>TEMPERADORA CHOCOLATIER</c:v>
                </c:pt>
                <c:pt idx="3">
                  <c:v>RAYOS X 2</c:v>
                </c:pt>
              </c:strCache>
            </c:strRef>
          </c:cat>
          <c:val>
            <c:numRef>
              <c:f>'TABLA-DIA'!$D$100:$D$104</c:f>
              <c:numCache>
                <c:formatCode>h:mm</c:formatCode>
                <c:ptCount val="4"/>
                <c:pt idx="0">
                  <c:v>1.6666666666666666E-2</c:v>
                </c:pt>
                <c:pt idx="1">
                  <c:v>1.2500000000000001E-2</c:v>
                </c:pt>
                <c:pt idx="3">
                  <c:v>1.0416666666666666E-2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AF-4113-96B9-1F3C6D3B6D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83139839"/>
        <c:axId val="1283146079"/>
      </c:barChart>
      <c:catAx>
        <c:axId val="128313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83146079"/>
        <c:crosses val="autoZero"/>
        <c:auto val="1"/>
        <c:lblAlgn val="ctr"/>
        <c:lblOffset val="100"/>
        <c:noMultiLvlLbl val="0"/>
      </c:catAx>
      <c:valAx>
        <c:axId val="128314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831398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rgbClr val="233616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</c:dTable>
      <c:spPr>
        <a:noFill/>
        <a:ln w="15875"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[MANTENIMIENTO DIARIO v2..xlsx]TABLA-DIA!TablaDinámica1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accent2">
                    <a:lumMod val="50000"/>
                  </a:schemeClr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r>
              <a:rPr lang="es-PE" sz="3200" b="1">
                <a:solidFill>
                  <a:schemeClr val="accent2">
                    <a:lumMod val="50000"/>
                  </a:schemeClr>
                </a:solidFill>
                <a:latin typeface="Georgia" panose="02040502050405020303" pitchFamily="18" charset="0"/>
              </a:rPr>
              <a:t>TIEMPO</a:t>
            </a:r>
            <a:r>
              <a:rPr lang="es-PE" sz="3200" b="1" baseline="0">
                <a:solidFill>
                  <a:schemeClr val="accent2">
                    <a:lumMod val="50000"/>
                  </a:schemeClr>
                </a:solidFill>
                <a:latin typeface="Georgia" panose="02040502050405020303" pitchFamily="18" charset="0"/>
              </a:rPr>
              <a:t> DE ATENCION POR MAQUINA</a:t>
            </a:r>
            <a:endParaRPr lang="es-PE" sz="3200" b="1">
              <a:solidFill>
                <a:schemeClr val="accent2">
                  <a:lumMod val="50000"/>
                </a:schemeClr>
              </a:solidFill>
              <a:latin typeface="Georgia" panose="02040502050405020303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accent2">
                  <a:lumMod val="50000"/>
                </a:schemeClr>
              </a:solidFill>
              <a:latin typeface="Georgia" panose="02040502050405020303" pitchFamily="18" charset="0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3333"/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2700000" spcFirstLastPara="1" vertOverflow="ellipsis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>
              <a:lumMod val="75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2700000" spcFirstLastPara="1" vertOverflow="ellipsis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9D58FA"/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2700000" spcFirstLastPara="1" vertOverflow="ellipsis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4">
              <a:lumMod val="75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2700000" spcFirstLastPara="1" vertOverflow="ellipsis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259EA1"/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2700000" spcFirstLastPara="1" vertOverflow="ellipsis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>
              <a:lumMod val="75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2700000" spcFirstLastPara="1" vertOverflow="ellipsis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2">
              <a:lumMod val="75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2700000" spcFirstLastPara="1" vertOverflow="ellipsis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9D58FA"/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2700000" spcFirstLastPara="1" vertOverflow="ellipsis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4">
              <a:lumMod val="75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2700000" spcFirstLastPara="1" vertOverflow="ellipsis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259EA1"/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2700000" spcFirstLastPara="1" vertOverflow="ellipsis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2">
              <a:lumMod val="75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2700000" spcFirstLastPara="1" vertOverflow="ellipsis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2">
              <a:lumMod val="75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2700000" spcFirstLastPara="1" vertOverflow="ellipsis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9D58FA"/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2700000" spcFirstLastPara="1" vertOverflow="ellipsis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4">
              <a:lumMod val="75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2700000" spcFirstLastPara="1" vertOverflow="ellipsis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rgbClr val="259EA1"/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2700000" spcFirstLastPara="1" vertOverflow="ellipsis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'TABLA-DIA'!$C$118:$C$119</c:f>
              <c:strCache>
                <c:ptCount val="1"/>
                <c:pt idx="0">
                  <c:v>Ajuste /Calibracion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'TABLA-DIA'!$B$120:$B$129</c:f>
              <c:strCache>
                <c:ptCount val="9"/>
                <c:pt idx="0">
                  <c:v>LINEA AUTOMATICA HACOS 2</c:v>
                </c:pt>
                <c:pt idx="1">
                  <c:v>EMP. SACMI</c:v>
                </c:pt>
                <c:pt idx="2">
                  <c:v>BARQUILLERA FRANZ HAAZ</c:v>
                </c:pt>
                <c:pt idx="3">
                  <c:v>CORTADORA DE TURRON</c:v>
                </c:pt>
                <c:pt idx="4">
                  <c:v>POZO DE CHILLER</c:v>
                </c:pt>
                <c:pt idx="5">
                  <c:v>CALDERO, CHRILLER Y COMPRESOR</c:v>
                </c:pt>
                <c:pt idx="6">
                  <c:v>TEMPERADORA CHOCOLATIER</c:v>
                </c:pt>
                <c:pt idx="7">
                  <c:v>PROCESADORA DE MASAS - NETZSCH</c:v>
                </c:pt>
                <c:pt idx="8">
                  <c:v>RAYOS X 2</c:v>
                </c:pt>
              </c:strCache>
            </c:strRef>
          </c:cat>
          <c:val>
            <c:numRef>
              <c:f>'TABLA-DIA'!$C$120:$C$129</c:f>
              <c:numCache>
                <c:formatCode>h:mm</c:formatCode>
                <c:ptCount val="9"/>
                <c:pt idx="8">
                  <c:v>1.0416666666666666E-2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93-4FFB-B116-1EC4AF94CFE6}"/>
            </c:ext>
          </c:extLst>
        </c:ser>
        <c:ser>
          <c:idx val="1"/>
          <c:order val="1"/>
          <c:tx>
            <c:strRef>
              <c:f>'TABLA-DIA'!$D$118:$D$119</c:f>
              <c:strCache>
                <c:ptCount val="1"/>
                <c:pt idx="0">
                  <c:v>Encendido / Arranque de linea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'TABLA-DIA'!$B$120:$B$129</c:f>
              <c:strCache>
                <c:ptCount val="9"/>
                <c:pt idx="0">
                  <c:v>LINEA AUTOMATICA HACOS 2</c:v>
                </c:pt>
                <c:pt idx="1">
                  <c:v>EMP. SACMI</c:v>
                </c:pt>
                <c:pt idx="2">
                  <c:v>BARQUILLERA FRANZ HAAZ</c:v>
                </c:pt>
                <c:pt idx="3">
                  <c:v>CORTADORA DE TURRON</c:v>
                </c:pt>
                <c:pt idx="4">
                  <c:v>POZO DE CHILLER</c:v>
                </c:pt>
                <c:pt idx="5">
                  <c:v>CALDERO, CHRILLER Y COMPRESOR</c:v>
                </c:pt>
                <c:pt idx="6">
                  <c:v>TEMPERADORA CHOCOLATIER</c:v>
                </c:pt>
                <c:pt idx="7">
                  <c:v>PROCESADORA DE MASAS - NETZSCH</c:v>
                </c:pt>
                <c:pt idx="8">
                  <c:v>RAYOS X 2</c:v>
                </c:pt>
              </c:strCache>
            </c:strRef>
          </c:cat>
          <c:val>
            <c:numRef>
              <c:f>'TABLA-DIA'!$D$120:$D$129</c:f>
              <c:numCache>
                <c:formatCode>h:mm</c:formatCode>
                <c:ptCount val="9"/>
                <c:pt idx="6">
                  <c:v>1.0416666666666666E-2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E5-413E-8178-F03ABBFD3EEF}"/>
            </c:ext>
          </c:extLst>
        </c:ser>
        <c:ser>
          <c:idx val="2"/>
          <c:order val="2"/>
          <c:tx>
            <c:strRef>
              <c:f>'TABLA-DIA'!$E$118:$E$119</c:f>
              <c:strCache>
                <c:ptCount val="1"/>
                <c:pt idx="0">
                  <c:v>Inspección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'TABLA-DIA'!$B$120:$B$129</c:f>
              <c:strCache>
                <c:ptCount val="9"/>
                <c:pt idx="0">
                  <c:v>LINEA AUTOMATICA HACOS 2</c:v>
                </c:pt>
                <c:pt idx="1">
                  <c:v>EMP. SACMI</c:v>
                </c:pt>
                <c:pt idx="2">
                  <c:v>BARQUILLERA FRANZ HAAZ</c:v>
                </c:pt>
                <c:pt idx="3">
                  <c:v>CORTADORA DE TURRON</c:v>
                </c:pt>
                <c:pt idx="4">
                  <c:v>POZO DE CHILLER</c:v>
                </c:pt>
                <c:pt idx="5">
                  <c:v>CALDERO, CHRILLER Y COMPRESOR</c:v>
                </c:pt>
                <c:pt idx="6">
                  <c:v>TEMPERADORA CHOCOLATIER</c:v>
                </c:pt>
                <c:pt idx="7">
                  <c:v>PROCESADORA DE MASAS - NETZSCH</c:v>
                </c:pt>
                <c:pt idx="8">
                  <c:v>RAYOS X 2</c:v>
                </c:pt>
              </c:strCache>
            </c:strRef>
          </c:cat>
          <c:val>
            <c:numRef>
              <c:f>'TABLA-DIA'!$E$120:$E$129</c:f>
              <c:numCache>
                <c:formatCode>h:mm</c:formatCode>
                <c:ptCount val="9"/>
                <c:pt idx="0">
                  <c:v>5.486111111111111E-2</c:v>
                </c:pt>
                <c:pt idx="2">
                  <c:v>1.3888888888888888E-2</c:v>
                </c:pt>
                <c:pt idx="5">
                  <c:v>1.1805555555555555E-2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E5-413E-8178-F03ABBFD3EEF}"/>
            </c:ext>
          </c:extLst>
        </c:ser>
        <c:ser>
          <c:idx val="3"/>
          <c:order val="3"/>
          <c:tx>
            <c:strRef>
              <c:f>'TABLA-DIA'!$F$118:$F$119</c:f>
              <c:strCache>
                <c:ptCount val="1"/>
                <c:pt idx="0">
                  <c:v>SET UP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'TABLA-DIA'!$B$120:$B$129</c:f>
              <c:strCache>
                <c:ptCount val="9"/>
                <c:pt idx="0">
                  <c:v>LINEA AUTOMATICA HACOS 2</c:v>
                </c:pt>
                <c:pt idx="1">
                  <c:v>EMP. SACMI</c:v>
                </c:pt>
                <c:pt idx="2">
                  <c:v>BARQUILLERA FRANZ HAAZ</c:v>
                </c:pt>
                <c:pt idx="3">
                  <c:v>CORTADORA DE TURRON</c:v>
                </c:pt>
                <c:pt idx="4">
                  <c:v>POZO DE CHILLER</c:v>
                </c:pt>
                <c:pt idx="5">
                  <c:v>CALDERO, CHRILLER Y COMPRESOR</c:v>
                </c:pt>
                <c:pt idx="6">
                  <c:v>TEMPERADORA CHOCOLATIER</c:v>
                </c:pt>
                <c:pt idx="7">
                  <c:v>PROCESADORA DE MASAS - NETZSCH</c:v>
                </c:pt>
                <c:pt idx="8">
                  <c:v>RAYOS X 2</c:v>
                </c:pt>
              </c:strCache>
            </c:strRef>
          </c:cat>
          <c:val>
            <c:numRef>
              <c:f>'TABLA-DIA'!$F$120:$F$129</c:f>
              <c:numCache>
                <c:formatCode>h:mm</c:formatCode>
                <c:ptCount val="9"/>
                <c:pt idx="7">
                  <c:v>1.0416666666666666E-2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E5-413E-8178-F03ABBFD3EEF}"/>
            </c:ext>
          </c:extLst>
        </c:ser>
        <c:ser>
          <c:idx val="4"/>
          <c:order val="4"/>
          <c:tx>
            <c:strRef>
              <c:f>'TABLA-DIA'!$G$118:$G$119</c:f>
              <c:strCache>
                <c:ptCount val="1"/>
                <c:pt idx="0">
                  <c:v>Reparacion</c:v>
                </c:pt>
              </c:strCache>
            </c:strRef>
          </c:tx>
          <c:spPr>
            <a:solidFill>
              <a:srgbClr val="259EA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'TABLA-DIA'!$B$120:$B$129</c:f>
              <c:strCache>
                <c:ptCount val="9"/>
                <c:pt idx="0">
                  <c:v>LINEA AUTOMATICA HACOS 2</c:v>
                </c:pt>
                <c:pt idx="1">
                  <c:v>EMP. SACMI</c:v>
                </c:pt>
                <c:pt idx="2">
                  <c:v>BARQUILLERA FRANZ HAAZ</c:v>
                </c:pt>
                <c:pt idx="3">
                  <c:v>CORTADORA DE TURRON</c:v>
                </c:pt>
                <c:pt idx="4">
                  <c:v>POZO DE CHILLER</c:v>
                </c:pt>
                <c:pt idx="5">
                  <c:v>CALDERO, CHRILLER Y COMPRESOR</c:v>
                </c:pt>
                <c:pt idx="6">
                  <c:v>TEMPERADORA CHOCOLATIER</c:v>
                </c:pt>
                <c:pt idx="7">
                  <c:v>PROCESADORA DE MASAS - NETZSCH</c:v>
                </c:pt>
                <c:pt idx="8">
                  <c:v>RAYOS X 2</c:v>
                </c:pt>
              </c:strCache>
            </c:strRef>
          </c:cat>
          <c:val>
            <c:numRef>
              <c:f>'TABLA-DIA'!$G$120:$G$129</c:f>
              <c:numCache>
                <c:formatCode>h:mm</c:formatCode>
                <c:ptCount val="9"/>
                <c:pt idx="1">
                  <c:v>1.6666666666666666E-2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E5-413E-8178-F03ABBFD3EEF}"/>
            </c:ext>
          </c:extLst>
        </c:ser>
        <c:ser>
          <c:idx val="5"/>
          <c:order val="5"/>
          <c:tx>
            <c:strRef>
              <c:f>'TABLA-DIA'!$H$118:$H$119</c:f>
              <c:strCache>
                <c:ptCount val="1"/>
                <c:pt idx="0">
                  <c:v>Lubricación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'TABLA-DIA'!$B$120:$B$129</c:f>
              <c:strCache>
                <c:ptCount val="9"/>
                <c:pt idx="0">
                  <c:v>LINEA AUTOMATICA HACOS 2</c:v>
                </c:pt>
                <c:pt idx="1">
                  <c:v>EMP. SACMI</c:v>
                </c:pt>
                <c:pt idx="2">
                  <c:v>BARQUILLERA FRANZ HAAZ</c:v>
                </c:pt>
                <c:pt idx="3">
                  <c:v>CORTADORA DE TURRON</c:v>
                </c:pt>
                <c:pt idx="4">
                  <c:v>POZO DE CHILLER</c:v>
                </c:pt>
                <c:pt idx="5">
                  <c:v>CALDERO, CHRILLER Y COMPRESOR</c:v>
                </c:pt>
                <c:pt idx="6">
                  <c:v>TEMPERADORA CHOCOLATIER</c:v>
                </c:pt>
                <c:pt idx="7">
                  <c:v>PROCESADORA DE MASAS - NETZSCH</c:v>
                </c:pt>
                <c:pt idx="8">
                  <c:v>RAYOS X 2</c:v>
                </c:pt>
              </c:strCache>
            </c:strRef>
          </c:cat>
          <c:val>
            <c:numRef>
              <c:f>'TABLA-DIA'!$H$120:$H$129</c:f>
              <c:numCache>
                <c:formatCode>h:mm</c:formatCode>
                <c:ptCount val="9"/>
                <c:pt idx="3">
                  <c:v>1.2500000000000001E-2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98-4267-8087-8E5877FCBC94}"/>
            </c:ext>
          </c:extLst>
        </c:ser>
        <c:ser>
          <c:idx val="6"/>
          <c:order val="6"/>
          <c:tx>
            <c:strRef>
              <c:f>'TABLA-DIA'!$I$118:$I$119</c:f>
              <c:strCache>
                <c:ptCount val="1"/>
                <c:pt idx="0">
                  <c:v>M.General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'TABLA-DIA'!$B$120:$B$129</c:f>
              <c:strCache>
                <c:ptCount val="9"/>
                <c:pt idx="0">
                  <c:v>LINEA AUTOMATICA HACOS 2</c:v>
                </c:pt>
                <c:pt idx="1">
                  <c:v>EMP. SACMI</c:v>
                </c:pt>
                <c:pt idx="2">
                  <c:v>BARQUILLERA FRANZ HAAZ</c:v>
                </c:pt>
                <c:pt idx="3">
                  <c:v>CORTADORA DE TURRON</c:v>
                </c:pt>
                <c:pt idx="4">
                  <c:v>POZO DE CHILLER</c:v>
                </c:pt>
                <c:pt idx="5">
                  <c:v>CALDERO, CHRILLER Y COMPRESOR</c:v>
                </c:pt>
                <c:pt idx="6">
                  <c:v>TEMPERADORA CHOCOLATIER</c:v>
                </c:pt>
                <c:pt idx="7">
                  <c:v>PROCESADORA DE MASAS - NETZSCH</c:v>
                </c:pt>
                <c:pt idx="8">
                  <c:v>RAYOS X 2</c:v>
                </c:pt>
              </c:strCache>
            </c:strRef>
          </c:cat>
          <c:val>
            <c:numRef>
              <c:f>'TABLA-DIA'!$I$120:$I$129</c:f>
              <c:numCache>
                <c:formatCode>h:mm</c:formatCode>
                <c:ptCount val="9"/>
                <c:pt idx="4">
                  <c:v>1.1805555555555555E-2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A6-49E2-9236-5D951A40C2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76544048"/>
        <c:axId val="1376545968"/>
      </c:barChart>
      <c:catAx>
        <c:axId val="137654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76545968"/>
        <c:crosses val="autoZero"/>
        <c:auto val="1"/>
        <c:lblAlgn val="ctr"/>
        <c:lblOffset val="100"/>
        <c:noMultiLvlLbl val="0"/>
      </c:catAx>
      <c:valAx>
        <c:axId val="137654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765440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rgbClr val="233616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</c:dTable>
      <c:spPr>
        <a:noFill/>
        <a:ln w="12700">
          <a:solidFill>
            <a:srgbClr val="233616">
              <a:alpha val="99000"/>
            </a:srgb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[MANTENIMIENTO DIARIO v2..xlsx]TABLA-DIA!TablaDinámica6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accent2">
                    <a:lumMod val="50000"/>
                  </a:schemeClr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r>
              <a:rPr lang="es-PE" sz="3200" b="1">
                <a:solidFill>
                  <a:schemeClr val="accent2">
                    <a:lumMod val="50000"/>
                  </a:schemeClr>
                </a:solidFill>
                <a:latin typeface="Georgia" panose="02040502050405020303" pitchFamily="18" charset="0"/>
              </a:rPr>
              <a:t>TIEMPO</a:t>
            </a:r>
            <a:r>
              <a:rPr lang="es-PE" sz="3200" b="1" baseline="0">
                <a:solidFill>
                  <a:schemeClr val="accent2">
                    <a:lumMod val="50000"/>
                  </a:schemeClr>
                </a:solidFill>
                <a:latin typeface="Georgia" panose="02040502050405020303" pitchFamily="18" charset="0"/>
              </a:rPr>
              <a:t> DE ATENCION DE MAQUINA/EQUIPO POR TURNO</a:t>
            </a:r>
            <a:endParaRPr lang="es-PE" sz="3200" b="1">
              <a:solidFill>
                <a:schemeClr val="accent2">
                  <a:lumMod val="50000"/>
                </a:schemeClr>
              </a:solidFill>
              <a:latin typeface="Georgia" panose="02040502050405020303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accent2">
                  <a:lumMod val="50000"/>
                </a:schemeClr>
              </a:solidFill>
              <a:latin typeface="Georgia" panose="02040502050405020303" pitchFamily="18" charset="0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>
              <a:lumMod val="75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2700000" spcFirstLastPara="1" vertOverflow="ellipsis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75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2700000" spcFirstLastPara="1" vertOverflow="ellipsis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2700000" spcFirstLastPara="1" vertOverflow="ellipsis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4">
              <a:lumMod val="75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lumMod val="75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>
              <a:lumMod val="75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4">
              <a:lumMod val="75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50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>
              <a:lumMod val="75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4">
              <a:lumMod val="75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>
              <a:lumMod val="50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2">
              <a:lumMod val="75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>
              <a:lumMod val="75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4">
              <a:lumMod val="75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>
              <a:lumMod val="50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'TABLA-DIA'!$C$151:$C$152</c:f>
              <c:strCache>
                <c:ptCount val="1"/>
                <c:pt idx="0">
                  <c:v>MAÑANA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'TABLA-DIA'!$B$153:$B$163</c:f>
              <c:strCache>
                <c:ptCount val="10"/>
                <c:pt idx="0">
                  <c:v>LINEA AUTOMATICA HACOS 2</c:v>
                </c:pt>
                <c:pt idx="1">
                  <c:v>CORTADORA DE TURRON</c:v>
                </c:pt>
                <c:pt idx="2">
                  <c:v>TEMPERADORA CHOCOLATIER</c:v>
                </c:pt>
                <c:pt idx="3">
                  <c:v>EMP. SACMI</c:v>
                </c:pt>
                <c:pt idx="4">
                  <c:v>POZO DE CHILLER</c:v>
                </c:pt>
                <c:pt idx="5">
                  <c:v>PROCESADORA DE MASAS - NETZSCH</c:v>
                </c:pt>
                <c:pt idx="6">
                  <c:v>COMEDOR</c:v>
                </c:pt>
                <c:pt idx="7">
                  <c:v>CALDERO, CHRILLER Y COMPRESOR</c:v>
                </c:pt>
                <c:pt idx="8">
                  <c:v>BARQUILLERA FRANZ HAAZ</c:v>
                </c:pt>
                <c:pt idx="9">
                  <c:v>RAYOS X 2</c:v>
                </c:pt>
              </c:strCache>
            </c:strRef>
          </c:cat>
          <c:val>
            <c:numRef>
              <c:f>'TABLA-DIA'!$C$153:$C$163</c:f>
              <c:numCache>
                <c:formatCode>0</c:formatCode>
                <c:ptCount val="10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45-49DB-9923-0D0D49438E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27113296"/>
        <c:axId val="1227113776"/>
      </c:barChart>
      <c:catAx>
        <c:axId val="1227113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27113776"/>
        <c:crosses val="autoZero"/>
        <c:auto val="1"/>
        <c:lblAlgn val="ctr"/>
        <c:lblOffset val="100"/>
        <c:noMultiLvlLbl val="0"/>
      </c:catAx>
      <c:valAx>
        <c:axId val="122711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271132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12700" cap="flat" cmpd="sng" algn="ctr">
            <a:solidFill>
              <a:schemeClr val="accent6">
                <a:lumMod val="50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</c:dTable>
      <c:spPr>
        <a:noFill/>
        <a:ln w="12700">
          <a:solidFill>
            <a:srgbClr val="233616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[MANTENIMIENTO DIARIO v2..xlsx]TABLA-DIA!TablaDinámica8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accent2">
                    <a:lumMod val="50000"/>
                  </a:schemeClr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r>
              <a:rPr lang="es-PE" sz="3200" b="1">
                <a:solidFill>
                  <a:schemeClr val="accent2">
                    <a:lumMod val="50000"/>
                  </a:schemeClr>
                </a:solidFill>
                <a:latin typeface="Georgia" panose="02040502050405020303" pitchFamily="18" charset="0"/>
              </a:rPr>
              <a:t>ACUMULADO DE CANTIDAD DE FALLAS POR SEMANA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accent2">
                  <a:lumMod val="50000"/>
                </a:schemeClr>
              </a:solidFill>
              <a:latin typeface="Georgia" panose="02040502050405020303" pitchFamily="18" charset="0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>
              <a:lumMod val="75000"/>
            </a:schemeClr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'TABLA-DIA'!$M$69:$M$71</c:f>
              <c:strCache>
                <c:ptCount val="1"/>
                <c:pt idx="0">
                  <c:v>NO PROGRAMADA - ELÉCTRICA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'TABLA-DIA'!$L$72:$L$79</c:f>
              <c:strCache>
                <c:ptCount val="8"/>
                <c:pt idx="0">
                  <c:v>1ER PISO</c:v>
                </c:pt>
                <c:pt idx="1">
                  <c:v>CORTADORA DE TURRON</c:v>
                </c:pt>
                <c:pt idx="2">
                  <c:v>EMP. 2 - CARLE MONTANARY</c:v>
                </c:pt>
                <c:pt idx="3">
                  <c:v>EMP. SACMI</c:v>
                </c:pt>
                <c:pt idx="4">
                  <c:v>ENCELOFANADORA ECCOPAC</c:v>
                </c:pt>
                <c:pt idx="5">
                  <c:v>LINEA AUTOMATICA HACOS 1</c:v>
                </c:pt>
                <c:pt idx="6">
                  <c:v>RAYOS X 2</c:v>
                </c:pt>
                <c:pt idx="7">
                  <c:v>TEMPERADORA CHOCOLATIER</c:v>
                </c:pt>
              </c:strCache>
            </c:strRef>
          </c:cat>
          <c:val>
            <c:numRef>
              <c:f>'TABLA-DIA'!$M$72:$M$79</c:f>
              <c:numCache>
                <c:formatCode>General</c:formatCode>
                <c:ptCount val="8"/>
                <c:pt idx="0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E4-4E74-8A24-6D8B134843C5}"/>
            </c:ext>
          </c:extLst>
        </c:ser>
        <c:ser>
          <c:idx val="1"/>
          <c:order val="1"/>
          <c:tx>
            <c:strRef>
              <c:f>'TABLA-DIA'!$N$69:$N$71</c:f>
              <c:strCache>
                <c:ptCount val="1"/>
                <c:pt idx="0">
                  <c:v>NO PROGRAMADA - MECÁNICA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'TABLA-DIA'!$L$72:$L$79</c:f>
              <c:strCache>
                <c:ptCount val="8"/>
                <c:pt idx="0">
                  <c:v>1ER PISO</c:v>
                </c:pt>
                <c:pt idx="1">
                  <c:v>CORTADORA DE TURRON</c:v>
                </c:pt>
                <c:pt idx="2">
                  <c:v>EMP. 2 - CARLE MONTANARY</c:v>
                </c:pt>
                <c:pt idx="3">
                  <c:v>EMP. SACMI</c:v>
                </c:pt>
                <c:pt idx="4">
                  <c:v>ENCELOFANADORA ECCOPAC</c:v>
                </c:pt>
                <c:pt idx="5">
                  <c:v>LINEA AUTOMATICA HACOS 1</c:v>
                </c:pt>
                <c:pt idx="6">
                  <c:v>RAYOS X 2</c:v>
                </c:pt>
                <c:pt idx="7">
                  <c:v>TEMPERADORA CHOCOLATIER</c:v>
                </c:pt>
              </c:strCache>
            </c:strRef>
          </c:cat>
          <c:val>
            <c:numRef>
              <c:f>'TABLA-DIA'!$N$72:$N$79</c:f>
              <c:numCache>
                <c:formatCode>General</c:formatCode>
                <c:ptCount val="8"/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9F-4E6A-8A2A-F8E8CA83A76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83151839"/>
        <c:axId val="1283154719"/>
      </c:barChart>
      <c:catAx>
        <c:axId val="1283151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83154719"/>
        <c:crosses val="autoZero"/>
        <c:auto val="1"/>
        <c:lblAlgn val="ctr"/>
        <c:lblOffset val="100"/>
        <c:noMultiLvlLbl val="0"/>
      </c:catAx>
      <c:valAx>
        <c:axId val="128315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831518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accent6">
                <a:lumMod val="50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</c:dTable>
      <c:spPr>
        <a:noFill/>
        <a:ln w="12700">
          <a:solidFill>
            <a:schemeClr val="accent6">
              <a:lumMod val="50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[MANTENIMIENTO DIARIO v2..xlsx]TABLA RES-SEMANA!TablaDinámica8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4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4000" b="1" i="0" u="none" strike="noStrike" kern="1200" spc="0" baseline="0">
                <a:solidFill>
                  <a:schemeClr val="accent1">
                    <a:lumMod val="50000"/>
                  </a:schemeClr>
                </a:solidFill>
              </a:rPr>
              <a:t>NUMERO DE ATENCIONES POR MAQUINA / EQUIPO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4000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s-ES" sz="4000"/>
          </a:p>
        </c:rich>
      </c:tx>
      <c:layout>
        <c:manualLayout>
          <c:xMode val="edge"/>
          <c:yMode val="edge"/>
          <c:x val="0.24921427200456012"/>
          <c:y val="2.32547503250284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4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387442304867825E-2"/>
          <c:y val="2.1755919590739036E-2"/>
          <c:w val="0.95243147657570093"/>
          <c:h val="0.841635105431679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'TABLA RES-SEMANA'!$C$66:$C$67</c:f>
              <c:strCache>
                <c:ptCount val="1"/>
                <c:pt idx="0">
                  <c:v>MAÑANA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RES-SEMANA'!$B$68:$B$78</c:f>
              <c:strCache>
                <c:ptCount val="10"/>
                <c:pt idx="0">
                  <c:v>LINEA AUTOMATICA HACOS 1</c:v>
                </c:pt>
                <c:pt idx="1">
                  <c:v>EMP. FLOWPACK 2</c:v>
                </c:pt>
                <c:pt idx="2">
                  <c:v>EMP. SACMI</c:v>
                </c:pt>
                <c:pt idx="3">
                  <c:v>EMP. FLOWPACK 1</c:v>
                </c:pt>
                <c:pt idx="4">
                  <c:v>QUEBRANTADOR DE CACAO  01 JAF INOX</c:v>
                </c:pt>
                <c:pt idx="5">
                  <c:v>ENVASADORA TEPACK</c:v>
                </c:pt>
                <c:pt idx="6">
                  <c:v>ENCELOFANADORA ECCOPAC</c:v>
                </c:pt>
                <c:pt idx="7">
                  <c:v>FORRADORA AUTOMATICA 03</c:v>
                </c:pt>
                <c:pt idx="8">
                  <c:v>LINEA AUTOMATICA HACOS 2</c:v>
                </c:pt>
                <c:pt idx="9">
                  <c:v>LINEA DE COCCION HANSEL</c:v>
                </c:pt>
              </c:strCache>
            </c:strRef>
          </c:cat>
          <c:val>
            <c:numRef>
              <c:f>'TABLA RES-SEMANA'!$C$68:$C$78</c:f>
              <c:numCache>
                <c:formatCode>General</c:formatCode>
                <c:ptCount val="10"/>
                <c:pt idx="0">
                  <c:v>9</c:v>
                </c:pt>
                <c:pt idx="1">
                  <c:v>3</c:v>
                </c:pt>
                <c:pt idx="2">
                  <c:v>4</c:v>
                </c:pt>
                <c:pt idx="3">
                  <c:v>1</c:v>
                </c:pt>
                <c:pt idx="4">
                  <c:v>3</c:v>
                </c:pt>
                <c:pt idx="6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22-4022-BAB5-87108F03031F}"/>
            </c:ext>
          </c:extLst>
        </c:ser>
        <c:ser>
          <c:idx val="1"/>
          <c:order val="1"/>
          <c:tx>
            <c:strRef>
              <c:f>'TABLA RES-SEMANA'!$D$66:$D$67</c:f>
              <c:strCache>
                <c:ptCount val="1"/>
                <c:pt idx="0">
                  <c:v>NOCHE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RES-SEMANA'!$B$68:$B$78</c:f>
              <c:strCache>
                <c:ptCount val="10"/>
                <c:pt idx="0">
                  <c:v>LINEA AUTOMATICA HACOS 1</c:v>
                </c:pt>
                <c:pt idx="1">
                  <c:v>EMP. FLOWPACK 2</c:v>
                </c:pt>
                <c:pt idx="2">
                  <c:v>EMP. SACMI</c:v>
                </c:pt>
                <c:pt idx="3">
                  <c:v>EMP. FLOWPACK 1</c:v>
                </c:pt>
                <c:pt idx="4">
                  <c:v>QUEBRANTADOR DE CACAO  01 JAF INOX</c:v>
                </c:pt>
                <c:pt idx="5">
                  <c:v>ENVASADORA TEPACK</c:v>
                </c:pt>
                <c:pt idx="6">
                  <c:v>ENCELOFANADORA ECCOPAC</c:v>
                </c:pt>
                <c:pt idx="7">
                  <c:v>FORRADORA AUTOMATICA 03</c:v>
                </c:pt>
                <c:pt idx="8">
                  <c:v>LINEA AUTOMATICA HACOS 2</c:v>
                </c:pt>
                <c:pt idx="9">
                  <c:v>LINEA DE COCCION HANSEL</c:v>
                </c:pt>
              </c:strCache>
            </c:strRef>
          </c:cat>
          <c:val>
            <c:numRef>
              <c:f>'TABLA RES-SEMANA'!$D$68:$D$78</c:f>
              <c:numCache>
                <c:formatCode>General</c:formatCode>
                <c:ptCount val="10"/>
                <c:pt idx="0">
                  <c:v>6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A1-4B48-8B66-7CD825584F3D}"/>
            </c:ext>
          </c:extLst>
        </c:ser>
        <c:ser>
          <c:idx val="2"/>
          <c:order val="2"/>
          <c:tx>
            <c:strRef>
              <c:f>'TABLA RES-SEMANA'!$E$66:$E$67</c:f>
              <c:strCache>
                <c:ptCount val="1"/>
                <c:pt idx="0">
                  <c:v>TARDE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RES-SEMANA'!$B$68:$B$78</c:f>
              <c:strCache>
                <c:ptCount val="10"/>
                <c:pt idx="0">
                  <c:v>LINEA AUTOMATICA HACOS 1</c:v>
                </c:pt>
                <c:pt idx="1">
                  <c:v>EMP. FLOWPACK 2</c:v>
                </c:pt>
                <c:pt idx="2">
                  <c:v>EMP. SACMI</c:v>
                </c:pt>
                <c:pt idx="3">
                  <c:v>EMP. FLOWPACK 1</c:v>
                </c:pt>
                <c:pt idx="4">
                  <c:v>QUEBRANTADOR DE CACAO  01 JAF INOX</c:v>
                </c:pt>
                <c:pt idx="5">
                  <c:v>ENVASADORA TEPACK</c:v>
                </c:pt>
                <c:pt idx="6">
                  <c:v>ENCELOFANADORA ECCOPAC</c:v>
                </c:pt>
                <c:pt idx="7">
                  <c:v>FORRADORA AUTOMATICA 03</c:v>
                </c:pt>
                <c:pt idx="8">
                  <c:v>LINEA AUTOMATICA HACOS 2</c:v>
                </c:pt>
                <c:pt idx="9">
                  <c:v>LINEA DE COCCION HANSEL</c:v>
                </c:pt>
              </c:strCache>
            </c:strRef>
          </c:cat>
          <c:val>
            <c:numRef>
              <c:f>'TABLA RES-SEMANA'!$E$68:$E$78</c:f>
              <c:numCache>
                <c:formatCode>General</c:formatCode>
                <c:ptCount val="10"/>
                <c:pt idx="0">
                  <c:v>5</c:v>
                </c:pt>
                <c:pt idx="1">
                  <c:v>3</c:v>
                </c:pt>
                <c:pt idx="3">
                  <c:v>2</c:v>
                </c:pt>
                <c:pt idx="5">
                  <c:v>1</c:v>
                </c:pt>
                <c:pt idx="6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A1-4B48-8B66-7CD825584F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48619663"/>
        <c:axId val="2048616783"/>
      </c:barChart>
      <c:catAx>
        <c:axId val="204861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48616783"/>
        <c:crosses val="autoZero"/>
        <c:auto val="1"/>
        <c:lblAlgn val="ctr"/>
        <c:lblOffset val="100"/>
        <c:noMultiLvlLbl val="0"/>
      </c:catAx>
      <c:valAx>
        <c:axId val="204861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486196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rgbClr val="C00000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6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[MANTENIMIENTO DIARIO v2..xlsx]TABLA RES-SEMANA!TablaDinámica9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40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s-ES" sz="4000" b="1">
                <a:solidFill>
                  <a:srgbClr val="002060"/>
                </a:solidFill>
              </a:rPr>
              <a:t>NUMERO</a:t>
            </a:r>
            <a:r>
              <a:rPr lang="es-ES" sz="4000" b="1" baseline="0">
                <a:solidFill>
                  <a:srgbClr val="002060"/>
                </a:solidFill>
              </a:rPr>
              <a:t> DE ATENCIONES POR DIA</a:t>
            </a:r>
            <a:endParaRPr lang="es-ES" sz="4000" b="1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0.15952864441204098"/>
          <c:y val="2.96181855802272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918966352919477"/>
          <c:y val="0.11765095484522609"/>
          <c:w val="0.76794548514819372"/>
          <c:h val="0.7125333517235854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'TABLA RES-SEMANA'!$J$68:$J$69</c:f>
              <c:strCache>
                <c:ptCount val="1"/>
                <c:pt idx="0">
                  <c:v>MAÑANA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RES-SEMANA'!$I$70:$I$75</c:f>
              <c:strCache>
                <c:ptCount val="5"/>
                <c:pt idx="0">
                  <c:v>1-lunes</c:v>
                </c:pt>
                <c:pt idx="1">
                  <c:v>3-miércoles</c:v>
                </c:pt>
                <c:pt idx="2">
                  <c:v>4-jueves</c:v>
                </c:pt>
                <c:pt idx="3">
                  <c:v>5-viernes</c:v>
                </c:pt>
                <c:pt idx="4">
                  <c:v>6-sábado</c:v>
                </c:pt>
              </c:strCache>
            </c:strRef>
          </c:cat>
          <c:val>
            <c:numRef>
              <c:f>'TABLA RES-SEMANA'!$J$70:$J$75</c:f>
              <c:numCache>
                <c:formatCode>General</c:formatCode>
                <c:ptCount val="5"/>
                <c:pt idx="0">
                  <c:v>13</c:v>
                </c:pt>
                <c:pt idx="1">
                  <c:v>10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F9-4DBA-8023-E16ADE655885}"/>
            </c:ext>
          </c:extLst>
        </c:ser>
        <c:ser>
          <c:idx val="1"/>
          <c:order val="1"/>
          <c:tx>
            <c:strRef>
              <c:f>'TABLA RES-SEMANA'!$K$68:$K$69</c:f>
              <c:strCache>
                <c:ptCount val="1"/>
                <c:pt idx="0">
                  <c:v>NOCHE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RES-SEMANA'!$I$70:$I$75</c:f>
              <c:strCache>
                <c:ptCount val="5"/>
                <c:pt idx="0">
                  <c:v>1-lunes</c:v>
                </c:pt>
                <c:pt idx="1">
                  <c:v>3-miércoles</c:v>
                </c:pt>
                <c:pt idx="2">
                  <c:v>4-jueves</c:v>
                </c:pt>
                <c:pt idx="3">
                  <c:v>5-viernes</c:v>
                </c:pt>
                <c:pt idx="4">
                  <c:v>6-sábado</c:v>
                </c:pt>
              </c:strCache>
            </c:strRef>
          </c:cat>
          <c:val>
            <c:numRef>
              <c:f>'TABLA RES-SEMANA'!$K$70:$K$75</c:f>
              <c:numCache>
                <c:formatCode>General</c:formatCode>
                <c:ptCount val="5"/>
                <c:pt idx="0">
                  <c:v>5</c:v>
                </c:pt>
                <c:pt idx="1">
                  <c:v>4</c:v>
                </c:pt>
                <c:pt idx="2">
                  <c:v>6</c:v>
                </c:pt>
                <c:pt idx="3">
                  <c:v>5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FD-45FD-B1DB-C3F73BD0B4D7}"/>
            </c:ext>
          </c:extLst>
        </c:ser>
        <c:ser>
          <c:idx val="2"/>
          <c:order val="2"/>
          <c:tx>
            <c:strRef>
              <c:f>'TABLA RES-SEMANA'!$L$68:$L$69</c:f>
              <c:strCache>
                <c:ptCount val="1"/>
                <c:pt idx="0">
                  <c:v>TARDE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RES-SEMANA'!$I$70:$I$75</c:f>
              <c:strCache>
                <c:ptCount val="5"/>
                <c:pt idx="0">
                  <c:v>1-lunes</c:v>
                </c:pt>
                <c:pt idx="1">
                  <c:v>3-miércoles</c:v>
                </c:pt>
                <c:pt idx="2">
                  <c:v>4-jueves</c:v>
                </c:pt>
                <c:pt idx="3">
                  <c:v>5-viernes</c:v>
                </c:pt>
                <c:pt idx="4">
                  <c:v>6-sábado</c:v>
                </c:pt>
              </c:strCache>
            </c:strRef>
          </c:cat>
          <c:val>
            <c:numRef>
              <c:f>'TABLA RES-SEMANA'!$L$70:$L$75</c:f>
              <c:numCache>
                <c:formatCode>General</c:formatCode>
                <c:ptCount val="5"/>
                <c:pt idx="1">
                  <c:v>8</c:v>
                </c:pt>
                <c:pt idx="3">
                  <c:v>8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FD-45FD-B1DB-C3F73BD0B4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45750095"/>
        <c:axId val="771104960"/>
      </c:barChart>
      <c:catAx>
        <c:axId val="1845750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71104960"/>
        <c:crosses val="autoZero"/>
        <c:auto val="1"/>
        <c:lblAlgn val="ctr"/>
        <c:lblOffset val="100"/>
        <c:noMultiLvlLbl val="0"/>
      </c:catAx>
      <c:valAx>
        <c:axId val="771104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457500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rgbClr val="C00000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24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27000">
        <a:schemeClr val="bg1">
          <a:alpha val="99000"/>
        </a:schemeClr>
      </a:glow>
    </a:effectLst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[MANTENIMIENTO DIARIO v2..xlsx]TABLA RES-SEMANA!TablaDinámica11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sz="3600" b="1">
                <a:solidFill>
                  <a:srgbClr val="002060"/>
                </a:solidFill>
              </a:rPr>
              <a:t>TIEMPO TOTAL DE ATENCION POR MAQUINA</a:t>
            </a:r>
          </a:p>
        </c:rich>
      </c:tx>
      <c:layout>
        <c:manualLayout>
          <c:xMode val="edge"/>
          <c:yMode val="edge"/>
          <c:x val="0.34312829695937758"/>
          <c:y val="8.57396971126645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793249807365324"/>
          <c:y val="4.1424398024610766E-2"/>
          <c:w val="0.80177818268032675"/>
          <c:h val="0.8684184195417790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'TABLA RES-SEMANA'!$C$39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RES-SEMANA'!$B$40:$B$44</c:f>
              <c:strCache>
                <c:ptCount val="5"/>
                <c:pt idx="0">
                  <c:v>LINEA AUTOMATICA HACOS 1</c:v>
                </c:pt>
                <c:pt idx="1">
                  <c:v>EMP. FLOWPACK 2</c:v>
                </c:pt>
                <c:pt idx="2">
                  <c:v>ENCELOFANADORA ECCOPAC</c:v>
                </c:pt>
                <c:pt idx="3">
                  <c:v>EMP. SACMI</c:v>
                </c:pt>
                <c:pt idx="4">
                  <c:v>LINEA DE COCCION HANSEL</c:v>
                </c:pt>
              </c:strCache>
            </c:strRef>
          </c:cat>
          <c:val>
            <c:numRef>
              <c:f>'TABLA RES-SEMANA'!$C$40:$C$44</c:f>
              <c:numCache>
                <c:formatCode>h:mm;@</c:formatCode>
                <c:ptCount val="5"/>
                <c:pt idx="0">
                  <c:v>0.36388888888888898</c:v>
                </c:pt>
                <c:pt idx="1">
                  <c:v>0.28333333333333333</c:v>
                </c:pt>
                <c:pt idx="2">
                  <c:v>0.15763888888888888</c:v>
                </c:pt>
                <c:pt idx="3">
                  <c:v>9.2361111111111102E-2</c:v>
                </c:pt>
                <c:pt idx="4">
                  <c:v>8.611111111111111E-2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E5-467B-8B3B-127B664684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48623023"/>
        <c:axId val="2048622543"/>
      </c:barChart>
      <c:catAx>
        <c:axId val="2048623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48622543"/>
        <c:crosses val="autoZero"/>
        <c:auto val="1"/>
        <c:lblAlgn val="ctr"/>
        <c:lblOffset val="100"/>
        <c:noMultiLvlLbl val="0"/>
      </c:catAx>
      <c:valAx>
        <c:axId val="2048622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5400000" spcFirstLastPara="1" vertOverflow="ellipsis" wrap="square" anchor="t" anchorCtr="0"/>
          <a:lstStyle/>
          <a:p>
            <a:pPr>
              <a:defRPr sz="20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48623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[MANTENIMIENTO DIARIO v2..xlsx]TABLA RES-SEMANA!TablaDinámica10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44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s-ES" sz="4400" b="1">
                <a:solidFill>
                  <a:srgbClr val="002060"/>
                </a:solidFill>
              </a:rPr>
              <a:t>TIEMPO</a:t>
            </a:r>
            <a:r>
              <a:rPr lang="es-ES" sz="4400" b="1" baseline="0">
                <a:solidFill>
                  <a:srgbClr val="002060"/>
                </a:solidFill>
              </a:rPr>
              <a:t> DE ACTIVIDAD POR MAQUINA/EQUIPO</a:t>
            </a:r>
            <a:endParaRPr lang="es-ES" sz="4400" b="1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0.38300113883398185"/>
          <c:y val="1.91699965608830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4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4565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 RES-SEMANA'!$C$9:$C$10</c:f>
              <c:strCache>
                <c:ptCount val="1"/>
                <c:pt idx="0">
                  <c:v>Ajuste /Calibracion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RES-SEMANA'!$B$11:$B$15</c:f>
              <c:strCache>
                <c:ptCount val="5"/>
                <c:pt idx="0">
                  <c:v>LINEA AUTOMATICA HACOS 1</c:v>
                </c:pt>
                <c:pt idx="1">
                  <c:v>EMP. FLOWPACK 2</c:v>
                </c:pt>
                <c:pt idx="2">
                  <c:v>ENCELOFANADORA ECCOPAC</c:v>
                </c:pt>
                <c:pt idx="3">
                  <c:v>EMP. SACMI</c:v>
                </c:pt>
                <c:pt idx="4">
                  <c:v>LINEA DE COCCION HANSEL</c:v>
                </c:pt>
              </c:strCache>
            </c:strRef>
          </c:cat>
          <c:val>
            <c:numRef>
              <c:f>'TABLA RES-SEMANA'!$C$11:$C$15</c:f>
              <c:numCache>
                <c:formatCode>h:mm;@</c:formatCode>
                <c:ptCount val="5"/>
                <c:pt idx="0">
                  <c:v>6.2500000000000003E-3</c:v>
                </c:pt>
                <c:pt idx="1">
                  <c:v>0.13819444444444445</c:v>
                </c:pt>
                <c:pt idx="3">
                  <c:v>2.4305555555555556E-2</c:v>
                </c:pt>
                <c:pt idx="4">
                  <c:v>5.9027777777777776E-2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7F-4EF0-AC84-CD4FA774F7D9}"/>
            </c:ext>
          </c:extLst>
        </c:ser>
        <c:ser>
          <c:idx val="1"/>
          <c:order val="1"/>
          <c:tx>
            <c:strRef>
              <c:f>'TABLA RES-SEMANA'!$D$9:$D$10</c:f>
              <c:strCache>
                <c:ptCount val="1"/>
                <c:pt idx="0">
                  <c:v>Inspección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RES-SEMANA'!$B$11:$B$15</c:f>
              <c:strCache>
                <c:ptCount val="5"/>
                <c:pt idx="0">
                  <c:v>LINEA AUTOMATICA HACOS 1</c:v>
                </c:pt>
                <c:pt idx="1">
                  <c:v>EMP. FLOWPACK 2</c:v>
                </c:pt>
                <c:pt idx="2">
                  <c:v>ENCELOFANADORA ECCOPAC</c:v>
                </c:pt>
                <c:pt idx="3">
                  <c:v>EMP. SACMI</c:v>
                </c:pt>
                <c:pt idx="4">
                  <c:v>LINEA DE COCCION HANSEL</c:v>
                </c:pt>
              </c:strCache>
            </c:strRef>
          </c:cat>
          <c:val>
            <c:numRef>
              <c:f>'TABLA RES-SEMANA'!$D$11:$D$15</c:f>
              <c:numCache>
                <c:formatCode>h:mm;@</c:formatCode>
                <c:ptCount val="5"/>
                <c:pt idx="0">
                  <c:v>0.12291666666666666</c:v>
                </c:pt>
                <c:pt idx="1">
                  <c:v>1.0416666666666666E-2</c:v>
                </c:pt>
                <c:pt idx="3">
                  <c:v>1.3888888888888888E-2</c:v>
                </c:pt>
                <c:pt idx="4">
                  <c:v>2.7083333333333334E-2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7F-4EF0-AC84-CD4FA774F7D9}"/>
            </c:ext>
          </c:extLst>
        </c:ser>
        <c:ser>
          <c:idx val="2"/>
          <c:order val="2"/>
          <c:tx>
            <c:strRef>
              <c:f>'TABLA RES-SEMANA'!$E$9:$E$10</c:f>
              <c:strCache>
                <c:ptCount val="1"/>
                <c:pt idx="0">
                  <c:v>Limpieza</c:v>
                </c:pt>
              </c:strCache>
            </c:strRef>
          </c:tx>
          <c:spPr>
            <a:solidFill>
              <a:srgbClr val="F4565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RES-SEMANA'!$B$11:$B$15</c:f>
              <c:strCache>
                <c:ptCount val="5"/>
                <c:pt idx="0">
                  <c:v>LINEA AUTOMATICA HACOS 1</c:v>
                </c:pt>
                <c:pt idx="1">
                  <c:v>EMP. FLOWPACK 2</c:v>
                </c:pt>
                <c:pt idx="2">
                  <c:v>ENCELOFANADORA ECCOPAC</c:v>
                </c:pt>
                <c:pt idx="3">
                  <c:v>EMP. SACMI</c:v>
                </c:pt>
                <c:pt idx="4">
                  <c:v>LINEA DE COCCION HANSEL</c:v>
                </c:pt>
              </c:strCache>
            </c:strRef>
          </c:cat>
          <c:val>
            <c:numRef>
              <c:f>'TABLA RES-SEMANA'!$E$11:$E$15</c:f>
              <c:numCache>
                <c:formatCode>h:mm;@</c:formatCode>
                <c:ptCount val="5"/>
                <c:pt idx="0">
                  <c:v>4.6527777777777772E-2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7F-4EF0-AC84-CD4FA774F7D9}"/>
            </c:ext>
          </c:extLst>
        </c:ser>
        <c:ser>
          <c:idx val="3"/>
          <c:order val="3"/>
          <c:tx>
            <c:strRef>
              <c:f>'TABLA RES-SEMANA'!$F$9:$F$10</c:f>
              <c:strCache>
                <c:ptCount val="1"/>
                <c:pt idx="0">
                  <c:v>Lubricación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RES-SEMANA'!$B$11:$B$15</c:f>
              <c:strCache>
                <c:ptCount val="5"/>
                <c:pt idx="0">
                  <c:v>LINEA AUTOMATICA HACOS 1</c:v>
                </c:pt>
                <c:pt idx="1">
                  <c:v>EMP. FLOWPACK 2</c:v>
                </c:pt>
                <c:pt idx="2">
                  <c:v>ENCELOFANADORA ECCOPAC</c:v>
                </c:pt>
                <c:pt idx="3">
                  <c:v>EMP. SACMI</c:v>
                </c:pt>
                <c:pt idx="4">
                  <c:v>LINEA DE COCCION HANSEL</c:v>
                </c:pt>
              </c:strCache>
            </c:strRef>
          </c:cat>
          <c:val>
            <c:numRef>
              <c:f>'TABLA RES-SEMANA'!$F$11:$F$15</c:f>
              <c:numCache>
                <c:formatCode>h:mm;@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4-D57F-4EF0-AC84-CD4FA774F7D9}"/>
            </c:ext>
          </c:extLst>
        </c:ser>
        <c:ser>
          <c:idx val="4"/>
          <c:order val="4"/>
          <c:tx>
            <c:strRef>
              <c:f>'TABLA RES-SEMANA'!$G$9:$G$10</c:f>
              <c:strCache>
                <c:ptCount val="1"/>
                <c:pt idx="0">
                  <c:v>SET UP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RES-SEMANA'!$B$11:$B$15</c:f>
              <c:strCache>
                <c:ptCount val="5"/>
                <c:pt idx="0">
                  <c:v>LINEA AUTOMATICA HACOS 1</c:v>
                </c:pt>
                <c:pt idx="1">
                  <c:v>EMP. FLOWPACK 2</c:v>
                </c:pt>
                <c:pt idx="2">
                  <c:v>ENCELOFANADORA ECCOPAC</c:v>
                </c:pt>
                <c:pt idx="3">
                  <c:v>EMP. SACMI</c:v>
                </c:pt>
                <c:pt idx="4">
                  <c:v>LINEA DE COCCION HANSEL</c:v>
                </c:pt>
              </c:strCache>
            </c:strRef>
          </c:cat>
          <c:val>
            <c:numRef>
              <c:f>'TABLA RES-SEMANA'!$G$11:$G$15</c:f>
              <c:numCache>
                <c:formatCode>h:mm;@</c:formatCode>
                <c:ptCount val="5"/>
                <c:pt idx="0">
                  <c:v>0.18124999999999997</c:v>
                </c:pt>
                <c:pt idx="1">
                  <c:v>0.13472222222222222</c:v>
                </c:pt>
                <c:pt idx="2">
                  <c:v>0.15763888888888888</c:v>
                </c:pt>
                <c:pt idx="3">
                  <c:v>5.4166666666666669E-2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57F-4EF0-AC84-CD4FA774F7D9}"/>
            </c:ext>
          </c:extLst>
        </c:ser>
        <c:ser>
          <c:idx val="5"/>
          <c:order val="5"/>
          <c:tx>
            <c:strRef>
              <c:f>'TABLA RES-SEMANA'!$H$9:$H$10</c:f>
              <c:strCache>
                <c:ptCount val="1"/>
                <c:pt idx="0">
                  <c:v>Sustitucion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RES-SEMANA'!$B$11:$B$15</c:f>
              <c:strCache>
                <c:ptCount val="5"/>
                <c:pt idx="0">
                  <c:v>LINEA AUTOMATICA HACOS 1</c:v>
                </c:pt>
                <c:pt idx="1">
                  <c:v>EMP. FLOWPACK 2</c:v>
                </c:pt>
                <c:pt idx="2">
                  <c:v>ENCELOFANADORA ECCOPAC</c:v>
                </c:pt>
                <c:pt idx="3">
                  <c:v>EMP. SACMI</c:v>
                </c:pt>
                <c:pt idx="4">
                  <c:v>LINEA DE COCCION HANSEL</c:v>
                </c:pt>
              </c:strCache>
            </c:strRef>
          </c:cat>
          <c:val>
            <c:numRef>
              <c:f>'TABLA RES-SEMANA'!$H$11:$H$15</c:f>
              <c:numCache>
                <c:formatCode>h:mm;@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07A9-4572-B4C3-71D520EFF145}"/>
            </c:ext>
          </c:extLst>
        </c:ser>
        <c:ser>
          <c:idx val="6"/>
          <c:order val="6"/>
          <c:tx>
            <c:strRef>
              <c:f>'TABLA RES-SEMANA'!$I$9:$I$10</c:f>
              <c:strCache>
                <c:ptCount val="1"/>
                <c:pt idx="0">
                  <c:v>Capacitacion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RES-SEMANA'!$B$11:$B$15</c:f>
              <c:strCache>
                <c:ptCount val="5"/>
                <c:pt idx="0">
                  <c:v>LINEA AUTOMATICA HACOS 1</c:v>
                </c:pt>
                <c:pt idx="1">
                  <c:v>EMP. FLOWPACK 2</c:v>
                </c:pt>
                <c:pt idx="2">
                  <c:v>ENCELOFANADORA ECCOPAC</c:v>
                </c:pt>
                <c:pt idx="3">
                  <c:v>EMP. SACMI</c:v>
                </c:pt>
                <c:pt idx="4">
                  <c:v>LINEA DE COCCION HANSEL</c:v>
                </c:pt>
              </c:strCache>
            </c:strRef>
          </c:cat>
          <c:val>
            <c:numRef>
              <c:f>'TABLA RES-SEMANA'!$I$11:$I$15</c:f>
              <c:numCache>
                <c:formatCode>h:mm;@</c:formatCode>
                <c:ptCount val="5"/>
                <c:pt idx="0">
                  <c:v>6.9444444444444441E-3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A9-4572-B4C3-71D520EFF1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23468815"/>
        <c:axId val="2123465455"/>
      </c:barChart>
      <c:catAx>
        <c:axId val="2123468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23465455"/>
        <c:crosses val="autoZero"/>
        <c:auto val="1"/>
        <c:lblAlgn val="ctr"/>
        <c:lblOffset val="100"/>
        <c:noMultiLvlLbl val="0"/>
      </c:catAx>
      <c:valAx>
        <c:axId val="212346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23468815"/>
        <c:crosses val="autoZero"/>
        <c:crossBetween val="between"/>
        <c:majorUnit val="3.0000000000000006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rgbClr val="C00000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6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[MANTENIMIENTO DIARIO v2..xlsx]TABLA RES-SEMANA!TablaDinámica4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s-ES" sz="3200" b="1">
                <a:solidFill>
                  <a:srgbClr val="002060"/>
                </a:solidFill>
              </a:rPr>
              <a:t>TIEMPO</a:t>
            </a:r>
            <a:r>
              <a:rPr lang="es-ES" sz="3200" b="1" baseline="0">
                <a:solidFill>
                  <a:srgbClr val="002060"/>
                </a:solidFill>
              </a:rPr>
              <a:t> POR TIPO DE ACTIVIDAD EN MAQUINAS</a:t>
            </a:r>
            <a:endParaRPr lang="es-ES" sz="3200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h:mm;@" sourceLinked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h:mm;@" sourceLinked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 RES-SEMANA'!$C$113:$C$114</c:f>
              <c:strCache>
                <c:ptCount val="1"/>
                <c:pt idx="0">
                  <c:v>NO PROGRAMADA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h:mm;@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RES-SEMANA'!$B$115:$B$129</c:f>
              <c:strCache>
                <c:ptCount val="15"/>
                <c:pt idx="0">
                  <c:v>EMP. FLOWPACK 2</c:v>
                </c:pt>
                <c:pt idx="1">
                  <c:v>EMP. SACMI</c:v>
                </c:pt>
                <c:pt idx="2">
                  <c:v>EMP. FLOWPACK 1</c:v>
                </c:pt>
                <c:pt idx="3">
                  <c:v>EMP. 2 - CARLE MONTANARY</c:v>
                </c:pt>
                <c:pt idx="4">
                  <c:v>EMP. 1 - CHOCOTECH</c:v>
                </c:pt>
                <c:pt idx="5">
                  <c:v>1ER PISO</c:v>
                </c:pt>
                <c:pt idx="6">
                  <c:v>EMP. NAPOLITANA</c:v>
                </c:pt>
                <c:pt idx="7">
                  <c:v>TALLER DE MANTENIMIENTO</c:v>
                </c:pt>
                <c:pt idx="8">
                  <c:v>EMP. AMP ROSE</c:v>
                </c:pt>
                <c:pt idx="9">
                  <c:v>LOCAL ANEXO</c:v>
                </c:pt>
                <c:pt idx="10">
                  <c:v>PLANTA INDUSTRIAL</c:v>
                </c:pt>
                <c:pt idx="11">
                  <c:v>RAYOS X 2</c:v>
                </c:pt>
                <c:pt idx="12">
                  <c:v>BARQUILLERA FRANZ HAAZ</c:v>
                </c:pt>
                <c:pt idx="13">
                  <c:v>EMP. SAPAL</c:v>
                </c:pt>
                <c:pt idx="14">
                  <c:v>TOSTADOR PETRONCINI</c:v>
                </c:pt>
              </c:strCache>
            </c:strRef>
          </c:cat>
          <c:val>
            <c:numRef>
              <c:f>'TABLA RES-SEMANA'!$C$115:$C$129</c:f>
              <c:numCache>
                <c:formatCode>[h]:mm</c:formatCode>
                <c:ptCount val="15"/>
                <c:pt idx="0">
                  <c:v>0.13819444444444445</c:v>
                </c:pt>
                <c:pt idx="1">
                  <c:v>2.4305555555555556E-2</c:v>
                </c:pt>
                <c:pt idx="2">
                  <c:v>2.2222222222222223E-2</c:v>
                </c:pt>
                <c:pt idx="3">
                  <c:v>2.0833333333333332E-2</c:v>
                </c:pt>
                <c:pt idx="4">
                  <c:v>1.8055555555555554E-2</c:v>
                </c:pt>
                <c:pt idx="5">
                  <c:v>1.7361111111111112E-2</c:v>
                </c:pt>
                <c:pt idx="6">
                  <c:v>1.5972222222222221E-2</c:v>
                </c:pt>
                <c:pt idx="7">
                  <c:v>1.3888888888888888E-2</c:v>
                </c:pt>
                <c:pt idx="8">
                  <c:v>9.7222222222222224E-3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8-448E-8636-EDDAD281D883}"/>
            </c:ext>
          </c:extLst>
        </c:ser>
        <c:ser>
          <c:idx val="1"/>
          <c:order val="1"/>
          <c:tx>
            <c:strRef>
              <c:f>'TABLA RES-SEMANA'!$D$113:$D$114</c:f>
              <c:strCache>
                <c:ptCount val="1"/>
                <c:pt idx="0">
                  <c:v>PROGRAMADA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h:mm;@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RES-SEMANA'!$B$115:$B$129</c:f>
              <c:strCache>
                <c:ptCount val="15"/>
                <c:pt idx="0">
                  <c:v>EMP. FLOWPACK 2</c:v>
                </c:pt>
                <c:pt idx="1">
                  <c:v>EMP. SACMI</c:v>
                </c:pt>
                <c:pt idx="2">
                  <c:v>EMP. FLOWPACK 1</c:v>
                </c:pt>
                <c:pt idx="3">
                  <c:v>EMP. 2 - CARLE MONTANARY</c:v>
                </c:pt>
                <c:pt idx="4">
                  <c:v>EMP. 1 - CHOCOTECH</c:v>
                </c:pt>
                <c:pt idx="5">
                  <c:v>1ER PISO</c:v>
                </c:pt>
                <c:pt idx="6">
                  <c:v>EMP. NAPOLITANA</c:v>
                </c:pt>
                <c:pt idx="7">
                  <c:v>TALLER DE MANTENIMIENTO</c:v>
                </c:pt>
                <c:pt idx="8">
                  <c:v>EMP. AMP ROSE</c:v>
                </c:pt>
                <c:pt idx="9">
                  <c:v>LOCAL ANEXO</c:v>
                </c:pt>
                <c:pt idx="10">
                  <c:v>PLANTA INDUSTRIAL</c:v>
                </c:pt>
                <c:pt idx="11">
                  <c:v>RAYOS X 2</c:v>
                </c:pt>
                <c:pt idx="12">
                  <c:v>BARQUILLERA FRANZ HAAZ</c:v>
                </c:pt>
                <c:pt idx="13">
                  <c:v>EMP. SAPAL</c:v>
                </c:pt>
                <c:pt idx="14">
                  <c:v>TOSTADOR PETRONCINI</c:v>
                </c:pt>
              </c:strCache>
            </c:strRef>
          </c:cat>
          <c:val>
            <c:numRef>
              <c:f>'TABLA RES-SEMANA'!$D$115:$D$129</c:f>
              <c:numCache>
                <c:formatCode>[h]:mm</c:formatCode>
                <c:ptCount val="15"/>
                <c:pt idx="0">
                  <c:v>0.14513888888888887</c:v>
                </c:pt>
                <c:pt idx="1">
                  <c:v>6.805555555555555E-2</c:v>
                </c:pt>
                <c:pt idx="2">
                  <c:v>4.5138888888888881E-2</c:v>
                </c:pt>
                <c:pt idx="3">
                  <c:v>1.7361111111111112E-2</c:v>
                </c:pt>
                <c:pt idx="7">
                  <c:v>0.11458333333333334</c:v>
                </c:pt>
                <c:pt idx="9">
                  <c:v>3.2638888888888891E-2</c:v>
                </c:pt>
                <c:pt idx="10">
                  <c:v>4.9305555555555561E-2</c:v>
                </c:pt>
                <c:pt idx="11">
                  <c:v>1.5972222222222221E-2</c:v>
                </c:pt>
                <c:pt idx="12">
                  <c:v>5.486111111111111E-2</c:v>
                </c:pt>
                <c:pt idx="13">
                  <c:v>5.9027777777777776E-2</c:v>
                </c:pt>
                <c:pt idx="14">
                  <c:v>1.3888888888888888E-2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78-448E-8636-EDDAD281D8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78470607"/>
        <c:axId val="1078471087"/>
      </c:barChart>
      <c:catAx>
        <c:axId val="1078470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78471087"/>
        <c:crosses val="autoZero"/>
        <c:auto val="1"/>
        <c:lblAlgn val="ctr"/>
        <c:lblOffset val="100"/>
        <c:noMultiLvlLbl val="0"/>
      </c:catAx>
      <c:valAx>
        <c:axId val="107847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;@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784706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rgbClr val="C00000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2000" b="0" i="0" u="none" strike="noStrike" kern="1200" baseline="0">
                <a:ln>
                  <a:noFill/>
                </a:ln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[MANTENIMIENTO DIARIO v2..xlsx]TABLA RES-SEMANA!TablaDinámica5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s-ES" sz="3600" b="1">
                <a:solidFill>
                  <a:srgbClr val="002060"/>
                </a:solidFill>
              </a:rPr>
              <a:t>TIEMPO</a:t>
            </a:r>
            <a:r>
              <a:rPr lang="es-ES" sz="3600" b="1" baseline="0">
                <a:solidFill>
                  <a:srgbClr val="002060"/>
                </a:solidFill>
              </a:rPr>
              <a:t> EN MAQUINAS DE ACUERDO A LA CLASIFICACION DE FALLAS</a:t>
            </a:r>
            <a:endParaRPr lang="es-ES" sz="3600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2800" b="0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2800" b="0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2800" b="0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2800" b="0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607511777922539E-2"/>
          <c:y val="0.19906721476220643"/>
          <c:w val="0.9191637502887523"/>
          <c:h val="0.619146993063422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'TABLA RES-SEMANA'!$T$113:$T$114</c:f>
              <c:strCache>
                <c:ptCount val="1"/>
                <c:pt idx="0">
                  <c:v>ELÉCTRICA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8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RES-SEMANA'!$S$115:$S$129</c:f>
              <c:strCache>
                <c:ptCount val="15"/>
                <c:pt idx="0">
                  <c:v>EMP. FLOWPACK 2</c:v>
                </c:pt>
                <c:pt idx="1">
                  <c:v>LINEA DE COCCION HANSEL</c:v>
                </c:pt>
                <c:pt idx="2">
                  <c:v>FORRADORA AUTOMATICA 03</c:v>
                </c:pt>
                <c:pt idx="3">
                  <c:v>LINEA AUTOMATICA HACOS 2</c:v>
                </c:pt>
                <c:pt idx="4">
                  <c:v>EMP. SACMI</c:v>
                </c:pt>
                <c:pt idx="5">
                  <c:v>EMP. 2 - CARLE MONTANARY</c:v>
                </c:pt>
                <c:pt idx="6">
                  <c:v>ENVASADORA TEPACK</c:v>
                </c:pt>
                <c:pt idx="7">
                  <c:v>EMP. 1 - CHOCOTECH</c:v>
                </c:pt>
                <c:pt idx="8">
                  <c:v>EMP. NAPOLITANA</c:v>
                </c:pt>
                <c:pt idx="9">
                  <c:v>FORRADORA AUTOMATICA 02</c:v>
                </c:pt>
                <c:pt idx="10">
                  <c:v>TALLER DE MANTENIMIENTO</c:v>
                </c:pt>
                <c:pt idx="11">
                  <c:v>EMP. AMP ROSE</c:v>
                </c:pt>
                <c:pt idx="12">
                  <c:v>LINEA AUTOMATICA HACOS 1</c:v>
                </c:pt>
                <c:pt idx="13">
                  <c:v>EMP. FLOWPACK 1</c:v>
                </c:pt>
                <c:pt idx="14">
                  <c:v>1ER PISO</c:v>
                </c:pt>
              </c:strCache>
            </c:strRef>
          </c:cat>
          <c:val>
            <c:numRef>
              <c:f>'TABLA RES-SEMANA'!$T$115:$T$129</c:f>
              <c:numCache>
                <c:formatCode>[h]\.mm</c:formatCode>
                <c:ptCount val="15"/>
                <c:pt idx="13">
                  <c:v>2.2222222222222223E-2</c:v>
                </c:pt>
                <c:pt idx="14">
                  <c:v>1.7361111111111112E-2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B4-476E-80AA-53B8B7C2600E}"/>
            </c:ext>
          </c:extLst>
        </c:ser>
        <c:ser>
          <c:idx val="1"/>
          <c:order val="1"/>
          <c:tx>
            <c:strRef>
              <c:f>'TABLA RES-SEMANA'!$U$113:$U$114</c:f>
              <c:strCache>
                <c:ptCount val="1"/>
                <c:pt idx="0">
                  <c:v>MECÁNICA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8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RES-SEMANA'!$S$115:$S$129</c:f>
              <c:strCache>
                <c:ptCount val="15"/>
                <c:pt idx="0">
                  <c:v>EMP. FLOWPACK 2</c:v>
                </c:pt>
                <c:pt idx="1">
                  <c:v>LINEA DE COCCION HANSEL</c:v>
                </c:pt>
                <c:pt idx="2">
                  <c:v>FORRADORA AUTOMATICA 03</c:v>
                </c:pt>
                <c:pt idx="3">
                  <c:v>LINEA AUTOMATICA HACOS 2</c:v>
                </c:pt>
                <c:pt idx="4">
                  <c:v>EMP. SACMI</c:v>
                </c:pt>
                <c:pt idx="5">
                  <c:v>EMP. 2 - CARLE MONTANARY</c:v>
                </c:pt>
                <c:pt idx="6">
                  <c:v>ENVASADORA TEPACK</c:v>
                </c:pt>
                <c:pt idx="7">
                  <c:v>EMP. 1 - CHOCOTECH</c:v>
                </c:pt>
                <c:pt idx="8">
                  <c:v>EMP. NAPOLITANA</c:v>
                </c:pt>
                <c:pt idx="9">
                  <c:v>FORRADORA AUTOMATICA 02</c:v>
                </c:pt>
                <c:pt idx="10">
                  <c:v>TALLER DE MANTENIMIENTO</c:v>
                </c:pt>
                <c:pt idx="11">
                  <c:v>EMP. AMP ROSE</c:v>
                </c:pt>
                <c:pt idx="12">
                  <c:v>LINEA AUTOMATICA HACOS 1</c:v>
                </c:pt>
                <c:pt idx="13">
                  <c:v>EMP. FLOWPACK 1</c:v>
                </c:pt>
                <c:pt idx="14">
                  <c:v>1ER PISO</c:v>
                </c:pt>
              </c:strCache>
            </c:strRef>
          </c:cat>
          <c:val>
            <c:numRef>
              <c:f>'TABLA RES-SEMANA'!$U$115:$U$129</c:f>
              <c:numCache>
                <c:formatCode>[h]\.mm</c:formatCode>
                <c:ptCount val="15"/>
                <c:pt idx="0">
                  <c:v>0.13819444444444445</c:v>
                </c:pt>
                <c:pt idx="1">
                  <c:v>5.9027777777777776E-2</c:v>
                </c:pt>
                <c:pt idx="2">
                  <c:v>5.5555555555555559E-2</c:v>
                </c:pt>
                <c:pt idx="3">
                  <c:v>5.2083333333333336E-2</c:v>
                </c:pt>
                <c:pt idx="4">
                  <c:v>2.4305555555555556E-2</c:v>
                </c:pt>
                <c:pt idx="5">
                  <c:v>2.0833333333333332E-2</c:v>
                </c:pt>
                <c:pt idx="6">
                  <c:v>2.013888888888889E-2</c:v>
                </c:pt>
                <c:pt idx="7">
                  <c:v>1.8055555555555554E-2</c:v>
                </c:pt>
                <c:pt idx="8">
                  <c:v>1.5972222222222221E-2</c:v>
                </c:pt>
                <c:pt idx="9">
                  <c:v>1.4583333333333334E-2</c:v>
                </c:pt>
                <c:pt idx="10">
                  <c:v>1.3888888888888888E-2</c:v>
                </c:pt>
                <c:pt idx="11">
                  <c:v>9.7222222222222224E-3</c:v>
                </c:pt>
                <c:pt idx="12">
                  <c:v>6.2500000000000003E-3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06-45D8-B1E2-E43F1BC97B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05225855"/>
        <c:axId val="1805224895"/>
      </c:barChart>
      <c:catAx>
        <c:axId val="1805225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05224895"/>
        <c:crosses val="autoZero"/>
        <c:auto val="1"/>
        <c:lblAlgn val="ctr"/>
        <c:lblOffset val="100"/>
        <c:noMultiLvlLbl val="0"/>
      </c:catAx>
      <c:valAx>
        <c:axId val="180522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h]\.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05225855"/>
        <c:crosses val="autoZero"/>
        <c:crossBetween val="between"/>
        <c:majorUnit val="2.5000000000000005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rgbClr val="C00000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8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[MANTENIMIENTO DIARIO v2..xlsx]TABLA RES-SEMANA!TablaDinámica3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sz="3600" b="1">
                <a:solidFill>
                  <a:srgbClr val="002060"/>
                </a:solidFill>
              </a:rPr>
              <a:t>TIEMPO</a:t>
            </a:r>
            <a:r>
              <a:rPr lang="en-US" sz="3600" b="1" baseline="0">
                <a:solidFill>
                  <a:srgbClr val="002060"/>
                </a:solidFill>
              </a:rPr>
              <a:t> TOTAL EN MAQUINAS DE ACUERDO A LA CLASIFICACION DE FALLAS</a:t>
            </a:r>
            <a:endParaRPr lang="en-US" sz="3600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4800" b="0" i="0" u="none" strike="noStrike" kern="1200" baseline="0">
                  <a:solidFill>
                    <a:schemeClr val="bg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206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6692227671497967"/>
              <c:y val="0.1692520082913148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4800" b="0" i="0" u="none" strike="noStrike" kern="1200" baseline="0">
                  <a:solidFill>
                    <a:schemeClr val="bg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layout>
                <c:manualLayout>
                  <c:w val="0.28587958846006672"/>
                  <c:h val="0.16949264936815472"/>
                </c:manualLayout>
              </c15:layout>
            </c:ext>
          </c:extLst>
        </c:dLbl>
      </c:pivotFmt>
      <c:pivotFmt>
        <c:idx val="2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2182391798276808"/>
              <c:y val="-0.1231575866114213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4800" b="0" i="0" u="none" strike="noStrike" kern="1200" baseline="0">
                  <a:solidFill>
                    <a:schemeClr val="bg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layout>
                <c:manualLayout>
                  <c:w val="0.30169757527742291"/>
                  <c:h val="0.19105886253689477"/>
                </c:manualLayout>
              </c15:layout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200" b="0" i="0" u="none" strike="noStrike" kern="1200" baseline="0">
                  <a:solidFill>
                    <a:schemeClr val="bg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206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5856359472923021"/>
              <c:y val="0.22874437259912048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7200" b="0" i="0" u="none" strike="noStrike" kern="1200" baseline="0">
                    <a:solidFill>
                      <a:schemeClr val="bg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931EC3E-49A8-41A2-98FF-9AB218A4BDBD}" type="VALUE">
                  <a:rPr lang="en-US" sz="3600"/>
                  <a:pPr>
                    <a:defRPr sz="7200">
                      <a:solidFill>
                        <a:schemeClr val="bg1">
                          <a:lumMod val="85000"/>
                        </a:schemeClr>
                      </a:solidFill>
                    </a:defRPr>
                  </a:pPr>
                  <a:t>[]</a:t>
                </a:fld>
                <a:r>
                  <a:rPr lang="en-US" sz="3600" baseline="0"/>
                  <a:t> </a:t>
                </a:r>
              </a:p>
              <a:p>
                <a:pPr>
                  <a:defRPr sz="7200">
                    <a:solidFill>
                      <a:schemeClr val="bg1">
                        <a:lumMod val="85000"/>
                      </a:schemeClr>
                    </a:solidFill>
                  </a:defRPr>
                </a:pPr>
                <a:fld id="{89AFA0F2-C0AD-4265-B1A5-50E45EF71169}" type="PERCENTAGE">
                  <a:rPr lang="en-US" sz="3600" baseline="0"/>
                  <a:pPr>
                    <a:defRPr sz="7200">
                      <a:solidFill>
                        <a:schemeClr val="bg1">
                          <a:lumMod val="85000"/>
                        </a:schemeClr>
                      </a:solidFill>
                    </a:defRPr>
                  </a:pPr>
                  <a:t>[]</a:t>
                </a:fld>
                <a:endParaRPr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7200" b="0" i="0" u="none" strike="noStrike" kern="1200" baseline="0">
                  <a:solidFill>
                    <a:schemeClr val="bg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layout>
                <c:manualLayout>
                  <c:w val="0.13728115233267674"/>
                  <c:h val="0.28125737224023467"/>
                </c:manualLayout>
              </c15:layout>
              <c15:dlblFieldTable/>
              <c15:showDataLabelsRange val="0"/>
            </c:ext>
          </c:extLst>
        </c:dLbl>
      </c:pivotFmt>
      <c:pivotFmt>
        <c:idx val="6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829810191790936"/>
              <c:y val="-0.20453018372703419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7200" b="0" i="0" u="none" strike="noStrike" kern="1200" baseline="0">
                    <a:solidFill>
                      <a:schemeClr val="bg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163A304-AED6-45C2-A664-4F46EFC8C674}" type="VALUE">
                  <a:rPr lang="en-US" sz="3600"/>
                  <a:pPr>
                    <a:defRPr sz="7200">
                      <a:solidFill>
                        <a:schemeClr val="bg1">
                          <a:lumMod val="85000"/>
                        </a:schemeClr>
                      </a:solidFill>
                    </a:defRPr>
                  </a:pPr>
                  <a:t>[]</a:t>
                </a:fld>
                <a:r>
                  <a:rPr lang="en-US" sz="3600" baseline="0"/>
                  <a:t> </a:t>
                </a:r>
              </a:p>
              <a:p>
                <a:pPr>
                  <a:defRPr sz="7200">
                    <a:solidFill>
                      <a:schemeClr val="bg1">
                        <a:lumMod val="85000"/>
                      </a:schemeClr>
                    </a:solidFill>
                  </a:defRPr>
                </a:pPr>
                <a:fld id="{1E97F63B-21FB-41A9-9B79-BD11A47CB5BE}" type="PERCENTAGE">
                  <a:rPr lang="en-US" sz="3600" baseline="0"/>
                  <a:pPr>
                    <a:defRPr sz="7200">
                      <a:solidFill>
                        <a:schemeClr val="bg1">
                          <a:lumMod val="85000"/>
                        </a:schemeClr>
                      </a:solidFill>
                    </a:defRPr>
                  </a:pPr>
                  <a:t>[]</a:t>
                </a:fld>
                <a:endParaRPr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7200" b="0" i="0" u="none" strike="noStrike" kern="1200" baseline="0">
                  <a:solidFill>
                    <a:schemeClr val="bg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layout>
                <c:manualLayout>
                  <c:w val="0.18011697262490833"/>
                  <c:h val="0.28713725490196079"/>
                </c:manualLayout>
              </c15:layout>
              <c15:dlblFieldTable/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'TABLA RES-SEMANA'!$AA$113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A2E-4CF8-95A8-29DEC3199454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A2E-4CF8-95A8-29DEC3199454}"/>
              </c:ext>
            </c:extLst>
          </c:dPt>
          <c:dLbls>
            <c:dLbl>
              <c:idx val="0"/>
              <c:layout>
                <c:manualLayout>
                  <c:x val="-0.15856359472923021"/>
                  <c:y val="0.2287443725991204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7200" b="0" i="0" u="none" strike="noStrike" kern="1200" baseline="0">
                        <a:solidFill>
                          <a:schemeClr val="bg1">
                            <a:lumMod val="8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931EC3E-49A8-41A2-98FF-9AB218A4BDBD}" type="VALUE">
                      <a:rPr lang="en-US" sz="3600"/>
                      <a:pPr>
                        <a:defRPr sz="7200">
                          <a:solidFill>
                            <a:schemeClr val="bg1">
                              <a:lumMod val="85000"/>
                            </a:schemeClr>
                          </a:solidFill>
                        </a:defRPr>
                      </a:pPr>
                      <a:t>[]</a:t>
                    </a:fld>
                    <a:r>
                      <a:rPr lang="en-US" sz="3600" baseline="0"/>
                      <a:t> </a:t>
                    </a:r>
                  </a:p>
                  <a:p>
                    <a:pPr>
                      <a:defRPr sz="7200">
                        <a:solidFill>
                          <a:schemeClr val="bg1">
                            <a:lumMod val="85000"/>
                          </a:schemeClr>
                        </a:solidFill>
                      </a:defRPr>
                    </a:pPr>
                    <a:fld id="{89AFA0F2-C0AD-4265-B1A5-50E45EF71169}" type="PERCENTAGE">
                      <a:rPr lang="en-US" sz="3600" baseline="0"/>
                      <a:pPr>
                        <a:defRPr sz="7200">
                          <a:solidFill>
                            <a:schemeClr val="bg1">
                              <a:lumMod val="85000"/>
                            </a:schemeClr>
                          </a:solidFill>
                        </a:defRPr>
                      </a:pPr>
                      <a:t>[]</a:t>
                    </a:fld>
                    <a:endParaRPr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7200" b="0" i="0" u="none" strike="noStrike" kern="1200" baseline="0">
                      <a:solidFill>
                        <a:schemeClr val="bg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3728115233267674"/>
                      <c:h val="0.2812573722402346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EA2E-4CF8-95A8-29DEC3199454}"/>
                </c:ext>
              </c:extLst>
            </c:dLbl>
            <c:dLbl>
              <c:idx val="1"/>
              <c:layout>
                <c:manualLayout>
                  <c:x val="0.15829810191790936"/>
                  <c:y val="-0.2045301837270341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7200" b="0" i="0" u="none" strike="noStrike" kern="1200" baseline="0">
                        <a:solidFill>
                          <a:schemeClr val="bg1">
                            <a:lumMod val="8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163A304-AED6-45C2-A664-4F46EFC8C674}" type="VALUE">
                      <a:rPr lang="en-US" sz="3600"/>
                      <a:pPr>
                        <a:defRPr sz="7200">
                          <a:solidFill>
                            <a:schemeClr val="bg1">
                              <a:lumMod val="85000"/>
                            </a:schemeClr>
                          </a:solidFill>
                        </a:defRPr>
                      </a:pPr>
                      <a:t>[]</a:t>
                    </a:fld>
                    <a:r>
                      <a:rPr lang="en-US" sz="3600" baseline="0"/>
                      <a:t> </a:t>
                    </a:r>
                  </a:p>
                  <a:p>
                    <a:pPr>
                      <a:defRPr sz="7200">
                        <a:solidFill>
                          <a:schemeClr val="bg1">
                            <a:lumMod val="85000"/>
                          </a:schemeClr>
                        </a:solidFill>
                      </a:defRPr>
                    </a:pPr>
                    <a:fld id="{1E97F63B-21FB-41A9-9B79-BD11A47CB5BE}" type="PERCENTAGE">
                      <a:rPr lang="en-US" sz="3600" baseline="0"/>
                      <a:pPr>
                        <a:defRPr sz="7200">
                          <a:solidFill>
                            <a:schemeClr val="bg1">
                              <a:lumMod val="85000"/>
                            </a:schemeClr>
                          </a:solidFill>
                        </a:defRPr>
                      </a:pPr>
                      <a:t>[]</a:t>
                    </a:fld>
                    <a:endParaRPr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7200" b="0" i="0" u="none" strike="noStrike" kern="1200" baseline="0">
                      <a:solidFill>
                        <a:schemeClr val="bg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8011697262490833"/>
                      <c:h val="0.2871372549019607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EA2E-4CF8-95A8-29DEC31994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200" b="0" i="0" u="none" strike="noStrike" kern="1200" baseline="0">
                    <a:solidFill>
                      <a:schemeClr val="bg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 RES-SEMANA'!$Z$114:$Z$115</c:f>
              <c:strCache>
                <c:ptCount val="2"/>
                <c:pt idx="0">
                  <c:v>ELÉCTRICA</c:v>
                </c:pt>
                <c:pt idx="1">
                  <c:v>MECÁNICA</c:v>
                </c:pt>
              </c:strCache>
            </c:strRef>
          </c:cat>
          <c:val>
            <c:numRef>
              <c:f>'TABLA RES-SEMANA'!$AA$114:$AA$115</c:f>
              <c:numCache>
                <c:formatCode>h:mm;@</c:formatCode>
                <c:ptCount val="2"/>
                <c:pt idx="0">
                  <c:v>3.9583333333333331E-2</c:v>
                </c:pt>
                <c:pt idx="1">
                  <c:v>0.44861111111111113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2E-4CF8-95A8-29DEC3199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9886635726154167"/>
          <c:y val="0.89516067533350918"/>
          <c:w val="0.54567326544073869"/>
          <c:h val="6.42419991097068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[MANTENIMIENTO DIARIO v2..xlsx]TABLA RES-SEMANA!TablaDinámica2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sz="3600" b="1">
                <a:solidFill>
                  <a:srgbClr val="002060"/>
                </a:solidFill>
              </a:rPr>
              <a:t>TIEMPO TOTAL POR TIPO DE ACTIVIDADE EN MAQUINA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48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3624251032746507"/>
              <c:y val="-0.18441938752413378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48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7E647E6-F9B4-48B0-8612-8D1ADF96E124}" type="VALUE">
                  <a:rPr lang="en-US"/>
                  <a:pPr>
                    <a:defRPr sz="4800">
                      <a:solidFill>
                        <a:schemeClr val="bg1">
                          <a:lumMod val="95000"/>
                        </a:schemeClr>
                      </a:solidFill>
                    </a:defRPr>
                  </a:pPr>
                  <a:t>[]</a:t>
                </a:fld>
                <a:r>
                  <a:rPr lang="en-US" baseline="0"/>
                  <a:t> </a:t>
                </a:r>
              </a:p>
              <a:p>
                <a:pPr>
                  <a:defRPr sz="4800">
                    <a:solidFill>
                      <a:schemeClr val="bg1">
                        <a:lumMod val="95000"/>
                      </a:schemeClr>
                    </a:solidFill>
                  </a:defRPr>
                </a:pPr>
                <a:fld id="{567FA19B-10EF-4BA4-BA93-665D31F6D679}" type="PERCENTAGE">
                  <a:rPr lang="en-US" baseline="0"/>
                  <a:pPr>
                    <a:defRPr sz="4800">
                      <a:solidFill>
                        <a:schemeClr val="bg1">
                          <a:lumMod val="95000"/>
                        </a:schemeClr>
                      </a:solidFill>
                    </a:defRPr>
                  </a:pPr>
                  <a:t>[]</a:t>
                </a:fld>
                <a:endParaRPr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48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layout>
                <c:manualLayout>
                  <c:w val="0.25010918526825016"/>
                  <c:h val="0.21538365739996787"/>
                </c:manualLayout>
              </c15:layout>
              <c15:dlblFieldTable/>
              <c15:showDataLabelsRange val="0"/>
            </c:ext>
          </c:extLst>
        </c:dLbl>
      </c:pivotFmt>
      <c:pivotFmt>
        <c:idx val="2"/>
        <c:spPr>
          <a:solidFill>
            <a:srgbClr val="00206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1733221735904373"/>
              <c:y val="0.14173062455996507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48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78B9BB5-1500-4171-B0B1-2F1229452AD3}" type="VALUE">
                  <a:rPr lang="en-US"/>
                  <a:pPr>
                    <a:defRPr sz="4800">
                      <a:solidFill>
                        <a:schemeClr val="bg1">
                          <a:lumMod val="95000"/>
                        </a:schemeClr>
                      </a:solidFill>
                    </a:defRPr>
                  </a:pPr>
                  <a:t>[]</a:t>
                </a:fld>
                <a:r>
                  <a:rPr lang="en-US" baseline="0"/>
                  <a:t> </a:t>
                </a:r>
              </a:p>
              <a:p>
                <a:pPr>
                  <a:defRPr sz="4800">
                    <a:solidFill>
                      <a:schemeClr val="bg1">
                        <a:lumMod val="95000"/>
                      </a:schemeClr>
                    </a:solidFill>
                  </a:defRPr>
                </a:pPr>
                <a:fld id="{1F319AB0-BBA4-4299-91E5-7D1D11A69538}" type="PERCENTAGE">
                  <a:rPr lang="en-US" baseline="0"/>
                  <a:pPr>
                    <a:defRPr sz="4800">
                      <a:solidFill>
                        <a:schemeClr val="bg1">
                          <a:lumMod val="95000"/>
                        </a:schemeClr>
                      </a:solidFill>
                    </a:defRPr>
                  </a:pPr>
                  <a:t>[]</a:t>
                </a:fld>
                <a:endParaRPr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48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layout>
                <c:manualLayout>
                  <c:w val="0.25776085721243608"/>
                  <c:h val="0.17441376333809111"/>
                </c:manualLayout>
              </c15:layout>
              <c15:dlblFieldTable/>
              <c15:showDataLabelsRange val="0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'TABLA RES-SEMANA'!$I$113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CA7-4CE8-80F5-1C632A6F8EA7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CA7-4CE8-80F5-1C632A6F8EA7}"/>
              </c:ext>
            </c:extLst>
          </c:dPt>
          <c:dLbls>
            <c:dLbl>
              <c:idx val="0"/>
              <c:layout>
                <c:manualLayout>
                  <c:x val="-0.21733221735904373"/>
                  <c:y val="0.1417306245599650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4800" b="0" i="0" u="none" strike="noStrike" kern="1200" baseline="0">
                        <a:solidFill>
                          <a:schemeClr val="bg1">
                            <a:lumMod val="9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78B9BB5-1500-4171-B0B1-2F1229452AD3}" type="VALUE">
                      <a:rPr lang="en-US"/>
                      <a:pPr>
                        <a:defRPr sz="4800">
                          <a:solidFill>
                            <a:schemeClr val="bg1">
                              <a:lumMod val="95000"/>
                            </a:schemeClr>
                          </a:solidFill>
                        </a:defRPr>
                      </a:pPr>
                      <a:t>[]</a:t>
                    </a:fld>
                    <a:r>
                      <a:rPr lang="en-US" baseline="0"/>
                      <a:t> </a:t>
                    </a:r>
                  </a:p>
                  <a:p>
                    <a:pPr>
                      <a:defRPr sz="4800">
                        <a:solidFill>
                          <a:schemeClr val="bg1">
                            <a:lumMod val="95000"/>
                          </a:schemeClr>
                        </a:solidFill>
                      </a:defRPr>
                    </a:pPr>
                    <a:fld id="{1F319AB0-BBA4-4299-91E5-7D1D11A69538}" type="PERCENTAGE">
                      <a:rPr lang="en-US" baseline="0"/>
                      <a:pPr>
                        <a:defRPr sz="4800">
                          <a:solidFill>
                            <a:schemeClr val="bg1">
                              <a:lumMod val="95000"/>
                            </a:schemeClr>
                          </a:solidFill>
                        </a:defRPr>
                      </a:pPr>
                      <a:t>[]</a:t>
                    </a:fld>
                    <a:endParaRPr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4800" b="0" i="0" u="none" strike="noStrike" kern="1200" baseline="0">
                      <a:solidFill>
                        <a:schemeClr val="bg1">
                          <a:lumMod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776085721243608"/>
                      <c:h val="0.1744137633380911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0CA7-4CE8-80F5-1C632A6F8EA7}"/>
                </c:ext>
              </c:extLst>
            </c:dLbl>
            <c:dLbl>
              <c:idx val="1"/>
              <c:layout>
                <c:manualLayout>
                  <c:x val="0.23624251032746507"/>
                  <c:y val="-0.1844193875241337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4800" b="0" i="0" u="none" strike="noStrike" kern="1200" baseline="0">
                        <a:solidFill>
                          <a:schemeClr val="bg1">
                            <a:lumMod val="9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7E647E6-F9B4-48B0-8612-8D1ADF96E124}" type="VALUE">
                      <a:rPr lang="en-US"/>
                      <a:pPr>
                        <a:defRPr sz="4800">
                          <a:solidFill>
                            <a:schemeClr val="bg1">
                              <a:lumMod val="95000"/>
                            </a:schemeClr>
                          </a:solidFill>
                        </a:defRPr>
                      </a:pPr>
                      <a:t>[]</a:t>
                    </a:fld>
                    <a:r>
                      <a:rPr lang="en-US" baseline="0"/>
                      <a:t> </a:t>
                    </a:r>
                  </a:p>
                  <a:p>
                    <a:pPr>
                      <a:defRPr sz="4800">
                        <a:solidFill>
                          <a:schemeClr val="bg1">
                            <a:lumMod val="95000"/>
                          </a:schemeClr>
                        </a:solidFill>
                      </a:defRPr>
                    </a:pPr>
                    <a:fld id="{567FA19B-10EF-4BA4-BA93-665D31F6D679}" type="PERCENTAGE">
                      <a:rPr lang="en-US" baseline="0"/>
                      <a:pPr>
                        <a:defRPr sz="4800">
                          <a:solidFill>
                            <a:schemeClr val="bg1">
                              <a:lumMod val="95000"/>
                            </a:schemeClr>
                          </a:solidFill>
                        </a:defRPr>
                      </a:pPr>
                      <a:t>[]</a:t>
                    </a:fld>
                    <a:endParaRPr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4800" b="0" i="0" u="none" strike="noStrike" kern="1200" baseline="0">
                      <a:solidFill>
                        <a:schemeClr val="bg1">
                          <a:lumMod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010918526825016"/>
                      <c:h val="0.2153836573999678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0CA7-4CE8-80F5-1C632A6F8E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48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 RES-SEMANA'!$H$114:$H$115</c:f>
              <c:strCache>
                <c:ptCount val="2"/>
                <c:pt idx="0">
                  <c:v>NO PROGRAMADA</c:v>
                </c:pt>
                <c:pt idx="1">
                  <c:v>PROGRAMADA</c:v>
                </c:pt>
              </c:strCache>
            </c:strRef>
          </c:cat>
          <c:val>
            <c:numRef>
              <c:f>'TABLA RES-SEMANA'!$I$114:$I$115</c:f>
              <c:numCache>
                <c:formatCode>h:mm;@</c:formatCode>
                <c:ptCount val="2"/>
                <c:pt idx="0">
                  <c:v>0.48819444444444449</c:v>
                </c:pt>
                <c:pt idx="1">
                  <c:v>1.5243055555555556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55-4F89-8853-CC0A9D587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016347445638586E-2"/>
          <c:y val="0.843580099680591"/>
          <c:w val="0.80378348799576027"/>
          <c:h val="6.0709898765025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[MANTENIMIENTO DIARIO v2..xlsx]PRES. ORIG.!TablaDinámica67</c:name>
    <c:fmtId val="5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PROGRAMADO VS NO PROGRAMADO</a:t>
            </a:r>
          </a:p>
        </c:rich>
      </c:tx>
      <c:layout>
        <c:manualLayout>
          <c:xMode val="edge"/>
          <c:yMode val="edge"/>
          <c:x val="0.28811462269027766"/>
          <c:y val="3.17286170714248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206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00206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002060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002060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002060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002060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002060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002060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00206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0536093922560437"/>
          <c:y val="0.13861212823372923"/>
          <c:w val="0.31166422458014564"/>
          <c:h val="0.82899812269292594"/>
        </c:manualLayout>
      </c:layout>
      <c:doughnutChart>
        <c:varyColors val="1"/>
        <c:ser>
          <c:idx val="0"/>
          <c:order val="0"/>
          <c:tx>
            <c:strRef>
              <c:f>'PRES. ORIG.'!$W$24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36-4B23-B39D-86119AD457DF}"/>
              </c:ext>
            </c:extLst>
          </c:dPt>
          <c:dPt>
            <c:idx val="1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36-4B23-B39D-86119AD457DF}"/>
              </c:ext>
            </c:extLst>
          </c:dPt>
          <c:cat>
            <c:strRef>
              <c:f>'PRES. ORIG.'!$V$25:$V$26</c:f>
              <c:strCache>
                <c:ptCount val="2"/>
                <c:pt idx="0">
                  <c:v>NO PROGRAMADA</c:v>
                </c:pt>
                <c:pt idx="1">
                  <c:v>PROGRAMADA</c:v>
                </c:pt>
              </c:strCache>
            </c:strRef>
          </c:cat>
          <c:val>
            <c:numRef>
              <c:f>'PRES. ORIG.'!$W$25:$W$26</c:f>
              <c:numCache>
                <c:formatCode>h:mm;@</c:formatCode>
                <c:ptCount val="2"/>
                <c:pt idx="0">
                  <c:v>0.05</c:v>
                </c:pt>
                <c:pt idx="1">
                  <c:v>0.10277777777777777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36-4B23-B39D-86119AD45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cap="sq">
          <a:solidFill>
            <a:schemeClr val="bg1">
              <a:lumMod val="95000"/>
            </a:schemeClr>
          </a:solidFill>
          <a:bevel/>
        </a:ln>
        <a:effectLst/>
      </c:spPr>
    </c:plotArea>
    <c:plotVisOnly val="1"/>
    <c:dispBlanksAs val="gap"/>
    <c:showDLblsOverMax val="0"/>
    <c:extLst/>
  </c:chart>
  <c:spPr>
    <a:solidFill>
      <a:schemeClr val="bg1">
        <a:lumMod val="95000"/>
      </a:schemeClr>
    </a:solidFill>
    <a:ln w="9525" cap="rnd" cmpd="sng" algn="ctr">
      <a:solidFill>
        <a:schemeClr val="tx1">
          <a:lumMod val="15000"/>
          <a:lumOff val="85000"/>
        </a:schemeClr>
      </a:solidFill>
      <a:miter lim="800000"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[MANTENIMIENTO DIARIO v2..xlsx]TABLA-DIA!TablaDinámica8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accent3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2400" b="1">
                <a:solidFill>
                  <a:schemeClr val="accent3">
                    <a:lumMod val="50000"/>
                  </a:schemeClr>
                </a:solidFill>
                <a:latin typeface="+mn-lt"/>
              </a:rPr>
              <a:t>ACUMULADO DE CANTIDAD DE FALLAS POR SEMANA</a:t>
            </a:r>
          </a:p>
        </c:rich>
      </c:tx>
      <c:layout>
        <c:manualLayout>
          <c:xMode val="edge"/>
          <c:yMode val="edge"/>
          <c:x val="0.31199765148270303"/>
          <c:y val="2.11687824736193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accent3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75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lumMod val="75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>
              <a:lumMod val="75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lumMod val="75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>
              <a:lumMod val="75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002060"/>
          </a:solidFill>
          <a:ln>
            <a:solidFill>
              <a:srgbClr val="00206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0000"/>
          </a:solidFill>
          <a:ln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3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3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3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3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3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3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'TABLA-DIA'!$M$69:$M$71</c:f>
              <c:strCache>
                <c:ptCount val="1"/>
                <c:pt idx="0">
                  <c:v>NO PROGRAMADA - ELÉCTRICA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'TABLA-DIA'!$L$72:$L$79</c:f>
              <c:strCache>
                <c:ptCount val="8"/>
                <c:pt idx="0">
                  <c:v>1ER PISO</c:v>
                </c:pt>
                <c:pt idx="1">
                  <c:v>CORTADORA DE TURRON</c:v>
                </c:pt>
                <c:pt idx="2">
                  <c:v>EMP. 2 - CARLE MONTANARY</c:v>
                </c:pt>
                <c:pt idx="3">
                  <c:v>EMP. SACMI</c:v>
                </c:pt>
                <c:pt idx="4">
                  <c:v>ENCELOFANADORA ECCOPAC</c:v>
                </c:pt>
                <c:pt idx="5">
                  <c:v>LINEA AUTOMATICA HACOS 1</c:v>
                </c:pt>
                <c:pt idx="6">
                  <c:v>RAYOS X 2</c:v>
                </c:pt>
                <c:pt idx="7">
                  <c:v>TEMPERADORA CHOCOLATIER</c:v>
                </c:pt>
              </c:strCache>
            </c:strRef>
          </c:cat>
          <c:val>
            <c:numRef>
              <c:f>'TABLA-DIA'!$M$72:$M$79</c:f>
              <c:numCache>
                <c:formatCode>General</c:formatCode>
                <c:ptCount val="8"/>
                <c:pt idx="0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1C-406F-8D9B-18E930D7B45A}"/>
            </c:ext>
          </c:extLst>
        </c:ser>
        <c:ser>
          <c:idx val="1"/>
          <c:order val="1"/>
          <c:tx>
            <c:strRef>
              <c:f>'TABLA-DIA'!$N$69:$N$71</c:f>
              <c:strCache>
                <c:ptCount val="1"/>
                <c:pt idx="0">
                  <c:v>NO PROGRAMADA - MECÁNICA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'TABLA-DIA'!$L$72:$L$79</c:f>
              <c:strCache>
                <c:ptCount val="8"/>
                <c:pt idx="0">
                  <c:v>1ER PISO</c:v>
                </c:pt>
                <c:pt idx="1">
                  <c:v>CORTADORA DE TURRON</c:v>
                </c:pt>
                <c:pt idx="2">
                  <c:v>EMP. 2 - CARLE MONTANARY</c:v>
                </c:pt>
                <c:pt idx="3">
                  <c:v>EMP. SACMI</c:v>
                </c:pt>
                <c:pt idx="4">
                  <c:v>ENCELOFANADORA ECCOPAC</c:v>
                </c:pt>
                <c:pt idx="5">
                  <c:v>LINEA AUTOMATICA HACOS 1</c:v>
                </c:pt>
                <c:pt idx="6">
                  <c:v>RAYOS X 2</c:v>
                </c:pt>
                <c:pt idx="7">
                  <c:v>TEMPERADORA CHOCOLATIER</c:v>
                </c:pt>
              </c:strCache>
            </c:strRef>
          </c:cat>
          <c:val>
            <c:numRef>
              <c:f>'TABLA-DIA'!$N$72:$N$79</c:f>
              <c:numCache>
                <c:formatCode>General</c:formatCode>
                <c:ptCount val="8"/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1C-406F-8D9B-18E930D7B45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83151839"/>
        <c:axId val="1283154719"/>
      </c:barChart>
      <c:catAx>
        <c:axId val="1283151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83154719"/>
        <c:crosses val="autoZero"/>
        <c:auto val="1"/>
        <c:lblAlgn val="ctr"/>
        <c:lblOffset val="100"/>
        <c:noMultiLvlLbl val="0"/>
      </c:catAx>
      <c:valAx>
        <c:axId val="128315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83151839"/>
        <c:crosses val="autoZero"/>
        <c:crossBetween val="between"/>
      </c:valAx>
      <c:spPr>
        <a:noFill/>
        <a:ln w="12700">
          <a:solidFill>
            <a:schemeClr val="bg1"/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2400" b="1"/>
              <a:t>PARETO</a:t>
            </a:r>
            <a:r>
              <a:rPr lang="es-PE" sz="2400" b="1" baseline="0"/>
              <a:t> DE TIEMPO DE ACT. NO PROGRAMADA POR EQUIPO</a:t>
            </a:r>
            <a:endParaRPr lang="es-PE" sz="2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0.13151009589738241"/>
          <c:y val="6.3531002212008678E-2"/>
          <c:w val="0.86848990410261762"/>
          <c:h val="0.7078133194021690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b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'PRES. ORIG.'!$P$26:$P$35</c:f>
              <c:strCache>
                <c:ptCount val="4"/>
                <c:pt idx="0">
                  <c:v>EMP. SACMI</c:v>
                </c:pt>
                <c:pt idx="1">
                  <c:v>CORTADORA DE TURRON</c:v>
                </c:pt>
                <c:pt idx="2">
                  <c:v>TEMPERADORA CHOCOLATIER</c:v>
                </c:pt>
                <c:pt idx="3">
                  <c:v>RAYOS X 2</c:v>
                </c:pt>
              </c:strCache>
            </c:strRef>
          </c:cat>
          <c:val>
            <c:numRef>
              <c:f>'PRES. ORIG.'!$R$26:$R$35</c:f>
              <c:numCache>
                <c:formatCode>0.00</c:formatCode>
                <c:ptCount val="10"/>
                <c:pt idx="0">
                  <c:v>0.4</c:v>
                </c:pt>
                <c:pt idx="1">
                  <c:v>0.30000000000000004</c:v>
                </c:pt>
                <c:pt idx="2">
                  <c:v>0.25</c:v>
                </c:pt>
                <c:pt idx="3">
                  <c:v>0.25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11-4AF4-946B-2A909DA18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0069808"/>
        <c:axId val="175007460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'PRES. ORIG.'!$S$25</c15:sqref>
                        </c15:formulaRef>
                      </c:ext>
                    </c:extLst>
                    <c:strCache>
                      <c:ptCount val="1"/>
                      <c:pt idx="0">
                        <c:v>Porcentaje (%)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'PRES. ORIG.'!$P$26:$P$35</c15:sqref>
                        </c15:formulaRef>
                      </c:ext>
                    </c:extLst>
                    <c:strCache>
                      <c:ptCount val="4"/>
                      <c:pt idx="0">
                        <c:v>EMP. SACMI</c:v>
                      </c:pt>
                      <c:pt idx="1">
                        <c:v>CORTADORA DE TURRON</c:v>
                      </c:pt>
                      <c:pt idx="2">
                        <c:v>TEMPERADORA CHOCOLATIER</c:v>
                      </c:pt>
                      <c:pt idx="3">
                        <c:v>RAYOS X 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'PRES. ORIG.'!$S$26:$S$30</c15:sqref>
                        </c15:formulaRef>
                      </c:ext>
                    </c:extLst>
                    <c:numCache>
                      <c:formatCode>0%</c:formatCode>
                      <c:ptCount val="5"/>
                      <c:pt idx="0">
                        <c:v>0.33333333333333331</c:v>
                      </c:pt>
                      <c:pt idx="1">
                        <c:v>0.25</c:v>
                      </c:pt>
                      <c:pt idx="2">
                        <c:v>0.20833333333333331</c:v>
                      </c:pt>
                      <c:pt idx="3">
                        <c:v>0.20833333333333331</c:v>
                      </c:pt>
                      <c:pt idx="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FC11-4AF4-946B-2A909DA187E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b" anchorCtr="0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accent4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'PRES. ORIG.'!$P$26:$P$35</c:f>
              <c:strCache>
                <c:ptCount val="4"/>
                <c:pt idx="0">
                  <c:v>EMP. SACMI</c:v>
                </c:pt>
                <c:pt idx="1">
                  <c:v>CORTADORA DE TURRON</c:v>
                </c:pt>
                <c:pt idx="2">
                  <c:v>TEMPERADORA CHOCOLATIER</c:v>
                </c:pt>
                <c:pt idx="3">
                  <c:v>RAYOS X 2</c:v>
                </c:pt>
              </c:strCache>
            </c:strRef>
          </c:cat>
          <c:val>
            <c:numRef>
              <c:f>'PRES. ORIG.'!$T$26:$T$35</c:f>
              <c:numCache>
                <c:formatCode>0%</c:formatCode>
                <c:ptCount val="10"/>
                <c:pt idx="0">
                  <c:v>0.33333333333333331</c:v>
                </c:pt>
                <c:pt idx="1">
                  <c:v>0.58333333333333326</c:v>
                </c:pt>
                <c:pt idx="2">
                  <c:v>0.79166666666666652</c:v>
                </c:pt>
                <c:pt idx="3">
                  <c:v>0.99999999999999978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11-4AF4-946B-2A909DA18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0069808"/>
        <c:axId val="1750074608"/>
      </c:lineChart>
      <c:catAx>
        <c:axId val="175006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260000" spcFirstLastPara="1" vertOverflow="ellipsis" wrap="square" anchor="ctr" anchorCtr="0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50074608"/>
        <c:crosses val="autoZero"/>
        <c:auto val="1"/>
        <c:lblAlgn val="ctr"/>
        <c:lblOffset val="100"/>
        <c:noMultiLvlLbl val="0"/>
      </c:catAx>
      <c:valAx>
        <c:axId val="175007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50069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rgbClr val="000000">
          <a:alpha val="97000"/>
        </a:srgbClr>
      </a:outerShdw>
      <a:softEdge rad="0"/>
    </a:effectLst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[MANTENIMIENTO DIARIO v2..xlsx]PRES. ORIG.!TablaDinámica69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accent3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chemeClr val="accent3">
                    <a:lumMod val="50000"/>
                  </a:schemeClr>
                </a:solidFill>
              </a:rPr>
              <a:t>TIEMPO POR TIPO DE ACTIVIDAD</a:t>
            </a:r>
          </a:p>
        </c:rich>
      </c:tx>
      <c:layout>
        <c:manualLayout>
          <c:xMode val="edge"/>
          <c:yMode val="edge"/>
          <c:x val="0.25755647823497629"/>
          <c:y val="2.41049868766404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accent3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-F400]h:mm:ss\ AM/PM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-F400]h:mm:ss\ AM/PM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53529988286288E-2"/>
          <c:y val="0.10264720909886263"/>
          <c:w val="0.89512111071232781"/>
          <c:h val="0.7932716260264134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'PRES. ORIG.'!$O$51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[$-F400]h:mm:ss\ AM/PM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'PRES. ORIG.'!$N$52:$N$58</c:f>
              <c:strCache>
                <c:ptCount val="7"/>
                <c:pt idx="0">
                  <c:v>Encendido / Arranque de linea</c:v>
                </c:pt>
                <c:pt idx="1">
                  <c:v>Ajuste /Calibracion</c:v>
                </c:pt>
                <c:pt idx="2">
                  <c:v>SET UP</c:v>
                </c:pt>
                <c:pt idx="3">
                  <c:v>M.General</c:v>
                </c:pt>
                <c:pt idx="4">
                  <c:v>Lubricación</c:v>
                </c:pt>
                <c:pt idx="5">
                  <c:v>Reparacion</c:v>
                </c:pt>
                <c:pt idx="6">
                  <c:v>Inspección</c:v>
                </c:pt>
              </c:strCache>
            </c:strRef>
          </c:cat>
          <c:val>
            <c:numRef>
              <c:f>'PRES. ORIG.'!$O$52:$O$58</c:f>
              <c:numCache>
                <c:formatCode>h:mm;@</c:formatCode>
                <c:ptCount val="7"/>
                <c:pt idx="0">
                  <c:v>1.0416666666666666E-2</c:v>
                </c:pt>
                <c:pt idx="1">
                  <c:v>1.0416666666666666E-2</c:v>
                </c:pt>
                <c:pt idx="2">
                  <c:v>1.0416666666666666E-2</c:v>
                </c:pt>
                <c:pt idx="3">
                  <c:v>1.1805555555555555E-2</c:v>
                </c:pt>
                <c:pt idx="4">
                  <c:v>1.2500000000000001E-2</c:v>
                </c:pt>
                <c:pt idx="5">
                  <c:v>1.6666666666666666E-2</c:v>
                </c:pt>
                <c:pt idx="6">
                  <c:v>8.0555555555555561E-2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89-4387-A445-7D3D63EA75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21192976"/>
        <c:axId val="421197776"/>
      </c:barChart>
      <c:catAx>
        <c:axId val="4211929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1197776"/>
        <c:crosses val="autoZero"/>
        <c:auto val="1"/>
        <c:lblAlgn val="ctr"/>
        <c:lblOffset val="100"/>
        <c:noMultiLvlLbl val="0"/>
      </c:catAx>
      <c:valAx>
        <c:axId val="421197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2119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2400" b="1"/>
              <a:t>DISTRIBUCIÓN POR TURNO (HORAS)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0.12883788276465441"/>
          <c:y val="0.12326042890904469"/>
          <c:w val="0.47787979002624664"/>
          <c:h val="0.80213801024420395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444-4410-BFFA-B56DBD6A562D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444-4410-BFFA-B56DBD6A562D}"/>
              </c:ext>
            </c:extLst>
          </c:dPt>
          <c:dPt>
            <c:idx val="2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5-D444-4410-BFFA-B56DBD6A562D}"/>
              </c:ext>
            </c:extLst>
          </c:dPt>
          <c:cat>
            <c:strRef>
              <c:f>'PRES. ORIG.'!$Q$56:$Q$58</c:f>
              <c:strCache>
                <c:ptCount val="3"/>
                <c:pt idx="0">
                  <c:v>MAÑANA</c:v>
                </c:pt>
                <c:pt idx="1">
                  <c:v>TARDE</c:v>
                </c:pt>
                <c:pt idx="2">
                  <c:v>NOCHE</c:v>
                </c:pt>
              </c:strCache>
            </c:strRef>
          </c:cat>
          <c:val>
            <c:numRef>
              <c:f>'PRES. ORIG.'!$R$56:$R$58</c:f>
              <c:numCache>
                <c:formatCode>0.00</c:formatCode>
                <c:ptCount val="3"/>
                <c:pt idx="0">
                  <c:v>3.666666666666667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444-4410-BFFA-B56DBD6A5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"/>
        <c:holeSize val="64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s-PE"/>
    </a:p>
  </c:txPr>
  <c:printSettings>
    <c:headerFooter/>
    <c:pageMargins b="0.75" l="0.7" r="0.7" t="0.75" header="0.3" footer="0.3"/>
    <c:pageSetup/>
  </c:printSettings>
  <c:userShapes r:id="rId3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[MANTENIMIENTO DIARIO v2..xlsx]PRES. ORIG.!TablaDinámica23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 w="412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44450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412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44450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412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44450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'PRES. ORIG.'!$P$355</c:f>
              <c:strCache>
                <c:ptCount val="1"/>
                <c:pt idx="0">
                  <c:v>Suma de GENERAL
CAL</c:v>
                </c:pt>
              </c:strCache>
            </c:strRef>
          </c:tx>
          <c:spPr>
            <a:ln w="412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'PRES. ORIG.'!$O$356:$O$381</c:f>
              <c:strCache>
                <c:ptCount val="25"/>
                <c:pt idx="0">
                  <c:v>1/06/2026</c:v>
                </c:pt>
                <c:pt idx="1">
                  <c:v>2/06/2026</c:v>
                </c:pt>
                <c:pt idx="2">
                  <c:v>3/06/2026</c:v>
                </c:pt>
                <c:pt idx="3">
                  <c:v>4/06/2026</c:v>
                </c:pt>
                <c:pt idx="4">
                  <c:v>5/06/2026</c:v>
                </c:pt>
                <c:pt idx="5">
                  <c:v>6/06/2026</c:v>
                </c:pt>
                <c:pt idx="6">
                  <c:v>8/06/2026</c:v>
                </c:pt>
                <c:pt idx="7">
                  <c:v>9/06/2026</c:v>
                </c:pt>
                <c:pt idx="8">
                  <c:v>10/06/2026</c:v>
                </c:pt>
                <c:pt idx="9">
                  <c:v>11/06/2026</c:v>
                </c:pt>
                <c:pt idx="10">
                  <c:v>12/06/2026</c:v>
                </c:pt>
                <c:pt idx="11">
                  <c:v>13/06/2026</c:v>
                </c:pt>
                <c:pt idx="12">
                  <c:v>15/06/2026</c:v>
                </c:pt>
                <c:pt idx="13">
                  <c:v>16/06/2026</c:v>
                </c:pt>
                <c:pt idx="14">
                  <c:v>17/06/2026</c:v>
                </c:pt>
                <c:pt idx="15">
                  <c:v>18/06/2026</c:v>
                </c:pt>
                <c:pt idx="16">
                  <c:v>19/06/2026</c:v>
                </c:pt>
                <c:pt idx="17">
                  <c:v>20/06/2026</c:v>
                </c:pt>
                <c:pt idx="18">
                  <c:v>22/06/2026</c:v>
                </c:pt>
                <c:pt idx="19">
                  <c:v>23/06/2026</c:v>
                </c:pt>
                <c:pt idx="20">
                  <c:v>24/06/2026</c:v>
                </c:pt>
                <c:pt idx="21">
                  <c:v>25/06/2026</c:v>
                </c:pt>
                <c:pt idx="22">
                  <c:v>26/06/2026</c:v>
                </c:pt>
                <c:pt idx="23">
                  <c:v>27/06/2026</c:v>
                </c:pt>
                <c:pt idx="24">
                  <c:v>30/06/2026</c:v>
                </c:pt>
              </c:strCache>
            </c:strRef>
          </c:cat>
          <c:val>
            <c:numRef>
              <c:f>'PRES. ORIG.'!$P$356:$P$381</c:f>
              <c:numCache>
                <c:formatCode>#,##0</c:formatCode>
                <c:ptCount val="25"/>
                <c:pt idx="0">
                  <c:v>57</c:v>
                </c:pt>
                <c:pt idx="1">
                  <c:v>73</c:v>
                </c:pt>
                <c:pt idx="2">
                  <c:v>90</c:v>
                </c:pt>
                <c:pt idx="3">
                  <c:v>75</c:v>
                </c:pt>
                <c:pt idx="4">
                  <c:v>81</c:v>
                </c:pt>
                <c:pt idx="5">
                  <c:v>50</c:v>
                </c:pt>
                <c:pt idx="6">
                  <c:v>76</c:v>
                </c:pt>
                <c:pt idx="7">
                  <c:v>72</c:v>
                </c:pt>
                <c:pt idx="8">
                  <c:v>70</c:v>
                </c:pt>
                <c:pt idx="9">
                  <c:v>57</c:v>
                </c:pt>
                <c:pt idx="10">
                  <c:v>62</c:v>
                </c:pt>
                <c:pt idx="11">
                  <c:v>51</c:v>
                </c:pt>
                <c:pt idx="12">
                  <c:v>74</c:v>
                </c:pt>
                <c:pt idx="13">
                  <c:v>74</c:v>
                </c:pt>
                <c:pt idx="14">
                  <c:v>60</c:v>
                </c:pt>
                <c:pt idx="15">
                  <c:v>84</c:v>
                </c:pt>
                <c:pt idx="16">
                  <c:v>79</c:v>
                </c:pt>
                <c:pt idx="17">
                  <c:v>74</c:v>
                </c:pt>
                <c:pt idx="18">
                  <c:v>83</c:v>
                </c:pt>
                <c:pt idx="19">
                  <c:v>71</c:v>
                </c:pt>
                <c:pt idx="20" formatCode="#,##0.00">
                  <c:v>81</c:v>
                </c:pt>
                <c:pt idx="21" formatCode="#,##0.00">
                  <c:v>51</c:v>
                </c:pt>
                <c:pt idx="22" formatCode="#,##0.00">
                  <c:v>54</c:v>
                </c:pt>
                <c:pt idx="23" formatCode="#,##0.00">
                  <c:v>48</c:v>
                </c:pt>
                <c:pt idx="24" formatCode="#,##0.00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56-49B3-9FBA-4B54B6AB7462}"/>
            </c:ext>
          </c:extLst>
        </c:ser>
        <c:ser>
          <c:idx val="1"/>
          <c:order val="1"/>
          <c:tx>
            <c:strRef>
              <c:f>'PRES. ORIG.'!$Q$355</c:f>
              <c:strCache>
                <c:ptCount val="1"/>
                <c:pt idx="0">
                  <c:v>Suma de LCC 
GENERAL</c:v>
                </c:pt>
              </c:strCache>
            </c:strRef>
          </c:tx>
          <c:spPr>
            <a:ln w="444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'PRES. ORIG.'!$O$356:$O$381</c:f>
              <c:strCache>
                <c:ptCount val="25"/>
                <c:pt idx="0">
                  <c:v>1/06/2026</c:v>
                </c:pt>
                <c:pt idx="1">
                  <c:v>2/06/2026</c:v>
                </c:pt>
                <c:pt idx="2">
                  <c:v>3/06/2026</c:v>
                </c:pt>
                <c:pt idx="3">
                  <c:v>4/06/2026</c:v>
                </c:pt>
                <c:pt idx="4">
                  <c:v>5/06/2026</c:v>
                </c:pt>
                <c:pt idx="5">
                  <c:v>6/06/2026</c:v>
                </c:pt>
                <c:pt idx="6">
                  <c:v>8/06/2026</c:v>
                </c:pt>
                <c:pt idx="7">
                  <c:v>9/06/2026</c:v>
                </c:pt>
                <c:pt idx="8">
                  <c:v>10/06/2026</c:v>
                </c:pt>
                <c:pt idx="9">
                  <c:v>11/06/2026</c:v>
                </c:pt>
                <c:pt idx="10">
                  <c:v>12/06/2026</c:v>
                </c:pt>
                <c:pt idx="11">
                  <c:v>13/06/2026</c:v>
                </c:pt>
                <c:pt idx="12">
                  <c:v>15/06/2026</c:v>
                </c:pt>
                <c:pt idx="13">
                  <c:v>16/06/2026</c:v>
                </c:pt>
                <c:pt idx="14">
                  <c:v>17/06/2026</c:v>
                </c:pt>
                <c:pt idx="15">
                  <c:v>18/06/2026</c:v>
                </c:pt>
                <c:pt idx="16">
                  <c:v>19/06/2026</c:v>
                </c:pt>
                <c:pt idx="17">
                  <c:v>20/06/2026</c:v>
                </c:pt>
                <c:pt idx="18">
                  <c:v>22/06/2026</c:v>
                </c:pt>
                <c:pt idx="19">
                  <c:v>23/06/2026</c:v>
                </c:pt>
                <c:pt idx="20">
                  <c:v>24/06/2026</c:v>
                </c:pt>
                <c:pt idx="21">
                  <c:v>25/06/2026</c:v>
                </c:pt>
                <c:pt idx="22">
                  <c:v>26/06/2026</c:v>
                </c:pt>
                <c:pt idx="23">
                  <c:v>27/06/2026</c:v>
                </c:pt>
                <c:pt idx="24">
                  <c:v>30/06/2026</c:v>
                </c:pt>
              </c:strCache>
            </c:strRef>
          </c:cat>
          <c:val>
            <c:numRef>
              <c:f>'PRES. ORIG.'!$Q$356:$Q$381</c:f>
              <c:numCache>
                <c:formatCode>#,##0</c:formatCode>
                <c:ptCount val="25"/>
                <c:pt idx="0">
                  <c:v>75</c:v>
                </c:pt>
                <c:pt idx="1">
                  <c:v>75</c:v>
                </c:pt>
                <c:pt idx="2">
                  <c:v>75</c:v>
                </c:pt>
                <c:pt idx="3">
                  <c:v>75</c:v>
                </c:pt>
                <c:pt idx="4">
                  <c:v>75</c:v>
                </c:pt>
                <c:pt idx="5">
                  <c:v>75</c:v>
                </c:pt>
                <c:pt idx="6">
                  <c:v>75</c:v>
                </c:pt>
                <c:pt idx="7">
                  <c:v>75</c:v>
                </c:pt>
                <c:pt idx="8">
                  <c:v>75</c:v>
                </c:pt>
                <c:pt idx="9">
                  <c:v>75</c:v>
                </c:pt>
                <c:pt idx="10">
                  <c:v>75</c:v>
                </c:pt>
                <c:pt idx="11">
                  <c:v>75</c:v>
                </c:pt>
                <c:pt idx="12">
                  <c:v>75</c:v>
                </c:pt>
                <c:pt idx="13">
                  <c:v>75</c:v>
                </c:pt>
                <c:pt idx="14">
                  <c:v>75</c:v>
                </c:pt>
                <c:pt idx="15">
                  <c:v>75</c:v>
                </c:pt>
                <c:pt idx="16">
                  <c:v>75</c:v>
                </c:pt>
                <c:pt idx="17">
                  <c:v>75</c:v>
                </c:pt>
                <c:pt idx="18">
                  <c:v>75</c:v>
                </c:pt>
                <c:pt idx="19">
                  <c:v>75</c:v>
                </c:pt>
                <c:pt idx="20" formatCode="General">
                  <c:v>75</c:v>
                </c:pt>
                <c:pt idx="21" formatCode="General">
                  <c:v>75</c:v>
                </c:pt>
                <c:pt idx="22" formatCode="General">
                  <c:v>75</c:v>
                </c:pt>
                <c:pt idx="23" formatCode="General">
                  <c:v>75</c:v>
                </c:pt>
                <c:pt idx="24" formatCode="General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56-49B3-9FBA-4B54B6AB7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5331359"/>
        <c:axId val="745331839"/>
      </c:lineChart>
      <c:catAx>
        <c:axId val="74533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45331839"/>
        <c:crosses val="autoZero"/>
        <c:auto val="1"/>
        <c:lblAlgn val="ctr"/>
        <c:lblOffset val="100"/>
        <c:noMultiLvlLbl val="0"/>
      </c:catAx>
      <c:valAx>
        <c:axId val="745331839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bg1">
                  <a:alpha val="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45331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[MANTENIMIENTO DIARIO v2..xlsx]PRES. ORIG.!TablaDinámica24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 w="44450" cap="rnd">
            <a:solidFill>
              <a:schemeClr val="accent4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accent4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44450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44450" cap="rnd">
            <a:solidFill>
              <a:schemeClr val="accent4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accent4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44450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44450" cap="rnd">
            <a:solidFill>
              <a:schemeClr val="accent4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accent4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44450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'PRES. ORIG.'!$T$355</c:f>
              <c:strCache>
                <c:ptCount val="1"/>
                <c:pt idx="0">
                  <c:v>Suma de ENERGIA</c:v>
                </c:pt>
              </c:strCache>
            </c:strRef>
          </c:tx>
          <c:spPr>
            <a:ln w="444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accent4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'PRES. ORIG.'!$S$356:$S$381</c:f>
              <c:strCache>
                <c:ptCount val="25"/>
                <c:pt idx="0">
                  <c:v>1/06/2026</c:v>
                </c:pt>
                <c:pt idx="1">
                  <c:v>2/06/2026</c:v>
                </c:pt>
                <c:pt idx="2">
                  <c:v>3/06/2026</c:v>
                </c:pt>
                <c:pt idx="3">
                  <c:v>4/06/2026</c:v>
                </c:pt>
                <c:pt idx="4">
                  <c:v>5/06/2026</c:v>
                </c:pt>
                <c:pt idx="5">
                  <c:v>6/06/2026</c:v>
                </c:pt>
                <c:pt idx="6">
                  <c:v>8/06/2026</c:v>
                </c:pt>
                <c:pt idx="7">
                  <c:v>9/06/2026</c:v>
                </c:pt>
                <c:pt idx="8">
                  <c:v>10/06/2026</c:v>
                </c:pt>
                <c:pt idx="9">
                  <c:v>11/06/2026</c:v>
                </c:pt>
                <c:pt idx="10">
                  <c:v>12/06/2026</c:v>
                </c:pt>
                <c:pt idx="11">
                  <c:v>13/06/2026</c:v>
                </c:pt>
                <c:pt idx="12">
                  <c:v>15/06/2026</c:v>
                </c:pt>
                <c:pt idx="13">
                  <c:v>16/06/2026</c:v>
                </c:pt>
                <c:pt idx="14">
                  <c:v>17/06/2026</c:v>
                </c:pt>
                <c:pt idx="15">
                  <c:v>18/06/2026</c:v>
                </c:pt>
                <c:pt idx="16">
                  <c:v>19/06/2026</c:v>
                </c:pt>
                <c:pt idx="17">
                  <c:v>20/06/2026</c:v>
                </c:pt>
                <c:pt idx="18">
                  <c:v>22/06/2026</c:v>
                </c:pt>
                <c:pt idx="19">
                  <c:v>23/06/2026</c:v>
                </c:pt>
                <c:pt idx="20">
                  <c:v>24/06/2026</c:v>
                </c:pt>
                <c:pt idx="21">
                  <c:v>25/06/2026</c:v>
                </c:pt>
                <c:pt idx="22">
                  <c:v>26/06/2026</c:v>
                </c:pt>
                <c:pt idx="23">
                  <c:v>27/06/2026</c:v>
                </c:pt>
                <c:pt idx="24">
                  <c:v>30/06/2026</c:v>
                </c:pt>
              </c:strCache>
            </c:strRef>
          </c:cat>
          <c:val>
            <c:numRef>
              <c:f>'PRES. ORIG.'!$T$356:$T$381</c:f>
              <c:numCache>
                <c:formatCode>#,##0</c:formatCode>
                <c:ptCount val="25"/>
                <c:pt idx="0">
                  <c:v>6552</c:v>
                </c:pt>
                <c:pt idx="1">
                  <c:v>6393</c:v>
                </c:pt>
                <c:pt idx="2">
                  <c:v>8506</c:v>
                </c:pt>
                <c:pt idx="3">
                  <c:v>8395</c:v>
                </c:pt>
                <c:pt idx="4">
                  <c:v>8165</c:v>
                </c:pt>
                <c:pt idx="5">
                  <c:v>7158</c:v>
                </c:pt>
                <c:pt idx="6">
                  <c:v>3073</c:v>
                </c:pt>
                <c:pt idx="7">
                  <c:v>5961</c:v>
                </c:pt>
                <c:pt idx="8">
                  <c:v>8503</c:v>
                </c:pt>
                <c:pt idx="9">
                  <c:v>7951</c:v>
                </c:pt>
                <c:pt idx="10">
                  <c:v>8388</c:v>
                </c:pt>
                <c:pt idx="11">
                  <c:v>7963</c:v>
                </c:pt>
                <c:pt idx="12">
                  <c:v>6767</c:v>
                </c:pt>
                <c:pt idx="13">
                  <c:v>6460</c:v>
                </c:pt>
                <c:pt idx="14">
                  <c:v>9092</c:v>
                </c:pt>
                <c:pt idx="15">
                  <c:v>8585</c:v>
                </c:pt>
                <c:pt idx="16">
                  <c:v>7753</c:v>
                </c:pt>
                <c:pt idx="17">
                  <c:v>6585</c:v>
                </c:pt>
                <c:pt idx="18">
                  <c:v>2590</c:v>
                </c:pt>
                <c:pt idx="19">
                  <c:v>5338</c:v>
                </c:pt>
                <c:pt idx="20" formatCode="General">
                  <c:v>8122</c:v>
                </c:pt>
                <c:pt idx="21" formatCode="General">
                  <c:v>7448</c:v>
                </c:pt>
                <c:pt idx="22" formatCode="General">
                  <c:v>6988</c:v>
                </c:pt>
                <c:pt idx="23" formatCode="General">
                  <c:v>7832</c:v>
                </c:pt>
                <c:pt idx="24" formatCode="General">
                  <c:v>1811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91-49D5-82C9-E55854C6F0EC}"/>
            </c:ext>
          </c:extLst>
        </c:ser>
        <c:ser>
          <c:idx val="1"/>
          <c:order val="1"/>
          <c:tx>
            <c:strRef>
              <c:f>'PRES. ORIG.'!$U$355</c:f>
              <c:strCache>
                <c:ptCount val="1"/>
                <c:pt idx="0">
                  <c:v>Suma de LCC ENERGIA</c:v>
                </c:pt>
              </c:strCache>
            </c:strRef>
          </c:tx>
          <c:spPr>
            <a:ln w="444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'PRES. ORIG.'!$S$356:$S$381</c:f>
              <c:strCache>
                <c:ptCount val="25"/>
                <c:pt idx="0">
                  <c:v>1/06/2026</c:v>
                </c:pt>
                <c:pt idx="1">
                  <c:v>2/06/2026</c:v>
                </c:pt>
                <c:pt idx="2">
                  <c:v>3/06/2026</c:v>
                </c:pt>
                <c:pt idx="3">
                  <c:v>4/06/2026</c:v>
                </c:pt>
                <c:pt idx="4">
                  <c:v>5/06/2026</c:v>
                </c:pt>
                <c:pt idx="5">
                  <c:v>6/06/2026</c:v>
                </c:pt>
                <c:pt idx="6">
                  <c:v>8/06/2026</c:v>
                </c:pt>
                <c:pt idx="7">
                  <c:v>9/06/2026</c:v>
                </c:pt>
                <c:pt idx="8">
                  <c:v>10/06/2026</c:v>
                </c:pt>
                <c:pt idx="9">
                  <c:v>11/06/2026</c:v>
                </c:pt>
                <c:pt idx="10">
                  <c:v>12/06/2026</c:v>
                </c:pt>
                <c:pt idx="11">
                  <c:v>13/06/2026</c:v>
                </c:pt>
                <c:pt idx="12">
                  <c:v>15/06/2026</c:v>
                </c:pt>
                <c:pt idx="13">
                  <c:v>16/06/2026</c:v>
                </c:pt>
                <c:pt idx="14">
                  <c:v>17/06/2026</c:v>
                </c:pt>
                <c:pt idx="15">
                  <c:v>18/06/2026</c:v>
                </c:pt>
                <c:pt idx="16">
                  <c:v>19/06/2026</c:v>
                </c:pt>
                <c:pt idx="17">
                  <c:v>20/06/2026</c:v>
                </c:pt>
                <c:pt idx="18">
                  <c:v>22/06/2026</c:v>
                </c:pt>
                <c:pt idx="19">
                  <c:v>23/06/2026</c:v>
                </c:pt>
                <c:pt idx="20">
                  <c:v>24/06/2026</c:v>
                </c:pt>
                <c:pt idx="21">
                  <c:v>25/06/2026</c:v>
                </c:pt>
                <c:pt idx="22">
                  <c:v>26/06/2026</c:v>
                </c:pt>
                <c:pt idx="23">
                  <c:v>27/06/2026</c:v>
                </c:pt>
                <c:pt idx="24">
                  <c:v>30/06/2026</c:v>
                </c:pt>
              </c:strCache>
            </c:strRef>
          </c:cat>
          <c:val>
            <c:numRef>
              <c:f>'PRES. ORIG.'!$U$356:$U$381</c:f>
              <c:numCache>
                <c:formatCode>#,##0</c:formatCode>
                <c:ptCount val="25"/>
                <c:pt idx="0">
                  <c:v>8000</c:v>
                </c:pt>
                <c:pt idx="1">
                  <c:v>8000</c:v>
                </c:pt>
                <c:pt idx="2">
                  <c:v>8000</c:v>
                </c:pt>
                <c:pt idx="3">
                  <c:v>8000</c:v>
                </c:pt>
                <c:pt idx="4">
                  <c:v>8000</c:v>
                </c:pt>
                <c:pt idx="5">
                  <c:v>8000</c:v>
                </c:pt>
                <c:pt idx="6">
                  <c:v>8000</c:v>
                </c:pt>
                <c:pt idx="7">
                  <c:v>8000</c:v>
                </c:pt>
                <c:pt idx="8">
                  <c:v>8000</c:v>
                </c:pt>
                <c:pt idx="9">
                  <c:v>8000</c:v>
                </c:pt>
                <c:pt idx="10">
                  <c:v>8000</c:v>
                </c:pt>
                <c:pt idx="11">
                  <c:v>8000</c:v>
                </c:pt>
                <c:pt idx="12">
                  <c:v>8000</c:v>
                </c:pt>
                <c:pt idx="13">
                  <c:v>8000</c:v>
                </c:pt>
                <c:pt idx="14">
                  <c:v>8000</c:v>
                </c:pt>
                <c:pt idx="15">
                  <c:v>8000</c:v>
                </c:pt>
                <c:pt idx="16">
                  <c:v>8000</c:v>
                </c:pt>
                <c:pt idx="17">
                  <c:v>8000</c:v>
                </c:pt>
                <c:pt idx="18">
                  <c:v>8000</c:v>
                </c:pt>
                <c:pt idx="19">
                  <c:v>8000</c:v>
                </c:pt>
                <c:pt idx="20" formatCode="General">
                  <c:v>8000</c:v>
                </c:pt>
                <c:pt idx="21" formatCode="General">
                  <c:v>8000</c:v>
                </c:pt>
                <c:pt idx="22" formatCode="General">
                  <c:v>8000</c:v>
                </c:pt>
                <c:pt idx="23" formatCode="General">
                  <c:v>8000</c:v>
                </c:pt>
                <c:pt idx="24" formatCode="General">
                  <c:v>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91-49D5-82C9-E55854C6F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2410799"/>
        <c:axId val="582420879"/>
      </c:lineChart>
      <c:catAx>
        <c:axId val="58241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accent4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82420879"/>
        <c:crosses val="autoZero"/>
        <c:auto val="1"/>
        <c:lblAlgn val="ctr"/>
        <c:lblOffset val="100"/>
        <c:noMultiLvlLbl val="0"/>
      </c:catAx>
      <c:valAx>
        <c:axId val="582420879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rgbClr val="C00000">
                  <a:alpha val="0"/>
                </a:srgb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accent4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82410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[MANTENIMIENTO DIARIO v2..xlsx]PRES. ORIG.!TablaDinámica25</c:name>
    <c:fmtId val="12"/>
  </c:pivotSource>
  <c:chart>
    <c:autoTitleDeleted val="0"/>
    <c:pivotFmts>
      <c:pivotFmt>
        <c:idx val="0"/>
        <c:spPr>
          <a:solidFill>
            <a:schemeClr val="accent1"/>
          </a:solidFill>
          <a:ln w="44450" cap="rnd">
            <a:solidFill>
              <a:schemeClr val="accent6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44450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44450" cap="rnd">
            <a:solidFill>
              <a:schemeClr val="accent6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44450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44450" cap="rnd">
            <a:solidFill>
              <a:schemeClr val="accent6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44450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'PRES. ORIG.'!$X$355</c:f>
              <c:strCache>
                <c:ptCount val="1"/>
                <c:pt idx="0">
                  <c:v>Suma de P.ACTIVA</c:v>
                </c:pt>
              </c:strCache>
            </c:strRef>
          </c:tx>
          <c:spPr>
            <a:ln w="444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'PRES. ORIG.'!$W$356:$W$381</c:f>
              <c:strCache>
                <c:ptCount val="25"/>
                <c:pt idx="0">
                  <c:v>1/06/2026</c:v>
                </c:pt>
                <c:pt idx="1">
                  <c:v>2/06/2026</c:v>
                </c:pt>
                <c:pt idx="2">
                  <c:v>3/06/2026</c:v>
                </c:pt>
                <c:pt idx="3">
                  <c:v>4/06/2026</c:v>
                </c:pt>
                <c:pt idx="4">
                  <c:v>5/06/2026</c:v>
                </c:pt>
                <c:pt idx="5">
                  <c:v>6/06/2026</c:v>
                </c:pt>
                <c:pt idx="6">
                  <c:v>8/06/2026</c:v>
                </c:pt>
                <c:pt idx="7">
                  <c:v>9/06/2026</c:v>
                </c:pt>
                <c:pt idx="8">
                  <c:v>10/06/2026</c:v>
                </c:pt>
                <c:pt idx="9">
                  <c:v>11/06/2026</c:v>
                </c:pt>
                <c:pt idx="10">
                  <c:v>12/06/2026</c:v>
                </c:pt>
                <c:pt idx="11">
                  <c:v>13/06/2026</c:v>
                </c:pt>
                <c:pt idx="12">
                  <c:v>15/06/2026</c:v>
                </c:pt>
                <c:pt idx="13">
                  <c:v>16/06/2026</c:v>
                </c:pt>
                <c:pt idx="14">
                  <c:v>17/06/2026</c:v>
                </c:pt>
                <c:pt idx="15">
                  <c:v>18/06/2026</c:v>
                </c:pt>
                <c:pt idx="16">
                  <c:v>19/06/2026</c:v>
                </c:pt>
                <c:pt idx="17">
                  <c:v>20/06/2026</c:v>
                </c:pt>
                <c:pt idx="18">
                  <c:v>22/06/2026</c:v>
                </c:pt>
                <c:pt idx="19">
                  <c:v>23/06/2026</c:v>
                </c:pt>
                <c:pt idx="20">
                  <c:v>24/06/2026</c:v>
                </c:pt>
                <c:pt idx="21">
                  <c:v>25/06/2026</c:v>
                </c:pt>
                <c:pt idx="22">
                  <c:v>26/06/2026</c:v>
                </c:pt>
                <c:pt idx="23">
                  <c:v>27/06/2026</c:v>
                </c:pt>
                <c:pt idx="24">
                  <c:v>30/06/2026</c:v>
                </c:pt>
              </c:strCache>
            </c:strRef>
          </c:cat>
          <c:val>
            <c:numRef>
              <c:f>'PRES. ORIG.'!$X$356:$X$381</c:f>
              <c:numCache>
                <c:formatCode>#,##0</c:formatCode>
                <c:ptCount val="25"/>
                <c:pt idx="0">
                  <c:v>273</c:v>
                </c:pt>
                <c:pt idx="1">
                  <c:v>266</c:v>
                </c:pt>
                <c:pt idx="2">
                  <c:v>354</c:v>
                </c:pt>
                <c:pt idx="3">
                  <c:v>350</c:v>
                </c:pt>
                <c:pt idx="4">
                  <c:v>340</c:v>
                </c:pt>
                <c:pt idx="5">
                  <c:v>298</c:v>
                </c:pt>
                <c:pt idx="6">
                  <c:v>128</c:v>
                </c:pt>
                <c:pt idx="7">
                  <c:v>248</c:v>
                </c:pt>
                <c:pt idx="8">
                  <c:v>354</c:v>
                </c:pt>
                <c:pt idx="9">
                  <c:v>331</c:v>
                </c:pt>
                <c:pt idx="10">
                  <c:v>350</c:v>
                </c:pt>
                <c:pt idx="11">
                  <c:v>332</c:v>
                </c:pt>
                <c:pt idx="12">
                  <c:v>282</c:v>
                </c:pt>
                <c:pt idx="13">
                  <c:v>269</c:v>
                </c:pt>
                <c:pt idx="14">
                  <c:v>379</c:v>
                </c:pt>
                <c:pt idx="15">
                  <c:v>358</c:v>
                </c:pt>
                <c:pt idx="16">
                  <c:v>323</c:v>
                </c:pt>
                <c:pt idx="17">
                  <c:v>274</c:v>
                </c:pt>
                <c:pt idx="18">
                  <c:v>108</c:v>
                </c:pt>
                <c:pt idx="19">
                  <c:v>222</c:v>
                </c:pt>
                <c:pt idx="20" formatCode="General">
                  <c:v>338</c:v>
                </c:pt>
                <c:pt idx="21" formatCode="General">
                  <c:v>310</c:v>
                </c:pt>
                <c:pt idx="22" formatCode="General">
                  <c:v>291</c:v>
                </c:pt>
                <c:pt idx="23" formatCode="General">
                  <c:v>326</c:v>
                </c:pt>
                <c:pt idx="24" formatCode="General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3C-4F5E-8285-5E81873F9C4F}"/>
            </c:ext>
          </c:extLst>
        </c:ser>
        <c:ser>
          <c:idx val="1"/>
          <c:order val="1"/>
          <c:tx>
            <c:strRef>
              <c:f>'PRES. ORIG.'!$Y$355</c:f>
              <c:strCache>
                <c:ptCount val="1"/>
                <c:pt idx="0">
                  <c:v>Suma de LCC  P.ACTIVA</c:v>
                </c:pt>
              </c:strCache>
            </c:strRef>
          </c:tx>
          <c:spPr>
            <a:ln w="444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'PRES. ORIG.'!$W$356:$W$381</c:f>
              <c:strCache>
                <c:ptCount val="25"/>
                <c:pt idx="0">
                  <c:v>1/06/2026</c:v>
                </c:pt>
                <c:pt idx="1">
                  <c:v>2/06/2026</c:v>
                </c:pt>
                <c:pt idx="2">
                  <c:v>3/06/2026</c:v>
                </c:pt>
                <c:pt idx="3">
                  <c:v>4/06/2026</c:v>
                </c:pt>
                <c:pt idx="4">
                  <c:v>5/06/2026</c:v>
                </c:pt>
                <c:pt idx="5">
                  <c:v>6/06/2026</c:v>
                </c:pt>
                <c:pt idx="6">
                  <c:v>8/06/2026</c:v>
                </c:pt>
                <c:pt idx="7">
                  <c:v>9/06/2026</c:v>
                </c:pt>
                <c:pt idx="8">
                  <c:v>10/06/2026</c:v>
                </c:pt>
                <c:pt idx="9">
                  <c:v>11/06/2026</c:v>
                </c:pt>
                <c:pt idx="10">
                  <c:v>12/06/2026</c:v>
                </c:pt>
                <c:pt idx="11">
                  <c:v>13/06/2026</c:v>
                </c:pt>
                <c:pt idx="12">
                  <c:v>15/06/2026</c:v>
                </c:pt>
                <c:pt idx="13">
                  <c:v>16/06/2026</c:v>
                </c:pt>
                <c:pt idx="14">
                  <c:v>17/06/2026</c:v>
                </c:pt>
                <c:pt idx="15">
                  <c:v>18/06/2026</c:v>
                </c:pt>
                <c:pt idx="16">
                  <c:v>19/06/2026</c:v>
                </c:pt>
                <c:pt idx="17">
                  <c:v>20/06/2026</c:v>
                </c:pt>
                <c:pt idx="18">
                  <c:v>22/06/2026</c:v>
                </c:pt>
                <c:pt idx="19">
                  <c:v>23/06/2026</c:v>
                </c:pt>
                <c:pt idx="20">
                  <c:v>24/06/2026</c:v>
                </c:pt>
                <c:pt idx="21">
                  <c:v>25/06/2026</c:v>
                </c:pt>
                <c:pt idx="22">
                  <c:v>26/06/2026</c:v>
                </c:pt>
                <c:pt idx="23">
                  <c:v>27/06/2026</c:v>
                </c:pt>
                <c:pt idx="24">
                  <c:v>30/06/2026</c:v>
                </c:pt>
              </c:strCache>
            </c:strRef>
          </c:cat>
          <c:val>
            <c:numRef>
              <c:f>'PRES. ORIG.'!$Y$356:$Y$381</c:f>
              <c:numCache>
                <c:formatCode>#,##0</c:formatCode>
                <c:ptCount val="25"/>
                <c:pt idx="0">
                  <c:v>350</c:v>
                </c:pt>
                <c:pt idx="1">
                  <c:v>350</c:v>
                </c:pt>
                <c:pt idx="2">
                  <c:v>350</c:v>
                </c:pt>
                <c:pt idx="3">
                  <c:v>350</c:v>
                </c:pt>
                <c:pt idx="4">
                  <c:v>350</c:v>
                </c:pt>
                <c:pt idx="5">
                  <c:v>350</c:v>
                </c:pt>
                <c:pt idx="6">
                  <c:v>350</c:v>
                </c:pt>
                <c:pt idx="7">
                  <c:v>350</c:v>
                </c:pt>
                <c:pt idx="8">
                  <c:v>350</c:v>
                </c:pt>
                <c:pt idx="9">
                  <c:v>350</c:v>
                </c:pt>
                <c:pt idx="10">
                  <c:v>350</c:v>
                </c:pt>
                <c:pt idx="11">
                  <c:v>350</c:v>
                </c:pt>
                <c:pt idx="12">
                  <c:v>350</c:v>
                </c:pt>
                <c:pt idx="13">
                  <c:v>350</c:v>
                </c:pt>
                <c:pt idx="14">
                  <c:v>350</c:v>
                </c:pt>
                <c:pt idx="15">
                  <c:v>350</c:v>
                </c:pt>
                <c:pt idx="16">
                  <c:v>350</c:v>
                </c:pt>
                <c:pt idx="17">
                  <c:v>350</c:v>
                </c:pt>
                <c:pt idx="18">
                  <c:v>350</c:v>
                </c:pt>
                <c:pt idx="19">
                  <c:v>350</c:v>
                </c:pt>
                <c:pt idx="20" formatCode="General">
                  <c:v>350</c:v>
                </c:pt>
                <c:pt idx="21" formatCode="General">
                  <c:v>350</c:v>
                </c:pt>
                <c:pt idx="22" formatCode="General">
                  <c:v>350</c:v>
                </c:pt>
                <c:pt idx="23" formatCode="General">
                  <c:v>350</c:v>
                </c:pt>
                <c:pt idx="24" formatCode="General">
                  <c:v>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3C-4F5E-8285-5E81873F9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2572111"/>
        <c:axId val="962562511"/>
      </c:lineChart>
      <c:catAx>
        <c:axId val="962572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62562511"/>
        <c:crosses val="autoZero"/>
        <c:auto val="1"/>
        <c:lblAlgn val="ctr"/>
        <c:lblOffset val="100"/>
        <c:noMultiLvlLbl val="0"/>
      </c:catAx>
      <c:valAx>
        <c:axId val="962562511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62572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[MANTENIMIENTO DIARIO v2..xlsx]TABLA-DIA!TablaDinámica4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r>
              <a:rPr lang="es-PE" sz="3200">
                <a:solidFill>
                  <a:schemeClr val="accent2">
                    <a:lumMod val="50000"/>
                  </a:schemeClr>
                </a:solidFill>
                <a:latin typeface="Georgia" panose="02040502050405020303" pitchFamily="18" charset="0"/>
              </a:rPr>
              <a:t>TIEMPO</a:t>
            </a:r>
            <a:r>
              <a:rPr lang="es-PE" sz="3200" baseline="0">
                <a:solidFill>
                  <a:schemeClr val="accent2">
                    <a:lumMod val="50000"/>
                  </a:schemeClr>
                </a:solidFill>
                <a:latin typeface="Georgia" panose="02040502050405020303" pitchFamily="18" charset="0"/>
              </a:rPr>
              <a:t> DE ACTIVIDAD DE MAQUINA POR TIPO DE ACTIVIDAD</a:t>
            </a:r>
            <a:endParaRPr lang="es-PE" sz="3200">
              <a:solidFill>
                <a:schemeClr val="accent2">
                  <a:lumMod val="50000"/>
                </a:schemeClr>
              </a:solidFill>
              <a:latin typeface="Georgia" panose="02040502050405020303" pitchFamily="18" charset="0"/>
            </a:endParaRPr>
          </a:p>
        </c:rich>
      </c:tx>
      <c:layout>
        <c:manualLayout>
          <c:xMode val="edge"/>
          <c:yMode val="edge"/>
          <c:x val="0.31977261598233547"/>
          <c:y val="1.3541194422836121E-2"/>
        </c:manualLayout>
      </c:layout>
      <c:overlay val="0"/>
      <c:spPr>
        <a:solidFill>
          <a:schemeClr val="accent6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baseline="0">
              <a:solidFill>
                <a:schemeClr val="accent2">
                  <a:lumMod val="50000"/>
                </a:schemeClr>
              </a:solidFill>
              <a:latin typeface="Georgia" panose="02040502050405020303" pitchFamily="18" charset="0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3333"/>
          </a:soli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27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379F3C"/>
          </a:soli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27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6.8832775864682227E-2"/>
          <c:y val="7.7932358030154344E-2"/>
          <c:w val="0.93116722413531772"/>
          <c:h val="0.778699618689324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'TABLA-DIA'!$C$68:$C$69</c:f>
              <c:strCache>
                <c:ptCount val="1"/>
                <c:pt idx="0">
                  <c:v>NO PROGRAMADA</c:v>
                </c:pt>
              </c:strCache>
            </c:strRef>
          </c:tx>
          <c:spPr>
            <a:solidFill>
              <a:srgbClr val="FF3333"/>
            </a:solidFill>
            <a:ln>
              <a:solidFill>
                <a:schemeClr val="tx1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'TABLA-DIA'!$B$70:$B$79</c:f>
              <c:strCache>
                <c:ptCount val="9"/>
                <c:pt idx="0">
                  <c:v>LINEA AUTOMATICA HACOS 2</c:v>
                </c:pt>
                <c:pt idx="1">
                  <c:v>EMP. SACMI</c:v>
                </c:pt>
                <c:pt idx="2">
                  <c:v>BARQUILLERA FRANZ HAAZ</c:v>
                </c:pt>
                <c:pt idx="3">
                  <c:v>CORTADORA DE TURRON</c:v>
                </c:pt>
                <c:pt idx="4">
                  <c:v>POZO DE CHILLER</c:v>
                </c:pt>
                <c:pt idx="5">
                  <c:v>CALDERO, CHRILLER Y COMPRESOR</c:v>
                </c:pt>
                <c:pt idx="6">
                  <c:v>TEMPERADORA CHOCOLATIER</c:v>
                </c:pt>
                <c:pt idx="7">
                  <c:v>PROCESADORA DE MASAS - NETZSCH</c:v>
                </c:pt>
                <c:pt idx="8">
                  <c:v>RAYOS X 2</c:v>
                </c:pt>
              </c:strCache>
            </c:strRef>
          </c:cat>
          <c:val>
            <c:numRef>
              <c:f>'TABLA-DIA'!$C$70:$C$79</c:f>
              <c:numCache>
                <c:formatCode>h:mm</c:formatCode>
                <c:ptCount val="9"/>
                <c:pt idx="1">
                  <c:v>1.6666666666666666E-2</c:v>
                </c:pt>
                <c:pt idx="3">
                  <c:v>1.2500000000000001E-2</c:v>
                </c:pt>
                <c:pt idx="6">
                  <c:v>1.0416666666666666E-2</c:v>
                </c:pt>
                <c:pt idx="8">
                  <c:v>1.0416666666666666E-2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5F-468A-B920-3371D137F19D}"/>
            </c:ext>
          </c:extLst>
        </c:ser>
        <c:ser>
          <c:idx val="1"/>
          <c:order val="1"/>
          <c:tx>
            <c:strRef>
              <c:f>'TABLA-DIA'!$D$68:$D$69</c:f>
              <c:strCache>
                <c:ptCount val="1"/>
                <c:pt idx="0">
                  <c:v>PROGRAMADA</c:v>
                </c:pt>
              </c:strCache>
            </c:strRef>
          </c:tx>
          <c:spPr>
            <a:solidFill>
              <a:srgbClr val="379F3C"/>
            </a:solidFill>
            <a:ln>
              <a:solidFill>
                <a:schemeClr val="tx1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'TABLA-DIA'!$B$70:$B$79</c:f>
              <c:strCache>
                <c:ptCount val="9"/>
                <c:pt idx="0">
                  <c:v>LINEA AUTOMATICA HACOS 2</c:v>
                </c:pt>
                <c:pt idx="1">
                  <c:v>EMP. SACMI</c:v>
                </c:pt>
                <c:pt idx="2">
                  <c:v>BARQUILLERA FRANZ HAAZ</c:v>
                </c:pt>
                <c:pt idx="3">
                  <c:v>CORTADORA DE TURRON</c:v>
                </c:pt>
                <c:pt idx="4">
                  <c:v>POZO DE CHILLER</c:v>
                </c:pt>
                <c:pt idx="5">
                  <c:v>CALDERO, CHRILLER Y COMPRESOR</c:v>
                </c:pt>
                <c:pt idx="6">
                  <c:v>TEMPERADORA CHOCOLATIER</c:v>
                </c:pt>
                <c:pt idx="7">
                  <c:v>PROCESADORA DE MASAS - NETZSCH</c:v>
                </c:pt>
                <c:pt idx="8">
                  <c:v>RAYOS X 2</c:v>
                </c:pt>
              </c:strCache>
            </c:strRef>
          </c:cat>
          <c:val>
            <c:numRef>
              <c:f>'TABLA-DIA'!$D$70:$D$79</c:f>
              <c:numCache>
                <c:formatCode>h:mm</c:formatCode>
                <c:ptCount val="9"/>
                <c:pt idx="0">
                  <c:v>5.486111111111111E-2</c:v>
                </c:pt>
                <c:pt idx="2">
                  <c:v>1.3888888888888888E-2</c:v>
                </c:pt>
                <c:pt idx="4">
                  <c:v>1.1805555555555555E-2</c:v>
                </c:pt>
                <c:pt idx="5">
                  <c:v>1.1805555555555555E-2</c:v>
                </c:pt>
                <c:pt idx="7">
                  <c:v>1.0416666666666666E-2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BE-424C-B316-7998C7274D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74761520"/>
        <c:axId val="1374760080"/>
      </c:barChart>
      <c:catAx>
        <c:axId val="137476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74760080"/>
        <c:crosses val="autoZero"/>
        <c:auto val="1"/>
        <c:lblAlgn val="ctr"/>
        <c:lblOffset val="100"/>
        <c:noMultiLvlLbl val="0"/>
      </c:catAx>
      <c:valAx>
        <c:axId val="137476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h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7476152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rgbClr val="233616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20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</c:dTable>
      <c:spPr>
        <a:noFill/>
        <a:ln w="22225"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[MANTENIMIENTO DIARIO v2..xlsx]TABLA-DIA!TablaDinámica5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accent2">
                    <a:lumMod val="50000"/>
                  </a:schemeClr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r>
              <a:rPr lang="es-PE" sz="3200" b="1">
                <a:solidFill>
                  <a:schemeClr val="accent2">
                    <a:lumMod val="50000"/>
                  </a:schemeClr>
                </a:solidFill>
                <a:latin typeface="Georgia" panose="02040502050405020303" pitchFamily="18" charset="0"/>
              </a:rPr>
              <a:t>TIEMPO</a:t>
            </a:r>
            <a:r>
              <a:rPr lang="es-PE" sz="3200" b="1" baseline="0">
                <a:solidFill>
                  <a:schemeClr val="accent2">
                    <a:lumMod val="50000"/>
                  </a:schemeClr>
                </a:solidFill>
                <a:latin typeface="Georgia" panose="02040502050405020303" pitchFamily="18" charset="0"/>
              </a:rPr>
              <a:t> DE PARADA DE MAQUINA NO PROGRAMADA POR TIPO  DE FALLA</a:t>
            </a:r>
            <a:endParaRPr lang="es-PE" sz="3200" b="1">
              <a:solidFill>
                <a:schemeClr val="accent2">
                  <a:lumMod val="50000"/>
                </a:schemeClr>
              </a:solidFill>
              <a:latin typeface="Georgia" panose="02040502050405020303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accent2">
                  <a:lumMod val="50000"/>
                </a:schemeClr>
              </a:solidFill>
              <a:latin typeface="Georgia" panose="02040502050405020303" pitchFamily="18" charset="0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>
              <a:lumMod val="75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75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2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'TABLA-DIA'!$C$98:$C$99</c:f>
              <c:strCache>
                <c:ptCount val="1"/>
                <c:pt idx="0">
                  <c:v>ELÉCTRICA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'TABLA-DIA'!$B$100:$B$104</c:f>
              <c:strCache>
                <c:ptCount val="4"/>
                <c:pt idx="0">
                  <c:v>EMP. SACMI</c:v>
                </c:pt>
                <c:pt idx="1">
                  <c:v>CORTADORA DE TURRON</c:v>
                </c:pt>
                <c:pt idx="2">
                  <c:v>TEMPERADORA CHOCOLATIER</c:v>
                </c:pt>
                <c:pt idx="3">
                  <c:v>RAYOS X 2</c:v>
                </c:pt>
              </c:strCache>
            </c:strRef>
          </c:cat>
          <c:val>
            <c:numRef>
              <c:f>'TABLA-DIA'!$C$100:$C$104</c:f>
              <c:numCache>
                <c:formatCode>h:mm</c:formatCode>
                <c:ptCount val="4"/>
                <c:pt idx="2">
                  <c:v>1.0416666666666666E-2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FB-43BF-9AF2-F32A72B471E2}"/>
            </c:ext>
          </c:extLst>
        </c:ser>
        <c:ser>
          <c:idx val="1"/>
          <c:order val="1"/>
          <c:tx>
            <c:strRef>
              <c:f>'TABLA-DIA'!$D$98:$D$99</c:f>
              <c:strCache>
                <c:ptCount val="1"/>
                <c:pt idx="0">
                  <c:v>MECÁNICA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'TABLA-DIA'!$B$100:$B$104</c:f>
              <c:strCache>
                <c:ptCount val="4"/>
                <c:pt idx="0">
                  <c:v>EMP. SACMI</c:v>
                </c:pt>
                <c:pt idx="1">
                  <c:v>CORTADORA DE TURRON</c:v>
                </c:pt>
                <c:pt idx="2">
                  <c:v>TEMPERADORA CHOCOLATIER</c:v>
                </c:pt>
                <c:pt idx="3">
                  <c:v>RAYOS X 2</c:v>
                </c:pt>
              </c:strCache>
            </c:strRef>
          </c:cat>
          <c:val>
            <c:numRef>
              <c:f>'TABLA-DIA'!$D$100:$D$104</c:f>
              <c:numCache>
                <c:formatCode>h:mm</c:formatCode>
                <c:ptCount val="4"/>
                <c:pt idx="0">
                  <c:v>1.6666666666666666E-2</c:v>
                </c:pt>
                <c:pt idx="1">
                  <c:v>1.2500000000000001E-2</c:v>
                </c:pt>
                <c:pt idx="3">
                  <c:v>1.0416666666666666E-2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E9-4B64-9375-5AEA9229B6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83139839"/>
        <c:axId val="1283146079"/>
      </c:barChart>
      <c:catAx>
        <c:axId val="128313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83146079"/>
        <c:crosses val="autoZero"/>
        <c:auto val="1"/>
        <c:lblAlgn val="ctr"/>
        <c:lblOffset val="100"/>
        <c:noMultiLvlLbl val="0"/>
      </c:catAx>
      <c:valAx>
        <c:axId val="128314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831398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rgbClr val="233616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</c:dTable>
      <c:spPr>
        <a:noFill/>
        <a:ln w="15875"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[MANTENIMIENTO DIARIO v2..xlsx]TABLA-DIA!TablaDinámica1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accent2">
                    <a:lumMod val="50000"/>
                  </a:schemeClr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r>
              <a:rPr lang="es-PE" sz="3200" b="1">
                <a:solidFill>
                  <a:schemeClr val="accent2">
                    <a:lumMod val="50000"/>
                  </a:schemeClr>
                </a:solidFill>
                <a:latin typeface="Georgia" panose="02040502050405020303" pitchFamily="18" charset="0"/>
              </a:rPr>
              <a:t>TIEMPO</a:t>
            </a:r>
            <a:r>
              <a:rPr lang="es-PE" sz="3200" b="1" baseline="0">
                <a:solidFill>
                  <a:schemeClr val="accent2">
                    <a:lumMod val="50000"/>
                  </a:schemeClr>
                </a:solidFill>
                <a:latin typeface="Georgia" panose="02040502050405020303" pitchFamily="18" charset="0"/>
              </a:rPr>
              <a:t> DE ATENCION POR MAQUINA</a:t>
            </a:r>
            <a:endParaRPr lang="es-PE" sz="3200" b="1">
              <a:solidFill>
                <a:schemeClr val="accent2">
                  <a:lumMod val="50000"/>
                </a:schemeClr>
              </a:solidFill>
              <a:latin typeface="Georgia" panose="02040502050405020303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accent2">
                  <a:lumMod val="50000"/>
                </a:schemeClr>
              </a:solidFill>
              <a:latin typeface="Georgia" panose="02040502050405020303" pitchFamily="18" charset="0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3333"/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2700000" spcFirstLastPara="1" vertOverflow="ellipsis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>
              <a:lumMod val="75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2700000" spcFirstLastPara="1" vertOverflow="ellipsis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>
              <a:lumMod val="75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2700000" spcFirstLastPara="1" vertOverflow="ellipsis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9D58FA"/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2700000" spcFirstLastPara="1" vertOverflow="ellipsis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4">
              <a:lumMod val="75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2700000" spcFirstLastPara="1" vertOverflow="ellipsis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>
              <a:lumMod val="75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2700000" spcFirstLastPara="1" vertOverflow="ellipsis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6">
              <a:lumMod val="75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27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259EA1"/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2700000" spcFirstLastPara="1" vertOverflow="ellipsis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'TABLA-DIA'!$C$118:$C$119</c:f>
              <c:strCache>
                <c:ptCount val="1"/>
                <c:pt idx="0">
                  <c:v>Ajuste /Calibracion</c:v>
                </c:pt>
              </c:strCache>
            </c:strRef>
          </c:tx>
          <c:spPr>
            <a:solidFill>
              <a:srgbClr val="FF3333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'TABLA-DIA'!$B$120:$B$129</c:f>
              <c:strCache>
                <c:ptCount val="9"/>
                <c:pt idx="0">
                  <c:v>LINEA AUTOMATICA HACOS 2</c:v>
                </c:pt>
                <c:pt idx="1">
                  <c:v>EMP. SACMI</c:v>
                </c:pt>
                <c:pt idx="2">
                  <c:v>BARQUILLERA FRANZ HAAZ</c:v>
                </c:pt>
                <c:pt idx="3">
                  <c:v>CORTADORA DE TURRON</c:v>
                </c:pt>
                <c:pt idx="4">
                  <c:v>POZO DE CHILLER</c:v>
                </c:pt>
                <c:pt idx="5">
                  <c:v>CALDERO, CHRILLER Y COMPRESOR</c:v>
                </c:pt>
                <c:pt idx="6">
                  <c:v>TEMPERADORA CHOCOLATIER</c:v>
                </c:pt>
                <c:pt idx="7">
                  <c:v>PROCESADORA DE MASAS - NETZSCH</c:v>
                </c:pt>
                <c:pt idx="8">
                  <c:v>RAYOS X 2</c:v>
                </c:pt>
              </c:strCache>
            </c:strRef>
          </c:cat>
          <c:val>
            <c:numRef>
              <c:f>'TABLA-DIA'!$C$120:$C$129</c:f>
              <c:numCache>
                <c:formatCode>h:mm</c:formatCode>
                <c:ptCount val="9"/>
                <c:pt idx="8">
                  <c:v>1.0416666666666666E-2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2F-4B80-9AFE-3B5A7ECF9706}"/>
            </c:ext>
          </c:extLst>
        </c:ser>
        <c:ser>
          <c:idx val="1"/>
          <c:order val="1"/>
          <c:tx>
            <c:strRef>
              <c:f>'TABLA-DIA'!$D$118:$D$119</c:f>
              <c:strCache>
                <c:ptCount val="1"/>
                <c:pt idx="0">
                  <c:v>Encendido / Arranque de linea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'TABLA-DIA'!$B$120:$B$129</c:f>
              <c:strCache>
                <c:ptCount val="9"/>
                <c:pt idx="0">
                  <c:v>LINEA AUTOMATICA HACOS 2</c:v>
                </c:pt>
                <c:pt idx="1">
                  <c:v>EMP. SACMI</c:v>
                </c:pt>
                <c:pt idx="2">
                  <c:v>BARQUILLERA FRANZ HAAZ</c:v>
                </c:pt>
                <c:pt idx="3">
                  <c:v>CORTADORA DE TURRON</c:v>
                </c:pt>
                <c:pt idx="4">
                  <c:v>POZO DE CHILLER</c:v>
                </c:pt>
                <c:pt idx="5">
                  <c:v>CALDERO, CHRILLER Y COMPRESOR</c:v>
                </c:pt>
                <c:pt idx="6">
                  <c:v>TEMPERADORA CHOCOLATIER</c:v>
                </c:pt>
                <c:pt idx="7">
                  <c:v>PROCESADORA DE MASAS - NETZSCH</c:v>
                </c:pt>
                <c:pt idx="8">
                  <c:v>RAYOS X 2</c:v>
                </c:pt>
              </c:strCache>
            </c:strRef>
          </c:cat>
          <c:val>
            <c:numRef>
              <c:f>'TABLA-DIA'!$D$120:$D$129</c:f>
              <c:numCache>
                <c:formatCode>h:mm</c:formatCode>
                <c:ptCount val="9"/>
                <c:pt idx="6">
                  <c:v>1.0416666666666666E-2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96-44DA-8AF7-D7391E92389F}"/>
            </c:ext>
          </c:extLst>
        </c:ser>
        <c:ser>
          <c:idx val="2"/>
          <c:order val="2"/>
          <c:tx>
            <c:strRef>
              <c:f>'TABLA-DIA'!$E$118:$E$119</c:f>
              <c:strCache>
                <c:ptCount val="1"/>
                <c:pt idx="0">
                  <c:v>Inspección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'TABLA-DIA'!$B$120:$B$129</c:f>
              <c:strCache>
                <c:ptCount val="9"/>
                <c:pt idx="0">
                  <c:v>LINEA AUTOMATICA HACOS 2</c:v>
                </c:pt>
                <c:pt idx="1">
                  <c:v>EMP. SACMI</c:v>
                </c:pt>
                <c:pt idx="2">
                  <c:v>BARQUILLERA FRANZ HAAZ</c:v>
                </c:pt>
                <c:pt idx="3">
                  <c:v>CORTADORA DE TURRON</c:v>
                </c:pt>
                <c:pt idx="4">
                  <c:v>POZO DE CHILLER</c:v>
                </c:pt>
                <c:pt idx="5">
                  <c:v>CALDERO, CHRILLER Y COMPRESOR</c:v>
                </c:pt>
                <c:pt idx="6">
                  <c:v>TEMPERADORA CHOCOLATIER</c:v>
                </c:pt>
                <c:pt idx="7">
                  <c:v>PROCESADORA DE MASAS - NETZSCH</c:v>
                </c:pt>
                <c:pt idx="8">
                  <c:v>RAYOS X 2</c:v>
                </c:pt>
              </c:strCache>
            </c:strRef>
          </c:cat>
          <c:val>
            <c:numRef>
              <c:f>'TABLA-DIA'!$E$120:$E$129</c:f>
              <c:numCache>
                <c:formatCode>h:mm</c:formatCode>
                <c:ptCount val="9"/>
                <c:pt idx="0">
                  <c:v>5.486111111111111E-2</c:v>
                </c:pt>
                <c:pt idx="2">
                  <c:v>1.3888888888888888E-2</c:v>
                </c:pt>
                <c:pt idx="5">
                  <c:v>1.1805555555555555E-2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96-44DA-8AF7-D7391E92389F}"/>
            </c:ext>
          </c:extLst>
        </c:ser>
        <c:ser>
          <c:idx val="3"/>
          <c:order val="3"/>
          <c:tx>
            <c:strRef>
              <c:f>'TABLA-DIA'!$F$118:$F$119</c:f>
              <c:strCache>
                <c:ptCount val="1"/>
                <c:pt idx="0">
                  <c:v>SET UP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'TABLA-DIA'!$B$120:$B$129</c:f>
              <c:strCache>
                <c:ptCount val="9"/>
                <c:pt idx="0">
                  <c:v>LINEA AUTOMATICA HACOS 2</c:v>
                </c:pt>
                <c:pt idx="1">
                  <c:v>EMP. SACMI</c:v>
                </c:pt>
                <c:pt idx="2">
                  <c:v>BARQUILLERA FRANZ HAAZ</c:v>
                </c:pt>
                <c:pt idx="3">
                  <c:v>CORTADORA DE TURRON</c:v>
                </c:pt>
                <c:pt idx="4">
                  <c:v>POZO DE CHILLER</c:v>
                </c:pt>
                <c:pt idx="5">
                  <c:v>CALDERO, CHRILLER Y COMPRESOR</c:v>
                </c:pt>
                <c:pt idx="6">
                  <c:v>TEMPERADORA CHOCOLATIER</c:v>
                </c:pt>
                <c:pt idx="7">
                  <c:v>PROCESADORA DE MASAS - NETZSCH</c:v>
                </c:pt>
                <c:pt idx="8">
                  <c:v>RAYOS X 2</c:v>
                </c:pt>
              </c:strCache>
            </c:strRef>
          </c:cat>
          <c:val>
            <c:numRef>
              <c:f>'TABLA-DIA'!$F$120:$F$129</c:f>
              <c:numCache>
                <c:formatCode>h:mm</c:formatCode>
                <c:ptCount val="9"/>
                <c:pt idx="7">
                  <c:v>1.0416666666666666E-2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96-44DA-8AF7-D7391E92389F}"/>
            </c:ext>
          </c:extLst>
        </c:ser>
        <c:ser>
          <c:idx val="4"/>
          <c:order val="4"/>
          <c:tx>
            <c:strRef>
              <c:f>'TABLA-DIA'!$G$118:$G$119</c:f>
              <c:strCache>
                <c:ptCount val="1"/>
                <c:pt idx="0">
                  <c:v>Reparacion</c:v>
                </c:pt>
              </c:strCache>
            </c:strRef>
          </c:tx>
          <c:spPr>
            <a:solidFill>
              <a:srgbClr val="259EA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'TABLA-DIA'!$B$120:$B$129</c:f>
              <c:strCache>
                <c:ptCount val="9"/>
                <c:pt idx="0">
                  <c:v>LINEA AUTOMATICA HACOS 2</c:v>
                </c:pt>
                <c:pt idx="1">
                  <c:v>EMP. SACMI</c:v>
                </c:pt>
                <c:pt idx="2">
                  <c:v>BARQUILLERA FRANZ HAAZ</c:v>
                </c:pt>
                <c:pt idx="3">
                  <c:v>CORTADORA DE TURRON</c:v>
                </c:pt>
                <c:pt idx="4">
                  <c:v>POZO DE CHILLER</c:v>
                </c:pt>
                <c:pt idx="5">
                  <c:v>CALDERO, CHRILLER Y COMPRESOR</c:v>
                </c:pt>
                <c:pt idx="6">
                  <c:v>TEMPERADORA CHOCOLATIER</c:v>
                </c:pt>
                <c:pt idx="7">
                  <c:v>PROCESADORA DE MASAS - NETZSCH</c:v>
                </c:pt>
                <c:pt idx="8">
                  <c:v>RAYOS X 2</c:v>
                </c:pt>
              </c:strCache>
            </c:strRef>
          </c:cat>
          <c:val>
            <c:numRef>
              <c:f>'TABLA-DIA'!$G$120:$G$129</c:f>
              <c:numCache>
                <c:formatCode>h:mm</c:formatCode>
                <c:ptCount val="9"/>
                <c:pt idx="1">
                  <c:v>1.6666666666666666E-2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96-44DA-8AF7-D7391E92389F}"/>
            </c:ext>
          </c:extLst>
        </c:ser>
        <c:ser>
          <c:idx val="5"/>
          <c:order val="5"/>
          <c:tx>
            <c:strRef>
              <c:f>'TABLA-DIA'!$H$118:$H$119</c:f>
              <c:strCache>
                <c:ptCount val="1"/>
                <c:pt idx="0">
                  <c:v>Lubricación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'TABLA-DIA'!$B$120:$B$129</c:f>
              <c:strCache>
                <c:ptCount val="9"/>
                <c:pt idx="0">
                  <c:v>LINEA AUTOMATICA HACOS 2</c:v>
                </c:pt>
                <c:pt idx="1">
                  <c:v>EMP. SACMI</c:v>
                </c:pt>
                <c:pt idx="2">
                  <c:v>BARQUILLERA FRANZ HAAZ</c:v>
                </c:pt>
                <c:pt idx="3">
                  <c:v>CORTADORA DE TURRON</c:v>
                </c:pt>
                <c:pt idx="4">
                  <c:v>POZO DE CHILLER</c:v>
                </c:pt>
                <c:pt idx="5">
                  <c:v>CALDERO, CHRILLER Y COMPRESOR</c:v>
                </c:pt>
                <c:pt idx="6">
                  <c:v>TEMPERADORA CHOCOLATIER</c:v>
                </c:pt>
                <c:pt idx="7">
                  <c:v>PROCESADORA DE MASAS - NETZSCH</c:v>
                </c:pt>
                <c:pt idx="8">
                  <c:v>RAYOS X 2</c:v>
                </c:pt>
              </c:strCache>
            </c:strRef>
          </c:cat>
          <c:val>
            <c:numRef>
              <c:f>'TABLA-DIA'!$H$120:$H$129</c:f>
              <c:numCache>
                <c:formatCode>h:mm</c:formatCode>
                <c:ptCount val="9"/>
                <c:pt idx="3">
                  <c:v>1.2500000000000001E-2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55-498E-89DC-2A7072C4D9DE}"/>
            </c:ext>
          </c:extLst>
        </c:ser>
        <c:ser>
          <c:idx val="6"/>
          <c:order val="6"/>
          <c:tx>
            <c:strRef>
              <c:f>'TABLA-DIA'!$I$118:$I$119</c:f>
              <c:strCache>
                <c:ptCount val="1"/>
                <c:pt idx="0">
                  <c:v>M.General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'TABLA-DIA'!$B$120:$B$129</c:f>
              <c:strCache>
                <c:ptCount val="9"/>
                <c:pt idx="0">
                  <c:v>LINEA AUTOMATICA HACOS 2</c:v>
                </c:pt>
                <c:pt idx="1">
                  <c:v>EMP. SACMI</c:v>
                </c:pt>
                <c:pt idx="2">
                  <c:v>BARQUILLERA FRANZ HAAZ</c:v>
                </c:pt>
                <c:pt idx="3">
                  <c:v>CORTADORA DE TURRON</c:v>
                </c:pt>
                <c:pt idx="4">
                  <c:v>POZO DE CHILLER</c:v>
                </c:pt>
                <c:pt idx="5">
                  <c:v>CALDERO, CHRILLER Y COMPRESOR</c:v>
                </c:pt>
                <c:pt idx="6">
                  <c:v>TEMPERADORA CHOCOLATIER</c:v>
                </c:pt>
                <c:pt idx="7">
                  <c:v>PROCESADORA DE MASAS - NETZSCH</c:v>
                </c:pt>
                <c:pt idx="8">
                  <c:v>RAYOS X 2</c:v>
                </c:pt>
              </c:strCache>
            </c:strRef>
          </c:cat>
          <c:val>
            <c:numRef>
              <c:f>'TABLA-DIA'!$I$120:$I$129</c:f>
              <c:numCache>
                <c:formatCode>h:mm</c:formatCode>
                <c:ptCount val="9"/>
                <c:pt idx="4">
                  <c:v>1.1805555555555555E-2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1F-4745-B1E1-01D3B12D55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76544048"/>
        <c:axId val="1376545968"/>
      </c:barChart>
      <c:catAx>
        <c:axId val="137654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76545968"/>
        <c:crosses val="autoZero"/>
        <c:auto val="1"/>
        <c:lblAlgn val="ctr"/>
        <c:lblOffset val="100"/>
        <c:noMultiLvlLbl val="0"/>
      </c:catAx>
      <c:valAx>
        <c:axId val="137654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765440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rgbClr val="233616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</c:dTable>
      <c:spPr>
        <a:noFill/>
        <a:ln w="12700">
          <a:solidFill>
            <a:srgbClr val="233616">
              <a:alpha val="99000"/>
            </a:srgb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[MANTENIMIENTO DIARIO v2..xlsx]TABLA-DIA!TablaDinámica6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accent2">
                    <a:lumMod val="50000"/>
                  </a:schemeClr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r>
              <a:rPr lang="es-PE" sz="3200" b="1">
                <a:solidFill>
                  <a:schemeClr val="accent2">
                    <a:lumMod val="50000"/>
                  </a:schemeClr>
                </a:solidFill>
                <a:latin typeface="Georgia" panose="02040502050405020303" pitchFamily="18" charset="0"/>
              </a:rPr>
              <a:t>TIEMPO</a:t>
            </a:r>
            <a:r>
              <a:rPr lang="es-PE" sz="3200" b="1" baseline="0">
                <a:solidFill>
                  <a:schemeClr val="accent2">
                    <a:lumMod val="50000"/>
                  </a:schemeClr>
                </a:solidFill>
                <a:latin typeface="Georgia" panose="02040502050405020303" pitchFamily="18" charset="0"/>
              </a:rPr>
              <a:t> DE ATENCION DE MAQUINA/EQUIPO POR TURNO</a:t>
            </a:r>
            <a:endParaRPr lang="es-PE" sz="3200" b="1">
              <a:solidFill>
                <a:schemeClr val="accent2">
                  <a:lumMod val="50000"/>
                </a:schemeClr>
              </a:solidFill>
              <a:latin typeface="Georgia" panose="02040502050405020303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accent2">
                  <a:lumMod val="50000"/>
                </a:schemeClr>
              </a:solidFill>
              <a:latin typeface="Georgia" panose="02040502050405020303" pitchFamily="18" charset="0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>
              <a:lumMod val="75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2700000" spcFirstLastPara="1" vertOverflow="ellipsis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75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2700000" spcFirstLastPara="1" vertOverflow="ellipsis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2700000" spcFirstLastPara="1" vertOverflow="ellipsis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4">
              <a:lumMod val="75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lumMod val="75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>
              <a:lumMod val="75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4">
              <a:lumMod val="75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4">
              <a:lumMod val="75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50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'TABLA-DIA'!$C$151:$C$152</c:f>
              <c:strCache>
                <c:ptCount val="1"/>
                <c:pt idx="0">
                  <c:v>MAÑANA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'TABLA-DIA'!$B$153:$B$163</c:f>
              <c:strCache>
                <c:ptCount val="10"/>
                <c:pt idx="0">
                  <c:v>LINEA AUTOMATICA HACOS 2</c:v>
                </c:pt>
                <c:pt idx="1">
                  <c:v>CORTADORA DE TURRON</c:v>
                </c:pt>
                <c:pt idx="2">
                  <c:v>TEMPERADORA CHOCOLATIER</c:v>
                </c:pt>
                <c:pt idx="3">
                  <c:v>EMP. SACMI</c:v>
                </c:pt>
                <c:pt idx="4">
                  <c:v>POZO DE CHILLER</c:v>
                </c:pt>
                <c:pt idx="5">
                  <c:v>PROCESADORA DE MASAS - NETZSCH</c:v>
                </c:pt>
                <c:pt idx="6">
                  <c:v>COMEDOR</c:v>
                </c:pt>
                <c:pt idx="7">
                  <c:v>CALDERO, CHRILLER Y COMPRESOR</c:v>
                </c:pt>
                <c:pt idx="8">
                  <c:v>BARQUILLERA FRANZ HAAZ</c:v>
                </c:pt>
                <c:pt idx="9">
                  <c:v>RAYOS X 2</c:v>
                </c:pt>
              </c:strCache>
            </c:strRef>
          </c:cat>
          <c:val>
            <c:numRef>
              <c:f>'TABLA-DIA'!$C$153:$C$163</c:f>
              <c:numCache>
                <c:formatCode>0</c:formatCode>
                <c:ptCount val="10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FD-4CCB-9266-AA43D9DB57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27113296"/>
        <c:axId val="1227113776"/>
      </c:barChart>
      <c:catAx>
        <c:axId val="1227113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27113776"/>
        <c:crosses val="autoZero"/>
        <c:auto val="1"/>
        <c:lblAlgn val="ctr"/>
        <c:lblOffset val="100"/>
        <c:noMultiLvlLbl val="0"/>
      </c:catAx>
      <c:valAx>
        <c:axId val="122711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271132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12700" cap="flat" cmpd="sng" algn="ctr">
            <a:solidFill>
              <a:schemeClr val="accent6">
                <a:lumMod val="50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</c:dTable>
      <c:spPr>
        <a:noFill/>
        <a:ln w="12700">
          <a:solidFill>
            <a:srgbClr val="233616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[MANTENIMIENTO DIARIO v2..xlsx]TABLA-DIA!TablaDinámica8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accent2">
                    <a:lumMod val="50000"/>
                  </a:schemeClr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r>
              <a:rPr lang="es-PE" sz="3200" b="1">
                <a:solidFill>
                  <a:schemeClr val="accent2">
                    <a:lumMod val="50000"/>
                  </a:schemeClr>
                </a:solidFill>
                <a:latin typeface="Georgia" panose="02040502050405020303" pitchFamily="18" charset="0"/>
              </a:rPr>
              <a:t>ACUMULADO DE CANTIDAD DE FALLAS POR SEMANA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accent2">
                  <a:lumMod val="50000"/>
                </a:schemeClr>
              </a:solidFill>
              <a:latin typeface="Georgia" panose="02040502050405020303" pitchFamily="18" charset="0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75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'TABLA-DIA'!$M$69:$M$71</c:f>
              <c:strCache>
                <c:ptCount val="1"/>
                <c:pt idx="0">
                  <c:v>NO PROGRAMADA - ELÉCTRICA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'TABLA-DIA'!$L$72:$L$79</c:f>
              <c:strCache>
                <c:ptCount val="8"/>
                <c:pt idx="0">
                  <c:v>1ER PISO</c:v>
                </c:pt>
                <c:pt idx="1">
                  <c:v>CORTADORA DE TURRON</c:v>
                </c:pt>
                <c:pt idx="2">
                  <c:v>EMP. 2 - CARLE MONTANARY</c:v>
                </c:pt>
                <c:pt idx="3">
                  <c:v>EMP. SACMI</c:v>
                </c:pt>
                <c:pt idx="4">
                  <c:v>ENCELOFANADORA ECCOPAC</c:v>
                </c:pt>
                <c:pt idx="5">
                  <c:v>LINEA AUTOMATICA HACOS 1</c:v>
                </c:pt>
                <c:pt idx="6">
                  <c:v>RAYOS X 2</c:v>
                </c:pt>
                <c:pt idx="7">
                  <c:v>TEMPERADORA CHOCOLATIER</c:v>
                </c:pt>
              </c:strCache>
            </c:strRef>
          </c:cat>
          <c:val>
            <c:numRef>
              <c:f>'TABLA-DIA'!$M$72:$M$79</c:f>
              <c:numCache>
                <c:formatCode>General</c:formatCode>
                <c:ptCount val="8"/>
                <c:pt idx="0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0B-4084-9A0B-D0E5E7B31CF5}"/>
            </c:ext>
          </c:extLst>
        </c:ser>
        <c:ser>
          <c:idx val="1"/>
          <c:order val="1"/>
          <c:tx>
            <c:strRef>
              <c:f>'TABLA-DIA'!$N$69:$N$71</c:f>
              <c:strCache>
                <c:ptCount val="1"/>
                <c:pt idx="0">
                  <c:v>NO PROGRAMADA - MECÁNICA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'TABLA-DIA'!$L$72:$L$79</c:f>
              <c:strCache>
                <c:ptCount val="8"/>
                <c:pt idx="0">
                  <c:v>1ER PISO</c:v>
                </c:pt>
                <c:pt idx="1">
                  <c:v>CORTADORA DE TURRON</c:v>
                </c:pt>
                <c:pt idx="2">
                  <c:v>EMP. 2 - CARLE MONTANARY</c:v>
                </c:pt>
                <c:pt idx="3">
                  <c:v>EMP. SACMI</c:v>
                </c:pt>
                <c:pt idx="4">
                  <c:v>ENCELOFANADORA ECCOPAC</c:v>
                </c:pt>
                <c:pt idx="5">
                  <c:v>LINEA AUTOMATICA HACOS 1</c:v>
                </c:pt>
                <c:pt idx="6">
                  <c:v>RAYOS X 2</c:v>
                </c:pt>
                <c:pt idx="7">
                  <c:v>TEMPERADORA CHOCOLATIER</c:v>
                </c:pt>
              </c:strCache>
            </c:strRef>
          </c:cat>
          <c:val>
            <c:numRef>
              <c:f>'TABLA-DIA'!$N$72:$N$79</c:f>
              <c:numCache>
                <c:formatCode>General</c:formatCode>
                <c:ptCount val="8"/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0D-41D0-9EAB-5A8CED4064E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83151839"/>
        <c:axId val="1283154719"/>
      </c:barChart>
      <c:catAx>
        <c:axId val="1283151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83154719"/>
        <c:crosses val="autoZero"/>
        <c:auto val="1"/>
        <c:lblAlgn val="ctr"/>
        <c:lblOffset val="100"/>
        <c:noMultiLvlLbl val="0"/>
      </c:catAx>
      <c:valAx>
        <c:axId val="128315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831518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accent6">
                <a:lumMod val="50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</c:dTable>
      <c:spPr>
        <a:noFill/>
        <a:ln w="12700">
          <a:solidFill>
            <a:schemeClr val="accent6">
              <a:lumMod val="50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3.png"/><Relationship Id="rId7" Type="http://schemas.openxmlformats.org/officeDocument/2006/relationships/image" Target="../media/image4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10" Type="http://schemas.openxmlformats.org/officeDocument/2006/relationships/chart" Target="../charts/chart7.xml"/><Relationship Id="rId4" Type="http://schemas.openxmlformats.org/officeDocument/2006/relationships/chart" Target="../charts/chart3.xml"/><Relationship Id="rId9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3" Type="http://schemas.openxmlformats.org/officeDocument/2006/relationships/chart" Target="../charts/chart15.xml"/><Relationship Id="rId7" Type="http://schemas.openxmlformats.org/officeDocument/2006/relationships/chart" Target="../charts/chart18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image" Target="../media/image6.png"/><Relationship Id="rId9" Type="http://schemas.openxmlformats.org/officeDocument/2006/relationships/chart" Target="../charts/chart20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5.xml"/><Relationship Id="rId3" Type="http://schemas.openxmlformats.org/officeDocument/2006/relationships/image" Target="../media/image3.png"/><Relationship Id="rId7" Type="http://schemas.openxmlformats.org/officeDocument/2006/relationships/chart" Target="../charts/chart24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6" Type="http://schemas.openxmlformats.org/officeDocument/2006/relationships/image" Target="../media/image5.png"/><Relationship Id="rId11" Type="http://schemas.openxmlformats.org/officeDocument/2006/relationships/chart" Target="../charts/chart28.xml"/><Relationship Id="rId5" Type="http://schemas.openxmlformats.org/officeDocument/2006/relationships/image" Target="../media/image4.png"/><Relationship Id="rId10" Type="http://schemas.openxmlformats.org/officeDocument/2006/relationships/chart" Target="../charts/chart27.xml"/><Relationship Id="rId4" Type="http://schemas.openxmlformats.org/officeDocument/2006/relationships/chart" Target="../charts/chart23.xml"/><Relationship Id="rId9" Type="http://schemas.openxmlformats.org/officeDocument/2006/relationships/chart" Target="../charts/chart26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5" Type="http://schemas.openxmlformats.org/officeDocument/2006/relationships/chart" Target="../charts/chart33.xml"/><Relationship Id="rId4" Type="http://schemas.openxmlformats.org/officeDocument/2006/relationships/chart" Target="../charts/chart3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18602</xdr:colOff>
      <xdr:row>0</xdr:row>
      <xdr:rowOff>34739</xdr:rowOff>
    </xdr:from>
    <xdr:to>
      <xdr:col>6</xdr:col>
      <xdr:colOff>259781</xdr:colOff>
      <xdr:row>2</xdr:row>
      <xdr:rowOff>282308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FECHA">
              <a:extLst>
                <a:ext uri="{FF2B5EF4-FFF2-40B4-BE49-F238E27FC236}">
                  <a16:creationId xmlns:a16="http://schemas.microsoft.com/office/drawing/2014/main" id="{DCF7935F-35E3-4C2F-12D3-895E40F7A32F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412" y="34739"/>
              <a:ext cx="4381500" cy="16366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6</xdr:col>
      <xdr:colOff>277709</xdr:colOff>
      <xdr:row>0</xdr:row>
      <xdr:rowOff>18603</xdr:rowOff>
    </xdr:from>
    <xdr:to>
      <xdr:col>10</xdr:col>
      <xdr:colOff>448695</xdr:colOff>
      <xdr:row>2</xdr:row>
      <xdr:rowOff>282309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MAQUINA/AREA/EQUIPO 1">
              <a:extLst>
                <a:ext uri="{FF2B5EF4-FFF2-40B4-BE49-F238E27FC236}">
                  <a16:creationId xmlns:a16="http://schemas.microsoft.com/office/drawing/2014/main" id="{F7BF316C-C819-FFBC-F29E-EA36FA8E29B0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QUINA/AREA/EQUIP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12315" y="22413"/>
              <a:ext cx="6717366" cy="16489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10</xdr:col>
      <xdr:colOff>450039</xdr:colOff>
      <xdr:row>0</xdr:row>
      <xdr:rowOff>18490</xdr:rowOff>
    </xdr:from>
    <xdr:to>
      <xdr:col>12</xdr:col>
      <xdr:colOff>2302941</xdr:colOff>
      <xdr:row>2</xdr:row>
      <xdr:rowOff>247794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TIPO ACTIVIDAD">
              <a:extLst>
                <a:ext uri="{FF2B5EF4-FFF2-40B4-BE49-F238E27FC236}">
                  <a16:creationId xmlns:a16="http://schemas.microsoft.com/office/drawing/2014/main" id="{1BF0DC8E-E16B-B7D4-9632-A0704BCA2F8C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ACTIV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10070" y="28015"/>
              <a:ext cx="6516221" cy="16545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999977</xdr:colOff>
      <xdr:row>3</xdr:row>
      <xdr:rowOff>1263050</xdr:rowOff>
    </xdr:from>
    <xdr:to>
      <xdr:col>7</xdr:col>
      <xdr:colOff>542066</xdr:colOff>
      <xdr:row>14</xdr:row>
      <xdr:rowOff>28602</xdr:rowOff>
    </xdr:to>
    <xdr:grpSp>
      <xdr:nvGrpSpPr>
        <xdr:cNvPr id="55" name="Grupo 54">
          <a:extLst>
            <a:ext uri="{FF2B5EF4-FFF2-40B4-BE49-F238E27FC236}">
              <a16:creationId xmlns:a16="http://schemas.microsoft.com/office/drawing/2014/main" id="{11085A45-FA7D-B3D8-ABBC-92B58AF2799C}"/>
            </a:ext>
          </a:extLst>
        </xdr:cNvPr>
        <xdr:cNvGrpSpPr>
          <a:grpSpLocks/>
        </xdr:cNvGrpSpPr>
      </xdr:nvGrpSpPr>
      <xdr:grpSpPr>
        <a:xfrm>
          <a:off x="6105377" y="2806100"/>
          <a:ext cx="4609389" cy="4070977"/>
          <a:chOff x="7962800" y="903356"/>
          <a:chExt cx="4571999" cy="4309201"/>
        </a:xfrm>
      </xdr:grpSpPr>
      <xdr:grpSp>
        <xdr:nvGrpSpPr>
          <xdr:cNvPr id="19" name="Grupo 18">
            <a:extLst>
              <a:ext uri="{FF2B5EF4-FFF2-40B4-BE49-F238E27FC236}">
                <a16:creationId xmlns:a16="http://schemas.microsoft.com/office/drawing/2014/main" id="{94982127-BDC3-4ACA-B407-B1622D002326}"/>
              </a:ext>
            </a:extLst>
          </xdr:cNvPr>
          <xdr:cNvGrpSpPr/>
        </xdr:nvGrpSpPr>
        <xdr:grpSpPr>
          <a:xfrm>
            <a:off x="7962800" y="903356"/>
            <a:ext cx="4571999" cy="4309201"/>
            <a:chOff x="1528227" y="45471"/>
            <a:chExt cx="5405437" cy="4929189"/>
          </a:xfrm>
        </xdr:grpSpPr>
        <xdr:sp macro="" textlink="$P$7">
          <xdr:nvSpPr>
            <xdr:cNvPr id="20" name="Rectángulo: esquinas redondeadas 19">
              <a:extLst>
                <a:ext uri="{FF2B5EF4-FFF2-40B4-BE49-F238E27FC236}">
                  <a16:creationId xmlns:a16="http://schemas.microsoft.com/office/drawing/2014/main" id="{99111A27-3B33-3DCC-F43E-B522BB768280}"/>
                </a:ext>
              </a:extLst>
            </xdr:cNvPr>
            <xdr:cNvSpPr/>
          </xdr:nvSpPr>
          <xdr:spPr>
            <a:xfrm>
              <a:off x="1528227" y="45471"/>
              <a:ext cx="5405437" cy="4929189"/>
            </a:xfrm>
            <a:prstGeom prst="roundRect">
              <a:avLst/>
            </a:prstGeom>
            <a:ln w="57150">
              <a:solidFill>
                <a:srgbClr val="C00000"/>
              </a:solidFill>
            </a:ln>
          </xdr:spPr>
          <xdr:style>
            <a:lnRef idx="2">
              <a:schemeClr val="accent5"/>
            </a:lnRef>
            <a:fillRef idx="1">
              <a:schemeClr val="lt1"/>
            </a:fillRef>
            <a:effectRef idx="0">
              <a:schemeClr val="accent5"/>
            </a:effectRef>
            <a:fontRef idx="minor">
              <a:schemeClr val="dk1"/>
            </a:fontRef>
          </xdr:style>
          <xdr:txBody>
            <a:bodyPr vertOverflow="clip" horzOverflow="clip" rtlCol="0" anchor="b"/>
            <a:lstStyle/>
            <a:p>
              <a:pPr algn="ctr"/>
              <a:endParaRPr lang="es-PE" sz="3600"/>
            </a:p>
          </xdr:txBody>
        </xdr:sp>
        <xdr:grpSp>
          <xdr:nvGrpSpPr>
            <xdr:cNvPr id="21" name="Grupo 20">
              <a:extLst>
                <a:ext uri="{FF2B5EF4-FFF2-40B4-BE49-F238E27FC236}">
                  <a16:creationId xmlns:a16="http://schemas.microsoft.com/office/drawing/2014/main" id="{D20EF3A7-BF2D-6457-C1DB-1375BA8BF78F}"/>
                </a:ext>
              </a:extLst>
            </xdr:cNvPr>
            <xdr:cNvGrpSpPr/>
          </xdr:nvGrpSpPr>
          <xdr:grpSpPr>
            <a:xfrm>
              <a:off x="2472131" y="464709"/>
              <a:ext cx="3767131" cy="3429345"/>
              <a:chOff x="476557" y="7116673"/>
              <a:chExt cx="6195722" cy="5921494"/>
            </a:xfrm>
          </xdr:grpSpPr>
          <xdr:sp macro="" textlink="">
            <xdr:nvSpPr>
              <xdr:cNvPr id="22" name="CuadroTexto 21">
                <a:extLst>
                  <a:ext uri="{FF2B5EF4-FFF2-40B4-BE49-F238E27FC236}">
                    <a16:creationId xmlns:a16="http://schemas.microsoft.com/office/drawing/2014/main" id="{8C4AEF7E-813D-8286-2F29-C5AA04E630B6}"/>
                  </a:ext>
                </a:extLst>
              </xdr:cNvPr>
              <xdr:cNvSpPr txBox="1"/>
            </xdr:nvSpPr>
            <xdr:spPr>
              <a:xfrm>
                <a:off x="476557" y="7116673"/>
                <a:ext cx="6195722" cy="2793158"/>
              </a:xfrm>
              <a:prstGeom prst="rect">
                <a:avLst/>
              </a:prstGeom>
              <a:noFill/>
              <a:ln w="9525" cmpd="sng">
                <a:solidFill>
                  <a:schemeClr val="bg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es-PE" sz="3200"/>
                  <a:t>🛠️</a:t>
                </a:r>
                <a:r>
                  <a:rPr lang="es-PE" sz="2800" b="1">
                    <a:solidFill>
                      <a:sysClr val="windowText" lastClr="000000"/>
                    </a:solidFill>
                    <a:latin typeface="+mn-lt"/>
                    <a:cs typeface="Segoe UI" panose="020B0502040204020203" pitchFamily="34" charset="0"/>
                  </a:rPr>
                  <a:t>HORAS</a:t>
                </a:r>
                <a:r>
                  <a:rPr lang="es-PE" sz="2800" b="1" baseline="0">
                    <a:solidFill>
                      <a:sysClr val="windowText" lastClr="000000"/>
                    </a:solidFill>
                    <a:latin typeface="+mn-lt"/>
                    <a:cs typeface="Segoe UI" panose="020B0502040204020203" pitchFamily="34" charset="0"/>
                  </a:rPr>
                  <a:t> NO PROGRAMADAS</a:t>
                </a:r>
                <a:endParaRPr lang="es-PE" sz="3600" b="1">
                  <a:solidFill>
                    <a:sysClr val="windowText" lastClr="000000"/>
                  </a:solidFill>
                  <a:latin typeface="+mn-lt"/>
                  <a:cs typeface="Segoe UI" panose="020B0502040204020203" pitchFamily="34" charset="0"/>
                </a:endParaRPr>
              </a:p>
            </xdr:txBody>
          </xdr:sp>
          <xdr:grpSp>
            <xdr:nvGrpSpPr>
              <xdr:cNvPr id="23" name="Grupo 22">
                <a:extLst>
                  <a:ext uri="{FF2B5EF4-FFF2-40B4-BE49-F238E27FC236}">
                    <a16:creationId xmlns:a16="http://schemas.microsoft.com/office/drawing/2014/main" id="{EC051791-5D72-5CA9-3DAA-E9D9520E0B63}"/>
                  </a:ext>
                </a:extLst>
              </xdr:cNvPr>
              <xdr:cNvGrpSpPr/>
            </xdr:nvGrpSpPr>
            <xdr:grpSpPr>
              <a:xfrm>
                <a:off x="618028" y="9571399"/>
                <a:ext cx="4528554" cy="3466768"/>
                <a:chOff x="8509165" y="17123862"/>
                <a:chExt cx="5081691" cy="7725315"/>
              </a:xfrm>
            </xdr:grpSpPr>
            <xdr:sp macro="" textlink="$P$8">
              <xdr:nvSpPr>
                <xdr:cNvPr id="24" name="CuadroTexto 23">
                  <a:extLst>
                    <a:ext uri="{FF2B5EF4-FFF2-40B4-BE49-F238E27FC236}">
                      <a16:creationId xmlns:a16="http://schemas.microsoft.com/office/drawing/2014/main" id="{DE4ED09A-2D1F-CFAF-415D-95EEDD734313}"/>
                    </a:ext>
                  </a:extLst>
                </xdr:cNvPr>
                <xdr:cNvSpPr txBox="1"/>
              </xdr:nvSpPr>
              <xdr:spPr>
                <a:xfrm>
                  <a:off x="8509165" y="17128677"/>
                  <a:ext cx="4089687" cy="7720500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bg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fld id="{4DC7DEF9-D923-48F7-B3D4-D1DE98BB9A2D}" type="TxLink">
                    <a:rPr lang="en-US" sz="8800" b="0" i="0" u="none" strike="noStrike">
                      <a:solidFill>
                        <a:srgbClr val="C00000"/>
                      </a:solidFill>
                      <a:latin typeface="Calibri"/>
                      <a:ea typeface="Calibri"/>
                      <a:cs typeface="Calibri"/>
                    </a:rPr>
                    <a:pPr algn="ctr"/>
                    <a:t>9.42</a:t>
                  </a:fld>
                  <a:endParaRPr lang="es-PE" sz="16600">
                    <a:solidFill>
                      <a:srgbClr val="C00000"/>
                    </a:solidFill>
                  </a:endParaRPr>
                </a:p>
              </xdr:txBody>
            </xdr:sp>
            <xdr:sp macro="" textlink="">
              <xdr:nvSpPr>
                <xdr:cNvPr id="25" name="CuadroTexto 24">
                  <a:extLst>
                    <a:ext uri="{FF2B5EF4-FFF2-40B4-BE49-F238E27FC236}">
                      <a16:creationId xmlns:a16="http://schemas.microsoft.com/office/drawing/2014/main" id="{6D005378-4CEA-1C01-AA0F-37D31DF7BDB7}"/>
                    </a:ext>
                  </a:extLst>
                </xdr:cNvPr>
                <xdr:cNvSpPr txBox="1"/>
              </xdr:nvSpPr>
              <xdr:spPr>
                <a:xfrm>
                  <a:off x="12195447" y="17123862"/>
                  <a:ext cx="1395409" cy="6604947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bg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8800" b="0" i="0" u="none" strike="noStrike">
                      <a:solidFill>
                        <a:srgbClr val="C00000"/>
                      </a:solidFill>
                      <a:latin typeface="Calibri"/>
                      <a:ea typeface="Calibri"/>
                      <a:cs typeface="Calibri"/>
                    </a:rPr>
                    <a:t>h</a:t>
                  </a:r>
                </a:p>
              </xdr:txBody>
            </xdr:sp>
          </xdr:grpSp>
        </xdr:grpSp>
      </xdr:grpSp>
      <xdr:grpSp>
        <xdr:nvGrpSpPr>
          <xdr:cNvPr id="54" name="Grupo 53">
            <a:extLst>
              <a:ext uri="{FF2B5EF4-FFF2-40B4-BE49-F238E27FC236}">
                <a16:creationId xmlns:a16="http://schemas.microsoft.com/office/drawing/2014/main" id="{7ABF8C49-EB1F-C3D4-0C1A-6BB4665B97DC}"/>
              </a:ext>
            </a:extLst>
          </xdr:cNvPr>
          <xdr:cNvGrpSpPr/>
        </xdr:nvGrpSpPr>
        <xdr:grpSpPr>
          <a:xfrm>
            <a:off x="8557261" y="4094228"/>
            <a:ext cx="3657598" cy="704853"/>
            <a:chOff x="8914449" y="4141853"/>
            <a:chExt cx="3657598" cy="704853"/>
          </a:xfrm>
        </xdr:grpSpPr>
        <xdr:sp macro="" textlink="">
          <xdr:nvSpPr>
            <xdr:cNvPr id="51" name="CuadroTexto 50">
              <a:extLst>
                <a:ext uri="{FF2B5EF4-FFF2-40B4-BE49-F238E27FC236}">
                  <a16:creationId xmlns:a16="http://schemas.microsoft.com/office/drawing/2014/main" id="{F02BCAD9-CB3A-435E-8EE0-2023E5102725}"/>
                </a:ext>
              </a:extLst>
            </xdr:cNvPr>
            <xdr:cNvSpPr txBox="1"/>
          </xdr:nvSpPr>
          <xdr:spPr>
            <a:xfrm>
              <a:off x="9857423" y="4203769"/>
              <a:ext cx="2714624" cy="642937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r"/>
              <a:r>
                <a:rPr lang="es-PE" sz="2800" b="0">
                  <a:solidFill>
                    <a:srgbClr val="C00000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del</a:t>
              </a:r>
              <a:r>
                <a:rPr lang="es-PE" sz="2800" b="0" baseline="0">
                  <a:solidFill>
                    <a:srgbClr val="C00000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tiempo total</a:t>
              </a:r>
              <a:endParaRPr lang="es-PE" sz="2800" b="1">
                <a:solidFill>
                  <a:srgbClr val="C00000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$Q$8">
          <xdr:nvSpPr>
            <xdr:cNvPr id="53" name="CuadroTexto 52">
              <a:extLst>
                <a:ext uri="{FF2B5EF4-FFF2-40B4-BE49-F238E27FC236}">
                  <a16:creationId xmlns:a16="http://schemas.microsoft.com/office/drawing/2014/main" id="{BA914DD5-5BE1-44D6-B9B1-BEF4EB618472}"/>
                </a:ext>
              </a:extLst>
            </xdr:cNvPr>
            <xdr:cNvSpPr txBox="1"/>
          </xdr:nvSpPr>
          <xdr:spPr>
            <a:xfrm>
              <a:off x="8914449" y="4141853"/>
              <a:ext cx="990600" cy="642937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r"/>
              <a:fld id="{7C6DDE42-2F0D-45CB-AED4-A9741D3A3F34}" type="TxLink">
                <a:rPr lang="en-US" sz="3200" b="0" i="0" u="none" strike="noStrike">
                  <a:solidFill>
                    <a:srgbClr val="C00000"/>
                  </a:solidFill>
                  <a:latin typeface="Calibri"/>
                  <a:ea typeface="Calibri"/>
                  <a:cs typeface="Calibri"/>
                </a:rPr>
                <a:pPr algn="r"/>
                <a:t>50%</a:t>
              </a:fld>
              <a:endParaRPr lang="es-PE" sz="3200" b="1">
                <a:solidFill>
                  <a:srgbClr val="C00000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</xdr:grpSp>
    <xdr:clientData/>
  </xdr:twoCellAnchor>
  <xdr:twoCellAnchor editAs="absolute">
    <xdr:from>
      <xdr:col>9</xdr:col>
      <xdr:colOff>561208</xdr:colOff>
      <xdr:row>23</xdr:row>
      <xdr:rowOff>55817</xdr:rowOff>
    </xdr:from>
    <xdr:to>
      <xdr:col>11</xdr:col>
      <xdr:colOff>1141264</xdr:colOff>
      <xdr:row>41</xdr:row>
      <xdr:rowOff>142025</xdr:rowOff>
    </xdr:to>
    <xdr:graphicFrame macro="">
      <xdr:nvGraphicFramePr>
        <xdr:cNvPr id="4" name="Gráfico 176">
          <a:extLst>
            <a:ext uri="{FF2B5EF4-FFF2-40B4-BE49-F238E27FC236}">
              <a16:creationId xmlns:a16="http://schemas.microsoft.com/office/drawing/2014/main" id="{CF9E6642-9B1A-D6E3-48E7-857C9381157C}"/>
            </a:ext>
            <a:ext uri="{147F2762-F138-4A5C-976F-8EAC2B608ADB}">
              <a16:predDERef xmlns:a16="http://schemas.microsoft.com/office/drawing/2014/main" pred="{C799DCB6-3943-D15E-4BF6-7DEA24FD3B08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554182</xdr:colOff>
      <xdr:row>142</xdr:row>
      <xdr:rowOff>138544</xdr:rowOff>
    </xdr:from>
    <xdr:to>
      <xdr:col>11</xdr:col>
      <xdr:colOff>6806045</xdr:colOff>
      <xdr:row>144</xdr:row>
      <xdr:rowOff>294407</xdr:rowOff>
    </xdr:to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C5257E3D-9F00-405D-A581-8D8CA3748F6A}"/>
            </a:ext>
          </a:extLst>
        </xdr:cNvPr>
        <xdr:cNvSpPr txBox="1"/>
      </xdr:nvSpPr>
      <xdr:spPr>
        <a:xfrm>
          <a:off x="1316182" y="36212317"/>
          <a:ext cx="23743227" cy="1333499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2000">
            <a:solidFill>
              <a:schemeClr val="accent4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9</xdr:col>
      <xdr:colOff>621463</xdr:colOff>
      <xdr:row>56</xdr:row>
      <xdr:rowOff>164175</xdr:rowOff>
    </xdr:from>
    <xdr:to>
      <xdr:col>11</xdr:col>
      <xdr:colOff>6885214</xdr:colOff>
      <xdr:row>78</xdr:row>
      <xdr:rowOff>290512</xdr:rowOff>
    </xdr:to>
    <xdr:graphicFrame macro="">
      <xdr:nvGraphicFramePr>
        <xdr:cNvPr id="6" name="Gráfico 1">
          <a:extLst>
            <a:ext uri="{FF2B5EF4-FFF2-40B4-BE49-F238E27FC236}">
              <a16:creationId xmlns:a16="http://schemas.microsoft.com/office/drawing/2014/main" id="{F3EF60FB-A980-45D6-A735-5BE26761A415}"/>
            </a:ext>
            <a:ext uri="{147F2762-F138-4A5C-976F-8EAC2B608ADB}">
              <a16:predDERef xmlns:a16="http://schemas.microsoft.com/office/drawing/2014/main" pred="{85617F8B-AE75-D504-B0C6-2126271E94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9</xdr:col>
      <xdr:colOff>691860</xdr:colOff>
      <xdr:row>58</xdr:row>
      <xdr:rowOff>28638</xdr:rowOff>
    </xdr:from>
    <xdr:to>
      <xdr:col>10</xdr:col>
      <xdr:colOff>1541318</xdr:colOff>
      <xdr:row>61</xdr:row>
      <xdr:rowOff>495</xdr:rowOff>
    </xdr:to>
    <xdr:sp macro="" textlink="N1">
      <xdr:nvSpPr>
        <xdr:cNvPr id="7" name="Rectángulo: esquinas redondeadas 6">
          <a:extLst>
            <a:ext uri="{FF2B5EF4-FFF2-40B4-BE49-F238E27FC236}">
              <a16:creationId xmlns:a16="http://schemas.microsoft.com/office/drawing/2014/main" id="{896C9758-1747-41A7-8FEB-DD3AC35B1996}"/>
            </a:ext>
            <a:ext uri="{147F2762-F138-4A5C-976F-8EAC2B608ADB}">
              <a16:predDERef xmlns:a16="http://schemas.microsoft.com/office/drawing/2014/main" pred="{F3EF60FB-A980-45D6-A735-5BE26761A415}"/>
            </a:ext>
          </a:extLst>
        </xdr:cNvPr>
        <xdr:cNvSpPr/>
      </xdr:nvSpPr>
      <xdr:spPr>
        <a:xfrm>
          <a:off x="13577824" y="17209017"/>
          <a:ext cx="2114923" cy="543357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6055AF99-D88A-466C-ADD0-50F2A610D0B6}" type="TxLink">
            <a:rPr lang="en-US" sz="3200" b="0" i="0" u="none" strike="noStrike">
              <a:solidFill>
                <a:schemeClr val="accent3">
                  <a:lumMod val="50000"/>
                </a:schemeClr>
              </a:solidFill>
              <a:latin typeface="Calibri"/>
              <a:ea typeface="Calibri"/>
              <a:cs typeface="Calibri"/>
            </a:rPr>
            <a:pPr algn="l"/>
            <a:t>SEM. - 027</a:t>
          </a:fld>
          <a:endParaRPr lang="es-PE" sz="9600">
            <a:solidFill>
              <a:schemeClr val="accent3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1</xdr:col>
      <xdr:colOff>553253</xdr:colOff>
      <xdr:row>2</xdr:row>
      <xdr:rowOff>198232</xdr:rowOff>
    </xdr:from>
    <xdr:to>
      <xdr:col>3</xdr:col>
      <xdr:colOff>862814</xdr:colOff>
      <xdr:row>3</xdr:row>
      <xdr:rowOff>711811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2435A40F-FA1A-51D6-0E26-2CD4701D8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15253" y="592839"/>
          <a:ext cx="4650240" cy="1670186"/>
        </a:xfrm>
        <a:prstGeom prst="rect">
          <a:avLst/>
        </a:prstGeom>
      </xdr:spPr>
    </xdr:pic>
    <xdr:clientData/>
  </xdr:twoCellAnchor>
  <xdr:twoCellAnchor editAs="absolute">
    <xdr:from>
      <xdr:col>1</xdr:col>
      <xdr:colOff>523875</xdr:colOff>
      <xdr:row>3</xdr:row>
      <xdr:rowOff>1250370</xdr:rowOff>
    </xdr:from>
    <xdr:to>
      <xdr:col>3</xdr:col>
      <xdr:colOff>738187</xdr:colOff>
      <xdr:row>14</xdr:row>
      <xdr:rowOff>36369</xdr:rowOff>
    </xdr:to>
    <xdr:grpSp>
      <xdr:nvGrpSpPr>
        <xdr:cNvPr id="50" name="Grupo 49">
          <a:extLst>
            <a:ext uri="{FF2B5EF4-FFF2-40B4-BE49-F238E27FC236}">
              <a16:creationId xmlns:a16="http://schemas.microsoft.com/office/drawing/2014/main" id="{40652046-BED2-65C8-2657-EA2D20F15FDA}"/>
            </a:ext>
          </a:extLst>
        </xdr:cNvPr>
        <xdr:cNvGrpSpPr>
          <a:grpSpLocks noChangeAspect="1"/>
        </xdr:cNvGrpSpPr>
      </xdr:nvGrpSpPr>
      <xdr:grpSpPr>
        <a:xfrm>
          <a:off x="1285875" y="2793420"/>
          <a:ext cx="4557712" cy="4091424"/>
          <a:chOff x="1809750" y="3976687"/>
          <a:chExt cx="4572000" cy="4310063"/>
        </a:xfrm>
        <a:noFill/>
      </xdr:grpSpPr>
      <xdr:grpSp>
        <xdr:nvGrpSpPr>
          <xdr:cNvPr id="18" name="Grupo 17">
            <a:extLst>
              <a:ext uri="{FF2B5EF4-FFF2-40B4-BE49-F238E27FC236}">
                <a16:creationId xmlns:a16="http://schemas.microsoft.com/office/drawing/2014/main" id="{18D8F3EE-7B53-18B8-D302-F34DF97C9D03}"/>
              </a:ext>
            </a:extLst>
          </xdr:cNvPr>
          <xdr:cNvGrpSpPr/>
        </xdr:nvGrpSpPr>
        <xdr:grpSpPr>
          <a:xfrm>
            <a:off x="1809750" y="3976687"/>
            <a:ext cx="4572000" cy="4310063"/>
            <a:chOff x="1952622" y="3976687"/>
            <a:chExt cx="4572000" cy="4310063"/>
          </a:xfrm>
          <a:grpFill/>
        </xdr:grpSpPr>
        <xdr:sp macro="" textlink="$P$7">
          <xdr:nvSpPr>
            <xdr:cNvPr id="11" name="Rectángulo: esquinas redondeadas 10">
              <a:extLst>
                <a:ext uri="{FF2B5EF4-FFF2-40B4-BE49-F238E27FC236}">
                  <a16:creationId xmlns:a16="http://schemas.microsoft.com/office/drawing/2014/main" id="{D80A721C-1915-CFF7-5B60-0D5BED4694E2}"/>
                </a:ext>
              </a:extLst>
            </xdr:cNvPr>
            <xdr:cNvSpPr/>
          </xdr:nvSpPr>
          <xdr:spPr>
            <a:xfrm>
              <a:off x="1952622" y="3976687"/>
              <a:ext cx="4572000" cy="4310063"/>
            </a:xfrm>
            <a:prstGeom prst="roundRect">
              <a:avLst/>
            </a:prstGeom>
            <a:solidFill>
              <a:schemeClr val="bg1"/>
            </a:solidFill>
            <a:ln w="57150">
              <a:solidFill>
                <a:schemeClr val="accent1">
                  <a:lumMod val="50000"/>
                </a:schemeClr>
              </a:solidFill>
            </a:ln>
          </xdr:spPr>
          <xdr:style>
            <a:lnRef idx="2">
              <a:schemeClr val="accent5"/>
            </a:lnRef>
            <a:fillRef idx="1">
              <a:schemeClr val="lt1"/>
            </a:fillRef>
            <a:effectRef idx="0">
              <a:schemeClr val="accent5"/>
            </a:effectRef>
            <a:fontRef idx="minor">
              <a:schemeClr val="dk1"/>
            </a:fontRef>
          </xdr:style>
          <xdr:txBody>
            <a:bodyPr vertOverflow="clip" horzOverflow="clip" rtlCol="0" anchor="b"/>
            <a:lstStyle/>
            <a:p>
              <a:pPr algn="ctr"/>
              <a:endParaRPr lang="es-PE" sz="3600"/>
            </a:p>
          </xdr:txBody>
        </xdr:sp>
        <xdr:grpSp>
          <xdr:nvGrpSpPr>
            <xdr:cNvPr id="17" name="Grupo 16">
              <a:extLst>
                <a:ext uri="{FF2B5EF4-FFF2-40B4-BE49-F238E27FC236}">
                  <a16:creationId xmlns:a16="http://schemas.microsoft.com/office/drawing/2014/main" id="{8627AFB4-8922-7632-2407-326C32E25007}"/>
                </a:ext>
              </a:extLst>
            </xdr:cNvPr>
            <xdr:cNvGrpSpPr/>
          </xdr:nvGrpSpPr>
          <xdr:grpSpPr>
            <a:xfrm>
              <a:off x="2333622" y="4406082"/>
              <a:ext cx="3909256" cy="2730222"/>
              <a:chOff x="2333622" y="4406082"/>
              <a:chExt cx="3909256" cy="2730222"/>
            </a:xfrm>
            <a:grpFill/>
          </xdr:grpSpPr>
          <xdr:sp macro="" textlink="">
            <xdr:nvSpPr>
              <xdr:cNvPr id="12" name="CuadroTexto 11">
                <a:extLst>
                  <a:ext uri="{FF2B5EF4-FFF2-40B4-BE49-F238E27FC236}">
                    <a16:creationId xmlns:a16="http://schemas.microsoft.com/office/drawing/2014/main" id="{CC093A8E-4F37-AAB6-689E-A008B963BEA1}"/>
                  </a:ext>
                </a:extLst>
              </xdr:cNvPr>
              <xdr:cNvSpPr txBox="1"/>
            </xdr:nvSpPr>
            <xdr:spPr>
              <a:xfrm>
                <a:off x="2333622" y="4406082"/>
                <a:ext cx="3762376" cy="1663250"/>
              </a:xfrm>
              <a:prstGeom prst="rect">
                <a:avLst/>
              </a:prstGeom>
              <a:grpFill/>
              <a:ln w="9525" cmpd="sng">
                <a:solidFill>
                  <a:schemeClr val="bg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es-PE" sz="3200">
                    <a:solidFill>
                      <a:schemeClr val="accent1">
                        <a:lumMod val="50000"/>
                      </a:schemeClr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t>🕒</a:t>
                </a:r>
                <a:r>
                  <a:rPr lang="es-PE" sz="2800" b="1">
                    <a:solidFill>
                      <a:sysClr val="windowText" lastClr="000000"/>
                    </a:solidFill>
                    <a:latin typeface="+mn-lt"/>
                    <a:cs typeface="Segoe UI" panose="020B0502040204020203" pitchFamily="34" charset="0"/>
                  </a:rPr>
                  <a:t>HORAS TOTALES </a:t>
                </a:r>
              </a:p>
              <a:p>
                <a:pPr algn="ctr"/>
                <a:r>
                  <a:rPr lang="es-PE" sz="2800" b="1">
                    <a:solidFill>
                      <a:sysClr val="windowText" lastClr="000000"/>
                    </a:solidFill>
                    <a:latin typeface="+mn-lt"/>
                    <a:cs typeface="Segoe UI" panose="020B0502040204020203" pitchFamily="34" charset="0"/>
                  </a:rPr>
                  <a:t>DE MANTENIMIENTO</a:t>
                </a:r>
                <a:endParaRPr lang="es-PE" sz="3200" b="1">
                  <a:solidFill>
                    <a:sysClr val="windowText" lastClr="000000"/>
                  </a:solidFill>
                  <a:latin typeface="+mn-lt"/>
                  <a:cs typeface="Segoe UI" panose="020B0502040204020203" pitchFamily="34" charset="0"/>
                </a:endParaRPr>
              </a:p>
            </xdr:txBody>
          </xdr:sp>
          <xdr:grpSp>
            <xdr:nvGrpSpPr>
              <xdr:cNvPr id="16" name="Grupo 15">
                <a:extLst>
                  <a:ext uri="{FF2B5EF4-FFF2-40B4-BE49-F238E27FC236}">
                    <a16:creationId xmlns:a16="http://schemas.microsoft.com/office/drawing/2014/main" id="{0E8F2F94-4BAB-2ED2-1C68-2A50D049EA04}"/>
                  </a:ext>
                </a:extLst>
              </xdr:cNvPr>
              <xdr:cNvGrpSpPr/>
            </xdr:nvGrpSpPr>
            <xdr:grpSpPr>
              <a:xfrm>
                <a:off x="2827231" y="5539910"/>
                <a:ext cx="3415647" cy="1596394"/>
                <a:chOff x="2803418" y="5658973"/>
                <a:chExt cx="3415647" cy="1596394"/>
              </a:xfrm>
              <a:grpFill/>
            </xdr:grpSpPr>
            <xdr:sp macro="" textlink="$P$7">
              <xdr:nvSpPr>
                <xdr:cNvPr id="14" name="CuadroTexto 13">
                  <a:extLst>
                    <a:ext uri="{FF2B5EF4-FFF2-40B4-BE49-F238E27FC236}">
                      <a16:creationId xmlns:a16="http://schemas.microsoft.com/office/drawing/2014/main" id="{34EDE5F1-E214-9AAA-3384-5FD0EAC7C9C7}"/>
                    </a:ext>
                  </a:extLst>
                </xdr:cNvPr>
                <xdr:cNvSpPr txBox="1"/>
              </xdr:nvSpPr>
              <xdr:spPr>
                <a:xfrm>
                  <a:off x="2803418" y="5658973"/>
                  <a:ext cx="2524123" cy="1596394"/>
                </a:xfrm>
                <a:prstGeom prst="rect">
                  <a:avLst/>
                </a:prstGeom>
                <a:grpFill/>
                <a:ln w="9525" cmpd="sng">
                  <a:solidFill>
                    <a:schemeClr val="bg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fld id="{77501A1C-00DA-4D0A-BA0D-DD6B6C4A9CAB}" type="TxLink">
                    <a:rPr lang="en-US" sz="8800" b="0" i="0" u="none" strike="noStrike">
                      <a:solidFill>
                        <a:schemeClr val="accent1">
                          <a:lumMod val="50000"/>
                        </a:schemeClr>
                      </a:solidFill>
                      <a:latin typeface="Calibri"/>
                      <a:ea typeface="Calibri"/>
                      <a:cs typeface="Calibri"/>
                    </a:rPr>
                    <a:pPr/>
                    <a:t>18.8</a:t>
                  </a:fld>
                  <a:endParaRPr lang="es-PE" sz="4400">
                    <a:solidFill>
                      <a:schemeClr val="accent1">
                        <a:lumMod val="50000"/>
                      </a:schemeClr>
                    </a:solidFill>
                  </a:endParaRPr>
                </a:p>
              </xdr:txBody>
            </xdr:sp>
            <xdr:sp macro="" textlink="">
              <xdr:nvSpPr>
                <xdr:cNvPr id="15" name="CuadroTexto 14">
                  <a:extLst>
                    <a:ext uri="{FF2B5EF4-FFF2-40B4-BE49-F238E27FC236}">
                      <a16:creationId xmlns:a16="http://schemas.microsoft.com/office/drawing/2014/main" id="{40D35389-E699-4F37-93C6-62B1718FE8CB}"/>
                    </a:ext>
                  </a:extLst>
                </xdr:cNvPr>
                <xdr:cNvSpPr txBox="1"/>
              </xdr:nvSpPr>
              <xdr:spPr>
                <a:xfrm>
                  <a:off x="4823653" y="5695231"/>
                  <a:ext cx="1395412" cy="1481309"/>
                </a:xfrm>
                <a:prstGeom prst="rect">
                  <a:avLst/>
                </a:prstGeom>
                <a:grpFill/>
                <a:ln w="9525" cmpd="sng">
                  <a:solidFill>
                    <a:schemeClr val="bg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8800" b="0" i="0" u="none" strike="noStrike">
                      <a:solidFill>
                        <a:schemeClr val="accent1">
                          <a:lumMod val="50000"/>
                        </a:schemeClr>
                      </a:solidFill>
                      <a:latin typeface="Calibri"/>
                      <a:ea typeface="Calibri"/>
                      <a:cs typeface="Calibri"/>
                    </a:rPr>
                    <a:t>h</a:t>
                  </a:r>
                </a:p>
              </xdr:txBody>
            </xdr:sp>
          </xdr:grpSp>
        </xdr:grpSp>
      </xdr:grpSp>
      <xdr:grpSp>
        <xdr:nvGrpSpPr>
          <xdr:cNvPr id="49" name="Grupo 48">
            <a:extLst>
              <a:ext uri="{FF2B5EF4-FFF2-40B4-BE49-F238E27FC236}">
                <a16:creationId xmlns:a16="http://schemas.microsoft.com/office/drawing/2014/main" id="{1433183D-08CC-DE94-1636-60ACA3FCEAFB}"/>
              </a:ext>
            </a:extLst>
          </xdr:cNvPr>
          <xdr:cNvGrpSpPr/>
        </xdr:nvGrpSpPr>
        <xdr:grpSpPr>
          <a:xfrm>
            <a:off x="2190755" y="7064556"/>
            <a:ext cx="3571873" cy="823911"/>
            <a:chOff x="2190755" y="7064556"/>
            <a:chExt cx="3571873" cy="823911"/>
          </a:xfrm>
          <a:grpFill/>
        </xdr:grpSpPr>
        <xdr:sp macro="" textlink="">
          <xdr:nvSpPr>
            <xdr:cNvPr id="47" name="CuadroTexto 46">
              <a:extLst>
                <a:ext uri="{FF2B5EF4-FFF2-40B4-BE49-F238E27FC236}">
                  <a16:creationId xmlns:a16="http://schemas.microsoft.com/office/drawing/2014/main" id="{AAB0D98D-FF82-4485-9E8B-3194B305ECE7}"/>
                </a:ext>
              </a:extLst>
            </xdr:cNvPr>
            <xdr:cNvSpPr txBox="1"/>
          </xdr:nvSpPr>
          <xdr:spPr>
            <a:xfrm>
              <a:off x="2190755" y="7156043"/>
              <a:ext cx="3262308" cy="642937"/>
            </a:xfrm>
            <a:prstGeom prst="rect">
              <a:avLst/>
            </a:prstGeom>
            <a:grpFill/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s-PE" sz="2800" b="0">
                  <a:solidFill>
                    <a:schemeClr val="accent1">
                      <a:lumMod val="50000"/>
                    </a:schemeClr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Turnos</a:t>
              </a:r>
              <a:r>
                <a:rPr lang="es-PE" sz="2800" b="0" baseline="0">
                  <a:solidFill>
                    <a:schemeClr val="accent1">
                      <a:lumMod val="50000"/>
                    </a:schemeClr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registrados:</a:t>
              </a:r>
              <a:endParaRPr lang="es-PE" sz="2800" b="1">
                <a:solidFill>
                  <a:schemeClr val="accent1">
                    <a:lumMod val="50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$T$7">
          <xdr:nvSpPr>
            <xdr:cNvPr id="48" name="CuadroTexto 47">
              <a:extLst>
                <a:ext uri="{FF2B5EF4-FFF2-40B4-BE49-F238E27FC236}">
                  <a16:creationId xmlns:a16="http://schemas.microsoft.com/office/drawing/2014/main" id="{4246D943-4188-4DCA-B9D3-48AEA3593D19}"/>
                </a:ext>
              </a:extLst>
            </xdr:cNvPr>
            <xdr:cNvSpPr txBox="1"/>
          </xdr:nvSpPr>
          <xdr:spPr>
            <a:xfrm>
              <a:off x="5310189" y="7064556"/>
              <a:ext cx="452439" cy="823911"/>
            </a:xfrm>
            <a:prstGeom prst="rect">
              <a:avLst/>
            </a:prstGeom>
            <a:grpFill/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fld id="{DDEEB343-6293-44C8-8ADB-C3D3E9279269}" type="TxLink">
                <a:rPr lang="en-US" sz="3600" b="0" i="0" u="none" strike="noStrike">
                  <a:solidFill>
                    <a:schemeClr val="accent1">
                      <a:lumMod val="50000"/>
                    </a:schemeClr>
                  </a:solidFill>
                  <a:latin typeface="Calibri"/>
                  <a:ea typeface="Calibri"/>
                  <a:cs typeface="Calibri"/>
                </a:rPr>
                <a:pPr algn="l"/>
                <a:t>3</a:t>
              </a:fld>
              <a:endParaRPr lang="es-PE" sz="4000" b="1">
                <a:solidFill>
                  <a:schemeClr val="accent1">
                    <a:lumMod val="50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</xdr:grpSp>
    <xdr:clientData/>
  </xdr:twoCellAnchor>
  <xdr:twoCellAnchor editAs="absolute">
    <xdr:from>
      <xdr:col>7</xdr:col>
      <xdr:colOff>813516</xdr:colOff>
      <xdr:row>3</xdr:row>
      <xdr:rowOff>1239981</xdr:rowOff>
    </xdr:from>
    <xdr:to>
      <xdr:col>10</xdr:col>
      <xdr:colOff>1428311</xdr:colOff>
      <xdr:row>13</xdr:row>
      <xdr:rowOff>287897</xdr:rowOff>
    </xdr:to>
    <xdr:grpSp>
      <xdr:nvGrpSpPr>
        <xdr:cNvPr id="56" name="Grupo 55">
          <a:extLst>
            <a:ext uri="{FF2B5EF4-FFF2-40B4-BE49-F238E27FC236}">
              <a16:creationId xmlns:a16="http://schemas.microsoft.com/office/drawing/2014/main" id="{A740BA98-482C-4F1D-9469-0AC982554863}"/>
            </a:ext>
          </a:extLst>
        </xdr:cNvPr>
        <xdr:cNvGrpSpPr>
          <a:grpSpLocks/>
        </xdr:cNvGrpSpPr>
      </xdr:nvGrpSpPr>
      <xdr:grpSpPr>
        <a:xfrm>
          <a:off x="10986216" y="2783031"/>
          <a:ext cx="4605770" cy="4058066"/>
          <a:chOff x="7939083" y="3986213"/>
          <a:chExt cx="4572000" cy="4309200"/>
        </a:xfrm>
      </xdr:grpSpPr>
      <xdr:grpSp>
        <xdr:nvGrpSpPr>
          <xdr:cNvPr id="57" name="Grupo 56">
            <a:extLst>
              <a:ext uri="{FF2B5EF4-FFF2-40B4-BE49-F238E27FC236}">
                <a16:creationId xmlns:a16="http://schemas.microsoft.com/office/drawing/2014/main" id="{1DC56841-EEBB-F2AB-3DE1-BE6573734B4D}"/>
              </a:ext>
            </a:extLst>
          </xdr:cNvPr>
          <xdr:cNvGrpSpPr/>
        </xdr:nvGrpSpPr>
        <xdr:grpSpPr>
          <a:xfrm>
            <a:off x="7939083" y="3986213"/>
            <a:ext cx="4572000" cy="4309200"/>
            <a:chOff x="1500187" y="3571875"/>
            <a:chExt cx="5405437" cy="4929187"/>
          </a:xfrm>
        </xdr:grpSpPr>
        <xdr:sp macro="" textlink="$P$7">
          <xdr:nvSpPr>
            <xdr:cNvPr id="61" name="Rectángulo: esquinas redondeadas 60">
              <a:extLst>
                <a:ext uri="{FF2B5EF4-FFF2-40B4-BE49-F238E27FC236}">
                  <a16:creationId xmlns:a16="http://schemas.microsoft.com/office/drawing/2014/main" id="{A7922026-C96A-FC18-62D7-BA18A6F676B8}"/>
                </a:ext>
              </a:extLst>
            </xdr:cNvPr>
            <xdr:cNvSpPr/>
          </xdr:nvSpPr>
          <xdr:spPr>
            <a:xfrm>
              <a:off x="1500187" y="3571875"/>
              <a:ext cx="5405437" cy="4929187"/>
            </a:xfrm>
            <a:prstGeom prst="roundRect">
              <a:avLst/>
            </a:prstGeom>
            <a:ln w="57150">
              <a:solidFill>
                <a:srgbClr val="92D050"/>
              </a:solidFill>
            </a:ln>
          </xdr:spPr>
          <xdr:style>
            <a:lnRef idx="2">
              <a:schemeClr val="accent5"/>
            </a:lnRef>
            <a:fillRef idx="1">
              <a:schemeClr val="lt1"/>
            </a:fillRef>
            <a:effectRef idx="0">
              <a:schemeClr val="accent5"/>
            </a:effectRef>
            <a:fontRef idx="minor">
              <a:schemeClr val="dk1"/>
            </a:fontRef>
          </xdr:style>
          <xdr:txBody>
            <a:bodyPr vertOverflow="clip" horzOverflow="clip" rtlCol="0" anchor="b"/>
            <a:lstStyle/>
            <a:p>
              <a:pPr algn="ctr"/>
              <a:endParaRPr lang="es-PE" sz="3600">
                <a:solidFill>
                  <a:srgbClr val="92D050"/>
                </a:solidFill>
              </a:endParaRPr>
            </a:p>
          </xdr:txBody>
        </xdr:sp>
        <xdr:grpSp>
          <xdr:nvGrpSpPr>
            <xdr:cNvPr id="62" name="Grupo 61">
              <a:extLst>
                <a:ext uri="{FF2B5EF4-FFF2-40B4-BE49-F238E27FC236}">
                  <a16:creationId xmlns:a16="http://schemas.microsoft.com/office/drawing/2014/main" id="{7F3B1404-2300-895F-C704-AD8006A57868}"/>
                </a:ext>
              </a:extLst>
            </xdr:cNvPr>
            <xdr:cNvGrpSpPr/>
          </xdr:nvGrpSpPr>
          <xdr:grpSpPr>
            <a:xfrm>
              <a:off x="1833562" y="4119562"/>
              <a:ext cx="4786313" cy="3059317"/>
              <a:chOff x="1833562" y="4119562"/>
              <a:chExt cx="4786313" cy="3059317"/>
            </a:xfrm>
          </xdr:grpSpPr>
          <xdr:sp macro="" textlink="">
            <xdr:nvSpPr>
              <xdr:cNvPr id="63" name="CuadroTexto 62">
                <a:extLst>
                  <a:ext uri="{FF2B5EF4-FFF2-40B4-BE49-F238E27FC236}">
                    <a16:creationId xmlns:a16="http://schemas.microsoft.com/office/drawing/2014/main" id="{6B3C7D5A-C1C1-6721-1527-646090964BC9}"/>
                  </a:ext>
                </a:extLst>
              </xdr:cNvPr>
              <xdr:cNvSpPr txBox="1"/>
            </xdr:nvSpPr>
            <xdr:spPr>
              <a:xfrm>
                <a:off x="1833562" y="4119562"/>
                <a:ext cx="4786313" cy="2071688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es-PE" sz="3200"/>
                  <a:t>📌</a:t>
                </a:r>
                <a:r>
                  <a:rPr lang="es-PE" sz="2800" b="1">
                    <a:solidFill>
                      <a:sysClr val="windowText" lastClr="000000"/>
                    </a:solidFill>
                    <a:latin typeface="+mn-lt"/>
                    <a:cs typeface="Segoe UI" panose="020B0502040204020203" pitchFamily="34" charset="0"/>
                  </a:rPr>
                  <a:t>INTERVENCIONES</a:t>
                </a:r>
                <a:r>
                  <a:rPr lang="es-PE" sz="2800" b="1" baseline="0">
                    <a:solidFill>
                      <a:sysClr val="windowText" lastClr="000000"/>
                    </a:solidFill>
                    <a:latin typeface="+mn-lt"/>
                    <a:cs typeface="Segoe UI" panose="020B0502040204020203" pitchFamily="34" charset="0"/>
                  </a:rPr>
                  <a:t> TOTALES</a:t>
                </a:r>
                <a:endParaRPr lang="es-PE" sz="3600" b="1">
                  <a:solidFill>
                    <a:sysClr val="windowText" lastClr="000000"/>
                  </a:solidFill>
                  <a:latin typeface="+mn-lt"/>
                  <a:cs typeface="Segoe UI" panose="020B0502040204020203" pitchFamily="34" charset="0"/>
                </a:endParaRPr>
              </a:p>
            </xdr:txBody>
          </xdr:sp>
          <xdr:sp macro="" textlink="$P$9">
            <xdr:nvSpPr>
              <xdr:cNvPr id="65" name="CuadroTexto 64">
                <a:extLst>
                  <a:ext uri="{FF2B5EF4-FFF2-40B4-BE49-F238E27FC236}">
                    <a16:creationId xmlns:a16="http://schemas.microsoft.com/office/drawing/2014/main" id="{879A4C1C-5E62-0062-8B45-6B56B45CB709}"/>
                  </a:ext>
                </a:extLst>
              </xdr:cNvPr>
              <xdr:cNvSpPr txBox="1"/>
            </xdr:nvSpPr>
            <xdr:spPr>
              <a:xfrm>
                <a:off x="3119177" y="5893003"/>
                <a:ext cx="2476499" cy="1285876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6653F887-2898-4609-8FA7-C4A79DC12FCD}" type="TxLink">
                  <a:rPr lang="en-US" sz="8800" b="0" i="0" u="none" strike="noStrike">
                    <a:solidFill>
                      <a:schemeClr val="accent6">
                        <a:lumMod val="75000"/>
                      </a:schemeClr>
                    </a:solidFill>
                    <a:latin typeface="Calibri"/>
                    <a:ea typeface="Calibri"/>
                    <a:cs typeface="Calibri"/>
                  </a:rPr>
                  <a:pPr algn="ctr"/>
                  <a:t>31</a:t>
                </a:fld>
                <a:endParaRPr lang="es-PE" sz="123400">
                  <a:solidFill>
                    <a:schemeClr val="accent6">
                      <a:lumMod val="75000"/>
                    </a:schemeClr>
                  </a:solidFill>
                </a:endParaRPr>
              </a:p>
            </xdr:txBody>
          </xdr:sp>
        </xdr:grpSp>
      </xdr:grpSp>
      <xdr:sp macro="" textlink="">
        <xdr:nvSpPr>
          <xdr:cNvPr id="59" name="CuadroTexto 58">
            <a:extLst>
              <a:ext uri="{FF2B5EF4-FFF2-40B4-BE49-F238E27FC236}">
                <a16:creationId xmlns:a16="http://schemas.microsoft.com/office/drawing/2014/main" id="{B5134437-75A4-5EE7-36E1-E31A0A4EA02E}"/>
              </a:ext>
            </a:extLst>
          </xdr:cNvPr>
          <xdr:cNvSpPr txBox="1"/>
        </xdr:nvSpPr>
        <xdr:spPr>
          <a:xfrm>
            <a:off x="8205788" y="7262812"/>
            <a:ext cx="4048125" cy="64293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PE" sz="2800" b="0">
                <a:solidFill>
                  <a:schemeClr val="accent6">
                    <a:lumMod val="7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Actividades</a:t>
            </a:r>
            <a:r>
              <a:rPr lang="es-PE" sz="2800" b="0" baseline="0">
                <a:solidFill>
                  <a:schemeClr val="accent6">
                    <a:lumMod val="7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</a:t>
            </a:r>
            <a:r>
              <a:rPr lang="es-PE" sz="2800" b="0">
                <a:solidFill>
                  <a:schemeClr val="accent6">
                    <a:lumMod val="7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registradas</a:t>
            </a:r>
            <a:endParaRPr lang="es-PE" sz="2800" b="1">
              <a:solidFill>
                <a:schemeClr val="accent6">
                  <a:lumMod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10</xdr:col>
      <xdr:colOff>1652149</xdr:colOff>
      <xdr:row>3</xdr:row>
      <xdr:rowOff>1249507</xdr:rowOff>
    </xdr:from>
    <xdr:to>
      <xdr:col>11</xdr:col>
      <xdr:colOff>2137058</xdr:colOff>
      <xdr:row>14</xdr:row>
      <xdr:rowOff>2148</xdr:rowOff>
    </xdr:to>
    <xdr:grpSp>
      <xdr:nvGrpSpPr>
        <xdr:cNvPr id="79" name="Grupo 78">
          <a:extLst>
            <a:ext uri="{FF2B5EF4-FFF2-40B4-BE49-F238E27FC236}">
              <a16:creationId xmlns:a16="http://schemas.microsoft.com/office/drawing/2014/main" id="{1F8EDF2F-1BE6-6C7A-B8AB-7AA346EDD4DF}"/>
            </a:ext>
          </a:extLst>
        </xdr:cNvPr>
        <xdr:cNvGrpSpPr>
          <a:grpSpLocks/>
        </xdr:cNvGrpSpPr>
      </xdr:nvGrpSpPr>
      <xdr:grpSpPr>
        <a:xfrm>
          <a:off x="15815824" y="2792557"/>
          <a:ext cx="4580659" cy="4058066"/>
          <a:chOff x="15801104" y="4024747"/>
          <a:chExt cx="4589318" cy="4133853"/>
        </a:xfrm>
      </xdr:grpSpPr>
      <xdr:grpSp>
        <xdr:nvGrpSpPr>
          <xdr:cNvPr id="67" name="Grupo 66">
            <a:extLst>
              <a:ext uri="{FF2B5EF4-FFF2-40B4-BE49-F238E27FC236}">
                <a16:creationId xmlns:a16="http://schemas.microsoft.com/office/drawing/2014/main" id="{135ED04A-1DA3-4ED0-B9B8-DA9C7A2DB06B}"/>
              </a:ext>
            </a:extLst>
          </xdr:cNvPr>
          <xdr:cNvGrpSpPr/>
        </xdr:nvGrpSpPr>
        <xdr:grpSpPr>
          <a:xfrm>
            <a:off x="15801104" y="4024747"/>
            <a:ext cx="4589318" cy="4133853"/>
            <a:chOff x="7939083" y="3986213"/>
            <a:chExt cx="4572000" cy="4309200"/>
          </a:xfrm>
        </xdr:grpSpPr>
        <xdr:grpSp>
          <xdr:nvGrpSpPr>
            <xdr:cNvPr id="68" name="Grupo 67">
              <a:extLst>
                <a:ext uri="{FF2B5EF4-FFF2-40B4-BE49-F238E27FC236}">
                  <a16:creationId xmlns:a16="http://schemas.microsoft.com/office/drawing/2014/main" id="{24F21EF8-00B7-3024-A7A4-1EF7D0A20AA0}"/>
                </a:ext>
              </a:extLst>
            </xdr:cNvPr>
            <xdr:cNvGrpSpPr/>
          </xdr:nvGrpSpPr>
          <xdr:grpSpPr>
            <a:xfrm>
              <a:off x="7939083" y="3986213"/>
              <a:ext cx="4572000" cy="4309200"/>
              <a:chOff x="1500187" y="3571875"/>
              <a:chExt cx="5405437" cy="4929187"/>
            </a:xfrm>
          </xdr:grpSpPr>
          <xdr:sp macro="" textlink="$P$7">
            <xdr:nvSpPr>
              <xdr:cNvPr id="70" name="Rectángulo: esquinas redondeadas 69">
                <a:extLst>
                  <a:ext uri="{FF2B5EF4-FFF2-40B4-BE49-F238E27FC236}">
                    <a16:creationId xmlns:a16="http://schemas.microsoft.com/office/drawing/2014/main" id="{4B39A689-944D-8AA1-D78A-410B40A752C6}"/>
                  </a:ext>
                </a:extLst>
              </xdr:cNvPr>
              <xdr:cNvSpPr/>
            </xdr:nvSpPr>
            <xdr:spPr>
              <a:xfrm>
                <a:off x="1500187" y="3571875"/>
                <a:ext cx="5405437" cy="4929187"/>
              </a:xfrm>
              <a:prstGeom prst="roundRect">
                <a:avLst/>
              </a:prstGeom>
              <a:ln w="57150">
                <a:solidFill>
                  <a:schemeClr val="accent2">
                    <a:lumMod val="75000"/>
                  </a:schemeClr>
                </a:solidFill>
              </a:ln>
            </xdr:spPr>
            <xdr:style>
              <a:lnRef idx="2">
                <a:schemeClr val="accent5"/>
              </a:lnRef>
              <a:fillRef idx="1">
                <a:schemeClr val="lt1"/>
              </a:fillRef>
              <a:effectRef idx="0">
                <a:schemeClr val="accent5"/>
              </a:effectRef>
              <a:fontRef idx="minor">
                <a:schemeClr val="dk1"/>
              </a:fontRef>
            </xdr:style>
            <xdr:txBody>
              <a:bodyPr vertOverflow="clip" horzOverflow="clip" rtlCol="0" anchor="b"/>
              <a:lstStyle/>
              <a:p>
                <a:pPr algn="ctr"/>
                <a:endParaRPr lang="es-PE" sz="3600">
                  <a:solidFill>
                    <a:srgbClr val="92D050"/>
                  </a:solidFill>
                </a:endParaRPr>
              </a:p>
            </xdr:txBody>
          </xdr:sp>
          <xdr:grpSp>
            <xdr:nvGrpSpPr>
              <xdr:cNvPr id="71" name="Grupo 70">
                <a:extLst>
                  <a:ext uri="{FF2B5EF4-FFF2-40B4-BE49-F238E27FC236}">
                    <a16:creationId xmlns:a16="http://schemas.microsoft.com/office/drawing/2014/main" id="{4EADAB59-33CE-AFE2-878F-D0B6E1DD84F6}"/>
                  </a:ext>
                </a:extLst>
              </xdr:cNvPr>
              <xdr:cNvGrpSpPr/>
            </xdr:nvGrpSpPr>
            <xdr:grpSpPr>
              <a:xfrm>
                <a:off x="1833562" y="4160862"/>
                <a:ext cx="4819134" cy="3109615"/>
                <a:chOff x="1833562" y="4160862"/>
                <a:chExt cx="4819134" cy="3109615"/>
              </a:xfrm>
            </xdr:grpSpPr>
            <xdr:sp macro="" textlink="">
              <xdr:nvSpPr>
                <xdr:cNvPr id="72" name="CuadroTexto 71">
                  <a:extLst>
                    <a:ext uri="{FF2B5EF4-FFF2-40B4-BE49-F238E27FC236}">
                      <a16:creationId xmlns:a16="http://schemas.microsoft.com/office/drawing/2014/main" id="{42EB4BAB-5438-45E2-A03F-7177E0D7C5F8}"/>
                    </a:ext>
                  </a:extLst>
                </xdr:cNvPr>
                <xdr:cNvSpPr txBox="1"/>
              </xdr:nvSpPr>
              <xdr:spPr>
                <a:xfrm>
                  <a:off x="1833562" y="4160862"/>
                  <a:ext cx="4786313" cy="147043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PE" sz="2800"/>
                    <a:t>⚠️</a:t>
                  </a:r>
                  <a:r>
                    <a:rPr lang="es-PE" sz="2800" b="1">
                      <a:solidFill>
                        <a:sysClr val="windowText" lastClr="000000"/>
                      </a:solidFill>
                      <a:latin typeface="+mn-lt"/>
                      <a:cs typeface="Segoe UI" panose="020B0502040204020203" pitchFamily="34" charset="0"/>
                    </a:rPr>
                    <a:t>EQUIPO</a:t>
                  </a:r>
                  <a:r>
                    <a:rPr lang="es-PE" sz="2800" b="1" baseline="0">
                      <a:solidFill>
                        <a:sysClr val="windowText" lastClr="000000"/>
                      </a:solidFill>
                      <a:latin typeface="+mn-lt"/>
                      <a:cs typeface="Segoe UI" panose="020B0502040204020203" pitchFamily="34" charset="0"/>
                    </a:rPr>
                    <a:t> CRÍTICO </a:t>
                  </a:r>
                </a:p>
                <a:p>
                  <a:pPr algn="ctr"/>
                  <a:r>
                    <a:rPr lang="es-PE" sz="2800" b="1" baseline="0">
                      <a:solidFill>
                        <a:sysClr val="windowText" lastClr="000000"/>
                      </a:solidFill>
                      <a:latin typeface="+mn-lt"/>
                      <a:cs typeface="Segoe UI" panose="020B0502040204020203" pitchFamily="34" charset="0"/>
                    </a:rPr>
                    <a:t>DEL DIA</a:t>
                  </a:r>
                  <a:endParaRPr lang="es-PE" sz="3600" b="1">
                    <a:solidFill>
                      <a:sysClr val="windowText" lastClr="000000"/>
                    </a:solidFill>
                    <a:latin typeface="+mn-lt"/>
                    <a:cs typeface="Segoe UI" panose="020B0502040204020203" pitchFamily="34" charset="0"/>
                  </a:endParaRPr>
                </a:p>
              </xdr:txBody>
            </xdr:sp>
            <xdr:sp macro="" textlink="$P$10">
              <xdr:nvSpPr>
                <xdr:cNvPr id="73" name="CuadroTexto 72">
                  <a:extLst>
                    <a:ext uri="{FF2B5EF4-FFF2-40B4-BE49-F238E27FC236}">
                      <a16:creationId xmlns:a16="http://schemas.microsoft.com/office/drawing/2014/main" id="{01B155FC-D853-2830-D7FA-F8D3F260BE83}"/>
                    </a:ext>
                  </a:extLst>
                </xdr:cNvPr>
                <xdr:cNvSpPr txBox="1"/>
              </xdr:nvSpPr>
              <xdr:spPr>
                <a:xfrm>
                  <a:off x="1838797" y="5426235"/>
                  <a:ext cx="4813899" cy="1844242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fld id="{17DBE9BB-5D9E-40C4-AB0F-4CDB37C60D4D}" type="TxLink">
                    <a:rPr lang="en-US" sz="3600" b="0" i="0" u="none" strike="noStrike">
                      <a:solidFill>
                        <a:schemeClr val="accent2">
                          <a:lumMod val="75000"/>
                        </a:schemeClr>
                      </a:solidFill>
                      <a:latin typeface="Calibri"/>
                      <a:ea typeface="Calibri"/>
                      <a:cs typeface="Calibri"/>
                    </a:rPr>
                    <a:pPr algn="ctr"/>
                    <a:t>EMP. SACMI</a:t>
                  </a:fld>
                  <a:endParaRPr lang="es-PE" sz="307000">
                    <a:solidFill>
                      <a:schemeClr val="accent2">
                        <a:lumMod val="75000"/>
                      </a:schemeClr>
                    </a:solidFill>
                  </a:endParaRPr>
                </a:p>
              </xdr:txBody>
            </xdr:sp>
          </xdr:grpSp>
        </xdr:grpSp>
        <xdr:sp macro="" textlink="$Q$10">
          <xdr:nvSpPr>
            <xdr:cNvPr id="69" name="CuadroTexto 68">
              <a:extLst>
                <a:ext uri="{FF2B5EF4-FFF2-40B4-BE49-F238E27FC236}">
                  <a16:creationId xmlns:a16="http://schemas.microsoft.com/office/drawing/2014/main" id="{10162254-D694-1EB0-4AA4-21E1810D728A}"/>
                </a:ext>
              </a:extLst>
            </xdr:cNvPr>
            <xdr:cNvSpPr txBox="1"/>
          </xdr:nvSpPr>
          <xdr:spPr>
            <a:xfrm>
              <a:off x="8240293" y="7177215"/>
              <a:ext cx="847833" cy="599454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fld id="{FFD2E4C6-3EB2-4234-AE2E-DD7931AC6E2B}" type="TxLink">
                <a:rPr lang="en-US" sz="2800" b="0" i="0" u="none" strike="noStrike">
                  <a:solidFill>
                    <a:schemeClr val="accent2">
                      <a:lumMod val="75000"/>
                    </a:schemeClr>
                  </a:solidFill>
                  <a:latin typeface="Calibri"/>
                  <a:ea typeface="Calibri"/>
                  <a:cs typeface="Calibri"/>
                </a:rPr>
                <a:pPr algn="ctr"/>
                <a:t>0:24</a:t>
              </a:fld>
              <a:endParaRPr lang="es-PE" sz="4800" b="1">
                <a:solidFill>
                  <a:schemeClr val="accent2">
                    <a:lumMod val="7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78" name="Grupo 77">
            <a:extLst>
              <a:ext uri="{FF2B5EF4-FFF2-40B4-BE49-F238E27FC236}">
                <a16:creationId xmlns:a16="http://schemas.microsoft.com/office/drawing/2014/main" id="{EF0C4F71-69D7-AB81-679E-7D35E2573125}"/>
              </a:ext>
            </a:extLst>
          </xdr:cNvPr>
          <xdr:cNvGrpSpPr/>
        </xdr:nvGrpSpPr>
        <xdr:grpSpPr>
          <a:xfrm>
            <a:off x="16874830" y="7142086"/>
            <a:ext cx="3023760" cy="717741"/>
            <a:chOff x="16874830" y="7142086"/>
            <a:chExt cx="3023760" cy="717741"/>
          </a:xfrm>
        </xdr:grpSpPr>
        <xdr:sp macro="" textlink="$S$10">
          <xdr:nvSpPr>
            <xdr:cNvPr id="75" name="CuadroTexto 74">
              <a:extLst>
                <a:ext uri="{FF2B5EF4-FFF2-40B4-BE49-F238E27FC236}">
                  <a16:creationId xmlns:a16="http://schemas.microsoft.com/office/drawing/2014/main" id="{0F2F90D6-A3AE-4C67-B40E-61D2483DB85E}"/>
                </a:ext>
              </a:extLst>
            </xdr:cNvPr>
            <xdr:cNvSpPr txBox="1"/>
          </xdr:nvSpPr>
          <xdr:spPr>
            <a:xfrm>
              <a:off x="17474047" y="7223721"/>
              <a:ext cx="813953" cy="450522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1FBBB254-D64A-41FF-8360-23DF9F5B79D0}" type="TxLink">
                <a:rPr lang="en-US" sz="2800" b="0" i="0" u="none" strike="noStrike">
                  <a:solidFill>
                    <a:schemeClr val="accent2">
                      <a:lumMod val="75000"/>
                    </a:schemeClr>
                  </a:solidFill>
                  <a:latin typeface="Calibri"/>
                  <a:ea typeface="Calibri"/>
                  <a:cs typeface="Calibri"/>
                </a:rPr>
                <a:pPr algn="ctr"/>
                <a:t>4%</a:t>
              </a:fld>
              <a:endParaRPr lang="es-PE" sz="6600" b="1">
                <a:solidFill>
                  <a:schemeClr val="accent2">
                    <a:lumMod val="7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grpSp>
          <xdr:nvGrpSpPr>
            <xdr:cNvPr id="77" name="Grupo 76">
              <a:extLst>
                <a:ext uri="{FF2B5EF4-FFF2-40B4-BE49-F238E27FC236}">
                  <a16:creationId xmlns:a16="http://schemas.microsoft.com/office/drawing/2014/main" id="{51FDED13-926A-A2B2-9F64-62D5FA98C87A}"/>
                </a:ext>
              </a:extLst>
            </xdr:cNvPr>
            <xdr:cNvGrpSpPr/>
          </xdr:nvGrpSpPr>
          <xdr:grpSpPr>
            <a:xfrm>
              <a:off x="16874830" y="7142086"/>
              <a:ext cx="3023760" cy="717741"/>
              <a:chOff x="16874830" y="7142086"/>
              <a:chExt cx="3023760" cy="717741"/>
            </a:xfrm>
          </xdr:grpSpPr>
          <xdr:sp macro="" textlink="">
            <xdr:nvSpPr>
              <xdr:cNvPr id="74" name="CuadroTexto 73">
                <a:extLst>
                  <a:ext uri="{FF2B5EF4-FFF2-40B4-BE49-F238E27FC236}">
                    <a16:creationId xmlns:a16="http://schemas.microsoft.com/office/drawing/2014/main" id="{916854AD-4DF6-454F-BAEF-F5336C7576A4}"/>
                  </a:ext>
                </a:extLst>
              </xdr:cNvPr>
              <xdr:cNvSpPr txBox="1"/>
            </xdr:nvSpPr>
            <xdr:spPr>
              <a:xfrm>
                <a:off x="16874830" y="7147027"/>
                <a:ext cx="564577" cy="616775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en-US" sz="2800" b="0" i="0" u="none" strike="noStrike">
                    <a:solidFill>
                      <a:schemeClr val="accent2">
                        <a:lumMod val="75000"/>
                      </a:schemeClr>
                    </a:solidFill>
                    <a:latin typeface="Calibri"/>
                    <a:ea typeface="Calibri"/>
                    <a:cs typeface="Calibri"/>
                  </a:rPr>
                  <a:t>h - </a:t>
                </a:r>
                <a:r>
                  <a:rPr lang="en-US" sz="2800" b="0" i="0" u="none" strike="noStrike" baseline="0">
                    <a:solidFill>
                      <a:schemeClr val="accent2">
                        <a:lumMod val="75000"/>
                      </a:schemeClr>
                    </a:solidFill>
                    <a:latin typeface="Calibri"/>
                    <a:ea typeface="Calibri"/>
                    <a:cs typeface="Calibri"/>
                  </a:rPr>
                  <a:t> </a:t>
                </a:r>
                <a:endParaRPr lang="en-US" sz="2800" b="0" i="0" u="none" strike="noStrike">
                  <a:solidFill>
                    <a:schemeClr val="accent2">
                      <a:lumMod val="75000"/>
                    </a:schemeClr>
                  </a:solidFill>
                  <a:latin typeface="Calibri"/>
                  <a:ea typeface="Calibri"/>
                  <a:cs typeface="Calibri"/>
                </a:endParaRPr>
              </a:p>
            </xdr:txBody>
          </xdr:sp>
          <xdr:sp macro="" textlink="">
            <xdr:nvSpPr>
              <xdr:cNvPr id="76" name="CuadroTexto 75">
                <a:extLst>
                  <a:ext uri="{FF2B5EF4-FFF2-40B4-BE49-F238E27FC236}">
                    <a16:creationId xmlns:a16="http://schemas.microsoft.com/office/drawing/2014/main" id="{734EB295-4EAA-4F2E-A84A-9ADE4A9FA750}"/>
                  </a:ext>
                </a:extLst>
              </xdr:cNvPr>
              <xdr:cNvSpPr txBox="1"/>
            </xdr:nvSpPr>
            <xdr:spPr>
              <a:xfrm>
                <a:off x="18242229" y="7142086"/>
                <a:ext cx="1656361" cy="717741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en-US" sz="1600" b="0" i="0" u="none" strike="noStrike">
                    <a:solidFill>
                      <a:schemeClr val="accent2">
                        <a:lumMod val="75000"/>
                      </a:schemeClr>
                    </a:solidFill>
                    <a:latin typeface="Calibri"/>
                    <a:ea typeface="Calibri"/>
                    <a:cs typeface="Calibri"/>
                  </a:rPr>
                  <a:t>del tiempo total no programado</a:t>
                </a:r>
              </a:p>
            </xdr:txBody>
          </xdr:sp>
        </xdr:grpSp>
      </xdr:grpSp>
    </xdr:grpSp>
    <xdr:clientData/>
  </xdr:twoCellAnchor>
  <xdr:twoCellAnchor editAs="absolute">
    <xdr:from>
      <xdr:col>11</xdr:col>
      <xdr:colOff>2341413</xdr:colOff>
      <xdr:row>3</xdr:row>
      <xdr:rowOff>1228725</xdr:rowOff>
    </xdr:from>
    <xdr:to>
      <xdr:col>11</xdr:col>
      <xdr:colOff>6930731</xdr:colOff>
      <xdr:row>13</xdr:row>
      <xdr:rowOff>276641</xdr:rowOff>
    </xdr:to>
    <xdr:grpSp>
      <xdr:nvGrpSpPr>
        <xdr:cNvPr id="82" name="Grupo 81">
          <a:extLst>
            <a:ext uri="{FF2B5EF4-FFF2-40B4-BE49-F238E27FC236}">
              <a16:creationId xmlns:a16="http://schemas.microsoft.com/office/drawing/2014/main" id="{D238A97F-E7AD-4DF3-BC0A-B46387ACE6DA}"/>
            </a:ext>
          </a:extLst>
        </xdr:cNvPr>
        <xdr:cNvGrpSpPr>
          <a:grpSpLocks/>
        </xdr:cNvGrpSpPr>
      </xdr:nvGrpSpPr>
      <xdr:grpSpPr>
        <a:xfrm>
          <a:off x="20600838" y="2771775"/>
          <a:ext cx="4589318" cy="4058066"/>
          <a:chOff x="15801104" y="4024747"/>
          <a:chExt cx="4589318" cy="4133853"/>
        </a:xfrm>
      </xdr:grpSpPr>
      <xdr:grpSp>
        <xdr:nvGrpSpPr>
          <xdr:cNvPr id="89" name="Grupo 88">
            <a:extLst>
              <a:ext uri="{FF2B5EF4-FFF2-40B4-BE49-F238E27FC236}">
                <a16:creationId xmlns:a16="http://schemas.microsoft.com/office/drawing/2014/main" id="{2B09EB4B-1C3F-592D-BAC9-897A4C3C72C5}"/>
              </a:ext>
            </a:extLst>
          </xdr:cNvPr>
          <xdr:cNvGrpSpPr/>
        </xdr:nvGrpSpPr>
        <xdr:grpSpPr>
          <a:xfrm>
            <a:off x="15801104" y="4024747"/>
            <a:ext cx="4589318" cy="4133853"/>
            <a:chOff x="1500187" y="3571875"/>
            <a:chExt cx="5405437" cy="4929187"/>
          </a:xfrm>
        </xdr:grpSpPr>
        <xdr:sp macro="" textlink="$P$7">
          <xdr:nvSpPr>
            <xdr:cNvPr id="91" name="Rectángulo: esquinas redondeadas 90">
              <a:extLst>
                <a:ext uri="{FF2B5EF4-FFF2-40B4-BE49-F238E27FC236}">
                  <a16:creationId xmlns:a16="http://schemas.microsoft.com/office/drawing/2014/main" id="{CF7CA5C3-B164-4FF5-824F-9530731AA9E4}"/>
                </a:ext>
              </a:extLst>
            </xdr:cNvPr>
            <xdr:cNvSpPr/>
          </xdr:nvSpPr>
          <xdr:spPr>
            <a:xfrm>
              <a:off x="1500187" y="3571875"/>
              <a:ext cx="5405437" cy="4929187"/>
            </a:xfrm>
            <a:prstGeom prst="roundRect">
              <a:avLst/>
            </a:prstGeom>
            <a:ln w="57150">
              <a:solidFill>
                <a:srgbClr val="9D58FA"/>
              </a:solidFill>
            </a:ln>
          </xdr:spPr>
          <xdr:style>
            <a:lnRef idx="2">
              <a:schemeClr val="accent5"/>
            </a:lnRef>
            <a:fillRef idx="1">
              <a:schemeClr val="lt1"/>
            </a:fillRef>
            <a:effectRef idx="0">
              <a:schemeClr val="accent5"/>
            </a:effectRef>
            <a:fontRef idx="minor">
              <a:schemeClr val="dk1"/>
            </a:fontRef>
          </xdr:style>
          <xdr:txBody>
            <a:bodyPr vertOverflow="clip" horzOverflow="clip" rtlCol="0" anchor="b"/>
            <a:lstStyle/>
            <a:p>
              <a:pPr algn="ctr"/>
              <a:endParaRPr lang="es-PE" sz="3600">
                <a:solidFill>
                  <a:srgbClr val="92D050"/>
                </a:solidFill>
              </a:endParaRPr>
            </a:p>
          </xdr:txBody>
        </xdr:sp>
        <xdr:grpSp>
          <xdr:nvGrpSpPr>
            <xdr:cNvPr id="92" name="Grupo 91">
              <a:extLst>
                <a:ext uri="{FF2B5EF4-FFF2-40B4-BE49-F238E27FC236}">
                  <a16:creationId xmlns:a16="http://schemas.microsoft.com/office/drawing/2014/main" id="{52871B2C-739C-0F2E-F159-32FB31800B8C}"/>
                </a:ext>
              </a:extLst>
            </xdr:cNvPr>
            <xdr:cNvGrpSpPr/>
          </xdr:nvGrpSpPr>
          <xdr:grpSpPr>
            <a:xfrm>
              <a:off x="1833562" y="4160862"/>
              <a:ext cx="5023113" cy="3193078"/>
              <a:chOff x="1833562" y="4160862"/>
              <a:chExt cx="5023113" cy="3193078"/>
            </a:xfrm>
          </xdr:grpSpPr>
          <xdr:sp macro="" textlink="">
            <xdr:nvSpPr>
              <xdr:cNvPr id="93" name="CuadroTexto 92">
                <a:extLst>
                  <a:ext uri="{FF2B5EF4-FFF2-40B4-BE49-F238E27FC236}">
                    <a16:creationId xmlns:a16="http://schemas.microsoft.com/office/drawing/2014/main" id="{5308027F-858C-269A-275C-0EB436C4CAB9}"/>
                  </a:ext>
                </a:extLst>
              </xdr:cNvPr>
              <xdr:cNvSpPr txBox="1"/>
            </xdr:nvSpPr>
            <xdr:spPr>
              <a:xfrm>
                <a:off x="1833562" y="4160862"/>
                <a:ext cx="4786313" cy="1240610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es-PE" sz="2800" b="0" i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✅</a:t>
                </a:r>
                <a:r>
                  <a:rPr lang="es-PE" sz="2800" b="1">
                    <a:solidFill>
                      <a:sysClr val="windowText" lastClr="000000"/>
                    </a:solidFill>
                    <a:latin typeface="+mn-lt"/>
                    <a:cs typeface="Segoe UI" panose="020B0502040204020203" pitchFamily="34" charset="0"/>
                  </a:rPr>
                  <a:t>TASA</a:t>
                </a:r>
                <a:r>
                  <a:rPr lang="es-PE" sz="2800" b="1" baseline="0">
                    <a:solidFill>
                      <a:sysClr val="windowText" lastClr="000000"/>
                    </a:solidFill>
                    <a:latin typeface="+mn-lt"/>
                    <a:cs typeface="Segoe UI" panose="020B0502040204020203" pitchFamily="34" charset="0"/>
                  </a:rPr>
                  <a:t> DE ACTIVIDADES PROGRAMADAS</a:t>
                </a:r>
                <a:endParaRPr lang="es-PE" sz="3600" b="1">
                  <a:solidFill>
                    <a:sysClr val="windowText" lastClr="000000"/>
                  </a:solidFill>
                  <a:latin typeface="+mn-lt"/>
                  <a:cs typeface="Segoe UI" panose="020B0502040204020203" pitchFamily="34" charset="0"/>
                </a:endParaRPr>
              </a:p>
            </xdr:txBody>
          </xdr:sp>
          <xdr:sp macro="" textlink="$Q$11">
            <xdr:nvSpPr>
              <xdr:cNvPr id="94" name="CuadroTexto 93">
                <a:extLst>
                  <a:ext uri="{FF2B5EF4-FFF2-40B4-BE49-F238E27FC236}">
                    <a16:creationId xmlns:a16="http://schemas.microsoft.com/office/drawing/2014/main" id="{49666090-1C4F-9162-ECA1-9EC51E642C9B}"/>
                  </a:ext>
                </a:extLst>
              </xdr:cNvPr>
              <xdr:cNvSpPr txBox="1"/>
            </xdr:nvSpPr>
            <xdr:spPr>
              <a:xfrm>
                <a:off x="2042776" y="5546024"/>
                <a:ext cx="4813899" cy="1807916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8ED96936-CF20-4F5A-B07A-2A179327BC0E}" type="TxLink">
                  <a:rPr lang="en-US" sz="8800" b="0" i="0" u="none" strike="noStrike">
                    <a:solidFill>
                      <a:srgbClr val="9D58FA"/>
                    </a:solidFill>
                    <a:latin typeface="Calibri"/>
                    <a:ea typeface="Calibri"/>
                    <a:cs typeface="Calibri"/>
                  </a:rPr>
                  <a:pPr algn="ctr"/>
                  <a:t>61%</a:t>
                </a:fld>
                <a:endParaRPr lang="es-PE" sz="400000">
                  <a:solidFill>
                    <a:srgbClr val="9D58FA"/>
                  </a:solidFill>
                </a:endParaRPr>
              </a:p>
            </xdr:txBody>
          </xdr:sp>
        </xdr:grpSp>
      </xdr:grpSp>
      <xdr:sp macro="" textlink="">
        <xdr:nvSpPr>
          <xdr:cNvPr id="87" name="CuadroTexto 86">
            <a:extLst>
              <a:ext uri="{FF2B5EF4-FFF2-40B4-BE49-F238E27FC236}">
                <a16:creationId xmlns:a16="http://schemas.microsoft.com/office/drawing/2014/main" id="{A98EFC8E-7A52-625F-4429-DBFB76A21D9A}"/>
              </a:ext>
            </a:extLst>
          </xdr:cNvPr>
          <xdr:cNvSpPr txBox="1"/>
        </xdr:nvSpPr>
        <xdr:spPr>
          <a:xfrm>
            <a:off x="16213282" y="7211293"/>
            <a:ext cx="3775363" cy="61677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200" b="0" i="0" u="none" strike="noStrike">
                <a:solidFill>
                  <a:srgbClr val="9D58FA"/>
                </a:solidFill>
                <a:latin typeface="Calibri"/>
                <a:ea typeface="Calibri"/>
                <a:cs typeface="Calibri"/>
              </a:rPr>
              <a:t>Act.</a:t>
            </a:r>
            <a:r>
              <a:rPr lang="en-US" sz="2200" b="0" i="0" u="none" strike="noStrike" baseline="0">
                <a:solidFill>
                  <a:srgbClr val="9D58FA"/>
                </a:solidFill>
                <a:latin typeface="Calibri"/>
                <a:ea typeface="Calibri"/>
                <a:cs typeface="Calibri"/>
              </a:rPr>
              <a:t> programadas / Act. Totales</a:t>
            </a:r>
            <a:endParaRPr lang="en-US" sz="2200" b="0" i="0" u="none" strike="noStrike">
              <a:solidFill>
                <a:srgbClr val="9D58FA"/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  <xdr:twoCellAnchor editAs="absolute">
    <xdr:from>
      <xdr:col>4</xdr:col>
      <xdr:colOff>372341</xdr:colOff>
      <xdr:row>2</xdr:row>
      <xdr:rowOff>248948</xdr:rowOff>
    </xdr:from>
    <xdr:to>
      <xdr:col>11</xdr:col>
      <xdr:colOff>1671204</xdr:colOff>
      <xdr:row>3</xdr:row>
      <xdr:rowOff>352859</xdr:rowOff>
    </xdr:to>
    <xdr:sp macro="" textlink="$M$4">
      <xdr:nvSpPr>
        <xdr:cNvPr id="95" name="Rectángulo: esquinas redondeadas 94">
          <a:extLst>
            <a:ext uri="{FF2B5EF4-FFF2-40B4-BE49-F238E27FC236}">
              <a16:creationId xmlns:a16="http://schemas.microsoft.com/office/drawing/2014/main" id="{F797812E-1131-4603-AC47-C834B8991FD1}"/>
            </a:ext>
          </a:extLst>
        </xdr:cNvPr>
        <xdr:cNvSpPr/>
      </xdr:nvSpPr>
      <xdr:spPr>
        <a:xfrm>
          <a:off x="6754091" y="629948"/>
          <a:ext cx="13157488" cy="1246911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4CEA802A-6B68-4132-8570-0F9234BC9006}" type="TxLink">
            <a:rPr lang="en-US" sz="60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algn="ctr"/>
            <a:t>RESUMEN DIARIO - MANTENIMIENTO</a:t>
          </a:fld>
          <a:endParaRPr lang="en-US" sz="85700">
            <a:solidFill>
              <a:schemeClr val="accent1">
                <a:lumMod val="50000"/>
              </a:schemeClr>
            </a:solidFill>
            <a:latin typeface="+mn-lt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4</xdr:col>
      <xdr:colOff>412172</xdr:colOff>
      <xdr:row>3</xdr:row>
      <xdr:rowOff>31172</xdr:rowOff>
    </xdr:from>
    <xdr:to>
      <xdr:col>11</xdr:col>
      <xdr:colOff>1711035</xdr:colOff>
      <xdr:row>3</xdr:row>
      <xdr:rowOff>831273</xdr:rowOff>
    </xdr:to>
    <xdr:sp macro="" textlink="$M$5">
      <xdr:nvSpPr>
        <xdr:cNvPr id="96" name="Rectángulo: esquinas redondeadas 95">
          <a:extLst>
            <a:ext uri="{FF2B5EF4-FFF2-40B4-BE49-F238E27FC236}">
              <a16:creationId xmlns:a16="http://schemas.microsoft.com/office/drawing/2014/main" id="{876258C3-EE49-474F-9EA4-BF62E051352F}"/>
            </a:ext>
          </a:extLst>
        </xdr:cNvPr>
        <xdr:cNvSpPr/>
      </xdr:nvSpPr>
      <xdr:spPr>
        <a:xfrm>
          <a:off x="6785263" y="1589808"/>
          <a:ext cx="13179136" cy="800101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84A885D-8A90-4D5F-8682-D7F80A4E1BD5}" type="TxLink">
            <a:rPr lang="en-US" sz="6000" b="1" i="0" u="none" strike="noStrike">
              <a:solidFill>
                <a:schemeClr val="accent1">
                  <a:lumMod val="60000"/>
                  <a:lumOff val="40000"/>
                </a:schemeClr>
              </a:solidFill>
              <a:latin typeface="Calibri"/>
              <a:ea typeface="Calibri"/>
              <a:cs typeface="Calibri"/>
            </a:rPr>
            <a:pPr algn="ctr"/>
            <a:t>Fabrica de Chocolates la Iberica</a:t>
          </a:fld>
          <a:endParaRPr lang="en-US" sz="85700" b="1">
            <a:solidFill>
              <a:schemeClr val="accent1">
                <a:lumMod val="60000"/>
                <a:lumOff val="40000"/>
              </a:schemeClr>
            </a:solidFill>
            <a:latin typeface="+mn-lt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11</xdr:col>
      <xdr:colOff>514405</xdr:colOff>
      <xdr:row>2</xdr:row>
      <xdr:rowOff>260401</xdr:rowOff>
    </xdr:from>
    <xdr:to>
      <xdr:col>11</xdr:col>
      <xdr:colOff>6863621</xdr:colOff>
      <xdr:row>3</xdr:row>
      <xdr:rowOff>848590</xdr:rowOff>
    </xdr:to>
    <xdr:grpSp>
      <xdr:nvGrpSpPr>
        <xdr:cNvPr id="105" name="Grupo 104">
          <a:extLst>
            <a:ext uri="{FF2B5EF4-FFF2-40B4-BE49-F238E27FC236}">
              <a16:creationId xmlns:a16="http://schemas.microsoft.com/office/drawing/2014/main" id="{CBCEF131-F085-6DD7-ADFB-29A9C98A9BAF}"/>
            </a:ext>
          </a:extLst>
        </xdr:cNvPr>
        <xdr:cNvGrpSpPr/>
      </xdr:nvGrpSpPr>
      <xdr:grpSpPr>
        <a:xfrm>
          <a:off x="18773830" y="650926"/>
          <a:ext cx="6349216" cy="1740714"/>
          <a:chOff x="19658920" y="630136"/>
          <a:chExt cx="6051215" cy="1745856"/>
        </a:xfrm>
      </xdr:grpSpPr>
      <xdr:grpSp>
        <xdr:nvGrpSpPr>
          <xdr:cNvPr id="104" name="Grupo 103">
            <a:extLst>
              <a:ext uri="{FF2B5EF4-FFF2-40B4-BE49-F238E27FC236}">
                <a16:creationId xmlns:a16="http://schemas.microsoft.com/office/drawing/2014/main" id="{1EAC4471-452E-9775-F4A8-DFA4A315D2E3}"/>
              </a:ext>
            </a:extLst>
          </xdr:cNvPr>
          <xdr:cNvGrpSpPr/>
        </xdr:nvGrpSpPr>
        <xdr:grpSpPr>
          <a:xfrm>
            <a:off x="19658920" y="630136"/>
            <a:ext cx="5666237" cy="1745856"/>
            <a:chOff x="19658920" y="630136"/>
            <a:chExt cx="5666237" cy="1745856"/>
          </a:xfrm>
        </xdr:grpSpPr>
        <xdr:grpSp>
          <xdr:nvGrpSpPr>
            <xdr:cNvPr id="13" name="Grupo 12">
              <a:extLst>
                <a:ext uri="{FF2B5EF4-FFF2-40B4-BE49-F238E27FC236}">
                  <a16:creationId xmlns:a16="http://schemas.microsoft.com/office/drawing/2014/main" id="{1EA38E4D-0896-C0AF-83ED-836A3F412E93}"/>
                </a:ext>
              </a:extLst>
            </xdr:cNvPr>
            <xdr:cNvGrpSpPr/>
          </xdr:nvGrpSpPr>
          <xdr:grpSpPr>
            <a:xfrm>
              <a:off x="20984246" y="630136"/>
              <a:ext cx="4340911" cy="985013"/>
              <a:chOff x="126358103" y="-4572358"/>
              <a:chExt cx="32790060" cy="3717297"/>
            </a:xfrm>
          </xdr:grpSpPr>
          <xdr:sp macro="" textlink="$P$3">
            <xdr:nvSpPr>
              <xdr:cNvPr id="8" name="Rectángulo: esquinas redondeadas 7">
                <a:extLst>
                  <a:ext uri="{FF2B5EF4-FFF2-40B4-BE49-F238E27FC236}">
                    <a16:creationId xmlns:a16="http://schemas.microsoft.com/office/drawing/2014/main" id="{37A0A979-EFC4-EBCF-EDD8-C4BB6EB18EF8}"/>
                  </a:ext>
                </a:extLst>
              </xdr:cNvPr>
              <xdr:cNvSpPr/>
            </xdr:nvSpPr>
            <xdr:spPr>
              <a:xfrm>
                <a:off x="132642294" y="-4572358"/>
                <a:ext cx="26505869" cy="3064724"/>
              </a:xfrm>
              <a:prstGeom prst="roundRect">
                <a:avLst/>
              </a:prstGeom>
              <a:solidFill>
                <a:schemeClr val="bg1">
                  <a:lumMod val="85000"/>
                </a:schemeClr>
              </a:solidFill>
              <a:ln>
                <a:solidFill>
                  <a:schemeClr val="bg1">
                    <a:lumMod val="85000"/>
                  </a:schemeClr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fld id="{9365C9C2-B068-4224-8625-AB7908880BDF}" type="TxLink">
                  <a:rPr lang="en-US" sz="5400" b="0" i="0" u="none" strike="noStrike">
                    <a:solidFill>
                      <a:schemeClr val="accent1">
                        <a:lumMod val="50000"/>
                      </a:schemeClr>
                    </a:solidFill>
                    <a:latin typeface="Calibri"/>
                    <a:ea typeface="Calibri"/>
                    <a:cs typeface="Calibri"/>
                  </a:rPr>
                  <a:pPr algn="l"/>
                  <a:t>2/07/2026</a:t>
                </a:fld>
                <a:endParaRPr lang="en-US" sz="9600">
                  <a:solidFill>
                    <a:schemeClr val="accent1">
                      <a:lumMod val="50000"/>
                    </a:schemeClr>
                  </a:solidFill>
                  <a:latin typeface="+mn-lt"/>
                  <a:cs typeface="Segoe UI" panose="020B0502040204020203" pitchFamily="34" charset="0"/>
                </a:endParaRPr>
              </a:p>
            </xdr:txBody>
          </xdr:sp>
          <xdr:sp macro="" textlink="$Q$3">
            <xdr:nvSpPr>
              <xdr:cNvPr id="9" name="Rectángulo: esquinas redondeadas 8">
                <a:extLst>
                  <a:ext uri="{FF2B5EF4-FFF2-40B4-BE49-F238E27FC236}">
                    <a16:creationId xmlns:a16="http://schemas.microsoft.com/office/drawing/2014/main" id="{D28BAB83-19D4-404E-ADFC-956C9EAE8390}"/>
                  </a:ext>
                </a:extLst>
              </xdr:cNvPr>
              <xdr:cNvSpPr/>
            </xdr:nvSpPr>
            <xdr:spPr>
              <a:xfrm>
                <a:off x="126358103" y="-4313261"/>
                <a:ext cx="6358530" cy="3458200"/>
              </a:xfrm>
              <a:prstGeom prst="roundRect">
                <a:avLst/>
              </a:prstGeom>
              <a:solidFill>
                <a:schemeClr val="bg1">
                  <a:lumMod val="85000"/>
                </a:schemeClr>
              </a:solidFill>
              <a:ln>
                <a:solidFill>
                  <a:schemeClr val="bg1">
                    <a:lumMod val="85000"/>
                  </a:schemeClr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fld id="{56383757-759D-4A99-8D29-70EF53EB0048}" type="TxLink">
                  <a:rPr lang="en-US" sz="4000" b="0" i="0" u="none" strike="noStrike">
                    <a:solidFill>
                      <a:schemeClr val="accent1">
                        <a:lumMod val="50000"/>
                      </a:schemeClr>
                    </a:solidFill>
                    <a:latin typeface="Calibri"/>
                    <a:ea typeface="Calibri"/>
                    <a:cs typeface="Calibri"/>
                  </a:rPr>
                  <a:pPr algn="l"/>
                  <a:t>📅</a:t>
                </a:fld>
                <a:endParaRPr lang="en-US" sz="13800">
                  <a:solidFill>
                    <a:schemeClr val="accent1">
                      <a:lumMod val="50000"/>
                    </a:schemeClr>
                  </a:solidFill>
                </a:endParaRPr>
              </a:p>
            </xdr:txBody>
          </xdr:sp>
        </xdr:grpSp>
        <xdr:sp macro="" textlink="$M$5">
          <xdr:nvSpPr>
            <xdr:cNvPr id="103" name="Rectángulo: esquinas redondeadas 102">
              <a:extLst>
                <a:ext uri="{FF2B5EF4-FFF2-40B4-BE49-F238E27FC236}">
                  <a16:creationId xmlns:a16="http://schemas.microsoft.com/office/drawing/2014/main" id="{0DC8A847-E80C-4910-9294-CBC626B8A03F}"/>
                </a:ext>
              </a:extLst>
            </xdr:cNvPr>
            <xdr:cNvSpPr/>
          </xdr:nvSpPr>
          <xdr:spPr>
            <a:xfrm>
              <a:off x="19658920" y="1575891"/>
              <a:ext cx="1511876" cy="800101"/>
            </a:xfrm>
            <a:prstGeom prst="roundRect">
              <a:avLst/>
            </a:prstGeom>
            <a:solidFill>
              <a:schemeClr val="bg1">
                <a:lumMod val="85000"/>
              </a:schemeClr>
            </a:solidFill>
            <a:ln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r"/>
              <a:r>
                <a:rPr lang="en-US" sz="1600" b="1">
                  <a:solidFill>
                    <a:schemeClr val="accent1">
                      <a:lumMod val="75000"/>
                    </a:schemeClr>
                  </a:solidFill>
                  <a:latin typeface="+mn-lt"/>
                  <a:cs typeface="Segoe UI" panose="020B0502040204020203" pitchFamily="34" charset="0"/>
                </a:rPr>
                <a:t>TURNOS</a:t>
              </a:r>
              <a:r>
                <a:rPr lang="en-US" sz="1600" b="1" baseline="0">
                  <a:solidFill>
                    <a:schemeClr val="accent1">
                      <a:lumMod val="75000"/>
                    </a:schemeClr>
                  </a:solidFill>
                  <a:latin typeface="+mn-lt"/>
                  <a:cs typeface="Segoe UI" panose="020B0502040204020203" pitchFamily="34" charset="0"/>
                </a:rPr>
                <a:t> REGISTRADOS</a:t>
              </a:r>
              <a:endParaRPr lang="en-US" sz="1600" b="1">
                <a:solidFill>
                  <a:schemeClr val="accent1">
                    <a:lumMod val="75000"/>
                  </a:schemeClr>
                </a:solidFill>
                <a:latin typeface="+mn-lt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102" name="Grupo 101">
            <a:extLst>
              <a:ext uri="{FF2B5EF4-FFF2-40B4-BE49-F238E27FC236}">
                <a16:creationId xmlns:a16="http://schemas.microsoft.com/office/drawing/2014/main" id="{7EE913D9-9165-AD65-0E6F-075B06E8D0A1}"/>
              </a:ext>
            </a:extLst>
          </xdr:cNvPr>
          <xdr:cNvGrpSpPr/>
        </xdr:nvGrpSpPr>
        <xdr:grpSpPr>
          <a:xfrm>
            <a:off x="21186000" y="1722210"/>
            <a:ext cx="4524135" cy="486470"/>
            <a:chOff x="21145179" y="1640567"/>
            <a:chExt cx="4524135" cy="486470"/>
          </a:xfrm>
          <a:solidFill>
            <a:schemeClr val="bg1"/>
          </a:solidFill>
        </xdr:grpSpPr>
        <xdr:sp macro="" textlink="$S$5">
          <xdr:nvSpPr>
            <xdr:cNvPr id="99" name="Rectángulo: esquinas redondeadas 98">
              <a:extLst>
                <a:ext uri="{FF2B5EF4-FFF2-40B4-BE49-F238E27FC236}">
                  <a16:creationId xmlns:a16="http://schemas.microsoft.com/office/drawing/2014/main" id="{F2FD1D9A-C893-4F49-8B32-88A1F598CF3B}"/>
                </a:ext>
              </a:extLst>
            </xdr:cNvPr>
            <xdr:cNvSpPr/>
          </xdr:nvSpPr>
          <xdr:spPr>
            <a:xfrm>
              <a:off x="24171088" y="1640567"/>
              <a:ext cx="1498226" cy="477346"/>
            </a:xfrm>
            <a:prstGeom prst="roundRect">
              <a:avLst/>
            </a:prstGeom>
            <a:solidFill>
              <a:schemeClr val="accent1">
                <a:lumMod val="20000"/>
                <a:lumOff val="80000"/>
              </a:schemeClr>
            </a:solidFill>
            <a:ln>
              <a:solidFill>
                <a:schemeClr val="accent1">
                  <a:lumMod val="20000"/>
                  <a:lumOff val="80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46B64D68-6420-4507-9FA5-6237534BC3AC}" type="TxLink">
                <a:rPr lang="en-US" sz="2400" b="0" i="0" u="none" strike="noStrike">
                  <a:solidFill>
                    <a:schemeClr val="accent1">
                      <a:lumMod val="75000"/>
                    </a:schemeClr>
                  </a:solidFill>
                  <a:latin typeface="Calibri"/>
                  <a:ea typeface="Calibri"/>
                  <a:cs typeface="Calibri"/>
                </a:rPr>
                <a:pPr algn="ctr"/>
                <a:t>NOCHE</a:t>
              </a:fld>
              <a:endParaRPr lang="en-US" sz="23900">
                <a:solidFill>
                  <a:schemeClr val="accent1">
                    <a:lumMod val="75000"/>
                  </a:schemeClr>
                </a:solidFill>
                <a:latin typeface="+mn-lt"/>
                <a:cs typeface="Segoe UI" panose="020B0502040204020203" pitchFamily="34" charset="0"/>
              </a:endParaRPr>
            </a:p>
          </xdr:txBody>
        </xdr:sp>
        <xdr:sp macro="" textlink="$R$5">
          <xdr:nvSpPr>
            <xdr:cNvPr id="100" name="Rectángulo: esquinas redondeadas 99">
              <a:extLst>
                <a:ext uri="{FF2B5EF4-FFF2-40B4-BE49-F238E27FC236}">
                  <a16:creationId xmlns:a16="http://schemas.microsoft.com/office/drawing/2014/main" id="{295D337F-4E6E-41F0-8AD7-3804DE6DD9A8}"/>
                </a:ext>
              </a:extLst>
            </xdr:cNvPr>
            <xdr:cNvSpPr/>
          </xdr:nvSpPr>
          <xdr:spPr>
            <a:xfrm>
              <a:off x="22657814" y="1649691"/>
              <a:ext cx="1498226" cy="477346"/>
            </a:xfrm>
            <a:prstGeom prst="roundRect">
              <a:avLst/>
            </a:prstGeom>
            <a:solidFill>
              <a:schemeClr val="accent2">
                <a:lumMod val="20000"/>
                <a:lumOff val="80000"/>
              </a:schemeClr>
            </a:solidFill>
            <a:ln>
              <a:solidFill>
                <a:schemeClr val="accent2">
                  <a:lumMod val="20000"/>
                  <a:lumOff val="80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EAC96D3-6347-408B-B312-B8F87C5F7F11}" type="TxLink">
                <a:rPr lang="en-US" sz="2400" b="0" i="0" u="none" strike="noStrike">
                  <a:solidFill>
                    <a:schemeClr val="accent2">
                      <a:lumMod val="75000"/>
                    </a:schemeClr>
                  </a:solidFill>
                  <a:latin typeface="Calibri"/>
                  <a:ea typeface="Calibri"/>
                  <a:cs typeface="Calibri"/>
                </a:rPr>
                <a:pPr algn="ctr"/>
                <a:t>TARDE</a:t>
              </a:fld>
              <a:endParaRPr lang="en-US" sz="23900">
                <a:solidFill>
                  <a:schemeClr val="accent2">
                    <a:lumMod val="75000"/>
                  </a:schemeClr>
                </a:solidFill>
                <a:latin typeface="+mn-lt"/>
                <a:cs typeface="Segoe UI" panose="020B0502040204020203" pitchFamily="34" charset="0"/>
              </a:endParaRPr>
            </a:p>
          </xdr:txBody>
        </xdr:sp>
        <xdr:sp macro="" textlink="$Q$5">
          <xdr:nvSpPr>
            <xdr:cNvPr id="101" name="Rectángulo: esquinas redondeadas 100">
              <a:extLst>
                <a:ext uri="{FF2B5EF4-FFF2-40B4-BE49-F238E27FC236}">
                  <a16:creationId xmlns:a16="http://schemas.microsoft.com/office/drawing/2014/main" id="{F722FE30-55B9-426D-91BB-CB8528C24636}"/>
                </a:ext>
              </a:extLst>
            </xdr:cNvPr>
            <xdr:cNvSpPr/>
          </xdr:nvSpPr>
          <xdr:spPr>
            <a:xfrm>
              <a:off x="21145179" y="1645208"/>
              <a:ext cx="1498226" cy="477346"/>
            </a:xfrm>
            <a:prstGeom prst="roundRect">
              <a:avLst/>
            </a:prstGeom>
            <a:solidFill>
              <a:schemeClr val="accent4">
                <a:lumMod val="20000"/>
                <a:lumOff val="80000"/>
              </a:schemeClr>
            </a:solidFill>
            <a:ln>
              <a:solidFill>
                <a:schemeClr val="accent4">
                  <a:lumMod val="20000"/>
                  <a:lumOff val="80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A06A34C6-876D-4455-ACD3-5EE23B2A2734}" type="TxLink">
                <a:rPr lang="en-US" sz="2400" b="0" i="0" u="none" strike="noStrike">
                  <a:solidFill>
                    <a:schemeClr val="accent4">
                      <a:lumMod val="75000"/>
                    </a:schemeClr>
                  </a:solidFill>
                  <a:latin typeface="Calibri"/>
                  <a:ea typeface="Calibri"/>
                  <a:cs typeface="Calibri"/>
                </a:rPr>
                <a:pPr algn="ctr"/>
                <a:t>MAÑANA</a:t>
              </a:fld>
              <a:endParaRPr lang="en-US" sz="23900">
                <a:solidFill>
                  <a:schemeClr val="accent4">
                    <a:lumMod val="75000"/>
                  </a:schemeClr>
                </a:solidFill>
                <a:latin typeface="+mn-lt"/>
                <a:cs typeface="Segoe UI" panose="020B0502040204020203" pitchFamily="34" charset="0"/>
              </a:endParaRPr>
            </a:p>
          </xdr:txBody>
        </xdr:sp>
      </xdr:grpSp>
    </xdr:grpSp>
    <xdr:clientData/>
  </xdr:twoCellAnchor>
  <xdr:twoCellAnchor editAs="absolute">
    <xdr:from>
      <xdr:col>1</xdr:col>
      <xdr:colOff>454228</xdr:colOff>
      <xdr:row>14</xdr:row>
      <xdr:rowOff>222226</xdr:rowOff>
    </xdr:from>
    <xdr:to>
      <xdr:col>11</xdr:col>
      <xdr:colOff>4127684</xdr:colOff>
      <xdr:row>22</xdr:row>
      <xdr:rowOff>175656</xdr:rowOff>
    </xdr:to>
    <xdr:grpSp>
      <xdr:nvGrpSpPr>
        <xdr:cNvPr id="152" name="Grupo 151">
          <a:extLst>
            <a:ext uri="{FF2B5EF4-FFF2-40B4-BE49-F238E27FC236}">
              <a16:creationId xmlns:a16="http://schemas.microsoft.com/office/drawing/2014/main" id="{992136C1-3381-D930-5F7A-4EEE2577C6F1}"/>
            </a:ext>
          </a:extLst>
        </xdr:cNvPr>
        <xdr:cNvGrpSpPr/>
      </xdr:nvGrpSpPr>
      <xdr:grpSpPr>
        <a:xfrm>
          <a:off x="1216228" y="7070701"/>
          <a:ext cx="21170881" cy="2906180"/>
          <a:chOff x="1319210" y="7064516"/>
          <a:chExt cx="21166296" cy="3516893"/>
        </a:xfrm>
      </xdr:grpSpPr>
      <xdr:grpSp>
        <xdr:nvGrpSpPr>
          <xdr:cNvPr id="150" name="Grupo 149">
            <a:extLst>
              <a:ext uri="{FF2B5EF4-FFF2-40B4-BE49-F238E27FC236}">
                <a16:creationId xmlns:a16="http://schemas.microsoft.com/office/drawing/2014/main" id="{E9C0DBA7-768C-85FD-EF6B-AC261C275528}"/>
              </a:ext>
            </a:extLst>
          </xdr:cNvPr>
          <xdr:cNvGrpSpPr/>
        </xdr:nvGrpSpPr>
        <xdr:grpSpPr>
          <a:xfrm>
            <a:off x="1319210" y="7064516"/>
            <a:ext cx="21107127" cy="3516893"/>
            <a:chOff x="1319210" y="7064516"/>
            <a:chExt cx="21107127" cy="3516893"/>
          </a:xfrm>
        </xdr:grpSpPr>
        <xdr:grpSp>
          <xdr:nvGrpSpPr>
            <xdr:cNvPr id="122" name="Grupo 121">
              <a:extLst>
                <a:ext uri="{FF2B5EF4-FFF2-40B4-BE49-F238E27FC236}">
                  <a16:creationId xmlns:a16="http://schemas.microsoft.com/office/drawing/2014/main" id="{99939095-3900-ED1E-D2E9-0E07477F7448}"/>
                </a:ext>
              </a:extLst>
            </xdr:cNvPr>
            <xdr:cNvGrpSpPr/>
          </xdr:nvGrpSpPr>
          <xdr:grpSpPr>
            <a:xfrm>
              <a:off x="1319210" y="7064516"/>
              <a:ext cx="21107127" cy="3516893"/>
              <a:chOff x="1319210" y="7284457"/>
              <a:chExt cx="21095661" cy="4146406"/>
            </a:xfrm>
          </xdr:grpSpPr>
          <xdr:grpSp>
            <xdr:nvGrpSpPr>
              <xdr:cNvPr id="118" name="Grupo 117">
                <a:extLst>
                  <a:ext uri="{FF2B5EF4-FFF2-40B4-BE49-F238E27FC236}">
                    <a16:creationId xmlns:a16="http://schemas.microsoft.com/office/drawing/2014/main" id="{52050653-61F7-6FFB-E393-B9BD0B945891}"/>
                  </a:ext>
                </a:extLst>
              </xdr:cNvPr>
              <xdr:cNvGrpSpPr/>
            </xdr:nvGrpSpPr>
            <xdr:grpSpPr>
              <a:xfrm>
                <a:off x="1319210" y="7284457"/>
                <a:ext cx="21095661" cy="4146406"/>
                <a:chOff x="1319210" y="7284457"/>
                <a:chExt cx="21095661" cy="4146406"/>
              </a:xfrm>
            </xdr:grpSpPr>
            <xdr:grpSp>
              <xdr:nvGrpSpPr>
                <xdr:cNvPr id="107" name="Grupo 106">
                  <a:extLst>
                    <a:ext uri="{FF2B5EF4-FFF2-40B4-BE49-F238E27FC236}">
                      <a16:creationId xmlns:a16="http://schemas.microsoft.com/office/drawing/2014/main" id="{E552E602-AF98-9BF4-29E4-655455843774}"/>
                    </a:ext>
                  </a:extLst>
                </xdr:cNvPr>
                <xdr:cNvGrpSpPr/>
              </xdr:nvGrpSpPr>
              <xdr:grpSpPr>
                <a:xfrm>
                  <a:off x="1319210" y="7284457"/>
                  <a:ext cx="21095661" cy="4146406"/>
                  <a:chOff x="863833" y="3828173"/>
                  <a:chExt cx="4035838" cy="4310063"/>
                </a:xfrm>
              </xdr:grpSpPr>
              <xdr:sp macro="" textlink="$P$7">
                <xdr:nvSpPr>
                  <xdr:cNvPr id="111" name="Rectángulo: esquinas redondeadas 110">
                    <a:extLst>
                      <a:ext uri="{FF2B5EF4-FFF2-40B4-BE49-F238E27FC236}">
                        <a16:creationId xmlns:a16="http://schemas.microsoft.com/office/drawing/2014/main" id="{C6014678-EFC5-C819-26E7-92D4ED83FC53}"/>
                      </a:ext>
                    </a:extLst>
                  </xdr:cNvPr>
                  <xdr:cNvSpPr/>
                </xdr:nvSpPr>
                <xdr:spPr>
                  <a:xfrm>
                    <a:off x="863833" y="3828173"/>
                    <a:ext cx="4035838" cy="4310063"/>
                  </a:xfrm>
                  <a:prstGeom prst="roundRect">
                    <a:avLst/>
                  </a:prstGeom>
                  <a:ln w="57150">
                    <a:solidFill>
                      <a:srgbClr val="C00000"/>
                    </a:solidFill>
                  </a:ln>
                </xdr:spPr>
                <xdr:style>
                  <a:lnRef idx="2">
                    <a:schemeClr val="accent5"/>
                  </a:lnRef>
                  <a:fillRef idx="1">
                    <a:schemeClr val="lt1"/>
                  </a:fillRef>
                  <a:effectRef idx="0">
                    <a:schemeClr val="accent5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b"/>
                  <a:lstStyle/>
                  <a:p>
                    <a:pPr algn="ctr"/>
                    <a:endParaRPr lang="es-PE" sz="3600"/>
                  </a:p>
                </xdr:txBody>
              </xdr:sp>
              <xdr:sp macro="" textlink="">
                <xdr:nvSpPr>
                  <xdr:cNvPr id="113" name="CuadroTexto 112">
                    <a:extLst>
                      <a:ext uri="{FF2B5EF4-FFF2-40B4-BE49-F238E27FC236}">
                        <a16:creationId xmlns:a16="http://schemas.microsoft.com/office/drawing/2014/main" id="{2226C96B-0195-6063-68D2-0019FD580460}"/>
                      </a:ext>
                    </a:extLst>
                  </xdr:cNvPr>
                  <xdr:cNvSpPr txBox="1"/>
                </xdr:nvSpPr>
                <xdr:spPr>
                  <a:xfrm>
                    <a:off x="957680" y="3935889"/>
                    <a:ext cx="874674" cy="4011331"/>
                  </a:xfrm>
                  <a:prstGeom prst="rect">
                    <a:avLst/>
                  </a:prstGeom>
                  <a:solidFill>
                    <a:schemeClr val="lt1"/>
                  </a:solidFill>
                  <a:ln w="9525" cmpd="sng">
                    <a:solidFill>
                      <a:schemeClr val="bg1"/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s-PE" sz="4100" b="1">
                        <a:solidFill>
                          <a:srgbClr val="C00000"/>
                        </a:solidFill>
                        <a:latin typeface="+mn-lt"/>
                        <a:cs typeface="Segoe UI" panose="020B0502040204020203" pitchFamily="34" charset="0"/>
                      </a:rPr>
                      <a:t> PARADAS</a:t>
                    </a:r>
                    <a:r>
                      <a:rPr lang="es-PE" sz="4100" b="1" baseline="0">
                        <a:solidFill>
                          <a:srgbClr val="C00000"/>
                        </a:solidFill>
                        <a:latin typeface="+mn-lt"/>
                        <a:cs typeface="Segoe UI" panose="020B0502040204020203" pitchFamily="34" charset="0"/>
                      </a:rPr>
                      <a:t> </a:t>
                    </a:r>
                  </a:p>
                  <a:p>
                    <a:pPr algn="ctr"/>
                    <a:r>
                      <a:rPr lang="es-PE" sz="4100" b="1" baseline="0">
                        <a:solidFill>
                          <a:srgbClr val="C00000"/>
                        </a:solidFill>
                        <a:latin typeface="+mn-lt"/>
                        <a:cs typeface="Segoe UI" panose="020B0502040204020203" pitchFamily="34" charset="0"/>
                      </a:rPr>
                      <a:t>NO PROGRAMAS MAS IMPORTANTES</a:t>
                    </a:r>
                    <a:endParaRPr lang="es-PE" sz="4100" b="1">
                      <a:solidFill>
                        <a:srgbClr val="C00000"/>
                      </a:solidFill>
                      <a:latin typeface="+mn-lt"/>
                      <a:cs typeface="Segoe UI" panose="020B0502040204020203" pitchFamily="34" charset="0"/>
                    </a:endParaRPr>
                  </a:p>
                </xdr:txBody>
              </xdr:sp>
            </xdr:grpSp>
            <xdr:sp macro="" textlink="">
              <xdr:nvSpPr>
                <xdr:cNvPr id="117" name="CuadroTexto 116">
                  <a:extLst>
                    <a:ext uri="{FF2B5EF4-FFF2-40B4-BE49-F238E27FC236}">
                      <a16:creationId xmlns:a16="http://schemas.microsoft.com/office/drawing/2014/main" id="{7A40CB5A-2A5E-42E8-BAA0-36C9867A6331}"/>
                    </a:ext>
                  </a:extLst>
                </xdr:cNvPr>
                <xdr:cNvSpPr txBox="1"/>
              </xdr:nvSpPr>
              <xdr:spPr>
                <a:xfrm>
                  <a:off x="2111245" y="7786743"/>
                  <a:ext cx="1102427" cy="1093981"/>
                </a:xfrm>
                <a:prstGeom prst="rect">
                  <a:avLst/>
                </a:prstGeom>
                <a:noFill/>
                <a:ln w="9525" cmpd="sng">
                  <a:solidFill>
                    <a:schemeClr val="bg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b"/>
                <a:lstStyle/>
                <a:p>
                  <a:pPr algn="ctr"/>
                  <a:r>
                    <a:rPr lang="es-PE" sz="6600">
                      <a:solidFill>
                        <a:srgbClr val="C00000"/>
                      </a:solidFill>
                    </a:rPr>
                    <a:t>🚨</a:t>
                  </a:r>
                  <a:r>
                    <a:rPr lang="es-PE" sz="3600" b="1">
                      <a:solidFill>
                        <a:srgbClr val="C00000"/>
                      </a:solidFill>
                      <a:latin typeface="+mn-lt"/>
                      <a:cs typeface="Segoe UI" panose="020B0502040204020203" pitchFamily="34" charset="0"/>
                    </a:rPr>
                    <a:t> </a:t>
                  </a:r>
                  <a:endParaRPr lang="es-PE" sz="4000" b="1">
                    <a:solidFill>
                      <a:srgbClr val="C00000"/>
                    </a:solidFill>
                    <a:latin typeface="+mn-lt"/>
                    <a:cs typeface="Segoe UI" panose="020B0502040204020203" pitchFamily="34" charset="0"/>
                  </a:endParaRPr>
                </a:p>
              </xdr:txBody>
            </xdr:sp>
          </xdr:grpSp>
          <xdr:cxnSp macro="">
            <xdr:nvCxnSpPr>
              <xdr:cNvPr id="120" name="Conector recto 119">
                <a:extLst>
                  <a:ext uri="{FF2B5EF4-FFF2-40B4-BE49-F238E27FC236}">
                    <a16:creationId xmlns:a16="http://schemas.microsoft.com/office/drawing/2014/main" id="{B260D90D-6DA4-A1F4-46BE-EF2543B12ABC}"/>
                  </a:ext>
                </a:extLst>
              </xdr:cNvPr>
              <xdr:cNvCxnSpPr/>
            </xdr:nvCxnSpPr>
            <xdr:spPr>
              <a:xfrm flipH="1">
                <a:off x="6524625" y="7500937"/>
                <a:ext cx="23812" cy="3667125"/>
              </a:xfrm>
              <a:prstGeom prst="line">
                <a:avLst/>
              </a:prstGeom>
              <a:ln>
                <a:solidFill>
                  <a:schemeClr val="accent3">
                    <a:lumMod val="7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grpSp>
          <xdr:nvGrpSpPr>
            <xdr:cNvPr id="149" name="Grupo 148">
              <a:extLst>
                <a:ext uri="{FF2B5EF4-FFF2-40B4-BE49-F238E27FC236}">
                  <a16:creationId xmlns:a16="http://schemas.microsoft.com/office/drawing/2014/main" id="{80BA17D2-FCF8-FBC1-4E55-6719B6FF33F9}"/>
                </a:ext>
              </a:extLst>
            </xdr:cNvPr>
            <xdr:cNvGrpSpPr/>
          </xdr:nvGrpSpPr>
          <xdr:grpSpPr>
            <a:xfrm>
              <a:off x="6573982" y="7282723"/>
              <a:ext cx="15801104" cy="2806848"/>
              <a:chOff x="6573982" y="7282723"/>
              <a:chExt cx="15801104" cy="2806848"/>
            </a:xfrm>
          </xdr:grpSpPr>
          <xdr:grpSp>
            <xdr:nvGrpSpPr>
              <xdr:cNvPr id="148" name="Grupo 147">
                <a:extLst>
                  <a:ext uri="{FF2B5EF4-FFF2-40B4-BE49-F238E27FC236}">
                    <a16:creationId xmlns:a16="http://schemas.microsoft.com/office/drawing/2014/main" id="{99141B14-0CBA-9A8A-ECA6-A3F67C0F177C}"/>
                  </a:ext>
                </a:extLst>
              </xdr:cNvPr>
              <xdr:cNvGrpSpPr/>
            </xdr:nvGrpSpPr>
            <xdr:grpSpPr>
              <a:xfrm>
                <a:off x="6577445" y="7282723"/>
                <a:ext cx="15797641" cy="1857812"/>
                <a:chOff x="6577445" y="7282723"/>
                <a:chExt cx="15797641" cy="1857812"/>
              </a:xfrm>
            </xdr:grpSpPr>
            <xdr:grpSp>
              <xdr:nvGrpSpPr>
                <xdr:cNvPr id="129" name="Grupo 128">
                  <a:extLst>
                    <a:ext uri="{FF2B5EF4-FFF2-40B4-BE49-F238E27FC236}">
                      <a16:creationId xmlns:a16="http://schemas.microsoft.com/office/drawing/2014/main" id="{A348B40C-BACD-B03F-30CC-BEE3F38B5D91}"/>
                    </a:ext>
                  </a:extLst>
                </xdr:cNvPr>
                <xdr:cNvGrpSpPr/>
              </xdr:nvGrpSpPr>
              <xdr:grpSpPr>
                <a:xfrm>
                  <a:off x="6580909" y="7282723"/>
                  <a:ext cx="15794177" cy="926094"/>
                  <a:chOff x="6895665" y="7403950"/>
                  <a:chExt cx="15584126" cy="926094"/>
                </a:xfrm>
                <a:solidFill>
                  <a:schemeClr val="bg1"/>
                </a:solidFill>
              </xdr:grpSpPr>
              <xdr:sp macro="" textlink="$Q$14">
                <xdr:nvSpPr>
                  <xdr:cNvPr id="123" name="CuadroTexto 122">
                    <a:extLst>
                      <a:ext uri="{FF2B5EF4-FFF2-40B4-BE49-F238E27FC236}">
                        <a16:creationId xmlns:a16="http://schemas.microsoft.com/office/drawing/2014/main" id="{5FE5EFF3-9608-43DB-A363-FF0C2018676E}"/>
                      </a:ext>
                    </a:extLst>
                  </xdr:cNvPr>
                  <xdr:cNvSpPr txBox="1"/>
                </xdr:nvSpPr>
                <xdr:spPr>
                  <a:xfrm>
                    <a:off x="6895665" y="7549424"/>
                    <a:ext cx="3287426" cy="624757"/>
                  </a:xfrm>
                  <a:prstGeom prst="rect">
                    <a:avLst/>
                  </a:prstGeom>
                  <a:grpFill/>
                  <a:ln w="9525" cmpd="sng">
                    <a:solidFill>
                      <a:schemeClr val="bg1"/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r"/>
                    <a:fld id="{1490C2B2-93CF-4449-A151-73087BAE45C2}" type="TxLink">
                      <a:rPr lang="en-US" sz="1800" b="1" i="0" u="none" strike="noStrike">
                        <a:solidFill>
                          <a:srgbClr val="000000"/>
                        </a:solidFill>
                        <a:latin typeface="Calibri"/>
                        <a:ea typeface="Calibri"/>
                        <a:cs typeface="Calibri"/>
                      </a:rPr>
                      <a:pPr algn="r"/>
                      <a:t>#N/D</a:t>
                    </a:fld>
                    <a:endParaRPr lang="es-PE" sz="1800" b="1">
                      <a:solidFill>
                        <a:srgbClr val="C00000"/>
                      </a:solidFill>
                      <a:latin typeface="+mn-lt"/>
                      <a:cs typeface="Segoe UI" panose="020B0502040204020203" pitchFamily="34" charset="0"/>
                    </a:endParaRPr>
                  </a:p>
                </xdr:txBody>
              </xdr:sp>
              <xdr:sp macro="" textlink="">
                <xdr:nvSpPr>
                  <xdr:cNvPr id="124" name="CuadroTexto 123">
                    <a:extLst>
                      <a:ext uri="{FF2B5EF4-FFF2-40B4-BE49-F238E27FC236}">
                        <a16:creationId xmlns:a16="http://schemas.microsoft.com/office/drawing/2014/main" id="{ECC100D2-454D-468B-BA5B-DA1DF682D9F9}"/>
                      </a:ext>
                    </a:extLst>
                  </xdr:cNvPr>
                  <xdr:cNvSpPr txBox="1"/>
                </xdr:nvSpPr>
                <xdr:spPr>
                  <a:xfrm>
                    <a:off x="10165338" y="7545961"/>
                    <a:ext cx="1697618" cy="624757"/>
                  </a:xfrm>
                  <a:prstGeom prst="rect">
                    <a:avLst/>
                  </a:prstGeom>
                  <a:grpFill/>
                  <a:ln w="9525" cmpd="sng">
                    <a:solidFill>
                      <a:schemeClr val="bg1"/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r"/>
                    <a:r>
                      <a:rPr lang="en-US" sz="1800" b="0" i="0" u="none" strike="noStrike">
                        <a:solidFill>
                          <a:schemeClr val="accent1">
                            <a:lumMod val="50000"/>
                          </a:schemeClr>
                        </a:solidFill>
                        <a:latin typeface="Calibri"/>
                        <a:ea typeface="Calibri"/>
                        <a:cs typeface="Calibri"/>
                      </a:rPr>
                      <a:t>Se</a:t>
                    </a:r>
                    <a:r>
                      <a:rPr lang="en-US" sz="1800" b="0" i="0" u="none" strike="noStrike" baseline="0">
                        <a:solidFill>
                          <a:schemeClr val="accent1">
                            <a:lumMod val="50000"/>
                          </a:schemeClr>
                        </a:solidFill>
                        <a:latin typeface="Calibri"/>
                        <a:ea typeface="Calibri"/>
                        <a:cs typeface="Calibri"/>
                      </a:rPr>
                      <a:t> observó que:</a:t>
                    </a:r>
                    <a:endParaRPr lang="en-US" sz="1800" b="0" i="0" u="none" strike="noStrike">
                      <a:solidFill>
                        <a:schemeClr val="accent1">
                          <a:lumMod val="50000"/>
                        </a:schemeClr>
                      </a:solidFill>
                      <a:latin typeface="Calibri"/>
                      <a:ea typeface="Calibri"/>
                      <a:cs typeface="Calibri"/>
                    </a:endParaRPr>
                  </a:p>
                </xdr:txBody>
              </xdr:sp>
              <xdr:sp macro="" textlink="$O$14">
                <xdr:nvSpPr>
                  <xdr:cNvPr id="125" name="CuadroTexto 124">
                    <a:extLst>
                      <a:ext uri="{FF2B5EF4-FFF2-40B4-BE49-F238E27FC236}">
                        <a16:creationId xmlns:a16="http://schemas.microsoft.com/office/drawing/2014/main" id="{C0D4774F-42D8-4522-9693-666EAA5A92AA}"/>
                      </a:ext>
                    </a:extLst>
                  </xdr:cNvPr>
                  <xdr:cNvSpPr txBox="1"/>
                </xdr:nvSpPr>
                <xdr:spPr>
                  <a:xfrm>
                    <a:off x="11876374" y="7403950"/>
                    <a:ext cx="6931172" cy="926094"/>
                  </a:xfrm>
                  <a:prstGeom prst="rect">
                    <a:avLst/>
                  </a:prstGeom>
                  <a:grpFill/>
                  <a:ln w="9525" cmpd="sng">
                    <a:solidFill>
                      <a:schemeClr val="bg1"/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l"/>
                    <a:fld id="{B651B0EE-9F7F-4639-AFBE-46883C824F83}" type="TxLink">
                      <a:rPr lang="en-US" sz="1800" b="1" i="0" u="none" strike="noStrike">
                        <a:solidFill>
                          <a:srgbClr val="000000"/>
                        </a:solidFill>
                        <a:latin typeface="Calibri"/>
                        <a:ea typeface="Calibri"/>
                        <a:cs typeface="Calibri"/>
                      </a:rPr>
                      <a:pPr algn="l"/>
                      <a:t>Punta de pistola desprendida, se retiro punta y se llevó a taller para pegarlo</a:t>
                    </a:fld>
                    <a:endParaRPr lang="en-US" sz="1800" b="1" i="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endParaRPr>
                  </a:p>
                </xdr:txBody>
              </xdr:sp>
              <xdr:sp macro="" textlink="">
                <xdr:nvSpPr>
                  <xdr:cNvPr id="126" name="CuadroTexto 125">
                    <a:extLst>
                      <a:ext uri="{FF2B5EF4-FFF2-40B4-BE49-F238E27FC236}">
                        <a16:creationId xmlns:a16="http://schemas.microsoft.com/office/drawing/2014/main" id="{AACE0986-121A-43D4-BC5F-D0F6CC77BBDF}"/>
                      </a:ext>
                    </a:extLst>
                  </xdr:cNvPr>
                  <xdr:cNvSpPr txBox="1"/>
                </xdr:nvSpPr>
                <xdr:spPr>
                  <a:xfrm>
                    <a:off x="18820965" y="7559816"/>
                    <a:ext cx="2413906" cy="624757"/>
                  </a:xfrm>
                  <a:prstGeom prst="rect">
                    <a:avLst/>
                  </a:prstGeom>
                  <a:grpFill/>
                  <a:ln w="9525" cmpd="sng">
                    <a:solidFill>
                      <a:schemeClr val="bg1"/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 b="0" i="0" u="none" strike="noStrike">
                        <a:solidFill>
                          <a:schemeClr val="accent1">
                            <a:lumMod val="50000"/>
                          </a:schemeClr>
                        </a:solidFill>
                        <a:latin typeface="Calibri"/>
                        <a:ea typeface="Calibri"/>
                        <a:cs typeface="Calibri"/>
                      </a:rPr>
                      <a:t>con una</a:t>
                    </a:r>
                    <a:r>
                      <a:rPr lang="en-US" sz="1800" b="0" i="0" u="none" strike="noStrike" baseline="0">
                        <a:solidFill>
                          <a:schemeClr val="accent1">
                            <a:lumMod val="50000"/>
                          </a:schemeClr>
                        </a:solidFill>
                        <a:latin typeface="Calibri"/>
                        <a:ea typeface="Calibri"/>
                        <a:cs typeface="Calibri"/>
                      </a:rPr>
                      <a:t> intervencion de </a:t>
                    </a:r>
                    <a:endParaRPr lang="en-US" sz="1800" b="0" i="0" u="none" strike="noStrike">
                      <a:solidFill>
                        <a:schemeClr val="accent1">
                          <a:lumMod val="50000"/>
                        </a:schemeClr>
                      </a:solidFill>
                      <a:latin typeface="Calibri"/>
                      <a:ea typeface="Calibri"/>
                      <a:cs typeface="Calibri"/>
                    </a:endParaRPr>
                  </a:p>
                </xdr:txBody>
              </xdr:sp>
              <xdr:sp macro="" textlink="$N$14">
                <xdr:nvSpPr>
                  <xdr:cNvPr id="127" name="CuadroTexto 126">
                    <a:extLst>
                      <a:ext uri="{FF2B5EF4-FFF2-40B4-BE49-F238E27FC236}">
                        <a16:creationId xmlns:a16="http://schemas.microsoft.com/office/drawing/2014/main" id="{38311AD4-81B8-44C4-8CD6-6F0804BE47AD}"/>
                      </a:ext>
                    </a:extLst>
                  </xdr:cNvPr>
                  <xdr:cNvSpPr txBox="1"/>
                </xdr:nvSpPr>
                <xdr:spPr>
                  <a:xfrm>
                    <a:off x="21242048" y="7539034"/>
                    <a:ext cx="726134" cy="624757"/>
                  </a:xfrm>
                  <a:prstGeom prst="rect">
                    <a:avLst/>
                  </a:prstGeom>
                  <a:grpFill/>
                  <a:ln w="9525" cmpd="sng">
                    <a:solidFill>
                      <a:schemeClr val="bg1"/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fld id="{26A1F99A-5B7D-4E11-B0F7-3C6B658BF67D}" type="TxLink">
                      <a:rPr lang="en-US" sz="2400" b="0" i="0" u="none" strike="noStrike">
                        <a:solidFill>
                          <a:srgbClr val="C00000"/>
                        </a:solidFill>
                        <a:latin typeface="Calibri"/>
                        <a:ea typeface="Calibri"/>
                        <a:cs typeface="Calibri"/>
                      </a:rPr>
                      <a:pPr algn="ctr"/>
                      <a:t>0:24</a:t>
                    </a:fld>
                    <a:endParaRPr lang="en-US" sz="2400" b="0" i="0" u="none" strike="noStrike">
                      <a:solidFill>
                        <a:srgbClr val="C00000"/>
                      </a:solidFill>
                      <a:latin typeface="Calibri"/>
                      <a:ea typeface="Calibri"/>
                      <a:cs typeface="Calibri"/>
                    </a:endParaRPr>
                  </a:p>
                </xdr:txBody>
              </xdr:sp>
              <xdr:sp macro="" textlink="">
                <xdr:nvSpPr>
                  <xdr:cNvPr id="128" name="CuadroTexto 127">
                    <a:extLst>
                      <a:ext uri="{FF2B5EF4-FFF2-40B4-BE49-F238E27FC236}">
                        <a16:creationId xmlns:a16="http://schemas.microsoft.com/office/drawing/2014/main" id="{917936A6-2182-44C2-8CAA-756ED89363FE}"/>
                      </a:ext>
                    </a:extLst>
                  </xdr:cNvPr>
                  <xdr:cNvSpPr txBox="1"/>
                </xdr:nvSpPr>
                <xdr:spPr>
                  <a:xfrm>
                    <a:off x="21882912" y="7556352"/>
                    <a:ext cx="596879" cy="624757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l"/>
                    <a:r>
                      <a:rPr lang="en-US" sz="1800" b="0" i="0" u="none" strike="noStrike" baseline="0">
                        <a:solidFill>
                          <a:schemeClr val="accent1">
                            <a:lumMod val="50000"/>
                          </a:schemeClr>
                        </a:solidFill>
                        <a:latin typeface="Calibri"/>
                        <a:ea typeface="Calibri"/>
                        <a:cs typeface="Calibri"/>
                      </a:rPr>
                      <a:t>hrs.</a:t>
                    </a:r>
                    <a:endParaRPr lang="en-US" sz="1800" b="0" i="0" u="none" strike="noStrike">
                      <a:solidFill>
                        <a:schemeClr val="accent1">
                          <a:lumMod val="50000"/>
                        </a:schemeClr>
                      </a:solidFill>
                      <a:latin typeface="Calibri"/>
                      <a:ea typeface="Calibri"/>
                      <a:cs typeface="Calibri"/>
                    </a:endParaRPr>
                  </a:p>
                </xdr:txBody>
              </xdr:sp>
            </xdr:grpSp>
            <xdr:grpSp>
              <xdr:nvGrpSpPr>
                <xdr:cNvPr id="130" name="Grupo 129">
                  <a:extLst>
                    <a:ext uri="{FF2B5EF4-FFF2-40B4-BE49-F238E27FC236}">
                      <a16:creationId xmlns:a16="http://schemas.microsoft.com/office/drawing/2014/main" id="{CA071B6F-65FA-4A73-937E-4DA17846B898}"/>
                    </a:ext>
                  </a:extLst>
                </xdr:cNvPr>
                <xdr:cNvGrpSpPr/>
              </xdr:nvGrpSpPr>
              <xdr:grpSpPr>
                <a:xfrm>
                  <a:off x="6577445" y="8214441"/>
                  <a:ext cx="15794177" cy="926094"/>
                  <a:chOff x="6895665" y="7403950"/>
                  <a:chExt cx="15584126" cy="926094"/>
                </a:xfrm>
                <a:solidFill>
                  <a:schemeClr val="bg1"/>
                </a:solidFill>
              </xdr:grpSpPr>
              <xdr:sp macro="" textlink="$Q$15">
                <xdr:nvSpPr>
                  <xdr:cNvPr id="131" name="CuadroTexto 130">
                    <a:extLst>
                      <a:ext uri="{FF2B5EF4-FFF2-40B4-BE49-F238E27FC236}">
                        <a16:creationId xmlns:a16="http://schemas.microsoft.com/office/drawing/2014/main" id="{77418E84-1019-7433-D4D6-D4F6D951A7D3}"/>
                      </a:ext>
                    </a:extLst>
                  </xdr:cNvPr>
                  <xdr:cNvSpPr txBox="1"/>
                </xdr:nvSpPr>
                <xdr:spPr>
                  <a:xfrm>
                    <a:off x="6895665" y="7549424"/>
                    <a:ext cx="3287426" cy="624757"/>
                  </a:xfrm>
                  <a:prstGeom prst="rect">
                    <a:avLst/>
                  </a:prstGeom>
                  <a:grpFill/>
                  <a:ln w="9525" cmpd="sng">
                    <a:solidFill>
                      <a:schemeClr val="bg1"/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r"/>
                    <a:fld id="{E4FB79E3-3151-42B2-92C2-471BB563AC87}" type="TxLink">
                      <a:rPr lang="en-US" sz="1800" b="1" i="0" u="none" strike="noStrike">
                        <a:solidFill>
                          <a:srgbClr val="000000"/>
                        </a:solidFill>
                        <a:latin typeface="Calibri"/>
                        <a:ea typeface="Calibri"/>
                        <a:cs typeface="Calibri"/>
                      </a:rPr>
                      <a:pPr algn="r"/>
                      <a:t>#N/D</a:t>
                    </a:fld>
                    <a:endParaRPr lang="es-PE" sz="3200" b="1">
                      <a:solidFill>
                        <a:srgbClr val="C00000"/>
                      </a:solidFill>
                      <a:latin typeface="+mn-lt"/>
                      <a:cs typeface="Segoe UI" panose="020B0502040204020203" pitchFamily="34" charset="0"/>
                    </a:endParaRPr>
                  </a:p>
                </xdr:txBody>
              </xdr:sp>
              <xdr:sp macro="" textlink="">
                <xdr:nvSpPr>
                  <xdr:cNvPr id="132" name="CuadroTexto 131">
                    <a:extLst>
                      <a:ext uri="{FF2B5EF4-FFF2-40B4-BE49-F238E27FC236}">
                        <a16:creationId xmlns:a16="http://schemas.microsoft.com/office/drawing/2014/main" id="{316642AF-4FC7-CF55-54FB-4DFDD84E3C72}"/>
                      </a:ext>
                    </a:extLst>
                  </xdr:cNvPr>
                  <xdr:cNvSpPr txBox="1"/>
                </xdr:nvSpPr>
                <xdr:spPr>
                  <a:xfrm>
                    <a:off x="10165338" y="7545961"/>
                    <a:ext cx="1697618" cy="624757"/>
                  </a:xfrm>
                  <a:prstGeom prst="rect">
                    <a:avLst/>
                  </a:prstGeom>
                  <a:grpFill/>
                  <a:ln w="9525" cmpd="sng">
                    <a:solidFill>
                      <a:schemeClr val="bg1"/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r"/>
                    <a:r>
                      <a:rPr lang="en-US" sz="1800" b="0" i="0" u="none" strike="noStrike">
                        <a:solidFill>
                          <a:schemeClr val="accent1">
                            <a:lumMod val="50000"/>
                          </a:schemeClr>
                        </a:solidFill>
                        <a:latin typeface="Calibri"/>
                        <a:ea typeface="Calibri"/>
                        <a:cs typeface="Calibri"/>
                      </a:rPr>
                      <a:t>Se</a:t>
                    </a:r>
                    <a:r>
                      <a:rPr lang="en-US" sz="1800" b="0" i="0" u="none" strike="noStrike" baseline="0">
                        <a:solidFill>
                          <a:schemeClr val="accent1">
                            <a:lumMod val="50000"/>
                          </a:schemeClr>
                        </a:solidFill>
                        <a:latin typeface="Calibri"/>
                        <a:ea typeface="Calibri"/>
                        <a:cs typeface="Calibri"/>
                      </a:rPr>
                      <a:t> observó que:</a:t>
                    </a:r>
                    <a:endParaRPr lang="en-US" sz="1800" b="0" i="0" u="none" strike="noStrike">
                      <a:solidFill>
                        <a:schemeClr val="accent1">
                          <a:lumMod val="50000"/>
                        </a:schemeClr>
                      </a:solidFill>
                      <a:latin typeface="Calibri"/>
                      <a:ea typeface="Calibri"/>
                      <a:cs typeface="Calibri"/>
                    </a:endParaRPr>
                  </a:p>
                </xdr:txBody>
              </xdr:sp>
              <xdr:sp macro="" textlink="$O$15">
                <xdr:nvSpPr>
                  <xdr:cNvPr id="133" name="CuadroTexto 132">
                    <a:extLst>
                      <a:ext uri="{FF2B5EF4-FFF2-40B4-BE49-F238E27FC236}">
                        <a16:creationId xmlns:a16="http://schemas.microsoft.com/office/drawing/2014/main" id="{075A1A19-714F-9B7A-DAA3-285E7393662B}"/>
                      </a:ext>
                    </a:extLst>
                  </xdr:cNvPr>
                  <xdr:cNvSpPr txBox="1"/>
                </xdr:nvSpPr>
                <xdr:spPr>
                  <a:xfrm>
                    <a:off x="11876374" y="7403950"/>
                    <a:ext cx="6931172" cy="926094"/>
                  </a:xfrm>
                  <a:prstGeom prst="rect">
                    <a:avLst/>
                  </a:prstGeom>
                  <a:grpFill/>
                  <a:ln w="9525" cmpd="sng">
                    <a:solidFill>
                      <a:schemeClr val="bg1"/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l"/>
                    <a:fld id="{11903195-B1BB-4CA2-9084-DC0A0F44EB27}" type="TxLink">
                      <a:rPr lang="en-US" sz="1800" b="1" i="0" u="none" strike="noStrike">
                        <a:solidFill>
                          <a:srgbClr val="000000"/>
                        </a:solidFill>
                        <a:latin typeface="Calibri"/>
                        <a:ea typeface="Calibri"/>
                        <a:cs typeface="Calibri"/>
                      </a:rPr>
                      <a:pPr algn="l"/>
                      <a:t>Equipo muy duro para empujar</a:t>
                    </a:fld>
                    <a:endParaRPr lang="en-US" sz="3200" b="1" i="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endParaRPr>
                  </a:p>
                </xdr:txBody>
              </xdr:sp>
              <xdr:sp macro="" textlink="">
                <xdr:nvSpPr>
                  <xdr:cNvPr id="134" name="CuadroTexto 133">
                    <a:extLst>
                      <a:ext uri="{FF2B5EF4-FFF2-40B4-BE49-F238E27FC236}">
                        <a16:creationId xmlns:a16="http://schemas.microsoft.com/office/drawing/2014/main" id="{DA9AA460-51B1-62F6-9EA2-5E33C46DE90A}"/>
                      </a:ext>
                    </a:extLst>
                  </xdr:cNvPr>
                  <xdr:cNvSpPr txBox="1"/>
                </xdr:nvSpPr>
                <xdr:spPr>
                  <a:xfrm>
                    <a:off x="18820965" y="7559816"/>
                    <a:ext cx="2413906" cy="624757"/>
                  </a:xfrm>
                  <a:prstGeom prst="rect">
                    <a:avLst/>
                  </a:prstGeom>
                  <a:grpFill/>
                  <a:ln w="9525" cmpd="sng">
                    <a:solidFill>
                      <a:schemeClr val="bg1"/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 b="0" i="0" u="none" strike="noStrike">
                        <a:solidFill>
                          <a:schemeClr val="accent1">
                            <a:lumMod val="50000"/>
                          </a:schemeClr>
                        </a:solidFill>
                        <a:latin typeface="Calibri"/>
                        <a:ea typeface="Calibri"/>
                        <a:cs typeface="Calibri"/>
                      </a:rPr>
                      <a:t>con una</a:t>
                    </a:r>
                    <a:r>
                      <a:rPr lang="en-US" sz="1800" b="0" i="0" u="none" strike="noStrike" baseline="0">
                        <a:solidFill>
                          <a:schemeClr val="accent1">
                            <a:lumMod val="50000"/>
                          </a:schemeClr>
                        </a:solidFill>
                        <a:latin typeface="Calibri"/>
                        <a:ea typeface="Calibri"/>
                        <a:cs typeface="Calibri"/>
                      </a:rPr>
                      <a:t> intervencion de </a:t>
                    </a:r>
                    <a:endParaRPr lang="en-US" sz="1800" b="0" i="0" u="none" strike="noStrike">
                      <a:solidFill>
                        <a:schemeClr val="accent1">
                          <a:lumMod val="50000"/>
                        </a:schemeClr>
                      </a:solidFill>
                      <a:latin typeface="Calibri"/>
                      <a:ea typeface="Calibri"/>
                      <a:cs typeface="Calibri"/>
                    </a:endParaRPr>
                  </a:p>
                </xdr:txBody>
              </xdr:sp>
              <xdr:sp macro="" textlink="$N$15">
                <xdr:nvSpPr>
                  <xdr:cNvPr id="135" name="CuadroTexto 134">
                    <a:extLst>
                      <a:ext uri="{FF2B5EF4-FFF2-40B4-BE49-F238E27FC236}">
                        <a16:creationId xmlns:a16="http://schemas.microsoft.com/office/drawing/2014/main" id="{102F801F-C035-0DC3-0BC4-CEC17D084F3D}"/>
                      </a:ext>
                    </a:extLst>
                  </xdr:cNvPr>
                  <xdr:cNvSpPr txBox="1"/>
                </xdr:nvSpPr>
                <xdr:spPr>
                  <a:xfrm>
                    <a:off x="21242048" y="7539034"/>
                    <a:ext cx="726134" cy="624757"/>
                  </a:xfrm>
                  <a:prstGeom prst="rect">
                    <a:avLst/>
                  </a:prstGeom>
                  <a:grpFill/>
                  <a:ln w="9525" cmpd="sng">
                    <a:solidFill>
                      <a:schemeClr val="bg1"/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fld id="{802BD833-131D-4724-8B2F-C579DB087010}" type="TxLink">
                      <a:rPr lang="en-US" sz="2400" b="0" i="0" u="none" strike="noStrike">
                        <a:solidFill>
                          <a:srgbClr val="C00000"/>
                        </a:solidFill>
                        <a:latin typeface="Calibri"/>
                        <a:ea typeface="Calibri"/>
                        <a:cs typeface="Calibri"/>
                      </a:rPr>
                      <a:pPr algn="ctr"/>
                      <a:t>0:18</a:t>
                    </a:fld>
                    <a:endParaRPr lang="en-US" sz="3200" b="0" i="0" u="none" strike="noStrike">
                      <a:solidFill>
                        <a:srgbClr val="C00000"/>
                      </a:solidFill>
                      <a:latin typeface="Calibri"/>
                      <a:ea typeface="Calibri"/>
                      <a:cs typeface="Calibri"/>
                    </a:endParaRPr>
                  </a:p>
                </xdr:txBody>
              </xdr:sp>
              <xdr:sp macro="" textlink="">
                <xdr:nvSpPr>
                  <xdr:cNvPr id="136" name="CuadroTexto 135">
                    <a:extLst>
                      <a:ext uri="{FF2B5EF4-FFF2-40B4-BE49-F238E27FC236}">
                        <a16:creationId xmlns:a16="http://schemas.microsoft.com/office/drawing/2014/main" id="{C7ACA429-365A-E170-FBDE-9BEBDF2AC640}"/>
                      </a:ext>
                    </a:extLst>
                  </xdr:cNvPr>
                  <xdr:cNvSpPr txBox="1"/>
                </xdr:nvSpPr>
                <xdr:spPr>
                  <a:xfrm>
                    <a:off x="21882912" y="7556352"/>
                    <a:ext cx="596879" cy="624757"/>
                  </a:xfrm>
                  <a:prstGeom prst="rect">
                    <a:avLst/>
                  </a:prstGeom>
                  <a:grpFill/>
                  <a:ln w="9525" cmpd="sng">
                    <a:solidFill>
                      <a:schemeClr val="bg1"/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l"/>
                    <a:r>
                      <a:rPr lang="en-US" sz="1800" b="0" i="0" u="none" strike="noStrike" baseline="0">
                        <a:solidFill>
                          <a:schemeClr val="accent1">
                            <a:lumMod val="50000"/>
                          </a:schemeClr>
                        </a:solidFill>
                        <a:latin typeface="Calibri"/>
                        <a:ea typeface="Calibri"/>
                        <a:cs typeface="Calibri"/>
                      </a:rPr>
                      <a:t>hrs.</a:t>
                    </a:r>
                    <a:endParaRPr lang="en-US" sz="1800" b="0" i="0" u="none" strike="noStrike">
                      <a:solidFill>
                        <a:schemeClr val="accent1">
                          <a:lumMod val="50000"/>
                        </a:schemeClr>
                      </a:solidFill>
                      <a:latin typeface="Calibri"/>
                      <a:ea typeface="Calibri"/>
                      <a:cs typeface="Calibri"/>
                    </a:endParaRPr>
                  </a:p>
                </xdr:txBody>
              </xdr:sp>
            </xdr:grpSp>
          </xdr:grpSp>
          <xdr:grpSp>
            <xdr:nvGrpSpPr>
              <xdr:cNvPr id="137" name="Grupo 136">
                <a:extLst>
                  <a:ext uri="{FF2B5EF4-FFF2-40B4-BE49-F238E27FC236}">
                    <a16:creationId xmlns:a16="http://schemas.microsoft.com/office/drawing/2014/main" id="{B3A4F7B9-33CA-4C37-83AA-2DC7FD17A4A8}"/>
                  </a:ext>
                </a:extLst>
              </xdr:cNvPr>
              <xdr:cNvGrpSpPr/>
            </xdr:nvGrpSpPr>
            <xdr:grpSpPr>
              <a:xfrm>
                <a:off x="6573982" y="9163477"/>
                <a:ext cx="15794177" cy="926094"/>
                <a:chOff x="6895665" y="7403950"/>
                <a:chExt cx="15584126" cy="926094"/>
              </a:xfrm>
              <a:solidFill>
                <a:schemeClr val="bg1"/>
              </a:solidFill>
            </xdr:grpSpPr>
            <xdr:sp macro="" textlink="$Q$16">
              <xdr:nvSpPr>
                <xdr:cNvPr id="138" name="CuadroTexto 137">
                  <a:extLst>
                    <a:ext uri="{FF2B5EF4-FFF2-40B4-BE49-F238E27FC236}">
                      <a16:creationId xmlns:a16="http://schemas.microsoft.com/office/drawing/2014/main" id="{D7C99FC6-2433-F610-ABD0-730F51DFFD84}"/>
                    </a:ext>
                  </a:extLst>
                </xdr:cNvPr>
                <xdr:cNvSpPr txBox="1"/>
              </xdr:nvSpPr>
              <xdr:spPr>
                <a:xfrm>
                  <a:off x="6895665" y="7549424"/>
                  <a:ext cx="3287426" cy="624757"/>
                </a:xfrm>
                <a:prstGeom prst="rect">
                  <a:avLst/>
                </a:prstGeom>
                <a:grpFill/>
                <a:ln w="9525" cmpd="sng">
                  <a:solidFill>
                    <a:schemeClr val="bg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r"/>
                  <a:fld id="{6205ED4B-68BC-459E-BE7D-16675C39FBE8}" type="TxLink">
                    <a:rPr lang="en-US" sz="1800" b="1" i="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rPr>
                    <a:pPr algn="r"/>
                    <a:t>#N/D</a:t>
                  </a:fld>
                  <a:endParaRPr lang="es-PE" sz="3200" b="1">
                    <a:solidFill>
                      <a:srgbClr val="C00000"/>
                    </a:solidFill>
                    <a:latin typeface="+mn-lt"/>
                    <a:cs typeface="Segoe UI" panose="020B0502040204020203" pitchFamily="34" charset="0"/>
                  </a:endParaRPr>
                </a:p>
              </xdr:txBody>
            </xdr:sp>
            <xdr:sp macro="" textlink="">
              <xdr:nvSpPr>
                <xdr:cNvPr id="139" name="CuadroTexto 138">
                  <a:extLst>
                    <a:ext uri="{FF2B5EF4-FFF2-40B4-BE49-F238E27FC236}">
                      <a16:creationId xmlns:a16="http://schemas.microsoft.com/office/drawing/2014/main" id="{F942D004-CB6D-B9C3-27A6-2ECCBDC3EA4C}"/>
                    </a:ext>
                  </a:extLst>
                </xdr:cNvPr>
                <xdr:cNvSpPr txBox="1"/>
              </xdr:nvSpPr>
              <xdr:spPr>
                <a:xfrm>
                  <a:off x="10165338" y="7545961"/>
                  <a:ext cx="1697618" cy="624757"/>
                </a:xfrm>
                <a:prstGeom prst="rect">
                  <a:avLst/>
                </a:prstGeom>
                <a:grpFill/>
                <a:ln w="9525" cmpd="sng">
                  <a:solidFill>
                    <a:schemeClr val="bg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r"/>
                  <a:r>
                    <a:rPr lang="en-US" sz="1800" b="0" i="0" u="none" strike="noStrike">
                      <a:solidFill>
                        <a:schemeClr val="accent1">
                          <a:lumMod val="50000"/>
                        </a:schemeClr>
                      </a:solidFill>
                      <a:latin typeface="Calibri"/>
                      <a:ea typeface="Calibri"/>
                      <a:cs typeface="Calibri"/>
                    </a:rPr>
                    <a:t>Se</a:t>
                  </a:r>
                  <a:r>
                    <a:rPr lang="en-US" sz="1800" b="0" i="0" u="none" strike="noStrike" baseline="0">
                      <a:solidFill>
                        <a:schemeClr val="accent1">
                          <a:lumMod val="50000"/>
                        </a:schemeClr>
                      </a:solidFill>
                      <a:latin typeface="Calibri"/>
                      <a:ea typeface="Calibri"/>
                      <a:cs typeface="Calibri"/>
                    </a:rPr>
                    <a:t> observó que:</a:t>
                  </a:r>
                  <a:endParaRPr lang="en-US" sz="1800" b="0" i="0" u="none" strike="noStrike">
                    <a:solidFill>
                      <a:schemeClr val="accent1">
                        <a:lumMod val="50000"/>
                      </a:schemeClr>
                    </a:solidFill>
                    <a:latin typeface="Calibri"/>
                    <a:ea typeface="Calibri"/>
                    <a:cs typeface="Calibri"/>
                  </a:endParaRPr>
                </a:p>
              </xdr:txBody>
            </xdr:sp>
            <xdr:sp macro="" textlink="$O$16">
              <xdr:nvSpPr>
                <xdr:cNvPr id="140" name="CuadroTexto 139">
                  <a:extLst>
                    <a:ext uri="{FF2B5EF4-FFF2-40B4-BE49-F238E27FC236}">
                      <a16:creationId xmlns:a16="http://schemas.microsoft.com/office/drawing/2014/main" id="{04FBD2EA-23C8-3483-68D4-AED270A3439E}"/>
                    </a:ext>
                  </a:extLst>
                </xdr:cNvPr>
                <xdr:cNvSpPr txBox="1"/>
              </xdr:nvSpPr>
              <xdr:spPr>
                <a:xfrm>
                  <a:off x="11876374" y="7403950"/>
                  <a:ext cx="6931172" cy="926094"/>
                </a:xfrm>
                <a:prstGeom prst="rect">
                  <a:avLst/>
                </a:prstGeom>
                <a:grpFill/>
                <a:ln w="9525" cmpd="sng">
                  <a:solidFill>
                    <a:schemeClr val="bg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fld id="{4FFC557B-2D67-4B72-B291-E16DD9853727}" type="TxLink">
                    <a:rPr lang="en-US" sz="1800" b="1" i="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rPr>
                    <a:pPr algn="l"/>
                    <a:t>Temperadora no enciende </a:t>
                  </a:fld>
                  <a:endParaRPr lang="en-US" sz="3200" b="1" i="0" u="none" strike="noStrik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endParaRPr>
                </a:p>
              </xdr:txBody>
            </xdr:sp>
            <xdr:sp macro="" textlink="">
              <xdr:nvSpPr>
                <xdr:cNvPr id="141" name="CuadroTexto 140">
                  <a:extLst>
                    <a:ext uri="{FF2B5EF4-FFF2-40B4-BE49-F238E27FC236}">
                      <a16:creationId xmlns:a16="http://schemas.microsoft.com/office/drawing/2014/main" id="{51CB4B0D-E20B-45DB-0E1E-A13863CB1FA7}"/>
                    </a:ext>
                  </a:extLst>
                </xdr:cNvPr>
                <xdr:cNvSpPr txBox="1"/>
              </xdr:nvSpPr>
              <xdr:spPr>
                <a:xfrm>
                  <a:off x="18820965" y="7559816"/>
                  <a:ext cx="2413906" cy="624757"/>
                </a:xfrm>
                <a:prstGeom prst="rect">
                  <a:avLst/>
                </a:prstGeom>
                <a:grpFill/>
                <a:ln w="9525" cmpd="sng">
                  <a:solidFill>
                    <a:schemeClr val="bg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800" b="0" i="0" u="none" strike="noStrike">
                      <a:solidFill>
                        <a:schemeClr val="accent1">
                          <a:lumMod val="50000"/>
                        </a:schemeClr>
                      </a:solidFill>
                      <a:latin typeface="Calibri"/>
                      <a:ea typeface="Calibri"/>
                      <a:cs typeface="Calibri"/>
                    </a:rPr>
                    <a:t>con una</a:t>
                  </a:r>
                  <a:r>
                    <a:rPr lang="en-US" sz="1800" b="0" i="0" u="none" strike="noStrike" baseline="0">
                      <a:solidFill>
                        <a:schemeClr val="accent1">
                          <a:lumMod val="50000"/>
                        </a:schemeClr>
                      </a:solidFill>
                      <a:latin typeface="Calibri"/>
                      <a:ea typeface="Calibri"/>
                      <a:cs typeface="Calibri"/>
                    </a:rPr>
                    <a:t> intervencion de </a:t>
                  </a:r>
                  <a:endParaRPr lang="en-US" sz="1800" b="0" i="0" u="none" strike="noStrike">
                    <a:solidFill>
                      <a:schemeClr val="accent1">
                        <a:lumMod val="50000"/>
                      </a:schemeClr>
                    </a:solidFill>
                    <a:latin typeface="Calibri"/>
                    <a:ea typeface="Calibri"/>
                    <a:cs typeface="Calibri"/>
                  </a:endParaRPr>
                </a:p>
              </xdr:txBody>
            </xdr:sp>
            <xdr:sp macro="" textlink="$N$16">
              <xdr:nvSpPr>
                <xdr:cNvPr id="142" name="CuadroTexto 141">
                  <a:extLst>
                    <a:ext uri="{FF2B5EF4-FFF2-40B4-BE49-F238E27FC236}">
                      <a16:creationId xmlns:a16="http://schemas.microsoft.com/office/drawing/2014/main" id="{5B41175A-8077-73F5-736A-9525EE0BDA8A}"/>
                    </a:ext>
                  </a:extLst>
                </xdr:cNvPr>
                <xdr:cNvSpPr txBox="1"/>
              </xdr:nvSpPr>
              <xdr:spPr>
                <a:xfrm>
                  <a:off x="21242048" y="7539034"/>
                  <a:ext cx="726134" cy="624757"/>
                </a:xfrm>
                <a:prstGeom prst="rect">
                  <a:avLst/>
                </a:prstGeom>
                <a:grpFill/>
                <a:ln w="9525" cmpd="sng">
                  <a:solidFill>
                    <a:schemeClr val="bg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fld id="{75183496-1467-49C4-8C8E-1F87B95E7CD2}" type="TxLink">
                    <a:rPr lang="en-US" sz="2400" b="0" i="0" u="none" strike="noStrike">
                      <a:solidFill>
                        <a:srgbClr val="C00000"/>
                      </a:solidFill>
                      <a:latin typeface="Calibri"/>
                      <a:ea typeface="Calibri"/>
                      <a:cs typeface="Calibri"/>
                    </a:rPr>
                    <a:pPr algn="ctr"/>
                    <a:t>0:15</a:t>
                  </a:fld>
                  <a:endParaRPr lang="en-US" sz="3200" b="0" i="0" u="none" strike="noStrike">
                    <a:solidFill>
                      <a:srgbClr val="C00000"/>
                    </a:solidFill>
                    <a:latin typeface="Calibri"/>
                    <a:ea typeface="Calibri"/>
                    <a:cs typeface="Calibri"/>
                  </a:endParaRPr>
                </a:p>
              </xdr:txBody>
            </xdr:sp>
            <xdr:sp macro="" textlink="">
              <xdr:nvSpPr>
                <xdr:cNvPr id="143" name="CuadroTexto 142">
                  <a:extLst>
                    <a:ext uri="{FF2B5EF4-FFF2-40B4-BE49-F238E27FC236}">
                      <a16:creationId xmlns:a16="http://schemas.microsoft.com/office/drawing/2014/main" id="{D57A73BA-186D-635D-BA6A-C35158379A87}"/>
                    </a:ext>
                  </a:extLst>
                </xdr:cNvPr>
                <xdr:cNvSpPr txBox="1"/>
              </xdr:nvSpPr>
              <xdr:spPr>
                <a:xfrm>
                  <a:off x="21882912" y="7556352"/>
                  <a:ext cx="596879" cy="624757"/>
                </a:xfrm>
                <a:prstGeom prst="rect">
                  <a:avLst/>
                </a:prstGeom>
                <a:grpFill/>
                <a:ln w="9525" cmpd="sng">
                  <a:solidFill>
                    <a:schemeClr val="bg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n-US" sz="1800" b="0" i="0" u="none" strike="noStrike" baseline="0">
                      <a:solidFill>
                        <a:schemeClr val="accent1">
                          <a:lumMod val="50000"/>
                        </a:schemeClr>
                      </a:solidFill>
                      <a:latin typeface="Calibri"/>
                      <a:ea typeface="Calibri"/>
                      <a:cs typeface="Calibri"/>
                    </a:rPr>
                    <a:t>hrs.</a:t>
                  </a:r>
                  <a:endParaRPr lang="en-US" sz="1800" b="0" i="0" u="none" strike="noStrike">
                    <a:solidFill>
                      <a:schemeClr val="accent1">
                        <a:lumMod val="50000"/>
                      </a:schemeClr>
                    </a:solidFill>
                    <a:latin typeface="Calibri"/>
                    <a:ea typeface="Calibri"/>
                    <a:cs typeface="Calibri"/>
                  </a:endParaRPr>
                </a:p>
              </xdr:txBody>
            </xdr:sp>
          </xdr:grpSp>
        </xdr:grpSp>
      </xdr:grpSp>
      <xdr:cxnSp macro="">
        <xdr:nvCxnSpPr>
          <xdr:cNvPr id="151" name="Conector recto 150">
            <a:extLst>
              <a:ext uri="{FF2B5EF4-FFF2-40B4-BE49-F238E27FC236}">
                <a16:creationId xmlns:a16="http://schemas.microsoft.com/office/drawing/2014/main" id="{EBDB83E1-5F3D-4787-A4A5-9D12BBD429B1}"/>
              </a:ext>
            </a:extLst>
          </xdr:cNvPr>
          <xdr:cNvCxnSpPr/>
        </xdr:nvCxnSpPr>
        <xdr:spPr>
          <a:xfrm flipH="1">
            <a:off x="22461681" y="7169727"/>
            <a:ext cx="23825" cy="3110377"/>
          </a:xfrm>
          <a:prstGeom prst="line">
            <a:avLst/>
          </a:prstGeom>
          <a:ln>
            <a:solidFill>
              <a:schemeClr val="accent3">
                <a:lumMod val="7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absolute">
    <xdr:from>
      <xdr:col>11</xdr:col>
      <xdr:colOff>4177391</xdr:colOff>
      <xdr:row>14</xdr:row>
      <xdr:rowOff>211340</xdr:rowOff>
    </xdr:from>
    <xdr:to>
      <xdr:col>11</xdr:col>
      <xdr:colOff>6898820</xdr:colOff>
      <xdr:row>22</xdr:row>
      <xdr:rowOff>212831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C2E87079-DBC2-3B9A-8EB4-89D4A2DFE6D2}"/>
            </a:ext>
          </a:extLst>
        </xdr:cNvPr>
        <xdr:cNvGrpSpPr/>
      </xdr:nvGrpSpPr>
      <xdr:grpSpPr>
        <a:xfrm>
          <a:off x="22436816" y="7059815"/>
          <a:ext cx="2721429" cy="2954241"/>
          <a:chOff x="22424570" y="6642075"/>
          <a:chExt cx="2721429" cy="2995063"/>
        </a:xfrm>
      </xdr:grpSpPr>
      <xdr:sp macro="" textlink="$P$7">
        <xdr:nvSpPr>
          <xdr:cNvPr id="2" name="Rectángulo: esquinas redondeadas 1">
            <a:extLst>
              <a:ext uri="{FF2B5EF4-FFF2-40B4-BE49-F238E27FC236}">
                <a16:creationId xmlns:a16="http://schemas.microsoft.com/office/drawing/2014/main" id="{1B36665A-3C2D-4395-96E1-D0861402CAC9}"/>
              </a:ext>
            </a:extLst>
          </xdr:cNvPr>
          <xdr:cNvSpPr/>
        </xdr:nvSpPr>
        <xdr:spPr>
          <a:xfrm>
            <a:off x="22424570" y="6642075"/>
            <a:ext cx="2721429" cy="2938838"/>
          </a:xfrm>
          <a:prstGeom prst="roundRect">
            <a:avLst/>
          </a:prstGeom>
          <a:ln w="57150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5"/>
          </a:lnRef>
          <a:fillRef idx="1">
            <a:schemeClr val="lt1"/>
          </a:fillRef>
          <a:effectRef idx="0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b"/>
          <a:lstStyle/>
          <a:p>
            <a:pPr algn="ctr"/>
            <a:endParaRPr lang="es-PE" sz="3600"/>
          </a:p>
        </xdr:txBody>
      </xdr:sp>
      <xdr:sp macro="" textlink="">
        <xdr:nvSpPr>
          <xdr:cNvPr id="153" name="CuadroTexto 152">
            <a:extLst>
              <a:ext uri="{FF2B5EF4-FFF2-40B4-BE49-F238E27FC236}">
                <a16:creationId xmlns:a16="http://schemas.microsoft.com/office/drawing/2014/main" id="{9A65E38A-A07B-42B6-827D-1B8EE685EDD6}"/>
              </a:ext>
            </a:extLst>
          </xdr:cNvPr>
          <xdr:cNvSpPr txBox="1"/>
        </xdr:nvSpPr>
        <xdr:spPr>
          <a:xfrm>
            <a:off x="22516756" y="6760112"/>
            <a:ext cx="2406356" cy="1095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PE" sz="2000" b="1">
                <a:solidFill>
                  <a:schemeClr val="accent1">
                    <a:lumMod val="50000"/>
                  </a:schemeClr>
                </a:solidFill>
                <a:latin typeface="+mn-lt"/>
                <a:cs typeface="Segoe UI" panose="020B0502040204020203" pitchFamily="34" charset="0"/>
              </a:rPr>
              <a:t>MAYOR</a:t>
            </a:r>
            <a:r>
              <a:rPr lang="es-PE" sz="2000" b="1" baseline="0">
                <a:solidFill>
                  <a:schemeClr val="accent1">
                    <a:lumMod val="50000"/>
                  </a:schemeClr>
                </a:solidFill>
                <a:latin typeface="+mn-lt"/>
                <a:cs typeface="Segoe UI" panose="020B0502040204020203" pitchFamily="34" charset="0"/>
              </a:rPr>
              <a:t> TIEMPO CONTINUO DE INTERVENCIÓN</a:t>
            </a:r>
            <a:endParaRPr lang="es-PE" sz="2400" b="1">
              <a:solidFill>
                <a:schemeClr val="accent1">
                  <a:lumMod val="50000"/>
                </a:schemeClr>
              </a:solidFill>
              <a:latin typeface="+mn-lt"/>
              <a:cs typeface="Segoe UI" panose="020B0502040204020203" pitchFamily="34" charset="0"/>
            </a:endParaRPr>
          </a:p>
        </xdr:txBody>
      </xdr:sp>
      <xdr:grpSp>
        <xdr:nvGrpSpPr>
          <xdr:cNvPr id="163" name="Grupo 162">
            <a:extLst>
              <a:ext uri="{FF2B5EF4-FFF2-40B4-BE49-F238E27FC236}">
                <a16:creationId xmlns:a16="http://schemas.microsoft.com/office/drawing/2014/main" id="{7C396BFE-8706-328D-24FA-BCBA8C92E0EA}"/>
              </a:ext>
            </a:extLst>
          </xdr:cNvPr>
          <xdr:cNvGrpSpPr/>
        </xdr:nvGrpSpPr>
        <xdr:grpSpPr>
          <a:xfrm>
            <a:off x="22476221" y="7776595"/>
            <a:ext cx="2580282" cy="1860543"/>
            <a:chOff x="22453589" y="8292484"/>
            <a:chExt cx="2578847" cy="2029152"/>
          </a:xfrm>
        </xdr:grpSpPr>
        <xdr:grpSp>
          <xdr:nvGrpSpPr>
            <xdr:cNvPr id="160" name="Grupo 159">
              <a:extLst>
                <a:ext uri="{FF2B5EF4-FFF2-40B4-BE49-F238E27FC236}">
                  <a16:creationId xmlns:a16="http://schemas.microsoft.com/office/drawing/2014/main" id="{957AF258-F00B-0267-A614-149C4DE7C0D5}"/>
                </a:ext>
              </a:extLst>
            </xdr:cNvPr>
            <xdr:cNvGrpSpPr/>
          </xdr:nvGrpSpPr>
          <xdr:grpSpPr>
            <a:xfrm>
              <a:off x="22552603" y="8292484"/>
              <a:ext cx="2479833" cy="822603"/>
              <a:chOff x="22535284" y="8604210"/>
              <a:chExt cx="2479833" cy="822603"/>
            </a:xfrm>
          </xdr:grpSpPr>
          <xdr:sp macro="" textlink="$N$19">
            <xdr:nvSpPr>
              <xdr:cNvPr id="156" name="CuadroTexto 155">
                <a:extLst>
                  <a:ext uri="{FF2B5EF4-FFF2-40B4-BE49-F238E27FC236}">
                    <a16:creationId xmlns:a16="http://schemas.microsoft.com/office/drawing/2014/main" id="{CAA0DD55-E2F6-4DE8-914B-956619CABDC1}"/>
                  </a:ext>
                </a:extLst>
              </xdr:cNvPr>
              <xdr:cNvSpPr txBox="1"/>
            </xdr:nvSpPr>
            <xdr:spPr>
              <a:xfrm>
                <a:off x="23189909" y="8641768"/>
                <a:ext cx="1228727" cy="727367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bg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fld id="{2965E62A-D4F4-475C-AE29-79BE56EEAD62}" type="TxLink">
                  <a:rPr lang="en-US" sz="4400" b="0" i="0" u="none" strike="noStrike">
                    <a:solidFill>
                      <a:srgbClr val="C00000"/>
                    </a:solidFill>
                    <a:latin typeface="Calibri"/>
                    <a:ea typeface="Calibri"/>
                    <a:cs typeface="Calibri"/>
                  </a:rPr>
                  <a:pPr algn="ctr"/>
                  <a:t>2:10</a:t>
                </a:fld>
                <a:endParaRPr lang="es-PE" sz="6600" b="1">
                  <a:solidFill>
                    <a:srgbClr val="C00000"/>
                  </a:solidFill>
                  <a:latin typeface="+mn-lt"/>
                  <a:cs typeface="Segoe UI" panose="020B0502040204020203" pitchFamily="34" charset="0"/>
                </a:endParaRPr>
              </a:p>
            </xdr:txBody>
          </xdr:sp>
          <xdr:grpSp>
            <xdr:nvGrpSpPr>
              <xdr:cNvPr id="159" name="Grupo 158">
                <a:extLst>
                  <a:ext uri="{FF2B5EF4-FFF2-40B4-BE49-F238E27FC236}">
                    <a16:creationId xmlns:a16="http://schemas.microsoft.com/office/drawing/2014/main" id="{89FE2AA1-6C38-F5D8-01B6-62131A3B48A3}"/>
                  </a:ext>
                </a:extLst>
              </xdr:cNvPr>
              <xdr:cNvGrpSpPr/>
            </xdr:nvGrpSpPr>
            <xdr:grpSpPr>
              <a:xfrm>
                <a:off x="22535284" y="8604210"/>
                <a:ext cx="2479833" cy="822603"/>
                <a:chOff x="22535284" y="8604210"/>
                <a:chExt cx="2479833" cy="822603"/>
              </a:xfrm>
            </xdr:grpSpPr>
            <xdr:sp macro="" textlink="">
              <xdr:nvSpPr>
                <xdr:cNvPr id="155" name="CuadroTexto 154">
                  <a:extLst>
                    <a:ext uri="{FF2B5EF4-FFF2-40B4-BE49-F238E27FC236}">
                      <a16:creationId xmlns:a16="http://schemas.microsoft.com/office/drawing/2014/main" id="{55FE39D2-CEE0-4AE2-B865-C82B253B293E}"/>
                    </a:ext>
                  </a:extLst>
                </xdr:cNvPr>
                <xdr:cNvSpPr txBox="1"/>
              </xdr:nvSpPr>
              <xdr:spPr>
                <a:xfrm>
                  <a:off x="22535284" y="8604210"/>
                  <a:ext cx="688398" cy="82260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bg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PE" sz="3600">
                      <a:solidFill>
                        <a:srgbClr val="C00000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🕒</a:t>
                  </a:r>
                  <a:endParaRPr lang="es-PE" sz="3600" b="1">
                    <a:solidFill>
                      <a:srgbClr val="C00000"/>
                    </a:solidFill>
                    <a:latin typeface="+mn-lt"/>
                    <a:cs typeface="Segoe UI" panose="020B0502040204020203" pitchFamily="34" charset="0"/>
                  </a:endParaRPr>
                </a:p>
              </xdr:txBody>
            </xdr:sp>
            <xdr:sp macro="" textlink="">
              <xdr:nvSpPr>
                <xdr:cNvPr id="157" name="CuadroTexto 156">
                  <a:extLst>
                    <a:ext uri="{FF2B5EF4-FFF2-40B4-BE49-F238E27FC236}">
                      <a16:creationId xmlns:a16="http://schemas.microsoft.com/office/drawing/2014/main" id="{2A923240-EA47-416A-B0DE-939EB562D70D}"/>
                    </a:ext>
                  </a:extLst>
                </xdr:cNvPr>
                <xdr:cNvSpPr txBox="1"/>
              </xdr:nvSpPr>
              <xdr:spPr>
                <a:xfrm>
                  <a:off x="24326719" y="8659088"/>
                  <a:ext cx="688398" cy="671948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bg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l"/>
                  <a:r>
                    <a:rPr lang="es-PE" sz="4400" b="0">
                      <a:solidFill>
                        <a:srgbClr val="C00000"/>
                      </a:solidFill>
                      <a:latin typeface="+mn-lt"/>
                      <a:cs typeface="Segoe UI" panose="020B0502040204020203" pitchFamily="34" charset="0"/>
                    </a:rPr>
                    <a:t>h</a:t>
                  </a:r>
                </a:p>
              </xdr:txBody>
            </xdr:sp>
          </xdr:grpSp>
        </xdr:grpSp>
        <xdr:grpSp>
          <xdr:nvGrpSpPr>
            <xdr:cNvPr id="162" name="Grupo 161">
              <a:extLst>
                <a:ext uri="{FF2B5EF4-FFF2-40B4-BE49-F238E27FC236}">
                  <a16:creationId xmlns:a16="http://schemas.microsoft.com/office/drawing/2014/main" id="{BCE275AE-8862-1926-8E8A-1DC8D2CC7730}"/>
                </a:ext>
              </a:extLst>
            </xdr:cNvPr>
            <xdr:cNvGrpSpPr/>
          </xdr:nvGrpSpPr>
          <xdr:grpSpPr>
            <a:xfrm>
              <a:off x="22453589" y="9001990"/>
              <a:ext cx="2529520" cy="1319646"/>
              <a:chOff x="22453589" y="9001990"/>
              <a:chExt cx="2529520" cy="1319646"/>
            </a:xfrm>
          </xdr:grpSpPr>
          <xdr:sp macro="" textlink="$O$19">
            <xdr:nvSpPr>
              <xdr:cNvPr id="158" name="CuadroTexto 157">
                <a:extLst>
                  <a:ext uri="{FF2B5EF4-FFF2-40B4-BE49-F238E27FC236}">
                    <a16:creationId xmlns:a16="http://schemas.microsoft.com/office/drawing/2014/main" id="{055AA51A-F9BD-493E-874B-4620F6EDEA3A}"/>
                  </a:ext>
                </a:extLst>
              </xdr:cNvPr>
              <xdr:cNvSpPr txBox="1"/>
            </xdr:nvSpPr>
            <xdr:spPr>
              <a:xfrm>
                <a:off x="22453589" y="9001990"/>
                <a:ext cx="2529520" cy="626922"/>
              </a:xfrm>
              <a:prstGeom prst="rect">
                <a:avLst/>
              </a:prstGeom>
              <a:solidFill>
                <a:sysClr val="window" lastClr="FFFFFF"/>
              </a:solidFill>
              <a:ln w="9525" cmpd="sng">
                <a:solidFill>
                  <a:schemeClr val="bg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fld id="{2E8FACC9-86CF-4492-8BFD-34447C8A96F5}" type="TxLink">
                  <a:rPr lang="en-US" sz="1400" b="0" i="0" u="none" strike="noStrike">
                    <a:solidFill>
                      <a:schemeClr val="accent1">
                        <a:lumMod val="50000"/>
                      </a:schemeClr>
                    </a:solidFill>
                    <a:latin typeface="Calibri"/>
                    <a:ea typeface="Calibri"/>
                    <a:cs typeface="Calibri"/>
                  </a:rPr>
                  <a:pPr algn="ctr"/>
                  <a:t>No pega goma en etiqueta </a:t>
                </a:fld>
                <a:endParaRPr lang="es-PE" sz="5400" b="0">
                  <a:solidFill>
                    <a:schemeClr val="accent1">
                      <a:lumMod val="50000"/>
                    </a:schemeClr>
                  </a:solidFill>
                  <a:latin typeface="+mn-lt"/>
                  <a:cs typeface="Segoe UI" panose="020B0502040204020203" pitchFamily="34" charset="0"/>
                </a:endParaRPr>
              </a:p>
            </xdr:txBody>
          </xdr:sp>
          <xdr:sp macro="" textlink="$Q$19">
            <xdr:nvSpPr>
              <xdr:cNvPr id="161" name="CuadroTexto 160">
                <a:extLst>
                  <a:ext uri="{FF2B5EF4-FFF2-40B4-BE49-F238E27FC236}">
                    <a16:creationId xmlns:a16="http://schemas.microsoft.com/office/drawing/2014/main" id="{BB6CCD34-4DCD-42DA-95AF-31CBEBC0E048}"/>
                  </a:ext>
                </a:extLst>
              </xdr:cNvPr>
              <xdr:cNvSpPr txBox="1"/>
            </xdr:nvSpPr>
            <xdr:spPr>
              <a:xfrm>
                <a:off x="22576848" y="9639297"/>
                <a:ext cx="2184687" cy="68233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fld id="{EFD354FD-F314-47F6-8A8E-3E4EDFA047EC}" type="TxLink">
                  <a:rPr lang="en-US" sz="1400" b="0" i="0" u="none" strike="noStrike">
                    <a:solidFill>
                      <a:schemeClr val="accent1">
                        <a:lumMod val="50000"/>
                      </a:schemeClr>
                    </a:solidFill>
                    <a:latin typeface="Calibri"/>
                    <a:ea typeface="Calibri"/>
                    <a:cs typeface="Calibri"/>
                  </a:rPr>
                  <a:pPr algn="ctr"/>
                  <a:t>EMP. SAPAL</a:t>
                </a:fld>
                <a:endParaRPr lang="es-PE" sz="6600" b="0">
                  <a:solidFill>
                    <a:schemeClr val="accent1">
                      <a:lumMod val="50000"/>
                    </a:schemeClr>
                  </a:solidFill>
                  <a:latin typeface="+mn-lt"/>
                  <a:cs typeface="Segoe UI" panose="020B0502040204020203" pitchFamily="34" charset="0"/>
                </a:endParaRPr>
              </a:p>
            </xdr:txBody>
          </xdr:sp>
        </xdr:grpSp>
      </xdr:grpSp>
    </xdr:grpSp>
    <xdr:clientData/>
  </xdr:twoCellAnchor>
  <xdr:twoCellAnchor editAs="absolute">
    <xdr:from>
      <xdr:col>1</xdr:col>
      <xdr:colOff>575191</xdr:colOff>
      <xdr:row>23</xdr:row>
      <xdr:rowOff>69274</xdr:rowOff>
    </xdr:from>
    <xdr:to>
      <xdr:col>9</xdr:col>
      <xdr:colOff>601805</xdr:colOff>
      <xdr:row>56</xdr:row>
      <xdr:rowOff>144235</xdr:rowOff>
    </xdr:to>
    <xdr:graphicFrame macro="">
      <xdr:nvGraphicFramePr>
        <xdr:cNvPr id="38" name="Gráfico 175">
          <a:extLst>
            <a:ext uri="{FF2B5EF4-FFF2-40B4-BE49-F238E27FC236}">
              <a16:creationId xmlns:a16="http://schemas.microsoft.com/office/drawing/2014/main" id="{C799DCB6-3943-D15E-4BF6-7DEA24FD3B08}"/>
            </a:ext>
            <a:ext uri="{147F2762-F138-4A5C-976F-8EAC2B608ADB}">
              <a16:predDERef xmlns:a16="http://schemas.microsoft.com/office/drawing/2014/main" pred="{A7BE9C71-F2B3-3AA1-7F7E-A58AC53C8CCD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1</xdr:col>
      <xdr:colOff>564387</xdr:colOff>
      <xdr:row>57</xdr:row>
      <xdr:rowOff>27586</xdr:rowOff>
    </xdr:from>
    <xdr:to>
      <xdr:col>9</xdr:col>
      <xdr:colOff>595312</xdr:colOff>
      <xdr:row>78</xdr:row>
      <xdr:rowOff>239485</xdr:rowOff>
    </xdr:to>
    <xdr:graphicFrame macro="">
      <xdr:nvGraphicFramePr>
        <xdr:cNvPr id="4119" name="Gráfico 4118">
          <a:extLst>
            <a:ext uri="{FF2B5EF4-FFF2-40B4-BE49-F238E27FC236}">
              <a16:creationId xmlns:a16="http://schemas.microsoft.com/office/drawing/2014/main" id="{9210C257-7BF3-620C-A60E-886B499CFD1E}"/>
            </a:ext>
            <a:ext uri="{147F2762-F138-4A5C-976F-8EAC2B608ADB}">
              <a16:predDERef xmlns:a16="http://schemas.microsoft.com/office/drawing/2014/main" pred="{85D9885F-1188-ED3F-F6BC-943F3757E1E8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9</xdr:col>
      <xdr:colOff>599085</xdr:colOff>
      <xdr:row>41</xdr:row>
      <xdr:rowOff>157595</xdr:rowOff>
    </xdr:from>
    <xdr:to>
      <xdr:col>11</xdr:col>
      <xdr:colOff>6892636</xdr:colOff>
      <xdr:row>57</xdr:row>
      <xdr:rowOff>19050</xdr:rowOff>
    </xdr:to>
    <xdr:grpSp>
      <xdr:nvGrpSpPr>
        <xdr:cNvPr id="39" name="Grupo 4127">
          <a:extLst>
            <a:ext uri="{FF2B5EF4-FFF2-40B4-BE49-F238E27FC236}">
              <a16:creationId xmlns:a16="http://schemas.microsoft.com/office/drawing/2014/main" id="{D55136F5-D9F5-B889-1B37-6FCB3CCBF68E}"/>
            </a:ext>
            <a:ext uri="{147F2762-F138-4A5C-976F-8EAC2B608ADB}">
              <a16:predDERef xmlns:a16="http://schemas.microsoft.com/office/drawing/2014/main" pred="{9210C257-7BF3-620C-A60E-886B499CFD1E}"/>
            </a:ext>
          </a:extLst>
        </xdr:cNvPr>
        <xdr:cNvGrpSpPr/>
      </xdr:nvGrpSpPr>
      <xdr:grpSpPr>
        <a:xfrm>
          <a:off x="13495935" y="13930745"/>
          <a:ext cx="11656126" cy="3185680"/>
          <a:chOff x="13475288" y="18583611"/>
          <a:chExt cx="11430000" cy="5451950"/>
        </a:xfrm>
      </xdr:grpSpPr>
      <xdr:graphicFrame macro="">
        <xdr:nvGraphicFramePr>
          <xdr:cNvPr id="40" name="Gráfico 4120">
            <a:extLst>
              <a:ext uri="{FF2B5EF4-FFF2-40B4-BE49-F238E27FC236}">
                <a16:creationId xmlns:a16="http://schemas.microsoft.com/office/drawing/2014/main" id="{04893E45-8298-242D-4BD0-CC916BF2FAD0}"/>
              </a:ext>
            </a:extLst>
          </xdr:cNvPr>
          <xdr:cNvGraphicFramePr>
            <a:graphicFrameLocks noChangeAspect="1"/>
          </xdr:cNvGraphicFramePr>
        </xdr:nvGraphicFramePr>
        <xdr:xfrm>
          <a:off x="13475288" y="18583611"/>
          <a:ext cx="11430000" cy="54519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pSp>
        <xdr:nvGrpSpPr>
          <xdr:cNvPr id="41" name="Grupo 4121">
            <a:extLst>
              <a:ext uri="{FF2B5EF4-FFF2-40B4-BE49-F238E27FC236}">
                <a16:creationId xmlns:a16="http://schemas.microsoft.com/office/drawing/2014/main" id="{3BD4950E-68B7-DA35-C7D6-E2DED50434CF}"/>
              </a:ext>
            </a:extLst>
          </xdr:cNvPr>
          <xdr:cNvGrpSpPr/>
        </xdr:nvGrpSpPr>
        <xdr:grpSpPr>
          <a:xfrm>
            <a:off x="20279475" y="22407184"/>
            <a:ext cx="2391643" cy="1212214"/>
            <a:chOff x="-424247" y="482366"/>
            <a:chExt cx="849028" cy="1212214"/>
          </a:xfrm>
        </xdr:grpSpPr>
        <xdr:sp macro="" textlink="">
          <xdr:nvSpPr>
            <xdr:cNvPr id="42" name="CuadroTexto 2">
              <a:extLst>
                <a:ext uri="{FF2B5EF4-FFF2-40B4-BE49-F238E27FC236}">
                  <a16:creationId xmlns:a16="http://schemas.microsoft.com/office/drawing/2014/main" id="{BD29A270-73F5-9719-DA58-AE489CD878DD}"/>
                </a:ext>
              </a:extLst>
            </xdr:cNvPr>
            <xdr:cNvSpPr txBox="1"/>
          </xdr:nvSpPr>
          <xdr:spPr>
            <a:xfrm>
              <a:off x="-421279" y="482366"/>
              <a:ext cx="707891" cy="557892"/>
            </a:xfrm>
            <a:prstGeom prst="rect">
              <a:avLst/>
            </a:prstGeom>
          </xdr:spPr>
          <xdr:txBody>
            <a:bodyPr wrap="square" rtlCol="0"/>
            <a:lstStyle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s-PE" sz="2800" kern="1200">
                  <a:solidFill>
                    <a:srgbClr val="002060"/>
                  </a:solidFill>
                </a:rPr>
                <a:t>NOCHE</a:t>
              </a:r>
            </a:p>
          </xdr:txBody>
        </xdr:sp>
        <xdr:grpSp>
          <xdr:nvGrpSpPr>
            <xdr:cNvPr id="43" name="Grupo 4123">
              <a:extLst>
                <a:ext uri="{FF2B5EF4-FFF2-40B4-BE49-F238E27FC236}">
                  <a16:creationId xmlns:a16="http://schemas.microsoft.com/office/drawing/2014/main" id="{8362BA86-7917-A9B6-6CF6-3515C483356C}"/>
                </a:ext>
              </a:extLst>
            </xdr:cNvPr>
            <xdr:cNvGrpSpPr/>
          </xdr:nvGrpSpPr>
          <xdr:grpSpPr>
            <a:xfrm>
              <a:off x="-424247" y="1317186"/>
              <a:ext cx="849028" cy="377394"/>
              <a:chOff x="-718997" y="1317186"/>
              <a:chExt cx="1419844" cy="377394"/>
            </a:xfrm>
          </xdr:grpSpPr>
          <xdr:sp macro="" textlink="$R$58">
            <xdr:nvSpPr>
              <xdr:cNvPr id="46" name="CuadroTexto 1">
                <a:extLst>
                  <a:ext uri="{FF2B5EF4-FFF2-40B4-BE49-F238E27FC236}">
                    <a16:creationId xmlns:a16="http://schemas.microsoft.com/office/drawing/2014/main" id="{136E6BED-D63F-533A-A1AC-137BF5BCA8AF}"/>
                  </a:ext>
                </a:extLst>
              </xdr:cNvPr>
              <xdr:cNvSpPr txBox="1"/>
            </xdr:nvSpPr>
            <xdr:spPr>
              <a:xfrm>
                <a:off x="-718997" y="1326442"/>
                <a:ext cx="730992" cy="367394"/>
              </a:xfrm>
              <a:prstGeom prst="rect">
                <a:avLst/>
              </a:prstGeom>
            </xdr:spPr>
            <xdr:txBody>
              <a:bodyPr wrap="square" rtlCol="0" anchor="ctr"/>
              <a:lstStyle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fld id="{594B07D5-1BB5-44E2-9E91-5629F6FAD0C4}" type="TxLink">
                  <a:rPr lang="en-US" sz="2800" b="0" i="0" u="none" strike="noStrike" kern="1200">
                    <a:solidFill>
                      <a:srgbClr val="002060"/>
                    </a:solidFill>
                    <a:latin typeface="Calibri"/>
                    <a:ea typeface="Calibri"/>
                    <a:cs typeface="Calibri"/>
                  </a:rPr>
                  <a:pPr/>
                  <a:t>0.00</a:t>
                </a:fld>
                <a:endParaRPr lang="es-PE" sz="11500" kern="1200">
                  <a:solidFill>
                    <a:srgbClr val="002060"/>
                  </a:solidFill>
                </a:endParaRPr>
              </a:p>
            </xdr:txBody>
          </xdr:sp>
          <xdr:sp macro="" textlink="">
            <xdr:nvSpPr>
              <xdr:cNvPr id="4098" name="CuadroTexto 1">
                <a:extLst>
                  <a:ext uri="{FF2B5EF4-FFF2-40B4-BE49-F238E27FC236}">
                    <a16:creationId xmlns:a16="http://schemas.microsoft.com/office/drawing/2014/main" id="{3006B636-9944-A370-978B-6C2F61F384C3}"/>
                  </a:ext>
                </a:extLst>
              </xdr:cNvPr>
              <xdr:cNvSpPr txBox="1"/>
            </xdr:nvSpPr>
            <xdr:spPr>
              <a:xfrm>
                <a:off x="-305913" y="1327186"/>
                <a:ext cx="558182" cy="367394"/>
              </a:xfrm>
              <a:prstGeom prst="rect">
                <a:avLst/>
              </a:prstGeom>
            </xdr:spPr>
            <xdr:txBody>
              <a:bodyPr wrap="square" rtlCol="0" anchor="ctr"/>
              <a:lstStyle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s-PE" sz="2800" kern="1200">
                    <a:solidFill>
                      <a:srgbClr val="002060"/>
                    </a:solidFill>
                  </a:rPr>
                  <a:t>h - </a:t>
                </a:r>
              </a:p>
            </xdr:txBody>
          </xdr:sp>
          <xdr:sp macro="" textlink="$S$58">
            <xdr:nvSpPr>
              <xdr:cNvPr id="4159" name="CuadroTexto 1">
                <a:extLst>
                  <a:ext uri="{FF2B5EF4-FFF2-40B4-BE49-F238E27FC236}">
                    <a16:creationId xmlns:a16="http://schemas.microsoft.com/office/drawing/2014/main" id="{AA6D8715-C794-D22B-5943-93710169D438}"/>
                  </a:ext>
                </a:extLst>
              </xdr:cNvPr>
              <xdr:cNvSpPr txBox="1"/>
            </xdr:nvSpPr>
            <xdr:spPr>
              <a:xfrm>
                <a:off x="-30145" y="1317186"/>
                <a:ext cx="730992" cy="367394"/>
              </a:xfrm>
              <a:prstGeom prst="rect">
                <a:avLst/>
              </a:prstGeom>
            </xdr:spPr>
            <xdr:txBody>
              <a:bodyPr wrap="square" rtlCol="0" anchor="ctr"/>
              <a:lstStyle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fld id="{8E41E466-ED92-406F-8510-FFAAD9EFE42F}" type="TxLink">
                  <a:rPr lang="en-US" sz="3600" b="0" i="0" u="none" strike="noStrike" kern="1200">
                    <a:solidFill>
                      <a:srgbClr val="002060"/>
                    </a:solidFill>
                    <a:latin typeface="Calibri"/>
                    <a:ea typeface="Calibri"/>
                    <a:cs typeface="Calibri"/>
                  </a:rPr>
                  <a:pPr/>
                  <a:t>0%</a:t>
                </a:fld>
                <a:endParaRPr lang="es-PE" sz="49600" kern="1200">
                  <a:solidFill>
                    <a:srgbClr val="002060"/>
                  </a:solidFill>
                </a:endParaRPr>
              </a:p>
            </xdr:txBody>
          </xdr:sp>
        </xdr:grpSp>
      </xdr:grpSp>
    </xdr:grpSp>
    <xdr:clientData/>
  </xdr:twoCellAnchor>
  <xdr:twoCellAnchor>
    <xdr:from>
      <xdr:col>1</xdr:col>
      <xdr:colOff>868914</xdr:colOff>
      <xdr:row>142</xdr:row>
      <xdr:rowOff>156866</xdr:rowOff>
    </xdr:from>
    <xdr:to>
      <xdr:col>11</xdr:col>
      <xdr:colOff>6593899</xdr:colOff>
      <xdr:row>144</xdr:row>
      <xdr:rowOff>283569</xdr:rowOff>
    </xdr:to>
    <xdr:grpSp>
      <xdr:nvGrpSpPr>
        <xdr:cNvPr id="33" name="Grupo 32">
          <a:extLst>
            <a:ext uri="{FF2B5EF4-FFF2-40B4-BE49-F238E27FC236}">
              <a16:creationId xmlns:a16="http://schemas.microsoft.com/office/drawing/2014/main" id="{FE2C0A36-D5DE-C246-0AF5-A02629C04D9F}"/>
            </a:ext>
          </a:extLst>
        </xdr:cNvPr>
        <xdr:cNvGrpSpPr/>
      </xdr:nvGrpSpPr>
      <xdr:grpSpPr>
        <a:xfrm>
          <a:off x="1630914" y="36304241"/>
          <a:ext cx="23222410" cy="1307803"/>
          <a:chOff x="1392789" y="33518952"/>
          <a:chExt cx="23203360" cy="1268941"/>
        </a:xfrm>
      </xdr:grpSpPr>
      <xdr:grpSp>
        <xdr:nvGrpSpPr>
          <xdr:cNvPr id="31" name="Grupo 30">
            <a:extLst>
              <a:ext uri="{FF2B5EF4-FFF2-40B4-BE49-F238E27FC236}">
                <a16:creationId xmlns:a16="http://schemas.microsoft.com/office/drawing/2014/main" id="{C68EB057-C2E4-8A3B-289C-781CDD7E0D40}"/>
              </a:ext>
            </a:extLst>
          </xdr:cNvPr>
          <xdr:cNvGrpSpPr/>
        </xdr:nvGrpSpPr>
        <xdr:grpSpPr>
          <a:xfrm>
            <a:off x="15572049" y="33518952"/>
            <a:ext cx="9024100" cy="1268941"/>
            <a:chOff x="1392788" y="33380783"/>
            <a:chExt cx="9032759" cy="1272899"/>
          </a:xfrm>
        </xdr:grpSpPr>
        <xdr:sp macro="" textlink="">
          <xdr:nvSpPr>
            <xdr:cNvPr id="26" name="CuadroTexto 25">
              <a:extLst>
                <a:ext uri="{FF2B5EF4-FFF2-40B4-BE49-F238E27FC236}">
                  <a16:creationId xmlns:a16="http://schemas.microsoft.com/office/drawing/2014/main" id="{C562CC7B-82AF-5FE1-63E5-000151CFEE16}"/>
                </a:ext>
              </a:extLst>
            </xdr:cNvPr>
            <xdr:cNvSpPr txBox="1"/>
          </xdr:nvSpPr>
          <xdr:spPr>
            <a:xfrm>
              <a:off x="1392788" y="33380784"/>
              <a:ext cx="2278667" cy="1238261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800"/>
                <a:t>TURNO</a:t>
              </a:r>
            </a:p>
            <a:p>
              <a:r>
                <a:rPr lang="es-PE" sz="1800">
                  <a:solidFill>
                    <a:schemeClr val="accent4">
                      <a:lumMod val="75000"/>
                    </a:schemeClr>
                  </a:solidFill>
                </a:rPr>
                <a:t>MAÑANA</a:t>
              </a:r>
            </a:p>
            <a:p>
              <a:r>
                <a:rPr lang="es-PE" sz="1800">
                  <a:solidFill>
                    <a:schemeClr val="accent2">
                      <a:lumMod val="75000"/>
                    </a:schemeClr>
                  </a:solidFill>
                </a:rPr>
                <a:t>TARDE</a:t>
              </a:r>
            </a:p>
            <a:p>
              <a:r>
                <a:rPr lang="es-PE" sz="1800">
                  <a:solidFill>
                    <a:srgbClr val="002060"/>
                  </a:solidFill>
                </a:rPr>
                <a:t>NOCHE</a:t>
              </a:r>
            </a:p>
          </xdr:txBody>
        </xdr:sp>
        <xdr:sp macro="" textlink="">
          <xdr:nvSpPr>
            <xdr:cNvPr id="27" name="CuadroTexto 26">
              <a:extLst>
                <a:ext uri="{FF2B5EF4-FFF2-40B4-BE49-F238E27FC236}">
                  <a16:creationId xmlns:a16="http://schemas.microsoft.com/office/drawing/2014/main" id="{4E5DB1BA-2E6F-447E-8ED9-E7D924D9F728}"/>
                </a:ext>
              </a:extLst>
            </xdr:cNvPr>
            <xdr:cNvSpPr txBox="1"/>
          </xdr:nvSpPr>
          <xdr:spPr>
            <a:xfrm>
              <a:off x="3749867" y="33380783"/>
              <a:ext cx="2675180" cy="1271164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2000"/>
                <a:t>T. ATENCIÓN</a:t>
              </a:r>
            </a:p>
            <a:p>
              <a:r>
                <a:rPr lang="es-PE" sz="2000">
                  <a:solidFill>
                    <a:schemeClr val="accent6">
                      <a:lumMod val="75000"/>
                    </a:schemeClr>
                  </a:solidFill>
                </a:rPr>
                <a:t>Normal</a:t>
              </a:r>
              <a:r>
                <a:rPr lang="es-PE" sz="2000" baseline="0">
                  <a:solidFill>
                    <a:schemeClr val="accent6">
                      <a:lumMod val="75000"/>
                    </a:schemeClr>
                  </a:solidFill>
                </a:rPr>
                <a:t> (&lt;1:00)</a:t>
              </a:r>
            </a:p>
            <a:p>
              <a:r>
                <a:rPr lang="es-PE" sz="2000" baseline="0">
                  <a:solidFill>
                    <a:schemeClr val="accent4">
                      <a:lumMod val="75000"/>
                    </a:schemeClr>
                  </a:solidFill>
                </a:rPr>
                <a:t>Atención (1:00 &lt;x&lt;2:00)</a:t>
              </a:r>
            </a:p>
            <a:p>
              <a:r>
                <a:rPr lang="es-PE" sz="2000" baseline="0">
                  <a:solidFill>
                    <a:srgbClr val="FF0000"/>
                  </a:solidFill>
                </a:rPr>
                <a:t>Crítico (&gt;2:00)</a:t>
              </a:r>
              <a:endParaRPr lang="es-PE" sz="20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8" name="CuadroTexto 27">
              <a:extLst>
                <a:ext uri="{FF2B5EF4-FFF2-40B4-BE49-F238E27FC236}">
                  <a16:creationId xmlns:a16="http://schemas.microsoft.com/office/drawing/2014/main" id="{6E554B76-CED4-4FEF-8761-38A12584A1FF}"/>
                </a:ext>
              </a:extLst>
            </xdr:cNvPr>
            <xdr:cNvSpPr txBox="1"/>
          </xdr:nvSpPr>
          <xdr:spPr>
            <a:xfrm>
              <a:off x="6504335" y="33391636"/>
              <a:ext cx="2390661" cy="1262046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2000"/>
                <a:t>P/PN</a:t>
              </a:r>
              <a:endParaRPr lang="es-PE" sz="2000">
                <a:solidFill>
                  <a:srgbClr val="FF0000"/>
                </a:solidFill>
              </a:endParaRPr>
            </a:p>
            <a:p>
              <a:r>
                <a:rPr lang="es-PE" sz="2000">
                  <a:solidFill>
                    <a:srgbClr val="002060"/>
                  </a:solidFill>
                </a:rPr>
                <a:t>PROGRAMADA</a:t>
              </a:r>
            </a:p>
            <a:p>
              <a:r>
                <a:rPr lang="es-PE" sz="2000">
                  <a:solidFill>
                    <a:srgbClr val="FF0000"/>
                  </a:solidFill>
                </a:rPr>
                <a:t>NO</a:t>
              </a:r>
              <a:r>
                <a:rPr lang="es-PE" sz="2000" baseline="0">
                  <a:solidFill>
                    <a:srgbClr val="FF0000"/>
                  </a:solidFill>
                </a:rPr>
                <a:t> PROGRAMADA</a:t>
              </a:r>
              <a:endParaRPr lang="es-PE" sz="2000"/>
            </a:p>
          </xdr:txBody>
        </xdr:sp>
        <xdr:sp macro="" textlink="">
          <xdr:nvSpPr>
            <xdr:cNvPr id="29" name="CuadroTexto 28">
              <a:extLst>
                <a:ext uri="{FF2B5EF4-FFF2-40B4-BE49-F238E27FC236}">
                  <a16:creationId xmlns:a16="http://schemas.microsoft.com/office/drawing/2014/main" id="{9743937F-934C-4A5A-9B9F-CF4BC50B4D23}"/>
                </a:ext>
              </a:extLst>
            </xdr:cNvPr>
            <xdr:cNvSpPr txBox="1"/>
          </xdr:nvSpPr>
          <xdr:spPr>
            <a:xfrm>
              <a:off x="8961338" y="33391651"/>
              <a:ext cx="1464209" cy="1244713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2000"/>
                <a:t>M/E</a:t>
              </a:r>
              <a:endParaRPr lang="es-PE" sz="2000">
                <a:solidFill>
                  <a:srgbClr val="FF0000"/>
                </a:solidFill>
              </a:endParaRPr>
            </a:p>
            <a:p>
              <a:r>
                <a:rPr lang="es-PE" sz="2000">
                  <a:solidFill>
                    <a:schemeClr val="accent2">
                      <a:lumMod val="75000"/>
                    </a:schemeClr>
                  </a:solidFill>
                </a:rPr>
                <a:t>MECÁNICA</a:t>
              </a:r>
            </a:p>
            <a:p>
              <a:r>
                <a:rPr lang="es-PE" sz="2000">
                  <a:solidFill>
                    <a:schemeClr val="accent4">
                      <a:lumMod val="75000"/>
                    </a:schemeClr>
                  </a:solidFill>
                </a:rPr>
                <a:t>ELÉCTRICA</a:t>
              </a:r>
            </a:p>
          </xdr:txBody>
        </xdr:sp>
      </xdr:grpSp>
      <xdr:sp macro="" textlink="">
        <xdr:nvSpPr>
          <xdr:cNvPr id="32" name="CuadroTexto 31">
            <a:extLst>
              <a:ext uri="{FF2B5EF4-FFF2-40B4-BE49-F238E27FC236}">
                <a16:creationId xmlns:a16="http://schemas.microsoft.com/office/drawing/2014/main" id="{10E6862B-700D-437E-A8B1-4377200485CA}"/>
              </a:ext>
            </a:extLst>
          </xdr:cNvPr>
          <xdr:cNvSpPr txBox="1"/>
        </xdr:nvSpPr>
        <xdr:spPr>
          <a:xfrm>
            <a:off x="1392789" y="33527998"/>
            <a:ext cx="14016063" cy="1200935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PE" sz="8000">
                <a:solidFill>
                  <a:srgbClr val="002060"/>
                </a:solidFill>
              </a:rPr>
              <a:t>DETALLE</a:t>
            </a:r>
            <a:r>
              <a:rPr lang="es-PE" sz="8000" baseline="0">
                <a:solidFill>
                  <a:srgbClr val="002060"/>
                </a:solidFill>
              </a:rPr>
              <a:t> DE ACTIVIDADES</a:t>
            </a:r>
            <a:endParaRPr lang="es-PE" sz="8000">
              <a:solidFill>
                <a:srgbClr val="002060"/>
              </a:solidFill>
            </a:endParaRPr>
          </a:p>
        </xdr:txBody>
      </xdr:sp>
    </xdr:grpSp>
    <xdr:clientData/>
  </xdr:twoCellAnchor>
  <xdr:twoCellAnchor editAs="absolute">
    <xdr:from>
      <xdr:col>11</xdr:col>
      <xdr:colOff>1153147</xdr:colOff>
      <xdr:row>23</xdr:row>
      <xdr:rowOff>78922</xdr:rowOff>
    </xdr:from>
    <xdr:to>
      <xdr:col>11</xdr:col>
      <xdr:colOff>6858000</xdr:colOff>
      <xdr:row>41</xdr:row>
      <xdr:rowOff>133349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E0AFBD6B-A594-88A1-8174-D22A305FB94C}"/>
            </a:ext>
          </a:extLst>
        </xdr:cNvPr>
        <xdr:cNvGrpSpPr/>
      </xdr:nvGrpSpPr>
      <xdr:grpSpPr>
        <a:xfrm>
          <a:off x="19412572" y="10337347"/>
          <a:ext cx="5704853" cy="3569152"/>
          <a:chOff x="19400312" y="10205358"/>
          <a:chExt cx="5508924" cy="3584120"/>
        </a:xfrm>
      </xdr:grpSpPr>
      <xdr:sp macro="" textlink="">
        <xdr:nvSpPr>
          <xdr:cNvPr id="4120" name="Rectángulo 4119">
            <a:extLst>
              <a:ext uri="{FF2B5EF4-FFF2-40B4-BE49-F238E27FC236}">
                <a16:creationId xmlns:a16="http://schemas.microsoft.com/office/drawing/2014/main" id="{85617F8B-AE75-D504-B0C6-2126271E947F}"/>
              </a:ext>
            </a:extLst>
          </xdr:cNvPr>
          <xdr:cNvSpPr>
            <a:spLocks noChangeAspect="1"/>
          </xdr:cNvSpPr>
        </xdr:nvSpPr>
        <xdr:spPr>
          <a:xfrm>
            <a:off x="19408547" y="10205358"/>
            <a:ext cx="5500689" cy="3584120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solidFill>
              <a:schemeClr val="bg1">
                <a:lumMod val="9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grpSp>
        <xdr:nvGrpSpPr>
          <xdr:cNvPr id="4118" name="Grupo 4117">
            <a:extLst>
              <a:ext uri="{FF2B5EF4-FFF2-40B4-BE49-F238E27FC236}">
                <a16:creationId xmlns:a16="http://schemas.microsoft.com/office/drawing/2014/main" id="{85D9885F-1188-ED3F-F6BC-943F3757E1E8}"/>
              </a:ext>
            </a:extLst>
          </xdr:cNvPr>
          <xdr:cNvGrpSpPr/>
        </xdr:nvGrpSpPr>
        <xdr:grpSpPr>
          <a:xfrm>
            <a:off x="19400312" y="10413791"/>
            <a:ext cx="5193218" cy="2456091"/>
            <a:chOff x="13771358" y="14637459"/>
            <a:chExt cx="10816746" cy="2659528"/>
          </a:xfrm>
        </xdr:grpSpPr>
        <xdr:grpSp>
          <xdr:nvGrpSpPr>
            <xdr:cNvPr id="4117" name="Grupo 4116">
              <a:extLst>
                <a:ext uri="{FF2B5EF4-FFF2-40B4-BE49-F238E27FC236}">
                  <a16:creationId xmlns:a16="http://schemas.microsoft.com/office/drawing/2014/main" id="{0C44E7BE-A1DD-A8C2-9515-BB2C644886A9}"/>
                </a:ext>
              </a:extLst>
            </xdr:cNvPr>
            <xdr:cNvGrpSpPr/>
          </xdr:nvGrpSpPr>
          <xdr:grpSpPr>
            <a:xfrm>
              <a:off x="13771358" y="15594328"/>
              <a:ext cx="10816746" cy="1702659"/>
              <a:chOff x="13771358" y="15594328"/>
              <a:chExt cx="10816746" cy="1702659"/>
            </a:xfrm>
          </xdr:grpSpPr>
          <xdr:grpSp>
            <xdr:nvGrpSpPr>
              <xdr:cNvPr id="4116" name="Grupo 4115">
                <a:extLst>
                  <a:ext uri="{FF2B5EF4-FFF2-40B4-BE49-F238E27FC236}">
                    <a16:creationId xmlns:a16="http://schemas.microsoft.com/office/drawing/2014/main" id="{D84EE604-C890-6FFF-8C61-74F12FDBC91E}"/>
                  </a:ext>
                </a:extLst>
              </xdr:cNvPr>
              <xdr:cNvGrpSpPr/>
            </xdr:nvGrpSpPr>
            <xdr:grpSpPr>
              <a:xfrm>
                <a:off x="13771358" y="15670424"/>
                <a:ext cx="5360754" cy="1607276"/>
                <a:chOff x="13771358" y="15670424"/>
                <a:chExt cx="5360754" cy="1607276"/>
              </a:xfrm>
            </xdr:grpSpPr>
            <xdr:pic>
              <xdr:nvPicPr>
                <xdr:cNvPr id="182" name="Imagen 181">
                  <a:extLst>
                    <a:ext uri="{FF2B5EF4-FFF2-40B4-BE49-F238E27FC236}">
                      <a16:creationId xmlns:a16="http://schemas.microsoft.com/office/drawing/2014/main" id="{ECF77911-390F-B827-1F93-71E1976CD011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7"/>
                <a:srcRect l="20375" r="20500"/>
                <a:stretch>
                  <a:fillRect/>
                </a:stretch>
              </xdr:blipFill>
              <xdr:spPr>
                <a:xfrm>
                  <a:off x="16431842" y="15670424"/>
                  <a:ext cx="2700270" cy="1607276"/>
                </a:xfrm>
                <a:prstGeom prst="rect">
                  <a:avLst/>
                </a:prstGeom>
              </xdr:spPr>
            </xdr:pic>
            <xdr:sp macro="" textlink="$V$37">
              <xdr:nvSpPr>
                <xdr:cNvPr id="4101" name="CuadroTexto 152">
                  <a:extLst>
                    <a:ext uri="{FF2B5EF4-FFF2-40B4-BE49-F238E27FC236}">
                      <a16:creationId xmlns:a16="http://schemas.microsoft.com/office/drawing/2014/main" id="{5573A594-5624-F67D-702D-3673B183FD05}"/>
                    </a:ext>
                  </a:extLst>
                </xdr:cNvPr>
                <xdr:cNvSpPr txBox="1"/>
              </xdr:nvSpPr>
              <xdr:spPr>
                <a:xfrm>
                  <a:off x="13771358" y="16028465"/>
                  <a:ext cx="2646918" cy="419233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9525" cmpd="sng">
                  <a:solidFill>
                    <a:schemeClr val="bg1">
                      <a:lumMod val="95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ctr"/>
                <a:lstStyle>
                  <a:lvl1pPr marL="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fld id="{0B5C353F-2DE9-495A-9FAB-DB6BE147B32B}" type="TxLink">
                    <a:rPr lang="en-US" sz="1800" b="0" i="0" u="none" strike="noStrike">
                      <a:solidFill>
                        <a:schemeClr val="accent2">
                          <a:lumMod val="50000"/>
                        </a:schemeClr>
                      </a:solidFill>
                      <a:latin typeface="Calibri"/>
                      <a:ea typeface="Calibri"/>
                      <a:cs typeface="Calibri"/>
                    </a:rPr>
                    <a:pPr algn="ctr"/>
                    <a:t>MECÁNICA</a:t>
                  </a:fld>
                  <a:endParaRPr lang="es-PE" sz="1800" b="1">
                    <a:solidFill>
                      <a:schemeClr val="accent2">
                        <a:lumMod val="50000"/>
                      </a:schemeClr>
                    </a:solidFill>
                    <a:latin typeface="+mn-lt"/>
                    <a:cs typeface="Segoe UI" panose="020B0502040204020203" pitchFamily="34" charset="0"/>
                  </a:endParaRPr>
                </a:p>
              </xdr:txBody>
            </xdr:sp>
          </xdr:grpSp>
          <xdr:grpSp>
            <xdr:nvGrpSpPr>
              <xdr:cNvPr id="4115" name="Grupo 4114">
                <a:extLst>
                  <a:ext uri="{FF2B5EF4-FFF2-40B4-BE49-F238E27FC236}">
                    <a16:creationId xmlns:a16="http://schemas.microsoft.com/office/drawing/2014/main" id="{0395B5B5-163B-418C-8EFE-8EA6C5147198}"/>
                  </a:ext>
                </a:extLst>
              </xdr:cNvPr>
              <xdr:cNvGrpSpPr/>
            </xdr:nvGrpSpPr>
            <xdr:grpSpPr>
              <a:xfrm>
                <a:off x="19535269" y="15594328"/>
                <a:ext cx="5052835" cy="1702659"/>
                <a:chOff x="19195094" y="15594328"/>
                <a:chExt cx="5052835" cy="1702659"/>
              </a:xfrm>
            </xdr:grpSpPr>
            <xdr:pic>
              <xdr:nvPicPr>
                <xdr:cNvPr id="183" name="Imagen 182">
                  <a:extLst>
                    <a:ext uri="{FF2B5EF4-FFF2-40B4-BE49-F238E27FC236}">
                      <a16:creationId xmlns:a16="http://schemas.microsoft.com/office/drawing/2014/main" id="{B5C12F1C-67E6-DC95-BD0A-D5F821717E4C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8"/>
                <a:srcRect l="23879" r="23712"/>
                <a:stretch>
                  <a:fillRect/>
                </a:stretch>
              </xdr:blipFill>
              <xdr:spPr>
                <a:xfrm>
                  <a:off x="21622374" y="15594328"/>
                  <a:ext cx="2625555" cy="1702659"/>
                </a:xfrm>
                <a:prstGeom prst="rect">
                  <a:avLst/>
                </a:prstGeom>
              </xdr:spPr>
            </xdr:pic>
            <xdr:grpSp>
              <xdr:nvGrpSpPr>
                <xdr:cNvPr id="4109" name="Grupo 4108">
                  <a:extLst>
                    <a:ext uri="{FF2B5EF4-FFF2-40B4-BE49-F238E27FC236}">
                      <a16:creationId xmlns:a16="http://schemas.microsoft.com/office/drawing/2014/main" id="{F3A178AB-494B-BD3E-7CBB-649AA1E30E7C}"/>
                    </a:ext>
                  </a:extLst>
                </xdr:cNvPr>
                <xdr:cNvGrpSpPr/>
              </xdr:nvGrpSpPr>
              <xdr:grpSpPr>
                <a:xfrm>
                  <a:off x="19195094" y="15968380"/>
                  <a:ext cx="2509715" cy="918121"/>
                  <a:chOff x="38657" y="186057"/>
                  <a:chExt cx="2508249" cy="918622"/>
                </a:xfrm>
              </xdr:grpSpPr>
              <xdr:sp macro="" textlink="$V$36">
                <xdr:nvSpPr>
                  <xdr:cNvPr id="4111" name="CuadroTexto 152">
                    <a:extLst>
                      <a:ext uri="{FF2B5EF4-FFF2-40B4-BE49-F238E27FC236}">
                        <a16:creationId xmlns:a16="http://schemas.microsoft.com/office/drawing/2014/main" id="{BAB45994-345F-9469-4A38-2745512EAF44}"/>
                      </a:ext>
                    </a:extLst>
                  </xdr:cNvPr>
                  <xdr:cNvSpPr txBox="1"/>
                </xdr:nvSpPr>
                <xdr:spPr>
                  <a:xfrm>
                    <a:off x="38657" y="186057"/>
                    <a:ext cx="2508249" cy="419461"/>
                  </a:xfrm>
                  <a:prstGeom prst="rect">
                    <a:avLst/>
                  </a:prstGeom>
                  <a:solidFill>
                    <a:schemeClr val="bg1">
                      <a:lumMod val="95000"/>
                    </a:schemeClr>
                  </a:solidFill>
                  <a:ln w="9525" cmpd="sng">
                    <a:solidFill>
                      <a:schemeClr val="bg1">
                        <a:lumMod val="95000"/>
                      </a:schemeClr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ctr"/>
                  <a:lstStyle>
                    <a:lvl1pPr marL="0" indent="0">
                      <a:defRPr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indent="0">
                      <a:defRPr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indent="0">
                      <a:defRPr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indent="0">
                      <a:defRPr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indent="0">
                      <a:defRPr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indent="0">
                      <a:defRPr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indent="0">
                      <a:defRPr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indent="0">
                      <a:defRPr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indent="0">
                      <a:defRPr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fld id="{30E5351A-FAAD-4A1B-88C7-15524F41BF37}" type="TxLink">
                      <a:rPr lang="en-US" sz="1800" b="0" i="0" u="none" strike="noStrike">
                        <a:solidFill>
                          <a:srgbClr val="7030A0"/>
                        </a:solidFill>
                        <a:latin typeface="Calibri"/>
                        <a:ea typeface="Calibri"/>
                        <a:cs typeface="Calibri"/>
                      </a:rPr>
                      <a:pPr algn="ctr"/>
                      <a:t>ELÉCTRICA</a:t>
                    </a:fld>
                    <a:endParaRPr lang="es-PE" sz="6600" b="1">
                      <a:solidFill>
                        <a:srgbClr val="7030A0"/>
                      </a:solidFill>
                      <a:latin typeface="+mn-lt"/>
                      <a:cs typeface="Segoe UI" panose="020B0502040204020203" pitchFamily="34" charset="0"/>
                    </a:endParaRPr>
                  </a:p>
                </xdr:txBody>
              </xdr:sp>
              <xdr:sp macro="" textlink="$Y$36">
                <xdr:nvSpPr>
                  <xdr:cNvPr id="4114" name="CuadroTexto 152">
                    <a:extLst>
                      <a:ext uri="{FF2B5EF4-FFF2-40B4-BE49-F238E27FC236}">
                        <a16:creationId xmlns:a16="http://schemas.microsoft.com/office/drawing/2014/main" id="{963B8823-851F-AE0E-FC63-B7E1EF4BD86C}"/>
                      </a:ext>
                    </a:extLst>
                  </xdr:cNvPr>
                  <xdr:cNvSpPr txBox="1"/>
                </xdr:nvSpPr>
                <xdr:spPr>
                  <a:xfrm>
                    <a:off x="282624" y="529274"/>
                    <a:ext cx="2068916" cy="575405"/>
                  </a:xfrm>
                  <a:prstGeom prst="rect">
                    <a:avLst/>
                  </a:prstGeom>
                  <a:solidFill>
                    <a:schemeClr val="bg1">
                      <a:lumMod val="95000"/>
                    </a:schemeClr>
                  </a:solidFill>
                  <a:ln w="9525" cmpd="sng">
                    <a:solidFill>
                      <a:schemeClr val="bg1">
                        <a:lumMod val="95000"/>
                      </a:schemeClr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ctr"/>
                  <a:lstStyle>
                    <a:lvl1pPr marL="0" indent="0">
                      <a:defRPr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indent="0">
                      <a:defRPr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indent="0">
                      <a:defRPr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indent="0">
                      <a:defRPr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indent="0">
                      <a:defRPr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indent="0">
                      <a:defRPr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indent="0">
                      <a:defRPr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indent="0">
                      <a:defRPr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indent="0">
                      <a:defRPr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fld id="{2E19D857-AAFC-4E79-B3D5-BE35DBE9578D}" type="TxLink">
                      <a:rPr lang="en-US" sz="2400" b="0" i="0" u="none" strike="noStrike">
                        <a:solidFill>
                          <a:srgbClr val="7030A0"/>
                        </a:solidFill>
                        <a:latin typeface="Calibri"/>
                        <a:ea typeface="Calibri"/>
                        <a:cs typeface="Calibri"/>
                      </a:rPr>
                      <a:pPr algn="ctr"/>
                      <a:t>(21% )</a:t>
                    </a:fld>
                    <a:endParaRPr lang="es-PE" sz="11500" b="0">
                      <a:solidFill>
                        <a:srgbClr val="7030A0"/>
                      </a:solidFill>
                      <a:latin typeface="+mn-lt"/>
                      <a:cs typeface="Segoe UI" panose="020B0502040204020203" pitchFamily="34" charset="0"/>
                    </a:endParaRPr>
                  </a:p>
                </xdr:txBody>
              </xdr:sp>
            </xdr:grpSp>
          </xdr:grpSp>
        </xdr:grpSp>
        <xdr:sp macro="" textlink="">
          <xdr:nvSpPr>
            <xdr:cNvPr id="185" name="CuadroTexto 184">
              <a:extLst>
                <a:ext uri="{FF2B5EF4-FFF2-40B4-BE49-F238E27FC236}">
                  <a16:creationId xmlns:a16="http://schemas.microsoft.com/office/drawing/2014/main" id="{08819CA0-4023-FC14-618D-67707256AE60}"/>
                </a:ext>
              </a:extLst>
            </xdr:cNvPr>
            <xdr:cNvSpPr txBox="1"/>
          </xdr:nvSpPr>
          <xdr:spPr>
            <a:xfrm>
              <a:off x="14760363" y="14637459"/>
              <a:ext cx="9315449" cy="405491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cmpd="sng">
              <a:solidFill>
                <a:schemeClr val="bg1">
                  <a:lumMod val="95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s-PE" sz="2400" b="1">
                  <a:solidFill>
                    <a:schemeClr val="accent3">
                      <a:lumMod val="50000"/>
                    </a:schemeClr>
                  </a:solidFill>
                </a:rPr>
                <a:t>TIEMPO DE FALLA</a:t>
              </a:r>
              <a:r>
                <a:rPr lang="es-PE" sz="2400" b="1" baseline="0">
                  <a:solidFill>
                    <a:schemeClr val="accent3">
                      <a:lumMod val="50000"/>
                    </a:schemeClr>
                  </a:solidFill>
                </a:rPr>
                <a:t> POR TIPO</a:t>
              </a:r>
              <a:endParaRPr lang="es-PE" sz="2400" b="1">
                <a:solidFill>
                  <a:schemeClr val="accent3">
                    <a:lumMod val="50000"/>
                  </a:schemeClr>
                </a:solidFill>
              </a:endParaRPr>
            </a:p>
          </xdr:txBody>
        </xdr:sp>
      </xdr:grpSp>
      <xdr:sp macro="" textlink="$Z$36">
        <xdr:nvSpPr>
          <xdr:cNvPr id="4499" name="CuadroTexto 152">
            <a:extLst>
              <a:ext uri="{FF2B5EF4-FFF2-40B4-BE49-F238E27FC236}">
                <a16:creationId xmlns:a16="http://schemas.microsoft.com/office/drawing/2014/main" id="{79DB39D9-3BE1-4C23-B56B-9728D515FE2E}"/>
              </a:ext>
            </a:extLst>
          </xdr:cNvPr>
          <xdr:cNvSpPr txBox="1"/>
        </xdr:nvSpPr>
        <xdr:spPr>
          <a:xfrm>
            <a:off x="22299636" y="12300762"/>
            <a:ext cx="993886" cy="52767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fld id="{0F72E92F-0A12-4C74-8AE6-7F19E8128EBE}" type="TxLink">
              <a:rPr lang="en-US" sz="2000" b="0" i="0" u="none" strike="noStrike">
                <a:solidFill>
                  <a:srgbClr val="7030A0"/>
                </a:solidFill>
                <a:latin typeface="Calibri"/>
                <a:ea typeface="Calibri"/>
                <a:cs typeface="Calibri"/>
              </a:rPr>
              <a:pPr algn="ctr"/>
              <a:t>0.25 h.</a:t>
            </a:fld>
            <a:endParaRPr lang="es-PE" sz="59500" b="0">
              <a:solidFill>
                <a:srgbClr val="7030A0"/>
              </a:solidFill>
              <a:latin typeface="+mn-lt"/>
              <a:cs typeface="Segoe UI" panose="020B0502040204020203" pitchFamily="34" charset="0"/>
            </a:endParaRPr>
          </a:p>
        </xdr:txBody>
      </xdr:sp>
      <xdr:sp macro="" textlink="$Y$37">
        <xdr:nvSpPr>
          <xdr:cNvPr id="4500" name="CuadroTexto 152">
            <a:extLst>
              <a:ext uri="{FF2B5EF4-FFF2-40B4-BE49-F238E27FC236}">
                <a16:creationId xmlns:a16="http://schemas.microsoft.com/office/drawing/2014/main" id="{33F70319-B044-40E0-BC81-6A7E1828A224}"/>
              </a:ext>
            </a:extLst>
          </xdr:cNvPr>
          <xdr:cNvSpPr txBox="1"/>
        </xdr:nvSpPr>
        <xdr:spPr>
          <a:xfrm>
            <a:off x="19527861" y="11938458"/>
            <a:ext cx="993886" cy="5460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fld id="{79ECD385-56BA-4794-9ED5-38E707E43CDB}" type="TxLink">
              <a:rPr lang="en-US" sz="2400" b="0" i="0" u="none" strike="noStrike">
                <a:solidFill>
                  <a:schemeClr val="accent2">
                    <a:lumMod val="50000"/>
                  </a:schemeClr>
                </a:solidFill>
                <a:latin typeface="Calibri"/>
                <a:ea typeface="Calibri"/>
                <a:cs typeface="Calibri"/>
              </a:rPr>
              <a:pPr algn="ctr"/>
              <a:t>(79% )</a:t>
            </a:fld>
            <a:endParaRPr lang="es-PE" sz="49600" b="0">
              <a:solidFill>
                <a:schemeClr val="accent2">
                  <a:lumMod val="50000"/>
                </a:schemeClr>
              </a:solidFill>
              <a:latin typeface="+mn-lt"/>
              <a:cs typeface="Segoe UI" panose="020B0502040204020203" pitchFamily="34" charset="0"/>
            </a:endParaRPr>
          </a:p>
        </xdr:txBody>
      </xdr:sp>
      <xdr:sp macro="" textlink="$Z$37">
        <xdr:nvSpPr>
          <xdr:cNvPr id="4501" name="CuadroTexto 152">
            <a:extLst>
              <a:ext uri="{FF2B5EF4-FFF2-40B4-BE49-F238E27FC236}">
                <a16:creationId xmlns:a16="http://schemas.microsoft.com/office/drawing/2014/main" id="{FAFD1943-2802-4519-A4BA-2DDC9DB5BAAF}"/>
              </a:ext>
            </a:extLst>
          </xdr:cNvPr>
          <xdr:cNvSpPr txBox="1"/>
        </xdr:nvSpPr>
        <xdr:spPr>
          <a:xfrm>
            <a:off x="19499036" y="12271833"/>
            <a:ext cx="1108436" cy="5460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fld id="{3CF53AB7-764E-4259-94E4-D8EFF11C042F}" type="TxLink">
              <a:rPr lang="en-US" sz="2000" b="0" i="0" u="none" strike="noStrike">
                <a:solidFill>
                  <a:schemeClr val="accent2">
                    <a:lumMod val="50000"/>
                  </a:schemeClr>
                </a:solidFill>
                <a:latin typeface="Calibri"/>
                <a:ea typeface="Calibri"/>
                <a:cs typeface="Calibri"/>
              </a:rPr>
              <a:pPr algn="ctr"/>
              <a:t>0.95 h.</a:t>
            </a:fld>
            <a:endParaRPr lang="es-PE" sz="59500" b="0">
              <a:solidFill>
                <a:schemeClr val="accent2">
                  <a:lumMod val="50000"/>
                </a:schemeClr>
              </a:solidFill>
              <a:latin typeface="+mn-lt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</xdr:col>
      <xdr:colOff>173182</xdr:colOff>
      <xdr:row>78</xdr:row>
      <xdr:rowOff>320860</xdr:rowOff>
    </xdr:from>
    <xdr:to>
      <xdr:col>11</xdr:col>
      <xdr:colOff>7029793</xdr:colOff>
      <xdr:row>141</xdr:row>
      <xdr:rowOff>127920</xdr:rowOff>
    </xdr:to>
    <xdr:grpSp>
      <xdr:nvGrpSpPr>
        <xdr:cNvPr id="4509" name="Grupo 4508">
          <a:extLst>
            <a:ext uri="{FF2B5EF4-FFF2-40B4-BE49-F238E27FC236}">
              <a16:creationId xmlns:a16="http://schemas.microsoft.com/office/drawing/2014/main" id="{02C6159C-31E5-E463-983F-F5409D1B018F}"/>
            </a:ext>
          </a:extLst>
        </xdr:cNvPr>
        <xdr:cNvGrpSpPr/>
      </xdr:nvGrpSpPr>
      <xdr:grpSpPr>
        <a:xfrm>
          <a:off x="935182" y="22676035"/>
          <a:ext cx="24354036" cy="12999185"/>
          <a:chOff x="810602" y="79246114"/>
          <a:chExt cx="24461732" cy="12886018"/>
        </a:xfrm>
      </xdr:grpSpPr>
      <xdr:grpSp>
        <xdr:nvGrpSpPr>
          <xdr:cNvPr id="4511" name="Grupo 4510">
            <a:extLst>
              <a:ext uri="{FF2B5EF4-FFF2-40B4-BE49-F238E27FC236}">
                <a16:creationId xmlns:a16="http://schemas.microsoft.com/office/drawing/2014/main" id="{B401A0D9-1B9C-677E-D432-580CD33016C6}"/>
              </a:ext>
            </a:extLst>
          </xdr:cNvPr>
          <xdr:cNvGrpSpPr/>
        </xdr:nvGrpSpPr>
        <xdr:grpSpPr>
          <a:xfrm>
            <a:off x="810602" y="79246114"/>
            <a:ext cx="24461732" cy="12886018"/>
            <a:chOff x="810602" y="79246114"/>
            <a:chExt cx="24461732" cy="12886018"/>
          </a:xfrm>
        </xdr:grpSpPr>
        <xdr:grpSp>
          <xdr:nvGrpSpPr>
            <xdr:cNvPr id="4513" name="Grupo 35">
              <a:extLst>
                <a:ext uri="{FF2B5EF4-FFF2-40B4-BE49-F238E27FC236}">
                  <a16:creationId xmlns:a16="http://schemas.microsoft.com/office/drawing/2014/main" id="{75397A5A-8827-9AA8-8947-547A52F1503C}"/>
                </a:ext>
                <a:ext uri="{147F2762-F138-4A5C-976F-8EAC2B608ADB}">
                  <a16:predDERef xmlns:a16="http://schemas.microsoft.com/office/drawing/2014/main" pred="{915EA42D-7D58-4FAC-9F96-EB3B35563459}"/>
                </a:ext>
              </a:extLst>
            </xdr:cNvPr>
            <xdr:cNvGrpSpPr/>
          </xdr:nvGrpSpPr>
          <xdr:grpSpPr>
            <a:xfrm>
              <a:off x="810602" y="79246114"/>
              <a:ext cx="24461732" cy="12886018"/>
              <a:chOff x="810544" y="84550704"/>
              <a:chExt cx="24438040" cy="12912160"/>
            </a:xfrm>
          </xdr:grpSpPr>
          <xdr:grpSp>
            <xdr:nvGrpSpPr>
              <xdr:cNvPr id="4516" name="Grupo 34">
                <a:extLst>
                  <a:ext uri="{FF2B5EF4-FFF2-40B4-BE49-F238E27FC236}">
                    <a16:creationId xmlns:a16="http://schemas.microsoft.com/office/drawing/2014/main" id="{58A5D568-1BDD-5F82-15C3-80E91EE51836}"/>
                  </a:ext>
                </a:extLst>
              </xdr:cNvPr>
              <xdr:cNvGrpSpPr/>
            </xdr:nvGrpSpPr>
            <xdr:grpSpPr>
              <a:xfrm>
                <a:off x="810544" y="84550704"/>
                <a:ext cx="24438040" cy="8339688"/>
                <a:chOff x="786732" y="74478015"/>
                <a:chExt cx="24438040" cy="8339688"/>
              </a:xfrm>
            </xdr:grpSpPr>
            <xdr:grpSp>
              <xdr:nvGrpSpPr>
                <xdr:cNvPr id="4526" name="Grupo 4">
                  <a:extLst>
                    <a:ext uri="{FF2B5EF4-FFF2-40B4-BE49-F238E27FC236}">
                      <a16:creationId xmlns:a16="http://schemas.microsoft.com/office/drawing/2014/main" id="{8AF4F013-1A81-14DF-B9E4-2CBC3AAA1FB3}"/>
                    </a:ext>
                  </a:extLst>
                </xdr:cNvPr>
                <xdr:cNvGrpSpPr>
                  <a:grpSpLocks noChangeAspect="1"/>
                </xdr:cNvGrpSpPr>
              </xdr:nvGrpSpPr>
              <xdr:grpSpPr>
                <a:xfrm>
                  <a:off x="945001" y="74478015"/>
                  <a:ext cx="24204671" cy="1156885"/>
                  <a:chOff x="945116" y="74532909"/>
                  <a:chExt cx="24217471" cy="1198027"/>
                </a:xfrm>
                <a:solidFill>
                  <a:schemeClr val="accent1">
                    <a:lumMod val="50000"/>
                  </a:schemeClr>
                </a:solidFill>
              </xdr:grpSpPr>
              <xdr:sp macro="" textlink="">
                <xdr:nvSpPr>
                  <xdr:cNvPr id="4618" name="Rectángulo: esquinas redondeadas 1">
                    <a:extLst>
                      <a:ext uri="{FF2B5EF4-FFF2-40B4-BE49-F238E27FC236}">
                        <a16:creationId xmlns:a16="http://schemas.microsoft.com/office/drawing/2014/main" id="{EA46222A-376B-1346-20E2-8A7B679281EC}"/>
                      </a:ext>
                    </a:extLst>
                  </xdr:cNvPr>
                  <xdr:cNvSpPr/>
                </xdr:nvSpPr>
                <xdr:spPr>
                  <a:xfrm>
                    <a:off x="945116" y="74532909"/>
                    <a:ext cx="24217471" cy="1198027"/>
                  </a:xfrm>
                  <a:prstGeom prst="roundRect">
                    <a:avLst/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fontAlgn="base"/>
                    <a:r>
                      <a:rPr lang="es-PE" sz="2800" b="1" i="0">
                        <a:solidFill>
                          <a:schemeClr val="lt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📊 CONSUMO DIARIO </a:t>
                    </a:r>
                  </a:p>
                  <a:p>
                    <a:pPr fontAlgn="base"/>
                    <a:r>
                      <a:rPr lang="es-PE" sz="2800" b="1" i="0">
                        <a:solidFill>
                          <a:schemeClr val="lt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🔧 Reporte operativo PTAR | Monitoreo en tiempo real</a:t>
                    </a:r>
                  </a:p>
                  <a:p>
                    <a:pPr algn="l"/>
                    <a:endParaRPr lang="es-PE" sz="900"/>
                  </a:p>
                </xdr:txBody>
              </xdr:sp>
              <xdr:sp macro="" textlink="$N$73">
                <xdr:nvSpPr>
                  <xdr:cNvPr id="4619" name="Rectángulo 2">
                    <a:extLst>
                      <a:ext uri="{FF2B5EF4-FFF2-40B4-BE49-F238E27FC236}">
                        <a16:creationId xmlns:a16="http://schemas.microsoft.com/office/drawing/2014/main" id="{EB4FA110-63D5-4117-B187-12AA171F7600}"/>
                      </a:ext>
                    </a:extLst>
                  </xdr:cNvPr>
                  <xdr:cNvSpPr/>
                </xdr:nvSpPr>
                <xdr:spPr>
                  <a:xfrm>
                    <a:off x="19765326" y="74796378"/>
                    <a:ext cx="5195454" cy="756235"/>
                  </a:xfrm>
                  <a:prstGeom prst="rect">
                    <a:avLst/>
                  </a:prstGeom>
                  <a:grp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fld id="{BA6BC551-F669-4B89-A96F-65D4A3CE971B}" type="TxLink">
                      <a:rPr lang="en-US" sz="6000" b="0" i="0" u="none" strike="noStrike">
                        <a:solidFill>
                          <a:srgbClr val="FFFFFF"/>
                        </a:solidFill>
                        <a:latin typeface="Calibri"/>
                        <a:ea typeface="Calibri"/>
                        <a:cs typeface="Calibri"/>
                      </a:rPr>
                      <a:pPr algn="ctr"/>
                      <a:t>2/07/2026</a:t>
                    </a:fld>
                    <a:endParaRPr lang="es-PE" sz="3600"/>
                  </a:p>
                </xdr:txBody>
              </xdr:sp>
            </xdr:grpSp>
            <xdr:grpSp>
              <xdr:nvGrpSpPr>
                <xdr:cNvPr id="4527" name="Grupo 4131">
                  <a:extLst>
                    <a:ext uri="{FF2B5EF4-FFF2-40B4-BE49-F238E27FC236}">
                      <a16:creationId xmlns:a16="http://schemas.microsoft.com/office/drawing/2014/main" id="{8619413E-4E8C-353D-A9F4-60CE88ABC314}"/>
                    </a:ext>
                  </a:extLst>
                </xdr:cNvPr>
                <xdr:cNvGrpSpPr>
                  <a:grpSpLocks noChangeAspect="1"/>
                </xdr:cNvGrpSpPr>
              </xdr:nvGrpSpPr>
              <xdr:grpSpPr>
                <a:xfrm>
                  <a:off x="801020" y="75699937"/>
                  <a:ext cx="4595813" cy="3190875"/>
                  <a:chOff x="970709" y="75768618"/>
                  <a:chExt cx="4586007" cy="3552266"/>
                </a:xfrm>
                <a:noFill/>
              </xdr:grpSpPr>
              <xdr:sp macro="" textlink="">
                <xdr:nvSpPr>
                  <xdr:cNvPr id="4609" name="Rectángulo: esquinas redondeadas 33">
                    <a:extLst>
                      <a:ext uri="{FF2B5EF4-FFF2-40B4-BE49-F238E27FC236}">
                        <a16:creationId xmlns:a16="http://schemas.microsoft.com/office/drawing/2014/main" id="{6641D2F2-0E85-47EA-490C-D21CD26EE2C1}"/>
                      </a:ext>
                    </a:extLst>
                  </xdr:cNvPr>
                  <xdr:cNvSpPr/>
                </xdr:nvSpPr>
                <xdr:spPr>
                  <a:xfrm>
                    <a:off x="970709" y="75768618"/>
                    <a:ext cx="4586007" cy="3552266"/>
                  </a:xfrm>
                  <a:prstGeom prst="roundRect">
                    <a:avLst/>
                  </a:prstGeom>
                  <a:solidFill>
                    <a:schemeClr val="tx2">
                      <a:lumMod val="20000"/>
                      <a:lumOff val="80000"/>
                    </a:schemeClr>
                  </a:solidFill>
                  <a:ln w="38100">
                    <a:solidFill>
                      <a:schemeClr val="accent1">
                        <a:lumMod val="50000"/>
                      </a:schemeClr>
                    </a:solidFill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s-PE" sz="1100"/>
                  </a:p>
                </xdr:txBody>
              </xdr:sp>
              <xdr:sp macro="" textlink="">
                <xdr:nvSpPr>
                  <xdr:cNvPr id="4610" name="Rectángulo: esquinas redondeadas 43">
                    <a:extLst>
                      <a:ext uri="{FF2B5EF4-FFF2-40B4-BE49-F238E27FC236}">
                        <a16:creationId xmlns:a16="http://schemas.microsoft.com/office/drawing/2014/main" id="{7E44E491-AE87-976A-AF7F-3757F32DC5FA}"/>
                      </a:ext>
                    </a:extLst>
                  </xdr:cNvPr>
                  <xdr:cNvSpPr/>
                </xdr:nvSpPr>
                <xdr:spPr>
                  <a:xfrm>
                    <a:off x="1271587" y="75864943"/>
                    <a:ext cx="3767887" cy="1022818"/>
                  </a:xfrm>
                  <a:prstGeom prst="roundRect">
                    <a:avLst/>
                  </a:prstGeom>
                  <a:grpFill/>
                  <a:ln w="38100">
                    <a:noFill/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/>
                  <a:lstStyle/>
                  <a:p>
                    <a:pPr algn="ctr"/>
                    <a:r>
                      <a:rPr lang="es-PE" sz="4800" b="0" i="0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💧</a:t>
                    </a:r>
                    <a:r>
                      <a:rPr lang="es-PE" sz="4800" b="1" i="0">
                        <a:solidFill>
                          <a:schemeClr val="accent1">
                            <a:lumMod val="75000"/>
                          </a:schemeClr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GENERAL</a:t>
                    </a:r>
                    <a:endParaRPr lang="es-PE" sz="4800">
                      <a:solidFill>
                        <a:schemeClr val="accent1">
                          <a:lumMod val="75000"/>
                        </a:schemeClr>
                      </a:solidFill>
                    </a:endParaRPr>
                  </a:p>
                </xdr:txBody>
              </xdr:sp>
              <xdr:sp macro="" textlink="$T$75">
                <xdr:nvSpPr>
                  <xdr:cNvPr id="4611" name="Rectángulo: esquinas redondeadas 44">
                    <a:extLst>
                      <a:ext uri="{FF2B5EF4-FFF2-40B4-BE49-F238E27FC236}">
                        <a16:creationId xmlns:a16="http://schemas.microsoft.com/office/drawing/2014/main" id="{4A413C08-AE8E-98F4-ECAF-7A6DC926427C}"/>
                      </a:ext>
                    </a:extLst>
                  </xdr:cNvPr>
                  <xdr:cNvSpPr/>
                </xdr:nvSpPr>
                <xdr:spPr>
                  <a:xfrm>
                    <a:off x="1882587" y="76681853"/>
                    <a:ext cx="2958354" cy="1199029"/>
                  </a:xfrm>
                  <a:prstGeom prst="roundRect">
                    <a:avLst/>
                  </a:prstGeom>
                  <a:grpFill/>
                  <a:ln w="38100">
                    <a:noFill/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fld id="{78B16B09-285B-4E15-AA3A-E217D2FB262E}" type="TxLink">
                      <a:rPr lang="en-US" sz="8000" b="0" i="0" u="none" strike="noStrike">
                        <a:solidFill>
                          <a:schemeClr val="accent1">
                            <a:lumMod val="60000"/>
                            <a:lumOff val="40000"/>
                          </a:schemeClr>
                        </a:solidFill>
                        <a:latin typeface="Calibri"/>
                        <a:ea typeface="Calibri"/>
                        <a:cs typeface="Calibri"/>
                      </a:rPr>
                      <a:pPr algn="ctr"/>
                      <a:t>58 m3</a:t>
                    </a:fld>
                    <a:endParaRPr lang="es-PE" sz="12340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endParaRPr>
                  </a:p>
                </xdr:txBody>
              </xdr:sp>
              <xdr:sp macro="" textlink="">
                <xdr:nvSpPr>
                  <xdr:cNvPr id="4612" name="Rectángulo: esquinas redondeadas 51">
                    <a:extLst>
                      <a:ext uri="{FF2B5EF4-FFF2-40B4-BE49-F238E27FC236}">
                        <a16:creationId xmlns:a16="http://schemas.microsoft.com/office/drawing/2014/main" id="{AF7B1861-D3D9-A634-1294-CF5EFA2F6E9D}"/>
                      </a:ext>
                    </a:extLst>
                  </xdr:cNvPr>
                  <xdr:cNvSpPr/>
                </xdr:nvSpPr>
                <xdr:spPr>
                  <a:xfrm>
                    <a:off x="1932736" y="77709713"/>
                    <a:ext cx="633412" cy="540964"/>
                  </a:xfrm>
                  <a:prstGeom prst="roundRect">
                    <a:avLst/>
                  </a:prstGeom>
                  <a:grpFill/>
                  <a:ln w="38100">
                    <a:noFill/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r>
                      <a:rPr lang="es-PE" sz="2400" b="0" i="0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🎯 </a:t>
                    </a:r>
                    <a:endParaRPr lang="es-PE" sz="8800">
                      <a:solidFill>
                        <a:schemeClr val="accent1">
                          <a:lumMod val="75000"/>
                        </a:schemeClr>
                      </a:solidFill>
                    </a:endParaRPr>
                  </a:p>
                </xdr:txBody>
              </xdr:sp>
              <xdr:sp macro="" textlink="$Q$75">
                <xdr:nvSpPr>
                  <xdr:cNvPr id="4613" name="Rectángulo: esquinas redondeadas 57">
                    <a:extLst>
                      <a:ext uri="{FF2B5EF4-FFF2-40B4-BE49-F238E27FC236}">
                        <a16:creationId xmlns:a16="http://schemas.microsoft.com/office/drawing/2014/main" id="{E545FBA2-16EE-6599-660C-D01B47C3D4C6}"/>
                      </a:ext>
                    </a:extLst>
                  </xdr:cNvPr>
                  <xdr:cNvSpPr/>
                </xdr:nvSpPr>
                <xdr:spPr>
                  <a:xfrm>
                    <a:off x="2253225" y="77724000"/>
                    <a:ext cx="2150685" cy="589430"/>
                  </a:xfrm>
                  <a:prstGeom prst="roundRect">
                    <a:avLst/>
                  </a:prstGeom>
                  <a:grpFill/>
                  <a:ln w="38100">
                    <a:noFill/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fld id="{39DF8829-27F6-4AA7-B54D-AD424F70CFD7}" type="TxLink">
                      <a:rPr lang="en-US" sz="3200" b="1" i="0" u="none" strike="noStrike">
                        <a:solidFill>
                          <a:schemeClr val="accent2">
                            <a:lumMod val="75000"/>
                          </a:schemeClr>
                        </a:solidFill>
                        <a:latin typeface="Calibri"/>
                        <a:ea typeface="Calibri"/>
                        <a:cs typeface="Calibri"/>
                      </a:rPr>
                      <a:pPr algn="ctr"/>
                      <a:t>NORMAL</a:t>
                    </a:fld>
                    <a:endParaRPr lang="es-PE" sz="13800" b="1">
                      <a:solidFill>
                        <a:schemeClr val="accent2">
                          <a:lumMod val="75000"/>
                        </a:schemeClr>
                      </a:solidFill>
                    </a:endParaRPr>
                  </a:p>
                </xdr:txBody>
              </xdr:sp>
              <xdr:sp macro="" textlink="">
                <xdr:nvSpPr>
                  <xdr:cNvPr id="4614" name="Rectángulo: esquinas redondeadas 59">
                    <a:extLst>
                      <a:ext uri="{FF2B5EF4-FFF2-40B4-BE49-F238E27FC236}">
                        <a16:creationId xmlns:a16="http://schemas.microsoft.com/office/drawing/2014/main" id="{88502AC3-F11A-B054-FE03-DF68138409AD}"/>
                      </a:ext>
                    </a:extLst>
                  </xdr:cNvPr>
                  <xdr:cNvSpPr/>
                </xdr:nvSpPr>
                <xdr:spPr>
                  <a:xfrm>
                    <a:off x="2084293" y="78272250"/>
                    <a:ext cx="2510118" cy="540964"/>
                  </a:xfrm>
                  <a:prstGeom prst="roundRect">
                    <a:avLst/>
                  </a:prstGeom>
                  <a:grpFill/>
                  <a:ln w="38100">
                    <a:noFill/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lang="es-PE" sz="2800">
                        <a:solidFill>
                          <a:schemeClr val="accent1">
                            <a:lumMod val="50000"/>
                          </a:schemeClr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Máximo: 75 m³</a:t>
                    </a:r>
                    <a:endParaRPr lang="en-US" sz="4800" b="1" i="0" u="none" strike="noStrike">
                      <a:solidFill>
                        <a:schemeClr val="accent1">
                          <a:lumMod val="50000"/>
                        </a:schemeClr>
                      </a:solidFill>
                      <a:latin typeface="Calibri"/>
                      <a:ea typeface="Calibri"/>
                      <a:cs typeface="Calibri"/>
                    </a:endParaRPr>
                  </a:p>
                </xdr:txBody>
              </xdr:sp>
              <xdr:sp macro="" textlink="">
                <xdr:nvSpPr>
                  <xdr:cNvPr id="4615" name="Rectángulo: esquinas redondeadas 4128">
                    <a:extLst>
                      <a:ext uri="{FF2B5EF4-FFF2-40B4-BE49-F238E27FC236}">
                        <a16:creationId xmlns:a16="http://schemas.microsoft.com/office/drawing/2014/main" id="{85372A21-CC8A-322B-90A7-FCBD7C09D007}"/>
                      </a:ext>
                    </a:extLst>
                  </xdr:cNvPr>
                  <xdr:cNvSpPr/>
                </xdr:nvSpPr>
                <xdr:spPr>
                  <a:xfrm>
                    <a:off x="2109791" y="78738414"/>
                    <a:ext cx="467563" cy="540964"/>
                  </a:xfrm>
                  <a:prstGeom prst="roundRect">
                    <a:avLst/>
                  </a:prstGeom>
                  <a:grpFill/>
                  <a:ln w="38100">
                    <a:noFill/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lang="es-PE" sz="1800" b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📊 </a:t>
                    </a:r>
                    <a:endParaRPr lang="en-US" sz="6600" b="1" i="0" u="none" strike="noStrike">
                      <a:solidFill>
                        <a:schemeClr val="accent1">
                          <a:lumMod val="50000"/>
                        </a:schemeClr>
                      </a:solidFill>
                      <a:latin typeface="Calibri"/>
                      <a:ea typeface="Calibri"/>
                      <a:cs typeface="Calibri"/>
                    </a:endParaRPr>
                  </a:p>
                </xdr:txBody>
              </xdr:sp>
              <xdr:sp macro="" textlink="">
                <xdr:nvSpPr>
                  <xdr:cNvPr id="4616" name="Rectángulo: esquinas redondeadas 4129">
                    <a:extLst>
                      <a:ext uri="{FF2B5EF4-FFF2-40B4-BE49-F238E27FC236}">
                        <a16:creationId xmlns:a16="http://schemas.microsoft.com/office/drawing/2014/main" id="{E7BBEA3F-DA0C-1A63-84F1-C9EF0AF38D4A}"/>
                      </a:ext>
                    </a:extLst>
                  </xdr:cNvPr>
                  <xdr:cNvSpPr/>
                </xdr:nvSpPr>
                <xdr:spPr>
                  <a:xfrm>
                    <a:off x="3192280" y="78745137"/>
                    <a:ext cx="1413340" cy="540964"/>
                  </a:xfrm>
                  <a:prstGeom prst="roundRect">
                    <a:avLst/>
                  </a:prstGeom>
                  <a:grpFill/>
                  <a:ln w="38100">
                    <a:noFill/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lang="es-PE" sz="1800" b="1">
                        <a:solidFill>
                          <a:srgbClr val="C00000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del máximo</a:t>
                    </a:r>
                    <a:endParaRPr lang="en-US" sz="1800" b="1" i="0" u="none" strike="noStrike">
                      <a:solidFill>
                        <a:srgbClr val="C00000"/>
                      </a:solidFill>
                      <a:latin typeface="Calibri"/>
                      <a:ea typeface="Calibri"/>
                      <a:cs typeface="Calibri"/>
                    </a:endParaRPr>
                  </a:p>
                </xdr:txBody>
              </xdr:sp>
              <xdr:sp macro="" textlink="$R$75">
                <xdr:nvSpPr>
                  <xdr:cNvPr id="4617" name="Rectángulo: esquinas redondeadas 4130">
                    <a:extLst>
                      <a:ext uri="{FF2B5EF4-FFF2-40B4-BE49-F238E27FC236}">
                        <a16:creationId xmlns:a16="http://schemas.microsoft.com/office/drawing/2014/main" id="{729C86D2-F021-2991-C230-A4ABFE55E000}"/>
                      </a:ext>
                    </a:extLst>
                  </xdr:cNvPr>
                  <xdr:cNvSpPr/>
                </xdr:nvSpPr>
                <xdr:spPr>
                  <a:xfrm>
                    <a:off x="2442881" y="78751860"/>
                    <a:ext cx="952500" cy="540964"/>
                  </a:xfrm>
                  <a:prstGeom prst="roundRect">
                    <a:avLst/>
                  </a:prstGeom>
                  <a:grpFill/>
                  <a:ln w="38100">
                    <a:noFill/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ctr"/>
                  <a:lstStyle/>
                  <a:p>
                    <a:pPr algn="l"/>
                    <a:fld id="{DECBACAF-46B3-4DD9-9AE3-692DBDABE9D9}" type="TxLink">
                      <a:rPr lang="en-US" sz="1800" b="1" i="0" u="none" strike="noStrike">
                        <a:solidFill>
                          <a:srgbClr val="C00000"/>
                        </a:solidFill>
                        <a:latin typeface="Calibri"/>
                        <a:ea typeface="Calibri"/>
                        <a:cs typeface="Calibri"/>
                      </a:rPr>
                      <a:pPr algn="l"/>
                      <a:t>77.3%</a:t>
                    </a:fld>
                    <a:endParaRPr lang="en-US" sz="1800" b="1" i="0" u="none" strike="noStrike">
                      <a:solidFill>
                        <a:srgbClr val="C00000"/>
                      </a:solidFill>
                      <a:latin typeface="Calibri"/>
                      <a:ea typeface="Calibri"/>
                      <a:cs typeface="Calibri"/>
                    </a:endParaRPr>
                  </a:p>
                </xdr:txBody>
              </xdr:sp>
            </xdr:grpSp>
            <xdr:grpSp>
              <xdr:nvGrpSpPr>
                <xdr:cNvPr id="4528" name="Grupo 4132">
                  <a:extLst>
                    <a:ext uri="{FF2B5EF4-FFF2-40B4-BE49-F238E27FC236}">
                      <a16:creationId xmlns:a16="http://schemas.microsoft.com/office/drawing/2014/main" id="{E4861CE6-341D-94C4-3060-A5C8CAA25FF7}"/>
                    </a:ext>
                  </a:extLst>
                </xdr:cNvPr>
                <xdr:cNvGrpSpPr>
                  <a:grpSpLocks noChangeAspect="1"/>
                </xdr:cNvGrpSpPr>
              </xdr:nvGrpSpPr>
              <xdr:grpSpPr>
                <a:xfrm>
                  <a:off x="5748082" y="75754921"/>
                  <a:ext cx="4576330" cy="3190875"/>
                  <a:chOff x="970709" y="75768619"/>
                  <a:chExt cx="4586007" cy="3552266"/>
                </a:xfrm>
                <a:noFill/>
              </xdr:grpSpPr>
              <xdr:sp macro="" textlink="">
                <xdr:nvSpPr>
                  <xdr:cNvPr id="4600" name="Rectángulo: esquinas redondeadas 4133">
                    <a:extLst>
                      <a:ext uri="{FF2B5EF4-FFF2-40B4-BE49-F238E27FC236}">
                        <a16:creationId xmlns:a16="http://schemas.microsoft.com/office/drawing/2014/main" id="{0E85C4B1-13B9-56EA-029D-5CAA920CD165}"/>
                      </a:ext>
                    </a:extLst>
                  </xdr:cNvPr>
                  <xdr:cNvSpPr/>
                </xdr:nvSpPr>
                <xdr:spPr>
                  <a:xfrm>
                    <a:off x="970709" y="75768619"/>
                    <a:ext cx="4586007" cy="3552266"/>
                  </a:xfrm>
                  <a:prstGeom prst="roundRect">
                    <a:avLst/>
                  </a:prstGeom>
                  <a:solidFill>
                    <a:schemeClr val="tx2">
                      <a:lumMod val="20000"/>
                      <a:lumOff val="80000"/>
                    </a:schemeClr>
                  </a:solidFill>
                  <a:ln w="38100">
                    <a:solidFill>
                      <a:schemeClr val="accent1">
                        <a:lumMod val="50000"/>
                      </a:schemeClr>
                    </a:solidFill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s-PE" sz="1100"/>
                  </a:p>
                </xdr:txBody>
              </xdr:sp>
              <xdr:sp macro="" textlink="">
                <xdr:nvSpPr>
                  <xdr:cNvPr id="4601" name="Rectángulo: esquinas redondeadas 4134">
                    <a:extLst>
                      <a:ext uri="{FF2B5EF4-FFF2-40B4-BE49-F238E27FC236}">
                        <a16:creationId xmlns:a16="http://schemas.microsoft.com/office/drawing/2014/main" id="{156484DB-48EF-65B4-24D9-B7FBDB2D857C}"/>
                      </a:ext>
                    </a:extLst>
                  </xdr:cNvPr>
                  <xdr:cNvSpPr/>
                </xdr:nvSpPr>
                <xdr:spPr>
                  <a:xfrm>
                    <a:off x="1271587" y="75864943"/>
                    <a:ext cx="4031182" cy="1022818"/>
                  </a:xfrm>
                  <a:prstGeom prst="roundRect">
                    <a:avLst/>
                  </a:prstGeom>
                  <a:grpFill/>
                  <a:ln w="38100">
                    <a:noFill/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/>
                  <a:lstStyle/>
                  <a:p>
                    <a:pPr algn="ctr"/>
                    <a:r>
                      <a:rPr lang="es-PE" sz="4800">
                        <a:effectLst/>
                      </a:rPr>
                      <a:t>🚿</a:t>
                    </a:r>
                    <a:r>
                      <a:rPr lang="es-PE" sz="4800" b="1" i="0">
                        <a:solidFill>
                          <a:schemeClr val="accent1">
                            <a:lumMod val="75000"/>
                          </a:schemeClr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BAÑOS</a:t>
                    </a:r>
                  </a:p>
                </xdr:txBody>
              </xdr:sp>
              <xdr:sp macro="" textlink="$T$76">
                <xdr:nvSpPr>
                  <xdr:cNvPr id="4602" name="Rectángulo: esquinas redondeadas 4135">
                    <a:extLst>
                      <a:ext uri="{FF2B5EF4-FFF2-40B4-BE49-F238E27FC236}">
                        <a16:creationId xmlns:a16="http://schemas.microsoft.com/office/drawing/2014/main" id="{88C51570-C54A-0395-1FC1-168D15539C4A}"/>
                      </a:ext>
                    </a:extLst>
                  </xdr:cNvPr>
                  <xdr:cNvSpPr/>
                </xdr:nvSpPr>
                <xdr:spPr>
                  <a:xfrm>
                    <a:off x="1882587" y="76681853"/>
                    <a:ext cx="2958354" cy="1199029"/>
                  </a:xfrm>
                  <a:prstGeom prst="roundRect">
                    <a:avLst/>
                  </a:prstGeom>
                  <a:grpFill/>
                  <a:ln w="38100">
                    <a:noFill/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fld id="{03AEB4CE-6215-441F-B16F-910C1FA427CF}" type="TxLink">
                      <a:rPr lang="en-US" sz="8000" b="0" i="0" u="none" strike="noStrike">
                        <a:solidFill>
                          <a:schemeClr val="accent1">
                            <a:lumMod val="60000"/>
                            <a:lumOff val="40000"/>
                          </a:schemeClr>
                        </a:solidFill>
                        <a:latin typeface="Calibri"/>
                        <a:ea typeface="Calibri"/>
                        <a:cs typeface="Calibri"/>
                      </a:rPr>
                      <a:pPr algn="ctr"/>
                      <a:t>20 m3</a:t>
                    </a:fld>
                    <a:endParaRPr lang="es-PE" sz="800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endParaRPr>
                  </a:p>
                </xdr:txBody>
              </xdr:sp>
              <xdr:sp macro="" textlink="">
                <xdr:nvSpPr>
                  <xdr:cNvPr id="4603" name="Rectángulo: esquinas redondeadas 4136">
                    <a:extLst>
                      <a:ext uri="{FF2B5EF4-FFF2-40B4-BE49-F238E27FC236}">
                        <a16:creationId xmlns:a16="http://schemas.microsoft.com/office/drawing/2014/main" id="{11B6F8B0-6E56-7DC1-ADFB-075872BEF01B}"/>
                      </a:ext>
                    </a:extLst>
                  </xdr:cNvPr>
                  <xdr:cNvSpPr/>
                </xdr:nvSpPr>
                <xdr:spPr>
                  <a:xfrm>
                    <a:off x="1932736" y="77709713"/>
                    <a:ext cx="633412" cy="540964"/>
                  </a:xfrm>
                  <a:prstGeom prst="roundRect">
                    <a:avLst/>
                  </a:prstGeom>
                  <a:grpFill/>
                  <a:ln w="38100">
                    <a:noFill/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r>
                      <a:rPr lang="es-PE" sz="2400" b="0" i="0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🎯 </a:t>
                    </a:r>
                    <a:endParaRPr lang="es-PE" sz="8800">
                      <a:solidFill>
                        <a:schemeClr val="accent1">
                          <a:lumMod val="75000"/>
                        </a:schemeClr>
                      </a:solidFill>
                    </a:endParaRPr>
                  </a:p>
                </xdr:txBody>
              </xdr:sp>
              <xdr:sp macro="" textlink="$Q$76">
                <xdr:nvSpPr>
                  <xdr:cNvPr id="4604" name="Rectángulo: esquinas redondeadas 4137">
                    <a:extLst>
                      <a:ext uri="{FF2B5EF4-FFF2-40B4-BE49-F238E27FC236}">
                        <a16:creationId xmlns:a16="http://schemas.microsoft.com/office/drawing/2014/main" id="{2884058D-8E17-5A35-D459-1BC7FC5F1229}"/>
                      </a:ext>
                    </a:extLst>
                  </xdr:cNvPr>
                  <xdr:cNvSpPr/>
                </xdr:nvSpPr>
                <xdr:spPr>
                  <a:xfrm>
                    <a:off x="2235903" y="77724000"/>
                    <a:ext cx="2150685" cy="589430"/>
                  </a:xfrm>
                  <a:prstGeom prst="roundRect">
                    <a:avLst/>
                  </a:prstGeom>
                  <a:grpFill/>
                  <a:ln w="38100">
                    <a:noFill/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fld id="{EA3C4013-159B-4627-8075-078AC6E26EF8}" type="TxLink">
                      <a:rPr lang="en-US" sz="3200" b="1" i="0" u="none" strike="noStrike">
                        <a:solidFill>
                          <a:schemeClr val="accent2">
                            <a:lumMod val="75000"/>
                          </a:schemeClr>
                        </a:solidFill>
                        <a:latin typeface="Calibri"/>
                        <a:ea typeface="Calibri"/>
                        <a:cs typeface="Calibri"/>
                      </a:rPr>
                      <a:pPr algn="ctr"/>
                      <a:t>NORMAL</a:t>
                    </a:fld>
                    <a:endParaRPr lang="es-PE" sz="3200" b="1">
                      <a:solidFill>
                        <a:schemeClr val="accent2">
                          <a:lumMod val="75000"/>
                        </a:schemeClr>
                      </a:solidFill>
                    </a:endParaRPr>
                  </a:p>
                </xdr:txBody>
              </xdr:sp>
              <xdr:sp macro="" textlink="">
                <xdr:nvSpPr>
                  <xdr:cNvPr id="4605" name="Rectángulo: esquinas redondeadas 4138">
                    <a:extLst>
                      <a:ext uri="{FF2B5EF4-FFF2-40B4-BE49-F238E27FC236}">
                        <a16:creationId xmlns:a16="http://schemas.microsoft.com/office/drawing/2014/main" id="{9F77ED76-E92F-E98D-13E9-2C7B2189310C}"/>
                      </a:ext>
                    </a:extLst>
                  </xdr:cNvPr>
                  <xdr:cNvSpPr/>
                </xdr:nvSpPr>
                <xdr:spPr>
                  <a:xfrm>
                    <a:off x="2084293" y="78272250"/>
                    <a:ext cx="2510118" cy="540964"/>
                  </a:xfrm>
                  <a:prstGeom prst="roundRect">
                    <a:avLst/>
                  </a:prstGeom>
                  <a:grpFill/>
                  <a:ln w="38100">
                    <a:noFill/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lang="es-PE" sz="2800">
                        <a:solidFill>
                          <a:schemeClr val="accent1">
                            <a:lumMod val="50000"/>
                          </a:schemeClr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Máximo: 30 m³</a:t>
                    </a:r>
                    <a:endParaRPr lang="en-US" sz="4800" b="1" i="0" u="none" strike="noStrike">
                      <a:solidFill>
                        <a:schemeClr val="accent1">
                          <a:lumMod val="50000"/>
                        </a:schemeClr>
                      </a:solidFill>
                      <a:latin typeface="Calibri"/>
                      <a:ea typeface="Calibri"/>
                      <a:cs typeface="Calibri"/>
                    </a:endParaRPr>
                  </a:p>
                </xdr:txBody>
              </xdr:sp>
              <xdr:sp macro="" textlink="">
                <xdr:nvSpPr>
                  <xdr:cNvPr id="4606" name="Rectángulo: esquinas redondeadas 4139">
                    <a:extLst>
                      <a:ext uri="{FF2B5EF4-FFF2-40B4-BE49-F238E27FC236}">
                        <a16:creationId xmlns:a16="http://schemas.microsoft.com/office/drawing/2014/main" id="{A39BA68A-8155-60AA-106C-DB419C86586C}"/>
                      </a:ext>
                    </a:extLst>
                  </xdr:cNvPr>
                  <xdr:cNvSpPr/>
                </xdr:nvSpPr>
                <xdr:spPr>
                  <a:xfrm>
                    <a:off x="2109791" y="78738414"/>
                    <a:ext cx="467563" cy="540964"/>
                  </a:xfrm>
                  <a:prstGeom prst="roundRect">
                    <a:avLst/>
                  </a:prstGeom>
                  <a:grpFill/>
                  <a:ln w="38100">
                    <a:noFill/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lang="es-PE" sz="1800" b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📊 </a:t>
                    </a:r>
                    <a:endParaRPr lang="en-US" sz="6600" b="1" i="0" u="none" strike="noStrike">
                      <a:solidFill>
                        <a:schemeClr val="accent1">
                          <a:lumMod val="50000"/>
                        </a:schemeClr>
                      </a:solidFill>
                      <a:latin typeface="Calibri"/>
                      <a:ea typeface="Calibri"/>
                      <a:cs typeface="Calibri"/>
                    </a:endParaRPr>
                  </a:p>
                </xdr:txBody>
              </xdr:sp>
              <xdr:sp macro="" textlink="">
                <xdr:nvSpPr>
                  <xdr:cNvPr id="4607" name="Rectángulo: esquinas redondeadas 4140">
                    <a:extLst>
                      <a:ext uri="{FF2B5EF4-FFF2-40B4-BE49-F238E27FC236}">
                        <a16:creationId xmlns:a16="http://schemas.microsoft.com/office/drawing/2014/main" id="{F2A9BC40-EE95-02AD-2F05-B948D8E61D17}"/>
                      </a:ext>
                    </a:extLst>
                  </xdr:cNvPr>
                  <xdr:cNvSpPr/>
                </xdr:nvSpPr>
                <xdr:spPr>
                  <a:xfrm>
                    <a:off x="3192280" y="78745137"/>
                    <a:ext cx="1413340" cy="540964"/>
                  </a:xfrm>
                  <a:prstGeom prst="roundRect">
                    <a:avLst/>
                  </a:prstGeom>
                  <a:grpFill/>
                  <a:ln w="38100">
                    <a:noFill/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lang="es-PE" sz="1800" b="1">
                        <a:solidFill>
                          <a:srgbClr val="C00000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del máximo</a:t>
                    </a:r>
                    <a:endParaRPr lang="en-US" sz="1800" b="1" i="0" u="none" strike="noStrike">
                      <a:solidFill>
                        <a:srgbClr val="C00000"/>
                      </a:solidFill>
                      <a:latin typeface="Calibri"/>
                      <a:ea typeface="Calibri"/>
                      <a:cs typeface="Calibri"/>
                    </a:endParaRPr>
                  </a:p>
                </xdr:txBody>
              </xdr:sp>
              <xdr:sp macro="" textlink="$R$76">
                <xdr:nvSpPr>
                  <xdr:cNvPr id="4608" name="Rectángulo: esquinas redondeadas 4141">
                    <a:extLst>
                      <a:ext uri="{FF2B5EF4-FFF2-40B4-BE49-F238E27FC236}">
                        <a16:creationId xmlns:a16="http://schemas.microsoft.com/office/drawing/2014/main" id="{1C2A1396-ECEB-0A26-1F7E-3FADBCF873BD}"/>
                      </a:ext>
                    </a:extLst>
                  </xdr:cNvPr>
                  <xdr:cNvSpPr/>
                </xdr:nvSpPr>
                <xdr:spPr>
                  <a:xfrm>
                    <a:off x="2442881" y="78751860"/>
                    <a:ext cx="952500" cy="540964"/>
                  </a:xfrm>
                  <a:prstGeom prst="roundRect">
                    <a:avLst/>
                  </a:prstGeom>
                  <a:grpFill/>
                  <a:ln w="38100">
                    <a:noFill/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ctr"/>
                  <a:lstStyle/>
                  <a:p>
                    <a:pPr algn="l"/>
                    <a:fld id="{A2A70A2A-D58E-474A-B4CC-1DF401B12B04}" type="TxLink">
                      <a:rPr lang="en-US" sz="1800" b="1" i="0" u="none" strike="noStrike">
                        <a:solidFill>
                          <a:srgbClr val="C00000"/>
                        </a:solidFill>
                        <a:latin typeface="Calibri"/>
                        <a:ea typeface="Calibri"/>
                        <a:cs typeface="Calibri"/>
                      </a:rPr>
                      <a:pPr algn="l"/>
                      <a:t>66.7%</a:t>
                    </a:fld>
                    <a:endParaRPr lang="en-US" sz="1800" b="1" i="0" u="none" strike="noStrike">
                      <a:solidFill>
                        <a:srgbClr val="C00000"/>
                      </a:solidFill>
                      <a:latin typeface="Calibri"/>
                      <a:ea typeface="Calibri"/>
                      <a:cs typeface="Calibri"/>
                    </a:endParaRPr>
                  </a:p>
                </xdr:txBody>
              </xdr:sp>
            </xdr:grpSp>
            <xdr:grpSp>
              <xdr:nvGrpSpPr>
                <xdr:cNvPr id="4529" name="Grupo 4142">
                  <a:extLst>
                    <a:ext uri="{FF2B5EF4-FFF2-40B4-BE49-F238E27FC236}">
                      <a16:creationId xmlns:a16="http://schemas.microsoft.com/office/drawing/2014/main" id="{DFBC4639-005D-FB5F-5C13-789102C5EEF2}"/>
                    </a:ext>
                  </a:extLst>
                </xdr:cNvPr>
                <xdr:cNvGrpSpPr>
                  <a:grpSpLocks noChangeAspect="1"/>
                </xdr:cNvGrpSpPr>
              </xdr:nvGrpSpPr>
              <xdr:grpSpPr>
                <a:xfrm>
                  <a:off x="10734421" y="75727643"/>
                  <a:ext cx="4578494" cy="3190875"/>
                  <a:chOff x="970709" y="75768616"/>
                  <a:chExt cx="4586007" cy="3552266"/>
                </a:xfrm>
                <a:noFill/>
              </xdr:grpSpPr>
              <xdr:sp macro="" textlink="">
                <xdr:nvSpPr>
                  <xdr:cNvPr id="4591" name="Rectángulo: esquinas redondeadas 4143">
                    <a:extLst>
                      <a:ext uri="{FF2B5EF4-FFF2-40B4-BE49-F238E27FC236}">
                        <a16:creationId xmlns:a16="http://schemas.microsoft.com/office/drawing/2014/main" id="{B69E584D-7516-E840-6325-CF3CC6DC7BB2}"/>
                      </a:ext>
                    </a:extLst>
                  </xdr:cNvPr>
                  <xdr:cNvSpPr/>
                </xdr:nvSpPr>
                <xdr:spPr>
                  <a:xfrm>
                    <a:off x="970709" y="75768616"/>
                    <a:ext cx="4586007" cy="3552266"/>
                  </a:xfrm>
                  <a:prstGeom prst="roundRect">
                    <a:avLst/>
                  </a:prstGeom>
                  <a:solidFill>
                    <a:schemeClr val="tx2">
                      <a:lumMod val="20000"/>
                      <a:lumOff val="80000"/>
                    </a:schemeClr>
                  </a:solidFill>
                  <a:ln w="38100">
                    <a:solidFill>
                      <a:schemeClr val="accent1">
                        <a:lumMod val="50000"/>
                      </a:schemeClr>
                    </a:solidFill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s-PE" sz="1100"/>
                  </a:p>
                </xdr:txBody>
              </xdr:sp>
              <xdr:sp macro="" textlink="">
                <xdr:nvSpPr>
                  <xdr:cNvPr id="4592" name="Rectángulo: esquinas redondeadas 4144">
                    <a:extLst>
                      <a:ext uri="{FF2B5EF4-FFF2-40B4-BE49-F238E27FC236}">
                        <a16:creationId xmlns:a16="http://schemas.microsoft.com/office/drawing/2014/main" id="{F273DF58-9984-3A76-D531-BD77662E7B16}"/>
                      </a:ext>
                    </a:extLst>
                  </xdr:cNvPr>
                  <xdr:cNvSpPr/>
                </xdr:nvSpPr>
                <xdr:spPr>
                  <a:xfrm>
                    <a:off x="1271588" y="75864943"/>
                    <a:ext cx="3809460" cy="1022818"/>
                  </a:xfrm>
                  <a:prstGeom prst="roundRect">
                    <a:avLst/>
                  </a:prstGeom>
                  <a:grpFill/>
                  <a:ln w="38100">
                    <a:noFill/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/>
                  <a:lstStyle/>
                  <a:p>
                    <a:pPr algn="ctr"/>
                    <a:r>
                      <a:rPr lang="es-PE" sz="4800" b="1">
                        <a:solidFill>
                          <a:schemeClr val="accent1">
                            <a:lumMod val="75000"/>
                          </a:schemeClr>
                        </a:solidFill>
                        <a:effectLst/>
                      </a:rPr>
                      <a:t>🏭CALDERAS</a:t>
                    </a:r>
                    <a:endParaRPr lang="es-PE" sz="4800" b="1">
                      <a:solidFill>
                        <a:schemeClr val="accent1">
                          <a:lumMod val="75000"/>
                        </a:schemeClr>
                      </a:solidFill>
                    </a:endParaRPr>
                  </a:p>
                </xdr:txBody>
              </xdr:sp>
              <xdr:sp macro="" textlink="$T$77">
                <xdr:nvSpPr>
                  <xdr:cNvPr id="4593" name="Rectángulo: esquinas redondeadas 4145">
                    <a:extLst>
                      <a:ext uri="{FF2B5EF4-FFF2-40B4-BE49-F238E27FC236}">
                        <a16:creationId xmlns:a16="http://schemas.microsoft.com/office/drawing/2014/main" id="{D39D772B-D6D6-05CF-EF96-1EB01D611192}"/>
                      </a:ext>
                    </a:extLst>
                  </xdr:cNvPr>
                  <xdr:cNvSpPr/>
                </xdr:nvSpPr>
                <xdr:spPr>
                  <a:xfrm>
                    <a:off x="1882587" y="76681853"/>
                    <a:ext cx="2958354" cy="1199029"/>
                  </a:xfrm>
                  <a:prstGeom prst="roundRect">
                    <a:avLst/>
                  </a:prstGeom>
                  <a:grpFill/>
                  <a:ln w="38100">
                    <a:noFill/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fld id="{E22617D8-5C83-4C5F-91DD-CB0CC72925A9}" type="TxLink">
                      <a:rPr lang="en-US" sz="8000" b="0" i="0" u="none" strike="noStrike">
                        <a:solidFill>
                          <a:schemeClr val="accent1">
                            <a:lumMod val="60000"/>
                            <a:lumOff val="40000"/>
                          </a:schemeClr>
                        </a:solidFill>
                        <a:latin typeface="Calibri"/>
                        <a:ea typeface="Calibri"/>
                        <a:cs typeface="Calibri"/>
                      </a:rPr>
                      <a:pPr algn="ctr"/>
                      <a:t>0.363 m3</a:t>
                    </a:fld>
                    <a:endParaRPr lang="es-PE" sz="800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endParaRPr>
                  </a:p>
                </xdr:txBody>
              </xdr:sp>
              <xdr:sp macro="" textlink="">
                <xdr:nvSpPr>
                  <xdr:cNvPr id="4594" name="Rectángulo: esquinas redondeadas 4146">
                    <a:extLst>
                      <a:ext uri="{FF2B5EF4-FFF2-40B4-BE49-F238E27FC236}">
                        <a16:creationId xmlns:a16="http://schemas.microsoft.com/office/drawing/2014/main" id="{0280CD6C-AEF9-575A-FD48-A82492DB0FDC}"/>
                      </a:ext>
                    </a:extLst>
                  </xdr:cNvPr>
                  <xdr:cNvSpPr/>
                </xdr:nvSpPr>
                <xdr:spPr>
                  <a:xfrm>
                    <a:off x="1932736" y="77709713"/>
                    <a:ext cx="633412" cy="540964"/>
                  </a:xfrm>
                  <a:prstGeom prst="roundRect">
                    <a:avLst/>
                  </a:prstGeom>
                  <a:grpFill/>
                  <a:ln w="38100">
                    <a:noFill/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r>
                      <a:rPr lang="es-PE" sz="2400" b="0" i="0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🎯 </a:t>
                    </a:r>
                    <a:endParaRPr lang="es-PE" sz="8800">
                      <a:solidFill>
                        <a:schemeClr val="accent1">
                          <a:lumMod val="75000"/>
                        </a:schemeClr>
                      </a:solidFill>
                    </a:endParaRPr>
                  </a:p>
                </xdr:txBody>
              </xdr:sp>
              <xdr:sp macro="" textlink="$Q$77">
                <xdr:nvSpPr>
                  <xdr:cNvPr id="4595" name="Rectángulo: esquinas redondeadas 4147">
                    <a:extLst>
                      <a:ext uri="{FF2B5EF4-FFF2-40B4-BE49-F238E27FC236}">
                        <a16:creationId xmlns:a16="http://schemas.microsoft.com/office/drawing/2014/main" id="{9440BF78-2706-3A13-0189-AA4DF131CA2C}"/>
                      </a:ext>
                    </a:extLst>
                  </xdr:cNvPr>
                  <xdr:cNvSpPr/>
                </xdr:nvSpPr>
                <xdr:spPr>
                  <a:xfrm>
                    <a:off x="2253225" y="77724000"/>
                    <a:ext cx="2150685" cy="589430"/>
                  </a:xfrm>
                  <a:prstGeom prst="roundRect">
                    <a:avLst/>
                  </a:prstGeom>
                  <a:grpFill/>
                  <a:ln w="38100">
                    <a:noFill/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fld id="{5FEA3E42-DCA4-4D52-A65B-CBFBE475CD58}" type="TxLink">
                      <a:rPr lang="en-US" sz="3200" b="1" i="0" u="none" strike="noStrike">
                        <a:solidFill>
                          <a:schemeClr val="accent2">
                            <a:lumMod val="75000"/>
                          </a:schemeClr>
                        </a:solidFill>
                        <a:latin typeface="Calibri"/>
                        <a:ea typeface="Calibri"/>
                        <a:cs typeface="Calibri"/>
                      </a:rPr>
                      <a:pPr algn="ctr"/>
                      <a:t>NORMAL</a:t>
                    </a:fld>
                    <a:endParaRPr lang="es-PE" sz="3200" b="1">
                      <a:solidFill>
                        <a:schemeClr val="accent2">
                          <a:lumMod val="75000"/>
                        </a:schemeClr>
                      </a:solidFill>
                    </a:endParaRPr>
                  </a:p>
                </xdr:txBody>
              </xdr:sp>
              <xdr:sp macro="" textlink="">
                <xdr:nvSpPr>
                  <xdr:cNvPr id="4596" name="Rectángulo: esquinas redondeadas 4148">
                    <a:extLst>
                      <a:ext uri="{FF2B5EF4-FFF2-40B4-BE49-F238E27FC236}">
                        <a16:creationId xmlns:a16="http://schemas.microsoft.com/office/drawing/2014/main" id="{87340528-4BE0-431F-2965-0B9B2B973AAC}"/>
                      </a:ext>
                    </a:extLst>
                  </xdr:cNvPr>
                  <xdr:cNvSpPr/>
                </xdr:nvSpPr>
                <xdr:spPr>
                  <a:xfrm>
                    <a:off x="2084293" y="78272250"/>
                    <a:ext cx="2510118" cy="540964"/>
                  </a:xfrm>
                  <a:prstGeom prst="roundRect">
                    <a:avLst/>
                  </a:prstGeom>
                  <a:grpFill/>
                  <a:ln w="38100">
                    <a:noFill/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lang="es-PE" sz="2800">
                        <a:solidFill>
                          <a:schemeClr val="accent1">
                            <a:lumMod val="50000"/>
                          </a:schemeClr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Máximo: 05 m³</a:t>
                    </a:r>
                    <a:endParaRPr lang="en-US" sz="4800" b="1" i="0" u="none" strike="noStrike">
                      <a:solidFill>
                        <a:schemeClr val="accent1">
                          <a:lumMod val="50000"/>
                        </a:schemeClr>
                      </a:solidFill>
                      <a:latin typeface="Calibri"/>
                      <a:ea typeface="Calibri"/>
                      <a:cs typeface="Calibri"/>
                    </a:endParaRPr>
                  </a:p>
                </xdr:txBody>
              </xdr:sp>
              <xdr:sp macro="" textlink="">
                <xdr:nvSpPr>
                  <xdr:cNvPr id="4597" name="Rectángulo: esquinas redondeadas 4149">
                    <a:extLst>
                      <a:ext uri="{FF2B5EF4-FFF2-40B4-BE49-F238E27FC236}">
                        <a16:creationId xmlns:a16="http://schemas.microsoft.com/office/drawing/2014/main" id="{61B55F78-A000-54B0-DA88-40B36F8E821C}"/>
                      </a:ext>
                    </a:extLst>
                  </xdr:cNvPr>
                  <xdr:cNvSpPr/>
                </xdr:nvSpPr>
                <xdr:spPr>
                  <a:xfrm>
                    <a:off x="2109791" y="78738414"/>
                    <a:ext cx="467563" cy="540964"/>
                  </a:xfrm>
                  <a:prstGeom prst="roundRect">
                    <a:avLst/>
                  </a:prstGeom>
                  <a:grpFill/>
                  <a:ln w="38100">
                    <a:noFill/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lang="es-PE" sz="1800" b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📊 </a:t>
                    </a:r>
                    <a:endParaRPr lang="en-US" sz="6600" b="1" i="0" u="none" strike="noStrike">
                      <a:solidFill>
                        <a:schemeClr val="accent1">
                          <a:lumMod val="50000"/>
                        </a:schemeClr>
                      </a:solidFill>
                      <a:latin typeface="Calibri"/>
                      <a:ea typeface="Calibri"/>
                      <a:cs typeface="Calibri"/>
                    </a:endParaRPr>
                  </a:p>
                </xdr:txBody>
              </xdr:sp>
              <xdr:sp macro="" textlink="">
                <xdr:nvSpPr>
                  <xdr:cNvPr id="4598" name="Rectángulo: esquinas redondeadas 4150">
                    <a:extLst>
                      <a:ext uri="{FF2B5EF4-FFF2-40B4-BE49-F238E27FC236}">
                        <a16:creationId xmlns:a16="http://schemas.microsoft.com/office/drawing/2014/main" id="{9577115B-0123-282D-0996-540054891595}"/>
                      </a:ext>
                    </a:extLst>
                  </xdr:cNvPr>
                  <xdr:cNvSpPr/>
                </xdr:nvSpPr>
                <xdr:spPr>
                  <a:xfrm>
                    <a:off x="3192280" y="78745137"/>
                    <a:ext cx="1413340" cy="540964"/>
                  </a:xfrm>
                  <a:prstGeom prst="roundRect">
                    <a:avLst/>
                  </a:prstGeom>
                  <a:grpFill/>
                  <a:ln w="38100">
                    <a:noFill/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lang="es-PE" sz="1800" b="1">
                        <a:solidFill>
                          <a:srgbClr val="C00000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del máximo</a:t>
                    </a:r>
                    <a:endParaRPr lang="en-US" sz="1800" b="1" i="0" u="none" strike="noStrike">
                      <a:solidFill>
                        <a:srgbClr val="C00000"/>
                      </a:solidFill>
                      <a:latin typeface="Calibri"/>
                      <a:ea typeface="Calibri"/>
                      <a:cs typeface="Calibri"/>
                    </a:endParaRPr>
                  </a:p>
                </xdr:txBody>
              </xdr:sp>
              <xdr:sp macro="" textlink="$R$77">
                <xdr:nvSpPr>
                  <xdr:cNvPr id="4599" name="Rectángulo: esquinas redondeadas 4151">
                    <a:extLst>
                      <a:ext uri="{FF2B5EF4-FFF2-40B4-BE49-F238E27FC236}">
                        <a16:creationId xmlns:a16="http://schemas.microsoft.com/office/drawing/2014/main" id="{1CB38037-C8D4-6932-9EB3-53755B665C3E}"/>
                      </a:ext>
                    </a:extLst>
                  </xdr:cNvPr>
                  <xdr:cNvSpPr/>
                </xdr:nvSpPr>
                <xdr:spPr>
                  <a:xfrm>
                    <a:off x="2442881" y="78751860"/>
                    <a:ext cx="952500" cy="540964"/>
                  </a:xfrm>
                  <a:prstGeom prst="roundRect">
                    <a:avLst/>
                  </a:prstGeom>
                  <a:grpFill/>
                  <a:ln w="38100">
                    <a:noFill/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ctr"/>
                  <a:lstStyle/>
                  <a:p>
                    <a:pPr algn="l"/>
                    <a:fld id="{274E680B-1E88-481C-9DA7-8A2CC6A783EA}" type="TxLink">
                      <a:rPr lang="en-US" sz="1800" b="1" i="0" u="none" strike="noStrike">
                        <a:solidFill>
                          <a:srgbClr val="C00000"/>
                        </a:solidFill>
                        <a:latin typeface="Calibri"/>
                        <a:ea typeface="Calibri"/>
                        <a:cs typeface="Calibri"/>
                      </a:rPr>
                      <a:pPr algn="l"/>
                      <a:t>7.3%</a:t>
                    </a:fld>
                    <a:endParaRPr lang="en-US" sz="1800" b="1" i="0" u="none" strike="noStrike">
                      <a:solidFill>
                        <a:srgbClr val="C00000"/>
                      </a:solidFill>
                      <a:latin typeface="Calibri"/>
                      <a:ea typeface="Calibri"/>
                      <a:cs typeface="Calibri"/>
                    </a:endParaRPr>
                  </a:p>
                </xdr:txBody>
              </xdr:sp>
            </xdr:grpSp>
            <xdr:grpSp>
              <xdr:nvGrpSpPr>
                <xdr:cNvPr id="4530" name="Grupo 4152">
                  <a:extLst>
                    <a:ext uri="{FF2B5EF4-FFF2-40B4-BE49-F238E27FC236}">
                      <a16:creationId xmlns:a16="http://schemas.microsoft.com/office/drawing/2014/main" id="{16151D43-0663-D903-64BB-E4410E7FE878}"/>
                    </a:ext>
                  </a:extLst>
                </xdr:cNvPr>
                <xdr:cNvGrpSpPr>
                  <a:grpSpLocks noChangeAspect="1"/>
                </xdr:cNvGrpSpPr>
              </xdr:nvGrpSpPr>
              <xdr:grpSpPr>
                <a:xfrm>
                  <a:off x="20691076" y="75763147"/>
                  <a:ext cx="4448576" cy="3186545"/>
                  <a:chOff x="970709" y="75768573"/>
                  <a:chExt cx="4449564" cy="3552264"/>
                </a:xfrm>
                <a:noFill/>
              </xdr:grpSpPr>
              <xdr:sp macro="" textlink="">
                <xdr:nvSpPr>
                  <xdr:cNvPr id="4586" name="Rectángulo: esquinas redondeadas 4153">
                    <a:extLst>
                      <a:ext uri="{FF2B5EF4-FFF2-40B4-BE49-F238E27FC236}">
                        <a16:creationId xmlns:a16="http://schemas.microsoft.com/office/drawing/2014/main" id="{A0DC2804-8302-C1D2-C9AC-9B75D2C5F64D}"/>
                      </a:ext>
                    </a:extLst>
                  </xdr:cNvPr>
                  <xdr:cNvSpPr/>
                </xdr:nvSpPr>
                <xdr:spPr>
                  <a:xfrm>
                    <a:off x="970709" y="75768573"/>
                    <a:ext cx="4449564" cy="3552264"/>
                  </a:xfrm>
                  <a:prstGeom prst="roundRect">
                    <a:avLst/>
                  </a:prstGeom>
                  <a:solidFill>
                    <a:srgbClr val="F0A197"/>
                  </a:solidFill>
                  <a:ln w="38100">
                    <a:solidFill>
                      <a:schemeClr val="accent2">
                        <a:lumMod val="50000"/>
                      </a:schemeClr>
                    </a:solidFill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s-PE" sz="1100"/>
                  </a:p>
                </xdr:txBody>
              </xdr:sp>
              <xdr:sp macro="" textlink="">
                <xdr:nvSpPr>
                  <xdr:cNvPr id="4587" name="Rectángulo: esquinas redondeadas 4154">
                    <a:extLst>
                      <a:ext uri="{FF2B5EF4-FFF2-40B4-BE49-F238E27FC236}">
                        <a16:creationId xmlns:a16="http://schemas.microsoft.com/office/drawing/2014/main" id="{4B578890-3A5B-5F04-649E-5CF757510161}"/>
                      </a:ext>
                    </a:extLst>
                  </xdr:cNvPr>
                  <xdr:cNvSpPr/>
                </xdr:nvSpPr>
                <xdr:spPr>
                  <a:xfrm>
                    <a:off x="1271588" y="75864943"/>
                    <a:ext cx="3530134" cy="1022818"/>
                  </a:xfrm>
                  <a:prstGeom prst="roundRect">
                    <a:avLst/>
                  </a:prstGeom>
                  <a:grpFill/>
                  <a:ln w="38100">
                    <a:noFill/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/>
                  <a:lstStyle/>
                  <a:p>
                    <a:pPr algn="ctr"/>
                    <a:r>
                      <a:rPr lang="es-PE" sz="4800">
                        <a:effectLst/>
                      </a:rPr>
                      <a:t>🔥</a:t>
                    </a:r>
                    <a:r>
                      <a:rPr lang="es-PE" sz="4800" b="1">
                        <a:solidFill>
                          <a:schemeClr val="accent2">
                            <a:lumMod val="50000"/>
                          </a:schemeClr>
                        </a:solidFill>
                        <a:effectLst/>
                      </a:rPr>
                      <a:t>GLP</a:t>
                    </a:r>
                    <a:endParaRPr lang="es-PE" sz="4800" b="1">
                      <a:solidFill>
                        <a:schemeClr val="accent2">
                          <a:lumMod val="50000"/>
                        </a:schemeClr>
                      </a:solidFill>
                    </a:endParaRPr>
                  </a:p>
                </xdr:txBody>
              </xdr:sp>
              <xdr:sp macro="" textlink="$O$79">
                <xdr:nvSpPr>
                  <xdr:cNvPr id="4588" name="Rectángulo: esquinas redondeadas 4155">
                    <a:extLst>
                      <a:ext uri="{FF2B5EF4-FFF2-40B4-BE49-F238E27FC236}">
                        <a16:creationId xmlns:a16="http://schemas.microsoft.com/office/drawing/2014/main" id="{2BFE300D-71B2-9C09-B896-6203765F24F9}"/>
                      </a:ext>
                    </a:extLst>
                  </xdr:cNvPr>
                  <xdr:cNvSpPr/>
                </xdr:nvSpPr>
                <xdr:spPr>
                  <a:xfrm>
                    <a:off x="1290988" y="76681853"/>
                    <a:ext cx="3845490" cy="1708715"/>
                  </a:xfrm>
                  <a:prstGeom prst="roundRect">
                    <a:avLst/>
                  </a:prstGeom>
                  <a:grpFill/>
                  <a:ln w="38100">
                    <a:noFill/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fld id="{6CD97F70-6239-4DC7-9E6C-552826ED9428}" type="TxLink">
                      <a:rPr lang="en-US" sz="13800" b="0" i="0" u="none" strike="noStrike">
                        <a:solidFill>
                          <a:schemeClr val="accent4">
                            <a:lumMod val="20000"/>
                            <a:lumOff val="80000"/>
                          </a:schemeClr>
                        </a:solidFill>
                        <a:latin typeface="Calibri"/>
                        <a:ea typeface="Calibri"/>
                        <a:cs typeface="Calibri"/>
                      </a:rPr>
                      <a:pPr algn="ctr"/>
                      <a:t>48%</a:t>
                    </a:fld>
                    <a:endParaRPr lang="es-PE" sz="13800">
                      <a:solidFill>
                        <a:schemeClr val="accent4">
                          <a:lumMod val="20000"/>
                          <a:lumOff val="80000"/>
                        </a:schemeClr>
                      </a:solidFill>
                    </a:endParaRPr>
                  </a:p>
                </xdr:txBody>
              </xdr:sp>
              <xdr:sp macro="" textlink="">
                <xdr:nvSpPr>
                  <xdr:cNvPr id="4589" name="Rectángulo: esquinas redondeadas 4156">
                    <a:extLst>
                      <a:ext uri="{FF2B5EF4-FFF2-40B4-BE49-F238E27FC236}">
                        <a16:creationId xmlns:a16="http://schemas.microsoft.com/office/drawing/2014/main" id="{F7776BA5-1DC1-E2D0-C6DB-2756140C810B}"/>
                      </a:ext>
                    </a:extLst>
                  </xdr:cNvPr>
                  <xdr:cNvSpPr/>
                </xdr:nvSpPr>
                <xdr:spPr>
                  <a:xfrm>
                    <a:off x="1655583" y="78413133"/>
                    <a:ext cx="633412" cy="540964"/>
                  </a:xfrm>
                  <a:prstGeom prst="roundRect">
                    <a:avLst/>
                  </a:prstGeom>
                  <a:grpFill/>
                  <a:ln w="38100">
                    <a:noFill/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r>
                      <a:rPr lang="es-PE" sz="2400" b="0" i="0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🎯 </a:t>
                    </a:r>
                    <a:endParaRPr lang="es-PE" sz="8800">
                      <a:solidFill>
                        <a:schemeClr val="accent1">
                          <a:lumMod val="75000"/>
                        </a:schemeClr>
                      </a:solidFill>
                    </a:endParaRPr>
                  </a:p>
                </xdr:txBody>
              </xdr:sp>
              <xdr:sp macro="" textlink="$Q$79">
                <xdr:nvSpPr>
                  <xdr:cNvPr id="4590" name="Rectángulo: esquinas redondeadas 4157">
                    <a:extLst>
                      <a:ext uri="{FF2B5EF4-FFF2-40B4-BE49-F238E27FC236}">
                        <a16:creationId xmlns:a16="http://schemas.microsoft.com/office/drawing/2014/main" id="{54865FAC-970E-571B-6805-00C19158B936}"/>
                      </a:ext>
                    </a:extLst>
                  </xdr:cNvPr>
                  <xdr:cNvSpPr/>
                </xdr:nvSpPr>
                <xdr:spPr>
                  <a:xfrm>
                    <a:off x="2028038" y="78445003"/>
                    <a:ext cx="2710033" cy="589430"/>
                  </a:xfrm>
                  <a:prstGeom prst="roundRect">
                    <a:avLst/>
                  </a:prstGeom>
                  <a:grpFill/>
                  <a:ln w="38100">
                    <a:noFill/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fld id="{A91FCF54-73BE-4858-ADD0-67B8F618F1ED}" type="TxLink">
                      <a:rPr lang="en-US" sz="3200" b="1" i="0" u="none" strike="noStrike">
                        <a:solidFill>
                          <a:schemeClr val="accent2">
                            <a:lumMod val="75000"/>
                          </a:schemeClr>
                        </a:solidFill>
                        <a:latin typeface="Calibri"/>
                        <a:ea typeface="Calibri"/>
                        <a:cs typeface="Calibri"/>
                      </a:rPr>
                      <a:pPr algn="ctr"/>
                      <a:t>PRECAUCIÓN</a:t>
                    </a:fld>
                    <a:endParaRPr lang="es-PE" sz="3200" b="1">
                      <a:solidFill>
                        <a:schemeClr val="accent2">
                          <a:lumMod val="75000"/>
                        </a:schemeClr>
                      </a:solidFill>
                    </a:endParaRPr>
                  </a:p>
                </xdr:txBody>
              </xdr:sp>
            </xdr:grpSp>
            <xdr:grpSp>
              <xdr:nvGrpSpPr>
                <xdr:cNvPr id="4531" name="Grupo 80">
                  <a:extLst>
                    <a:ext uri="{FF2B5EF4-FFF2-40B4-BE49-F238E27FC236}">
                      <a16:creationId xmlns:a16="http://schemas.microsoft.com/office/drawing/2014/main" id="{CF1E5E20-1452-1AB6-0D11-04D972D30216}"/>
                    </a:ext>
                  </a:extLst>
                </xdr:cNvPr>
                <xdr:cNvGrpSpPr>
                  <a:grpSpLocks noChangeAspect="1"/>
                </xdr:cNvGrpSpPr>
              </xdr:nvGrpSpPr>
              <xdr:grpSpPr>
                <a:xfrm>
                  <a:off x="15725953" y="75759684"/>
                  <a:ext cx="4576330" cy="3186545"/>
                  <a:chOff x="970709" y="75768658"/>
                  <a:chExt cx="4586007" cy="3552268"/>
                </a:xfrm>
                <a:noFill/>
              </xdr:grpSpPr>
              <xdr:sp macro="" textlink="">
                <xdr:nvSpPr>
                  <xdr:cNvPr id="4577" name="Rectángulo: esquinas redondeadas 82">
                    <a:extLst>
                      <a:ext uri="{FF2B5EF4-FFF2-40B4-BE49-F238E27FC236}">
                        <a16:creationId xmlns:a16="http://schemas.microsoft.com/office/drawing/2014/main" id="{8F11A24E-EA52-4735-6183-ACAE64DDC279}"/>
                      </a:ext>
                    </a:extLst>
                  </xdr:cNvPr>
                  <xdr:cNvSpPr/>
                </xdr:nvSpPr>
                <xdr:spPr>
                  <a:xfrm>
                    <a:off x="970709" y="75768658"/>
                    <a:ext cx="4586007" cy="3552268"/>
                  </a:xfrm>
                  <a:prstGeom prst="roundRect">
                    <a:avLst/>
                  </a:prstGeom>
                  <a:solidFill>
                    <a:schemeClr val="tx2">
                      <a:lumMod val="20000"/>
                      <a:lumOff val="80000"/>
                    </a:schemeClr>
                  </a:solidFill>
                  <a:ln w="38100">
                    <a:solidFill>
                      <a:schemeClr val="accent1">
                        <a:lumMod val="50000"/>
                      </a:schemeClr>
                    </a:solidFill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s-PE" sz="1100"/>
                  </a:p>
                </xdr:txBody>
              </xdr:sp>
              <xdr:sp macro="" textlink="">
                <xdr:nvSpPr>
                  <xdr:cNvPr id="4578" name="Rectángulo: esquinas redondeadas 83">
                    <a:extLst>
                      <a:ext uri="{FF2B5EF4-FFF2-40B4-BE49-F238E27FC236}">
                        <a16:creationId xmlns:a16="http://schemas.microsoft.com/office/drawing/2014/main" id="{A9D9750B-4680-16FE-CEC2-B49D6F7FCA6E}"/>
                      </a:ext>
                    </a:extLst>
                  </xdr:cNvPr>
                  <xdr:cNvSpPr/>
                </xdr:nvSpPr>
                <xdr:spPr>
                  <a:xfrm>
                    <a:off x="1271588" y="75864943"/>
                    <a:ext cx="3851033" cy="1022818"/>
                  </a:xfrm>
                  <a:prstGeom prst="roundRect">
                    <a:avLst/>
                  </a:prstGeom>
                  <a:grpFill/>
                  <a:ln w="38100">
                    <a:noFill/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/>
                  <a:lstStyle/>
                  <a:p>
                    <a:pPr algn="ctr"/>
                    <a:r>
                      <a:rPr lang="es-PE" sz="4800" b="0" i="0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💧</a:t>
                    </a:r>
                    <a:r>
                      <a:rPr lang="es-PE" sz="4800" b="1" i="0">
                        <a:solidFill>
                          <a:schemeClr val="accent1">
                            <a:lumMod val="75000"/>
                          </a:schemeClr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PTAR</a:t>
                    </a:r>
                    <a:endParaRPr lang="es-PE" sz="4800">
                      <a:solidFill>
                        <a:schemeClr val="accent1">
                          <a:lumMod val="75000"/>
                        </a:schemeClr>
                      </a:solidFill>
                    </a:endParaRPr>
                  </a:p>
                </xdr:txBody>
              </xdr:sp>
              <xdr:sp macro="" textlink="$T$78">
                <xdr:nvSpPr>
                  <xdr:cNvPr id="4579" name="Rectángulo: esquinas redondeadas 84">
                    <a:extLst>
                      <a:ext uri="{FF2B5EF4-FFF2-40B4-BE49-F238E27FC236}">
                        <a16:creationId xmlns:a16="http://schemas.microsoft.com/office/drawing/2014/main" id="{55CF9E2B-A2F7-CAF8-B921-5AFF5DB80D15}"/>
                      </a:ext>
                    </a:extLst>
                  </xdr:cNvPr>
                  <xdr:cNvSpPr/>
                </xdr:nvSpPr>
                <xdr:spPr>
                  <a:xfrm>
                    <a:off x="1882587" y="76681853"/>
                    <a:ext cx="2958354" cy="1199029"/>
                  </a:xfrm>
                  <a:prstGeom prst="roundRect">
                    <a:avLst/>
                  </a:prstGeom>
                  <a:grpFill/>
                  <a:ln w="38100">
                    <a:noFill/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fld id="{C0403AC4-9326-4E94-8CE0-C1E7BE7ADDA4}" type="TxLink">
                      <a:rPr lang="en-US" sz="8000" b="0" i="0" u="none" strike="noStrike">
                        <a:solidFill>
                          <a:schemeClr val="accent1">
                            <a:lumMod val="60000"/>
                            <a:lumOff val="40000"/>
                          </a:schemeClr>
                        </a:solidFill>
                        <a:latin typeface="Calibri"/>
                        <a:ea typeface="Calibri"/>
                        <a:cs typeface="Calibri"/>
                      </a:rPr>
                      <a:pPr algn="ctr"/>
                      <a:t>7 m3</a:t>
                    </a:fld>
                    <a:endParaRPr lang="es-PE" sz="800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endParaRPr>
                  </a:p>
                </xdr:txBody>
              </xdr:sp>
              <xdr:sp macro="" textlink="">
                <xdr:nvSpPr>
                  <xdr:cNvPr id="4580" name="Rectángulo: esquinas redondeadas 85">
                    <a:extLst>
                      <a:ext uri="{FF2B5EF4-FFF2-40B4-BE49-F238E27FC236}">
                        <a16:creationId xmlns:a16="http://schemas.microsoft.com/office/drawing/2014/main" id="{75128DE9-AC3E-F633-699F-D0A346660165}"/>
                      </a:ext>
                    </a:extLst>
                  </xdr:cNvPr>
                  <xdr:cNvSpPr/>
                </xdr:nvSpPr>
                <xdr:spPr>
                  <a:xfrm>
                    <a:off x="1932736" y="77709713"/>
                    <a:ext cx="633412" cy="540964"/>
                  </a:xfrm>
                  <a:prstGeom prst="roundRect">
                    <a:avLst/>
                  </a:prstGeom>
                  <a:grpFill/>
                  <a:ln w="38100">
                    <a:noFill/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r>
                      <a:rPr lang="es-PE" sz="2400" b="0" i="0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🎯 </a:t>
                    </a:r>
                    <a:endParaRPr lang="es-PE" sz="8800">
                      <a:solidFill>
                        <a:schemeClr val="accent1">
                          <a:lumMod val="75000"/>
                        </a:schemeClr>
                      </a:solidFill>
                    </a:endParaRPr>
                  </a:p>
                </xdr:txBody>
              </xdr:sp>
              <xdr:sp macro="" textlink="$Q$78">
                <xdr:nvSpPr>
                  <xdr:cNvPr id="4581" name="Rectángulo: esquinas redondeadas 87">
                    <a:extLst>
                      <a:ext uri="{FF2B5EF4-FFF2-40B4-BE49-F238E27FC236}">
                        <a16:creationId xmlns:a16="http://schemas.microsoft.com/office/drawing/2014/main" id="{5D217A0D-FD0B-7079-D929-15DD676DC62A}"/>
                      </a:ext>
                    </a:extLst>
                  </xdr:cNvPr>
                  <xdr:cNvSpPr/>
                </xdr:nvSpPr>
                <xdr:spPr>
                  <a:xfrm>
                    <a:off x="2253225" y="77724000"/>
                    <a:ext cx="2150685" cy="589430"/>
                  </a:xfrm>
                  <a:prstGeom prst="roundRect">
                    <a:avLst/>
                  </a:prstGeom>
                  <a:grpFill/>
                  <a:ln w="38100">
                    <a:noFill/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fld id="{0D464F68-A483-489A-9DDA-5427823BC0BC}" type="TxLink">
                      <a:rPr lang="en-US" sz="3200" b="1" i="0" u="none" strike="noStrike">
                        <a:solidFill>
                          <a:schemeClr val="accent2">
                            <a:lumMod val="75000"/>
                          </a:schemeClr>
                        </a:solidFill>
                        <a:latin typeface="Calibri"/>
                        <a:ea typeface="Calibri"/>
                        <a:cs typeface="Calibri"/>
                      </a:rPr>
                      <a:pPr algn="ctr"/>
                      <a:t>NORMAL</a:t>
                    </a:fld>
                    <a:endParaRPr lang="es-PE" sz="3200" b="1">
                      <a:solidFill>
                        <a:schemeClr val="accent2">
                          <a:lumMod val="75000"/>
                        </a:schemeClr>
                      </a:solidFill>
                    </a:endParaRPr>
                  </a:p>
                </xdr:txBody>
              </xdr:sp>
              <xdr:sp macro="" textlink="">
                <xdr:nvSpPr>
                  <xdr:cNvPr id="4582" name="Rectángulo: esquinas redondeadas 89">
                    <a:extLst>
                      <a:ext uri="{FF2B5EF4-FFF2-40B4-BE49-F238E27FC236}">
                        <a16:creationId xmlns:a16="http://schemas.microsoft.com/office/drawing/2014/main" id="{EE4C0965-F993-79F9-B826-8BB53901E973}"/>
                      </a:ext>
                    </a:extLst>
                  </xdr:cNvPr>
                  <xdr:cNvSpPr/>
                </xdr:nvSpPr>
                <xdr:spPr>
                  <a:xfrm>
                    <a:off x="2084293" y="78272250"/>
                    <a:ext cx="2510118" cy="540964"/>
                  </a:xfrm>
                  <a:prstGeom prst="roundRect">
                    <a:avLst/>
                  </a:prstGeom>
                  <a:grpFill/>
                  <a:ln w="38100">
                    <a:noFill/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lang="es-PE" sz="2800">
                        <a:solidFill>
                          <a:schemeClr val="accent1">
                            <a:lumMod val="50000"/>
                          </a:schemeClr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Máximo: 20 m³</a:t>
                    </a:r>
                    <a:endParaRPr lang="en-US" sz="4800" b="1" i="0" u="none" strike="noStrike">
                      <a:solidFill>
                        <a:schemeClr val="accent1">
                          <a:lumMod val="50000"/>
                        </a:schemeClr>
                      </a:solidFill>
                      <a:latin typeface="Calibri"/>
                      <a:ea typeface="Calibri"/>
                      <a:cs typeface="Calibri"/>
                    </a:endParaRPr>
                  </a:p>
                </xdr:txBody>
              </xdr:sp>
              <xdr:sp macro="" textlink="">
                <xdr:nvSpPr>
                  <xdr:cNvPr id="4583" name="Rectángulo: esquinas redondeadas 96">
                    <a:extLst>
                      <a:ext uri="{FF2B5EF4-FFF2-40B4-BE49-F238E27FC236}">
                        <a16:creationId xmlns:a16="http://schemas.microsoft.com/office/drawing/2014/main" id="{643C09F2-B25E-49F4-CBDA-01064B6516DA}"/>
                      </a:ext>
                    </a:extLst>
                  </xdr:cNvPr>
                  <xdr:cNvSpPr/>
                </xdr:nvSpPr>
                <xdr:spPr>
                  <a:xfrm>
                    <a:off x="2109791" y="78738414"/>
                    <a:ext cx="467563" cy="540964"/>
                  </a:xfrm>
                  <a:prstGeom prst="roundRect">
                    <a:avLst/>
                  </a:prstGeom>
                  <a:grpFill/>
                  <a:ln w="38100">
                    <a:noFill/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lang="es-PE" sz="1800" b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📊 </a:t>
                    </a:r>
                    <a:endParaRPr lang="en-US" sz="6600" b="1" i="0" u="none" strike="noStrike">
                      <a:solidFill>
                        <a:schemeClr val="accent1">
                          <a:lumMod val="50000"/>
                        </a:schemeClr>
                      </a:solidFill>
                      <a:latin typeface="Calibri"/>
                      <a:ea typeface="Calibri"/>
                      <a:cs typeface="Calibri"/>
                    </a:endParaRPr>
                  </a:p>
                </xdr:txBody>
              </xdr:sp>
              <xdr:sp macro="" textlink="">
                <xdr:nvSpPr>
                  <xdr:cNvPr id="4584" name="Rectángulo: esquinas redondeadas 97">
                    <a:extLst>
                      <a:ext uri="{FF2B5EF4-FFF2-40B4-BE49-F238E27FC236}">
                        <a16:creationId xmlns:a16="http://schemas.microsoft.com/office/drawing/2014/main" id="{61FE4A70-5C20-CED3-499D-FC90597719FD}"/>
                      </a:ext>
                    </a:extLst>
                  </xdr:cNvPr>
                  <xdr:cNvSpPr/>
                </xdr:nvSpPr>
                <xdr:spPr>
                  <a:xfrm>
                    <a:off x="3192280" y="78745137"/>
                    <a:ext cx="1413340" cy="540964"/>
                  </a:xfrm>
                  <a:prstGeom prst="roundRect">
                    <a:avLst/>
                  </a:prstGeom>
                  <a:grpFill/>
                  <a:ln w="38100">
                    <a:noFill/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lang="es-PE" sz="1800" b="1">
                        <a:solidFill>
                          <a:srgbClr val="C00000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del máximo</a:t>
                    </a:r>
                    <a:endParaRPr lang="en-US" sz="1800" b="1" i="0" u="none" strike="noStrike">
                      <a:solidFill>
                        <a:srgbClr val="C00000"/>
                      </a:solidFill>
                      <a:latin typeface="Calibri"/>
                      <a:ea typeface="Calibri"/>
                      <a:cs typeface="Calibri"/>
                    </a:endParaRPr>
                  </a:p>
                </xdr:txBody>
              </xdr:sp>
              <xdr:sp macro="" textlink="$R$78">
                <xdr:nvSpPr>
                  <xdr:cNvPr id="4585" name="Rectángulo: esquinas redondeadas 105">
                    <a:extLst>
                      <a:ext uri="{FF2B5EF4-FFF2-40B4-BE49-F238E27FC236}">
                        <a16:creationId xmlns:a16="http://schemas.microsoft.com/office/drawing/2014/main" id="{0B32B88C-F25D-5749-6E6C-77E4E2F0EEC4}"/>
                      </a:ext>
                    </a:extLst>
                  </xdr:cNvPr>
                  <xdr:cNvSpPr/>
                </xdr:nvSpPr>
                <xdr:spPr>
                  <a:xfrm>
                    <a:off x="2442881" y="78734275"/>
                    <a:ext cx="952500" cy="540964"/>
                  </a:xfrm>
                  <a:prstGeom prst="roundRect">
                    <a:avLst/>
                  </a:prstGeom>
                  <a:grpFill/>
                  <a:ln w="38100">
                    <a:noFill/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ctr"/>
                  <a:lstStyle/>
                  <a:p>
                    <a:pPr algn="l"/>
                    <a:fld id="{32EBA607-F8A3-4E55-8BC4-75A97F42DCA3}" type="TxLink">
                      <a:rPr lang="en-US" sz="2000" b="1" i="0" u="none" strike="noStrike">
                        <a:solidFill>
                          <a:srgbClr val="C00000"/>
                        </a:solidFill>
                        <a:latin typeface="Calibri"/>
                        <a:ea typeface="Calibri"/>
                        <a:cs typeface="Calibri"/>
                      </a:rPr>
                      <a:pPr algn="l"/>
                      <a:t>35.0%</a:t>
                    </a:fld>
                    <a:endParaRPr lang="en-US" sz="1800" b="1" i="0" u="none" strike="noStrike">
                      <a:solidFill>
                        <a:srgbClr val="C00000"/>
                      </a:solidFill>
                      <a:latin typeface="Calibri"/>
                      <a:ea typeface="Calibri"/>
                      <a:cs typeface="Calibri"/>
                    </a:endParaRPr>
                  </a:p>
                </xdr:txBody>
              </xdr:sp>
            </xdr:grpSp>
            <xdr:grpSp>
              <xdr:nvGrpSpPr>
                <xdr:cNvPr id="4532" name="Grupo 107">
                  <a:extLst>
                    <a:ext uri="{FF2B5EF4-FFF2-40B4-BE49-F238E27FC236}">
                      <a16:creationId xmlns:a16="http://schemas.microsoft.com/office/drawing/2014/main" id="{89B3CA0E-1AD5-5078-BC0F-9B6A6D64E2E4}"/>
                    </a:ext>
                  </a:extLst>
                </xdr:cNvPr>
                <xdr:cNvGrpSpPr>
                  <a:grpSpLocks noChangeAspect="1"/>
                </xdr:cNvGrpSpPr>
              </xdr:nvGrpSpPr>
              <xdr:grpSpPr>
                <a:xfrm>
                  <a:off x="786732" y="79209898"/>
                  <a:ext cx="4595813" cy="3524250"/>
                  <a:chOff x="970709" y="75768572"/>
                  <a:chExt cx="4586007" cy="3552264"/>
                </a:xfrm>
                <a:noFill/>
              </xdr:grpSpPr>
              <xdr:sp macro="" textlink="">
                <xdr:nvSpPr>
                  <xdr:cNvPr id="4569" name="Rectángulo: esquinas redondeadas 108">
                    <a:extLst>
                      <a:ext uri="{FF2B5EF4-FFF2-40B4-BE49-F238E27FC236}">
                        <a16:creationId xmlns:a16="http://schemas.microsoft.com/office/drawing/2014/main" id="{8B827D12-92C4-9619-AD37-19414A17785D}"/>
                      </a:ext>
                    </a:extLst>
                  </xdr:cNvPr>
                  <xdr:cNvSpPr/>
                </xdr:nvSpPr>
                <xdr:spPr>
                  <a:xfrm>
                    <a:off x="970709" y="75768572"/>
                    <a:ext cx="4586007" cy="3552264"/>
                  </a:xfrm>
                  <a:prstGeom prst="roundRect">
                    <a:avLst/>
                  </a:prstGeom>
                  <a:solidFill>
                    <a:schemeClr val="accent4">
                      <a:lumMod val="20000"/>
                      <a:lumOff val="80000"/>
                    </a:schemeClr>
                  </a:solidFill>
                  <a:ln w="38100">
                    <a:solidFill>
                      <a:schemeClr val="accent4">
                        <a:lumMod val="50000"/>
                      </a:schemeClr>
                    </a:solidFill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s-PE" sz="1100"/>
                  </a:p>
                </xdr:txBody>
              </xdr:sp>
              <xdr:sp macro="" textlink="">
                <xdr:nvSpPr>
                  <xdr:cNvPr id="4570" name="Rectángulo: esquinas redondeadas 109">
                    <a:extLst>
                      <a:ext uri="{FF2B5EF4-FFF2-40B4-BE49-F238E27FC236}">
                        <a16:creationId xmlns:a16="http://schemas.microsoft.com/office/drawing/2014/main" id="{85EB1A14-840D-D9EA-DF88-158F0DC80251}"/>
                      </a:ext>
                    </a:extLst>
                  </xdr:cNvPr>
                  <xdr:cNvSpPr/>
                </xdr:nvSpPr>
                <xdr:spPr>
                  <a:xfrm>
                    <a:off x="1271588" y="75864943"/>
                    <a:ext cx="3653887" cy="1022818"/>
                  </a:xfrm>
                  <a:prstGeom prst="roundRect">
                    <a:avLst/>
                  </a:prstGeom>
                  <a:grpFill/>
                  <a:ln w="38100">
                    <a:noFill/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/>
                  <a:lstStyle/>
                  <a:p>
                    <a:pPr algn="ctr"/>
                    <a:r>
                      <a:rPr lang="es-PE" sz="4800">
                        <a:effectLst/>
                      </a:rPr>
                      <a:t>⚡</a:t>
                    </a:r>
                    <a:r>
                      <a:rPr lang="es-PE" sz="4800" b="1" i="0">
                        <a:solidFill>
                          <a:schemeClr val="accent1">
                            <a:lumMod val="75000"/>
                          </a:schemeClr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MV6</a:t>
                    </a:r>
                    <a:endParaRPr lang="es-PE" sz="4800">
                      <a:solidFill>
                        <a:schemeClr val="accent1">
                          <a:lumMod val="75000"/>
                        </a:schemeClr>
                      </a:solidFill>
                    </a:endParaRPr>
                  </a:p>
                </xdr:txBody>
              </xdr:sp>
              <xdr:sp macro="" textlink="$O$80">
                <xdr:nvSpPr>
                  <xdr:cNvPr id="4571" name="Rectángulo: esquinas redondeadas 111">
                    <a:extLst>
                      <a:ext uri="{FF2B5EF4-FFF2-40B4-BE49-F238E27FC236}">
                        <a16:creationId xmlns:a16="http://schemas.microsoft.com/office/drawing/2014/main" id="{C59323DA-7269-323C-0376-EF8EBFC95495}"/>
                      </a:ext>
                    </a:extLst>
                  </xdr:cNvPr>
                  <xdr:cNvSpPr/>
                </xdr:nvSpPr>
                <xdr:spPr>
                  <a:xfrm>
                    <a:off x="1882587" y="76681853"/>
                    <a:ext cx="2958354" cy="1199029"/>
                  </a:xfrm>
                  <a:prstGeom prst="roundRect">
                    <a:avLst/>
                  </a:prstGeom>
                  <a:grpFill/>
                  <a:ln w="38100">
                    <a:noFill/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fld id="{696CF5E9-4D4A-4BBD-9DA9-6E411CCF5364}" type="TxLink">
                      <a:rPr lang="en-US" sz="8000" b="0" i="0" u="none" strike="noStrike">
                        <a:solidFill>
                          <a:schemeClr val="accent4">
                            <a:lumMod val="75000"/>
                          </a:schemeClr>
                        </a:solidFill>
                        <a:latin typeface="Calibri"/>
                        <a:ea typeface="Calibri"/>
                        <a:cs typeface="Calibri"/>
                      </a:rPr>
                      <a:pPr algn="ctr"/>
                      <a:t>3.8</a:t>
                    </a:fld>
                    <a:endParaRPr lang="es-PE" sz="8000">
                      <a:solidFill>
                        <a:schemeClr val="accent4">
                          <a:lumMod val="75000"/>
                        </a:schemeClr>
                      </a:solidFill>
                    </a:endParaRPr>
                  </a:p>
                </xdr:txBody>
              </xdr:sp>
              <xdr:sp macro="" textlink="">
                <xdr:nvSpPr>
                  <xdr:cNvPr id="4572" name="Rectángulo: esquinas redondeadas 113">
                    <a:extLst>
                      <a:ext uri="{FF2B5EF4-FFF2-40B4-BE49-F238E27FC236}">
                        <a16:creationId xmlns:a16="http://schemas.microsoft.com/office/drawing/2014/main" id="{044BC065-E7C9-2656-7770-1AE2E77BD442}"/>
                      </a:ext>
                    </a:extLst>
                  </xdr:cNvPr>
                  <xdr:cNvSpPr/>
                </xdr:nvSpPr>
                <xdr:spPr>
                  <a:xfrm>
                    <a:off x="1932736" y="77709713"/>
                    <a:ext cx="633412" cy="540964"/>
                  </a:xfrm>
                  <a:prstGeom prst="roundRect">
                    <a:avLst/>
                  </a:prstGeom>
                  <a:grpFill/>
                  <a:ln w="38100">
                    <a:noFill/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r>
                      <a:rPr lang="es-PE" sz="2400" b="0" i="0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🎯 </a:t>
                    </a:r>
                    <a:endParaRPr lang="es-PE" sz="8800">
                      <a:solidFill>
                        <a:schemeClr val="accent1">
                          <a:lumMod val="75000"/>
                        </a:schemeClr>
                      </a:solidFill>
                    </a:endParaRPr>
                  </a:p>
                </xdr:txBody>
              </xdr:sp>
              <xdr:sp macro="" textlink="$Q$80">
                <xdr:nvSpPr>
                  <xdr:cNvPr id="4573" name="Rectángulo: esquinas redondeadas 114">
                    <a:extLst>
                      <a:ext uri="{FF2B5EF4-FFF2-40B4-BE49-F238E27FC236}">
                        <a16:creationId xmlns:a16="http://schemas.microsoft.com/office/drawing/2014/main" id="{4E8BB6EC-84EF-AC05-AE1A-93E19A831DCE}"/>
                      </a:ext>
                    </a:extLst>
                  </xdr:cNvPr>
                  <xdr:cNvSpPr/>
                </xdr:nvSpPr>
                <xdr:spPr>
                  <a:xfrm>
                    <a:off x="2253225" y="77724000"/>
                    <a:ext cx="2150685" cy="589430"/>
                  </a:xfrm>
                  <a:prstGeom prst="roundRect">
                    <a:avLst/>
                  </a:prstGeom>
                  <a:grpFill/>
                  <a:ln w="38100">
                    <a:noFill/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fld id="{97B1E484-AE0B-4520-AABA-FFBC86B9DA0F}" type="TxLink">
                      <a:rPr lang="en-US" sz="3200" b="1" i="0" u="none" strike="noStrike">
                        <a:solidFill>
                          <a:schemeClr val="accent2">
                            <a:lumMod val="75000"/>
                          </a:schemeClr>
                        </a:solidFill>
                        <a:latin typeface="Calibri"/>
                        <a:ea typeface="Calibri"/>
                        <a:cs typeface="Calibri"/>
                      </a:rPr>
                      <a:pPr algn="ctr"/>
                      <a:t>NORMAL</a:t>
                    </a:fld>
                    <a:endParaRPr lang="es-PE" sz="3200" b="1">
                      <a:solidFill>
                        <a:schemeClr val="accent2">
                          <a:lumMod val="75000"/>
                        </a:schemeClr>
                      </a:solidFill>
                    </a:endParaRPr>
                  </a:p>
                </xdr:txBody>
              </xdr:sp>
              <xdr:sp macro="" textlink="">
                <xdr:nvSpPr>
                  <xdr:cNvPr id="4574" name="Rectángulo: esquinas redondeadas 115">
                    <a:extLst>
                      <a:ext uri="{FF2B5EF4-FFF2-40B4-BE49-F238E27FC236}">
                        <a16:creationId xmlns:a16="http://schemas.microsoft.com/office/drawing/2014/main" id="{3D00376D-CB12-0F1C-748B-7A5CACEFF486}"/>
                      </a:ext>
                    </a:extLst>
                  </xdr:cNvPr>
                  <xdr:cNvSpPr/>
                </xdr:nvSpPr>
                <xdr:spPr>
                  <a:xfrm>
                    <a:off x="2084293" y="78272250"/>
                    <a:ext cx="2510118" cy="540964"/>
                  </a:xfrm>
                  <a:prstGeom prst="roundRect">
                    <a:avLst/>
                  </a:prstGeom>
                  <a:grpFill/>
                  <a:ln w="38100">
                    <a:noFill/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lang="es-PE" sz="2800">
                        <a:solidFill>
                          <a:schemeClr val="accent4">
                            <a:lumMod val="50000"/>
                          </a:schemeClr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Máximo: 05</a:t>
                    </a:r>
                    <a:endParaRPr lang="en-US" sz="4800" b="1" i="0" u="none" strike="noStrike">
                      <a:solidFill>
                        <a:schemeClr val="accent4">
                          <a:lumMod val="50000"/>
                        </a:schemeClr>
                      </a:solidFill>
                      <a:latin typeface="Calibri"/>
                      <a:ea typeface="Calibri"/>
                      <a:cs typeface="Calibri"/>
                    </a:endParaRPr>
                  </a:p>
                </xdr:txBody>
              </xdr:sp>
              <xdr:sp macro="" textlink="">
                <xdr:nvSpPr>
                  <xdr:cNvPr id="4575" name="Rectángulo: esquinas redondeadas 118">
                    <a:extLst>
                      <a:ext uri="{FF2B5EF4-FFF2-40B4-BE49-F238E27FC236}">
                        <a16:creationId xmlns:a16="http://schemas.microsoft.com/office/drawing/2014/main" id="{B7635A94-8374-082B-F28D-A3F126E8563E}"/>
                      </a:ext>
                    </a:extLst>
                  </xdr:cNvPr>
                  <xdr:cNvSpPr/>
                </xdr:nvSpPr>
                <xdr:spPr>
                  <a:xfrm>
                    <a:off x="2109791" y="78738414"/>
                    <a:ext cx="467563" cy="540964"/>
                  </a:xfrm>
                  <a:prstGeom prst="roundRect">
                    <a:avLst/>
                  </a:prstGeom>
                  <a:grpFill/>
                  <a:ln w="38100">
                    <a:noFill/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lang="es-PE" sz="1800" b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📊 </a:t>
                    </a:r>
                    <a:endParaRPr lang="en-US" sz="6600" b="1" i="0" u="none" strike="noStrike">
                      <a:solidFill>
                        <a:schemeClr val="accent1">
                          <a:lumMod val="50000"/>
                        </a:schemeClr>
                      </a:solidFill>
                      <a:latin typeface="Calibri"/>
                      <a:ea typeface="Calibri"/>
                      <a:cs typeface="Calibri"/>
                    </a:endParaRPr>
                  </a:p>
                </xdr:txBody>
              </xdr:sp>
              <xdr:sp macro="" textlink="">
                <xdr:nvSpPr>
                  <xdr:cNvPr id="4576" name="Rectángulo: esquinas redondeadas 120">
                    <a:extLst>
                      <a:ext uri="{FF2B5EF4-FFF2-40B4-BE49-F238E27FC236}">
                        <a16:creationId xmlns:a16="http://schemas.microsoft.com/office/drawing/2014/main" id="{5F0233F8-2170-2883-1D91-8C81AC43BD43}"/>
                      </a:ext>
                    </a:extLst>
                  </xdr:cNvPr>
                  <xdr:cNvSpPr/>
                </xdr:nvSpPr>
                <xdr:spPr>
                  <a:xfrm>
                    <a:off x="2347310" y="78758852"/>
                    <a:ext cx="1228937" cy="540964"/>
                  </a:xfrm>
                  <a:prstGeom prst="roundRect">
                    <a:avLst/>
                  </a:prstGeom>
                  <a:grpFill/>
                  <a:ln w="38100">
                    <a:noFill/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lang="es-PE" sz="1800" b="1" i="0" u="none" strike="noStrike">
                        <a:solidFill>
                          <a:schemeClr val="accent6">
                            <a:lumMod val="75000"/>
                          </a:schemeClr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Contador:</a:t>
                    </a:r>
                    <a:endParaRPr lang="en-US" sz="1800" b="1" i="0" u="none" strike="noStrike">
                      <a:solidFill>
                        <a:schemeClr val="accent6">
                          <a:lumMod val="75000"/>
                        </a:schemeClr>
                      </a:solidFill>
                      <a:latin typeface="Calibri"/>
                      <a:ea typeface="Calibri"/>
                      <a:cs typeface="Calibri"/>
                    </a:endParaRPr>
                  </a:p>
                </xdr:txBody>
              </xdr:sp>
            </xdr:grpSp>
            <xdr:grpSp>
              <xdr:nvGrpSpPr>
                <xdr:cNvPr id="4533" name="Grupo 4182">
                  <a:extLst>
                    <a:ext uri="{FF2B5EF4-FFF2-40B4-BE49-F238E27FC236}">
                      <a16:creationId xmlns:a16="http://schemas.microsoft.com/office/drawing/2014/main" id="{6EAC9F4E-FF64-B158-7D9A-C0E64F3131FD}"/>
                    </a:ext>
                  </a:extLst>
                </xdr:cNvPr>
                <xdr:cNvGrpSpPr>
                  <a:grpSpLocks noChangeAspect="1"/>
                </xdr:cNvGrpSpPr>
              </xdr:nvGrpSpPr>
              <xdr:grpSpPr>
                <a:xfrm>
                  <a:off x="5691427" y="79219423"/>
                  <a:ext cx="4565197" cy="3524250"/>
                  <a:chOff x="5691427" y="79552798"/>
                  <a:chExt cx="4565197" cy="3524250"/>
                </a:xfrm>
              </xdr:grpSpPr>
              <xdr:grpSp>
                <xdr:nvGrpSpPr>
                  <xdr:cNvPr id="4559" name="Grupo 4171">
                    <a:extLst>
                      <a:ext uri="{FF2B5EF4-FFF2-40B4-BE49-F238E27FC236}">
                        <a16:creationId xmlns:a16="http://schemas.microsoft.com/office/drawing/2014/main" id="{38234BBC-8F70-B146-7122-083C39194FAB}"/>
                      </a:ext>
                    </a:extLst>
                  </xdr:cNvPr>
                  <xdr:cNvGrpSpPr/>
                </xdr:nvGrpSpPr>
                <xdr:grpSpPr>
                  <a:xfrm>
                    <a:off x="5691427" y="79552798"/>
                    <a:ext cx="4565197" cy="3524250"/>
                    <a:chOff x="970709" y="75768572"/>
                    <a:chExt cx="4586007" cy="3552264"/>
                  </a:xfrm>
                  <a:noFill/>
                </xdr:grpSpPr>
                <xdr:sp macro="" textlink="">
                  <xdr:nvSpPr>
                    <xdr:cNvPr id="4561" name="Rectángulo: esquinas redondeadas 4172">
                      <a:extLst>
                        <a:ext uri="{FF2B5EF4-FFF2-40B4-BE49-F238E27FC236}">
                          <a16:creationId xmlns:a16="http://schemas.microsoft.com/office/drawing/2014/main" id="{803B9D7E-9409-C652-D0CD-D306E13410F7}"/>
                        </a:ext>
                      </a:extLst>
                    </xdr:cNvPr>
                    <xdr:cNvSpPr/>
                  </xdr:nvSpPr>
                  <xdr:spPr>
                    <a:xfrm>
                      <a:off x="970709" y="75768572"/>
                      <a:ext cx="4586007" cy="3552264"/>
                    </a:xfrm>
                    <a:prstGeom prst="roundRect">
                      <a:avLst/>
                    </a:prstGeom>
                    <a:solidFill>
                      <a:schemeClr val="accent4">
                        <a:lumMod val="20000"/>
                        <a:lumOff val="80000"/>
                      </a:schemeClr>
                    </a:solidFill>
                    <a:ln w="38100">
                      <a:solidFill>
                        <a:schemeClr val="accent4">
                          <a:lumMod val="50000"/>
                        </a:schemeClr>
                      </a:solidFill>
                    </a:ln>
                  </xdr:spPr>
                  <xdr:style>
                    <a:lnRef idx="2">
                      <a:schemeClr val="accent1"/>
                    </a:lnRef>
                    <a:fillRef idx="1">
                      <a:schemeClr val="lt1"/>
                    </a:fillRef>
                    <a:effectRef idx="0">
                      <a:schemeClr val="accent1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s-PE" sz="1100"/>
                    </a:p>
                  </xdr:txBody>
                </xdr:sp>
                <xdr:sp macro="" textlink="">
                  <xdr:nvSpPr>
                    <xdr:cNvPr id="4562" name="Rectángulo: esquinas redondeadas 4173">
                      <a:extLst>
                        <a:ext uri="{FF2B5EF4-FFF2-40B4-BE49-F238E27FC236}">
                          <a16:creationId xmlns:a16="http://schemas.microsoft.com/office/drawing/2014/main" id="{6A02183D-896D-30BA-22A3-C5E22C64EDCC}"/>
                        </a:ext>
                      </a:extLst>
                    </xdr:cNvPr>
                    <xdr:cNvSpPr/>
                  </xdr:nvSpPr>
                  <xdr:spPr>
                    <a:xfrm>
                      <a:off x="1271588" y="75864943"/>
                      <a:ext cx="3653887" cy="1022818"/>
                    </a:xfrm>
                    <a:prstGeom prst="roundRect">
                      <a:avLst/>
                    </a:prstGeom>
                    <a:grpFill/>
                    <a:ln w="38100">
                      <a:noFill/>
                    </a:ln>
                  </xdr:spPr>
                  <xdr:style>
                    <a:lnRef idx="2">
                      <a:schemeClr val="accent1"/>
                    </a:lnRef>
                    <a:fillRef idx="1">
                      <a:schemeClr val="lt1"/>
                    </a:fillRef>
                    <a:effectRef idx="0">
                      <a:schemeClr val="accent1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ctr"/>
                      <a:r>
                        <a:rPr lang="es-PE" sz="4800">
                          <a:effectLst/>
                        </a:rPr>
                        <a:t>⚡</a:t>
                      </a:r>
                      <a:r>
                        <a:rPr lang="es-PE" sz="4800" b="1" i="0">
                          <a:solidFill>
                            <a:schemeClr val="accent1">
                              <a:lumMod val="75000"/>
                            </a:schemeClr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a:t>MV9</a:t>
                      </a:r>
                      <a:endParaRPr lang="es-PE" sz="4800">
                        <a:solidFill>
                          <a:schemeClr val="accent1">
                            <a:lumMod val="75000"/>
                          </a:schemeClr>
                        </a:solidFill>
                      </a:endParaRPr>
                    </a:p>
                  </xdr:txBody>
                </xdr:sp>
                <xdr:sp macro="" textlink="$O$81">
                  <xdr:nvSpPr>
                    <xdr:cNvPr id="4563" name="Rectángulo: esquinas redondeadas 4174">
                      <a:extLst>
                        <a:ext uri="{FF2B5EF4-FFF2-40B4-BE49-F238E27FC236}">
                          <a16:creationId xmlns:a16="http://schemas.microsoft.com/office/drawing/2014/main" id="{64127D8E-2344-0723-B26B-15E33082B31E}"/>
                        </a:ext>
                      </a:extLst>
                    </xdr:cNvPr>
                    <xdr:cNvSpPr/>
                  </xdr:nvSpPr>
                  <xdr:spPr>
                    <a:xfrm>
                      <a:off x="1882587" y="76681853"/>
                      <a:ext cx="2958354" cy="1199029"/>
                    </a:xfrm>
                    <a:prstGeom prst="roundRect">
                      <a:avLst/>
                    </a:prstGeom>
                    <a:grpFill/>
                    <a:ln w="38100">
                      <a:noFill/>
                    </a:ln>
                  </xdr:spPr>
                  <xdr:style>
                    <a:lnRef idx="2">
                      <a:schemeClr val="accent1"/>
                    </a:lnRef>
                    <a:fillRef idx="1">
                      <a:schemeClr val="lt1"/>
                    </a:fillRef>
                    <a:effectRef idx="0">
                      <a:schemeClr val="accent1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rtlCol="0" anchor="ctr"/>
                    <a:lstStyle/>
                    <a:p>
                      <a:pPr algn="ctr"/>
                      <a:fld id="{77EE180E-AF3C-4E3A-A4A4-2DA0DEDB4B38}" type="TxLink">
                        <a:rPr lang="en-US" sz="8000" b="0" i="0" u="none" strike="noStrike">
                          <a:solidFill>
                            <a:schemeClr val="accent4">
                              <a:lumMod val="75000"/>
                            </a:schemeClr>
                          </a:solidFill>
                          <a:latin typeface="Calibri"/>
                          <a:ea typeface="Calibri"/>
                          <a:cs typeface="Calibri"/>
                        </a:rPr>
                        <a:pPr algn="ctr"/>
                        <a:t>14</a:t>
                      </a:fld>
                      <a:endParaRPr lang="es-PE" sz="8000">
                        <a:solidFill>
                          <a:schemeClr val="accent4">
                            <a:lumMod val="75000"/>
                          </a:schemeClr>
                        </a:solidFill>
                      </a:endParaRPr>
                    </a:p>
                  </xdr:txBody>
                </xdr:sp>
                <xdr:sp macro="" textlink="">
                  <xdr:nvSpPr>
                    <xdr:cNvPr id="4564" name="Rectángulo: esquinas redondeadas 4175">
                      <a:extLst>
                        <a:ext uri="{FF2B5EF4-FFF2-40B4-BE49-F238E27FC236}">
                          <a16:creationId xmlns:a16="http://schemas.microsoft.com/office/drawing/2014/main" id="{46E1FB85-EE60-CBA4-F67A-9BECE8E08FBC}"/>
                        </a:ext>
                      </a:extLst>
                    </xdr:cNvPr>
                    <xdr:cNvSpPr/>
                  </xdr:nvSpPr>
                  <xdr:spPr>
                    <a:xfrm>
                      <a:off x="1932736" y="77709713"/>
                      <a:ext cx="633412" cy="540964"/>
                    </a:xfrm>
                    <a:prstGeom prst="roundRect">
                      <a:avLst/>
                    </a:prstGeom>
                    <a:grpFill/>
                    <a:ln w="38100">
                      <a:noFill/>
                    </a:ln>
                  </xdr:spPr>
                  <xdr:style>
                    <a:lnRef idx="2">
                      <a:schemeClr val="accent1"/>
                    </a:lnRef>
                    <a:fillRef idx="1">
                      <a:schemeClr val="lt1"/>
                    </a:fillRef>
                    <a:effectRef idx="0">
                      <a:schemeClr val="accent1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r>
                        <a:rPr lang="es-PE" sz="2400" b="0" i="0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a:t>🎯 </a:t>
                      </a:r>
                      <a:endParaRPr lang="es-PE" sz="8800">
                        <a:solidFill>
                          <a:schemeClr val="accent1">
                            <a:lumMod val="75000"/>
                          </a:schemeClr>
                        </a:solidFill>
                      </a:endParaRPr>
                    </a:p>
                  </xdr:txBody>
                </xdr:sp>
                <xdr:sp macro="" textlink="$Q$81">
                  <xdr:nvSpPr>
                    <xdr:cNvPr id="4565" name="Rectángulo: esquinas redondeadas 4176">
                      <a:extLst>
                        <a:ext uri="{FF2B5EF4-FFF2-40B4-BE49-F238E27FC236}">
                          <a16:creationId xmlns:a16="http://schemas.microsoft.com/office/drawing/2014/main" id="{1E3CF596-225E-A203-71DE-DDACDBD35C3F}"/>
                        </a:ext>
                      </a:extLst>
                    </xdr:cNvPr>
                    <xdr:cNvSpPr/>
                  </xdr:nvSpPr>
                  <xdr:spPr>
                    <a:xfrm>
                      <a:off x="2253225" y="77724000"/>
                      <a:ext cx="2150685" cy="589430"/>
                    </a:xfrm>
                    <a:prstGeom prst="roundRect">
                      <a:avLst/>
                    </a:prstGeom>
                    <a:grpFill/>
                    <a:ln w="38100">
                      <a:noFill/>
                    </a:ln>
                  </xdr:spPr>
                  <xdr:style>
                    <a:lnRef idx="2">
                      <a:schemeClr val="accent1"/>
                    </a:lnRef>
                    <a:fillRef idx="1">
                      <a:schemeClr val="lt1"/>
                    </a:fillRef>
                    <a:effectRef idx="0">
                      <a:schemeClr val="accent1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rtlCol="0" anchor="ctr"/>
                    <a:lstStyle/>
                    <a:p>
                      <a:pPr algn="ctr"/>
                      <a:fld id="{F58705C6-2DD7-4F3A-8DF1-DD815BAAEEA8}" type="TxLink">
                        <a:rPr lang="en-US" sz="3200" b="1" i="0" u="none" strike="noStrike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libri"/>
                          <a:ea typeface="Calibri"/>
                          <a:cs typeface="Calibri"/>
                        </a:rPr>
                        <a:pPr algn="ctr"/>
                        <a:t>NORMAL</a:t>
                      </a:fld>
                      <a:endParaRPr lang="es-PE" sz="3200" b="1">
                        <a:solidFill>
                          <a:schemeClr val="accent2">
                            <a:lumMod val="75000"/>
                          </a:schemeClr>
                        </a:solidFill>
                      </a:endParaRPr>
                    </a:p>
                  </xdr:txBody>
                </xdr:sp>
                <xdr:sp macro="" textlink="">
                  <xdr:nvSpPr>
                    <xdr:cNvPr id="4566" name="Rectángulo: esquinas redondeadas 4177">
                      <a:extLst>
                        <a:ext uri="{FF2B5EF4-FFF2-40B4-BE49-F238E27FC236}">
                          <a16:creationId xmlns:a16="http://schemas.microsoft.com/office/drawing/2014/main" id="{95114799-689C-7EA8-EA92-9571588A4E19}"/>
                        </a:ext>
                      </a:extLst>
                    </xdr:cNvPr>
                    <xdr:cNvSpPr/>
                  </xdr:nvSpPr>
                  <xdr:spPr>
                    <a:xfrm>
                      <a:off x="2084293" y="78272250"/>
                      <a:ext cx="2510118" cy="540964"/>
                    </a:xfrm>
                    <a:prstGeom prst="roundRect">
                      <a:avLst/>
                    </a:prstGeom>
                    <a:grpFill/>
                    <a:ln w="38100">
                      <a:noFill/>
                    </a:ln>
                  </xdr:spPr>
                  <xdr:style>
                    <a:lnRef idx="2">
                      <a:schemeClr val="accent1"/>
                    </a:lnRef>
                    <a:fillRef idx="1">
                      <a:schemeClr val="lt1"/>
                    </a:fillRef>
                    <a:effectRef idx="0">
                      <a:schemeClr val="accent1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rtlCol="0" anchor="ctr"/>
                    <a:lstStyle/>
                    <a:p>
                      <a:pPr algn="ctr"/>
                      <a:r>
                        <a:rPr lang="es-PE" sz="2800">
                          <a:solidFill>
                            <a:schemeClr val="accent4">
                              <a:lumMod val="50000"/>
                            </a:schemeClr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a:t>Máximo: 20</a:t>
                      </a:r>
                      <a:endParaRPr lang="en-US" sz="4800" b="1" i="0" u="none" strike="noStrike">
                        <a:solidFill>
                          <a:schemeClr val="accent4">
                            <a:lumMod val="50000"/>
                          </a:schemeClr>
                        </a:solidFill>
                        <a:latin typeface="Calibri"/>
                        <a:ea typeface="Calibri"/>
                        <a:cs typeface="Calibri"/>
                      </a:endParaRPr>
                    </a:p>
                  </xdr:txBody>
                </xdr:sp>
                <xdr:sp macro="" textlink="">
                  <xdr:nvSpPr>
                    <xdr:cNvPr id="4567" name="Rectángulo: esquinas redondeadas 4178">
                      <a:extLst>
                        <a:ext uri="{FF2B5EF4-FFF2-40B4-BE49-F238E27FC236}">
                          <a16:creationId xmlns:a16="http://schemas.microsoft.com/office/drawing/2014/main" id="{4FF14677-0E38-741C-B6F0-D14231EA7DFF}"/>
                        </a:ext>
                      </a:extLst>
                    </xdr:cNvPr>
                    <xdr:cNvSpPr/>
                  </xdr:nvSpPr>
                  <xdr:spPr>
                    <a:xfrm>
                      <a:off x="2109791" y="78738414"/>
                      <a:ext cx="467563" cy="540964"/>
                    </a:xfrm>
                    <a:prstGeom prst="roundRect">
                      <a:avLst/>
                    </a:prstGeom>
                    <a:grpFill/>
                    <a:ln w="38100">
                      <a:noFill/>
                    </a:ln>
                  </xdr:spPr>
                  <xdr:style>
                    <a:lnRef idx="2">
                      <a:schemeClr val="accent1"/>
                    </a:lnRef>
                    <a:fillRef idx="1">
                      <a:schemeClr val="lt1"/>
                    </a:fillRef>
                    <a:effectRef idx="0">
                      <a:schemeClr val="accent1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rtlCol="0" anchor="ctr"/>
                    <a:lstStyle/>
                    <a:p>
                      <a:pPr algn="ctr"/>
                      <a:r>
                        <a:rPr lang="es-PE" sz="1800" b="1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a:t>📊 </a:t>
                      </a:r>
                      <a:endParaRPr lang="en-US" sz="6600" b="1" i="0" u="none" strike="noStrike">
                        <a:solidFill>
                          <a:schemeClr val="accent1">
                            <a:lumMod val="50000"/>
                          </a:schemeClr>
                        </a:solidFill>
                        <a:latin typeface="Calibri"/>
                        <a:ea typeface="Calibri"/>
                        <a:cs typeface="Calibri"/>
                      </a:endParaRPr>
                    </a:p>
                  </xdr:txBody>
                </xdr:sp>
                <xdr:sp macro="" textlink="">
                  <xdr:nvSpPr>
                    <xdr:cNvPr id="4568" name="Rectángulo: esquinas redondeadas 4179">
                      <a:extLst>
                        <a:ext uri="{FF2B5EF4-FFF2-40B4-BE49-F238E27FC236}">
                          <a16:creationId xmlns:a16="http://schemas.microsoft.com/office/drawing/2014/main" id="{8EABBB8A-45DC-DF44-7F80-C3FA2EA3A074}"/>
                        </a:ext>
                      </a:extLst>
                    </xdr:cNvPr>
                    <xdr:cNvSpPr/>
                  </xdr:nvSpPr>
                  <xdr:spPr>
                    <a:xfrm>
                      <a:off x="2347310" y="78758852"/>
                      <a:ext cx="1228937" cy="540964"/>
                    </a:xfrm>
                    <a:prstGeom prst="roundRect">
                      <a:avLst/>
                    </a:prstGeom>
                    <a:grpFill/>
                    <a:ln w="38100">
                      <a:noFill/>
                    </a:ln>
                  </xdr:spPr>
                  <xdr:style>
                    <a:lnRef idx="2">
                      <a:schemeClr val="accent1"/>
                    </a:lnRef>
                    <a:fillRef idx="1">
                      <a:schemeClr val="lt1"/>
                    </a:fillRef>
                    <a:effectRef idx="0">
                      <a:schemeClr val="accent1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rtlCol="0" anchor="ctr"/>
                    <a:lstStyle/>
                    <a:p>
                      <a:pPr algn="ctr"/>
                      <a:r>
                        <a:rPr lang="es-PE" sz="1800" b="1" i="0" u="none" strike="noStrike">
                          <a:solidFill>
                            <a:schemeClr val="accent6">
                              <a:lumMod val="75000"/>
                            </a:schemeClr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a:t>Contador:</a:t>
                      </a:r>
                      <a:endParaRPr lang="en-US" sz="1800" b="1" i="0" u="none" strike="noStrike">
                        <a:solidFill>
                          <a:schemeClr val="accent6">
                            <a:lumMod val="75000"/>
                          </a:schemeClr>
                        </a:solidFill>
                        <a:latin typeface="Calibri"/>
                        <a:ea typeface="Calibri"/>
                        <a:cs typeface="Calibri"/>
                      </a:endParaRPr>
                    </a:p>
                  </xdr:txBody>
                </xdr:sp>
              </xdr:grpSp>
              <xdr:sp macro="" textlink="$S$81">
                <xdr:nvSpPr>
                  <xdr:cNvPr id="4560" name="Rectángulo: esquinas redondeadas 4181">
                    <a:extLst>
                      <a:ext uri="{FF2B5EF4-FFF2-40B4-BE49-F238E27FC236}">
                        <a16:creationId xmlns:a16="http://schemas.microsoft.com/office/drawing/2014/main" id="{9F395CFF-1D4A-2901-9E41-5392B2592011}"/>
                      </a:ext>
                    </a:extLst>
                  </xdr:cNvPr>
                  <xdr:cNvSpPr/>
                </xdr:nvSpPr>
                <xdr:spPr>
                  <a:xfrm>
                    <a:off x="8191739" y="82505548"/>
                    <a:ext cx="1295162" cy="536698"/>
                  </a:xfrm>
                  <a:prstGeom prst="roundRect">
                    <a:avLst/>
                  </a:prstGeom>
                  <a:noFill/>
                  <a:ln w="38100">
                    <a:noFill/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ctr"/>
                  <a:lstStyle/>
                  <a:p>
                    <a:pPr algn="l"/>
                    <a:fld id="{ACBB4193-5A53-4140-887C-1F9B7BF18B7A}" type="TxLink">
                      <a:rPr lang="en-US" sz="2800" b="1" i="0" u="none" strike="noStrike">
                        <a:solidFill>
                          <a:schemeClr val="accent6">
                            <a:lumMod val="75000"/>
                          </a:schemeClr>
                        </a:solidFill>
                        <a:latin typeface="Calibri"/>
                        <a:ea typeface="Calibri"/>
                        <a:cs typeface="Calibri"/>
                      </a:rPr>
                      <a:pPr algn="l"/>
                      <a:t>2618</a:t>
                    </a:fld>
                    <a:endParaRPr lang="en-US" sz="2800" b="1" i="0" u="none" strike="noStrike">
                      <a:solidFill>
                        <a:schemeClr val="accent6">
                          <a:lumMod val="75000"/>
                        </a:schemeClr>
                      </a:solidFill>
                      <a:latin typeface="Calibri"/>
                      <a:ea typeface="Calibri"/>
                      <a:cs typeface="Calibri"/>
                    </a:endParaRPr>
                  </a:p>
                </xdr:txBody>
              </xdr:sp>
            </xdr:grpSp>
            <xdr:grpSp>
              <xdr:nvGrpSpPr>
                <xdr:cNvPr id="4534" name="Grupo 4183">
                  <a:extLst>
                    <a:ext uri="{FF2B5EF4-FFF2-40B4-BE49-F238E27FC236}">
                      <a16:creationId xmlns:a16="http://schemas.microsoft.com/office/drawing/2014/main" id="{C601D45A-715C-46CE-278C-6FC5BD3F99FD}"/>
                    </a:ext>
                  </a:extLst>
                </xdr:cNvPr>
                <xdr:cNvGrpSpPr>
                  <a:grpSpLocks noChangeAspect="1"/>
                </xdr:cNvGrpSpPr>
              </xdr:nvGrpSpPr>
              <xdr:grpSpPr>
                <a:xfrm>
                  <a:off x="10725387" y="79252762"/>
                  <a:ext cx="4565197" cy="3524250"/>
                  <a:chOff x="5691427" y="79552798"/>
                  <a:chExt cx="4565197" cy="3524250"/>
                </a:xfrm>
              </xdr:grpSpPr>
              <xdr:grpSp>
                <xdr:nvGrpSpPr>
                  <xdr:cNvPr id="4549" name="Grupo 4184">
                    <a:extLst>
                      <a:ext uri="{FF2B5EF4-FFF2-40B4-BE49-F238E27FC236}">
                        <a16:creationId xmlns:a16="http://schemas.microsoft.com/office/drawing/2014/main" id="{0558EC83-B146-B63C-08D1-73FA3344BF18}"/>
                      </a:ext>
                    </a:extLst>
                  </xdr:cNvPr>
                  <xdr:cNvGrpSpPr/>
                </xdr:nvGrpSpPr>
                <xdr:grpSpPr>
                  <a:xfrm>
                    <a:off x="5691427" y="79552798"/>
                    <a:ext cx="4565197" cy="3524250"/>
                    <a:chOff x="970709" y="75768572"/>
                    <a:chExt cx="4586007" cy="3552264"/>
                  </a:xfrm>
                  <a:noFill/>
                </xdr:grpSpPr>
                <xdr:sp macro="" textlink="">
                  <xdr:nvSpPr>
                    <xdr:cNvPr id="4551" name="Rectángulo: esquinas redondeadas 4186">
                      <a:extLst>
                        <a:ext uri="{FF2B5EF4-FFF2-40B4-BE49-F238E27FC236}">
                          <a16:creationId xmlns:a16="http://schemas.microsoft.com/office/drawing/2014/main" id="{133CB776-9463-B0A6-E006-E48D2B393D4A}"/>
                        </a:ext>
                      </a:extLst>
                    </xdr:cNvPr>
                    <xdr:cNvSpPr/>
                  </xdr:nvSpPr>
                  <xdr:spPr>
                    <a:xfrm>
                      <a:off x="970709" y="75768572"/>
                      <a:ext cx="4586007" cy="3552264"/>
                    </a:xfrm>
                    <a:prstGeom prst="roundRect">
                      <a:avLst/>
                    </a:prstGeom>
                    <a:solidFill>
                      <a:schemeClr val="accent4">
                        <a:lumMod val="20000"/>
                        <a:lumOff val="80000"/>
                      </a:schemeClr>
                    </a:solidFill>
                    <a:ln w="38100">
                      <a:solidFill>
                        <a:schemeClr val="accent4">
                          <a:lumMod val="50000"/>
                        </a:schemeClr>
                      </a:solidFill>
                    </a:ln>
                  </xdr:spPr>
                  <xdr:style>
                    <a:lnRef idx="2">
                      <a:schemeClr val="accent1"/>
                    </a:lnRef>
                    <a:fillRef idx="1">
                      <a:schemeClr val="lt1"/>
                    </a:fillRef>
                    <a:effectRef idx="0">
                      <a:schemeClr val="accent1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s-PE" sz="1100"/>
                    </a:p>
                  </xdr:txBody>
                </xdr:sp>
                <xdr:sp macro="" textlink="">
                  <xdr:nvSpPr>
                    <xdr:cNvPr id="4552" name="Rectángulo: esquinas redondeadas 4187">
                      <a:extLst>
                        <a:ext uri="{FF2B5EF4-FFF2-40B4-BE49-F238E27FC236}">
                          <a16:creationId xmlns:a16="http://schemas.microsoft.com/office/drawing/2014/main" id="{23ECC888-71ED-08F6-CF3A-5438C9C3FD84}"/>
                        </a:ext>
                      </a:extLst>
                    </xdr:cNvPr>
                    <xdr:cNvSpPr/>
                  </xdr:nvSpPr>
                  <xdr:spPr>
                    <a:xfrm>
                      <a:off x="1271588" y="75864943"/>
                      <a:ext cx="3653887" cy="1022818"/>
                    </a:xfrm>
                    <a:prstGeom prst="roundRect">
                      <a:avLst/>
                    </a:prstGeom>
                    <a:grpFill/>
                    <a:ln w="38100">
                      <a:noFill/>
                    </a:ln>
                  </xdr:spPr>
                  <xdr:style>
                    <a:lnRef idx="2">
                      <a:schemeClr val="accent1"/>
                    </a:lnRef>
                    <a:fillRef idx="1">
                      <a:schemeClr val="lt1"/>
                    </a:fillRef>
                    <a:effectRef idx="0">
                      <a:schemeClr val="accent1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ctr"/>
                      <a:r>
                        <a:rPr lang="es-PE" sz="4800">
                          <a:effectLst/>
                        </a:rPr>
                        <a:t>⚡</a:t>
                      </a:r>
                      <a:r>
                        <a:rPr lang="es-PE" sz="4800" b="1" i="0">
                          <a:solidFill>
                            <a:schemeClr val="accent1">
                              <a:lumMod val="75000"/>
                            </a:schemeClr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a:t>MV12</a:t>
                      </a:r>
                      <a:endParaRPr lang="es-PE" sz="4800">
                        <a:solidFill>
                          <a:schemeClr val="accent1">
                            <a:lumMod val="75000"/>
                          </a:schemeClr>
                        </a:solidFill>
                      </a:endParaRPr>
                    </a:p>
                  </xdr:txBody>
                </xdr:sp>
                <xdr:sp macro="" textlink="$O$82">
                  <xdr:nvSpPr>
                    <xdr:cNvPr id="4553" name="Rectángulo: esquinas redondeadas 4188">
                      <a:extLst>
                        <a:ext uri="{FF2B5EF4-FFF2-40B4-BE49-F238E27FC236}">
                          <a16:creationId xmlns:a16="http://schemas.microsoft.com/office/drawing/2014/main" id="{7B2B33E7-39FF-D761-9501-CDE86F346FE7}"/>
                        </a:ext>
                      </a:extLst>
                    </xdr:cNvPr>
                    <xdr:cNvSpPr/>
                  </xdr:nvSpPr>
                  <xdr:spPr>
                    <a:xfrm>
                      <a:off x="1882587" y="76681853"/>
                      <a:ext cx="2958354" cy="1199029"/>
                    </a:xfrm>
                    <a:prstGeom prst="roundRect">
                      <a:avLst/>
                    </a:prstGeom>
                    <a:grpFill/>
                    <a:ln w="38100">
                      <a:noFill/>
                    </a:ln>
                  </xdr:spPr>
                  <xdr:style>
                    <a:lnRef idx="2">
                      <a:schemeClr val="accent1"/>
                    </a:lnRef>
                    <a:fillRef idx="1">
                      <a:schemeClr val="lt1"/>
                    </a:fillRef>
                    <a:effectRef idx="0">
                      <a:schemeClr val="accent1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rtlCol="0" anchor="ctr"/>
                    <a:lstStyle/>
                    <a:p>
                      <a:pPr algn="ctr"/>
                      <a:fld id="{19840DE9-09DA-4ADE-A90D-9BAF54EAD2F5}" type="TxLink">
                        <a:rPr lang="en-US" sz="8000" b="0" i="0" u="none" strike="noStrike">
                          <a:solidFill>
                            <a:schemeClr val="accent4">
                              <a:lumMod val="75000"/>
                            </a:schemeClr>
                          </a:solidFill>
                          <a:latin typeface="Calibri"/>
                          <a:ea typeface="Calibri"/>
                          <a:cs typeface="Calibri"/>
                        </a:rPr>
                        <a:pPr algn="ctr"/>
                        <a:t>4</a:t>
                      </a:fld>
                      <a:endParaRPr lang="es-PE" sz="8000">
                        <a:solidFill>
                          <a:schemeClr val="accent4">
                            <a:lumMod val="75000"/>
                          </a:schemeClr>
                        </a:solidFill>
                      </a:endParaRPr>
                    </a:p>
                  </xdr:txBody>
                </xdr:sp>
                <xdr:sp macro="" textlink="">
                  <xdr:nvSpPr>
                    <xdr:cNvPr id="4554" name="Rectángulo: esquinas redondeadas 4189">
                      <a:extLst>
                        <a:ext uri="{FF2B5EF4-FFF2-40B4-BE49-F238E27FC236}">
                          <a16:creationId xmlns:a16="http://schemas.microsoft.com/office/drawing/2014/main" id="{1FBD3A06-DD76-EB41-07DF-1C5053214B85}"/>
                        </a:ext>
                      </a:extLst>
                    </xdr:cNvPr>
                    <xdr:cNvSpPr/>
                  </xdr:nvSpPr>
                  <xdr:spPr>
                    <a:xfrm>
                      <a:off x="1932736" y="77709713"/>
                      <a:ext cx="633412" cy="540964"/>
                    </a:xfrm>
                    <a:prstGeom prst="roundRect">
                      <a:avLst/>
                    </a:prstGeom>
                    <a:grpFill/>
                    <a:ln w="38100">
                      <a:noFill/>
                    </a:ln>
                  </xdr:spPr>
                  <xdr:style>
                    <a:lnRef idx="2">
                      <a:schemeClr val="accent1"/>
                    </a:lnRef>
                    <a:fillRef idx="1">
                      <a:schemeClr val="lt1"/>
                    </a:fillRef>
                    <a:effectRef idx="0">
                      <a:schemeClr val="accent1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r>
                        <a:rPr lang="es-PE" sz="2400" b="0" i="0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a:t>🎯 </a:t>
                      </a:r>
                      <a:endParaRPr lang="es-PE" sz="8800">
                        <a:solidFill>
                          <a:schemeClr val="accent1">
                            <a:lumMod val="75000"/>
                          </a:schemeClr>
                        </a:solidFill>
                      </a:endParaRPr>
                    </a:p>
                  </xdr:txBody>
                </xdr:sp>
                <xdr:sp macro="" textlink="$Q$82">
                  <xdr:nvSpPr>
                    <xdr:cNvPr id="4555" name="Rectángulo: esquinas redondeadas 4190">
                      <a:extLst>
                        <a:ext uri="{FF2B5EF4-FFF2-40B4-BE49-F238E27FC236}">
                          <a16:creationId xmlns:a16="http://schemas.microsoft.com/office/drawing/2014/main" id="{AB64E7FF-5C9D-2304-11A7-D8E27E43DFA3}"/>
                        </a:ext>
                      </a:extLst>
                    </xdr:cNvPr>
                    <xdr:cNvSpPr/>
                  </xdr:nvSpPr>
                  <xdr:spPr>
                    <a:xfrm>
                      <a:off x="2253225" y="77724000"/>
                      <a:ext cx="2150685" cy="589430"/>
                    </a:xfrm>
                    <a:prstGeom prst="roundRect">
                      <a:avLst/>
                    </a:prstGeom>
                    <a:grpFill/>
                    <a:ln w="38100">
                      <a:noFill/>
                    </a:ln>
                  </xdr:spPr>
                  <xdr:style>
                    <a:lnRef idx="2">
                      <a:schemeClr val="accent1"/>
                    </a:lnRef>
                    <a:fillRef idx="1">
                      <a:schemeClr val="lt1"/>
                    </a:fillRef>
                    <a:effectRef idx="0">
                      <a:schemeClr val="accent1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rtlCol="0" anchor="ctr"/>
                    <a:lstStyle/>
                    <a:p>
                      <a:pPr algn="ctr"/>
                      <a:fld id="{00559945-002E-4CFC-B5BF-94D6BDEACBA2}" type="TxLink">
                        <a:rPr lang="en-US" sz="3200" b="1" i="0" u="none" strike="noStrike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libri"/>
                          <a:ea typeface="Calibri"/>
                          <a:cs typeface="Calibri"/>
                        </a:rPr>
                        <a:pPr algn="ctr"/>
                        <a:t>NORMAL</a:t>
                      </a:fld>
                      <a:endParaRPr lang="es-PE" sz="3200" b="1">
                        <a:solidFill>
                          <a:schemeClr val="accent2">
                            <a:lumMod val="75000"/>
                          </a:schemeClr>
                        </a:solidFill>
                      </a:endParaRPr>
                    </a:p>
                  </xdr:txBody>
                </xdr:sp>
                <xdr:sp macro="" textlink="">
                  <xdr:nvSpPr>
                    <xdr:cNvPr id="4556" name="Rectángulo: esquinas redondeadas 4191">
                      <a:extLst>
                        <a:ext uri="{FF2B5EF4-FFF2-40B4-BE49-F238E27FC236}">
                          <a16:creationId xmlns:a16="http://schemas.microsoft.com/office/drawing/2014/main" id="{14421996-EB7E-EDE3-8DD5-74E40AEF19C7}"/>
                        </a:ext>
                      </a:extLst>
                    </xdr:cNvPr>
                    <xdr:cNvSpPr/>
                  </xdr:nvSpPr>
                  <xdr:spPr>
                    <a:xfrm>
                      <a:off x="2084293" y="78272250"/>
                      <a:ext cx="2510118" cy="540964"/>
                    </a:xfrm>
                    <a:prstGeom prst="roundRect">
                      <a:avLst/>
                    </a:prstGeom>
                    <a:grpFill/>
                    <a:ln w="38100">
                      <a:noFill/>
                    </a:ln>
                  </xdr:spPr>
                  <xdr:style>
                    <a:lnRef idx="2">
                      <a:schemeClr val="accent1"/>
                    </a:lnRef>
                    <a:fillRef idx="1">
                      <a:schemeClr val="lt1"/>
                    </a:fillRef>
                    <a:effectRef idx="0">
                      <a:schemeClr val="accent1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rtlCol="0" anchor="ctr"/>
                    <a:lstStyle/>
                    <a:p>
                      <a:pPr algn="ctr"/>
                      <a:r>
                        <a:rPr lang="es-PE" sz="2800">
                          <a:solidFill>
                            <a:schemeClr val="accent4">
                              <a:lumMod val="50000"/>
                            </a:schemeClr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a:t>Máximo: 10</a:t>
                      </a:r>
                      <a:endParaRPr lang="en-US" sz="4800" b="1" i="0" u="none" strike="noStrike">
                        <a:solidFill>
                          <a:schemeClr val="accent4">
                            <a:lumMod val="50000"/>
                          </a:schemeClr>
                        </a:solidFill>
                        <a:latin typeface="Calibri"/>
                        <a:ea typeface="Calibri"/>
                        <a:cs typeface="Calibri"/>
                      </a:endParaRPr>
                    </a:p>
                  </xdr:txBody>
                </xdr:sp>
                <xdr:sp macro="" textlink="">
                  <xdr:nvSpPr>
                    <xdr:cNvPr id="4557" name="Rectángulo: esquinas redondeadas 4192">
                      <a:extLst>
                        <a:ext uri="{FF2B5EF4-FFF2-40B4-BE49-F238E27FC236}">
                          <a16:creationId xmlns:a16="http://schemas.microsoft.com/office/drawing/2014/main" id="{07F6AC2D-A91E-9F8F-76C2-75786C1036D3}"/>
                        </a:ext>
                      </a:extLst>
                    </xdr:cNvPr>
                    <xdr:cNvSpPr/>
                  </xdr:nvSpPr>
                  <xdr:spPr>
                    <a:xfrm>
                      <a:off x="2109791" y="78738414"/>
                      <a:ext cx="467563" cy="540964"/>
                    </a:xfrm>
                    <a:prstGeom prst="roundRect">
                      <a:avLst/>
                    </a:prstGeom>
                    <a:grpFill/>
                    <a:ln w="38100">
                      <a:noFill/>
                    </a:ln>
                  </xdr:spPr>
                  <xdr:style>
                    <a:lnRef idx="2">
                      <a:schemeClr val="accent1"/>
                    </a:lnRef>
                    <a:fillRef idx="1">
                      <a:schemeClr val="lt1"/>
                    </a:fillRef>
                    <a:effectRef idx="0">
                      <a:schemeClr val="accent1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rtlCol="0" anchor="ctr"/>
                    <a:lstStyle/>
                    <a:p>
                      <a:pPr algn="ctr"/>
                      <a:r>
                        <a:rPr lang="es-PE" sz="1800" b="1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a:t>📊 </a:t>
                      </a:r>
                      <a:endParaRPr lang="en-US" sz="6600" b="1" i="0" u="none" strike="noStrike">
                        <a:solidFill>
                          <a:schemeClr val="accent1">
                            <a:lumMod val="50000"/>
                          </a:schemeClr>
                        </a:solidFill>
                        <a:latin typeface="Calibri"/>
                        <a:ea typeface="Calibri"/>
                        <a:cs typeface="Calibri"/>
                      </a:endParaRPr>
                    </a:p>
                  </xdr:txBody>
                </xdr:sp>
                <xdr:sp macro="" textlink="">
                  <xdr:nvSpPr>
                    <xdr:cNvPr id="4558" name="Rectángulo: esquinas redondeadas 4193">
                      <a:extLst>
                        <a:ext uri="{FF2B5EF4-FFF2-40B4-BE49-F238E27FC236}">
                          <a16:creationId xmlns:a16="http://schemas.microsoft.com/office/drawing/2014/main" id="{A49896FF-F5B1-D6E6-DCD8-894A0F945A35}"/>
                        </a:ext>
                      </a:extLst>
                    </xdr:cNvPr>
                    <xdr:cNvSpPr/>
                  </xdr:nvSpPr>
                  <xdr:spPr>
                    <a:xfrm>
                      <a:off x="2347310" y="78758852"/>
                      <a:ext cx="1228937" cy="540964"/>
                    </a:xfrm>
                    <a:prstGeom prst="roundRect">
                      <a:avLst/>
                    </a:prstGeom>
                    <a:grpFill/>
                    <a:ln w="38100">
                      <a:noFill/>
                    </a:ln>
                  </xdr:spPr>
                  <xdr:style>
                    <a:lnRef idx="2">
                      <a:schemeClr val="accent1"/>
                    </a:lnRef>
                    <a:fillRef idx="1">
                      <a:schemeClr val="lt1"/>
                    </a:fillRef>
                    <a:effectRef idx="0">
                      <a:schemeClr val="accent1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rtlCol="0" anchor="ctr"/>
                    <a:lstStyle/>
                    <a:p>
                      <a:pPr algn="ctr"/>
                      <a:r>
                        <a:rPr lang="es-PE" sz="1800" b="1" i="0" u="none" strike="noStrike">
                          <a:solidFill>
                            <a:schemeClr val="accent6">
                              <a:lumMod val="75000"/>
                            </a:schemeClr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a:t>Contador:</a:t>
                      </a:r>
                      <a:endParaRPr lang="en-US" sz="1800" b="1" i="0" u="none" strike="noStrike">
                        <a:solidFill>
                          <a:schemeClr val="accent6">
                            <a:lumMod val="75000"/>
                          </a:schemeClr>
                        </a:solidFill>
                        <a:latin typeface="Calibri"/>
                        <a:ea typeface="Calibri"/>
                        <a:cs typeface="Calibri"/>
                      </a:endParaRPr>
                    </a:p>
                  </xdr:txBody>
                </xdr:sp>
              </xdr:grpSp>
              <xdr:sp macro="" textlink="$S$82">
                <xdr:nvSpPr>
                  <xdr:cNvPr id="4550" name="Rectángulo: esquinas redondeadas 4185">
                    <a:extLst>
                      <a:ext uri="{FF2B5EF4-FFF2-40B4-BE49-F238E27FC236}">
                        <a16:creationId xmlns:a16="http://schemas.microsoft.com/office/drawing/2014/main" id="{C3D77F0C-E39F-83F1-2647-F8EB56D335E2}"/>
                      </a:ext>
                    </a:extLst>
                  </xdr:cNvPr>
                  <xdr:cNvSpPr/>
                </xdr:nvSpPr>
                <xdr:spPr>
                  <a:xfrm>
                    <a:off x="8191739" y="82505548"/>
                    <a:ext cx="1295162" cy="536698"/>
                  </a:xfrm>
                  <a:prstGeom prst="roundRect">
                    <a:avLst/>
                  </a:prstGeom>
                  <a:noFill/>
                  <a:ln w="38100">
                    <a:noFill/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ctr"/>
                  <a:lstStyle/>
                  <a:p>
                    <a:pPr algn="l"/>
                    <a:fld id="{D47C1EB4-55E9-4719-80AE-E3570301D038}" type="TxLink">
                      <a:rPr lang="en-US" sz="2800" b="1" i="0" u="none" strike="noStrike">
                        <a:solidFill>
                          <a:schemeClr val="accent6">
                            <a:lumMod val="75000"/>
                          </a:schemeClr>
                        </a:solidFill>
                        <a:latin typeface="Calibri"/>
                        <a:ea typeface="Calibri"/>
                        <a:cs typeface="Calibri"/>
                      </a:rPr>
                      <a:pPr algn="l"/>
                      <a:t>5734</a:t>
                    </a:fld>
                    <a:endParaRPr lang="en-US" sz="2800" b="1" i="0" u="none" strike="noStrike">
                      <a:solidFill>
                        <a:schemeClr val="accent6">
                          <a:lumMod val="75000"/>
                        </a:schemeClr>
                      </a:solidFill>
                      <a:latin typeface="Calibri"/>
                      <a:ea typeface="Calibri"/>
                      <a:cs typeface="Calibri"/>
                    </a:endParaRPr>
                  </a:p>
                </xdr:txBody>
              </xdr:sp>
            </xdr:grpSp>
            <xdr:grpSp>
              <xdr:nvGrpSpPr>
                <xdr:cNvPr id="4535" name="Grupo 4195">
                  <a:extLst>
                    <a:ext uri="{FF2B5EF4-FFF2-40B4-BE49-F238E27FC236}">
                      <a16:creationId xmlns:a16="http://schemas.microsoft.com/office/drawing/2014/main" id="{D6E9FD13-EF56-61BC-B2BC-12443D41C888}"/>
                    </a:ext>
                  </a:extLst>
                </xdr:cNvPr>
                <xdr:cNvGrpSpPr>
                  <a:grpSpLocks noChangeAspect="1"/>
                </xdr:cNvGrpSpPr>
              </xdr:nvGrpSpPr>
              <xdr:grpSpPr>
                <a:xfrm>
                  <a:off x="15687910" y="79262286"/>
                  <a:ext cx="4565197" cy="3524250"/>
                  <a:chOff x="970709" y="75768573"/>
                  <a:chExt cx="4586007" cy="3552264"/>
                </a:xfrm>
                <a:noFill/>
              </xdr:grpSpPr>
              <xdr:sp macro="" textlink="">
                <xdr:nvSpPr>
                  <xdr:cNvPr id="4543" name="Rectángulo: esquinas redondeadas 4197">
                    <a:extLst>
                      <a:ext uri="{FF2B5EF4-FFF2-40B4-BE49-F238E27FC236}">
                        <a16:creationId xmlns:a16="http://schemas.microsoft.com/office/drawing/2014/main" id="{294A595B-7B7B-5BAA-D37F-FEBEBB5DC39B}"/>
                      </a:ext>
                    </a:extLst>
                  </xdr:cNvPr>
                  <xdr:cNvSpPr/>
                </xdr:nvSpPr>
                <xdr:spPr>
                  <a:xfrm>
                    <a:off x="970709" y="75768573"/>
                    <a:ext cx="4586007" cy="3552264"/>
                  </a:xfrm>
                  <a:prstGeom prst="roundRect">
                    <a:avLst/>
                  </a:prstGeom>
                  <a:solidFill>
                    <a:schemeClr val="accent4">
                      <a:lumMod val="60000"/>
                      <a:lumOff val="40000"/>
                    </a:schemeClr>
                  </a:solidFill>
                  <a:ln w="38100">
                    <a:solidFill>
                      <a:schemeClr val="accent4">
                        <a:lumMod val="50000"/>
                      </a:schemeClr>
                    </a:solidFill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s-PE" sz="1100"/>
                  </a:p>
                </xdr:txBody>
              </xdr:sp>
              <xdr:sp macro="" textlink="">
                <xdr:nvSpPr>
                  <xdr:cNvPr id="4544" name="Rectángulo: esquinas redondeadas 4198">
                    <a:extLst>
                      <a:ext uri="{FF2B5EF4-FFF2-40B4-BE49-F238E27FC236}">
                        <a16:creationId xmlns:a16="http://schemas.microsoft.com/office/drawing/2014/main" id="{490C9829-1CC9-D435-AEE8-D6196F3FB8AD}"/>
                      </a:ext>
                    </a:extLst>
                  </xdr:cNvPr>
                  <xdr:cNvSpPr/>
                </xdr:nvSpPr>
                <xdr:spPr>
                  <a:xfrm>
                    <a:off x="1271588" y="75864943"/>
                    <a:ext cx="3997147" cy="1022818"/>
                  </a:xfrm>
                  <a:prstGeom prst="roundRect">
                    <a:avLst/>
                  </a:prstGeom>
                  <a:grpFill/>
                  <a:ln w="38100">
                    <a:noFill/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/>
                  <a:lstStyle/>
                  <a:p>
                    <a:pPr algn="ctr"/>
                    <a:r>
                      <a:rPr lang="es-PE" sz="4800">
                        <a:effectLst/>
                      </a:rPr>
                      <a:t>🔋</a:t>
                    </a:r>
                    <a:r>
                      <a:rPr lang="es-PE" sz="4800" b="1" i="0">
                        <a:solidFill>
                          <a:schemeClr val="accent1">
                            <a:lumMod val="75000"/>
                          </a:schemeClr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ENERGIA</a:t>
                    </a:r>
                    <a:endParaRPr lang="es-PE" sz="4800">
                      <a:solidFill>
                        <a:schemeClr val="accent1">
                          <a:lumMod val="75000"/>
                        </a:schemeClr>
                      </a:solidFill>
                    </a:endParaRPr>
                  </a:p>
                </xdr:txBody>
              </xdr:sp>
              <xdr:sp macro="" textlink="$T$83">
                <xdr:nvSpPr>
                  <xdr:cNvPr id="4545" name="Rectángulo: esquinas redondeadas 4199">
                    <a:extLst>
                      <a:ext uri="{FF2B5EF4-FFF2-40B4-BE49-F238E27FC236}">
                        <a16:creationId xmlns:a16="http://schemas.microsoft.com/office/drawing/2014/main" id="{404E11CD-8737-AE47-E45F-0571D606FBFE}"/>
                      </a:ext>
                    </a:extLst>
                  </xdr:cNvPr>
                  <xdr:cNvSpPr/>
                </xdr:nvSpPr>
                <xdr:spPr>
                  <a:xfrm>
                    <a:off x="1023098" y="76919048"/>
                    <a:ext cx="4521078" cy="1199029"/>
                  </a:xfrm>
                  <a:prstGeom prst="roundRect">
                    <a:avLst/>
                  </a:prstGeom>
                  <a:grpFill/>
                  <a:ln w="38100">
                    <a:noFill/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fld id="{FDF4E2E0-A1A4-4D74-91FD-0653E302DAEF}" type="TxLink">
                      <a:rPr lang="en-US" sz="7200" b="0" i="0" u="none" strike="noStrike">
                        <a:solidFill>
                          <a:schemeClr val="accent4">
                            <a:lumMod val="75000"/>
                          </a:schemeClr>
                        </a:solidFill>
                        <a:latin typeface="Calibri"/>
                        <a:ea typeface="Calibri"/>
                        <a:cs typeface="Calibri"/>
                      </a:rPr>
                      <a:pPr algn="ctr"/>
                      <a:t>7118 kWh</a:t>
                    </a:fld>
                    <a:endParaRPr lang="es-PE" sz="7200">
                      <a:solidFill>
                        <a:schemeClr val="accent4">
                          <a:lumMod val="75000"/>
                        </a:schemeClr>
                      </a:solidFill>
                    </a:endParaRPr>
                  </a:p>
                </xdr:txBody>
              </xdr:sp>
              <xdr:sp macro="" textlink="">
                <xdr:nvSpPr>
                  <xdr:cNvPr id="4546" name="Rectángulo: esquinas redondeadas 4200">
                    <a:extLst>
                      <a:ext uri="{FF2B5EF4-FFF2-40B4-BE49-F238E27FC236}">
                        <a16:creationId xmlns:a16="http://schemas.microsoft.com/office/drawing/2014/main" id="{81A091BC-DCCD-B94F-5FD2-877326D05797}"/>
                      </a:ext>
                    </a:extLst>
                  </xdr:cNvPr>
                  <xdr:cNvSpPr/>
                </xdr:nvSpPr>
                <xdr:spPr>
                  <a:xfrm>
                    <a:off x="1669604" y="77880067"/>
                    <a:ext cx="860520" cy="711900"/>
                  </a:xfrm>
                  <a:prstGeom prst="roundRect">
                    <a:avLst/>
                  </a:prstGeom>
                  <a:grpFill/>
                  <a:ln w="38100">
                    <a:noFill/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r>
                      <a:rPr lang="es-PE" sz="3600" b="0" i="0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🎯 </a:t>
                    </a:r>
                    <a:endParaRPr lang="es-PE" sz="13800">
                      <a:solidFill>
                        <a:schemeClr val="accent1">
                          <a:lumMod val="75000"/>
                        </a:schemeClr>
                      </a:solidFill>
                    </a:endParaRPr>
                  </a:p>
                </xdr:txBody>
              </xdr:sp>
              <xdr:sp macro="" textlink="$Q$83">
                <xdr:nvSpPr>
                  <xdr:cNvPr id="4547" name="Rectángulo: esquinas redondeadas 4201">
                    <a:extLst>
                      <a:ext uri="{FF2B5EF4-FFF2-40B4-BE49-F238E27FC236}">
                        <a16:creationId xmlns:a16="http://schemas.microsoft.com/office/drawing/2014/main" id="{71E120AB-B372-B8A7-78FB-0AFDC400EFAB}"/>
                      </a:ext>
                    </a:extLst>
                  </xdr:cNvPr>
                  <xdr:cNvSpPr/>
                </xdr:nvSpPr>
                <xdr:spPr>
                  <a:xfrm>
                    <a:off x="1725090" y="77974273"/>
                    <a:ext cx="3099584" cy="711120"/>
                  </a:xfrm>
                  <a:prstGeom prst="roundRect">
                    <a:avLst/>
                  </a:prstGeom>
                  <a:grpFill/>
                  <a:ln w="38100">
                    <a:noFill/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ctr"/>
                  <a:lstStyle/>
                  <a:p>
                    <a:pPr algn="r"/>
                    <a:fld id="{255722A7-E9A6-4D54-AF3E-C61942787C08}" type="TxLink">
                      <a:rPr lang="en-US" sz="4400" b="1" i="0" u="none" strike="noStrike">
                        <a:solidFill>
                          <a:schemeClr val="accent2">
                            <a:lumMod val="75000"/>
                          </a:schemeClr>
                        </a:solidFill>
                        <a:latin typeface="Calibri"/>
                        <a:ea typeface="Calibri"/>
                        <a:cs typeface="Calibri"/>
                      </a:rPr>
                      <a:pPr algn="r"/>
                      <a:t>NORMAL</a:t>
                    </a:fld>
                    <a:endParaRPr lang="es-PE" sz="4400" b="1">
                      <a:solidFill>
                        <a:schemeClr val="accent2">
                          <a:lumMod val="75000"/>
                        </a:schemeClr>
                      </a:solidFill>
                    </a:endParaRPr>
                  </a:p>
                </xdr:txBody>
              </xdr:sp>
              <xdr:sp macro="" textlink="">
                <xdr:nvSpPr>
                  <xdr:cNvPr id="4548" name="Rectángulo: esquinas redondeadas 4202">
                    <a:extLst>
                      <a:ext uri="{FF2B5EF4-FFF2-40B4-BE49-F238E27FC236}">
                        <a16:creationId xmlns:a16="http://schemas.microsoft.com/office/drawing/2014/main" id="{43E87D70-8FBB-5CDF-AC04-BC14F5E73637}"/>
                      </a:ext>
                    </a:extLst>
                  </xdr:cNvPr>
                  <xdr:cNvSpPr/>
                </xdr:nvSpPr>
                <xdr:spPr>
                  <a:xfrm>
                    <a:off x="1698032" y="78627912"/>
                    <a:ext cx="3247103" cy="540964"/>
                  </a:xfrm>
                  <a:prstGeom prst="roundRect">
                    <a:avLst/>
                  </a:prstGeom>
                  <a:noFill/>
                  <a:ln w="38100">
                    <a:noFill/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lang="es-PE" sz="2800">
                        <a:solidFill>
                          <a:schemeClr val="accent4">
                            <a:lumMod val="50000"/>
                          </a:schemeClr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Máximo: 8000 kWh</a:t>
                    </a:r>
                    <a:endParaRPr lang="en-US" sz="4800" b="1" i="0" u="none" strike="noStrike">
                      <a:solidFill>
                        <a:schemeClr val="accent4">
                          <a:lumMod val="50000"/>
                        </a:schemeClr>
                      </a:solidFill>
                      <a:latin typeface="Calibri"/>
                      <a:ea typeface="Calibri"/>
                      <a:cs typeface="Calibri"/>
                    </a:endParaRPr>
                  </a:p>
                </xdr:txBody>
              </xdr:sp>
            </xdr:grpSp>
            <xdr:grpSp>
              <xdr:nvGrpSpPr>
                <xdr:cNvPr id="4536" name="Grupo 4205">
                  <a:extLst>
                    <a:ext uri="{FF2B5EF4-FFF2-40B4-BE49-F238E27FC236}">
                      <a16:creationId xmlns:a16="http://schemas.microsoft.com/office/drawing/2014/main" id="{5D83E44D-8FE0-E591-E817-FDF6A67A08B8}"/>
                    </a:ext>
                  </a:extLst>
                </xdr:cNvPr>
                <xdr:cNvGrpSpPr>
                  <a:grpSpLocks noChangeAspect="1"/>
                </xdr:cNvGrpSpPr>
              </xdr:nvGrpSpPr>
              <xdr:grpSpPr>
                <a:xfrm>
                  <a:off x="20663423" y="79236884"/>
                  <a:ext cx="4561349" cy="3580819"/>
                  <a:chOff x="970709" y="75711554"/>
                  <a:chExt cx="4573467" cy="3609283"/>
                </a:xfrm>
                <a:noFill/>
              </xdr:grpSpPr>
              <xdr:sp macro="" textlink="">
                <xdr:nvSpPr>
                  <xdr:cNvPr id="4537" name="Rectángulo: esquinas redondeadas 4206">
                    <a:extLst>
                      <a:ext uri="{FF2B5EF4-FFF2-40B4-BE49-F238E27FC236}">
                        <a16:creationId xmlns:a16="http://schemas.microsoft.com/office/drawing/2014/main" id="{38C8F578-B6D7-E18F-A08A-9D247EF4644D}"/>
                      </a:ext>
                    </a:extLst>
                  </xdr:cNvPr>
                  <xdr:cNvSpPr/>
                </xdr:nvSpPr>
                <xdr:spPr>
                  <a:xfrm>
                    <a:off x="970709" y="75711554"/>
                    <a:ext cx="4488121" cy="3609283"/>
                  </a:xfrm>
                  <a:prstGeom prst="roundRect">
                    <a:avLst/>
                  </a:prstGeom>
                  <a:solidFill>
                    <a:schemeClr val="accent4">
                      <a:lumMod val="60000"/>
                      <a:lumOff val="40000"/>
                    </a:schemeClr>
                  </a:solidFill>
                  <a:ln w="38100">
                    <a:solidFill>
                      <a:schemeClr val="accent4">
                        <a:lumMod val="50000"/>
                      </a:schemeClr>
                    </a:solidFill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s-PE" sz="1100"/>
                  </a:p>
                </xdr:txBody>
              </xdr:sp>
              <xdr:sp macro="" textlink="">
                <xdr:nvSpPr>
                  <xdr:cNvPr id="4538" name="Rectángulo: esquinas redondeadas 4207">
                    <a:extLst>
                      <a:ext uri="{FF2B5EF4-FFF2-40B4-BE49-F238E27FC236}">
                        <a16:creationId xmlns:a16="http://schemas.microsoft.com/office/drawing/2014/main" id="{6E820CBB-FA18-9418-0072-13FD3F67D430}"/>
                      </a:ext>
                    </a:extLst>
                  </xdr:cNvPr>
                  <xdr:cNvSpPr/>
                </xdr:nvSpPr>
                <xdr:spPr>
                  <a:xfrm>
                    <a:off x="1271588" y="75864943"/>
                    <a:ext cx="3997147" cy="1022818"/>
                  </a:xfrm>
                  <a:prstGeom prst="roundRect">
                    <a:avLst/>
                  </a:prstGeom>
                  <a:grpFill/>
                  <a:ln w="38100">
                    <a:noFill/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lang="es-PE" sz="3600" b="1">
                        <a:effectLst/>
                      </a:rPr>
                      <a:t>🔌</a:t>
                    </a:r>
                    <a:r>
                      <a:rPr lang="es-PE" sz="2800" b="1" i="0">
                        <a:solidFill>
                          <a:schemeClr val="accent1">
                            <a:lumMod val="75000"/>
                          </a:schemeClr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POTENCIA ACTIVA</a:t>
                    </a:r>
                    <a:endParaRPr lang="es-PE" sz="4800" b="1">
                      <a:solidFill>
                        <a:schemeClr val="accent1">
                          <a:lumMod val="75000"/>
                        </a:schemeClr>
                      </a:solidFill>
                    </a:endParaRPr>
                  </a:p>
                </xdr:txBody>
              </xdr:sp>
              <xdr:sp macro="" textlink="$T$84">
                <xdr:nvSpPr>
                  <xdr:cNvPr id="4539" name="Rectángulo: esquinas redondeadas 4208">
                    <a:extLst>
                      <a:ext uri="{FF2B5EF4-FFF2-40B4-BE49-F238E27FC236}">
                        <a16:creationId xmlns:a16="http://schemas.microsoft.com/office/drawing/2014/main" id="{875357E4-5C20-5B73-3D99-EDFC98924A5F}"/>
                      </a:ext>
                    </a:extLst>
                  </xdr:cNvPr>
                  <xdr:cNvSpPr/>
                </xdr:nvSpPr>
                <xdr:spPr>
                  <a:xfrm>
                    <a:off x="1023098" y="76919048"/>
                    <a:ext cx="4521078" cy="1199029"/>
                  </a:xfrm>
                  <a:prstGeom prst="roundRect">
                    <a:avLst/>
                  </a:prstGeom>
                  <a:grpFill/>
                  <a:ln w="38100">
                    <a:noFill/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fld id="{BFCFC777-9486-4778-8222-6074AF44F8E0}" type="TxLink">
                      <a:rPr lang="en-US" sz="7200" b="0" i="0" u="none" strike="noStrike">
                        <a:solidFill>
                          <a:schemeClr val="accent4">
                            <a:lumMod val="75000"/>
                          </a:schemeClr>
                        </a:solidFill>
                        <a:latin typeface="Calibri"/>
                        <a:ea typeface="Calibri"/>
                        <a:cs typeface="Calibri"/>
                      </a:rPr>
                      <a:pPr algn="ctr"/>
                      <a:t>297 kW</a:t>
                    </a:fld>
                    <a:endParaRPr lang="es-PE" sz="7200">
                      <a:solidFill>
                        <a:schemeClr val="accent4">
                          <a:lumMod val="75000"/>
                        </a:schemeClr>
                      </a:solidFill>
                    </a:endParaRPr>
                  </a:p>
                </xdr:txBody>
              </xdr:sp>
              <xdr:sp macro="" textlink="">
                <xdr:nvSpPr>
                  <xdr:cNvPr id="4540" name="Rectángulo: esquinas redondeadas 4209">
                    <a:extLst>
                      <a:ext uri="{FF2B5EF4-FFF2-40B4-BE49-F238E27FC236}">
                        <a16:creationId xmlns:a16="http://schemas.microsoft.com/office/drawing/2014/main" id="{ACCD0F36-0AB2-FD85-B2AC-F026C73219BC}"/>
                      </a:ext>
                    </a:extLst>
                  </xdr:cNvPr>
                  <xdr:cNvSpPr/>
                </xdr:nvSpPr>
                <xdr:spPr>
                  <a:xfrm>
                    <a:off x="1789209" y="77880067"/>
                    <a:ext cx="860520" cy="711900"/>
                  </a:xfrm>
                  <a:prstGeom prst="roundRect">
                    <a:avLst/>
                  </a:prstGeom>
                  <a:grpFill/>
                  <a:ln w="38100">
                    <a:noFill/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r>
                      <a:rPr lang="es-PE" sz="3600" b="0" i="0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🎯 </a:t>
                    </a:r>
                    <a:endParaRPr lang="es-PE" sz="13800">
                      <a:solidFill>
                        <a:schemeClr val="accent1">
                          <a:lumMod val="75000"/>
                        </a:schemeClr>
                      </a:solidFill>
                    </a:endParaRPr>
                  </a:p>
                </xdr:txBody>
              </xdr:sp>
              <xdr:sp macro="" textlink="$Q$84">
                <xdr:nvSpPr>
                  <xdr:cNvPr id="4541" name="Rectángulo: esquinas redondeadas 4210">
                    <a:extLst>
                      <a:ext uri="{FF2B5EF4-FFF2-40B4-BE49-F238E27FC236}">
                        <a16:creationId xmlns:a16="http://schemas.microsoft.com/office/drawing/2014/main" id="{4C059FF8-F30F-E572-23A5-D14363676F45}"/>
                      </a:ext>
                    </a:extLst>
                  </xdr:cNvPr>
                  <xdr:cNvSpPr/>
                </xdr:nvSpPr>
                <xdr:spPr>
                  <a:xfrm>
                    <a:off x="1725090" y="77974273"/>
                    <a:ext cx="3099584" cy="711120"/>
                  </a:xfrm>
                  <a:prstGeom prst="roundRect">
                    <a:avLst/>
                  </a:prstGeom>
                  <a:grpFill/>
                  <a:ln w="38100">
                    <a:noFill/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ctr"/>
                  <a:lstStyle/>
                  <a:p>
                    <a:pPr algn="r"/>
                    <a:fld id="{04E587A9-BD8B-4726-83AD-1EB6A4698A12}" type="TxLink">
                      <a:rPr lang="en-US" sz="4400" b="1" i="0" u="none" strike="noStrike">
                        <a:solidFill>
                          <a:schemeClr val="accent2">
                            <a:lumMod val="75000"/>
                          </a:schemeClr>
                        </a:solidFill>
                        <a:latin typeface="Calibri"/>
                        <a:ea typeface="Calibri"/>
                        <a:cs typeface="Calibri"/>
                      </a:rPr>
                      <a:pPr algn="r"/>
                      <a:t>NORMAL</a:t>
                    </a:fld>
                    <a:endParaRPr lang="es-PE" sz="4400" b="1">
                      <a:solidFill>
                        <a:schemeClr val="accent2">
                          <a:lumMod val="75000"/>
                        </a:schemeClr>
                      </a:solidFill>
                    </a:endParaRPr>
                  </a:p>
                </xdr:txBody>
              </xdr:sp>
              <xdr:sp macro="" textlink="">
                <xdr:nvSpPr>
                  <xdr:cNvPr id="4542" name="Rectángulo: esquinas redondeadas 4211">
                    <a:extLst>
                      <a:ext uri="{FF2B5EF4-FFF2-40B4-BE49-F238E27FC236}">
                        <a16:creationId xmlns:a16="http://schemas.microsoft.com/office/drawing/2014/main" id="{A5D8462C-B418-F0B3-BC03-B3AAB3127A5B}"/>
                      </a:ext>
                    </a:extLst>
                  </xdr:cNvPr>
                  <xdr:cNvSpPr/>
                </xdr:nvSpPr>
                <xdr:spPr>
                  <a:xfrm>
                    <a:off x="1770963" y="78627912"/>
                    <a:ext cx="3056097" cy="540964"/>
                  </a:xfrm>
                  <a:prstGeom prst="roundRect">
                    <a:avLst/>
                  </a:prstGeom>
                  <a:noFill/>
                  <a:ln w="38100">
                    <a:noFill/>
                  </a:ln>
                </xdr:spPr>
                <xdr:style>
                  <a:lnRef idx="2">
                    <a:schemeClr val="accent1"/>
                  </a:lnRef>
                  <a:fillRef idx="1">
                    <a:schemeClr val="lt1"/>
                  </a:fillRef>
                  <a:effectRef idx="0">
                    <a:schemeClr val="accent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lang="es-PE" sz="2800">
                        <a:solidFill>
                          <a:schemeClr val="accent4">
                            <a:lumMod val="50000"/>
                          </a:schemeClr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Máximo: 350</a:t>
                    </a:r>
                    <a:r>
                      <a:rPr lang="es-PE" sz="2800" baseline="0">
                        <a:solidFill>
                          <a:schemeClr val="accent4">
                            <a:lumMod val="50000"/>
                          </a:schemeClr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 kW</a:t>
                    </a:r>
                    <a:endParaRPr lang="en-US" sz="4800" b="1" i="0" u="none" strike="noStrike">
                      <a:solidFill>
                        <a:schemeClr val="accent4">
                          <a:lumMod val="50000"/>
                        </a:schemeClr>
                      </a:solidFill>
                      <a:latin typeface="Calibri"/>
                      <a:ea typeface="Calibri"/>
                      <a:cs typeface="Calibri"/>
                    </a:endParaRPr>
                  </a:p>
                </xdr:txBody>
              </xdr:sp>
            </xdr:grpSp>
          </xdr:grpSp>
          <xdr:grpSp>
            <xdr:nvGrpSpPr>
              <xdr:cNvPr id="4517" name="Grupo 4223">
                <a:extLst>
                  <a:ext uri="{FF2B5EF4-FFF2-40B4-BE49-F238E27FC236}">
                    <a16:creationId xmlns:a16="http://schemas.microsoft.com/office/drawing/2014/main" id="{8069256B-FEEE-F903-074B-48F68AFE6B92}"/>
                  </a:ext>
                </a:extLst>
              </xdr:cNvPr>
              <xdr:cNvGrpSpPr/>
            </xdr:nvGrpSpPr>
            <xdr:grpSpPr>
              <a:xfrm>
                <a:off x="822553" y="92691363"/>
                <a:ext cx="24408071" cy="2402658"/>
                <a:chOff x="822553" y="83029982"/>
                <a:chExt cx="24431686" cy="2402658"/>
              </a:xfrm>
            </xdr:grpSpPr>
            <xdr:grpSp>
              <xdr:nvGrpSpPr>
                <xdr:cNvPr id="4522" name="Grupo 4222">
                  <a:extLst>
                    <a:ext uri="{FF2B5EF4-FFF2-40B4-BE49-F238E27FC236}">
                      <a16:creationId xmlns:a16="http://schemas.microsoft.com/office/drawing/2014/main" id="{F8CCAC81-7584-1889-4922-91AABA02B18B}"/>
                    </a:ext>
                  </a:extLst>
                </xdr:cNvPr>
                <xdr:cNvGrpSpPr/>
              </xdr:nvGrpSpPr>
              <xdr:grpSpPr>
                <a:xfrm>
                  <a:off x="822553" y="83335960"/>
                  <a:ext cx="24431686" cy="2096680"/>
                  <a:chOff x="822553" y="83557385"/>
                  <a:chExt cx="24425500" cy="2096680"/>
                </a:xfrm>
              </xdr:grpSpPr>
              <xdr:graphicFrame macro="">
                <xdr:nvGraphicFramePr>
                  <xdr:cNvPr id="4524" name="Gráfico 4214">
                    <a:extLst>
                      <a:ext uri="{FF2B5EF4-FFF2-40B4-BE49-F238E27FC236}">
                        <a16:creationId xmlns:a16="http://schemas.microsoft.com/office/drawing/2014/main" id="{49710F2F-C453-1FA4-29DA-DB4EE5C5B703}"/>
                      </a:ext>
                    </a:extLst>
                  </xdr:cNvPr>
                  <xdr:cNvGraphicFramePr/>
                </xdr:nvGraphicFramePr>
                <xdr:xfrm>
                  <a:off x="1738312" y="83559548"/>
                  <a:ext cx="23509741" cy="206559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9"/>
                  </a:graphicData>
                </a:graphic>
              </xdr:graphicFrame>
              <xdr:sp macro="" textlink="">
                <xdr:nvSpPr>
                  <xdr:cNvPr id="4525" name="Rectángulo 4221">
                    <a:extLst>
                      <a:ext uri="{FF2B5EF4-FFF2-40B4-BE49-F238E27FC236}">
                        <a16:creationId xmlns:a16="http://schemas.microsoft.com/office/drawing/2014/main" id="{B4D0C28D-E321-093A-C75E-5C93B5FAD6AB}"/>
                      </a:ext>
                    </a:extLst>
                  </xdr:cNvPr>
                  <xdr:cNvSpPr/>
                </xdr:nvSpPr>
                <xdr:spPr>
                  <a:xfrm rot="16200000">
                    <a:off x="232603" y="84147335"/>
                    <a:ext cx="2096680" cy="916780"/>
                  </a:xfrm>
                  <a:prstGeom prst="rect">
                    <a:avLst/>
                  </a:prstGeom>
                  <a:solidFill>
                    <a:schemeClr val="tx2">
                      <a:lumMod val="20000"/>
                      <a:lumOff val="80000"/>
                    </a:schemeClr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lang="es-PE" sz="4800">
                        <a:solidFill>
                          <a:schemeClr val="accent1">
                            <a:lumMod val="50000"/>
                          </a:schemeClr>
                        </a:solidFill>
                      </a:rPr>
                      <a:t>AGUA</a:t>
                    </a:r>
                  </a:p>
                </xdr:txBody>
              </xdr:sp>
            </xdr:grpSp>
            <xdr:sp macro="" textlink="">
              <xdr:nvSpPr>
                <xdr:cNvPr id="4523" name="Rectángulo: esquinas redondeadas 4215">
                  <a:extLst>
                    <a:ext uri="{FF2B5EF4-FFF2-40B4-BE49-F238E27FC236}">
                      <a16:creationId xmlns:a16="http://schemas.microsoft.com/office/drawing/2014/main" id="{92039F65-F531-7C01-4372-7A8CCA18AD7E}"/>
                    </a:ext>
                  </a:extLst>
                </xdr:cNvPr>
                <xdr:cNvSpPr/>
              </xdr:nvSpPr>
              <xdr:spPr>
                <a:xfrm>
                  <a:off x="6357763" y="83029982"/>
                  <a:ext cx="1775114" cy="848591"/>
                </a:xfrm>
                <a:prstGeom prst="roundRect">
                  <a:avLst/>
                </a:prstGeom>
                <a:noFill/>
                <a:ln w="38100">
                  <a:noFill/>
                </a:ln>
              </xdr:spPr>
              <xdr:style>
                <a:lnRef idx="2">
                  <a:schemeClr val="accent1"/>
                </a:lnRef>
                <a:fillRef idx="1">
                  <a:schemeClr val="lt1"/>
                </a:fillRef>
                <a:effectRef idx="0">
                  <a:schemeClr val="accent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US" sz="2400" b="1" i="0" u="none" strike="noStrike">
                      <a:solidFill>
                        <a:srgbClr val="C00000"/>
                      </a:solidFill>
                      <a:latin typeface="Calibri"/>
                      <a:ea typeface="Calibri"/>
                      <a:cs typeface="Calibri"/>
                    </a:rPr>
                    <a:t>75 m3</a:t>
                  </a:r>
                </a:p>
              </xdr:txBody>
            </xdr:sp>
          </xdr:grpSp>
          <xdr:grpSp>
            <xdr:nvGrpSpPr>
              <xdr:cNvPr id="4518" name="Grupo 4224">
                <a:extLst>
                  <a:ext uri="{FF2B5EF4-FFF2-40B4-BE49-F238E27FC236}">
                    <a16:creationId xmlns:a16="http://schemas.microsoft.com/office/drawing/2014/main" id="{FA5DA54B-C274-03E4-D2A5-578679A35E46}"/>
                  </a:ext>
                </a:extLst>
              </xdr:cNvPr>
              <xdr:cNvGrpSpPr/>
            </xdr:nvGrpSpPr>
            <xdr:grpSpPr>
              <a:xfrm>
                <a:off x="817147" y="94874694"/>
                <a:ext cx="24410524" cy="2588170"/>
                <a:chOff x="817148" y="85213313"/>
                <a:chExt cx="24434216" cy="2588170"/>
              </a:xfrm>
            </xdr:grpSpPr>
            <xdr:graphicFrame macro="">
              <xdr:nvGraphicFramePr>
                <xdr:cNvPr id="4519" name="Gráfico 4217">
                  <a:extLst>
                    <a:ext uri="{FF2B5EF4-FFF2-40B4-BE49-F238E27FC236}">
                      <a16:creationId xmlns:a16="http://schemas.microsoft.com/office/drawing/2014/main" id="{F255BC9D-3890-EADF-64DC-7B83B6F9AB64}"/>
                    </a:ext>
                  </a:extLst>
                </xdr:cNvPr>
                <xdr:cNvGraphicFramePr/>
              </xdr:nvGraphicFramePr>
              <xdr:xfrm>
                <a:off x="1735439" y="85434252"/>
                <a:ext cx="23515925" cy="2340929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10"/>
                </a:graphicData>
              </a:graphic>
            </xdr:graphicFrame>
            <xdr:sp macro="" textlink="">
              <xdr:nvSpPr>
                <xdr:cNvPr id="4520" name="Rectángulo: esquinas redondeadas 4218">
                  <a:extLst>
                    <a:ext uri="{FF2B5EF4-FFF2-40B4-BE49-F238E27FC236}">
                      <a16:creationId xmlns:a16="http://schemas.microsoft.com/office/drawing/2014/main" id="{A62C2445-40C1-8263-210B-E24A0ABD6B37}"/>
                    </a:ext>
                  </a:extLst>
                </xdr:cNvPr>
                <xdr:cNvSpPr/>
              </xdr:nvSpPr>
              <xdr:spPr>
                <a:xfrm>
                  <a:off x="5794178" y="85213313"/>
                  <a:ext cx="2764416" cy="848591"/>
                </a:xfrm>
                <a:prstGeom prst="roundRect">
                  <a:avLst/>
                </a:prstGeom>
                <a:noFill/>
                <a:ln w="38100">
                  <a:noFill/>
                </a:ln>
              </xdr:spPr>
              <xdr:style>
                <a:lnRef idx="2">
                  <a:schemeClr val="accent1"/>
                </a:lnRef>
                <a:fillRef idx="1">
                  <a:schemeClr val="lt1"/>
                </a:fillRef>
                <a:effectRef idx="0">
                  <a:schemeClr val="accent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US" sz="2400" b="1" i="0" u="none" strike="noStrike">
                      <a:solidFill>
                        <a:srgbClr val="C00000"/>
                      </a:solidFill>
                      <a:latin typeface="Calibri"/>
                      <a:ea typeface="Calibri"/>
                      <a:cs typeface="Calibri"/>
                    </a:rPr>
                    <a:t>8000</a:t>
                  </a:r>
                  <a:r>
                    <a:rPr lang="en-US" sz="2400" b="1" i="0" u="none" strike="noStrike" baseline="0">
                      <a:solidFill>
                        <a:srgbClr val="C00000"/>
                      </a:solidFill>
                      <a:latin typeface="Calibri"/>
                      <a:ea typeface="Calibri"/>
                      <a:cs typeface="Calibri"/>
                    </a:rPr>
                    <a:t> kWh</a:t>
                  </a:r>
                  <a:endParaRPr lang="en-US" sz="2400" b="1" i="0" u="none" strike="noStrike">
                    <a:solidFill>
                      <a:srgbClr val="C00000"/>
                    </a:solidFill>
                    <a:latin typeface="Calibri"/>
                    <a:ea typeface="Calibri"/>
                    <a:cs typeface="Calibri"/>
                  </a:endParaRPr>
                </a:p>
              </xdr:txBody>
            </xdr:sp>
            <xdr:sp macro="" textlink="">
              <xdr:nvSpPr>
                <xdr:cNvPr id="4521" name="Rectángulo 4220">
                  <a:extLst>
                    <a:ext uri="{FF2B5EF4-FFF2-40B4-BE49-F238E27FC236}">
                      <a16:creationId xmlns:a16="http://schemas.microsoft.com/office/drawing/2014/main" id="{3899F60B-A09B-418E-FD9E-A48D7121A682}"/>
                    </a:ext>
                  </a:extLst>
                </xdr:cNvPr>
                <xdr:cNvSpPr/>
              </xdr:nvSpPr>
              <xdr:spPr>
                <a:xfrm rot="16200000">
                  <a:off x="92833" y="86163072"/>
                  <a:ext cx="2362726" cy="914095"/>
                </a:xfrm>
                <a:prstGeom prst="rect">
                  <a:avLst/>
                </a:prstGeom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s-PE" sz="4400">
                      <a:solidFill>
                        <a:schemeClr val="accent4">
                          <a:lumMod val="50000"/>
                        </a:schemeClr>
                      </a:solidFill>
                    </a:rPr>
                    <a:t>ENERGIA</a:t>
                  </a:r>
                </a:p>
              </xdr:txBody>
            </xdr:sp>
          </xdr:grpSp>
        </xdr:grpSp>
        <xdr:sp macro="" textlink="$S$80">
          <xdr:nvSpPr>
            <xdr:cNvPr id="4514" name="Rectángulo: esquinas redondeadas 4513">
              <a:extLst>
                <a:ext uri="{FF2B5EF4-FFF2-40B4-BE49-F238E27FC236}">
                  <a16:creationId xmlns:a16="http://schemas.microsoft.com/office/drawing/2014/main" id="{D82EAAAD-7C04-167E-5A30-94169E0DA129}"/>
                </a:ext>
              </a:extLst>
            </xdr:cNvPr>
            <xdr:cNvSpPr/>
          </xdr:nvSpPr>
          <xdr:spPr>
            <a:xfrm>
              <a:off x="3248386" y="86892059"/>
              <a:ext cx="1295162" cy="536698"/>
            </a:xfrm>
            <a:prstGeom prst="roundRect">
              <a:avLst/>
            </a:prstGeom>
            <a:noFill/>
            <a:ln w="38100">
              <a:noFill/>
            </a:ln>
          </xdr:spPr>
          <xdr:style>
            <a:lnRef idx="2">
              <a:schemeClr val="accent1"/>
            </a:lnRef>
            <a:fillRef idx="1">
              <a:schemeClr val="l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fld id="{BA5DF689-24CF-498D-B08F-74D5D60E2338}" type="TxLink">
                <a:rPr lang="en-US" sz="2800" b="1" i="0" u="none" strike="noStrike">
                  <a:solidFill>
                    <a:schemeClr val="accent6">
                      <a:lumMod val="75000"/>
                    </a:schemeClr>
                  </a:solidFill>
                  <a:latin typeface="Calibri"/>
                  <a:ea typeface="Calibri"/>
                  <a:cs typeface="Calibri"/>
                </a:rPr>
                <a:pPr algn="l"/>
                <a:t>5488</a:t>
              </a:fld>
              <a:endParaRPr lang="en-US" sz="2800" b="1" i="0" u="none" strike="noStrike">
                <a:solidFill>
                  <a:schemeClr val="accent6">
                    <a:lumMod val="75000"/>
                  </a:schemeClr>
                </a:solidFill>
                <a:latin typeface="Calibri"/>
                <a:ea typeface="Calibri"/>
                <a:cs typeface="Calibri"/>
              </a:endParaRPr>
            </a:p>
          </xdr:txBody>
        </xdr:sp>
      </xdr:grpSp>
      <xdr:sp macro="" textlink="$O$71">
        <xdr:nvSpPr>
          <xdr:cNvPr id="4512" name="Rectángulo 4511">
            <a:extLst>
              <a:ext uri="{FF2B5EF4-FFF2-40B4-BE49-F238E27FC236}">
                <a16:creationId xmlns:a16="http://schemas.microsoft.com/office/drawing/2014/main" id="{D691ADC3-4B45-CF9F-EC1B-D8459F6627B2}"/>
              </a:ext>
            </a:extLst>
          </xdr:cNvPr>
          <xdr:cNvSpPr/>
        </xdr:nvSpPr>
        <xdr:spPr>
          <a:xfrm>
            <a:off x="12158315" y="79424310"/>
            <a:ext cx="6453187" cy="716543"/>
          </a:xfrm>
          <a:prstGeom prst="rect">
            <a:avLst/>
          </a:prstGeom>
          <a:solidFill>
            <a:schemeClr val="accent1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1C722AB-FB1D-493A-A12D-7A876C9119E5}" type="TxLink">
              <a:rPr lang="en-US" sz="3200" b="0" i="0" u="none" strike="noStrike">
                <a:solidFill>
                  <a:srgbClr val="FF0000"/>
                </a:solidFill>
                <a:latin typeface="Calibri"/>
                <a:ea typeface="Calibri"/>
                <a:cs typeface="Calibri"/>
              </a:rPr>
              <a:pPr algn="ctr"/>
              <a:t>🚨 Hay consumos fuera de rango</a:t>
            </a:fld>
            <a:endParaRPr lang="es-PE" sz="3200">
              <a:solidFill>
                <a:srgbClr val="FF0000"/>
              </a:solidFill>
            </a:endParaRPr>
          </a:p>
        </xdr:txBody>
      </xdr:sp>
    </xdr:grp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0.0595</cdr:x>
      <cdr:y>0.53416</cdr:y>
    </cdr:from>
    <cdr:to>
      <cdr:x>0.27828</cdr:x>
      <cdr:y>0.55163</cdr:y>
    </cdr:to>
    <cdr:sp macro="" textlink="">
      <cdr:nvSpPr>
        <cdr:cNvPr id="2" name="CuadroTexto 152">
          <a:extLst xmlns:a="http://schemas.openxmlformats.org/drawingml/2006/main">
            <a:ext uri="{FF2B5EF4-FFF2-40B4-BE49-F238E27FC236}">
              <a16:creationId xmlns:a16="http://schemas.microsoft.com/office/drawing/2014/main" id="{9A65E38A-A07B-42B6-827D-1B8EE685EDD6}"/>
            </a:ext>
          </a:extLst>
        </cdr:cNvPr>
        <cdr:cNvSpPr txBox="1"/>
      </cdr:nvSpPr>
      <cdr:spPr>
        <a:xfrm xmlns:a="http://schemas.openxmlformats.org/drawingml/2006/main">
          <a:off x="353605" y="1890213"/>
          <a:ext cx="1300288" cy="61811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>
            <a:lumMod val="95000"/>
          </a:schemeClr>
        </a:solidFill>
        <a:ln xmlns:a="http://schemas.openxmlformats.org/drawingml/2006/main" w="9525" cmpd="sng">
          <a:solidFill>
            <a:schemeClr val="bg1">
              <a:lumMod val="95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s-PE" sz="3200" b="1">
            <a:solidFill>
              <a:srgbClr val="002060"/>
            </a:solidFill>
            <a:latin typeface="+mn-lt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0.09581</cdr:x>
      <cdr:y>0.5181</cdr:y>
    </cdr:from>
    <cdr:to>
      <cdr:x>0.25451</cdr:x>
      <cdr:y>0.57872</cdr:y>
    </cdr:to>
    <cdr:grpSp>
      <cdr:nvGrpSpPr>
        <cdr:cNvPr id="6" name="Grupo 5">
          <a:extLst xmlns:a="http://schemas.openxmlformats.org/drawingml/2006/main">
            <a:ext uri="{FF2B5EF4-FFF2-40B4-BE49-F238E27FC236}">
              <a16:creationId xmlns:a16="http://schemas.microsoft.com/office/drawing/2014/main" id="{FA783DE8-213B-F7E7-12F5-1505251EADEC}"/>
            </a:ext>
          </a:extLst>
        </cdr:cNvPr>
        <cdr:cNvGrpSpPr/>
      </cdr:nvGrpSpPr>
      <cdr:grpSpPr>
        <a:xfrm xmlns:a="http://schemas.openxmlformats.org/drawingml/2006/main">
          <a:off x="569944" y="1866092"/>
          <a:ext cx="944058" cy="218341"/>
          <a:chOff x="1040580" y="1692262"/>
          <a:chExt cx="1280831" cy="136977"/>
        </a:xfrm>
      </cdr:grpSpPr>
      <cdr:sp macro="" textlink="'PRESENTACION F.'!$Z$29">
        <cdr:nvSpPr>
          <cdr:cNvPr id="3" name="CuadroTexto 152">
            <a:extLst xmlns:a="http://schemas.openxmlformats.org/drawingml/2006/main">
              <a:ext uri="{FF2B5EF4-FFF2-40B4-BE49-F238E27FC236}">
                <a16:creationId xmlns:a16="http://schemas.microsoft.com/office/drawing/2014/main" id="{40CF57EE-1641-4FDD-F1DF-4705D3A66343}"/>
              </a:ext>
            </a:extLst>
          </cdr:cNvPr>
          <cdr:cNvSpPr txBox="1"/>
        </cdr:nvSpPr>
        <cdr:spPr>
          <a:xfrm xmlns:a="http://schemas.openxmlformats.org/drawingml/2006/main">
            <a:off x="1040580" y="1692262"/>
            <a:ext cx="1280831" cy="136977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bg1">
              <a:lumMod val="95000"/>
            </a:schemeClr>
          </a:solidFill>
          <a:ln xmlns:a="http://schemas.openxmlformats.org/drawingml/2006/main" w="9525" cmpd="sng">
            <a:solidFill>
              <a:schemeClr val="bg1">
                <a:lumMod val="95000"/>
              </a:schemeClr>
            </a:solidFill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ctr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fld id="{1099D06B-5EF2-4918-8BC3-441E2D2CF913}" type="TxLink">
              <a:rPr lang="en-US" sz="2000" b="1" i="0" u="none" strike="noStrike">
                <a:solidFill>
                  <a:schemeClr val="accent1">
                    <a:lumMod val="50000"/>
                  </a:schemeClr>
                </a:solidFill>
                <a:latin typeface="Calibri"/>
                <a:ea typeface="Calibri"/>
                <a:cs typeface="Calibri"/>
              </a:rPr>
              <a:pPr algn="ctr"/>
              <a:t>2.47 h.</a:t>
            </a:fld>
            <a:endParaRPr lang="es-PE" sz="13800" b="1">
              <a:solidFill>
                <a:schemeClr val="accent1">
                  <a:lumMod val="50000"/>
                </a:schemeClr>
              </a:solidFill>
              <a:latin typeface="+mn-lt"/>
              <a:cs typeface="Segoe UI" panose="020B0502040204020203" pitchFamily="34" charset="0"/>
            </a:endParaRPr>
          </a:p>
        </cdr:txBody>
      </cdr:sp>
    </cdr:grpSp>
  </cdr:relSizeAnchor>
  <cdr:relSizeAnchor xmlns:cdr="http://schemas.openxmlformats.org/drawingml/2006/chartDrawing">
    <cdr:from>
      <cdr:x>0.06391</cdr:x>
      <cdr:y>0.36401</cdr:y>
    </cdr:from>
    <cdr:to>
      <cdr:x>0.2831</cdr:x>
      <cdr:y>0.48861</cdr:y>
    </cdr:to>
    <cdr:sp macro="" textlink="'PRESENTACION F.'!$Y$29">
      <cdr:nvSpPr>
        <cdr:cNvPr id="5" name="CuadroTexto 152">
          <a:extLst xmlns:a="http://schemas.openxmlformats.org/drawingml/2006/main">
            <a:ext uri="{FF2B5EF4-FFF2-40B4-BE49-F238E27FC236}">
              <a16:creationId xmlns:a16="http://schemas.microsoft.com/office/drawing/2014/main" id="{D7444738-AC15-BFA9-7813-E765FFAFE58B}"/>
            </a:ext>
          </a:extLst>
        </cdr:cNvPr>
        <cdr:cNvSpPr txBox="1"/>
      </cdr:nvSpPr>
      <cdr:spPr>
        <a:xfrm xmlns:a="http://schemas.openxmlformats.org/drawingml/2006/main">
          <a:off x="379814" y="1288113"/>
          <a:ext cx="1302726" cy="4409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solidFill>
            <a:schemeClr val="bg1">
              <a:lumMod val="95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9B78AC24-08D4-405A-99A4-0396759404B4}" type="TxLink">
            <a:rPr lang="en-US" sz="3200" b="1" i="0" u="none" strike="noStrike">
              <a:solidFill>
                <a:srgbClr val="002060"/>
              </a:solidFill>
              <a:latin typeface="Calibri"/>
              <a:ea typeface="Calibri"/>
              <a:cs typeface="Calibri"/>
            </a:rPr>
            <a:pPr algn="ctr"/>
            <a:t>(67% )</a:t>
          </a:fld>
          <a:endParaRPr lang="es-PE" sz="28700" b="1">
            <a:solidFill>
              <a:srgbClr val="002060"/>
            </a:solidFill>
            <a:latin typeface="+mn-lt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</cdr:x>
      <cdr:y>0</cdr:y>
    </cdr:from>
    <cdr:to>
      <cdr:x>0</cdr:x>
      <cdr:y>0</cdr:y>
    </cdr:to>
    <cdr:grpSp>
      <cdr:nvGrpSpPr>
        <cdr:cNvPr id="53" name="Grupo 7">
          <a:extLst xmlns:a="http://schemas.openxmlformats.org/drawingml/2006/main">
            <a:ext uri="{FF2B5EF4-FFF2-40B4-BE49-F238E27FC236}">
              <a16:creationId xmlns:a16="http://schemas.microsoft.com/office/drawing/2014/main" id="{21BF8528-C9B4-1388-279B-86866415148F}"/>
            </a:ext>
          </a:extLst>
        </cdr:cNvPr>
        <cdr:cNvGrpSpPr/>
      </cdr:nvGrpSpPr>
      <cdr:grpSpPr>
        <a:xfrm xmlns:a="http://schemas.openxmlformats.org/drawingml/2006/main">
          <a:off x="0" y="0"/>
          <a:ext cx="0" cy="0"/>
          <a:chOff x="0" y="0"/>
          <a:chExt cx="0" cy="0"/>
        </a:xfrm>
      </cdr:grpSpPr>
      <cdr:grpSp>
        <cdr:nvGrpSpPr>
          <cdr:cNvPr id="54" name="Grupo 6">
            <a:extLst xmlns:a="http://schemas.openxmlformats.org/drawingml/2006/main">
              <a:ext uri="{FF2B5EF4-FFF2-40B4-BE49-F238E27FC236}">
                <a16:creationId xmlns:a16="http://schemas.microsoft.com/office/drawing/2014/main" id="{6B31E792-8E8A-ACB3-A41D-FE84AC835614}"/>
              </a:ext>
            </a:extLst>
          </cdr:cNvPr>
          <cdr:cNvGrpSpPr/>
        </cdr:nvGrpSpPr>
        <cdr:grpSpPr>
          <a:xfrm xmlns:a="http://schemas.openxmlformats.org/drawingml/2006/main">
            <a:off x="0" y="0"/>
            <a:ext cx="0" cy="0"/>
            <a:chOff x="0" y="0"/>
            <a:chExt cx="0" cy="0"/>
          </a:xfrm>
        </cdr:grpSpPr>
        <cdr:grpSp>
          <cdr:nvGrpSpPr>
            <cdr:cNvPr id="56" name="Grupo 5">
              <a:extLst xmlns:a="http://schemas.openxmlformats.org/drawingml/2006/main">
                <a:ext uri="{FF2B5EF4-FFF2-40B4-BE49-F238E27FC236}">
                  <a16:creationId xmlns:a16="http://schemas.microsoft.com/office/drawing/2014/main" id="{FA783DE8-213B-F7E7-12F5-1505251EADEC}"/>
                </a:ext>
              </a:extLst>
            </cdr:cNvPr>
            <cdr:cNvGrpSpPr/>
          </cdr:nvGrpSpPr>
          <cdr:grpSpPr>
            <a:xfrm xmlns:a="http://schemas.openxmlformats.org/drawingml/2006/main">
              <a:off x="0" y="0"/>
              <a:ext cx="0" cy="0"/>
              <a:chOff x="0" y="0"/>
              <a:chExt cx="0" cy="0"/>
            </a:xfrm>
          </cdr:grpSpPr>
        </cdr:grpSp>
      </cdr:grpSp>
    </cdr:grpSp>
  </cdr:relSizeAnchor>
  <cdr:relSizeAnchor xmlns:cdr="http://schemas.openxmlformats.org/drawingml/2006/chartDrawing">
    <cdr:from>
      <cdr:x>0.36238</cdr:x>
      <cdr:y>0.43285</cdr:y>
    </cdr:from>
    <cdr:to>
      <cdr:x>0.54132</cdr:x>
      <cdr:y>0.6891</cdr:y>
    </cdr:to>
    <cdr:grpSp>
      <cdr:nvGrpSpPr>
        <cdr:cNvPr id="96" name="Grupo 95">
          <a:extLst xmlns:a="http://schemas.openxmlformats.org/drawingml/2006/main">
            <a:ext uri="{FF2B5EF4-FFF2-40B4-BE49-F238E27FC236}">
              <a16:creationId xmlns:a16="http://schemas.microsoft.com/office/drawing/2014/main" id="{FCC72C7F-12E3-5733-C07F-424DF9FE53DF}"/>
            </a:ext>
          </a:extLst>
        </cdr:cNvPr>
        <cdr:cNvGrpSpPr/>
      </cdr:nvGrpSpPr>
      <cdr:grpSpPr>
        <a:xfrm xmlns:a="http://schemas.openxmlformats.org/drawingml/2006/main">
          <a:off x="2155687" y="1559039"/>
          <a:ext cx="1064459" cy="922961"/>
          <a:chOff x="4156960" y="1864258"/>
          <a:chExt cx="2052778" cy="1103664"/>
        </a:xfrm>
      </cdr:grpSpPr>
      <cdr:grpSp>
        <cdr:nvGrpSpPr>
          <cdr:cNvPr id="94" name="Grupo 93">
            <a:extLst xmlns:a="http://schemas.openxmlformats.org/drawingml/2006/main">
              <a:ext uri="{FF2B5EF4-FFF2-40B4-BE49-F238E27FC236}">
                <a16:creationId xmlns:a16="http://schemas.microsoft.com/office/drawing/2014/main" id="{0A65A8BA-ECEA-CE1F-1FCA-4291CCBE2FBF}"/>
              </a:ext>
            </a:extLst>
          </cdr:cNvPr>
          <cdr:cNvGrpSpPr/>
        </cdr:nvGrpSpPr>
        <cdr:grpSpPr>
          <a:xfrm xmlns:a="http://schemas.openxmlformats.org/drawingml/2006/main">
            <a:off x="4156960" y="1864258"/>
            <a:ext cx="2024106" cy="575093"/>
            <a:chOff x="4156960" y="1864258"/>
            <a:chExt cx="2024103" cy="575092"/>
          </a:xfrm>
        </cdr:grpSpPr>
        <cdr:sp macro="" textlink="'PRESENTACION F.'!$X$26">
          <cdr:nvSpPr>
            <cdr:cNvPr id="92" name="CuadroTexto 152">
              <a:extLst xmlns:a="http://schemas.openxmlformats.org/drawingml/2006/main">
                <a:ext uri="{FF2B5EF4-FFF2-40B4-BE49-F238E27FC236}">
                  <a16:creationId xmlns:a16="http://schemas.microsoft.com/office/drawing/2014/main" id="{A9641E60-298B-54AE-D507-009B37C6E33F}"/>
                </a:ext>
              </a:extLst>
            </cdr:cNvPr>
            <cdr:cNvSpPr txBox="1"/>
          </cdr:nvSpPr>
          <cdr:spPr>
            <a:xfrm xmlns:a="http://schemas.openxmlformats.org/drawingml/2006/main">
              <a:off x="4156960" y="1933838"/>
              <a:ext cx="1663675" cy="419224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solidFill>
                <a:schemeClr val="bg1">
                  <a:lumMod val="95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ctr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fld id="{EECA8E0A-C81C-44A7-AE80-4F6F11FD1D2F}" type="TxLink">
                <a:rPr lang="en-US" sz="2800" b="1" i="0" u="none" strike="noStrike">
                  <a:solidFill>
                    <a:srgbClr val="002060"/>
                  </a:solidFill>
                  <a:latin typeface="Calibri"/>
                  <a:ea typeface="Calibri"/>
                  <a:cs typeface="Calibri"/>
                </a:rPr>
                <a:pPr algn="ctr"/>
                <a:t>3.7</a:t>
              </a:fld>
              <a:endParaRPr lang="es-PE" sz="34400" b="1">
                <a:solidFill>
                  <a:srgbClr val="002060"/>
                </a:solidFill>
                <a:latin typeface="+mn-lt"/>
                <a:cs typeface="Segoe UI" panose="020B0502040204020203" pitchFamily="34" charset="0"/>
              </a:endParaRPr>
            </a:p>
          </cdr:txBody>
        </cdr:sp>
        <cdr:sp macro="" textlink="">
          <cdr:nvSpPr>
            <cdr:cNvPr id="93" name="CuadroTexto 152">
              <a:extLst xmlns:a="http://schemas.openxmlformats.org/drawingml/2006/main">
                <a:ext uri="{FF2B5EF4-FFF2-40B4-BE49-F238E27FC236}">
                  <a16:creationId xmlns:a16="http://schemas.microsoft.com/office/drawing/2014/main" id="{824F26B5-3FC7-4916-4F63-5877B588FCBE}"/>
                </a:ext>
              </a:extLst>
            </cdr:cNvPr>
            <cdr:cNvSpPr txBox="1"/>
          </cdr:nvSpPr>
          <cdr:spPr>
            <a:xfrm xmlns:a="http://schemas.openxmlformats.org/drawingml/2006/main">
              <a:off x="5705909" y="1864258"/>
              <a:ext cx="475154" cy="575092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bg1">
                <a:lumMod val="95000"/>
              </a:schemeClr>
            </a:solidFill>
            <a:ln xmlns:a="http://schemas.openxmlformats.org/drawingml/2006/main" w="9525" cmpd="sng">
              <a:solidFill>
                <a:schemeClr val="bg1">
                  <a:lumMod val="95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ctr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s-PE" sz="2800" b="1">
                  <a:solidFill>
                    <a:srgbClr val="002060"/>
                  </a:solidFill>
                  <a:latin typeface="+mn-lt"/>
                  <a:cs typeface="Segoe UI" panose="020B0502040204020203" pitchFamily="34" charset="0"/>
                </a:rPr>
                <a:t>h</a:t>
              </a:r>
              <a:endParaRPr lang="es-PE" sz="3200" b="1">
                <a:solidFill>
                  <a:srgbClr val="002060"/>
                </a:solidFill>
                <a:latin typeface="+mn-lt"/>
                <a:cs typeface="Segoe UI" panose="020B0502040204020203" pitchFamily="34" charset="0"/>
              </a:endParaRPr>
            </a:p>
          </cdr:txBody>
        </cdr:sp>
      </cdr:grpSp>
      <cdr:sp macro="" textlink="">
        <cdr:nvSpPr>
          <cdr:cNvPr id="95" name="CuadroTexto 152">
            <a:extLst xmlns:a="http://schemas.openxmlformats.org/drawingml/2006/main">
              <a:ext uri="{FF2B5EF4-FFF2-40B4-BE49-F238E27FC236}">
                <a16:creationId xmlns:a16="http://schemas.microsoft.com/office/drawing/2014/main" id="{F73940D6-0AA1-258A-F6B0-6EC93181459F}"/>
              </a:ext>
            </a:extLst>
          </cdr:cNvPr>
          <cdr:cNvSpPr txBox="1"/>
        </cdr:nvSpPr>
        <cdr:spPr>
          <a:xfrm xmlns:a="http://schemas.openxmlformats.org/drawingml/2006/main">
            <a:off x="4465918" y="2392830"/>
            <a:ext cx="1743820" cy="575092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bg1">
              <a:lumMod val="95000"/>
            </a:schemeClr>
          </a:solidFill>
          <a:ln xmlns:a="http://schemas.openxmlformats.org/drawingml/2006/main" w="9525" cmpd="sng">
            <a:solidFill>
              <a:schemeClr val="bg1">
                <a:lumMod val="95000"/>
              </a:schemeClr>
            </a:solidFill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ctr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s-PE" sz="1800" b="1">
                <a:solidFill>
                  <a:srgbClr val="002060"/>
                </a:solidFill>
                <a:latin typeface="+mn-lt"/>
                <a:cs typeface="Segoe UI" panose="020B0502040204020203" pitchFamily="34" charset="0"/>
              </a:rPr>
              <a:t>TOTAL</a:t>
            </a:r>
            <a:endParaRPr lang="es-PE" sz="2000" b="1">
              <a:solidFill>
                <a:srgbClr val="002060"/>
              </a:solidFill>
              <a:latin typeface="+mn-lt"/>
              <a:cs typeface="Segoe UI" panose="020B0502040204020203" pitchFamily="34" charset="0"/>
            </a:endParaRPr>
          </a:p>
        </cdr:txBody>
      </cdr:sp>
    </cdr:grpSp>
  </cdr:relSizeAnchor>
  <cdr:relSizeAnchor xmlns:cdr="http://schemas.openxmlformats.org/drawingml/2006/chartDrawing">
    <cdr:from>
      <cdr:x>0.6942</cdr:x>
      <cdr:y>0.52894</cdr:y>
    </cdr:from>
    <cdr:to>
      <cdr:x>0.9097</cdr:x>
      <cdr:y>0.56764</cdr:y>
    </cdr:to>
    <cdr:grpSp>
      <cdr:nvGrpSpPr>
        <cdr:cNvPr id="13" name="Grupo 12">
          <a:extLst xmlns:a="http://schemas.openxmlformats.org/drawingml/2006/main">
            <a:ext uri="{FF2B5EF4-FFF2-40B4-BE49-F238E27FC236}">
              <a16:creationId xmlns:a16="http://schemas.microsoft.com/office/drawing/2014/main" id="{004574CF-1C51-51D1-CC17-E1F11FAC1E5B}"/>
            </a:ext>
          </a:extLst>
        </cdr:cNvPr>
        <cdr:cNvGrpSpPr/>
      </cdr:nvGrpSpPr>
      <cdr:grpSpPr>
        <a:xfrm xmlns:a="http://schemas.openxmlformats.org/drawingml/2006/main">
          <a:off x="4129583" y="1905136"/>
          <a:ext cx="1281943" cy="139389"/>
          <a:chOff x="189598" y="545258"/>
          <a:chExt cx="1739224" cy="87470"/>
        </a:xfrm>
      </cdr:grpSpPr>
      <cdr:sp macro="" textlink="'PRESENTACION F.'!$Z$28">
        <cdr:nvSpPr>
          <cdr:cNvPr id="15" name="CuadroTexto 152">
            <a:extLst xmlns:a="http://schemas.openxmlformats.org/drawingml/2006/main">
              <a:ext uri="{FF2B5EF4-FFF2-40B4-BE49-F238E27FC236}">
                <a16:creationId xmlns:a16="http://schemas.microsoft.com/office/drawing/2014/main" id="{58093832-83B6-872B-F1CD-37E8517CBFC0}"/>
              </a:ext>
            </a:extLst>
          </cdr:cNvPr>
          <cdr:cNvSpPr txBox="1"/>
        </cdr:nvSpPr>
        <cdr:spPr>
          <a:xfrm xmlns:a="http://schemas.openxmlformats.org/drawingml/2006/main">
            <a:off x="189598" y="545258"/>
            <a:ext cx="1739224" cy="87470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bg1">
              <a:lumMod val="95000"/>
            </a:schemeClr>
          </a:solidFill>
          <a:ln xmlns:a="http://schemas.openxmlformats.org/drawingml/2006/main" w="9525" cmpd="sng">
            <a:solidFill>
              <a:schemeClr val="bg1">
                <a:lumMod val="95000"/>
              </a:schemeClr>
            </a:solidFill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ctr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fld id="{ED2C7BBA-F547-4F4C-B7DB-34D1345685E9}" type="TxLink">
              <a:rPr lang="en-US" sz="2000" b="1" i="0" u="none" strike="noStrike">
                <a:solidFill>
                  <a:srgbClr val="C00000"/>
                </a:solidFill>
                <a:latin typeface="Calibri"/>
                <a:ea typeface="Calibri"/>
                <a:cs typeface="Calibri"/>
              </a:rPr>
              <a:pPr algn="l"/>
              <a:t>1.2 h.</a:t>
            </a:fld>
            <a:endParaRPr lang="es-PE" sz="13800" b="1">
              <a:solidFill>
                <a:srgbClr val="C00000"/>
              </a:solidFill>
              <a:latin typeface="+mn-lt"/>
              <a:cs typeface="Segoe UI" panose="020B0502040204020203" pitchFamily="34" charset="0"/>
            </a:endParaRPr>
          </a:p>
        </cdr:txBody>
      </cdr:sp>
    </cdr:grpSp>
  </cdr:relSizeAnchor>
  <cdr:relSizeAnchor xmlns:cdr="http://schemas.openxmlformats.org/drawingml/2006/chartDrawing">
    <cdr:from>
      <cdr:x>0.66156</cdr:x>
      <cdr:y>0.38062</cdr:y>
    </cdr:from>
    <cdr:to>
      <cdr:x>0.88075</cdr:x>
      <cdr:y>0.50522</cdr:y>
    </cdr:to>
    <cdr:sp macro="" textlink="'PRESENTACION F.'!$Y$28">
      <cdr:nvSpPr>
        <cdr:cNvPr id="14" name="CuadroTexto 152">
          <a:extLst xmlns:a="http://schemas.openxmlformats.org/drawingml/2006/main">
            <a:ext uri="{FF2B5EF4-FFF2-40B4-BE49-F238E27FC236}">
              <a16:creationId xmlns:a16="http://schemas.microsoft.com/office/drawing/2014/main" id="{A53B23E3-D752-E2E6-8B53-CE5122E82895}"/>
            </a:ext>
          </a:extLst>
        </cdr:cNvPr>
        <cdr:cNvSpPr txBox="1"/>
      </cdr:nvSpPr>
      <cdr:spPr>
        <a:xfrm xmlns:a="http://schemas.openxmlformats.org/drawingml/2006/main">
          <a:off x="3931386" y="1348844"/>
          <a:ext cx="1302565" cy="44154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solidFill>
            <a:schemeClr val="bg1">
              <a:lumMod val="95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987DB88-6CC2-4724-8D3D-F79FAC3DCA03}" type="TxLink">
            <a:rPr lang="en-US" sz="3200" b="1" i="0" u="none" strike="noStrike">
              <a:solidFill>
                <a:srgbClr val="C00000"/>
              </a:solidFill>
              <a:latin typeface="Calibri"/>
              <a:ea typeface="Calibri"/>
              <a:cs typeface="Calibri"/>
            </a:rPr>
            <a:pPr algn="ctr"/>
            <a:t>(33% )</a:t>
          </a:fld>
          <a:endParaRPr lang="es-PE" sz="177700" b="1">
            <a:solidFill>
              <a:srgbClr val="C00000"/>
            </a:solidFill>
            <a:latin typeface="+mn-lt"/>
            <a:cs typeface="Segoe UI" panose="020B0502040204020203" pitchFamily="34" charset="0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0.84144</cdr:x>
      <cdr:y>0.17631</cdr:y>
    </cdr:from>
    <cdr:to>
      <cdr:x>0.87328</cdr:x>
      <cdr:y>0.23026</cdr:y>
    </cdr:to>
    <cdr:sp macro="" textlink="">
      <cdr:nvSpPr>
        <cdr:cNvPr id="6" name="CuadroTexto 1">
          <a:extLst xmlns:a="http://schemas.openxmlformats.org/drawingml/2006/main">
            <a:ext uri="{FF2B5EF4-FFF2-40B4-BE49-F238E27FC236}">
              <a16:creationId xmlns:a16="http://schemas.microsoft.com/office/drawing/2014/main" id="{07575645-34E3-64F3-ED93-6C7DA9A72E23}"/>
            </a:ext>
          </a:extLst>
        </cdr:cNvPr>
        <cdr:cNvSpPr txBox="1"/>
      </cdr:nvSpPr>
      <cdr:spPr>
        <a:xfrm xmlns:a="http://schemas.openxmlformats.org/drawingml/2006/main">
          <a:off x="9612558" y="559503"/>
          <a:ext cx="363739" cy="1712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s-PE" sz="2400" kern="1200">
            <a:solidFill>
              <a:schemeClr val="accent4">
                <a:lumMod val="75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0.59333</cdr:x>
      <cdr:y>0.13076</cdr:y>
    </cdr:from>
    <cdr:to>
      <cdr:x>0.80631</cdr:x>
      <cdr:y>0.6999</cdr:y>
    </cdr:to>
    <cdr:grpSp>
      <cdr:nvGrpSpPr>
        <cdr:cNvPr id="21" name="Grupo 20">
          <a:extLst xmlns:a="http://schemas.openxmlformats.org/drawingml/2006/main">
            <a:ext uri="{FF2B5EF4-FFF2-40B4-BE49-F238E27FC236}">
              <a16:creationId xmlns:a16="http://schemas.microsoft.com/office/drawing/2014/main" id="{7B15ED56-98AE-92D5-C225-C813F7349E37}"/>
            </a:ext>
          </a:extLst>
        </cdr:cNvPr>
        <cdr:cNvGrpSpPr/>
      </cdr:nvGrpSpPr>
      <cdr:grpSpPr>
        <a:xfrm xmlns:a="http://schemas.openxmlformats.org/drawingml/2006/main">
          <a:off x="6919526" y="416673"/>
          <a:ext cx="2483813" cy="1813591"/>
          <a:chOff x="7015772" y="1630291"/>
          <a:chExt cx="2342314" cy="2919726"/>
        </a:xfrm>
      </cdr:grpSpPr>
      <cdr:grpSp>
        <cdr:nvGrpSpPr>
          <cdr:cNvPr id="8" name="Grupo 7">
            <a:extLst xmlns:a="http://schemas.openxmlformats.org/drawingml/2006/main">
              <a:ext uri="{FF2B5EF4-FFF2-40B4-BE49-F238E27FC236}">
                <a16:creationId xmlns:a16="http://schemas.microsoft.com/office/drawing/2014/main" id="{594227C7-092A-5FD5-55A8-16B4CDBB2171}"/>
              </a:ext>
            </a:extLst>
          </cdr:cNvPr>
          <cdr:cNvGrpSpPr/>
        </cdr:nvGrpSpPr>
        <cdr:grpSpPr>
          <a:xfrm xmlns:a="http://schemas.openxmlformats.org/drawingml/2006/main">
            <a:off x="7015772" y="1630291"/>
            <a:ext cx="2293469" cy="1414701"/>
            <a:chOff x="7301933" y="1630290"/>
            <a:chExt cx="1371431" cy="1414693"/>
          </a:xfrm>
        </cdr:grpSpPr>
        <cdr:sp macro="" textlink="">
          <cdr:nvSpPr>
            <cdr:cNvPr id="2" name="CuadroTexto 1">
              <a:extLst xmlns:a="http://schemas.openxmlformats.org/drawingml/2006/main">
                <a:ext uri="{FF2B5EF4-FFF2-40B4-BE49-F238E27FC236}">
                  <a16:creationId xmlns:a16="http://schemas.microsoft.com/office/drawing/2014/main" id="{8E0AD32F-2B96-7EB5-1A34-A8B339D87EF0}"/>
                </a:ext>
              </a:extLst>
            </cdr:cNvPr>
            <cdr:cNvSpPr txBox="1"/>
          </cdr:nvSpPr>
          <cdr:spPr>
            <a:xfrm xmlns:a="http://schemas.openxmlformats.org/drawingml/2006/main">
              <a:off x="7301933" y="1630290"/>
              <a:ext cx="984496" cy="996719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Overflow="clip" wrap="square" rtlCol="0"/>
            <a:lstStyle xmlns:a="http://schemas.openxmlformats.org/drawingml/2006/main"/>
            <a:p xmlns:a="http://schemas.openxmlformats.org/drawingml/2006/main">
              <a:r>
                <a:rPr lang="es-PE" sz="2800" kern="1200">
                  <a:solidFill>
                    <a:schemeClr val="accent4">
                      <a:lumMod val="75000"/>
                    </a:schemeClr>
                  </a:solidFill>
                </a:rPr>
                <a:t>MAÑANA</a:t>
              </a:r>
            </a:p>
          </cdr:txBody>
        </cdr:sp>
        <cdr:grpSp>
          <cdr:nvGrpSpPr>
            <cdr:cNvPr id="7" name="Grupo 6">
              <a:extLst xmlns:a="http://schemas.openxmlformats.org/drawingml/2006/main">
                <a:ext uri="{FF2B5EF4-FFF2-40B4-BE49-F238E27FC236}">
                  <a16:creationId xmlns:a16="http://schemas.microsoft.com/office/drawing/2014/main" id="{5FA7BB4B-84B5-9A4C-C139-595A83C0E7FB}"/>
                </a:ext>
              </a:extLst>
            </cdr:cNvPr>
            <cdr:cNvGrpSpPr/>
          </cdr:nvGrpSpPr>
          <cdr:grpSpPr>
            <a:xfrm xmlns:a="http://schemas.openxmlformats.org/drawingml/2006/main">
              <a:off x="7324206" y="2260041"/>
              <a:ext cx="1349158" cy="784942"/>
              <a:chOff x="7324206" y="2260043"/>
              <a:chExt cx="1349158" cy="784937"/>
            </a:xfrm>
          </cdr:grpSpPr>
          <cdr:sp macro="" textlink="'PRESENTACION F.'!$R$56">
            <cdr:nvSpPr>
              <cdr:cNvPr id="3" name="CuadroTexto 1">
                <a:extLst xmlns:a="http://schemas.openxmlformats.org/drawingml/2006/main">
                  <a:ext uri="{FF2B5EF4-FFF2-40B4-BE49-F238E27FC236}">
                    <a16:creationId xmlns:a16="http://schemas.microsoft.com/office/drawing/2014/main" id="{A9C34AF2-3AC0-915D-113D-C4CB50C48003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7324206" y="2361686"/>
                <a:ext cx="546856" cy="653839"/>
              </a:xfrm>
              <a:prstGeom xmlns:a="http://schemas.openxmlformats.org/drawingml/2006/main" prst="rect">
                <a:avLst/>
              </a:prstGeom>
            </cdr:spPr>
            <cdr:txBody>
              <a:bodyPr xmlns:a="http://schemas.openxmlformats.org/drawingml/2006/main" wrap="square" rtlCol="0" anchor="ctr"/>
              <a:lstStyle xmlns:a="http://schemas.openxmlformats.org/drawingml/2006/main"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fld id="{971BA01D-7143-4FF1-AC14-6EA826F92AE9}" type="TxLink">
                  <a:rPr lang="en-US" sz="2800" b="0" i="0" u="none" strike="noStrike" kern="1200">
                    <a:solidFill>
                      <a:schemeClr val="accent4">
                        <a:lumMod val="75000"/>
                      </a:schemeClr>
                    </a:solidFill>
                    <a:latin typeface="Calibri"/>
                    <a:ea typeface="Calibri"/>
                    <a:cs typeface="Calibri"/>
                  </a:rPr>
                  <a:pPr/>
                  <a:t>3.67</a:t>
                </a:fld>
                <a:endParaRPr lang="es-PE" sz="4400" kern="1200">
                  <a:solidFill>
                    <a:schemeClr val="accent4">
                      <a:lumMod val="75000"/>
                    </a:schemeClr>
                  </a:solidFill>
                </a:endParaRPr>
              </a:p>
            </cdr:txBody>
          </cdr:sp>
          <cdr:sp macro="" textlink="">
            <cdr:nvSpPr>
              <cdr:cNvPr id="4" name="CuadroTexto 1">
                <a:extLst xmlns:a="http://schemas.openxmlformats.org/drawingml/2006/main">
                  <a:ext uri="{FF2B5EF4-FFF2-40B4-BE49-F238E27FC236}">
                    <a16:creationId xmlns:a16="http://schemas.microsoft.com/office/drawing/2014/main" id="{5EA4E28F-5565-9B4E-5AFD-658DE6DF266B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7696826" y="2372515"/>
                <a:ext cx="558182" cy="652830"/>
              </a:xfrm>
              <a:prstGeom xmlns:a="http://schemas.openxmlformats.org/drawingml/2006/main" prst="rect">
                <a:avLst/>
              </a:prstGeom>
            </cdr:spPr>
            <cdr:txBody>
              <a:bodyPr xmlns:a="http://schemas.openxmlformats.org/drawingml/2006/main" wrap="square" rtlCol="0" anchor="ctr"/>
              <a:lstStyle xmlns:a="http://schemas.openxmlformats.org/drawingml/2006/main"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r>
                  <a:rPr lang="es-PE" sz="2800" kern="1200">
                    <a:solidFill>
                      <a:schemeClr val="accent4">
                        <a:lumMod val="75000"/>
                      </a:schemeClr>
                    </a:solidFill>
                  </a:rPr>
                  <a:t>h - </a:t>
                </a:r>
              </a:p>
            </cdr:txBody>
          </cdr:sp>
          <cdr:sp macro="" textlink="'PRESENTACION F.'!$S$56">
            <cdr:nvSpPr>
              <cdr:cNvPr id="5" name="CuadroTexto 1">
                <a:extLst xmlns:a="http://schemas.openxmlformats.org/drawingml/2006/main">
                  <a:ext uri="{FF2B5EF4-FFF2-40B4-BE49-F238E27FC236}">
                    <a16:creationId xmlns:a16="http://schemas.microsoft.com/office/drawing/2014/main" id="{0F79670B-9F3F-B109-38EC-71CC082B7CA1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7942372" y="2260043"/>
                <a:ext cx="730992" cy="784937"/>
              </a:xfrm>
              <a:prstGeom xmlns:a="http://schemas.openxmlformats.org/drawingml/2006/main" prst="rect">
                <a:avLst/>
              </a:prstGeom>
            </cdr:spPr>
            <cdr:txBody>
              <a:bodyPr xmlns:a="http://schemas.openxmlformats.org/drawingml/2006/main" wrap="square" rtlCol="0" anchor="ctr"/>
              <a:lstStyle xmlns:a="http://schemas.openxmlformats.org/drawingml/2006/main"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fld id="{31F7D9C9-3FCA-4CFF-AA4E-730A56E440EC}" type="TxLink">
                  <a:rPr lang="en-US" sz="3600" b="0" i="0" u="none" strike="noStrike" kern="1200">
                    <a:solidFill>
                      <a:schemeClr val="accent4">
                        <a:lumMod val="75000"/>
                      </a:schemeClr>
                    </a:solidFill>
                    <a:latin typeface="Calibri"/>
                    <a:ea typeface="Calibri"/>
                    <a:cs typeface="Calibri"/>
                  </a:rPr>
                  <a:pPr/>
                  <a:t>100%</a:t>
                </a:fld>
                <a:endParaRPr lang="es-PE" sz="9600" kern="1200">
                  <a:solidFill>
                    <a:schemeClr val="accent4">
                      <a:lumMod val="75000"/>
                    </a:schemeClr>
                  </a:solidFill>
                </a:endParaRPr>
              </a:p>
            </cdr:txBody>
          </cdr:sp>
        </cdr:grpSp>
      </cdr:grpSp>
      <cdr:grpSp>
        <cdr:nvGrpSpPr>
          <cdr:cNvPr id="9" name="Grupo 8">
            <a:extLst xmlns:a="http://schemas.openxmlformats.org/drawingml/2006/main">
              <a:ext uri="{FF2B5EF4-FFF2-40B4-BE49-F238E27FC236}">
                <a16:creationId xmlns:a16="http://schemas.microsoft.com/office/drawing/2014/main" id="{BC67D1F9-84C1-E0AB-45FF-E7171B5B87AE}"/>
              </a:ext>
            </a:extLst>
          </cdr:cNvPr>
          <cdr:cNvGrpSpPr/>
        </cdr:nvGrpSpPr>
        <cdr:grpSpPr>
          <a:xfrm xmlns:a="http://schemas.openxmlformats.org/drawingml/2006/main">
            <a:off x="7015889" y="3114132"/>
            <a:ext cx="2342197" cy="1435885"/>
            <a:chOff x="-275528" y="1019786"/>
            <a:chExt cx="831475" cy="1435886"/>
          </a:xfrm>
        </cdr:grpSpPr>
        <cdr:sp macro="" textlink="'PRESENTACION F.'!$Q$57">
          <cdr:nvSpPr>
            <cdr:cNvPr id="10" name="CuadroTexto 2">
              <a:extLst xmlns:a="http://schemas.openxmlformats.org/drawingml/2006/main">
                <a:ext uri="{FF2B5EF4-FFF2-40B4-BE49-F238E27FC236}">
                  <a16:creationId xmlns:a16="http://schemas.microsoft.com/office/drawing/2014/main" id="{3CE80F9B-D986-F855-941F-C6F6B6C7F420}"/>
                </a:ext>
              </a:extLst>
            </cdr:cNvPr>
            <cdr:cNvSpPr txBox="1"/>
          </cdr:nvSpPr>
          <cdr:spPr>
            <a:xfrm xmlns:a="http://schemas.openxmlformats.org/drawingml/2006/main">
              <a:off x="-275528" y="1019786"/>
              <a:ext cx="707891" cy="716749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squar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fld id="{A80F9EAA-9E85-4BF9-AE42-1F10D0296E53}" type="TxLink">
                <a:rPr lang="en-US" sz="2800" b="0" i="0" u="none" strike="noStrike" kern="1200">
                  <a:solidFill>
                    <a:schemeClr val="accent2">
                      <a:lumMod val="75000"/>
                    </a:schemeClr>
                  </a:solidFill>
                  <a:latin typeface="Calibri"/>
                  <a:ea typeface="Calibri"/>
                  <a:cs typeface="Calibri"/>
                </a:rPr>
                <a:pPr/>
                <a:t>TARDE</a:t>
              </a:fld>
              <a:endParaRPr lang="es-PE" sz="6000" kern="1200">
                <a:solidFill>
                  <a:schemeClr val="accent2">
                    <a:lumMod val="75000"/>
                  </a:schemeClr>
                </a:solidFill>
              </a:endParaRPr>
            </a:p>
          </cdr:txBody>
        </cdr:sp>
        <cdr:grpSp>
          <cdr:nvGrpSpPr>
            <cdr:cNvPr id="11" name="Grupo 10">
              <a:extLst xmlns:a="http://schemas.openxmlformats.org/drawingml/2006/main">
                <a:ext uri="{FF2B5EF4-FFF2-40B4-BE49-F238E27FC236}">
                  <a16:creationId xmlns:a16="http://schemas.microsoft.com/office/drawing/2014/main" id="{B1584E4D-FB9E-B09F-CEF4-795D74C1E545}"/>
                </a:ext>
              </a:extLst>
            </cdr:cNvPr>
            <cdr:cNvGrpSpPr/>
          </cdr:nvGrpSpPr>
          <cdr:grpSpPr>
            <a:xfrm xmlns:a="http://schemas.openxmlformats.org/drawingml/2006/main">
              <a:off x="-256738" y="1638618"/>
              <a:ext cx="812685" cy="817054"/>
              <a:chOff x="-429350" y="1638621"/>
              <a:chExt cx="1359069" cy="817057"/>
            </a:xfrm>
          </cdr:grpSpPr>
          <cdr:sp macro="" textlink="'PRESENTACION F.'!$R$57">
            <cdr:nvSpPr>
              <cdr:cNvPr id="12" name="CuadroTexto 1">
                <a:extLst xmlns:a="http://schemas.openxmlformats.org/drawingml/2006/main">
                  <a:ext uri="{FF2B5EF4-FFF2-40B4-BE49-F238E27FC236}">
                    <a16:creationId xmlns:a16="http://schemas.microsoft.com/office/drawing/2014/main" id="{6550EA69-9FB1-AEEE-2EB9-F260A5F0F3C3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-429350" y="1868695"/>
                <a:ext cx="730992" cy="367393"/>
              </a:xfrm>
              <a:prstGeom xmlns:a="http://schemas.openxmlformats.org/drawingml/2006/main" prst="rect">
                <a:avLst/>
              </a:prstGeom>
            </cdr:spPr>
            <cdr:txBody>
              <a:bodyPr xmlns:a="http://schemas.openxmlformats.org/drawingml/2006/main" wrap="square" rtlCol="0" anchor="ctr"/>
              <a:lstStyle xmlns:a="http://schemas.openxmlformats.org/drawingml/2006/main"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fld id="{DAC2949F-2949-4761-BD25-F85FEA186D9E}" type="TxLink">
                  <a:rPr lang="en-US" sz="2800" b="0" i="0" u="none" strike="noStrike" kern="1200">
                    <a:solidFill>
                      <a:schemeClr val="accent2">
                        <a:lumMod val="75000"/>
                      </a:schemeClr>
                    </a:solidFill>
                    <a:latin typeface="Calibri"/>
                    <a:ea typeface="Calibri"/>
                    <a:cs typeface="Calibri"/>
                  </a:rPr>
                  <a:pPr/>
                  <a:t>0.00</a:t>
                </a:fld>
                <a:endParaRPr lang="es-PE" sz="11500" kern="1200">
                  <a:solidFill>
                    <a:schemeClr val="accent2">
                      <a:lumMod val="75000"/>
                    </a:schemeClr>
                  </a:solidFill>
                </a:endParaRPr>
              </a:p>
            </cdr:txBody>
          </cdr:sp>
          <cdr:sp macro="" textlink="">
            <cdr:nvSpPr>
              <cdr:cNvPr id="13" name="CuadroTexto 1">
                <a:extLst xmlns:a="http://schemas.openxmlformats.org/drawingml/2006/main">
                  <a:ext uri="{FF2B5EF4-FFF2-40B4-BE49-F238E27FC236}">
                    <a16:creationId xmlns:a16="http://schemas.microsoft.com/office/drawing/2014/main" id="{5A750C45-709C-E944-DBBC-2EDB330EA99A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-48594" y="1638621"/>
                <a:ext cx="439624" cy="817057"/>
              </a:xfrm>
              <a:prstGeom xmlns:a="http://schemas.openxmlformats.org/drawingml/2006/main" prst="rect">
                <a:avLst/>
              </a:prstGeom>
            </cdr:spPr>
            <cdr:txBody>
              <a:bodyPr xmlns:a="http://schemas.openxmlformats.org/drawingml/2006/main" wrap="square" rtlCol="0" anchor="ctr"/>
              <a:lstStyle xmlns:a="http://schemas.openxmlformats.org/drawingml/2006/main"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r>
                  <a:rPr lang="es-PE" sz="2800" b="0" kern="1200">
                    <a:solidFill>
                      <a:schemeClr val="accent2">
                        <a:lumMod val="75000"/>
                      </a:schemeClr>
                    </a:solidFill>
                  </a:rPr>
                  <a:t>h</a:t>
                </a:r>
                <a:r>
                  <a:rPr lang="es-PE" sz="2800" b="0" kern="1200" baseline="0">
                    <a:solidFill>
                      <a:schemeClr val="accent2">
                        <a:lumMod val="75000"/>
                      </a:schemeClr>
                    </a:solidFill>
                  </a:rPr>
                  <a:t> -</a:t>
                </a:r>
                <a:r>
                  <a:rPr lang="es-PE" sz="2800" b="0" kern="1200">
                    <a:solidFill>
                      <a:schemeClr val="accent2">
                        <a:lumMod val="75000"/>
                      </a:schemeClr>
                    </a:solidFill>
                  </a:rPr>
                  <a:t> </a:t>
                </a:r>
              </a:p>
            </cdr:txBody>
          </cdr:sp>
          <cdr:sp macro="" textlink="'PRESENTACION F.'!$S$57">
            <cdr:nvSpPr>
              <cdr:cNvPr id="14" name="CuadroTexto 1">
                <a:extLst xmlns:a="http://schemas.openxmlformats.org/drawingml/2006/main">
                  <a:ext uri="{FF2B5EF4-FFF2-40B4-BE49-F238E27FC236}">
                    <a16:creationId xmlns:a16="http://schemas.microsoft.com/office/drawing/2014/main" id="{72FE4D85-70A0-E3BB-22AB-9930FF8970DF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198727" y="1846196"/>
                <a:ext cx="730992" cy="367393"/>
              </a:xfrm>
              <a:prstGeom xmlns:a="http://schemas.openxmlformats.org/drawingml/2006/main" prst="rect">
                <a:avLst/>
              </a:prstGeom>
            </cdr:spPr>
            <cdr:txBody>
              <a:bodyPr xmlns:a="http://schemas.openxmlformats.org/drawingml/2006/main" wrap="square" rtlCol="0" anchor="ctr"/>
              <a:lstStyle xmlns:a="http://schemas.openxmlformats.org/drawingml/2006/main"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fld id="{289B8C18-58E9-466F-BA31-05CF2CCD50C7}" type="TxLink">
                  <a:rPr lang="en-US" sz="3600" b="0" i="0" u="none" strike="noStrike" kern="1200">
                    <a:solidFill>
                      <a:schemeClr val="accent2">
                        <a:lumMod val="75000"/>
                      </a:schemeClr>
                    </a:solidFill>
                    <a:latin typeface="Calibri"/>
                    <a:ea typeface="Calibri"/>
                    <a:cs typeface="Calibri"/>
                  </a:rPr>
                  <a:pPr/>
                  <a:t>0%</a:t>
                </a:fld>
                <a:endParaRPr lang="es-PE" sz="49600" kern="1200">
                  <a:solidFill>
                    <a:schemeClr val="accent2">
                      <a:lumMod val="75000"/>
                    </a:schemeClr>
                  </a:solidFill>
                </a:endParaRPr>
              </a:p>
            </cdr:txBody>
          </cdr:sp>
        </cdr:grpSp>
      </cdr:grpSp>
    </cdr:grpSp>
  </cdr:relSizeAnchor>
  <cdr:relSizeAnchor xmlns:cdr="http://schemas.openxmlformats.org/drawingml/2006/chartDrawing">
    <cdr:from>
      <cdr:x>0.25444</cdr:x>
      <cdr:y>0.36606</cdr:y>
    </cdr:from>
    <cdr:to>
      <cdr:x>0.48788</cdr:x>
      <cdr:y>0.55948</cdr:y>
    </cdr:to>
    <cdr:sp macro="" textlink="'PRESENTACION F.'!$R$55">
      <cdr:nvSpPr>
        <cdr:cNvPr id="22" name="CuadroTexto 1">
          <a:extLst xmlns:a="http://schemas.openxmlformats.org/drawingml/2006/main">
            <a:ext uri="{FF2B5EF4-FFF2-40B4-BE49-F238E27FC236}">
              <a16:creationId xmlns:a16="http://schemas.microsoft.com/office/drawing/2014/main" id="{344EB7A3-890D-A256-421F-CA99036BFC16}"/>
            </a:ext>
          </a:extLst>
        </cdr:cNvPr>
        <cdr:cNvSpPr txBox="1"/>
      </cdr:nvSpPr>
      <cdr:spPr>
        <a:xfrm xmlns:a="http://schemas.openxmlformats.org/drawingml/2006/main">
          <a:off x="2908301" y="2492664"/>
          <a:ext cx="2668154" cy="1317089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8808EF3-C98D-41BB-896C-6B3A3492071F}" type="TxLink">
            <a:rPr lang="en-US" sz="4400" b="0" i="0" u="none" strike="noStrike" kern="1200">
              <a:solidFill>
                <a:srgbClr val="002060"/>
              </a:solidFill>
              <a:latin typeface="Calibri"/>
              <a:ea typeface="Calibri"/>
              <a:cs typeface="Calibri"/>
            </a:rPr>
            <a:pPr algn="ctr"/>
            <a:t>3.67</a:t>
          </a:fld>
          <a:endParaRPr lang="es-PE" sz="8800" kern="1200">
            <a:solidFill>
              <a:srgbClr val="002060"/>
            </a:solidFill>
          </a:endParaRPr>
        </a:p>
      </cdr:txBody>
    </cdr:sp>
  </cdr:relSizeAnchor>
  <cdr:relSizeAnchor xmlns:cdr="http://schemas.openxmlformats.org/drawingml/2006/chartDrawing">
    <cdr:from>
      <cdr:x>0.25747</cdr:x>
      <cdr:y>0.52088</cdr:y>
    </cdr:from>
    <cdr:to>
      <cdr:x>0.48636</cdr:x>
      <cdr:y>0.66121</cdr:y>
    </cdr:to>
    <cdr:sp macro="" textlink="">
      <cdr:nvSpPr>
        <cdr:cNvPr id="23" name="CuadroTexto 1">
          <a:extLst xmlns:a="http://schemas.openxmlformats.org/drawingml/2006/main">
            <a:ext uri="{FF2B5EF4-FFF2-40B4-BE49-F238E27FC236}">
              <a16:creationId xmlns:a16="http://schemas.microsoft.com/office/drawing/2014/main" id="{78626124-668F-6783-5BE3-B158E6281DCB}"/>
            </a:ext>
          </a:extLst>
        </cdr:cNvPr>
        <cdr:cNvSpPr txBox="1"/>
      </cdr:nvSpPr>
      <cdr:spPr>
        <a:xfrm xmlns:a="http://schemas.openxmlformats.org/drawingml/2006/main">
          <a:off x="2942883" y="3546952"/>
          <a:ext cx="2616254" cy="955564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s-PE" sz="1800" kern="1200">
              <a:solidFill>
                <a:srgbClr val="002060"/>
              </a:solidFill>
            </a:rPr>
            <a:t>TOTAL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3</xdr:row>
      <xdr:rowOff>735330</xdr:rowOff>
    </xdr:from>
    <xdr:to>
      <xdr:col>12</xdr:col>
      <xdr:colOff>0</xdr:colOff>
      <xdr:row>77</xdr:row>
      <xdr:rowOff>11430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1E04FC0-9106-426D-AA12-994417E7BF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15240</xdr:colOff>
      <xdr:row>76</xdr:row>
      <xdr:rowOff>129540</xdr:rowOff>
    </xdr:from>
    <xdr:to>
      <xdr:col>12</xdr:col>
      <xdr:colOff>0</xdr:colOff>
      <xdr:row>124</xdr:row>
      <xdr:rowOff>163830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2DB8478-A32A-466C-89CE-BC0C8D1D836A}"/>
            </a:ext>
            <a:ext uri="{147F2762-F138-4A5C-976F-8EAC2B608ADB}">
              <a16:predDERef xmlns:a16="http://schemas.microsoft.com/office/drawing/2014/main" pred="{A1E04FC0-9106-426D-AA12-994417E7BF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73</xdr:row>
      <xdr:rowOff>132398</xdr:rowOff>
    </xdr:from>
    <xdr:to>
      <xdr:col>12</xdr:col>
      <xdr:colOff>8572</xdr:colOff>
      <xdr:row>242</xdr:row>
      <xdr:rowOff>56198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EC2C000-57D8-4F4E-803C-4D29067E23A1}"/>
            </a:ext>
            <a:ext uri="{147F2762-F138-4A5C-976F-8EAC2B608ADB}">
              <a16:predDERef xmlns:a16="http://schemas.microsoft.com/office/drawing/2014/main" pred="{F2DB8478-A32A-466C-89CE-BC0C8D1D83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242</xdr:row>
      <xdr:rowOff>61912</xdr:rowOff>
    </xdr:from>
    <xdr:to>
      <xdr:col>12</xdr:col>
      <xdr:colOff>8572</xdr:colOff>
      <xdr:row>315</xdr:row>
      <xdr:rowOff>155257</xdr:rowOff>
    </xdr:to>
    <xdr:graphicFrame macro="">
      <xdr:nvGraphicFramePr>
        <xdr:cNvPr id="5" name="Gráfico 5">
          <a:extLst>
            <a:ext uri="{FF2B5EF4-FFF2-40B4-BE49-F238E27FC236}">
              <a16:creationId xmlns:a16="http://schemas.microsoft.com/office/drawing/2014/main" id="{FBBF2244-5A26-4C7A-9480-F9E806B3271C}"/>
            </a:ext>
            <a:ext uri="{147F2762-F138-4A5C-976F-8EAC2B608ADB}">
              <a16:predDERef xmlns:a16="http://schemas.microsoft.com/office/drawing/2014/main" pred="{AEC2C000-57D8-4F4E-803C-4D29067E23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30480</xdr:colOff>
      <xdr:row>124</xdr:row>
      <xdr:rowOff>91440</xdr:rowOff>
    </xdr:from>
    <xdr:to>
      <xdr:col>11</xdr:col>
      <xdr:colOff>8016240</xdr:colOff>
      <xdr:row>173</xdr:row>
      <xdr:rowOff>91440</xdr:rowOff>
    </xdr:to>
    <xdr:graphicFrame macro="">
      <xdr:nvGraphicFramePr>
        <xdr:cNvPr id="6" name="Gráfico 1">
          <a:extLst>
            <a:ext uri="{FF2B5EF4-FFF2-40B4-BE49-F238E27FC236}">
              <a16:creationId xmlns:a16="http://schemas.microsoft.com/office/drawing/2014/main" id="{7B36C56B-C0ED-4D59-BE45-ACDB2828F58C}"/>
            </a:ext>
            <a:ext uri="{147F2762-F138-4A5C-976F-8EAC2B608ADB}">
              <a16:predDERef xmlns:a16="http://schemas.microsoft.com/office/drawing/2014/main" pred="{FBBF2244-5A26-4C7A-9480-F9E806B327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38098</xdr:colOff>
      <xdr:row>124</xdr:row>
      <xdr:rowOff>142875</xdr:rowOff>
    </xdr:from>
    <xdr:to>
      <xdr:col>2</xdr:col>
      <xdr:colOff>904875</xdr:colOff>
      <xdr:row>129</xdr:row>
      <xdr:rowOff>123133</xdr:rowOff>
    </xdr:to>
    <xdr:sp macro="" textlink="N127">
      <xdr:nvSpPr>
        <xdr:cNvPr id="7" name="Rectángulo: esquinas redondeadas 6">
          <a:extLst>
            <a:ext uri="{FF2B5EF4-FFF2-40B4-BE49-F238E27FC236}">
              <a16:creationId xmlns:a16="http://schemas.microsoft.com/office/drawing/2014/main" id="{B2C24799-0A0F-47FB-AB2A-71B50AEAEB3F}"/>
            </a:ext>
          </a:extLst>
        </xdr:cNvPr>
        <xdr:cNvSpPr/>
      </xdr:nvSpPr>
      <xdr:spPr>
        <a:xfrm>
          <a:off x="800098" y="24926925"/>
          <a:ext cx="3286127" cy="932758"/>
        </a:xfrm>
        <a:prstGeom prst="round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6055AF99-D88A-466C-ADD0-50F2A610D0B6}" type="TxLink">
            <a:rPr lang="en-US" sz="48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SEM. - 027</a:t>
          </a:fld>
          <a:endParaRPr lang="es-PE" sz="199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57149</xdr:colOff>
      <xdr:row>23</xdr:row>
      <xdr:rowOff>152400</xdr:rowOff>
    </xdr:from>
    <xdr:to>
      <xdr:col>11</xdr:col>
      <xdr:colOff>9658349</xdr:colOff>
      <xdr:row>46</xdr:row>
      <xdr:rowOff>287656</xdr:rowOff>
    </xdr:to>
    <xdr:graphicFrame macro="">
      <xdr:nvGraphicFramePr>
        <xdr:cNvPr id="21" name="Gráfico 9">
          <a:extLst>
            <a:ext uri="{FF2B5EF4-FFF2-40B4-BE49-F238E27FC236}">
              <a16:creationId xmlns:a16="http://schemas.microsoft.com/office/drawing/2014/main" id="{E8135762-1A4B-603F-3AF2-34EF17E110C6}"/>
            </a:ext>
            <a:ext uri="{147F2762-F138-4A5C-976F-8EAC2B608ADB}">
              <a16:predDERef xmlns:a16="http://schemas.microsoft.com/office/drawing/2014/main" pred="{F1ACFE52-8CDF-018F-93FA-11E936F3F307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11</xdr:col>
      <xdr:colOff>9578340</xdr:colOff>
      <xdr:row>23</xdr:row>
      <xdr:rowOff>190500</xdr:rowOff>
    </xdr:from>
    <xdr:to>
      <xdr:col>13</xdr:col>
      <xdr:colOff>53340</xdr:colOff>
      <xdr:row>46</xdr:row>
      <xdr:rowOff>249555</xdr:rowOff>
    </xdr:to>
    <xdr:graphicFrame macro="">
      <xdr:nvGraphicFramePr>
        <xdr:cNvPr id="20" name="Gráfico 10">
          <a:extLst>
            <a:ext uri="{FF2B5EF4-FFF2-40B4-BE49-F238E27FC236}">
              <a16:creationId xmlns:a16="http://schemas.microsoft.com/office/drawing/2014/main" id="{BBB37011-54B6-91CB-44A2-CBEF2F055B51}"/>
            </a:ext>
            <a:ext uri="{147F2762-F138-4A5C-976F-8EAC2B608ADB}">
              <a16:predDERef xmlns:a16="http://schemas.microsoft.com/office/drawing/2014/main" pred="{E8135762-1A4B-603F-3AF2-34EF17E110C6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11</xdr:col>
      <xdr:colOff>9698355</xdr:colOff>
      <xdr:row>2</xdr:row>
      <xdr:rowOff>853440</xdr:rowOff>
    </xdr:from>
    <xdr:to>
      <xdr:col>13</xdr:col>
      <xdr:colOff>0</xdr:colOff>
      <xdr:row>23</xdr:row>
      <xdr:rowOff>247650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2D2AD01-8064-1874-81AB-F2560176F167}"/>
            </a:ext>
            <a:ext uri="{147F2762-F138-4A5C-976F-8EAC2B608ADB}">
              <a16:predDERef xmlns:a16="http://schemas.microsoft.com/office/drawing/2014/main" pred="{BBB37011-54B6-91CB-44A2-CBEF2F055B51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819150</xdr:colOff>
      <xdr:row>1</xdr:row>
      <xdr:rowOff>166685</xdr:rowOff>
    </xdr:from>
    <xdr:to>
      <xdr:col>4</xdr:col>
      <xdr:colOff>287655</xdr:colOff>
      <xdr:row>2</xdr:row>
      <xdr:rowOff>701990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212A3BC1-D6BC-4F99-A3B4-CF6860B71621}"/>
            </a:ext>
            <a:ext uri="{147F2762-F138-4A5C-976F-8EAC2B608ADB}">
              <a16:predDERef xmlns:a16="http://schemas.microsoft.com/office/drawing/2014/main" pred="{5BBE4465-399A-4BB3-8CFD-EFB32B906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57338" y="357185"/>
          <a:ext cx="4333875" cy="1428750"/>
        </a:xfrm>
        <a:prstGeom prst="rect">
          <a:avLst/>
        </a:prstGeom>
      </xdr:spPr>
    </xdr:pic>
    <xdr:clientData/>
  </xdr:twoCellAnchor>
  <xdr:oneCellAnchor>
    <xdr:from>
      <xdr:col>1</xdr:col>
      <xdr:colOff>990600</xdr:colOff>
      <xdr:row>47</xdr:row>
      <xdr:rowOff>123825</xdr:rowOff>
    </xdr:from>
    <xdr:ext cx="4057650" cy="942975"/>
    <xdr:pic>
      <xdr:nvPicPr>
        <xdr:cNvPr id="7" name="Imagen 5">
          <a:extLst>
            <a:ext uri="{FF2B5EF4-FFF2-40B4-BE49-F238E27FC236}">
              <a16:creationId xmlns:a16="http://schemas.microsoft.com/office/drawing/2014/main" id="{DA6FA92B-2902-4E54-8537-ECACA18EFD00}"/>
            </a:ext>
            <a:ext uri="{147F2762-F138-4A5C-976F-8EAC2B608ADB}">
              <a16:predDERef xmlns:a16="http://schemas.microsoft.com/office/drawing/2014/main" pred="{212A3BC1-D6BC-4F99-A3B4-CF6860B71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14500" y="26984325"/>
          <a:ext cx="4057650" cy="942975"/>
        </a:xfrm>
        <a:prstGeom prst="rect">
          <a:avLst/>
        </a:prstGeom>
      </xdr:spPr>
    </xdr:pic>
    <xdr:clientData/>
  </xdr:oneCellAnchor>
  <xdr:oneCellAnchor>
    <xdr:from>
      <xdr:col>1</xdr:col>
      <xdr:colOff>685800</xdr:colOff>
      <xdr:row>113</xdr:row>
      <xdr:rowOff>57151</xdr:rowOff>
    </xdr:from>
    <xdr:ext cx="5624512" cy="1438275"/>
    <xdr:pic>
      <xdr:nvPicPr>
        <xdr:cNvPr id="8" name="Imagen 5">
          <a:extLst>
            <a:ext uri="{FF2B5EF4-FFF2-40B4-BE49-F238E27FC236}">
              <a16:creationId xmlns:a16="http://schemas.microsoft.com/office/drawing/2014/main" id="{0015ACC1-0111-449A-B7DF-9431EA792DC2}"/>
            </a:ext>
            <a:ext uri="{147F2762-F138-4A5C-976F-8EAC2B608ADB}">
              <a16:predDERef xmlns:a16="http://schemas.microsoft.com/office/drawing/2014/main" pred="{DA6FA92B-2902-4E54-8537-ECACA18EF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23988" y="53325714"/>
          <a:ext cx="5624512" cy="1438275"/>
        </a:xfrm>
        <a:prstGeom prst="rect">
          <a:avLst/>
        </a:prstGeom>
      </xdr:spPr>
    </xdr:pic>
    <xdr:clientData/>
  </xdr:oneCellAnchor>
  <xdr:twoCellAnchor>
    <xdr:from>
      <xdr:col>0</xdr:col>
      <xdr:colOff>714375</xdr:colOff>
      <xdr:row>3</xdr:row>
      <xdr:rowOff>0</xdr:rowOff>
    </xdr:from>
    <xdr:to>
      <xdr:col>11</xdr:col>
      <xdr:colOff>9686925</xdr:colOff>
      <xdr:row>23</xdr:row>
      <xdr:rowOff>219075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1ACFE52-8CDF-018F-93FA-11E936F3F307}"/>
            </a:ext>
            <a:ext uri="{147F2762-F138-4A5C-976F-8EAC2B608ADB}">
              <a16:predDERef xmlns:a16="http://schemas.microsoft.com/office/drawing/2014/main" pred="{0015ACC1-0111-449A-B7DF-9431EA792DC2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1</xdr:col>
      <xdr:colOff>20955</xdr:colOff>
      <xdr:row>49</xdr:row>
      <xdr:rowOff>15240</xdr:rowOff>
    </xdr:from>
    <xdr:to>
      <xdr:col>12</xdr:col>
      <xdr:colOff>533400</xdr:colOff>
      <xdr:row>76</xdr:row>
      <xdr:rowOff>287655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1F1A3269-ACE4-F5FB-6C83-358E111DF850}"/>
            </a:ext>
            <a:ext uri="{147F2762-F138-4A5C-976F-8EAC2B608ADB}">
              <a16:predDERef xmlns:a16="http://schemas.microsoft.com/office/drawing/2014/main" pred="{F1ACFE52-8CDF-018F-93FA-11E936F3F307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absolute">
    <xdr:from>
      <xdr:col>1</xdr:col>
      <xdr:colOff>57150</xdr:colOff>
      <xdr:row>77</xdr:row>
      <xdr:rowOff>38100</xdr:rowOff>
    </xdr:from>
    <xdr:to>
      <xdr:col>12</xdr:col>
      <xdr:colOff>571500</xdr:colOff>
      <xdr:row>110</xdr:row>
      <xdr:rowOff>245744</xdr:rowOff>
    </xdr:to>
    <xdr:graphicFrame macro="">
      <xdr:nvGraphicFramePr>
        <xdr:cNvPr id="3" name="Gráfico 13">
          <a:extLst>
            <a:ext uri="{FF2B5EF4-FFF2-40B4-BE49-F238E27FC236}">
              <a16:creationId xmlns:a16="http://schemas.microsoft.com/office/drawing/2014/main" id="{AE14AB44-E4D2-6D21-5E1D-79FFD188660B}"/>
            </a:ext>
            <a:ext uri="{147F2762-F138-4A5C-976F-8EAC2B608ADB}">
              <a16:predDERef xmlns:a16="http://schemas.microsoft.com/office/drawing/2014/main" pred="{1F1A3269-ACE4-F5FB-6C83-358E111DF85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absolute">
    <xdr:from>
      <xdr:col>12</xdr:col>
      <xdr:colOff>647700</xdr:colOff>
      <xdr:row>77</xdr:row>
      <xdr:rowOff>53340</xdr:rowOff>
    </xdr:from>
    <xdr:to>
      <xdr:col>13</xdr:col>
      <xdr:colOff>0</xdr:colOff>
      <xdr:row>110</xdr:row>
      <xdr:rowOff>320992</xdr:rowOff>
    </xdr:to>
    <xdr:graphicFrame macro="">
      <xdr:nvGraphicFramePr>
        <xdr:cNvPr id="4" name="Gráfico 14">
          <a:extLst>
            <a:ext uri="{FF2B5EF4-FFF2-40B4-BE49-F238E27FC236}">
              <a16:creationId xmlns:a16="http://schemas.microsoft.com/office/drawing/2014/main" id="{FB455CAC-C89F-E664-42CB-FB843A0A3E3F}"/>
            </a:ext>
            <a:ext uri="{147F2762-F138-4A5C-976F-8EAC2B608ADB}">
              <a16:predDERef xmlns:a16="http://schemas.microsoft.com/office/drawing/2014/main" pred="{AE14AB44-E4D2-6D21-5E1D-79FFD188660B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absolute">
    <xdr:from>
      <xdr:col>12</xdr:col>
      <xdr:colOff>571501</xdr:colOff>
      <xdr:row>49</xdr:row>
      <xdr:rowOff>19051</xdr:rowOff>
    </xdr:from>
    <xdr:to>
      <xdr:col>13</xdr:col>
      <xdr:colOff>0</xdr:colOff>
      <xdr:row>76</xdr:row>
      <xdr:rowOff>228599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8C0D73DF-BCA7-11DE-0A4D-6562E763E363}"/>
            </a:ext>
            <a:ext uri="{147F2762-F138-4A5C-976F-8EAC2B608ADB}">
              <a16:predDERef xmlns:a16="http://schemas.microsoft.com/office/drawing/2014/main" pred="{FB455CAC-C89F-E664-42CB-FB843A0A3E3F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4057651</xdr:colOff>
      <xdr:row>3</xdr:row>
      <xdr:rowOff>276225</xdr:rowOff>
    </xdr:from>
    <xdr:to>
      <xdr:col>11</xdr:col>
      <xdr:colOff>9444905</xdr:colOff>
      <xdr:row>8</xdr:row>
      <xdr:rowOff>188336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6591424B-40F2-1A13-ED40-03C092552666}"/>
            </a:ext>
          </a:extLst>
        </xdr:cNvPr>
        <xdr:cNvSpPr txBox="1"/>
      </xdr:nvSpPr>
      <xdr:spPr>
        <a:xfrm>
          <a:off x="23274339" y="2276475"/>
          <a:ext cx="5387254" cy="24362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2800" b="1">
              <a:solidFill>
                <a:srgbClr val="002060"/>
              </a:solidFill>
            </a:rPr>
            <a:t>CONSIDERACIÓN</a:t>
          </a:r>
          <a:r>
            <a:rPr lang="es-ES" sz="2800" b="1" baseline="0">
              <a:solidFill>
                <a:srgbClr val="002060"/>
              </a:solidFill>
            </a:rPr>
            <a:t> </a:t>
          </a:r>
          <a:r>
            <a:rPr lang="es-ES" sz="2800" baseline="0">
              <a:solidFill>
                <a:srgbClr val="002060"/>
              </a:solidFill>
            </a:rPr>
            <a:t>: SE HA CONSIDERADO A LAS MAQUINAS/EQUIPOS QUE HAYAN TENIDO MAS DE 2 HORAS DE ATENCIÓN EN LA SEMANA</a:t>
          </a:r>
        </a:p>
        <a:p>
          <a:endParaRPr lang="es-ES" sz="4400">
            <a:solidFill>
              <a:srgbClr val="002060"/>
            </a:solidFill>
          </a:endParaRPr>
        </a:p>
      </xdr:txBody>
    </xdr:sp>
    <xdr:clientData/>
  </xdr:twoCellAnchor>
  <xdr:twoCellAnchor>
    <xdr:from>
      <xdr:col>11</xdr:col>
      <xdr:colOff>3248024</xdr:colOff>
      <xdr:row>26</xdr:row>
      <xdr:rowOff>454168</xdr:rowOff>
    </xdr:from>
    <xdr:to>
      <xdr:col>11</xdr:col>
      <xdr:colOff>9539287</xdr:colOff>
      <xdr:row>29</xdr:row>
      <xdr:rowOff>158895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6258ADCA-2E88-467B-86AF-80D9DEE74296}"/>
            </a:ext>
          </a:extLst>
        </xdr:cNvPr>
        <xdr:cNvSpPr txBox="1"/>
      </xdr:nvSpPr>
      <xdr:spPr>
        <a:xfrm>
          <a:off x="24369712" y="16146606"/>
          <a:ext cx="6291263" cy="149066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2800" b="1">
              <a:solidFill>
                <a:srgbClr val="002060"/>
              </a:solidFill>
            </a:rPr>
            <a:t>CONSIDERACIÓN</a:t>
          </a:r>
          <a:r>
            <a:rPr lang="es-ES" sz="2800" b="1" baseline="0">
              <a:solidFill>
                <a:srgbClr val="002060"/>
              </a:solidFill>
            </a:rPr>
            <a:t> </a:t>
          </a:r>
          <a:r>
            <a:rPr lang="es-ES" sz="2800" baseline="0">
              <a:solidFill>
                <a:srgbClr val="002060"/>
              </a:solidFill>
            </a:rPr>
            <a:t>: SE HA CONSIDERADO A LAS MAQUINAS/EQUIPOS QUE HAYAN TENIDO MAS DE 3 ATENCIONES SEMANALES</a:t>
          </a:r>
        </a:p>
        <a:p>
          <a:endParaRPr lang="es-ES" sz="4400">
            <a:solidFill>
              <a:srgbClr val="002060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749114</xdr:colOff>
      <xdr:row>31</xdr:row>
      <xdr:rowOff>55800</xdr:rowOff>
    </xdr:from>
    <xdr:to>
      <xdr:col>11</xdr:col>
      <xdr:colOff>6852907</xdr:colOff>
      <xdr:row>52</xdr:row>
      <xdr:rowOff>82211</xdr:rowOff>
    </xdr:to>
    <xdr:graphicFrame macro="">
      <xdr:nvGraphicFramePr>
        <xdr:cNvPr id="2" name="Gráfico 176">
          <a:extLst>
            <a:ext uri="{FF2B5EF4-FFF2-40B4-BE49-F238E27FC236}">
              <a16:creationId xmlns:a16="http://schemas.microsoft.com/office/drawing/2014/main" id="{9A812642-E4E1-403A-8BE0-D235CA29D77B}"/>
            </a:ext>
            <a:ext uri="{147F2762-F138-4A5C-976F-8EAC2B608ADB}">
              <a16:predDERef xmlns:a16="http://schemas.microsoft.com/office/drawing/2014/main" pred="{C799DCB6-3943-D15E-4BF6-7DEA24FD3B08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554182</xdr:colOff>
      <xdr:row>142</xdr:row>
      <xdr:rowOff>138544</xdr:rowOff>
    </xdr:from>
    <xdr:to>
      <xdr:col>11</xdr:col>
      <xdr:colOff>6806045</xdr:colOff>
      <xdr:row>144</xdr:row>
      <xdr:rowOff>294407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95FC9F2-7125-40F8-A7B1-8B0D230A595E}"/>
            </a:ext>
          </a:extLst>
        </xdr:cNvPr>
        <xdr:cNvSpPr txBox="1"/>
      </xdr:nvSpPr>
      <xdr:spPr>
        <a:xfrm>
          <a:off x="1316182" y="36276394"/>
          <a:ext cx="23749288" cy="1336963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2000">
            <a:solidFill>
              <a:schemeClr val="accent4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9</xdr:col>
      <xdr:colOff>762003</xdr:colOff>
      <xdr:row>52</xdr:row>
      <xdr:rowOff>142876</xdr:rowOff>
    </xdr:from>
    <xdr:to>
      <xdr:col>11</xdr:col>
      <xdr:colOff>6858002</xdr:colOff>
      <xdr:row>73</xdr:row>
      <xdr:rowOff>61913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F59511E6-E708-47B0-AD99-B19462F676C6}"/>
            </a:ext>
          </a:extLst>
        </xdr:cNvPr>
        <xdr:cNvSpPr>
          <a:spLocks noChangeAspect="1"/>
        </xdr:cNvSpPr>
      </xdr:nvSpPr>
      <xdr:spPr>
        <a:xfrm>
          <a:off x="13658853" y="15640051"/>
          <a:ext cx="11458574" cy="3919537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absolute">
    <xdr:from>
      <xdr:col>1</xdr:col>
      <xdr:colOff>550025</xdr:colOff>
      <xdr:row>109</xdr:row>
      <xdr:rowOff>187987</xdr:rowOff>
    </xdr:from>
    <xdr:to>
      <xdr:col>11</xdr:col>
      <xdr:colOff>6806045</xdr:colOff>
      <xdr:row>143</xdr:row>
      <xdr:rowOff>87209</xdr:rowOff>
    </xdr:to>
    <xdr:graphicFrame macro="">
      <xdr:nvGraphicFramePr>
        <xdr:cNvPr id="5" name="Gráfico 1">
          <a:extLst>
            <a:ext uri="{FF2B5EF4-FFF2-40B4-BE49-F238E27FC236}">
              <a16:creationId xmlns:a16="http://schemas.microsoft.com/office/drawing/2014/main" id="{351D1EA5-C390-437D-AD88-4991F61DDFC0}"/>
            </a:ext>
            <a:ext uri="{147F2762-F138-4A5C-976F-8EAC2B608ADB}">
              <a16:predDERef xmlns:a16="http://schemas.microsoft.com/office/drawing/2014/main" pred="{85617F8B-AE75-D504-B0C6-2126271E94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1992887</xdr:colOff>
      <xdr:row>107</xdr:row>
      <xdr:rowOff>164523</xdr:rowOff>
    </xdr:from>
    <xdr:to>
      <xdr:col>4</xdr:col>
      <xdr:colOff>426459</xdr:colOff>
      <xdr:row>115</xdr:row>
      <xdr:rowOff>60614</xdr:rowOff>
    </xdr:to>
    <xdr:sp macro="" textlink="N127">
      <xdr:nvSpPr>
        <xdr:cNvPr id="6" name="Rectángulo: esquinas redondeadas 5">
          <a:extLst>
            <a:ext uri="{FF2B5EF4-FFF2-40B4-BE49-F238E27FC236}">
              <a16:creationId xmlns:a16="http://schemas.microsoft.com/office/drawing/2014/main" id="{DB4D23FF-D5F7-4C05-8F10-30854E71CB0A}"/>
            </a:ext>
            <a:ext uri="{147F2762-F138-4A5C-976F-8EAC2B608ADB}">
              <a16:predDERef xmlns:a16="http://schemas.microsoft.com/office/drawing/2014/main" pred="{F3EF60FB-A980-45D6-A735-5BE26761A415}"/>
            </a:ext>
          </a:extLst>
        </xdr:cNvPr>
        <xdr:cNvSpPr/>
      </xdr:nvSpPr>
      <xdr:spPr>
        <a:xfrm>
          <a:off x="2754887" y="26786898"/>
          <a:ext cx="4043797" cy="1420091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6055AF99-D88A-466C-ADD0-50F2A610D0B6}" type="TxLink">
            <a:rPr lang="en-US" sz="6600" b="0" i="0" u="none" strike="noStrike">
              <a:solidFill>
                <a:schemeClr val="accent3">
                  <a:lumMod val="50000"/>
                </a:schemeClr>
              </a:solidFill>
              <a:latin typeface="Calibri"/>
              <a:ea typeface="Calibri"/>
              <a:cs typeface="Calibri"/>
            </a:rPr>
            <a:pPr algn="l"/>
            <a:t>SEM. - 027</a:t>
          </a:fld>
          <a:endParaRPr lang="es-PE" sz="34400">
            <a:solidFill>
              <a:schemeClr val="accent3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1</xdr:col>
      <xdr:colOff>430789</xdr:colOff>
      <xdr:row>2</xdr:row>
      <xdr:rowOff>361517</xdr:rowOff>
    </xdr:from>
    <xdr:to>
      <xdr:col>3</xdr:col>
      <xdr:colOff>740350</xdr:colOff>
      <xdr:row>3</xdr:row>
      <xdr:rowOff>875096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F127B00-D26E-462F-882E-704AF7542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2789" y="752042"/>
          <a:ext cx="4652961" cy="1666104"/>
        </a:xfrm>
        <a:prstGeom prst="rect">
          <a:avLst/>
        </a:prstGeom>
      </xdr:spPr>
    </xdr:pic>
    <xdr:clientData/>
  </xdr:twoCellAnchor>
  <xdr:twoCellAnchor editAs="absolute">
    <xdr:from>
      <xdr:col>1</xdr:col>
      <xdr:colOff>523875</xdr:colOff>
      <xdr:row>3</xdr:row>
      <xdr:rowOff>1250369</xdr:rowOff>
    </xdr:from>
    <xdr:to>
      <xdr:col>3</xdr:col>
      <xdr:colOff>738187</xdr:colOff>
      <xdr:row>18</xdr:row>
      <xdr:rowOff>34549</xdr:rowOff>
    </xdr:to>
    <xdr:grpSp>
      <xdr:nvGrpSpPr>
        <xdr:cNvPr id="8" name="Grupo 7">
          <a:extLst>
            <a:ext uri="{FF2B5EF4-FFF2-40B4-BE49-F238E27FC236}">
              <a16:creationId xmlns:a16="http://schemas.microsoft.com/office/drawing/2014/main" id="{97DDF900-E030-43F5-8C5C-25CCC9BB6B73}"/>
            </a:ext>
          </a:extLst>
        </xdr:cNvPr>
        <xdr:cNvGrpSpPr>
          <a:grpSpLocks noChangeAspect="1"/>
        </xdr:cNvGrpSpPr>
      </xdr:nvGrpSpPr>
      <xdr:grpSpPr>
        <a:xfrm>
          <a:off x="1285875" y="2793419"/>
          <a:ext cx="4557712" cy="5432630"/>
          <a:chOff x="1809750" y="3976687"/>
          <a:chExt cx="4572000" cy="4310063"/>
        </a:xfrm>
      </xdr:grpSpPr>
      <xdr:grpSp>
        <xdr:nvGrpSpPr>
          <xdr:cNvPr id="9" name="Grupo 8">
            <a:extLst>
              <a:ext uri="{FF2B5EF4-FFF2-40B4-BE49-F238E27FC236}">
                <a16:creationId xmlns:a16="http://schemas.microsoft.com/office/drawing/2014/main" id="{12464491-9E35-8862-5AE2-41C054B60941}"/>
              </a:ext>
            </a:extLst>
          </xdr:cNvPr>
          <xdr:cNvGrpSpPr/>
        </xdr:nvGrpSpPr>
        <xdr:grpSpPr>
          <a:xfrm>
            <a:off x="1809750" y="3976687"/>
            <a:ext cx="4572000" cy="4310063"/>
            <a:chOff x="1952622" y="3976687"/>
            <a:chExt cx="4572000" cy="4310063"/>
          </a:xfrm>
        </xdr:grpSpPr>
        <xdr:sp macro="" textlink="$P$7">
          <xdr:nvSpPr>
            <xdr:cNvPr id="13" name="Rectángulo: esquinas redondeadas 12">
              <a:extLst>
                <a:ext uri="{FF2B5EF4-FFF2-40B4-BE49-F238E27FC236}">
                  <a16:creationId xmlns:a16="http://schemas.microsoft.com/office/drawing/2014/main" id="{A646C98E-92A3-C7C5-A265-5065258332DF}"/>
                </a:ext>
              </a:extLst>
            </xdr:cNvPr>
            <xdr:cNvSpPr/>
          </xdr:nvSpPr>
          <xdr:spPr>
            <a:xfrm>
              <a:off x="1952622" y="3976687"/>
              <a:ext cx="4572000" cy="4310063"/>
            </a:xfrm>
            <a:prstGeom prst="roundRect">
              <a:avLst/>
            </a:prstGeom>
            <a:ln w="57150">
              <a:solidFill>
                <a:schemeClr val="accent1">
                  <a:lumMod val="50000"/>
                </a:schemeClr>
              </a:solidFill>
            </a:ln>
          </xdr:spPr>
          <xdr:style>
            <a:lnRef idx="2">
              <a:schemeClr val="accent5"/>
            </a:lnRef>
            <a:fillRef idx="1">
              <a:schemeClr val="lt1"/>
            </a:fillRef>
            <a:effectRef idx="0">
              <a:schemeClr val="accent5"/>
            </a:effectRef>
            <a:fontRef idx="minor">
              <a:schemeClr val="dk1"/>
            </a:fontRef>
          </xdr:style>
          <xdr:txBody>
            <a:bodyPr vertOverflow="clip" horzOverflow="clip" rtlCol="0" anchor="b"/>
            <a:lstStyle/>
            <a:p>
              <a:pPr algn="ctr"/>
              <a:endParaRPr lang="es-PE" sz="3600"/>
            </a:p>
          </xdr:txBody>
        </xdr:sp>
        <xdr:grpSp>
          <xdr:nvGrpSpPr>
            <xdr:cNvPr id="14" name="Grupo 13">
              <a:extLst>
                <a:ext uri="{FF2B5EF4-FFF2-40B4-BE49-F238E27FC236}">
                  <a16:creationId xmlns:a16="http://schemas.microsoft.com/office/drawing/2014/main" id="{CAA07461-BB63-377E-9BD3-5BA729524DC5}"/>
                </a:ext>
              </a:extLst>
            </xdr:cNvPr>
            <xdr:cNvGrpSpPr/>
          </xdr:nvGrpSpPr>
          <xdr:grpSpPr>
            <a:xfrm>
              <a:off x="2333622" y="4406082"/>
              <a:ext cx="4048130" cy="2666229"/>
              <a:chOff x="2333622" y="4406082"/>
              <a:chExt cx="4048130" cy="2666229"/>
            </a:xfrm>
          </xdr:grpSpPr>
          <xdr:sp macro="" textlink="">
            <xdr:nvSpPr>
              <xdr:cNvPr id="15" name="CuadroTexto 14">
                <a:extLst>
                  <a:ext uri="{FF2B5EF4-FFF2-40B4-BE49-F238E27FC236}">
                    <a16:creationId xmlns:a16="http://schemas.microsoft.com/office/drawing/2014/main" id="{320E7936-9CC1-5BB7-F292-B72EDE0CDB6B}"/>
                  </a:ext>
                </a:extLst>
              </xdr:cNvPr>
              <xdr:cNvSpPr txBox="1"/>
            </xdr:nvSpPr>
            <xdr:spPr>
              <a:xfrm>
                <a:off x="2333622" y="4406082"/>
                <a:ext cx="3762376" cy="1663250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bg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es-PE" sz="3200">
                    <a:solidFill>
                      <a:schemeClr val="accent1">
                        <a:lumMod val="50000"/>
                      </a:schemeClr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t>🕒</a:t>
                </a:r>
                <a:r>
                  <a:rPr lang="es-PE" sz="2800" b="1">
                    <a:solidFill>
                      <a:sysClr val="windowText" lastClr="000000"/>
                    </a:solidFill>
                    <a:latin typeface="+mn-lt"/>
                    <a:cs typeface="Segoe UI" panose="020B0502040204020203" pitchFamily="34" charset="0"/>
                  </a:rPr>
                  <a:t>HORAS TOTALES </a:t>
                </a:r>
              </a:p>
              <a:p>
                <a:pPr algn="ctr"/>
                <a:r>
                  <a:rPr lang="es-PE" sz="2800" b="1">
                    <a:solidFill>
                      <a:sysClr val="windowText" lastClr="000000"/>
                    </a:solidFill>
                    <a:latin typeface="+mn-lt"/>
                    <a:cs typeface="Segoe UI" panose="020B0502040204020203" pitchFamily="34" charset="0"/>
                  </a:rPr>
                  <a:t>DE MANTENIMIENTO</a:t>
                </a:r>
                <a:endParaRPr lang="es-PE" sz="3200" b="1">
                  <a:solidFill>
                    <a:sysClr val="windowText" lastClr="000000"/>
                  </a:solidFill>
                  <a:latin typeface="+mn-lt"/>
                  <a:cs typeface="Segoe UI" panose="020B0502040204020203" pitchFamily="34" charset="0"/>
                </a:endParaRPr>
              </a:p>
            </xdr:txBody>
          </xdr:sp>
          <xdr:grpSp>
            <xdr:nvGrpSpPr>
              <xdr:cNvPr id="16" name="Grupo 15">
                <a:extLst>
                  <a:ext uri="{FF2B5EF4-FFF2-40B4-BE49-F238E27FC236}">
                    <a16:creationId xmlns:a16="http://schemas.microsoft.com/office/drawing/2014/main" id="{EC8BAF56-3732-507F-EA34-449DA941EAF8}"/>
                  </a:ext>
                </a:extLst>
              </xdr:cNvPr>
              <xdr:cNvGrpSpPr/>
            </xdr:nvGrpSpPr>
            <xdr:grpSpPr>
              <a:xfrm>
                <a:off x="2809872" y="5786435"/>
                <a:ext cx="3571880" cy="1285876"/>
                <a:chOff x="2786059" y="5905498"/>
                <a:chExt cx="3571880" cy="1285876"/>
              </a:xfrm>
            </xdr:grpSpPr>
            <xdr:sp macro="" textlink="$P$7">
              <xdr:nvSpPr>
                <xdr:cNvPr id="17" name="CuadroTexto 16">
                  <a:extLst>
                    <a:ext uri="{FF2B5EF4-FFF2-40B4-BE49-F238E27FC236}">
                      <a16:creationId xmlns:a16="http://schemas.microsoft.com/office/drawing/2014/main" id="{258BE9C6-CBCB-9F49-8887-0BFBEF699CF8}"/>
                    </a:ext>
                  </a:extLst>
                </xdr:cNvPr>
                <xdr:cNvSpPr txBox="1"/>
              </xdr:nvSpPr>
              <xdr:spPr>
                <a:xfrm>
                  <a:off x="2786059" y="5905498"/>
                  <a:ext cx="2524123" cy="1285876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bg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fld id="{77501A1C-00DA-4D0A-BA0D-DD6B6C4A9CAB}" type="TxLink">
                    <a:rPr lang="en-US" sz="8800" b="0" i="0" u="none" strike="noStrike">
                      <a:solidFill>
                        <a:schemeClr val="accent1">
                          <a:lumMod val="50000"/>
                        </a:schemeClr>
                      </a:solidFill>
                      <a:latin typeface="Calibri"/>
                      <a:ea typeface="Calibri"/>
                      <a:cs typeface="Calibri"/>
                    </a:rPr>
                    <a:pPr/>
                    <a:t>18.8</a:t>
                  </a:fld>
                  <a:endParaRPr lang="es-PE" sz="4400">
                    <a:solidFill>
                      <a:schemeClr val="accent1">
                        <a:lumMod val="50000"/>
                      </a:schemeClr>
                    </a:solidFill>
                  </a:endParaRPr>
                </a:p>
              </xdr:txBody>
            </xdr:sp>
            <xdr:sp macro="" textlink="">
              <xdr:nvSpPr>
                <xdr:cNvPr id="18" name="CuadroTexto 17">
                  <a:extLst>
                    <a:ext uri="{FF2B5EF4-FFF2-40B4-BE49-F238E27FC236}">
                      <a16:creationId xmlns:a16="http://schemas.microsoft.com/office/drawing/2014/main" id="{7C1B3A68-E413-3009-6DC6-CF890A943A7E}"/>
                    </a:ext>
                  </a:extLst>
                </xdr:cNvPr>
                <xdr:cNvSpPr txBox="1"/>
              </xdr:nvSpPr>
              <xdr:spPr>
                <a:xfrm>
                  <a:off x="4962527" y="5917866"/>
                  <a:ext cx="1395412" cy="108585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bg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8800" b="0" i="0" u="none" strike="noStrike">
                      <a:solidFill>
                        <a:schemeClr val="accent1">
                          <a:lumMod val="50000"/>
                        </a:schemeClr>
                      </a:solidFill>
                      <a:latin typeface="Calibri"/>
                      <a:ea typeface="Calibri"/>
                      <a:cs typeface="Calibri"/>
                    </a:rPr>
                    <a:t>h</a:t>
                  </a:r>
                </a:p>
              </xdr:txBody>
            </xdr:sp>
          </xdr:grpSp>
        </xdr:grpSp>
      </xdr:grpSp>
      <xdr:grpSp>
        <xdr:nvGrpSpPr>
          <xdr:cNvPr id="10" name="Grupo 9">
            <a:extLst>
              <a:ext uri="{FF2B5EF4-FFF2-40B4-BE49-F238E27FC236}">
                <a16:creationId xmlns:a16="http://schemas.microsoft.com/office/drawing/2014/main" id="{66D30FBB-A7EB-108D-607D-1BD0581F7080}"/>
              </a:ext>
            </a:extLst>
          </xdr:cNvPr>
          <xdr:cNvGrpSpPr/>
        </xdr:nvGrpSpPr>
        <xdr:grpSpPr>
          <a:xfrm>
            <a:off x="2190755" y="7064556"/>
            <a:ext cx="3571873" cy="823911"/>
            <a:chOff x="2190755" y="7064556"/>
            <a:chExt cx="3571873" cy="823911"/>
          </a:xfrm>
        </xdr:grpSpPr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2F1E6603-3761-7911-D4BD-3B39473894C7}"/>
                </a:ext>
              </a:extLst>
            </xdr:cNvPr>
            <xdr:cNvSpPr txBox="1"/>
          </xdr:nvSpPr>
          <xdr:spPr>
            <a:xfrm>
              <a:off x="2190755" y="7156043"/>
              <a:ext cx="3262308" cy="642937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s-PE" sz="2800" b="0">
                  <a:solidFill>
                    <a:schemeClr val="accent1">
                      <a:lumMod val="50000"/>
                    </a:schemeClr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Turnos</a:t>
              </a:r>
              <a:r>
                <a:rPr lang="es-PE" sz="2800" b="0" baseline="0">
                  <a:solidFill>
                    <a:schemeClr val="accent1">
                      <a:lumMod val="50000"/>
                    </a:schemeClr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registrados:</a:t>
              </a:r>
              <a:endParaRPr lang="es-PE" sz="2800" b="1">
                <a:solidFill>
                  <a:schemeClr val="accent1">
                    <a:lumMod val="50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$T$7">
          <xdr:nvSpPr>
            <xdr:cNvPr id="12" name="CuadroTexto 11">
              <a:extLst>
                <a:ext uri="{FF2B5EF4-FFF2-40B4-BE49-F238E27FC236}">
                  <a16:creationId xmlns:a16="http://schemas.microsoft.com/office/drawing/2014/main" id="{6F071242-F786-CE30-7A12-740A87D77263}"/>
                </a:ext>
              </a:extLst>
            </xdr:cNvPr>
            <xdr:cNvSpPr txBox="1"/>
          </xdr:nvSpPr>
          <xdr:spPr>
            <a:xfrm>
              <a:off x="5310189" y="7064556"/>
              <a:ext cx="452439" cy="82391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fld id="{DDEEB343-6293-44C8-8ADB-C3D3E9279269}" type="TxLink">
                <a:rPr lang="en-US" sz="3600" b="0" i="0" u="none" strike="noStrike">
                  <a:solidFill>
                    <a:schemeClr val="accent1">
                      <a:lumMod val="50000"/>
                    </a:schemeClr>
                  </a:solidFill>
                  <a:latin typeface="Calibri"/>
                  <a:ea typeface="Calibri"/>
                  <a:cs typeface="Calibri"/>
                </a:rPr>
                <a:pPr algn="l"/>
                <a:t>3</a:t>
              </a:fld>
              <a:endParaRPr lang="es-PE" sz="4000" b="1">
                <a:solidFill>
                  <a:schemeClr val="accent1">
                    <a:lumMod val="50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</xdr:grpSp>
    <xdr:clientData/>
  </xdr:twoCellAnchor>
  <xdr:twoCellAnchor editAs="absolute">
    <xdr:from>
      <xdr:col>3</xdr:col>
      <xdr:colOff>928540</xdr:colOff>
      <xdr:row>3</xdr:row>
      <xdr:rowOff>1228336</xdr:rowOff>
    </xdr:from>
    <xdr:to>
      <xdr:col>7</xdr:col>
      <xdr:colOff>470629</xdr:colOff>
      <xdr:row>17</xdr:row>
      <xdr:rowOff>277874</xdr:rowOff>
    </xdr:to>
    <xdr:grpSp>
      <xdr:nvGrpSpPr>
        <xdr:cNvPr id="19" name="Grupo 18">
          <a:extLst>
            <a:ext uri="{FF2B5EF4-FFF2-40B4-BE49-F238E27FC236}">
              <a16:creationId xmlns:a16="http://schemas.microsoft.com/office/drawing/2014/main" id="{2148E2B2-93BB-45CA-B2FB-04D6C3775BAF}"/>
            </a:ext>
          </a:extLst>
        </xdr:cNvPr>
        <xdr:cNvGrpSpPr>
          <a:grpSpLocks noChangeAspect="1"/>
        </xdr:cNvGrpSpPr>
      </xdr:nvGrpSpPr>
      <xdr:grpSpPr>
        <a:xfrm>
          <a:off x="6033940" y="2771386"/>
          <a:ext cx="4609389" cy="5402713"/>
          <a:chOff x="7939083" y="3986213"/>
          <a:chExt cx="4571999" cy="4309200"/>
        </a:xfrm>
      </xdr:grpSpPr>
      <xdr:grpSp>
        <xdr:nvGrpSpPr>
          <xdr:cNvPr id="20" name="Grupo 19">
            <a:extLst>
              <a:ext uri="{FF2B5EF4-FFF2-40B4-BE49-F238E27FC236}">
                <a16:creationId xmlns:a16="http://schemas.microsoft.com/office/drawing/2014/main" id="{26912D5F-5B10-FF1D-204F-2775C269536B}"/>
              </a:ext>
            </a:extLst>
          </xdr:cNvPr>
          <xdr:cNvGrpSpPr/>
        </xdr:nvGrpSpPr>
        <xdr:grpSpPr>
          <a:xfrm>
            <a:off x="7939083" y="3986213"/>
            <a:ext cx="4571999" cy="4309200"/>
            <a:chOff x="1500187" y="3571875"/>
            <a:chExt cx="5405437" cy="4929187"/>
          </a:xfrm>
        </xdr:grpSpPr>
        <xdr:sp macro="" textlink="$P$7">
          <xdr:nvSpPr>
            <xdr:cNvPr id="24" name="Rectángulo: esquinas redondeadas 23">
              <a:extLst>
                <a:ext uri="{FF2B5EF4-FFF2-40B4-BE49-F238E27FC236}">
                  <a16:creationId xmlns:a16="http://schemas.microsoft.com/office/drawing/2014/main" id="{30C5B5B1-63CC-8820-8B36-F1308ACF8404}"/>
                </a:ext>
              </a:extLst>
            </xdr:cNvPr>
            <xdr:cNvSpPr/>
          </xdr:nvSpPr>
          <xdr:spPr>
            <a:xfrm>
              <a:off x="1500187" y="3571875"/>
              <a:ext cx="5405437" cy="4929187"/>
            </a:xfrm>
            <a:prstGeom prst="roundRect">
              <a:avLst/>
            </a:prstGeom>
            <a:ln w="57150">
              <a:solidFill>
                <a:srgbClr val="C00000"/>
              </a:solidFill>
            </a:ln>
          </xdr:spPr>
          <xdr:style>
            <a:lnRef idx="2">
              <a:schemeClr val="accent5"/>
            </a:lnRef>
            <a:fillRef idx="1">
              <a:schemeClr val="lt1"/>
            </a:fillRef>
            <a:effectRef idx="0">
              <a:schemeClr val="accent5"/>
            </a:effectRef>
            <a:fontRef idx="minor">
              <a:schemeClr val="dk1"/>
            </a:fontRef>
          </xdr:style>
          <xdr:txBody>
            <a:bodyPr vertOverflow="clip" horzOverflow="clip" rtlCol="0" anchor="b"/>
            <a:lstStyle/>
            <a:p>
              <a:pPr algn="ctr"/>
              <a:endParaRPr lang="es-PE" sz="3600"/>
            </a:p>
          </xdr:txBody>
        </xdr:sp>
        <xdr:grpSp>
          <xdr:nvGrpSpPr>
            <xdr:cNvPr id="25" name="Grupo 24">
              <a:extLst>
                <a:ext uri="{FF2B5EF4-FFF2-40B4-BE49-F238E27FC236}">
                  <a16:creationId xmlns:a16="http://schemas.microsoft.com/office/drawing/2014/main" id="{CDB4DCE7-0BCA-D34A-277F-20B994BB3D0C}"/>
                </a:ext>
              </a:extLst>
            </xdr:cNvPr>
            <xdr:cNvGrpSpPr/>
          </xdr:nvGrpSpPr>
          <xdr:grpSpPr>
            <a:xfrm>
              <a:off x="2369627" y="4140518"/>
              <a:ext cx="3561134" cy="2980559"/>
              <a:chOff x="338953" y="7457545"/>
              <a:chExt cx="4923917" cy="3308792"/>
            </a:xfrm>
          </xdr:grpSpPr>
          <xdr:sp macro="" textlink="">
            <xdr:nvSpPr>
              <xdr:cNvPr id="26" name="CuadroTexto 25">
                <a:extLst>
                  <a:ext uri="{FF2B5EF4-FFF2-40B4-BE49-F238E27FC236}">
                    <a16:creationId xmlns:a16="http://schemas.microsoft.com/office/drawing/2014/main" id="{63C9B3A6-52B8-75D6-9B3C-075661F44E61}"/>
                  </a:ext>
                </a:extLst>
              </xdr:cNvPr>
              <xdr:cNvSpPr txBox="1"/>
            </xdr:nvSpPr>
            <xdr:spPr>
              <a:xfrm>
                <a:off x="476557" y="7457545"/>
                <a:ext cx="4786313" cy="2071688"/>
              </a:xfrm>
              <a:prstGeom prst="rect">
                <a:avLst/>
              </a:prstGeom>
              <a:noFill/>
              <a:ln w="9525" cmpd="sng">
                <a:solidFill>
                  <a:schemeClr val="bg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es-PE" sz="3200"/>
                  <a:t>🛠️</a:t>
                </a:r>
                <a:r>
                  <a:rPr lang="es-PE" sz="2800" b="1">
                    <a:solidFill>
                      <a:sysClr val="windowText" lastClr="000000"/>
                    </a:solidFill>
                    <a:latin typeface="+mn-lt"/>
                    <a:cs typeface="Segoe UI" panose="020B0502040204020203" pitchFamily="34" charset="0"/>
                  </a:rPr>
                  <a:t>HORAS</a:t>
                </a:r>
                <a:r>
                  <a:rPr lang="es-PE" sz="2800" b="1" baseline="0">
                    <a:solidFill>
                      <a:sysClr val="windowText" lastClr="000000"/>
                    </a:solidFill>
                    <a:latin typeface="+mn-lt"/>
                    <a:cs typeface="Segoe UI" panose="020B0502040204020203" pitchFamily="34" charset="0"/>
                  </a:rPr>
                  <a:t> NO PROGRAMADAS</a:t>
                </a:r>
                <a:endParaRPr lang="es-PE" sz="3600" b="1">
                  <a:solidFill>
                    <a:sysClr val="windowText" lastClr="000000"/>
                  </a:solidFill>
                  <a:latin typeface="+mn-lt"/>
                  <a:cs typeface="Segoe UI" panose="020B0502040204020203" pitchFamily="34" charset="0"/>
                </a:endParaRPr>
              </a:p>
            </xdr:txBody>
          </xdr:sp>
          <xdr:grpSp>
            <xdr:nvGrpSpPr>
              <xdr:cNvPr id="27" name="Grupo 26">
                <a:extLst>
                  <a:ext uri="{FF2B5EF4-FFF2-40B4-BE49-F238E27FC236}">
                    <a16:creationId xmlns:a16="http://schemas.microsoft.com/office/drawing/2014/main" id="{B571893D-D765-9E27-AD45-3034079BBD10}"/>
                  </a:ext>
                </a:extLst>
              </xdr:cNvPr>
              <xdr:cNvGrpSpPr/>
            </xdr:nvGrpSpPr>
            <xdr:grpSpPr>
              <a:xfrm>
                <a:off x="338953" y="9167488"/>
                <a:ext cx="4713031" cy="1598849"/>
                <a:chOff x="8196000" y="16223797"/>
                <a:chExt cx="5288700" cy="3562861"/>
              </a:xfrm>
            </xdr:grpSpPr>
            <xdr:sp macro="" textlink="$P$8">
              <xdr:nvSpPr>
                <xdr:cNvPr id="28" name="CuadroTexto 27">
                  <a:extLst>
                    <a:ext uri="{FF2B5EF4-FFF2-40B4-BE49-F238E27FC236}">
                      <a16:creationId xmlns:a16="http://schemas.microsoft.com/office/drawing/2014/main" id="{E8A4BB01-2FFD-85D0-9E24-08C76BF81C0E}"/>
                    </a:ext>
                  </a:extLst>
                </xdr:cNvPr>
                <xdr:cNvSpPr txBox="1"/>
              </xdr:nvSpPr>
              <xdr:spPr>
                <a:xfrm>
                  <a:off x="8196000" y="16228609"/>
                  <a:ext cx="4089687" cy="3558049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bg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fld id="{4DC7DEF9-D923-48F7-B3D4-D1DE98BB9A2D}" type="TxLink">
                    <a:rPr lang="en-US" sz="8800" b="0" i="0" u="none" strike="noStrike">
                      <a:solidFill>
                        <a:srgbClr val="C00000"/>
                      </a:solidFill>
                      <a:latin typeface="Calibri"/>
                      <a:ea typeface="Calibri"/>
                      <a:cs typeface="Calibri"/>
                    </a:rPr>
                    <a:pPr algn="ctr"/>
                    <a:t>9.42</a:t>
                  </a:fld>
                  <a:endParaRPr lang="es-PE" sz="16600">
                    <a:solidFill>
                      <a:srgbClr val="C00000"/>
                    </a:solidFill>
                  </a:endParaRPr>
                </a:p>
              </xdr:txBody>
            </xdr:sp>
            <xdr:sp macro="" textlink="">
              <xdr:nvSpPr>
                <xdr:cNvPr id="29" name="CuadroTexto 28">
                  <a:extLst>
                    <a:ext uri="{FF2B5EF4-FFF2-40B4-BE49-F238E27FC236}">
                      <a16:creationId xmlns:a16="http://schemas.microsoft.com/office/drawing/2014/main" id="{6A456373-CCCD-C1F4-FDAC-1D5DC1378D96}"/>
                    </a:ext>
                  </a:extLst>
                </xdr:cNvPr>
                <xdr:cNvSpPr txBox="1"/>
              </xdr:nvSpPr>
              <xdr:spPr>
                <a:xfrm>
                  <a:off x="12089289" y="16223797"/>
                  <a:ext cx="1395411" cy="325557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bg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8800" b="0" i="0" u="none" strike="noStrike">
                      <a:solidFill>
                        <a:srgbClr val="C00000"/>
                      </a:solidFill>
                      <a:latin typeface="Calibri"/>
                      <a:ea typeface="Calibri"/>
                      <a:cs typeface="Calibri"/>
                    </a:rPr>
                    <a:t>h</a:t>
                  </a:r>
                </a:p>
              </xdr:txBody>
            </xdr:sp>
          </xdr:grpSp>
        </xdr:grpSp>
      </xdr:grpSp>
      <xdr:grpSp>
        <xdr:nvGrpSpPr>
          <xdr:cNvPr id="21" name="Grupo 20">
            <a:extLst>
              <a:ext uri="{FF2B5EF4-FFF2-40B4-BE49-F238E27FC236}">
                <a16:creationId xmlns:a16="http://schemas.microsoft.com/office/drawing/2014/main" id="{A4BCED74-5513-6D3D-1A83-D56B7DAC9FCB}"/>
              </a:ext>
            </a:extLst>
          </xdr:cNvPr>
          <xdr:cNvGrpSpPr/>
        </xdr:nvGrpSpPr>
        <xdr:grpSpPr>
          <a:xfrm>
            <a:off x="8320087" y="7177084"/>
            <a:ext cx="3657598" cy="704853"/>
            <a:chOff x="8677275" y="7224709"/>
            <a:chExt cx="3657598" cy="704853"/>
          </a:xfrm>
        </xdr:grpSpPr>
        <xdr:sp macro="" textlink="">
          <xdr:nvSpPr>
            <xdr:cNvPr id="22" name="CuadroTexto 21">
              <a:extLst>
                <a:ext uri="{FF2B5EF4-FFF2-40B4-BE49-F238E27FC236}">
                  <a16:creationId xmlns:a16="http://schemas.microsoft.com/office/drawing/2014/main" id="{69EF9CFE-4990-BAD8-CD27-F7A7566DF4CF}"/>
                </a:ext>
              </a:extLst>
            </xdr:cNvPr>
            <xdr:cNvSpPr txBox="1"/>
          </xdr:nvSpPr>
          <xdr:spPr>
            <a:xfrm>
              <a:off x="9620249" y="7286625"/>
              <a:ext cx="2714624" cy="642937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r"/>
              <a:r>
                <a:rPr lang="es-PE" sz="2800" b="0">
                  <a:solidFill>
                    <a:srgbClr val="C00000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del</a:t>
              </a:r>
              <a:r>
                <a:rPr lang="es-PE" sz="2800" b="0" baseline="0">
                  <a:solidFill>
                    <a:srgbClr val="C00000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tiempo total</a:t>
              </a:r>
              <a:endParaRPr lang="es-PE" sz="2800" b="1">
                <a:solidFill>
                  <a:srgbClr val="C00000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$Q$8">
          <xdr:nvSpPr>
            <xdr:cNvPr id="23" name="CuadroTexto 22">
              <a:extLst>
                <a:ext uri="{FF2B5EF4-FFF2-40B4-BE49-F238E27FC236}">
                  <a16:creationId xmlns:a16="http://schemas.microsoft.com/office/drawing/2014/main" id="{2ED9A65A-D3EB-7AEA-3802-D3CB880BEB85}"/>
                </a:ext>
              </a:extLst>
            </xdr:cNvPr>
            <xdr:cNvSpPr txBox="1"/>
          </xdr:nvSpPr>
          <xdr:spPr>
            <a:xfrm>
              <a:off x="8677275" y="7224709"/>
              <a:ext cx="990600" cy="642937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r"/>
              <a:fld id="{7C6DDE42-2F0D-45CB-AED4-A9741D3A3F34}" type="TxLink">
                <a:rPr lang="en-US" sz="3200" b="0" i="0" u="none" strike="noStrike">
                  <a:solidFill>
                    <a:srgbClr val="C00000"/>
                  </a:solidFill>
                  <a:latin typeface="Calibri"/>
                  <a:ea typeface="Calibri"/>
                  <a:cs typeface="Calibri"/>
                </a:rPr>
                <a:pPr algn="r"/>
                <a:t>50%</a:t>
              </a:fld>
              <a:endParaRPr lang="es-PE" sz="3200" b="1">
                <a:solidFill>
                  <a:srgbClr val="C00000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</xdr:grpSp>
    <xdr:clientData/>
  </xdr:twoCellAnchor>
  <xdr:twoCellAnchor editAs="absolute">
    <xdr:from>
      <xdr:col>7</xdr:col>
      <xdr:colOff>813516</xdr:colOff>
      <xdr:row>3</xdr:row>
      <xdr:rowOff>1239981</xdr:rowOff>
    </xdr:from>
    <xdr:to>
      <xdr:col>10</xdr:col>
      <xdr:colOff>1428311</xdr:colOff>
      <xdr:row>18</xdr:row>
      <xdr:rowOff>5114</xdr:rowOff>
    </xdr:to>
    <xdr:grpSp>
      <xdr:nvGrpSpPr>
        <xdr:cNvPr id="30" name="Grupo 29">
          <a:extLst>
            <a:ext uri="{FF2B5EF4-FFF2-40B4-BE49-F238E27FC236}">
              <a16:creationId xmlns:a16="http://schemas.microsoft.com/office/drawing/2014/main" id="{48E80CB9-CBA1-4E3B-85B8-67CBFB23984A}"/>
            </a:ext>
          </a:extLst>
        </xdr:cNvPr>
        <xdr:cNvGrpSpPr>
          <a:grpSpLocks noChangeAspect="1"/>
        </xdr:cNvGrpSpPr>
      </xdr:nvGrpSpPr>
      <xdr:grpSpPr>
        <a:xfrm>
          <a:off x="10986216" y="2783031"/>
          <a:ext cx="4605770" cy="5413583"/>
          <a:chOff x="7939083" y="3986213"/>
          <a:chExt cx="4572000" cy="4309200"/>
        </a:xfrm>
      </xdr:grpSpPr>
      <xdr:grpSp>
        <xdr:nvGrpSpPr>
          <xdr:cNvPr id="31" name="Grupo 30">
            <a:extLst>
              <a:ext uri="{FF2B5EF4-FFF2-40B4-BE49-F238E27FC236}">
                <a16:creationId xmlns:a16="http://schemas.microsoft.com/office/drawing/2014/main" id="{DC0AE60B-8A4E-ADAD-74F9-26583C3EC9DD}"/>
              </a:ext>
            </a:extLst>
          </xdr:cNvPr>
          <xdr:cNvGrpSpPr/>
        </xdr:nvGrpSpPr>
        <xdr:grpSpPr>
          <a:xfrm>
            <a:off x="7939083" y="3986213"/>
            <a:ext cx="4572000" cy="4309200"/>
            <a:chOff x="1500187" y="3571875"/>
            <a:chExt cx="5405437" cy="4929187"/>
          </a:xfrm>
        </xdr:grpSpPr>
        <xdr:sp macro="" textlink="$P$7">
          <xdr:nvSpPr>
            <xdr:cNvPr id="33" name="Rectángulo: esquinas redondeadas 32">
              <a:extLst>
                <a:ext uri="{FF2B5EF4-FFF2-40B4-BE49-F238E27FC236}">
                  <a16:creationId xmlns:a16="http://schemas.microsoft.com/office/drawing/2014/main" id="{2A772FFA-AD49-E629-B05F-8E17588E5201}"/>
                </a:ext>
              </a:extLst>
            </xdr:cNvPr>
            <xdr:cNvSpPr/>
          </xdr:nvSpPr>
          <xdr:spPr>
            <a:xfrm>
              <a:off x="1500187" y="3571875"/>
              <a:ext cx="5405437" cy="4929187"/>
            </a:xfrm>
            <a:prstGeom prst="roundRect">
              <a:avLst/>
            </a:prstGeom>
            <a:ln w="57150">
              <a:solidFill>
                <a:srgbClr val="92D050"/>
              </a:solidFill>
            </a:ln>
          </xdr:spPr>
          <xdr:style>
            <a:lnRef idx="2">
              <a:schemeClr val="accent5"/>
            </a:lnRef>
            <a:fillRef idx="1">
              <a:schemeClr val="lt1"/>
            </a:fillRef>
            <a:effectRef idx="0">
              <a:schemeClr val="accent5"/>
            </a:effectRef>
            <a:fontRef idx="minor">
              <a:schemeClr val="dk1"/>
            </a:fontRef>
          </xdr:style>
          <xdr:txBody>
            <a:bodyPr vertOverflow="clip" horzOverflow="clip" rtlCol="0" anchor="b"/>
            <a:lstStyle/>
            <a:p>
              <a:pPr algn="ctr"/>
              <a:endParaRPr lang="es-PE" sz="3600">
                <a:solidFill>
                  <a:srgbClr val="92D050"/>
                </a:solidFill>
              </a:endParaRPr>
            </a:p>
          </xdr:txBody>
        </xdr:sp>
        <xdr:grpSp>
          <xdr:nvGrpSpPr>
            <xdr:cNvPr id="34" name="Grupo 33">
              <a:extLst>
                <a:ext uri="{FF2B5EF4-FFF2-40B4-BE49-F238E27FC236}">
                  <a16:creationId xmlns:a16="http://schemas.microsoft.com/office/drawing/2014/main" id="{CDD44505-1CDF-F961-1EFC-E8AACC531F3D}"/>
                </a:ext>
              </a:extLst>
            </xdr:cNvPr>
            <xdr:cNvGrpSpPr/>
          </xdr:nvGrpSpPr>
          <xdr:grpSpPr>
            <a:xfrm>
              <a:off x="1833562" y="4119562"/>
              <a:ext cx="4786313" cy="3035604"/>
              <a:chOff x="1833562" y="4119562"/>
              <a:chExt cx="4786313" cy="3035604"/>
            </a:xfrm>
          </xdr:grpSpPr>
          <xdr:sp macro="" textlink="">
            <xdr:nvSpPr>
              <xdr:cNvPr id="35" name="CuadroTexto 34">
                <a:extLst>
                  <a:ext uri="{FF2B5EF4-FFF2-40B4-BE49-F238E27FC236}">
                    <a16:creationId xmlns:a16="http://schemas.microsoft.com/office/drawing/2014/main" id="{677C4F61-2C1D-7456-5F5A-26B6ABDBDED5}"/>
                  </a:ext>
                </a:extLst>
              </xdr:cNvPr>
              <xdr:cNvSpPr txBox="1"/>
            </xdr:nvSpPr>
            <xdr:spPr>
              <a:xfrm>
                <a:off x="1833562" y="4119562"/>
                <a:ext cx="4786313" cy="2071688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es-PE" sz="3200"/>
                  <a:t>📌</a:t>
                </a:r>
                <a:r>
                  <a:rPr lang="es-PE" sz="2800" b="1">
                    <a:solidFill>
                      <a:sysClr val="windowText" lastClr="000000"/>
                    </a:solidFill>
                    <a:latin typeface="+mn-lt"/>
                    <a:cs typeface="Segoe UI" panose="020B0502040204020203" pitchFamily="34" charset="0"/>
                  </a:rPr>
                  <a:t>INTERVENCIONES</a:t>
                </a:r>
                <a:r>
                  <a:rPr lang="es-PE" sz="2800" b="1" baseline="0">
                    <a:solidFill>
                      <a:sysClr val="windowText" lastClr="000000"/>
                    </a:solidFill>
                    <a:latin typeface="+mn-lt"/>
                    <a:cs typeface="Segoe UI" panose="020B0502040204020203" pitchFamily="34" charset="0"/>
                  </a:rPr>
                  <a:t> TOTALES</a:t>
                </a:r>
                <a:endParaRPr lang="es-PE" sz="3600" b="1">
                  <a:solidFill>
                    <a:sysClr val="windowText" lastClr="000000"/>
                  </a:solidFill>
                  <a:latin typeface="+mn-lt"/>
                  <a:cs typeface="Segoe UI" panose="020B0502040204020203" pitchFamily="34" charset="0"/>
                </a:endParaRPr>
              </a:p>
            </xdr:txBody>
          </xdr:sp>
          <xdr:sp macro="" textlink="$P$9">
            <xdr:nvSpPr>
              <xdr:cNvPr id="36" name="CuadroTexto 35">
                <a:extLst>
                  <a:ext uri="{FF2B5EF4-FFF2-40B4-BE49-F238E27FC236}">
                    <a16:creationId xmlns:a16="http://schemas.microsoft.com/office/drawing/2014/main" id="{43C17463-4CFD-CA74-FAF7-C75CC8037BA5}"/>
                  </a:ext>
                </a:extLst>
              </xdr:cNvPr>
              <xdr:cNvSpPr txBox="1"/>
            </xdr:nvSpPr>
            <xdr:spPr>
              <a:xfrm>
                <a:off x="2874863" y="5869290"/>
                <a:ext cx="2476499" cy="1285876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6653F887-2898-4609-8FA7-C4A79DC12FCD}" type="TxLink">
                  <a:rPr lang="en-US" sz="8800" b="0" i="0" u="none" strike="noStrike">
                    <a:solidFill>
                      <a:schemeClr val="accent6">
                        <a:lumMod val="75000"/>
                      </a:schemeClr>
                    </a:solidFill>
                    <a:latin typeface="Calibri"/>
                    <a:ea typeface="Calibri"/>
                    <a:cs typeface="Calibri"/>
                  </a:rPr>
                  <a:pPr algn="ctr"/>
                  <a:t>31</a:t>
                </a:fld>
                <a:endParaRPr lang="es-PE" sz="123400">
                  <a:solidFill>
                    <a:schemeClr val="accent6">
                      <a:lumMod val="75000"/>
                    </a:schemeClr>
                  </a:solidFill>
                </a:endParaRPr>
              </a:p>
            </xdr:txBody>
          </xdr:sp>
        </xdr:grpSp>
      </xdr:grpSp>
      <xdr:sp macro="" textlink="">
        <xdr:nvSpPr>
          <xdr:cNvPr id="32" name="CuadroTexto 31">
            <a:extLst>
              <a:ext uri="{FF2B5EF4-FFF2-40B4-BE49-F238E27FC236}">
                <a16:creationId xmlns:a16="http://schemas.microsoft.com/office/drawing/2014/main" id="{2E7D71C8-DF90-6476-0FAF-E604A9574CC1}"/>
              </a:ext>
            </a:extLst>
          </xdr:cNvPr>
          <xdr:cNvSpPr txBox="1"/>
        </xdr:nvSpPr>
        <xdr:spPr>
          <a:xfrm>
            <a:off x="8205788" y="7262812"/>
            <a:ext cx="4048125" cy="64293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PE" sz="2800" b="0">
                <a:solidFill>
                  <a:schemeClr val="accent6">
                    <a:lumMod val="7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Actividades</a:t>
            </a:r>
            <a:r>
              <a:rPr lang="es-PE" sz="2800" b="0" baseline="0">
                <a:solidFill>
                  <a:schemeClr val="accent6">
                    <a:lumMod val="7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</a:t>
            </a:r>
            <a:r>
              <a:rPr lang="es-PE" sz="2800" b="0">
                <a:solidFill>
                  <a:schemeClr val="accent6">
                    <a:lumMod val="7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registradas</a:t>
            </a:r>
            <a:endParaRPr lang="es-PE" sz="2800" b="1">
              <a:solidFill>
                <a:schemeClr val="accent6">
                  <a:lumMod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10</xdr:col>
      <xdr:colOff>1652149</xdr:colOff>
      <xdr:row>3</xdr:row>
      <xdr:rowOff>1249507</xdr:rowOff>
    </xdr:from>
    <xdr:to>
      <xdr:col>11</xdr:col>
      <xdr:colOff>2137058</xdr:colOff>
      <xdr:row>18</xdr:row>
      <xdr:rowOff>14640</xdr:rowOff>
    </xdr:to>
    <xdr:grpSp>
      <xdr:nvGrpSpPr>
        <xdr:cNvPr id="37" name="Grupo 36">
          <a:extLst>
            <a:ext uri="{FF2B5EF4-FFF2-40B4-BE49-F238E27FC236}">
              <a16:creationId xmlns:a16="http://schemas.microsoft.com/office/drawing/2014/main" id="{4FDA20A3-C6DF-43C2-B61C-C599DF1E5B80}"/>
            </a:ext>
          </a:extLst>
        </xdr:cNvPr>
        <xdr:cNvGrpSpPr>
          <a:grpSpLocks noChangeAspect="1"/>
        </xdr:cNvGrpSpPr>
      </xdr:nvGrpSpPr>
      <xdr:grpSpPr>
        <a:xfrm>
          <a:off x="15815824" y="2792557"/>
          <a:ext cx="4580659" cy="5413583"/>
          <a:chOff x="15801104" y="4024747"/>
          <a:chExt cx="4589318" cy="4133853"/>
        </a:xfrm>
      </xdr:grpSpPr>
      <xdr:grpSp>
        <xdr:nvGrpSpPr>
          <xdr:cNvPr id="38" name="Grupo 37">
            <a:extLst>
              <a:ext uri="{FF2B5EF4-FFF2-40B4-BE49-F238E27FC236}">
                <a16:creationId xmlns:a16="http://schemas.microsoft.com/office/drawing/2014/main" id="{EA3397F9-2294-EEE7-E76B-611DBAFBE5E9}"/>
              </a:ext>
            </a:extLst>
          </xdr:cNvPr>
          <xdr:cNvGrpSpPr/>
        </xdr:nvGrpSpPr>
        <xdr:grpSpPr>
          <a:xfrm>
            <a:off x="15801104" y="4024747"/>
            <a:ext cx="4589318" cy="4133853"/>
            <a:chOff x="7939083" y="3986213"/>
            <a:chExt cx="4572000" cy="4309200"/>
          </a:xfrm>
        </xdr:grpSpPr>
        <xdr:grpSp>
          <xdr:nvGrpSpPr>
            <xdr:cNvPr id="44" name="Grupo 43">
              <a:extLst>
                <a:ext uri="{FF2B5EF4-FFF2-40B4-BE49-F238E27FC236}">
                  <a16:creationId xmlns:a16="http://schemas.microsoft.com/office/drawing/2014/main" id="{31F5A3BE-9C95-6AB3-4664-8B0B8B0050D1}"/>
                </a:ext>
              </a:extLst>
            </xdr:cNvPr>
            <xdr:cNvGrpSpPr/>
          </xdr:nvGrpSpPr>
          <xdr:grpSpPr>
            <a:xfrm>
              <a:off x="7939083" y="3986213"/>
              <a:ext cx="4572000" cy="4309200"/>
              <a:chOff x="1500187" y="3571875"/>
              <a:chExt cx="5405437" cy="4929187"/>
            </a:xfrm>
          </xdr:grpSpPr>
          <xdr:sp macro="" textlink="$P$7">
            <xdr:nvSpPr>
              <xdr:cNvPr id="46" name="Rectángulo: esquinas redondeadas 45">
                <a:extLst>
                  <a:ext uri="{FF2B5EF4-FFF2-40B4-BE49-F238E27FC236}">
                    <a16:creationId xmlns:a16="http://schemas.microsoft.com/office/drawing/2014/main" id="{DBD3EAE7-2FB2-F538-BC5B-31376C001162}"/>
                  </a:ext>
                </a:extLst>
              </xdr:cNvPr>
              <xdr:cNvSpPr/>
            </xdr:nvSpPr>
            <xdr:spPr>
              <a:xfrm>
                <a:off x="1500187" y="3571875"/>
                <a:ext cx="5405437" cy="4929187"/>
              </a:xfrm>
              <a:prstGeom prst="roundRect">
                <a:avLst/>
              </a:prstGeom>
              <a:ln w="57150">
                <a:solidFill>
                  <a:schemeClr val="accent2">
                    <a:lumMod val="75000"/>
                  </a:schemeClr>
                </a:solidFill>
              </a:ln>
            </xdr:spPr>
            <xdr:style>
              <a:lnRef idx="2">
                <a:schemeClr val="accent5"/>
              </a:lnRef>
              <a:fillRef idx="1">
                <a:schemeClr val="lt1"/>
              </a:fillRef>
              <a:effectRef idx="0">
                <a:schemeClr val="accent5"/>
              </a:effectRef>
              <a:fontRef idx="minor">
                <a:schemeClr val="dk1"/>
              </a:fontRef>
            </xdr:style>
            <xdr:txBody>
              <a:bodyPr vertOverflow="clip" horzOverflow="clip" rtlCol="0" anchor="b"/>
              <a:lstStyle/>
              <a:p>
                <a:pPr algn="ctr"/>
                <a:endParaRPr lang="es-PE" sz="3600">
                  <a:solidFill>
                    <a:srgbClr val="92D050"/>
                  </a:solidFill>
                </a:endParaRPr>
              </a:p>
            </xdr:txBody>
          </xdr:sp>
          <xdr:grpSp>
            <xdr:nvGrpSpPr>
              <xdr:cNvPr id="47" name="Grupo 46">
                <a:extLst>
                  <a:ext uri="{FF2B5EF4-FFF2-40B4-BE49-F238E27FC236}">
                    <a16:creationId xmlns:a16="http://schemas.microsoft.com/office/drawing/2014/main" id="{A2B3BE7E-B549-1E2B-C9B8-29F861B2D521}"/>
                  </a:ext>
                </a:extLst>
              </xdr:cNvPr>
              <xdr:cNvGrpSpPr/>
            </xdr:nvGrpSpPr>
            <xdr:grpSpPr>
              <a:xfrm>
                <a:off x="1833562" y="4160862"/>
                <a:ext cx="4819134" cy="3109615"/>
                <a:chOff x="1833562" y="4160862"/>
                <a:chExt cx="4819134" cy="3109615"/>
              </a:xfrm>
            </xdr:grpSpPr>
            <xdr:sp macro="" textlink="">
              <xdr:nvSpPr>
                <xdr:cNvPr id="48" name="CuadroTexto 47">
                  <a:extLst>
                    <a:ext uri="{FF2B5EF4-FFF2-40B4-BE49-F238E27FC236}">
                      <a16:creationId xmlns:a16="http://schemas.microsoft.com/office/drawing/2014/main" id="{0D71AB17-60FA-503B-DCF4-C5C07F604FAE}"/>
                    </a:ext>
                  </a:extLst>
                </xdr:cNvPr>
                <xdr:cNvSpPr txBox="1"/>
              </xdr:nvSpPr>
              <xdr:spPr>
                <a:xfrm>
                  <a:off x="1833562" y="4160862"/>
                  <a:ext cx="4786313" cy="1240610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PE" sz="2800"/>
                    <a:t>⚠️</a:t>
                  </a:r>
                  <a:r>
                    <a:rPr lang="es-PE" sz="2800" b="1">
                      <a:solidFill>
                        <a:sysClr val="windowText" lastClr="000000"/>
                      </a:solidFill>
                      <a:latin typeface="+mn-lt"/>
                      <a:cs typeface="Segoe UI" panose="020B0502040204020203" pitchFamily="34" charset="0"/>
                    </a:rPr>
                    <a:t>EQUIPO</a:t>
                  </a:r>
                  <a:r>
                    <a:rPr lang="es-PE" sz="2800" b="1" baseline="0">
                      <a:solidFill>
                        <a:sysClr val="windowText" lastClr="000000"/>
                      </a:solidFill>
                      <a:latin typeface="+mn-lt"/>
                      <a:cs typeface="Segoe UI" panose="020B0502040204020203" pitchFamily="34" charset="0"/>
                    </a:rPr>
                    <a:t> CRÍTICO </a:t>
                  </a:r>
                </a:p>
                <a:p>
                  <a:pPr algn="ctr"/>
                  <a:r>
                    <a:rPr lang="es-PE" sz="2800" b="1" baseline="0">
                      <a:solidFill>
                        <a:sysClr val="windowText" lastClr="000000"/>
                      </a:solidFill>
                      <a:latin typeface="+mn-lt"/>
                      <a:cs typeface="Segoe UI" panose="020B0502040204020203" pitchFamily="34" charset="0"/>
                    </a:rPr>
                    <a:t>DEL DIA</a:t>
                  </a:r>
                  <a:endParaRPr lang="es-PE" sz="3600" b="1">
                    <a:solidFill>
                      <a:sysClr val="windowText" lastClr="000000"/>
                    </a:solidFill>
                    <a:latin typeface="+mn-lt"/>
                    <a:cs typeface="Segoe UI" panose="020B0502040204020203" pitchFamily="34" charset="0"/>
                  </a:endParaRPr>
                </a:p>
              </xdr:txBody>
            </xdr:sp>
            <xdr:sp macro="" textlink="$P$10">
              <xdr:nvSpPr>
                <xdr:cNvPr id="49" name="CuadroTexto 48">
                  <a:extLst>
                    <a:ext uri="{FF2B5EF4-FFF2-40B4-BE49-F238E27FC236}">
                      <a16:creationId xmlns:a16="http://schemas.microsoft.com/office/drawing/2014/main" id="{98333A4B-A350-B676-7D9B-D38FE6453906}"/>
                    </a:ext>
                  </a:extLst>
                </xdr:cNvPr>
                <xdr:cNvSpPr txBox="1"/>
              </xdr:nvSpPr>
              <xdr:spPr>
                <a:xfrm>
                  <a:off x="1838797" y="5426235"/>
                  <a:ext cx="4813899" cy="1844242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fld id="{17DBE9BB-5D9E-40C4-AB0F-4CDB37C60D4D}" type="TxLink">
                    <a:rPr lang="en-US" sz="3600" b="0" i="0" u="none" strike="noStrike">
                      <a:solidFill>
                        <a:schemeClr val="accent2">
                          <a:lumMod val="75000"/>
                        </a:schemeClr>
                      </a:solidFill>
                      <a:latin typeface="Calibri"/>
                      <a:ea typeface="Calibri"/>
                      <a:cs typeface="Calibri"/>
                    </a:rPr>
                    <a:pPr algn="ctr"/>
                    <a:t>EMP. SACMI</a:t>
                  </a:fld>
                  <a:endParaRPr lang="es-PE" sz="307000">
                    <a:solidFill>
                      <a:schemeClr val="accent2">
                        <a:lumMod val="75000"/>
                      </a:schemeClr>
                    </a:solidFill>
                  </a:endParaRPr>
                </a:p>
              </xdr:txBody>
            </xdr:sp>
          </xdr:grpSp>
        </xdr:grpSp>
        <xdr:sp macro="" textlink="$Q$10">
          <xdr:nvSpPr>
            <xdr:cNvPr id="45" name="CuadroTexto 44">
              <a:extLst>
                <a:ext uri="{FF2B5EF4-FFF2-40B4-BE49-F238E27FC236}">
                  <a16:creationId xmlns:a16="http://schemas.microsoft.com/office/drawing/2014/main" id="{C2C847A9-955C-667A-C0ED-3547F5A8D9DD}"/>
                </a:ext>
              </a:extLst>
            </xdr:cNvPr>
            <xdr:cNvSpPr txBox="1"/>
          </xdr:nvSpPr>
          <xdr:spPr>
            <a:xfrm>
              <a:off x="8378315" y="7280865"/>
              <a:ext cx="847833" cy="642937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fld id="{FFD2E4C6-3EB2-4234-AE2E-DD7931AC6E2B}" type="TxLink">
                <a:rPr lang="en-US" sz="2800" b="0" i="0" u="none" strike="noStrike">
                  <a:solidFill>
                    <a:schemeClr val="accent2">
                      <a:lumMod val="75000"/>
                    </a:schemeClr>
                  </a:solidFill>
                  <a:latin typeface="Calibri"/>
                  <a:ea typeface="Calibri"/>
                  <a:cs typeface="Calibri"/>
                </a:rPr>
                <a:pPr algn="ctr"/>
                <a:t>0:24</a:t>
              </a:fld>
              <a:endParaRPr lang="es-PE" sz="4800" b="1">
                <a:solidFill>
                  <a:schemeClr val="accent2">
                    <a:lumMod val="7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39" name="Grupo 38">
            <a:extLst>
              <a:ext uri="{FF2B5EF4-FFF2-40B4-BE49-F238E27FC236}">
                <a16:creationId xmlns:a16="http://schemas.microsoft.com/office/drawing/2014/main" id="{1DA6EDB8-A9DC-A878-739E-8FC7F74CD5D3}"/>
              </a:ext>
            </a:extLst>
          </xdr:cNvPr>
          <xdr:cNvGrpSpPr/>
        </xdr:nvGrpSpPr>
        <xdr:grpSpPr>
          <a:xfrm>
            <a:off x="16978739" y="7221631"/>
            <a:ext cx="2815205" cy="621716"/>
            <a:chOff x="16978739" y="7221631"/>
            <a:chExt cx="2815205" cy="621716"/>
          </a:xfrm>
        </xdr:grpSpPr>
        <xdr:sp macro="" textlink="$S$10">
          <xdr:nvSpPr>
            <xdr:cNvPr id="40" name="CuadroTexto 39">
              <a:extLst>
                <a:ext uri="{FF2B5EF4-FFF2-40B4-BE49-F238E27FC236}">
                  <a16:creationId xmlns:a16="http://schemas.microsoft.com/office/drawing/2014/main" id="{7F05712C-D231-BD62-D468-25466A36ADDF}"/>
                </a:ext>
              </a:extLst>
            </xdr:cNvPr>
            <xdr:cNvSpPr txBox="1"/>
          </xdr:nvSpPr>
          <xdr:spPr>
            <a:xfrm>
              <a:off x="17456729" y="7223721"/>
              <a:ext cx="813953" cy="450522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1FBBB254-D64A-41FF-8360-23DF9F5B79D0}" type="TxLink">
                <a:rPr lang="en-US" sz="2800" b="0" i="0" u="none" strike="noStrike">
                  <a:solidFill>
                    <a:schemeClr val="accent2">
                      <a:lumMod val="75000"/>
                    </a:schemeClr>
                  </a:solidFill>
                  <a:latin typeface="Calibri"/>
                  <a:ea typeface="Calibri"/>
                  <a:cs typeface="Calibri"/>
                </a:rPr>
                <a:pPr algn="ctr"/>
                <a:t>4%</a:t>
              </a:fld>
              <a:endParaRPr lang="es-PE" sz="6600" b="1">
                <a:solidFill>
                  <a:schemeClr val="accent2">
                    <a:lumMod val="7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grpSp>
          <xdr:nvGrpSpPr>
            <xdr:cNvPr id="41" name="Grupo 40">
              <a:extLst>
                <a:ext uri="{FF2B5EF4-FFF2-40B4-BE49-F238E27FC236}">
                  <a16:creationId xmlns:a16="http://schemas.microsoft.com/office/drawing/2014/main" id="{7CC4B88B-AA07-0795-CC2A-B45682D34068}"/>
                </a:ext>
              </a:extLst>
            </xdr:cNvPr>
            <xdr:cNvGrpSpPr/>
          </xdr:nvGrpSpPr>
          <xdr:grpSpPr>
            <a:xfrm>
              <a:off x="16978739" y="7221631"/>
              <a:ext cx="2815205" cy="621716"/>
              <a:chOff x="16978739" y="7221631"/>
              <a:chExt cx="2815205" cy="621716"/>
            </a:xfrm>
          </xdr:grpSpPr>
          <xdr:sp macro="" textlink="">
            <xdr:nvSpPr>
              <xdr:cNvPr id="42" name="CuadroTexto 41">
                <a:extLst>
                  <a:ext uri="{FF2B5EF4-FFF2-40B4-BE49-F238E27FC236}">
                    <a16:creationId xmlns:a16="http://schemas.microsoft.com/office/drawing/2014/main" id="{F3453E6F-5506-8C72-754C-689F33B723FA}"/>
                  </a:ext>
                </a:extLst>
              </xdr:cNvPr>
              <xdr:cNvSpPr txBox="1"/>
            </xdr:nvSpPr>
            <xdr:spPr>
              <a:xfrm>
                <a:off x="16978739" y="7226572"/>
                <a:ext cx="564577" cy="616775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en-US" sz="2800" b="0" i="0" u="none" strike="noStrike">
                    <a:solidFill>
                      <a:schemeClr val="accent2">
                        <a:lumMod val="75000"/>
                      </a:schemeClr>
                    </a:solidFill>
                    <a:latin typeface="Calibri"/>
                    <a:ea typeface="Calibri"/>
                    <a:cs typeface="Calibri"/>
                  </a:rPr>
                  <a:t>h - </a:t>
                </a:r>
                <a:r>
                  <a:rPr lang="en-US" sz="2800" b="0" i="0" u="none" strike="noStrike" baseline="0">
                    <a:solidFill>
                      <a:schemeClr val="accent2">
                        <a:lumMod val="75000"/>
                      </a:schemeClr>
                    </a:solidFill>
                    <a:latin typeface="Calibri"/>
                    <a:ea typeface="Calibri"/>
                    <a:cs typeface="Calibri"/>
                  </a:rPr>
                  <a:t> </a:t>
                </a:r>
                <a:endParaRPr lang="en-US" sz="2800" b="0" i="0" u="none" strike="noStrike">
                  <a:solidFill>
                    <a:schemeClr val="accent2">
                      <a:lumMod val="75000"/>
                    </a:schemeClr>
                  </a:solidFill>
                  <a:latin typeface="Calibri"/>
                  <a:ea typeface="Calibri"/>
                  <a:cs typeface="Calibri"/>
                </a:endParaRPr>
              </a:p>
            </xdr:txBody>
          </xdr:sp>
          <xdr:sp macro="" textlink="">
            <xdr:nvSpPr>
              <xdr:cNvPr id="43" name="CuadroTexto 42">
                <a:extLst>
                  <a:ext uri="{FF2B5EF4-FFF2-40B4-BE49-F238E27FC236}">
                    <a16:creationId xmlns:a16="http://schemas.microsoft.com/office/drawing/2014/main" id="{E2E572F0-7AB9-BAA2-80C3-51F1418017A0}"/>
                  </a:ext>
                </a:extLst>
              </xdr:cNvPr>
              <xdr:cNvSpPr txBox="1"/>
            </xdr:nvSpPr>
            <xdr:spPr>
              <a:xfrm>
                <a:off x="18259548" y="7221631"/>
                <a:ext cx="1534396" cy="507029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en-US" sz="1600" b="0" i="0" u="none" strike="noStrike">
                    <a:solidFill>
                      <a:schemeClr val="accent2">
                        <a:lumMod val="75000"/>
                      </a:schemeClr>
                    </a:solidFill>
                    <a:latin typeface="Calibri"/>
                    <a:ea typeface="Calibri"/>
                    <a:cs typeface="Calibri"/>
                  </a:rPr>
                  <a:t>del tiempo total no programado</a:t>
                </a:r>
              </a:p>
            </xdr:txBody>
          </xdr:sp>
        </xdr:grpSp>
      </xdr:grpSp>
    </xdr:grpSp>
    <xdr:clientData/>
  </xdr:twoCellAnchor>
  <xdr:twoCellAnchor editAs="absolute">
    <xdr:from>
      <xdr:col>11</xdr:col>
      <xdr:colOff>2341413</xdr:colOff>
      <xdr:row>3</xdr:row>
      <xdr:rowOff>1228725</xdr:rowOff>
    </xdr:from>
    <xdr:to>
      <xdr:col>11</xdr:col>
      <xdr:colOff>6930731</xdr:colOff>
      <xdr:row>18</xdr:row>
      <xdr:rowOff>3383</xdr:rowOff>
    </xdr:to>
    <xdr:grpSp>
      <xdr:nvGrpSpPr>
        <xdr:cNvPr id="50" name="Grupo 49">
          <a:extLst>
            <a:ext uri="{FF2B5EF4-FFF2-40B4-BE49-F238E27FC236}">
              <a16:creationId xmlns:a16="http://schemas.microsoft.com/office/drawing/2014/main" id="{608C5698-33C4-4297-868B-A7C664F80505}"/>
            </a:ext>
          </a:extLst>
        </xdr:cNvPr>
        <xdr:cNvGrpSpPr>
          <a:grpSpLocks noChangeAspect="1"/>
        </xdr:cNvGrpSpPr>
      </xdr:nvGrpSpPr>
      <xdr:grpSpPr>
        <a:xfrm>
          <a:off x="20600838" y="2771775"/>
          <a:ext cx="4589318" cy="5423108"/>
          <a:chOff x="15801104" y="4024747"/>
          <a:chExt cx="4589318" cy="4133853"/>
        </a:xfrm>
      </xdr:grpSpPr>
      <xdr:grpSp>
        <xdr:nvGrpSpPr>
          <xdr:cNvPr id="51" name="Grupo 50">
            <a:extLst>
              <a:ext uri="{FF2B5EF4-FFF2-40B4-BE49-F238E27FC236}">
                <a16:creationId xmlns:a16="http://schemas.microsoft.com/office/drawing/2014/main" id="{0CAF6E33-F1B3-E636-A7A4-009761A0607C}"/>
              </a:ext>
            </a:extLst>
          </xdr:cNvPr>
          <xdr:cNvGrpSpPr/>
        </xdr:nvGrpSpPr>
        <xdr:grpSpPr>
          <a:xfrm>
            <a:off x="15801104" y="4024747"/>
            <a:ext cx="4589318" cy="4133853"/>
            <a:chOff x="1500187" y="3571875"/>
            <a:chExt cx="5405437" cy="4929187"/>
          </a:xfrm>
        </xdr:grpSpPr>
        <xdr:sp macro="" textlink="$P$7">
          <xdr:nvSpPr>
            <xdr:cNvPr id="53" name="Rectángulo: esquinas redondeadas 52">
              <a:extLst>
                <a:ext uri="{FF2B5EF4-FFF2-40B4-BE49-F238E27FC236}">
                  <a16:creationId xmlns:a16="http://schemas.microsoft.com/office/drawing/2014/main" id="{29DBC9B7-AA98-C942-B7AA-D60ACC36EA26}"/>
                </a:ext>
              </a:extLst>
            </xdr:cNvPr>
            <xdr:cNvSpPr/>
          </xdr:nvSpPr>
          <xdr:spPr>
            <a:xfrm>
              <a:off x="1500187" y="3571875"/>
              <a:ext cx="5405437" cy="4929187"/>
            </a:xfrm>
            <a:prstGeom prst="roundRect">
              <a:avLst/>
            </a:prstGeom>
            <a:ln w="57150">
              <a:solidFill>
                <a:srgbClr val="9D58FA"/>
              </a:solidFill>
            </a:ln>
          </xdr:spPr>
          <xdr:style>
            <a:lnRef idx="2">
              <a:schemeClr val="accent5"/>
            </a:lnRef>
            <a:fillRef idx="1">
              <a:schemeClr val="lt1"/>
            </a:fillRef>
            <a:effectRef idx="0">
              <a:schemeClr val="accent5"/>
            </a:effectRef>
            <a:fontRef idx="minor">
              <a:schemeClr val="dk1"/>
            </a:fontRef>
          </xdr:style>
          <xdr:txBody>
            <a:bodyPr vertOverflow="clip" horzOverflow="clip" rtlCol="0" anchor="b"/>
            <a:lstStyle/>
            <a:p>
              <a:pPr algn="ctr"/>
              <a:endParaRPr lang="es-PE" sz="3600">
                <a:solidFill>
                  <a:srgbClr val="92D050"/>
                </a:solidFill>
              </a:endParaRPr>
            </a:p>
          </xdr:txBody>
        </xdr:sp>
        <xdr:grpSp>
          <xdr:nvGrpSpPr>
            <xdr:cNvPr id="54" name="Grupo 53">
              <a:extLst>
                <a:ext uri="{FF2B5EF4-FFF2-40B4-BE49-F238E27FC236}">
                  <a16:creationId xmlns:a16="http://schemas.microsoft.com/office/drawing/2014/main" id="{1ACEF20E-968C-F00D-C692-C97AC3830D63}"/>
                </a:ext>
              </a:extLst>
            </xdr:cNvPr>
            <xdr:cNvGrpSpPr/>
          </xdr:nvGrpSpPr>
          <xdr:grpSpPr>
            <a:xfrm>
              <a:off x="1833562" y="4160862"/>
              <a:ext cx="5023113" cy="3193078"/>
              <a:chOff x="1833562" y="4160862"/>
              <a:chExt cx="5023113" cy="3193078"/>
            </a:xfrm>
          </xdr:grpSpPr>
          <xdr:sp macro="" textlink="">
            <xdr:nvSpPr>
              <xdr:cNvPr id="55" name="CuadroTexto 54">
                <a:extLst>
                  <a:ext uri="{FF2B5EF4-FFF2-40B4-BE49-F238E27FC236}">
                    <a16:creationId xmlns:a16="http://schemas.microsoft.com/office/drawing/2014/main" id="{C594651E-98EA-6F02-BAB9-3B8FE9C87429}"/>
                  </a:ext>
                </a:extLst>
              </xdr:cNvPr>
              <xdr:cNvSpPr txBox="1"/>
            </xdr:nvSpPr>
            <xdr:spPr>
              <a:xfrm>
                <a:off x="1833562" y="4160862"/>
                <a:ext cx="4786313" cy="1240610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es-PE" sz="2800" b="0" i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✅</a:t>
                </a:r>
                <a:r>
                  <a:rPr lang="es-PE" sz="2800" b="1">
                    <a:solidFill>
                      <a:sysClr val="windowText" lastClr="000000"/>
                    </a:solidFill>
                    <a:latin typeface="+mn-lt"/>
                    <a:cs typeface="Segoe UI" panose="020B0502040204020203" pitchFamily="34" charset="0"/>
                  </a:rPr>
                  <a:t>TASA</a:t>
                </a:r>
                <a:r>
                  <a:rPr lang="es-PE" sz="2800" b="1" baseline="0">
                    <a:solidFill>
                      <a:sysClr val="windowText" lastClr="000000"/>
                    </a:solidFill>
                    <a:latin typeface="+mn-lt"/>
                    <a:cs typeface="Segoe UI" panose="020B0502040204020203" pitchFamily="34" charset="0"/>
                  </a:rPr>
                  <a:t> DE ACTIVIDADES PROGRAMADAS</a:t>
                </a:r>
                <a:endParaRPr lang="es-PE" sz="3600" b="1">
                  <a:solidFill>
                    <a:sysClr val="windowText" lastClr="000000"/>
                  </a:solidFill>
                  <a:latin typeface="+mn-lt"/>
                  <a:cs typeface="Segoe UI" panose="020B0502040204020203" pitchFamily="34" charset="0"/>
                </a:endParaRPr>
              </a:p>
            </xdr:txBody>
          </xdr:sp>
          <xdr:sp macro="" textlink="$Q$11">
            <xdr:nvSpPr>
              <xdr:cNvPr id="56" name="CuadroTexto 55">
                <a:extLst>
                  <a:ext uri="{FF2B5EF4-FFF2-40B4-BE49-F238E27FC236}">
                    <a16:creationId xmlns:a16="http://schemas.microsoft.com/office/drawing/2014/main" id="{2C9418B1-E102-EA48-6FC1-9013A774256E}"/>
                  </a:ext>
                </a:extLst>
              </xdr:cNvPr>
              <xdr:cNvSpPr txBox="1"/>
            </xdr:nvSpPr>
            <xdr:spPr>
              <a:xfrm>
                <a:off x="2042776" y="5546024"/>
                <a:ext cx="4813899" cy="1807916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8ED96936-CF20-4F5A-B07A-2A179327BC0E}" type="TxLink">
                  <a:rPr lang="en-US" sz="8800" b="0" i="0" u="none" strike="noStrike">
                    <a:solidFill>
                      <a:srgbClr val="9D58FA"/>
                    </a:solidFill>
                    <a:latin typeface="Calibri"/>
                    <a:ea typeface="Calibri"/>
                    <a:cs typeface="Calibri"/>
                  </a:rPr>
                  <a:pPr algn="ctr"/>
                  <a:t>61%</a:t>
                </a:fld>
                <a:endParaRPr lang="es-PE" sz="400000">
                  <a:solidFill>
                    <a:srgbClr val="9D58FA"/>
                  </a:solidFill>
                </a:endParaRPr>
              </a:p>
            </xdr:txBody>
          </xdr:sp>
        </xdr:grpSp>
      </xdr:grpSp>
      <xdr:sp macro="" textlink="">
        <xdr:nvSpPr>
          <xdr:cNvPr id="52" name="CuadroTexto 51">
            <a:extLst>
              <a:ext uri="{FF2B5EF4-FFF2-40B4-BE49-F238E27FC236}">
                <a16:creationId xmlns:a16="http://schemas.microsoft.com/office/drawing/2014/main" id="{AB1A463C-DC9E-F446-B0F6-38BAB7DBC29D}"/>
              </a:ext>
            </a:extLst>
          </xdr:cNvPr>
          <xdr:cNvSpPr txBox="1"/>
        </xdr:nvSpPr>
        <xdr:spPr>
          <a:xfrm>
            <a:off x="16213282" y="7211293"/>
            <a:ext cx="3775363" cy="61677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200" b="0" i="0" u="none" strike="noStrike">
                <a:solidFill>
                  <a:srgbClr val="9D58FA"/>
                </a:solidFill>
                <a:latin typeface="Calibri"/>
                <a:ea typeface="Calibri"/>
                <a:cs typeface="Calibri"/>
              </a:rPr>
              <a:t>Act.</a:t>
            </a:r>
            <a:r>
              <a:rPr lang="en-US" sz="2200" b="0" i="0" u="none" strike="noStrike" baseline="0">
                <a:solidFill>
                  <a:srgbClr val="9D58FA"/>
                </a:solidFill>
                <a:latin typeface="Calibri"/>
                <a:ea typeface="Calibri"/>
                <a:cs typeface="Calibri"/>
              </a:rPr>
              <a:t> programadas / Act. Totales</a:t>
            </a:r>
            <a:endParaRPr lang="en-US" sz="2200" b="0" i="0" u="none" strike="noStrike">
              <a:solidFill>
                <a:srgbClr val="9D58FA"/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  <xdr:twoCellAnchor editAs="absolute">
    <xdr:from>
      <xdr:col>4</xdr:col>
      <xdr:colOff>372341</xdr:colOff>
      <xdr:row>2</xdr:row>
      <xdr:rowOff>248948</xdr:rowOff>
    </xdr:from>
    <xdr:to>
      <xdr:col>11</xdr:col>
      <xdr:colOff>1671204</xdr:colOff>
      <xdr:row>3</xdr:row>
      <xdr:rowOff>352859</xdr:rowOff>
    </xdr:to>
    <xdr:sp macro="" textlink="$M$4">
      <xdr:nvSpPr>
        <xdr:cNvPr id="57" name="Rectángulo: esquinas redondeadas 56">
          <a:extLst>
            <a:ext uri="{FF2B5EF4-FFF2-40B4-BE49-F238E27FC236}">
              <a16:creationId xmlns:a16="http://schemas.microsoft.com/office/drawing/2014/main" id="{1EDDFFA4-A2F2-41DD-B5B1-52CE0883C5DE}"/>
            </a:ext>
          </a:extLst>
        </xdr:cNvPr>
        <xdr:cNvSpPr/>
      </xdr:nvSpPr>
      <xdr:spPr>
        <a:xfrm>
          <a:off x="6744566" y="639473"/>
          <a:ext cx="13186063" cy="1256436"/>
        </a:xfrm>
        <a:prstGeom prst="round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4CEA802A-6B68-4132-8570-0F9234BC9006}" type="TxLink">
            <a:rPr lang="en-US" sz="60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algn="ctr"/>
            <a:t>RESUMEN DIARIO - MANTENIMIENTO</a:t>
          </a:fld>
          <a:endParaRPr lang="en-US" sz="85700">
            <a:solidFill>
              <a:schemeClr val="accent1">
                <a:lumMod val="50000"/>
              </a:schemeClr>
            </a:solidFill>
            <a:latin typeface="+mn-lt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4</xdr:col>
      <xdr:colOff>412172</xdr:colOff>
      <xdr:row>3</xdr:row>
      <xdr:rowOff>31172</xdr:rowOff>
    </xdr:from>
    <xdr:to>
      <xdr:col>11</xdr:col>
      <xdr:colOff>1711035</xdr:colOff>
      <xdr:row>3</xdr:row>
      <xdr:rowOff>831273</xdr:rowOff>
    </xdr:to>
    <xdr:sp macro="" textlink="$M$5">
      <xdr:nvSpPr>
        <xdr:cNvPr id="58" name="Rectángulo: esquinas redondeadas 57">
          <a:extLst>
            <a:ext uri="{FF2B5EF4-FFF2-40B4-BE49-F238E27FC236}">
              <a16:creationId xmlns:a16="http://schemas.microsoft.com/office/drawing/2014/main" id="{3CEC28AD-F8FF-4576-A9AA-CF213F11DC5D}"/>
            </a:ext>
          </a:extLst>
        </xdr:cNvPr>
        <xdr:cNvSpPr/>
      </xdr:nvSpPr>
      <xdr:spPr>
        <a:xfrm>
          <a:off x="6784397" y="1574222"/>
          <a:ext cx="13186063" cy="800101"/>
        </a:xfrm>
        <a:prstGeom prst="round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84A885D-8A90-4D5F-8682-D7F80A4E1BD5}" type="TxLink">
            <a:rPr lang="en-US" sz="6000" b="0" i="0" u="none" strike="noStrike">
              <a:solidFill>
                <a:schemeClr val="accent1">
                  <a:lumMod val="60000"/>
                  <a:lumOff val="40000"/>
                </a:schemeClr>
              </a:solidFill>
              <a:latin typeface="Calibri"/>
              <a:ea typeface="Calibri"/>
              <a:cs typeface="Calibri"/>
            </a:rPr>
            <a:pPr algn="ctr"/>
            <a:t>Fabrica de Chocolates la Iberica</a:t>
          </a:fld>
          <a:endParaRPr lang="en-US" sz="85700">
            <a:solidFill>
              <a:schemeClr val="accent1">
                <a:lumMod val="60000"/>
                <a:lumOff val="40000"/>
              </a:schemeClr>
            </a:solidFill>
            <a:latin typeface="+mn-lt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11</xdr:col>
      <xdr:colOff>812408</xdr:colOff>
      <xdr:row>2</xdr:row>
      <xdr:rowOff>344198</xdr:rowOff>
    </xdr:from>
    <xdr:to>
      <xdr:col>11</xdr:col>
      <xdr:colOff>6863623</xdr:colOff>
      <xdr:row>3</xdr:row>
      <xdr:rowOff>851992</xdr:rowOff>
    </xdr:to>
    <xdr:grpSp>
      <xdr:nvGrpSpPr>
        <xdr:cNvPr id="59" name="Grupo 58">
          <a:extLst>
            <a:ext uri="{FF2B5EF4-FFF2-40B4-BE49-F238E27FC236}">
              <a16:creationId xmlns:a16="http://schemas.microsoft.com/office/drawing/2014/main" id="{A9F41EE3-FED2-434F-B3A3-A615FE1073B0}"/>
            </a:ext>
          </a:extLst>
        </xdr:cNvPr>
        <xdr:cNvGrpSpPr/>
      </xdr:nvGrpSpPr>
      <xdr:grpSpPr>
        <a:xfrm>
          <a:off x="19071833" y="734723"/>
          <a:ext cx="6051215" cy="1660319"/>
          <a:chOff x="19658920" y="725198"/>
          <a:chExt cx="6051215" cy="1650794"/>
        </a:xfrm>
      </xdr:grpSpPr>
      <xdr:grpSp>
        <xdr:nvGrpSpPr>
          <xdr:cNvPr id="60" name="Grupo 59">
            <a:extLst>
              <a:ext uri="{FF2B5EF4-FFF2-40B4-BE49-F238E27FC236}">
                <a16:creationId xmlns:a16="http://schemas.microsoft.com/office/drawing/2014/main" id="{F9897F1D-728B-18DA-B908-53B8CF4110C4}"/>
              </a:ext>
            </a:extLst>
          </xdr:cNvPr>
          <xdr:cNvGrpSpPr/>
        </xdr:nvGrpSpPr>
        <xdr:grpSpPr>
          <a:xfrm>
            <a:off x="19658920" y="725198"/>
            <a:ext cx="5549858" cy="1650794"/>
            <a:chOff x="19658920" y="725198"/>
            <a:chExt cx="5549858" cy="1650794"/>
          </a:xfrm>
        </xdr:grpSpPr>
        <xdr:grpSp>
          <xdr:nvGrpSpPr>
            <xdr:cNvPr id="65" name="Grupo 64">
              <a:extLst>
                <a:ext uri="{FF2B5EF4-FFF2-40B4-BE49-F238E27FC236}">
                  <a16:creationId xmlns:a16="http://schemas.microsoft.com/office/drawing/2014/main" id="{07661623-95A6-C60D-87AF-1FD37B626DDB}"/>
                </a:ext>
              </a:extLst>
            </xdr:cNvPr>
            <xdr:cNvGrpSpPr/>
          </xdr:nvGrpSpPr>
          <xdr:grpSpPr>
            <a:xfrm>
              <a:off x="20699556" y="725198"/>
              <a:ext cx="4509222" cy="1425474"/>
              <a:chOff x="28860749" y="452437"/>
              <a:chExt cx="5810252" cy="1428750"/>
            </a:xfrm>
          </xdr:grpSpPr>
          <xdr:sp macro="" textlink="$P$3">
            <xdr:nvSpPr>
              <xdr:cNvPr id="67" name="Rectángulo: esquinas redondeadas 66">
                <a:extLst>
                  <a:ext uri="{FF2B5EF4-FFF2-40B4-BE49-F238E27FC236}">
                    <a16:creationId xmlns:a16="http://schemas.microsoft.com/office/drawing/2014/main" id="{E59E9C48-E344-CF58-08B4-230403789669}"/>
                  </a:ext>
                </a:extLst>
              </xdr:cNvPr>
              <xdr:cNvSpPr/>
            </xdr:nvSpPr>
            <xdr:spPr>
              <a:xfrm>
                <a:off x="29908501" y="452437"/>
                <a:ext cx="4762500" cy="1428750"/>
              </a:xfrm>
              <a:prstGeom prst="roundRect">
                <a:avLst/>
              </a:prstGeom>
              <a:solidFill>
                <a:sysClr val="window" lastClr="FFFFFF"/>
              </a:solidFill>
              <a:ln>
                <a:solidFill>
                  <a:schemeClr val="bg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fld id="{9365C9C2-B068-4224-8625-AB7908880BDF}" type="TxLink">
                  <a:rPr lang="en-US" sz="5400" b="0" i="0" u="none" strike="noStrike">
                    <a:solidFill>
                      <a:schemeClr val="accent1">
                        <a:lumMod val="50000"/>
                      </a:schemeClr>
                    </a:solidFill>
                    <a:latin typeface="Calibri"/>
                    <a:ea typeface="Calibri"/>
                    <a:cs typeface="Calibri"/>
                  </a:rPr>
                  <a:pPr algn="l"/>
                  <a:t>2/07/2026</a:t>
                </a:fld>
                <a:endParaRPr lang="en-US" sz="9600">
                  <a:solidFill>
                    <a:schemeClr val="accent1">
                      <a:lumMod val="50000"/>
                    </a:schemeClr>
                  </a:solidFill>
                  <a:latin typeface="+mn-lt"/>
                  <a:cs typeface="Segoe UI" panose="020B0502040204020203" pitchFamily="34" charset="0"/>
                </a:endParaRPr>
              </a:p>
            </xdr:txBody>
          </xdr:sp>
          <xdr:sp macro="" textlink="$Q$3">
            <xdr:nvSpPr>
              <xdr:cNvPr id="68" name="Rectángulo: esquinas redondeadas 67">
                <a:extLst>
                  <a:ext uri="{FF2B5EF4-FFF2-40B4-BE49-F238E27FC236}">
                    <a16:creationId xmlns:a16="http://schemas.microsoft.com/office/drawing/2014/main" id="{98B7CB6C-B305-6D4D-7344-34E72FA9DDBD}"/>
                  </a:ext>
                </a:extLst>
              </xdr:cNvPr>
              <xdr:cNvSpPr/>
            </xdr:nvSpPr>
            <xdr:spPr>
              <a:xfrm>
                <a:off x="28860749" y="581024"/>
                <a:ext cx="1095375" cy="1074032"/>
              </a:xfrm>
              <a:prstGeom prst="roundRect">
                <a:avLst/>
              </a:prstGeom>
              <a:solidFill>
                <a:sysClr val="window" lastClr="FFFFFF"/>
              </a:solidFill>
              <a:ln>
                <a:solidFill>
                  <a:schemeClr val="bg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fld id="{56383757-759D-4A99-8D29-70EF53EB0048}" type="TxLink">
                  <a:rPr lang="en-US" sz="4000" b="0" i="0" u="none" strike="noStrike">
                    <a:solidFill>
                      <a:schemeClr val="accent1">
                        <a:lumMod val="50000"/>
                      </a:schemeClr>
                    </a:solidFill>
                    <a:latin typeface="Calibri"/>
                    <a:ea typeface="Calibri"/>
                    <a:cs typeface="Calibri"/>
                  </a:rPr>
                  <a:pPr algn="l"/>
                  <a:t>📅</a:t>
                </a:fld>
                <a:endParaRPr lang="en-US" sz="13800">
                  <a:solidFill>
                    <a:schemeClr val="accent1">
                      <a:lumMod val="50000"/>
                    </a:schemeClr>
                  </a:solidFill>
                </a:endParaRPr>
              </a:p>
            </xdr:txBody>
          </xdr:sp>
        </xdr:grpSp>
        <xdr:sp macro="" textlink="$M$5">
          <xdr:nvSpPr>
            <xdr:cNvPr id="66" name="Rectángulo: esquinas redondeadas 65">
              <a:extLst>
                <a:ext uri="{FF2B5EF4-FFF2-40B4-BE49-F238E27FC236}">
                  <a16:creationId xmlns:a16="http://schemas.microsoft.com/office/drawing/2014/main" id="{4E3F402F-5BF9-B8C7-D65D-2CA82AFFB185}"/>
                </a:ext>
              </a:extLst>
            </xdr:cNvPr>
            <xdr:cNvSpPr/>
          </xdr:nvSpPr>
          <xdr:spPr>
            <a:xfrm>
              <a:off x="19658920" y="1575891"/>
              <a:ext cx="1511876" cy="800101"/>
            </a:xfrm>
            <a:prstGeom prst="roundRect">
              <a:avLst/>
            </a:prstGeom>
            <a:solidFill>
              <a:sysClr val="window" lastClr="FFFFFF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r"/>
              <a:r>
                <a:rPr lang="en-US" sz="1600" b="1">
                  <a:solidFill>
                    <a:schemeClr val="accent1">
                      <a:lumMod val="75000"/>
                    </a:schemeClr>
                  </a:solidFill>
                  <a:latin typeface="+mn-lt"/>
                  <a:cs typeface="Segoe UI" panose="020B0502040204020203" pitchFamily="34" charset="0"/>
                </a:rPr>
                <a:t>TURNOS</a:t>
              </a:r>
              <a:r>
                <a:rPr lang="en-US" sz="1600" b="1" baseline="0">
                  <a:solidFill>
                    <a:schemeClr val="accent1">
                      <a:lumMod val="75000"/>
                    </a:schemeClr>
                  </a:solidFill>
                  <a:latin typeface="+mn-lt"/>
                  <a:cs typeface="Segoe UI" panose="020B0502040204020203" pitchFamily="34" charset="0"/>
                </a:rPr>
                <a:t> REGISTRADOS</a:t>
              </a:r>
              <a:endParaRPr lang="en-US" sz="1600" b="1">
                <a:solidFill>
                  <a:schemeClr val="accent1">
                    <a:lumMod val="75000"/>
                  </a:schemeClr>
                </a:solidFill>
                <a:latin typeface="+mn-lt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61" name="Grupo 60">
            <a:extLst>
              <a:ext uri="{FF2B5EF4-FFF2-40B4-BE49-F238E27FC236}">
                <a16:creationId xmlns:a16="http://schemas.microsoft.com/office/drawing/2014/main" id="{B3819C94-96D6-5CFF-0D8E-2712460F62BE}"/>
              </a:ext>
            </a:extLst>
          </xdr:cNvPr>
          <xdr:cNvGrpSpPr/>
        </xdr:nvGrpSpPr>
        <xdr:grpSpPr>
          <a:xfrm>
            <a:off x="21198968" y="1722210"/>
            <a:ext cx="4511167" cy="486470"/>
            <a:chOff x="21158147" y="1640567"/>
            <a:chExt cx="4511167" cy="486470"/>
          </a:xfrm>
          <a:solidFill>
            <a:schemeClr val="bg1"/>
          </a:solidFill>
        </xdr:grpSpPr>
        <xdr:sp macro="" textlink="$S$5">
          <xdr:nvSpPr>
            <xdr:cNvPr id="62" name="Rectángulo: esquinas redondeadas 61">
              <a:extLst>
                <a:ext uri="{FF2B5EF4-FFF2-40B4-BE49-F238E27FC236}">
                  <a16:creationId xmlns:a16="http://schemas.microsoft.com/office/drawing/2014/main" id="{2BD5EBC7-D030-462B-0D5A-708B3D9F1FDD}"/>
                </a:ext>
              </a:extLst>
            </xdr:cNvPr>
            <xdr:cNvSpPr/>
          </xdr:nvSpPr>
          <xdr:spPr>
            <a:xfrm>
              <a:off x="24171088" y="1640567"/>
              <a:ext cx="1498226" cy="477346"/>
            </a:xfrm>
            <a:prstGeom prst="roundRect">
              <a:avLst/>
            </a:prstGeom>
            <a:grpFill/>
            <a:ln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46B64D68-6420-4507-9FA5-6237534BC3AC}" type="TxLink">
                <a:rPr lang="en-US" sz="2200" b="0" i="0" u="none" strike="noStrike">
                  <a:solidFill>
                    <a:schemeClr val="accent1">
                      <a:lumMod val="75000"/>
                    </a:schemeClr>
                  </a:solidFill>
                  <a:latin typeface="Calibri"/>
                  <a:ea typeface="Calibri"/>
                  <a:cs typeface="Calibri"/>
                </a:rPr>
                <a:pPr algn="ctr"/>
                <a:t>NOCHE</a:t>
              </a:fld>
              <a:endParaRPr lang="en-US" sz="23900">
                <a:solidFill>
                  <a:schemeClr val="accent1">
                    <a:lumMod val="75000"/>
                  </a:schemeClr>
                </a:solidFill>
                <a:latin typeface="+mn-lt"/>
                <a:cs typeface="Segoe UI" panose="020B0502040204020203" pitchFamily="34" charset="0"/>
              </a:endParaRPr>
            </a:p>
          </xdr:txBody>
        </xdr:sp>
        <xdr:sp macro="" textlink="$R$5">
          <xdr:nvSpPr>
            <xdr:cNvPr id="63" name="Rectángulo: esquinas redondeadas 62">
              <a:extLst>
                <a:ext uri="{FF2B5EF4-FFF2-40B4-BE49-F238E27FC236}">
                  <a16:creationId xmlns:a16="http://schemas.microsoft.com/office/drawing/2014/main" id="{0B0D04F4-E8EF-76AC-E66B-1E217DA7F817}"/>
                </a:ext>
              </a:extLst>
            </xdr:cNvPr>
            <xdr:cNvSpPr/>
          </xdr:nvSpPr>
          <xdr:spPr>
            <a:xfrm>
              <a:off x="22657814" y="1649691"/>
              <a:ext cx="1498226" cy="477346"/>
            </a:xfrm>
            <a:prstGeom prst="roundRect">
              <a:avLst/>
            </a:prstGeom>
            <a:grpFill/>
            <a:ln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EAC96D3-6347-408B-B312-B8F87C5F7F11}" type="TxLink">
                <a:rPr lang="en-US" sz="2200" b="0" i="0" u="none" strike="noStrike">
                  <a:solidFill>
                    <a:schemeClr val="accent2">
                      <a:lumMod val="75000"/>
                    </a:schemeClr>
                  </a:solidFill>
                  <a:latin typeface="Calibri"/>
                  <a:ea typeface="Calibri"/>
                  <a:cs typeface="Calibri"/>
                </a:rPr>
                <a:pPr algn="ctr"/>
                <a:t>TARDE</a:t>
              </a:fld>
              <a:endParaRPr lang="en-US" sz="23900">
                <a:solidFill>
                  <a:schemeClr val="accent2">
                    <a:lumMod val="75000"/>
                  </a:schemeClr>
                </a:solidFill>
                <a:latin typeface="+mn-lt"/>
                <a:cs typeface="Segoe UI" panose="020B0502040204020203" pitchFamily="34" charset="0"/>
              </a:endParaRPr>
            </a:p>
          </xdr:txBody>
        </xdr:sp>
        <xdr:sp macro="" textlink="$Q$5">
          <xdr:nvSpPr>
            <xdr:cNvPr id="64" name="Rectángulo: esquinas redondeadas 63">
              <a:extLst>
                <a:ext uri="{FF2B5EF4-FFF2-40B4-BE49-F238E27FC236}">
                  <a16:creationId xmlns:a16="http://schemas.microsoft.com/office/drawing/2014/main" id="{73EF2118-6A41-6EDF-FFCC-E59F73CA5CE0}"/>
                </a:ext>
              </a:extLst>
            </xdr:cNvPr>
            <xdr:cNvSpPr/>
          </xdr:nvSpPr>
          <xdr:spPr>
            <a:xfrm>
              <a:off x="21158147" y="1645208"/>
              <a:ext cx="1498226" cy="477346"/>
            </a:xfrm>
            <a:prstGeom prst="roundRect">
              <a:avLst/>
            </a:prstGeom>
            <a:grpFill/>
            <a:ln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A06A34C6-876D-4455-ACD3-5EE23B2A2734}" type="TxLink">
                <a:rPr lang="en-US" sz="2200" b="0" i="0" u="none" strike="noStrike">
                  <a:solidFill>
                    <a:schemeClr val="accent4">
                      <a:lumMod val="75000"/>
                    </a:schemeClr>
                  </a:solidFill>
                  <a:latin typeface="Calibri"/>
                  <a:ea typeface="Calibri"/>
                  <a:cs typeface="Calibri"/>
                </a:rPr>
                <a:pPr algn="ctr"/>
                <a:t>MAÑANA</a:t>
              </a:fld>
              <a:endParaRPr lang="en-US" sz="23900">
                <a:solidFill>
                  <a:schemeClr val="accent4">
                    <a:lumMod val="75000"/>
                  </a:schemeClr>
                </a:solidFill>
                <a:latin typeface="+mn-lt"/>
                <a:cs typeface="Segoe UI" panose="020B0502040204020203" pitchFamily="34" charset="0"/>
              </a:endParaRPr>
            </a:p>
          </xdr:txBody>
        </xdr:sp>
      </xdr:grpSp>
    </xdr:grpSp>
    <xdr:clientData/>
  </xdr:twoCellAnchor>
  <xdr:twoCellAnchor>
    <xdr:from>
      <xdr:col>1</xdr:col>
      <xdr:colOff>470619</xdr:colOff>
      <xdr:row>17</xdr:row>
      <xdr:rowOff>101740</xdr:rowOff>
    </xdr:from>
    <xdr:to>
      <xdr:col>11</xdr:col>
      <xdr:colOff>6909954</xdr:colOff>
      <xdr:row>26</xdr:row>
      <xdr:rowOff>42426</xdr:rowOff>
    </xdr:to>
    <xdr:grpSp>
      <xdr:nvGrpSpPr>
        <xdr:cNvPr id="69" name="Grupo 68">
          <a:extLst>
            <a:ext uri="{FF2B5EF4-FFF2-40B4-BE49-F238E27FC236}">
              <a16:creationId xmlns:a16="http://schemas.microsoft.com/office/drawing/2014/main" id="{BA6E39E5-2B7A-4065-A4F8-91988D7A3B1C}"/>
            </a:ext>
          </a:extLst>
        </xdr:cNvPr>
        <xdr:cNvGrpSpPr>
          <a:grpSpLocks noChangeAspect="1"/>
        </xdr:cNvGrpSpPr>
      </xdr:nvGrpSpPr>
      <xdr:grpSpPr>
        <a:xfrm>
          <a:off x="1232619" y="7997965"/>
          <a:ext cx="23936760" cy="2960111"/>
          <a:chOff x="1232619" y="7185744"/>
          <a:chExt cx="23911213" cy="3205166"/>
        </a:xfrm>
      </xdr:grpSpPr>
      <xdr:grpSp>
        <xdr:nvGrpSpPr>
          <xdr:cNvPr id="70" name="Grupo 69">
            <a:extLst>
              <a:ext uri="{FF2B5EF4-FFF2-40B4-BE49-F238E27FC236}">
                <a16:creationId xmlns:a16="http://schemas.microsoft.com/office/drawing/2014/main" id="{60FEB16B-721E-3290-9F25-7DBDB29CF633}"/>
              </a:ext>
            </a:extLst>
          </xdr:cNvPr>
          <xdr:cNvGrpSpPr/>
        </xdr:nvGrpSpPr>
        <xdr:grpSpPr>
          <a:xfrm>
            <a:off x="1232619" y="7185744"/>
            <a:ext cx="23911213" cy="3205166"/>
            <a:chOff x="1111392" y="8051653"/>
            <a:chExt cx="23911213" cy="3205166"/>
          </a:xfrm>
        </xdr:grpSpPr>
        <xdr:grpSp>
          <xdr:nvGrpSpPr>
            <xdr:cNvPr id="80" name="Grupo 79">
              <a:extLst>
                <a:ext uri="{FF2B5EF4-FFF2-40B4-BE49-F238E27FC236}">
                  <a16:creationId xmlns:a16="http://schemas.microsoft.com/office/drawing/2014/main" id="{00F28529-A74B-F4F5-19B6-385B248F4FB4}"/>
                </a:ext>
              </a:extLst>
            </xdr:cNvPr>
            <xdr:cNvGrpSpPr/>
          </xdr:nvGrpSpPr>
          <xdr:grpSpPr>
            <a:xfrm>
              <a:off x="1111392" y="8051653"/>
              <a:ext cx="23911213" cy="3205166"/>
              <a:chOff x="1319210" y="7064516"/>
              <a:chExt cx="23911213" cy="3516893"/>
            </a:xfrm>
          </xdr:grpSpPr>
          <xdr:grpSp>
            <xdr:nvGrpSpPr>
              <xdr:cNvPr id="82" name="Grupo 81">
                <a:extLst>
                  <a:ext uri="{FF2B5EF4-FFF2-40B4-BE49-F238E27FC236}">
                    <a16:creationId xmlns:a16="http://schemas.microsoft.com/office/drawing/2014/main" id="{6983E006-8F63-3455-2484-EB01F6708B35}"/>
                  </a:ext>
                </a:extLst>
              </xdr:cNvPr>
              <xdr:cNvGrpSpPr/>
            </xdr:nvGrpSpPr>
            <xdr:grpSpPr>
              <a:xfrm>
                <a:off x="1319210" y="7064516"/>
                <a:ext cx="23911213" cy="3516893"/>
                <a:chOff x="1319210" y="7064516"/>
                <a:chExt cx="23911213" cy="3516893"/>
              </a:xfrm>
            </xdr:grpSpPr>
            <xdr:grpSp>
              <xdr:nvGrpSpPr>
                <xdr:cNvPr id="84" name="Grupo 83">
                  <a:extLst>
                    <a:ext uri="{FF2B5EF4-FFF2-40B4-BE49-F238E27FC236}">
                      <a16:creationId xmlns:a16="http://schemas.microsoft.com/office/drawing/2014/main" id="{9EF89669-36C6-59C5-7A5B-C77AAADFC5EA}"/>
                    </a:ext>
                  </a:extLst>
                </xdr:cNvPr>
                <xdr:cNvGrpSpPr/>
              </xdr:nvGrpSpPr>
              <xdr:grpSpPr>
                <a:xfrm>
                  <a:off x="1319210" y="7064516"/>
                  <a:ext cx="23911213" cy="3516893"/>
                  <a:chOff x="1319210" y="7284457"/>
                  <a:chExt cx="23898224" cy="4146406"/>
                </a:xfrm>
              </xdr:grpSpPr>
              <xdr:grpSp>
                <xdr:nvGrpSpPr>
                  <xdr:cNvPr id="108" name="Grupo 107">
                    <a:extLst>
                      <a:ext uri="{FF2B5EF4-FFF2-40B4-BE49-F238E27FC236}">
                        <a16:creationId xmlns:a16="http://schemas.microsoft.com/office/drawing/2014/main" id="{05EB59EF-CED5-4B33-69A5-664715D917BC}"/>
                      </a:ext>
                    </a:extLst>
                  </xdr:cNvPr>
                  <xdr:cNvGrpSpPr/>
                </xdr:nvGrpSpPr>
                <xdr:grpSpPr>
                  <a:xfrm>
                    <a:off x="1319210" y="7284457"/>
                    <a:ext cx="23898224" cy="4146406"/>
                    <a:chOff x="1319210" y="7284457"/>
                    <a:chExt cx="23898224" cy="4146406"/>
                  </a:xfrm>
                </xdr:grpSpPr>
                <xdr:grpSp>
                  <xdr:nvGrpSpPr>
                    <xdr:cNvPr id="110" name="Grupo 109">
                      <a:extLst>
                        <a:ext uri="{FF2B5EF4-FFF2-40B4-BE49-F238E27FC236}">
                          <a16:creationId xmlns:a16="http://schemas.microsoft.com/office/drawing/2014/main" id="{79D7D815-720D-E8B0-7F3D-22C9F30A1F5E}"/>
                        </a:ext>
                      </a:extLst>
                    </xdr:cNvPr>
                    <xdr:cNvGrpSpPr/>
                  </xdr:nvGrpSpPr>
                  <xdr:grpSpPr>
                    <a:xfrm>
                      <a:off x="1319210" y="7284457"/>
                      <a:ext cx="23898224" cy="4146406"/>
                      <a:chOff x="863833" y="3828173"/>
                      <a:chExt cx="4572000" cy="4310063"/>
                    </a:xfrm>
                  </xdr:grpSpPr>
                  <xdr:sp macro="" textlink="$P$7">
                    <xdr:nvSpPr>
                      <xdr:cNvPr id="112" name="Rectángulo: esquinas redondeadas 111">
                        <a:extLst>
                          <a:ext uri="{FF2B5EF4-FFF2-40B4-BE49-F238E27FC236}">
                            <a16:creationId xmlns:a16="http://schemas.microsoft.com/office/drawing/2014/main" id="{2DFDFBF3-A1C1-042F-3156-48C29A30D543}"/>
                          </a:ext>
                        </a:extLst>
                      </xdr:cNvPr>
                      <xdr:cNvSpPr/>
                    </xdr:nvSpPr>
                    <xdr:spPr>
                      <a:xfrm>
                        <a:off x="863833" y="3828173"/>
                        <a:ext cx="4572000" cy="4310063"/>
                      </a:xfrm>
                      <a:prstGeom prst="roundRect">
                        <a:avLst/>
                      </a:prstGeom>
                      <a:ln w="57150">
                        <a:solidFill>
                          <a:srgbClr val="C00000"/>
                        </a:solidFill>
                      </a:ln>
                    </xdr:spPr>
                    <xdr:style>
                      <a:lnRef idx="2">
                        <a:schemeClr val="accent5"/>
                      </a:lnRef>
                      <a:fillRef idx="1">
                        <a:schemeClr val="lt1"/>
                      </a:fillRef>
                      <a:effectRef idx="0">
                        <a:schemeClr val="accent5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rtlCol="0" anchor="b"/>
                      <a:lstStyle/>
                      <a:p>
                        <a:pPr algn="ctr"/>
                        <a:endParaRPr lang="es-PE" sz="3600"/>
                      </a:p>
                    </xdr:txBody>
                  </xdr:sp>
                  <xdr:sp macro="" textlink="">
                    <xdr:nvSpPr>
                      <xdr:cNvPr id="113" name="CuadroTexto 112">
                        <a:extLst>
                          <a:ext uri="{FF2B5EF4-FFF2-40B4-BE49-F238E27FC236}">
                            <a16:creationId xmlns:a16="http://schemas.microsoft.com/office/drawing/2014/main" id="{79238781-A4BA-206E-727C-4930BEBDB5D9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957680" y="3935889"/>
                        <a:ext cx="874674" cy="4011331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 w="9525" cmpd="sng">
                        <a:solidFill>
                          <a:schemeClr val="bg1"/>
                        </a:solidFill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rtlCol="0" anchor="ctr"/>
                      <a:lstStyle/>
                      <a:p>
                        <a:pPr algn="ctr"/>
                        <a:r>
                          <a:rPr lang="es-PE" sz="4100" b="1">
                            <a:solidFill>
                              <a:srgbClr val="C00000"/>
                            </a:solidFill>
                            <a:latin typeface="+mn-lt"/>
                            <a:cs typeface="Segoe UI" panose="020B0502040204020203" pitchFamily="34" charset="0"/>
                          </a:rPr>
                          <a:t> PARADAS</a:t>
                        </a:r>
                        <a:r>
                          <a:rPr lang="es-PE" sz="4100" b="1" baseline="0">
                            <a:solidFill>
                              <a:srgbClr val="C00000"/>
                            </a:solidFill>
                            <a:latin typeface="+mn-lt"/>
                            <a:cs typeface="Segoe UI" panose="020B0502040204020203" pitchFamily="34" charset="0"/>
                          </a:rPr>
                          <a:t> </a:t>
                        </a:r>
                      </a:p>
                      <a:p>
                        <a:pPr algn="ctr"/>
                        <a:r>
                          <a:rPr lang="es-PE" sz="4100" b="1" baseline="0">
                            <a:solidFill>
                              <a:srgbClr val="C00000"/>
                            </a:solidFill>
                            <a:latin typeface="+mn-lt"/>
                            <a:cs typeface="Segoe UI" panose="020B0502040204020203" pitchFamily="34" charset="0"/>
                          </a:rPr>
                          <a:t>NO PROGRAMAS MAS IMPORTANTES</a:t>
                        </a:r>
                        <a:endParaRPr lang="es-PE" sz="4100" b="1">
                          <a:solidFill>
                            <a:srgbClr val="C00000"/>
                          </a:solidFill>
                          <a:latin typeface="+mn-lt"/>
                          <a:cs typeface="Segoe UI" panose="020B0502040204020203" pitchFamily="34" charset="0"/>
                        </a:endParaRPr>
                      </a:p>
                    </xdr:txBody>
                  </xdr:sp>
                </xdr:grpSp>
                <xdr:sp macro="" textlink="">
                  <xdr:nvSpPr>
                    <xdr:cNvPr id="111" name="CuadroTexto 110">
                      <a:extLst>
                        <a:ext uri="{FF2B5EF4-FFF2-40B4-BE49-F238E27FC236}">
                          <a16:creationId xmlns:a16="http://schemas.microsoft.com/office/drawing/2014/main" id="{CA004B8E-CB3B-951D-32D7-B589AB40DF9D}"/>
                        </a:ext>
                      </a:extLst>
                    </xdr:cNvPr>
                    <xdr:cNvSpPr txBox="1"/>
                  </xdr:nvSpPr>
                  <xdr:spPr>
                    <a:xfrm>
                      <a:off x="1581150" y="7498769"/>
                      <a:ext cx="1102427" cy="1093981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 w="9525" cmpd="sng">
                      <a:solidFill>
                        <a:schemeClr val="bg1"/>
                      </a:solidFill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square" rtlCol="0" anchor="b"/>
                    <a:lstStyle/>
                    <a:p>
                      <a:pPr algn="ctr"/>
                      <a:r>
                        <a:rPr lang="es-PE" sz="6600">
                          <a:solidFill>
                            <a:srgbClr val="C00000"/>
                          </a:solidFill>
                        </a:rPr>
                        <a:t>🚨</a:t>
                      </a:r>
                      <a:r>
                        <a:rPr lang="es-PE" sz="3600" b="1">
                          <a:solidFill>
                            <a:srgbClr val="C00000"/>
                          </a:solidFill>
                          <a:latin typeface="+mn-lt"/>
                          <a:cs typeface="Segoe UI" panose="020B0502040204020203" pitchFamily="34" charset="0"/>
                        </a:rPr>
                        <a:t> </a:t>
                      </a:r>
                      <a:endParaRPr lang="es-PE" sz="4000" b="1">
                        <a:solidFill>
                          <a:srgbClr val="C00000"/>
                        </a:solidFill>
                        <a:latin typeface="+mn-lt"/>
                        <a:cs typeface="Segoe UI" panose="020B0502040204020203" pitchFamily="34" charset="0"/>
                      </a:endParaRPr>
                    </a:p>
                  </xdr:txBody>
                </xdr:sp>
              </xdr:grpSp>
              <xdr:cxnSp macro="">
                <xdr:nvCxnSpPr>
                  <xdr:cNvPr id="109" name="Conector recto 108">
                    <a:extLst>
                      <a:ext uri="{FF2B5EF4-FFF2-40B4-BE49-F238E27FC236}">
                        <a16:creationId xmlns:a16="http://schemas.microsoft.com/office/drawing/2014/main" id="{299BEEE3-DDED-1DA7-7606-A3BBA6616AA6}"/>
                      </a:ext>
                    </a:extLst>
                  </xdr:cNvPr>
                  <xdr:cNvCxnSpPr/>
                </xdr:nvCxnSpPr>
                <xdr:spPr>
                  <a:xfrm flipH="1">
                    <a:off x="6524625" y="7500937"/>
                    <a:ext cx="23812" cy="3667125"/>
                  </a:xfrm>
                  <a:prstGeom prst="line">
                    <a:avLst/>
                  </a:prstGeom>
                  <a:ln>
                    <a:solidFill>
                      <a:schemeClr val="accent3">
                        <a:lumMod val="7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</xdr:grpSp>
            <xdr:grpSp>
              <xdr:nvGrpSpPr>
                <xdr:cNvPr id="85" name="Grupo 84">
                  <a:extLst>
                    <a:ext uri="{FF2B5EF4-FFF2-40B4-BE49-F238E27FC236}">
                      <a16:creationId xmlns:a16="http://schemas.microsoft.com/office/drawing/2014/main" id="{F8ECD6E1-4F24-C036-3227-12FB67658E96}"/>
                    </a:ext>
                  </a:extLst>
                </xdr:cNvPr>
                <xdr:cNvGrpSpPr/>
              </xdr:nvGrpSpPr>
              <xdr:grpSpPr>
                <a:xfrm>
                  <a:off x="6573982" y="7282723"/>
                  <a:ext cx="15801104" cy="2806848"/>
                  <a:chOff x="6573982" y="7282723"/>
                  <a:chExt cx="15801104" cy="2806848"/>
                </a:xfrm>
              </xdr:grpSpPr>
              <xdr:grpSp>
                <xdr:nvGrpSpPr>
                  <xdr:cNvPr id="86" name="Grupo 85">
                    <a:extLst>
                      <a:ext uri="{FF2B5EF4-FFF2-40B4-BE49-F238E27FC236}">
                        <a16:creationId xmlns:a16="http://schemas.microsoft.com/office/drawing/2014/main" id="{850FA9A1-2213-CBEB-F7AF-4CF97916AFD4}"/>
                      </a:ext>
                    </a:extLst>
                  </xdr:cNvPr>
                  <xdr:cNvGrpSpPr/>
                </xdr:nvGrpSpPr>
                <xdr:grpSpPr>
                  <a:xfrm>
                    <a:off x="6577445" y="7282723"/>
                    <a:ext cx="15797641" cy="1857812"/>
                    <a:chOff x="6577445" y="7282723"/>
                    <a:chExt cx="15797641" cy="1857812"/>
                  </a:xfrm>
                </xdr:grpSpPr>
                <xdr:grpSp>
                  <xdr:nvGrpSpPr>
                    <xdr:cNvPr id="94" name="Grupo 93">
                      <a:extLst>
                        <a:ext uri="{FF2B5EF4-FFF2-40B4-BE49-F238E27FC236}">
                          <a16:creationId xmlns:a16="http://schemas.microsoft.com/office/drawing/2014/main" id="{AB79BA06-F511-09FD-4EA6-CAE368A51C78}"/>
                        </a:ext>
                      </a:extLst>
                    </xdr:cNvPr>
                    <xdr:cNvGrpSpPr/>
                  </xdr:nvGrpSpPr>
                  <xdr:grpSpPr>
                    <a:xfrm>
                      <a:off x="6580909" y="7282723"/>
                      <a:ext cx="15794177" cy="926094"/>
                      <a:chOff x="6895665" y="7403950"/>
                      <a:chExt cx="15584126" cy="926094"/>
                    </a:xfrm>
                    <a:solidFill>
                      <a:schemeClr val="bg1"/>
                    </a:solidFill>
                  </xdr:grpSpPr>
                  <xdr:sp macro="" textlink="$Q$14">
                    <xdr:nvSpPr>
                      <xdr:cNvPr id="102" name="CuadroTexto 101">
                        <a:extLst>
                          <a:ext uri="{FF2B5EF4-FFF2-40B4-BE49-F238E27FC236}">
                            <a16:creationId xmlns:a16="http://schemas.microsoft.com/office/drawing/2014/main" id="{699048EC-36E8-5862-CB9D-7DDE4D9624E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6895665" y="7549424"/>
                        <a:ext cx="3287426" cy="624757"/>
                      </a:xfrm>
                      <a:prstGeom prst="rect">
                        <a:avLst/>
                      </a:prstGeom>
                      <a:grpFill/>
                      <a:ln w="9525" cmpd="sng">
                        <a:solidFill>
                          <a:schemeClr val="bg1"/>
                        </a:solidFill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rtlCol="0" anchor="ctr"/>
                      <a:lstStyle/>
                      <a:p>
                        <a:pPr algn="r"/>
                        <a:fld id="{1490C2B2-93CF-4449-A151-73087BAE45C2}" type="TxLink">
                          <a:rPr lang="en-US" sz="1800" b="1" i="0" u="none" strike="noStrike">
                            <a:solidFill>
                              <a:srgbClr val="000000"/>
                            </a:solidFill>
                            <a:latin typeface="Calibri"/>
                            <a:ea typeface="Calibri"/>
                            <a:cs typeface="Calibri"/>
                          </a:rPr>
                          <a:pPr algn="r"/>
                          <a:t>#N/D</a:t>
                        </a:fld>
                        <a:endParaRPr lang="es-PE" sz="1800" b="1">
                          <a:solidFill>
                            <a:srgbClr val="C00000"/>
                          </a:solidFill>
                          <a:latin typeface="+mn-lt"/>
                          <a:cs typeface="Segoe UI" panose="020B0502040204020203" pitchFamily="34" charset="0"/>
                        </a:endParaRPr>
                      </a:p>
                    </xdr:txBody>
                  </xdr:sp>
                  <xdr:sp macro="" textlink="">
                    <xdr:nvSpPr>
                      <xdr:cNvPr id="103" name="CuadroTexto 102">
                        <a:extLst>
                          <a:ext uri="{FF2B5EF4-FFF2-40B4-BE49-F238E27FC236}">
                            <a16:creationId xmlns:a16="http://schemas.microsoft.com/office/drawing/2014/main" id="{5A576A3B-3E60-5FA3-3D50-AF64B4446529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0165338" y="7545961"/>
                        <a:ext cx="1697618" cy="624757"/>
                      </a:xfrm>
                      <a:prstGeom prst="rect">
                        <a:avLst/>
                      </a:prstGeom>
                      <a:grpFill/>
                      <a:ln w="9525" cmpd="sng">
                        <a:solidFill>
                          <a:schemeClr val="bg1"/>
                        </a:solidFill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rtlCol="0" anchor="ctr"/>
                      <a:lstStyle/>
                      <a:p>
                        <a:pPr algn="r"/>
                        <a:r>
                          <a:rPr lang="en-US" sz="1800" b="0" i="0" u="none" strike="noStrike">
                            <a:solidFill>
                              <a:schemeClr val="accent1">
                                <a:lumMod val="50000"/>
                              </a:schemeClr>
                            </a:solidFill>
                            <a:latin typeface="Calibri"/>
                            <a:ea typeface="Calibri"/>
                            <a:cs typeface="Calibri"/>
                          </a:rPr>
                          <a:t>Se</a:t>
                        </a:r>
                        <a:r>
                          <a:rPr lang="en-US" sz="1800" b="0" i="0" u="none" strike="noStrike" baseline="0">
                            <a:solidFill>
                              <a:schemeClr val="accent1">
                                <a:lumMod val="50000"/>
                              </a:schemeClr>
                            </a:solidFill>
                            <a:latin typeface="Calibri"/>
                            <a:ea typeface="Calibri"/>
                            <a:cs typeface="Calibri"/>
                          </a:rPr>
                          <a:t> observó que:</a:t>
                        </a:r>
                        <a:endParaRPr lang="en-US" sz="1800" b="0" i="0" u="none" strike="noStrike">
                          <a:solidFill>
                            <a:schemeClr val="accent1">
                              <a:lumMod val="50000"/>
                            </a:schemeClr>
                          </a:solidFill>
                          <a:latin typeface="Calibri"/>
                          <a:ea typeface="Calibri"/>
                          <a:cs typeface="Calibri"/>
                        </a:endParaRPr>
                      </a:p>
                    </xdr:txBody>
                  </xdr:sp>
                  <xdr:sp macro="" textlink="$O$14">
                    <xdr:nvSpPr>
                      <xdr:cNvPr id="104" name="CuadroTexto 103">
                        <a:extLst>
                          <a:ext uri="{FF2B5EF4-FFF2-40B4-BE49-F238E27FC236}">
                            <a16:creationId xmlns:a16="http://schemas.microsoft.com/office/drawing/2014/main" id="{1E1FB821-B80D-E20A-CC5D-2D0253CCDF74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1876374" y="7403950"/>
                        <a:ext cx="6931172" cy="926094"/>
                      </a:xfrm>
                      <a:prstGeom prst="rect">
                        <a:avLst/>
                      </a:prstGeom>
                      <a:grpFill/>
                      <a:ln w="9525" cmpd="sng">
                        <a:solidFill>
                          <a:schemeClr val="bg1"/>
                        </a:solidFill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rtlCol="0" anchor="ctr"/>
                      <a:lstStyle/>
                      <a:p>
                        <a:pPr algn="l"/>
                        <a:fld id="{B651B0EE-9F7F-4639-AFBE-46883C824F83}" type="TxLink">
                          <a:rPr lang="en-US" sz="1800" b="1" i="0" u="none" strike="noStrike">
                            <a:solidFill>
                              <a:srgbClr val="000000"/>
                            </a:solidFill>
                            <a:latin typeface="Calibri"/>
                            <a:ea typeface="Calibri"/>
                            <a:cs typeface="Calibri"/>
                          </a:rPr>
                          <a:pPr algn="l"/>
                          <a:t>Punta de pistola desprendida, se retiro punta y se llevó a taller para pegarlo</a:t>
                        </a:fld>
                        <a:endParaRPr lang="en-US" sz="1800" b="1" i="0" u="none" strike="noStrike">
                          <a:solidFill>
                            <a:srgbClr val="000000"/>
                          </a:solidFill>
                          <a:latin typeface="Calibri"/>
                          <a:ea typeface="Calibri"/>
                          <a:cs typeface="Calibri"/>
                        </a:endParaRPr>
                      </a:p>
                    </xdr:txBody>
                  </xdr:sp>
                  <xdr:sp macro="" textlink="">
                    <xdr:nvSpPr>
                      <xdr:cNvPr id="105" name="CuadroTexto 104">
                        <a:extLst>
                          <a:ext uri="{FF2B5EF4-FFF2-40B4-BE49-F238E27FC236}">
                            <a16:creationId xmlns:a16="http://schemas.microsoft.com/office/drawing/2014/main" id="{DF6F692B-8076-B5CA-DA41-8A5C65C6648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8820965" y="7559816"/>
                        <a:ext cx="2413906" cy="624757"/>
                      </a:xfrm>
                      <a:prstGeom prst="rect">
                        <a:avLst/>
                      </a:prstGeom>
                      <a:grpFill/>
                      <a:ln w="9525" cmpd="sng">
                        <a:solidFill>
                          <a:schemeClr val="bg1"/>
                        </a:solidFill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rtlCol="0" anchor="ctr"/>
                      <a:lstStyle/>
                      <a:p>
                        <a:pPr algn="ctr"/>
                        <a:r>
                          <a:rPr lang="en-US" sz="1800" b="0" i="0" u="none" strike="noStrike">
                            <a:solidFill>
                              <a:schemeClr val="accent1">
                                <a:lumMod val="50000"/>
                              </a:schemeClr>
                            </a:solidFill>
                            <a:latin typeface="Calibri"/>
                            <a:ea typeface="Calibri"/>
                            <a:cs typeface="Calibri"/>
                          </a:rPr>
                          <a:t>con una</a:t>
                        </a:r>
                        <a:r>
                          <a:rPr lang="en-US" sz="1800" b="0" i="0" u="none" strike="noStrike" baseline="0">
                            <a:solidFill>
                              <a:schemeClr val="accent1">
                                <a:lumMod val="50000"/>
                              </a:schemeClr>
                            </a:solidFill>
                            <a:latin typeface="Calibri"/>
                            <a:ea typeface="Calibri"/>
                            <a:cs typeface="Calibri"/>
                          </a:rPr>
                          <a:t> intervencion de </a:t>
                        </a:r>
                        <a:endParaRPr lang="en-US" sz="1800" b="0" i="0" u="none" strike="noStrike">
                          <a:solidFill>
                            <a:schemeClr val="accent1">
                              <a:lumMod val="50000"/>
                            </a:schemeClr>
                          </a:solidFill>
                          <a:latin typeface="Calibri"/>
                          <a:ea typeface="Calibri"/>
                          <a:cs typeface="Calibri"/>
                        </a:endParaRPr>
                      </a:p>
                    </xdr:txBody>
                  </xdr:sp>
                  <xdr:sp macro="" textlink="$N$14">
                    <xdr:nvSpPr>
                      <xdr:cNvPr id="106" name="CuadroTexto 105">
                        <a:extLst>
                          <a:ext uri="{FF2B5EF4-FFF2-40B4-BE49-F238E27FC236}">
                            <a16:creationId xmlns:a16="http://schemas.microsoft.com/office/drawing/2014/main" id="{7A7E9850-D336-FCDF-DD32-9AB5C1E0161C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21242048" y="7539034"/>
                        <a:ext cx="726134" cy="624757"/>
                      </a:xfrm>
                      <a:prstGeom prst="rect">
                        <a:avLst/>
                      </a:prstGeom>
                      <a:grpFill/>
                      <a:ln w="9525" cmpd="sng">
                        <a:solidFill>
                          <a:schemeClr val="bg1"/>
                        </a:solidFill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rtlCol="0" anchor="ctr"/>
                      <a:lstStyle/>
                      <a:p>
                        <a:pPr algn="ctr"/>
                        <a:fld id="{26A1F99A-5B7D-4E11-B0F7-3C6B658BF67D}" type="TxLink">
                          <a:rPr lang="en-US" sz="2400" b="0" i="0" u="none" strike="noStrike">
                            <a:solidFill>
                              <a:srgbClr val="C00000"/>
                            </a:solidFill>
                            <a:latin typeface="Calibri"/>
                            <a:ea typeface="Calibri"/>
                            <a:cs typeface="Calibri"/>
                          </a:rPr>
                          <a:pPr algn="ctr"/>
                          <a:t>0:24</a:t>
                        </a:fld>
                        <a:endParaRPr lang="en-US" sz="2400" b="0" i="0" u="none" strike="noStrike">
                          <a:solidFill>
                            <a:srgbClr val="C00000"/>
                          </a:solidFill>
                          <a:latin typeface="Calibri"/>
                          <a:ea typeface="Calibri"/>
                          <a:cs typeface="Calibri"/>
                        </a:endParaRPr>
                      </a:p>
                    </xdr:txBody>
                  </xdr:sp>
                  <xdr:sp macro="" textlink="">
                    <xdr:nvSpPr>
                      <xdr:cNvPr id="107" name="CuadroTexto 106">
                        <a:extLst>
                          <a:ext uri="{FF2B5EF4-FFF2-40B4-BE49-F238E27FC236}">
                            <a16:creationId xmlns:a16="http://schemas.microsoft.com/office/drawing/2014/main" id="{203F92B4-2C83-A8FB-6A21-B350755218D4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21882912" y="7556352"/>
                        <a:ext cx="596879" cy="624757"/>
                      </a:xfrm>
                      <a:prstGeom prst="rect">
                        <a:avLst/>
                      </a:prstGeom>
                      <a:grpFill/>
                      <a:ln w="9525" cmpd="sng">
                        <a:solidFill>
                          <a:schemeClr val="bg1"/>
                        </a:solidFill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rtlCol="0" anchor="ctr"/>
                      <a:lstStyle/>
                      <a:p>
                        <a:pPr algn="l"/>
                        <a:r>
                          <a:rPr lang="en-US" sz="1800" b="0" i="0" u="none" strike="noStrike" baseline="0">
                            <a:solidFill>
                              <a:schemeClr val="accent1">
                                <a:lumMod val="50000"/>
                              </a:schemeClr>
                            </a:solidFill>
                            <a:latin typeface="Calibri"/>
                            <a:ea typeface="Calibri"/>
                            <a:cs typeface="Calibri"/>
                          </a:rPr>
                          <a:t>hrs.</a:t>
                        </a:r>
                        <a:endParaRPr lang="en-US" sz="1800" b="0" i="0" u="none" strike="noStrike">
                          <a:solidFill>
                            <a:schemeClr val="accent1">
                              <a:lumMod val="50000"/>
                            </a:schemeClr>
                          </a:solidFill>
                          <a:latin typeface="Calibri"/>
                          <a:ea typeface="Calibri"/>
                          <a:cs typeface="Calibri"/>
                        </a:endParaRPr>
                      </a:p>
                    </xdr:txBody>
                  </xdr:sp>
                </xdr:grpSp>
                <xdr:grpSp>
                  <xdr:nvGrpSpPr>
                    <xdr:cNvPr id="95" name="Grupo 94">
                      <a:extLst>
                        <a:ext uri="{FF2B5EF4-FFF2-40B4-BE49-F238E27FC236}">
                          <a16:creationId xmlns:a16="http://schemas.microsoft.com/office/drawing/2014/main" id="{3D671FB8-D7C3-5C90-E457-D1511B65CC0D}"/>
                        </a:ext>
                      </a:extLst>
                    </xdr:cNvPr>
                    <xdr:cNvGrpSpPr/>
                  </xdr:nvGrpSpPr>
                  <xdr:grpSpPr>
                    <a:xfrm>
                      <a:off x="6577445" y="8214441"/>
                      <a:ext cx="15794177" cy="926094"/>
                      <a:chOff x="6895665" y="7403950"/>
                      <a:chExt cx="15584126" cy="926094"/>
                    </a:xfrm>
                    <a:solidFill>
                      <a:schemeClr val="bg1"/>
                    </a:solidFill>
                  </xdr:grpSpPr>
                  <xdr:sp macro="" textlink="$Q$15">
                    <xdr:nvSpPr>
                      <xdr:cNvPr id="96" name="CuadroTexto 95">
                        <a:extLst>
                          <a:ext uri="{FF2B5EF4-FFF2-40B4-BE49-F238E27FC236}">
                            <a16:creationId xmlns:a16="http://schemas.microsoft.com/office/drawing/2014/main" id="{EE4EB497-3F91-0257-B1C0-10F99C72BE29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6895665" y="7549424"/>
                        <a:ext cx="3287426" cy="624757"/>
                      </a:xfrm>
                      <a:prstGeom prst="rect">
                        <a:avLst/>
                      </a:prstGeom>
                      <a:grpFill/>
                      <a:ln w="9525" cmpd="sng">
                        <a:solidFill>
                          <a:schemeClr val="bg1"/>
                        </a:solidFill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rtlCol="0" anchor="ctr"/>
                      <a:lstStyle/>
                      <a:p>
                        <a:pPr algn="r"/>
                        <a:fld id="{E4FB79E3-3151-42B2-92C2-471BB563AC87}" type="TxLink">
                          <a:rPr lang="en-US" sz="1800" b="1" i="0" u="none" strike="noStrike">
                            <a:solidFill>
                              <a:srgbClr val="000000"/>
                            </a:solidFill>
                            <a:latin typeface="Calibri"/>
                            <a:ea typeface="Calibri"/>
                            <a:cs typeface="Calibri"/>
                          </a:rPr>
                          <a:pPr algn="r"/>
                          <a:t>#N/D</a:t>
                        </a:fld>
                        <a:endParaRPr lang="es-PE" sz="3200" b="1">
                          <a:solidFill>
                            <a:srgbClr val="C00000"/>
                          </a:solidFill>
                          <a:latin typeface="+mn-lt"/>
                          <a:cs typeface="Segoe UI" panose="020B0502040204020203" pitchFamily="34" charset="0"/>
                        </a:endParaRPr>
                      </a:p>
                    </xdr:txBody>
                  </xdr:sp>
                  <xdr:sp macro="" textlink="">
                    <xdr:nvSpPr>
                      <xdr:cNvPr id="97" name="CuadroTexto 96">
                        <a:extLst>
                          <a:ext uri="{FF2B5EF4-FFF2-40B4-BE49-F238E27FC236}">
                            <a16:creationId xmlns:a16="http://schemas.microsoft.com/office/drawing/2014/main" id="{05B04BD4-73F4-EE5D-90AA-3AE772B77D65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0165338" y="7545961"/>
                        <a:ext cx="1697618" cy="624757"/>
                      </a:xfrm>
                      <a:prstGeom prst="rect">
                        <a:avLst/>
                      </a:prstGeom>
                      <a:grpFill/>
                      <a:ln w="9525" cmpd="sng">
                        <a:solidFill>
                          <a:schemeClr val="bg1"/>
                        </a:solidFill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rtlCol="0" anchor="ctr"/>
                      <a:lstStyle/>
                      <a:p>
                        <a:pPr algn="r"/>
                        <a:r>
                          <a:rPr lang="en-US" sz="1800" b="0" i="0" u="none" strike="noStrike">
                            <a:solidFill>
                              <a:schemeClr val="accent1">
                                <a:lumMod val="50000"/>
                              </a:schemeClr>
                            </a:solidFill>
                            <a:latin typeface="Calibri"/>
                            <a:ea typeface="Calibri"/>
                            <a:cs typeface="Calibri"/>
                          </a:rPr>
                          <a:t>Se</a:t>
                        </a:r>
                        <a:r>
                          <a:rPr lang="en-US" sz="1800" b="0" i="0" u="none" strike="noStrike" baseline="0">
                            <a:solidFill>
                              <a:schemeClr val="accent1">
                                <a:lumMod val="50000"/>
                              </a:schemeClr>
                            </a:solidFill>
                            <a:latin typeface="Calibri"/>
                            <a:ea typeface="Calibri"/>
                            <a:cs typeface="Calibri"/>
                          </a:rPr>
                          <a:t> observó que:</a:t>
                        </a:r>
                        <a:endParaRPr lang="en-US" sz="1800" b="0" i="0" u="none" strike="noStrike">
                          <a:solidFill>
                            <a:schemeClr val="accent1">
                              <a:lumMod val="50000"/>
                            </a:schemeClr>
                          </a:solidFill>
                          <a:latin typeface="Calibri"/>
                          <a:ea typeface="Calibri"/>
                          <a:cs typeface="Calibri"/>
                        </a:endParaRPr>
                      </a:p>
                    </xdr:txBody>
                  </xdr:sp>
                  <xdr:sp macro="" textlink="$O$15">
                    <xdr:nvSpPr>
                      <xdr:cNvPr id="98" name="CuadroTexto 97">
                        <a:extLst>
                          <a:ext uri="{FF2B5EF4-FFF2-40B4-BE49-F238E27FC236}">
                            <a16:creationId xmlns:a16="http://schemas.microsoft.com/office/drawing/2014/main" id="{933A9AB6-25B2-4ED1-D0E5-3A005774310C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1876374" y="7403950"/>
                        <a:ext cx="6931172" cy="926094"/>
                      </a:xfrm>
                      <a:prstGeom prst="rect">
                        <a:avLst/>
                      </a:prstGeom>
                      <a:grpFill/>
                      <a:ln w="9525" cmpd="sng">
                        <a:solidFill>
                          <a:schemeClr val="bg1"/>
                        </a:solidFill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rtlCol="0" anchor="ctr"/>
                      <a:lstStyle/>
                      <a:p>
                        <a:pPr algn="l"/>
                        <a:fld id="{11903195-B1BB-4CA2-9084-DC0A0F44EB27}" type="TxLink">
                          <a:rPr lang="en-US" sz="1800" b="1" i="0" u="none" strike="noStrike">
                            <a:solidFill>
                              <a:srgbClr val="000000"/>
                            </a:solidFill>
                            <a:latin typeface="Calibri"/>
                            <a:ea typeface="Calibri"/>
                            <a:cs typeface="Calibri"/>
                          </a:rPr>
                          <a:pPr algn="l"/>
                          <a:t>Equipo muy duro para empujar</a:t>
                        </a:fld>
                        <a:endParaRPr lang="en-US" sz="3200" b="1" i="0" u="none" strike="noStrike">
                          <a:solidFill>
                            <a:srgbClr val="000000"/>
                          </a:solidFill>
                          <a:latin typeface="Calibri"/>
                          <a:ea typeface="Calibri"/>
                          <a:cs typeface="Calibri"/>
                        </a:endParaRPr>
                      </a:p>
                    </xdr:txBody>
                  </xdr:sp>
                  <xdr:sp macro="" textlink="">
                    <xdr:nvSpPr>
                      <xdr:cNvPr id="99" name="CuadroTexto 98">
                        <a:extLst>
                          <a:ext uri="{FF2B5EF4-FFF2-40B4-BE49-F238E27FC236}">
                            <a16:creationId xmlns:a16="http://schemas.microsoft.com/office/drawing/2014/main" id="{1EA4D0F0-6C17-B473-007C-0B995E9974A9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8820965" y="7559816"/>
                        <a:ext cx="2413906" cy="624757"/>
                      </a:xfrm>
                      <a:prstGeom prst="rect">
                        <a:avLst/>
                      </a:prstGeom>
                      <a:grpFill/>
                      <a:ln w="9525" cmpd="sng">
                        <a:solidFill>
                          <a:schemeClr val="bg1"/>
                        </a:solidFill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rtlCol="0" anchor="ctr"/>
                      <a:lstStyle/>
                      <a:p>
                        <a:pPr algn="ctr"/>
                        <a:r>
                          <a:rPr lang="en-US" sz="1800" b="0" i="0" u="none" strike="noStrike">
                            <a:solidFill>
                              <a:schemeClr val="accent1">
                                <a:lumMod val="50000"/>
                              </a:schemeClr>
                            </a:solidFill>
                            <a:latin typeface="Calibri"/>
                            <a:ea typeface="Calibri"/>
                            <a:cs typeface="Calibri"/>
                          </a:rPr>
                          <a:t>con una</a:t>
                        </a:r>
                        <a:r>
                          <a:rPr lang="en-US" sz="1800" b="0" i="0" u="none" strike="noStrike" baseline="0">
                            <a:solidFill>
                              <a:schemeClr val="accent1">
                                <a:lumMod val="50000"/>
                              </a:schemeClr>
                            </a:solidFill>
                            <a:latin typeface="Calibri"/>
                            <a:ea typeface="Calibri"/>
                            <a:cs typeface="Calibri"/>
                          </a:rPr>
                          <a:t> intervencion de </a:t>
                        </a:r>
                        <a:endParaRPr lang="en-US" sz="1800" b="0" i="0" u="none" strike="noStrike">
                          <a:solidFill>
                            <a:schemeClr val="accent1">
                              <a:lumMod val="50000"/>
                            </a:schemeClr>
                          </a:solidFill>
                          <a:latin typeface="Calibri"/>
                          <a:ea typeface="Calibri"/>
                          <a:cs typeface="Calibri"/>
                        </a:endParaRPr>
                      </a:p>
                    </xdr:txBody>
                  </xdr:sp>
                  <xdr:sp macro="" textlink="$N$15">
                    <xdr:nvSpPr>
                      <xdr:cNvPr id="100" name="CuadroTexto 99">
                        <a:extLst>
                          <a:ext uri="{FF2B5EF4-FFF2-40B4-BE49-F238E27FC236}">
                            <a16:creationId xmlns:a16="http://schemas.microsoft.com/office/drawing/2014/main" id="{FB6CC129-A50C-4874-1B39-179EA5B45345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21242048" y="7539034"/>
                        <a:ext cx="726134" cy="624757"/>
                      </a:xfrm>
                      <a:prstGeom prst="rect">
                        <a:avLst/>
                      </a:prstGeom>
                      <a:grpFill/>
                      <a:ln w="9525" cmpd="sng">
                        <a:solidFill>
                          <a:schemeClr val="bg1"/>
                        </a:solidFill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rtlCol="0" anchor="ctr"/>
                      <a:lstStyle/>
                      <a:p>
                        <a:pPr algn="ctr"/>
                        <a:fld id="{802BD833-131D-4724-8B2F-C579DB087010}" type="TxLink">
                          <a:rPr lang="en-US" sz="2400" b="0" i="0" u="none" strike="noStrike">
                            <a:solidFill>
                              <a:srgbClr val="C00000"/>
                            </a:solidFill>
                            <a:latin typeface="Calibri"/>
                            <a:ea typeface="Calibri"/>
                            <a:cs typeface="Calibri"/>
                          </a:rPr>
                          <a:pPr algn="ctr"/>
                          <a:t>0:18</a:t>
                        </a:fld>
                        <a:endParaRPr lang="en-US" sz="3200" b="0" i="0" u="none" strike="noStrike">
                          <a:solidFill>
                            <a:srgbClr val="C00000"/>
                          </a:solidFill>
                          <a:latin typeface="Calibri"/>
                          <a:ea typeface="Calibri"/>
                          <a:cs typeface="Calibri"/>
                        </a:endParaRPr>
                      </a:p>
                    </xdr:txBody>
                  </xdr:sp>
                  <xdr:sp macro="" textlink="">
                    <xdr:nvSpPr>
                      <xdr:cNvPr id="101" name="CuadroTexto 100">
                        <a:extLst>
                          <a:ext uri="{FF2B5EF4-FFF2-40B4-BE49-F238E27FC236}">
                            <a16:creationId xmlns:a16="http://schemas.microsoft.com/office/drawing/2014/main" id="{D4F5DAAB-EBDE-B56C-67CB-921A44B21648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21882912" y="7556352"/>
                        <a:ext cx="596879" cy="624757"/>
                      </a:xfrm>
                      <a:prstGeom prst="rect">
                        <a:avLst/>
                      </a:prstGeom>
                      <a:grpFill/>
                      <a:ln w="9525" cmpd="sng">
                        <a:solidFill>
                          <a:schemeClr val="bg1"/>
                        </a:solidFill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rtlCol="0" anchor="ctr"/>
                      <a:lstStyle/>
                      <a:p>
                        <a:pPr algn="l"/>
                        <a:r>
                          <a:rPr lang="en-US" sz="1800" b="0" i="0" u="none" strike="noStrike" baseline="0">
                            <a:solidFill>
                              <a:schemeClr val="accent1">
                                <a:lumMod val="50000"/>
                              </a:schemeClr>
                            </a:solidFill>
                            <a:latin typeface="Calibri"/>
                            <a:ea typeface="Calibri"/>
                            <a:cs typeface="Calibri"/>
                          </a:rPr>
                          <a:t>hrs.</a:t>
                        </a:r>
                        <a:endParaRPr lang="en-US" sz="1800" b="0" i="0" u="none" strike="noStrike">
                          <a:solidFill>
                            <a:schemeClr val="accent1">
                              <a:lumMod val="50000"/>
                            </a:schemeClr>
                          </a:solidFill>
                          <a:latin typeface="Calibri"/>
                          <a:ea typeface="Calibri"/>
                          <a:cs typeface="Calibri"/>
                        </a:endParaRPr>
                      </a:p>
                    </xdr:txBody>
                  </xdr:sp>
                </xdr:grpSp>
              </xdr:grpSp>
              <xdr:grpSp>
                <xdr:nvGrpSpPr>
                  <xdr:cNvPr id="87" name="Grupo 86">
                    <a:extLst>
                      <a:ext uri="{FF2B5EF4-FFF2-40B4-BE49-F238E27FC236}">
                        <a16:creationId xmlns:a16="http://schemas.microsoft.com/office/drawing/2014/main" id="{99A1C677-F62E-5818-5759-8B53E0FF4242}"/>
                      </a:ext>
                    </a:extLst>
                  </xdr:cNvPr>
                  <xdr:cNvGrpSpPr/>
                </xdr:nvGrpSpPr>
                <xdr:grpSpPr>
                  <a:xfrm>
                    <a:off x="6573982" y="9163477"/>
                    <a:ext cx="15794177" cy="926094"/>
                    <a:chOff x="6895665" y="7403950"/>
                    <a:chExt cx="15584126" cy="926094"/>
                  </a:xfrm>
                  <a:solidFill>
                    <a:schemeClr val="bg1"/>
                  </a:solidFill>
                </xdr:grpSpPr>
                <xdr:sp macro="" textlink="$Q$16">
                  <xdr:nvSpPr>
                    <xdr:cNvPr id="88" name="CuadroTexto 87">
                      <a:extLst>
                        <a:ext uri="{FF2B5EF4-FFF2-40B4-BE49-F238E27FC236}">
                          <a16:creationId xmlns:a16="http://schemas.microsoft.com/office/drawing/2014/main" id="{25ACF35F-BED8-B70C-4C05-8BA76F113498}"/>
                        </a:ext>
                      </a:extLst>
                    </xdr:cNvPr>
                    <xdr:cNvSpPr txBox="1"/>
                  </xdr:nvSpPr>
                  <xdr:spPr>
                    <a:xfrm>
                      <a:off x="6895665" y="7549424"/>
                      <a:ext cx="3287426" cy="624757"/>
                    </a:xfrm>
                    <a:prstGeom prst="rect">
                      <a:avLst/>
                    </a:prstGeom>
                    <a:grpFill/>
                    <a:ln w="9525" cmpd="sng">
                      <a:solidFill>
                        <a:schemeClr val="bg1"/>
                      </a:solidFill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square" rtlCol="0" anchor="ctr"/>
                    <a:lstStyle/>
                    <a:p>
                      <a:pPr algn="r"/>
                      <a:fld id="{6205ED4B-68BC-459E-BE7D-16675C39FBE8}" type="TxLink">
                        <a:rPr lang="en-US" sz="1800" b="1" i="0" u="none" strike="noStrike">
                          <a:solidFill>
                            <a:srgbClr val="000000"/>
                          </a:solidFill>
                          <a:latin typeface="Calibri"/>
                          <a:ea typeface="Calibri"/>
                          <a:cs typeface="Calibri"/>
                        </a:rPr>
                        <a:pPr algn="r"/>
                        <a:t>#N/D</a:t>
                      </a:fld>
                      <a:endParaRPr lang="es-PE" sz="3200" b="1">
                        <a:solidFill>
                          <a:srgbClr val="C00000"/>
                        </a:solidFill>
                        <a:latin typeface="+mn-lt"/>
                        <a:cs typeface="Segoe UI" panose="020B0502040204020203" pitchFamily="34" charset="0"/>
                      </a:endParaRPr>
                    </a:p>
                  </xdr:txBody>
                </xdr:sp>
                <xdr:sp macro="" textlink="">
                  <xdr:nvSpPr>
                    <xdr:cNvPr id="89" name="CuadroTexto 88">
                      <a:extLst>
                        <a:ext uri="{FF2B5EF4-FFF2-40B4-BE49-F238E27FC236}">
                          <a16:creationId xmlns:a16="http://schemas.microsoft.com/office/drawing/2014/main" id="{B92D4BFD-F181-7F03-F41C-32B6E96A452E}"/>
                        </a:ext>
                      </a:extLst>
                    </xdr:cNvPr>
                    <xdr:cNvSpPr txBox="1"/>
                  </xdr:nvSpPr>
                  <xdr:spPr>
                    <a:xfrm>
                      <a:off x="10165338" y="7545961"/>
                      <a:ext cx="1697618" cy="624757"/>
                    </a:xfrm>
                    <a:prstGeom prst="rect">
                      <a:avLst/>
                    </a:prstGeom>
                    <a:grpFill/>
                    <a:ln w="9525" cmpd="sng">
                      <a:solidFill>
                        <a:schemeClr val="bg1"/>
                      </a:solidFill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square" rtlCol="0" anchor="ctr"/>
                    <a:lstStyle/>
                    <a:p>
                      <a:pPr algn="r"/>
                      <a:r>
                        <a:rPr lang="en-US" sz="1800" b="0" i="0" u="none" strike="noStrike">
                          <a:solidFill>
                            <a:schemeClr val="accent1">
                              <a:lumMod val="50000"/>
                            </a:schemeClr>
                          </a:solidFill>
                          <a:latin typeface="Calibri"/>
                          <a:ea typeface="Calibri"/>
                          <a:cs typeface="Calibri"/>
                        </a:rPr>
                        <a:t>Se</a:t>
                      </a:r>
                      <a:r>
                        <a:rPr lang="en-US" sz="1800" b="0" i="0" u="none" strike="noStrike" baseline="0">
                          <a:solidFill>
                            <a:schemeClr val="accent1">
                              <a:lumMod val="50000"/>
                            </a:schemeClr>
                          </a:solidFill>
                          <a:latin typeface="Calibri"/>
                          <a:ea typeface="Calibri"/>
                          <a:cs typeface="Calibri"/>
                        </a:rPr>
                        <a:t> observó que:</a:t>
                      </a:r>
                      <a:endParaRPr lang="en-US" sz="1800" b="0" i="0" u="none" strike="noStrike">
                        <a:solidFill>
                          <a:schemeClr val="accent1">
                            <a:lumMod val="50000"/>
                          </a:schemeClr>
                        </a:solidFill>
                        <a:latin typeface="Calibri"/>
                        <a:ea typeface="Calibri"/>
                        <a:cs typeface="Calibri"/>
                      </a:endParaRPr>
                    </a:p>
                  </xdr:txBody>
                </xdr:sp>
                <xdr:sp macro="" textlink="$O$16">
                  <xdr:nvSpPr>
                    <xdr:cNvPr id="90" name="CuadroTexto 89">
                      <a:extLst>
                        <a:ext uri="{FF2B5EF4-FFF2-40B4-BE49-F238E27FC236}">
                          <a16:creationId xmlns:a16="http://schemas.microsoft.com/office/drawing/2014/main" id="{72793CB8-7269-F0E6-CBD0-2928753F99AF}"/>
                        </a:ext>
                      </a:extLst>
                    </xdr:cNvPr>
                    <xdr:cNvSpPr txBox="1"/>
                  </xdr:nvSpPr>
                  <xdr:spPr>
                    <a:xfrm>
                      <a:off x="11876374" y="7403950"/>
                      <a:ext cx="6931172" cy="926094"/>
                    </a:xfrm>
                    <a:prstGeom prst="rect">
                      <a:avLst/>
                    </a:prstGeom>
                    <a:grpFill/>
                    <a:ln w="9525" cmpd="sng">
                      <a:solidFill>
                        <a:schemeClr val="bg1"/>
                      </a:solidFill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square" rtlCol="0" anchor="ctr"/>
                    <a:lstStyle/>
                    <a:p>
                      <a:pPr algn="l"/>
                      <a:fld id="{4FFC557B-2D67-4B72-B291-E16DD9853727}" type="TxLink">
                        <a:rPr lang="en-US" sz="1800" b="1" i="0" u="none" strike="noStrike">
                          <a:solidFill>
                            <a:srgbClr val="000000"/>
                          </a:solidFill>
                          <a:latin typeface="Calibri"/>
                          <a:ea typeface="Calibri"/>
                          <a:cs typeface="Calibri"/>
                        </a:rPr>
                        <a:pPr algn="l"/>
                        <a:t>Temperadora no enciende </a:t>
                      </a:fld>
                      <a:endParaRPr lang="en-US" sz="3200" b="1" i="0" u="none" strike="noStrike">
                        <a:solidFill>
                          <a:srgbClr val="000000"/>
                        </a:solidFill>
                        <a:latin typeface="Calibri"/>
                        <a:ea typeface="Calibri"/>
                        <a:cs typeface="Calibri"/>
                      </a:endParaRPr>
                    </a:p>
                  </xdr:txBody>
                </xdr:sp>
                <xdr:sp macro="" textlink="">
                  <xdr:nvSpPr>
                    <xdr:cNvPr id="91" name="CuadroTexto 90">
                      <a:extLst>
                        <a:ext uri="{FF2B5EF4-FFF2-40B4-BE49-F238E27FC236}">
                          <a16:creationId xmlns:a16="http://schemas.microsoft.com/office/drawing/2014/main" id="{5297B409-1C8F-C06A-D3AD-F53D844FA758}"/>
                        </a:ext>
                      </a:extLst>
                    </xdr:cNvPr>
                    <xdr:cNvSpPr txBox="1"/>
                  </xdr:nvSpPr>
                  <xdr:spPr>
                    <a:xfrm>
                      <a:off x="18820965" y="7559816"/>
                      <a:ext cx="2413906" cy="624757"/>
                    </a:xfrm>
                    <a:prstGeom prst="rect">
                      <a:avLst/>
                    </a:prstGeom>
                    <a:grpFill/>
                    <a:ln w="9525" cmpd="sng">
                      <a:solidFill>
                        <a:schemeClr val="bg1"/>
                      </a:solidFill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square" rtlCol="0" anchor="ctr"/>
                    <a:lstStyle/>
                    <a:p>
                      <a:pPr algn="ctr"/>
                      <a:r>
                        <a:rPr lang="en-US" sz="1800" b="0" i="0" u="none" strike="noStrike">
                          <a:solidFill>
                            <a:schemeClr val="accent1">
                              <a:lumMod val="50000"/>
                            </a:schemeClr>
                          </a:solidFill>
                          <a:latin typeface="Calibri"/>
                          <a:ea typeface="Calibri"/>
                          <a:cs typeface="Calibri"/>
                        </a:rPr>
                        <a:t>con una</a:t>
                      </a:r>
                      <a:r>
                        <a:rPr lang="en-US" sz="1800" b="0" i="0" u="none" strike="noStrike" baseline="0">
                          <a:solidFill>
                            <a:schemeClr val="accent1">
                              <a:lumMod val="50000"/>
                            </a:schemeClr>
                          </a:solidFill>
                          <a:latin typeface="Calibri"/>
                          <a:ea typeface="Calibri"/>
                          <a:cs typeface="Calibri"/>
                        </a:rPr>
                        <a:t> intervencion de </a:t>
                      </a:r>
                      <a:endParaRPr lang="en-US" sz="1800" b="0" i="0" u="none" strike="noStrike">
                        <a:solidFill>
                          <a:schemeClr val="accent1">
                            <a:lumMod val="50000"/>
                          </a:schemeClr>
                        </a:solidFill>
                        <a:latin typeface="Calibri"/>
                        <a:ea typeface="Calibri"/>
                        <a:cs typeface="Calibri"/>
                      </a:endParaRPr>
                    </a:p>
                  </xdr:txBody>
                </xdr:sp>
                <xdr:sp macro="" textlink="$N$16">
                  <xdr:nvSpPr>
                    <xdr:cNvPr id="92" name="CuadroTexto 91">
                      <a:extLst>
                        <a:ext uri="{FF2B5EF4-FFF2-40B4-BE49-F238E27FC236}">
                          <a16:creationId xmlns:a16="http://schemas.microsoft.com/office/drawing/2014/main" id="{D9C7D0F6-10C3-8E43-6037-7BA520751B89}"/>
                        </a:ext>
                      </a:extLst>
                    </xdr:cNvPr>
                    <xdr:cNvSpPr txBox="1"/>
                  </xdr:nvSpPr>
                  <xdr:spPr>
                    <a:xfrm>
                      <a:off x="21242048" y="7539034"/>
                      <a:ext cx="726134" cy="624757"/>
                    </a:xfrm>
                    <a:prstGeom prst="rect">
                      <a:avLst/>
                    </a:prstGeom>
                    <a:grpFill/>
                    <a:ln w="9525" cmpd="sng">
                      <a:solidFill>
                        <a:schemeClr val="bg1"/>
                      </a:solidFill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square" rtlCol="0" anchor="ctr"/>
                    <a:lstStyle/>
                    <a:p>
                      <a:pPr algn="ctr"/>
                      <a:fld id="{75183496-1467-49C4-8C8E-1F87B95E7CD2}" type="TxLink">
                        <a:rPr lang="en-US" sz="2400" b="0" i="0" u="none" strike="noStrike">
                          <a:solidFill>
                            <a:srgbClr val="C00000"/>
                          </a:solidFill>
                          <a:latin typeface="Calibri"/>
                          <a:ea typeface="Calibri"/>
                          <a:cs typeface="Calibri"/>
                        </a:rPr>
                        <a:pPr algn="ctr"/>
                        <a:t>0:15</a:t>
                      </a:fld>
                      <a:endParaRPr lang="en-US" sz="3200" b="0" i="0" u="none" strike="noStrike">
                        <a:solidFill>
                          <a:srgbClr val="C00000"/>
                        </a:solidFill>
                        <a:latin typeface="Calibri"/>
                        <a:ea typeface="Calibri"/>
                        <a:cs typeface="Calibri"/>
                      </a:endParaRPr>
                    </a:p>
                  </xdr:txBody>
                </xdr:sp>
                <xdr:sp macro="" textlink="">
                  <xdr:nvSpPr>
                    <xdr:cNvPr id="93" name="CuadroTexto 92">
                      <a:extLst>
                        <a:ext uri="{FF2B5EF4-FFF2-40B4-BE49-F238E27FC236}">
                          <a16:creationId xmlns:a16="http://schemas.microsoft.com/office/drawing/2014/main" id="{2BCEB0D5-E594-7401-529B-B4D30012E8CF}"/>
                        </a:ext>
                      </a:extLst>
                    </xdr:cNvPr>
                    <xdr:cNvSpPr txBox="1"/>
                  </xdr:nvSpPr>
                  <xdr:spPr>
                    <a:xfrm>
                      <a:off x="21882912" y="7556352"/>
                      <a:ext cx="596879" cy="624757"/>
                    </a:xfrm>
                    <a:prstGeom prst="rect">
                      <a:avLst/>
                    </a:prstGeom>
                    <a:grpFill/>
                    <a:ln w="9525" cmpd="sng">
                      <a:solidFill>
                        <a:schemeClr val="bg1"/>
                      </a:solidFill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square" rtlCol="0" anchor="ctr"/>
                    <a:lstStyle/>
                    <a:p>
                      <a:pPr algn="l"/>
                      <a:r>
                        <a:rPr lang="en-US" sz="1800" b="0" i="0" u="none" strike="noStrike" baseline="0">
                          <a:solidFill>
                            <a:schemeClr val="accent1">
                              <a:lumMod val="50000"/>
                            </a:schemeClr>
                          </a:solidFill>
                          <a:latin typeface="Calibri"/>
                          <a:ea typeface="Calibri"/>
                          <a:cs typeface="Calibri"/>
                        </a:rPr>
                        <a:t>hrs.</a:t>
                      </a:r>
                      <a:endParaRPr lang="en-US" sz="1800" b="0" i="0" u="none" strike="noStrike">
                        <a:solidFill>
                          <a:schemeClr val="accent1">
                            <a:lumMod val="50000"/>
                          </a:schemeClr>
                        </a:solidFill>
                        <a:latin typeface="Calibri"/>
                        <a:ea typeface="Calibri"/>
                        <a:cs typeface="Calibri"/>
                      </a:endParaRPr>
                    </a:p>
                  </xdr:txBody>
                </xdr:sp>
              </xdr:grpSp>
            </xdr:grpSp>
          </xdr:grpSp>
          <xdr:cxnSp macro="">
            <xdr:nvCxnSpPr>
              <xdr:cNvPr id="83" name="Conector recto 82">
                <a:extLst>
                  <a:ext uri="{FF2B5EF4-FFF2-40B4-BE49-F238E27FC236}">
                    <a16:creationId xmlns:a16="http://schemas.microsoft.com/office/drawing/2014/main" id="{3F96806C-A149-680D-CFF4-01C52DC2BEC6}"/>
                  </a:ext>
                </a:extLst>
              </xdr:cNvPr>
              <xdr:cNvCxnSpPr/>
            </xdr:nvCxnSpPr>
            <xdr:spPr>
              <a:xfrm flipH="1">
                <a:off x="22461681" y="7169727"/>
                <a:ext cx="23825" cy="3110377"/>
              </a:xfrm>
              <a:prstGeom prst="line">
                <a:avLst/>
              </a:prstGeom>
              <a:ln>
                <a:solidFill>
                  <a:schemeClr val="accent3">
                    <a:lumMod val="7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81" name="CuadroTexto 80">
              <a:extLst>
                <a:ext uri="{FF2B5EF4-FFF2-40B4-BE49-F238E27FC236}">
                  <a16:creationId xmlns:a16="http://schemas.microsoft.com/office/drawing/2014/main" id="{B85F2D60-8A09-5C05-6219-63CA712D5AB2}"/>
                </a:ext>
              </a:extLst>
            </xdr:cNvPr>
            <xdr:cNvSpPr txBox="1"/>
          </xdr:nvSpPr>
          <xdr:spPr>
            <a:xfrm>
              <a:off x="22392409" y="8153674"/>
              <a:ext cx="2407227" cy="1194952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s-PE" sz="2000" b="1">
                  <a:solidFill>
                    <a:srgbClr val="C00000"/>
                  </a:solidFill>
                  <a:latin typeface="+mn-lt"/>
                  <a:cs typeface="Segoe UI" panose="020B0502040204020203" pitchFamily="34" charset="0"/>
                </a:rPr>
                <a:t>MAYOR</a:t>
              </a:r>
              <a:r>
                <a:rPr lang="es-PE" sz="2000" b="1" baseline="0">
                  <a:solidFill>
                    <a:srgbClr val="C00000"/>
                  </a:solidFill>
                  <a:latin typeface="+mn-lt"/>
                  <a:cs typeface="Segoe UI" panose="020B0502040204020203" pitchFamily="34" charset="0"/>
                </a:rPr>
                <a:t> TIEMPO CONTINUO DE INTERVENCIÓN</a:t>
              </a:r>
              <a:endParaRPr lang="es-PE" sz="2400" b="1">
                <a:solidFill>
                  <a:srgbClr val="C00000"/>
                </a:solidFill>
                <a:latin typeface="+mn-lt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71" name="Grupo 70">
            <a:extLst>
              <a:ext uri="{FF2B5EF4-FFF2-40B4-BE49-F238E27FC236}">
                <a16:creationId xmlns:a16="http://schemas.microsoft.com/office/drawing/2014/main" id="{BED79497-1A05-6E5B-F576-373011FC2D26}"/>
              </a:ext>
            </a:extLst>
          </xdr:cNvPr>
          <xdr:cNvGrpSpPr/>
        </xdr:nvGrpSpPr>
        <xdr:grpSpPr>
          <a:xfrm>
            <a:off x="22453589" y="8292484"/>
            <a:ext cx="2567722" cy="2029152"/>
            <a:chOff x="22453589" y="8292484"/>
            <a:chExt cx="2567722" cy="2029152"/>
          </a:xfrm>
        </xdr:grpSpPr>
        <xdr:grpSp>
          <xdr:nvGrpSpPr>
            <xdr:cNvPr id="72" name="Grupo 71">
              <a:extLst>
                <a:ext uri="{FF2B5EF4-FFF2-40B4-BE49-F238E27FC236}">
                  <a16:creationId xmlns:a16="http://schemas.microsoft.com/office/drawing/2014/main" id="{1705CC1B-08D2-A86F-C3B6-C39872007F7C}"/>
                </a:ext>
              </a:extLst>
            </xdr:cNvPr>
            <xdr:cNvGrpSpPr/>
          </xdr:nvGrpSpPr>
          <xdr:grpSpPr>
            <a:xfrm>
              <a:off x="22552603" y="8292484"/>
              <a:ext cx="2468708" cy="822603"/>
              <a:chOff x="22535284" y="8604210"/>
              <a:chExt cx="2468708" cy="822603"/>
            </a:xfrm>
          </xdr:grpSpPr>
          <xdr:sp macro="" textlink="$N$19">
            <xdr:nvSpPr>
              <xdr:cNvPr id="76" name="CuadroTexto 75">
                <a:extLst>
                  <a:ext uri="{FF2B5EF4-FFF2-40B4-BE49-F238E27FC236}">
                    <a16:creationId xmlns:a16="http://schemas.microsoft.com/office/drawing/2014/main" id="{98766668-678E-045B-492F-061D1C822D87}"/>
                  </a:ext>
                </a:extLst>
              </xdr:cNvPr>
              <xdr:cNvSpPr txBox="1"/>
            </xdr:nvSpPr>
            <xdr:spPr>
              <a:xfrm>
                <a:off x="23189909" y="8641768"/>
                <a:ext cx="1228727" cy="727367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bg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fld id="{2965E62A-D4F4-475C-AE29-79BE56EEAD62}" type="TxLink">
                  <a:rPr lang="en-US" sz="4400" b="0" i="0" u="none" strike="noStrike">
                    <a:solidFill>
                      <a:srgbClr val="C00000"/>
                    </a:solidFill>
                    <a:latin typeface="Calibri"/>
                    <a:ea typeface="Calibri"/>
                    <a:cs typeface="Calibri"/>
                  </a:rPr>
                  <a:pPr algn="ctr"/>
                  <a:t>2:10</a:t>
                </a:fld>
                <a:endParaRPr lang="es-PE" sz="6600" b="1">
                  <a:solidFill>
                    <a:srgbClr val="C00000"/>
                  </a:solidFill>
                  <a:latin typeface="+mn-lt"/>
                  <a:cs typeface="Segoe UI" panose="020B0502040204020203" pitchFamily="34" charset="0"/>
                </a:endParaRPr>
              </a:p>
            </xdr:txBody>
          </xdr:sp>
          <xdr:grpSp>
            <xdr:nvGrpSpPr>
              <xdr:cNvPr id="77" name="Grupo 76">
                <a:extLst>
                  <a:ext uri="{FF2B5EF4-FFF2-40B4-BE49-F238E27FC236}">
                    <a16:creationId xmlns:a16="http://schemas.microsoft.com/office/drawing/2014/main" id="{E44CEF87-86F7-6155-48E5-0476668A413C}"/>
                  </a:ext>
                </a:extLst>
              </xdr:cNvPr>
              <xdr:cNvGrpSpPr/>
            </xdr:nvGrpSpPr>
            <xdr:grpSpPr>
              <a:xfrm>
                <a:off x="22535284" y="8604210"/>
                <a:ext cx="2468708" cy="822603"/>
                <a:chOff x="22535284" y="8604210"/>
                <a:chExt cx="2468708" cy="822603"/>
              </a:xfrm>
            </xdr:grpSpPr>
            <xdr:sp macro="" textlink="">
              <xdr:nvSpPr>
                <xdr:cNvPr id="78" name="CuadroTexto 77">
                  <a:extLst>
                    <a:ext uri="{FF2B5EF4-FFF2-40B4-BE49-F238E27FC236}">
                      <a16:creationId xmlns:a16="http://schemas.microsoft.com/office/drawing/2014/main" id="{AE381DC4-2DF6-D76F-289D-00A822789621}"/>
                    </a:ext>
                  </a:extLst>
                </xdr:cNvPr>
                <xdr:cNvSpPr txBox="1"/>
              </xdr:nvSpPr>
              <xdr:spPr>
                <a:xfrm>
                  <a:off x="22535284" y="8604210"/>
                  <a:ext cx="688398" cy="82260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bg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PE" sz="3600">
                      <a:solidFill>
                        <a:srgbClr val="C00000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🕒</a:t>
                  </a:r>
                  <a:endParaRPr lang="es-PE" sz="3600" b="1">
                    <a:solidFill>
                      <a:srgbClr val="C00000"/>
                    </a:solidFill>
                    <a:latin typeface="+mn-lt"/>
                    <a:cs typeface="Segoe UI" panose="020B0502040204020203" pitchFamily="34" charset="0"/>
                  </a:endParaRPr>
                </a:p>
              </xdr:txBody>
            </xdr:sp>
            <xdr:sp macro="" textlink="">
              <xdr:nvSpPr>
                <xdr:cNvPr id="79" name="CuadroTexto 78">
                  <a:extLst>
                    <a:ext uri="{FF2B5EF4-FFF2-40B4-BE49-F238E27FC236}">
                      <a16:creationId xmlns:a16="http://schemas.microsoft.com/office/drawing/2014/main" id="{E7363EFD-125D-BB56-BF02-86346545FD5D}"/>
                    </a:ext>
                  </a:extLst>
                </xdr:cNvPr>
                <xdr:cNvSpPr txBox="1"/>
              </xdr:nvSpPr>
              <xdr:spPr>
                <a:xfrm>
                  <a:off x="24315594" y="8659088"/>
                  <a:ext cx="688398" cy="671948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bg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l"/>
                  <a:r>
                    <a:rPr lang="es-PE" sz="4400" b="0">
                      <a:solidFill>
                        <a:srgbClr val="C00000"/>
                      </a:solidFill>
                      <a:latin typeface="+mn-lt"/>
                      <a:cs typeface="Segoe UI" panose="020B0502040204020203" pitchFamily="34" charset="0"/>
                    </a:rPr>
                    <a:t>h</a:t>
                  </a:r>
                </a:p>
              </xdr:txBody>
            </xdr:sp>
          </xdr:grpSp>
        </xdr:grpSp>
        <xdr:grpSp>
          <xdr:nvGrpSpPr>
            <xdr:cNvPr id="73" name="Grupo 72">
              <a:extLst>
                <a:ext uri="{FF2B5EF4-FFF2-40B4-BE49-F238E27FC236}">
                  <a16:creationId xmlns:a16="http://schemas.microsoft.com/office/drawing/2014/main" id="{DDA1144A-31FF-2E8C-75B2-2EFA507E93F0}"/>
                </a:ext>
              </a:extLst>
            </xdr:cNvPr>
            <xdr:cNvGrpSpPr/>
          </xdr:nvGrpSpPr>
          <xdr:grpSpPr>
            <a:xfrm>
              <a:off x="22453589" y="9001990"/>
              <a:ext cx="2529520" cy="1319646"/>
              <a:chOff x="22453589" y="9001990"/>
              <a:chExt cx="2529520" cy="1319646"/>
            </a:xfrm>
          </xdr:grpSpPr>
          <xdr:sp macro="" textlink="$O$19">
            <xdr:nvSpPr>
              <xdr:cNvPr id="74" name="CuadroTexto 73">
                <a:extLst>
                  <a:ext uri="{FF2B5EF4-FFF2-40B4-BE49-F238E27FC236}">
                    <a16:creationId xmlns:a16="http://schemas.microsoft.com/office/drawing/2014/main" id="{39863900-288A-CBC7-B44F-9A85D505E87D}"/>
                  </a:ext>
                </a:extLst>
              </xdr:cNvPr>
              <xdr:cNvSpPr txBox="1"/>
            </xdr:nvSpPr>
            <xdr:spPr>
              <a:xfrm>
                <a:off x="22453589" y="9001990"/>
                <a:ext cx="2529520" cy="626922"/>
              </a:xfrm>
              <a:prstGeom prst="rect">
                <a:avLst/>
              </a:prstGeom>
              <a:solidFill>
                <a:sysClr val="window" lastClr="FFFFFF"/>
              </a:solidFill>
              <a:ln w="9525" cmpd="sng">
                <a:solidFill>
                  <a:schemeClr val="bg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fld id="{2E8FACC9-86CF-4492-8BFD-34447C8A96F5}" type="TxLink">
                  <a:rPr lang="en-US" sz="1400" b="0" i="0" u="none" strike="noStrike">
                    <a:solidFill>
                      <a:schemeClr val="accent1">
                        <a:lumMod val="50000"/>
                      </a:schemeClr>
                    </a:solidFill>
                    <a:latin typeface="Calibri"/>
                    <a:ea typeface="Calibri"/>
                    <a:cs typeface="Calibri"/>
                  </a:rPr>
                  <a:pPr algn="ctr"/>
                  <a:t>No pega goma en etiqueta </a:t>
                </a:fld>
                <a:endParaRPr lang="es-PE" sz="5400" b="0">
                  <a:solidFill>
                    <a:schemeClr val="accent1">
                      <a:lumMod val="50000"/>
                    </a:schemeClr>
                  </a:solidFill>
                  <a:latin typeface="+mn-lt"/>
                  <a:cs typeface="Segoe UI" panose="020B0502040204020203" pitchFamily="34" charset="0"/>
                </a:endParaRPr>
              </a:p>
            </xdr:txBody>
          </xdr:sp>
          <xdr:sp macro="" textlink="$Q$19">
            <xdr:nvSpPr>
              <xdr:cNvPr id="75" name="CuadroTexto 74">
                <a:extLst>
                  <a:ext uri="{FF2B5EF4-FFF2-40B4-BE49-F238E27FC236}">
                    <a16:creationId xmlns:a16="http://schemas.microsoft.com/office/drawing/2014/main" id="{01742172-BBD8-59A5-87D8-2F185D8D62FB}"/>
                  </a:ext>
                </a:extLst>
              </xdr:cNvPr>
              <xdr:cNvSpPr txBox="1"/>
            </xdr:nvSpPr>
            <xdr:spPr>
              <a:xfrm>
                <a:off x="22576848" y="9639297"/>
                <a:ext cx="2184687" cy="682339"/>
              </a:xfrm>
              <a:prstGeom prst="rect">
                <a:avLst/>
              </a:prstGeom>
              <a:solidFill>
                <a:sysClr val="window" lastClr="FFFFFF"/>
              </a:solidFill>
              <a:ln w="9525" cmpd="sng">
                <a:solidFill>
                  <a:schemeClr val="bg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fld id="{EFD354FD-F314-47F6-8A8E-3E4EDFA047EC}" type="TxLink">
                  <a:rPr lang="en-US" sz="1400" b="0" i="0" u="none" strike="noStrike">
                    <a:solidFill>
                      <a:schemeClr val="accent1">
                        <a:lumMod val="50000"/>
                      </a:schemeClr>
                    </a:solidFill>
                    <a:latin typeface="Calibri"/>
                    <a:ea typeface="Calibri"/>
                    <a:cs typeface="Calibri"/>
                  </a:rPr>
                  <a:pPr algn="ctr"/>
                  <a:t>EMP. SAPAL</a:t>
                </a:fld>
                <a:endParaRPr lang="es-PE" sz="6600" b="0">
                  <a:solidFill>
                    <a:schemeClr val="accent1">
                      <a:lumMod val="50000"/>
                    </a:schemeClr>
                  </a:solidFill>
                  <a:latin typeface="+mn-lt"/>
                  <a:cs typeface="Segoe UI" panose="020B0502040204020203" pitchFamily="34" charset="0"/>
                </a:endParaRPr>
              </a:p>
            </xdr:txBody>
          </xdr:sp>
        </xdr:grpSp>
      </xdr:grpSp>
    </xdr:grpSp>
    <xdr:clientData/>
  </xdr:twoCellAnchor>
  <xdr:twoCellAnchor editAs="absolute">
    <xdr:from>
      <xdr:col>1</xdr:col>
      <xdr:colOff>592509</xdr:colOff>
      <xdr:row>31</xdr:row>
      <xdr:rowOff>31173</xdr:rowOff>
    </xdr:from>
    <xdr:to>
      <xdr:col>9</xdr:col>
      <xdr:colOff>619123</xdr:colOff>
      <xdr:row>73</xdr:row>
      <xdr:rowOff>25110</xdr:rowOff>
    </xdr:to>
    <xdr:graphicFrame macro="">
      <xdr:nvGraphicFramePr>
        <xdr:cNvPr id="114" name="Gráfico 175">
          <a:extLst>
            <a:ext uri="{FF2B5EF4-FFF2-40B4-BE49-F238E27FC236}">
              <a16:creationId xmlns:a16="http://schemas.microsoft.com/office/drawing/2014/main" id="{9AB0A8CC-D94D-4F48-AF75-3CA15819C450}"/>
            </a:ext>
            <a:ext uri="{147F2762-F138-4A5C-976F-8EAC2B608ADB}">
              <a16:predDERef xmlns:a16="http://schemas.microsoft.com/office/drawing/2014/main" pred="{A7BE9C71-F2B3-3AA1-7F7E-A58AC53C8CCD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1258042</xdr:colOff>
      <xdr:row>51</xdr:row>
      <xdr:rowOff>38098</xdr:rowOff>
    </xdr:from>
    <xdr:to>
      <xdr:col>11</xdr:col>
      <xdr:colOff>6409848</xdr:colOff>
      <xdr:row>67</xdr:row>
      <xdr:rowOff>124036</xdr:rowOff>
    </xdr:to>
    <xdr:grpSp>
      <xdr:nvGrpSpPr>
        <xdr:cNvPr id="115" name="Grupo 114">
          <a:extLst>
            <a:ext uri="{FF2B5EF4-FFF2-40B4-BE49-F238E27FC236}">
              <a16:creationId xmlns:a16="http://schemas.microsoft.com/office/drawing/2014/main" id="{DE328A50-837A-4F14-AD87-80F8B5D01A9A}"/>
            </a:ext>
          </a:extLst>
        </xdr:cNvPr>
        <xdr:cNvGrpSpPr/>
      </xdr:nvGrpSpPr>
      <xdr:grpSpPr>
        <a:xfrm>
          <a:off x="14154892" y="15992473"/>
          <a:ext cx="10514381" cy="3133938"/>
          <a:chOff x="14074517" y="15046779"/>
          <a:chExt cx="10513587" cy="3129643"/>
        </a:xfrm>
      </xdr:grpSpPr>
      <xdr:grpSp>
        <xdr:nvGrpSpPr>
          <xdr:cNvPr id="116" name="Grupo 115">
            <a:extLst>
              <a:ext uri="{FF2B5EF4-FFF2-40B4-BE49-F238E27FC236}">
                <a16:creationId xmlns:a16="http://schemas.microsoft.com/office/drawing/2014/main" id="{1310CED8-6D27-C35B-EAAF-CA654D15ABC3}"/>
              </a:ext>
            </a:extLst>
          </xdr:cNvPr>
          <xdr:cNvGrpSpPr/>
        </xdr:nvGrpSpPr>
        <xdr:grpSpPr>
          <a:xfrm>
            <a:off x="14074517" y="15357022"/>
            <a:ext cx="10513587" cy="2819400"/>
            <a:chOff x="14074517" y="15357022"/>
            <a:chExt cx="10513587" cy="2819400"/>
          </a:xfrm>
        </xdr:grpSpPr>
        <xdr:grpSp>
          <xdr:nvGrpSpPr>
            <xdr:cNvPr id="118" name="Grupo 117">
              <a:extLst>
                <a:ext uri="{FF2B5EF4-FFF2-40B4-BE49-F238E27FC236}">
                  <a16:creationId xmlns:a16="http://schemas.microsoft.com/office/drawing/2014/main" id="{77F96E73-DD3C-7B99-9362-B1B1F0B5255C}"/>
                </a:ext>
              </a:extLst>
            </xdr:cNvPr>
            <xdr:cNvGrpSpPr/>
          </xdr:nvGrpSpPr>
          <xdr:grpSpPr>
            <a:xfrm>
              <a:off x="14074517" y="15528472"/>
              <a:ext cx="5048961" cy="2590799"/>
              <a:chOff x="14074517" y="15528472"/>
              <a:chExt cx="5048961" cy="2590799"/>
            </a:xfrm>
          </xdr:grpSpPr>
          <xdr:pic>
            <xdr:nvPicPr>
              <xdr:cNvPr id="131" name="Imagen 130">
                <a:extLst>
                  <a:ext uri="{FF2B5EF4-FFF2-40B4-BE49-F238E27FC236}">
                    <a16:creationId xmlns:a16="http://schemas.microsoft.com/office/drawing/2014/main" id="{31FA71A7-CE83-2DA8-FE4B-B5798C510F56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5"/>
              <a:srcRect l="20375" r="20500"/>
              <a:stretch>
                <a:fillRect/>
              </a:stretch>
            </xdr:blipFill>
            <xdr:spPr>
              <a:xfrm>
                <a:off x="16423209" y="15528472"/>
                <a:ext cx="2700269" cy="2590799"/>
              </a:xfrm>
              <a:prstGeom prst="rect">
                <a:avLst/>
              </a:prstGeom>
            </xdr:spPr>
          </xdr:pic>
          <xdr:grpSp>
            <xdr:nvGrpSpPr>
              <xdr:cNvPr id="132" name="Grupo 131">
                <a:extLst>
                  <a:ext uri="{FF2B5EF4-FFF2-40B4-BE49-F238E27FC236}">
                    <a16:creationId xmlns:a16="http://schemas.microsoft.com/office/drawing/2014/main" id="{0B69527C-BDB1-3A04-C7A5-3CC8B8C67D8B}"/>
                  </a:ext>
                </a:extLst>
              </xdr:cNvPr>
              <xdr:cNvGrpSpPr/>
            </xdr:nvGrpSpPr>
            <xdr:grpSpPr>
              <a:xfrm>
                <a:off x="14074517" y="15839078"/>
                <a:ext cx="2509715" cy="1932437"/>
                <a:chOff x="-17308" y="86638"/>
                <a:chExt cx="2508249" cy="1933491"/>
              </a:xfrm>
            </xdr:grpSpPr>
            <xdr:grpSp>
              <xdr:nvGrpSpPr>
                <xdr:cNvPr id="133" name="Grupo 132">
                  <a:extLst>
                    <a:ext uri="{FF2B5EF4-FFF2-40B4-BE49-F238E27FC236}">
                      <a16:creationId xmlns:a16="http://schemas.microsoft.com/office/drawing/2014/main" id="{5B3ECE9E-1004-9CF7-31D4-7AAA2271D69C}"/>
                    </a:ext>
                  </a:extLst>
                </xdr:cNvPr>
                <xdr:cNvGrpSpPr/>
              </xdr:nvGrpSpPr>
              <xdr:grpSpPr>
                <a:xfrm>
                  <a:off x="-17308" y="86638"/>
                  <a:ext cx="2508249" cy="1904631"/>
                  <a:chOff x="-17308" y="86638"/>
                  <a:chExt cx="2508249" cy="1904631"/>
                </a:xfrm>
              </xdr:grpSpPr>
              <xdr:grpSp>
                <xdr:nvGrpSpPr>
                  <xdr:cNvPr id="136" name="Grupo 135">
                    <a:extLst>
                      <a:ext uri="{FF2B5EF4-FFF2-40B4-BE49-F238E27FC236}">
                        <a16:creationId xmlns:a16="http://schemas.microsoft.com/office/drawing/2014/main" id="{0AA9EE64-40D3-97EC-D196-CCCC4E9E3198}"/>
                      </a:ext>
                    </a:extLst>
                  </xdr:cNvPr>
                  <xdr:cNvGrpSpPr/>
                </xdr:nvGrpSpPr>
                <xdr:grpSpPr>
                  <a:xfrm>
                    <a:off x="-17308" y="86638"/>
                    <a:ext cx="2508249" cy="1217419"/>
                    <a:chOff x="-17308" y="86638"/>
                    <a:chExt cx="2508249" cy="1217419"/>
                  </a:xfrm>
                </xdr:grpSpPr>
                <xdr:sp macro="" textlink="$V$37">
                  <xdr:nvSpPr>
                    <xdr:cNvPr id="138" name="CuadroTexto 152">
                      <a:extLst>
                        <a:ext uri="{FF2B5EF4-FFF2-40B4-BE49-F238E27FC236}">
                          <a16:creationId xmlns:a16="http://schemas.microsoft.com/office/drawing/2014/main" id="{E4FEBEC9-43CF-DF76-70A7-5C0F3FAE283E}"/>
                        </a:ext>
                      </a:extLst>
                    </xdr:cNvPr>
                    <xdr:cNvSpPr txBox="1"/>
                  </xdr:nvSpPr>
                  <xdr:spPr>
                    <a:xfrm>
                      <a:off x="-17308" y="86638"/>
                      <a:ext cx="2508249" cy="419461"/>
                    </a:xfrm>
                    <a:prstGeom prst="rect">
                      <a:avLst/>
                    </a:prstGeom>
                    <a:solidFill>
                      <a:schemeClr val="bg1">
                        <a:lumMod val="95000"/>
                      </a:schemeClr>
                    </a:solidFill>
                    <a:ln w="9525" cmpd="sng">
                      <a:solidFill>
                        <a:schemeClr val="bg1">
                          <a:lumMod val="95000"/>
                        </a:schemeClr>
                      </a:solidFill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ctr"/>
                    <a:lstStyle>
                      <a:lvl1pPr marL="0" indent="0">
                        <a:defRPr sz="110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457200" indent="0">
                        <a:defRPr sz="110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914400" indent="0">
                        <a:defRPr sz="110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indent="0">
                        <a:defRPr sz="110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indent="0">
                        <a:defRPr sz="110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indent="0">
                        <a:defRPr sz="110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indent="0">
                        <a:defRPr sz="110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indent="0">
                        <a:defRPr sz="110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indent="0">
                        <a:defRPr sz="110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fld id="{0B5C353F-2DE9-495A-9FAB-DB6BE147B32B}" type="TxLink">
                        <a:rPr lang="en-US" sz="3600" b="0" i="0" u="none" strike="noStrike">
                          <a:solidFill>
                            <a:schemeClr val="accent2">
                              <a:lumMod val="50000"/>
                            </a:schemeClr>
                          </a:solidFill>
                          <a:latin typeface="Calibri"/>
                          <a:ea typeface="Calibri"/>
                          <a:cs typeface="Calibri"/>
                        </a:rPr>
                        <a:pPr algn="ctr"/>
                        <a:t>MECÁNICA</a:t>
                      </a:fld>
                      <a:endParaRPr lang="es-PE" sz="3600" b="1">
                        <a:solidFill>
                          <a:schemeClr val="accent2">
                            <a:lumMod val="50000"/>
                          </a:schemeClr>
                        </a:solidFill>
                        <a:latin typeface="+mn-lt"/>
                        <a:cs typeface="Segoe UI" panose="020B0502040204020203" pitchFamily="34" charset="0"/>
                      </a:endParaRPr>
                    </a:p>
                  </xdr:txBody>
                </xdr:sp>
                <xdr:grpSp>
                  <xdr:nvGrpSpPr>
                    <xdr:cNvPr id="139" name="Grupo 138">
                      <a:extLst>
                        <a:ext uri="{FF2B5EF4-FFF2-40B4-BE49-F238E27FC236}">
                          <a16:creationId xmlns:a16="http://schemas.microsoft.com/office/drawing/2014/main" id="{68BB89BA-2918-9C7F-44A2-9926FBF9A60D}"/>
                        </a:ext>
                      </a:extLst>
                    </xdr:cNvPr>
                    <xdr:cNvGrpSpPr/>
                  </xdr:nvGrpSpPr>
                  <xdr:grpSpPr>
                    <a:xfrm>
                      <a:off x="100981" y="536412"/>
                      <a:ext cx="1969453" cy="767645"/>
                      <a:chOff x="80484" y="625251"/>
                      <a:chExt cx="1386366" cy="464900"/>
                    </a:xfrm>
                  </xdr:grpSpPr>
                  <xdr:sp macro="" textlink="$X$37">
                    <xdr:nvSpPr>
                      <xdr:cNvPr id="140" name="CuadroTexto 152">
                        <a:extLst>
                          <a:ext uri="{FF2B5EF4-FFF2-40B4-BE49-F238E27FC236}">
                            <a16:creationId xmlns:a16="http://schemas.microsoft.com/office/drawing/2014/main" id="{85233174-621D-46AC-6114-1B0311858F66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80484" y="625251"/>
                        <a:ext cx="1280831" cy="464900"/>
                      </a:xfrm>
                      <a:prstGeom prst="rect">
                        <a:avLst/>
                      </a:prstGeom>
                      <a:solidFill>
                        <a:schemeClr val="bg1">
                          <a:lumMod val="95000"/>
                        </a:schemeClr>
                      </a:solidFill>
                      <a:ln w="9525" cmpd="sng">
                        <a:solidFill>
                          <a:schemeClr val="bg1">
                            <a:lumMod val="95000"/>
                          </a:schemeClr>
                        </a:solidFill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ctr"/>
                      <a:lstStyle>
                        <a:lvl1pPr marL="0" indent="0">
                          <a:defRPr sz="110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indent="0">
                          <a:defRPr sz="110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indent="0">
                          <a:defRPr sz="110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indent="0">
                          <a:defRPr sz="110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indent="0">
                          <a:defRPr sz="110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indent="0">
                          <a:defRPr sz="110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indent="0">
                          <a:defRPr sz="110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indent="0">
                          <a:defRPr sz="110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indent="0">
                          <a:defRPr sz="110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pPr algn="ctr"/>
                        <a:fld id="{0FBC214B-57EC-4E74-AD25-E131BF32E9B3}" type="TxLink">
                          <a:rPr lang="en-US" sz="4800" b="0" i="0" u="none" strike="noStrike">
                            <a:solidFill>
                              <a:schemeClr val="accent2">
                                <a:lumMod val="50000"/>
                              </a:schemeClr>
                            </a:solidFill>
                            <a:latin typeface="Calibri"/>
                            <a:ea typeface="Calibri"/>
                            <a:cs typeface="Calibri"/>
                          </a:rPr>
                          <a:pPr algn="ctr"/>
                          <a:t>0.95</a:t>
                        </a:fld>
                        <a:endParaRPr lang="es-PE" sz="23900" b="1">
                          <a:solidFill>
                            <a:schemeClr val="accent2">
                              <a:lumMod val="50000"/>
                            </a:schemeClr>
                          </a:solidFill>
                          <a:latin typeface="+mn-lt"/>
                          <a:cs typeface="Segoe UI" panose="020B0502040204020203" pitchFamily="34" charset="0"/>
                        </a:endParaRPr>
                      </a:p>
                    </xdr:txBody>
                  </xdr:sp>
                  <xdr:sp macro="" textlink="">
                    <xdr:nvSpPr>
                      <xdr:cNvPr id="141" name="CuadroTexto 152">
                        <a:extLst>
                          <a:ext uri="{FF2B5EF4-FFF2-40B4-BE49-F238E27FC236}">
                            <a16:creationId xmlns:a16="http://schemas.microsoft.com/office/drawing/2014/main" id="{A40C8FF7-B720-C3BB-AC21-697E664AF653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132568" y="701064"/>
                        <a:ext cx="334282" cy="348476"/>
                      </a:xfrm>
                      <a:prstGeom prst="rect">
                        <a:avLst/>
                      </a:prstGeom>
                      <a:solidFill>
                        <a:schemeClr val="bg1">
                          <a:lumMod val="95000"/>
                        </a:schemeClr>
                      </a:solidFill>
                      <a:ln w="9525" cmpd="sng">
                        <a:solidFill>
                          <a:schemeClr val="bg1">
                            <a:lumMod val="95000"/>
                          </a:schemeClr>
                        </a:solidFill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ctr"/>
                      <a:lstStyle>
                        <a:lvl1pPr marL="0" indent="0">
                          <a:defRPr sz="110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indent="0">
                          <a:defRPr sz="110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indent="0">
                          <a:defRPr sz="110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indent="0">
                          <a:defRPr sz="110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indent="0">
                          <a:defRPr sz="110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indent="0">
                          <a:defRPr sz="110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indent="0">
                          <a:defRPr sz="110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indent="0">
                          <a:defRPr sz="110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indent="0">
                          <a:defRPr sz="110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pPr algn="ctr"/>
                        <a:r>
                          <a:rPr lang="es-PE" sz="4800" b="0">
                            <a:solidFill>
                              <a:schemeClr val="accent2">
                                <a:lumMod val="50000"/>
                              </a:schemeClr>
                            </a:solidFill>
                            <a:latin typeface="+mn-lt"/>
                            <a:cs typeface="Segoe UI" panose="020B0502040204020203" pitchFamily="34" charset="0"/>
                          </a:rPr>
                          <a:t>h</a:t>
                        </a:r>
                      </a:p>
                    </xdr:txBody>
                  </xdr:sp>
                </xdr:grpSp>
              </xdr:grpSp>
              <xdr:sp macro="" textlink="$Y$37">
                <xdr:nvSpPr>
                  <xdr:cNvPr id="137" name="CuadroTexto 152">
                    <a:extLst>
                      <a:ext uri="{FF2B5EF4-FFF2-40B4-BE49-F238E27FC236}">
                        <a16:creationId xmlns:a16="http://schemas.microsoft.com/office/drawing/2014/main" id="{87097B6E-5444-51DF-F321-8A79FE3DFFF2}"/>
                      </a:ext>
                    </a:extLst>
                  </xdr:cNvPr>
                  <xdr:cNvSpPr txBox="1"/>
                </xdr:nvSpPr>
                <xdr:spPr>
                  <a:xfrm>
                    <a:off x="609146" y="1526369"/>
                    <a:ext cx="1280831" cy="464900"/>
                  </a:xfrm>
                  <a:prstGeom prst="rect">
                    <a:avLst/>
                  </a:prstGeom>
                  <a:solidFill>
                    <a:schemeClr val="bg1">
                      <a:lumMod val="95000"/>
                    </a:schemeClr>
                  </a:solidFill>
                  <a:ln w="9525" cmpd="sng">
                    <a:solidFill>
                      <a:schemeClr val="bg1">
                        <a:lumMod val="95000"/>
                      </a:schemeClr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ctr"/>
                  <a:lstStyle>
                    <a:lvl1pPr marL="0" indent="0">
                      <a:defRPr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indent="0">
                      <a:defRPr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indent="0">
                      <a:defRPr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indent="0">
                      <a:defRPr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indent="0">
                      <a:defRPr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indent="0">
                      <a:defRPr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indent="0">
                      <a:defRPr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indent="0">
                      <a:defRPr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indent="0">
                      <a:defRPr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fld id="{253FFE43-D427-45FC-B5DB-67166729A64E}" type="TxLink">
                      <a:rPr lang="en-US" sz="3200" b="0" i="0" u="none" strike="noStrike">
                        <a:solidFill>
                          <a:schemeClr val="accent2">
                            <a:lumMod val="50000"/>
                          </a:schemeClr>
                        </a:solidFill>
                        <a:latin typeface="Calibri"/>
                        <a:ea typeface="Calibri"/>
                        <a:cs typeface="Calibri"/>
                      </a:rPr>
                      <a:pPr algn="ctr"/>
                      <a:t>79.2%</a:t>
                    </a:fld>
                    <a:endParaRPr lang="es-PE" sz="8000" b="1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cs typeface="Segoe UI" panose="020B0502040204020203" pitchFamily="34" charset="0"/>
                    </a:endParaRPr>
                  </a:p>
                </xdr:txBody>
              </xdr:sp>
            </xdr:grpSp>
            <xdr:sp macro="" textlink="">
              <xdr:nvSpPr>
                <xdr:cNvPr id="134" name="CuadroTexto 152">
                  <a:extLst>
                    <a:ext uri="{FF2B5EF4-FFF2-40B4-BE49-F238E27FC236}">
                      <a16:creationId xmlns:a16="http://schemas.microsoft.com/office/drawing/2014/main" id="{2E18AEDA-0AAD-6B27-6773-A1A2643DF248}"/>
                    </a:ext>
                  </a:extLst>
                </xdr:cNvPr>
                <xdr:cNvSpPr txBox="1"/>
              </xdr:nvSpPr>
              <xdr:spPr>
                <a:xfrm>
                  <a:off x="268976" y="1431118"/>
                  <a:ext cx="474877" cy="575404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9525" cmpd="sng">
                  <a:solidFill>
                    <a:schemeClr val="bg1">
                      <a:lumMod val="95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ctr"/>
                <a:lstStyle>
                  <a:lvl1pPr marL="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r"/>
                  <a:r>
                    <a:rPr lang="es-PE" sz="2800" b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cs typeface="Segoe UI" panose="020B0502040204020203" pitchFamily="34" charset="0"/>
                    </a:rPr>
                    <a:t>(</a:t>
                  </a:r>
                </a:p>
              </xdr:txBody>
            </xdr:sp>
            <xdr:sp macro="" textlink="">
              <xdr:nvSpPr>
                <xdr:cNvPr id="135" name="CuadroTexto 152">
                  <a:extLst>
                    <a:ext uri="{FF2B5EF4-FFF2-40B4-BE49-F238E27FC236}">
                      <a16:creationId xmlns:a16="http://schemas.microsoft.com/office/drawing/2014/main" id="{D764CC85-D3C3-D93D-1B8F-8A9295F1A360}"/>
                    </a:ext>
                  </a:extLst>
                </xdr:cNvPr>
                <xdr:cNvSpPr txBox="1"/>
              </xdr:nvSpPr>
              <xdr:spPr>
                <a:xfrm>
                  <a:off x="1752146" y="1444725"/>
                  <a:ext cx="474877" cy="575404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9525" cmpd="sng">
                  <a:solidFill>
                    <a:schemeClr val="bg1">
                      <a:lumMod val="95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ctr"/>
                <a:lstStyle>
                  <a:lvl1pPr marL="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l"/>
                  <a:r>
                    <a:rPr lang="es-PE" sz="2800" b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cs typeface="Segoe UI" panose="020B0502040204020203" pitchFamily="34" charset="0"/>
                    </a:rPr>
                    <a:t>)</a:t>
                  </a:r>
                </a:p>
              </xdr:txBody>
            </xdr:sp>
          </xdr:grpSp>
        </xdr:grpSp>
        <xdr:grpSp>
          <xdr:nvGrpSpPr>
            <xdr:cNvPr id="119" name="Grupo 118">
              <a:extLst>
                <a:ext uri="{FF2B5EF4-FFF2-40B4-BE49-F238E27FC236}">
                  <a16:creationId xmlns:a16="http://schemas.microsoft.com/office/drawing/2014/main" id="{4CD8A69B-F786-3264-0E47-B947BC006124}"/>
                </a:ext>
              </a:extLst>
            </xdr:cNvPr>
            <xdr:cNvGrpSpPr/>
          </xdr:nvGrpSpPr>
          <xdr:grpSpPr>
            <a:xfrm>
              <a:off x="19479271" y="15357022"/>
              <a:ext cx="5108833" cy="2819400"/>
              <a:chOff x="19139096" y="15357022"/>
              <a:chExt cx="5108833" cy="2819400"/>
            </a:xfrm>
          </xdr:grpSpPr>
          <xdr:pic>
            <xdr:nvPicPr>
              <xdr:cNvPr id="120" name="Imagen 119">
                <a:extLst>
                  <a:ext uri="{FF2B5EF4-FFF2-40B4-BE49-F238E27FC236}">
                    <a16:creationId xmlns:a16="http://schemas.microsoft.com/office/drawing/2014/main" id="{F4F2E239-401F-5482-0BE2-CF83F8270375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6"/>
              <a:srcRect l="23879" r="23712"/>
              <a:stretch>
                <a:fillRect/>
              </a:stretch>
            </xdr:blipFill>
            <xdr:spPr>
              <a:xfrm>
                <a:off x="21622374" y="15357022"/>
                <a:ext cx="2625555" cy="2819400"/>
              </a:xfrm>
              <a:prstGeom prst="rect">
                <a:avLst/>
              </a:prstGeom>
            </xdr:spPr>
          </xdr:pic>
          <xdr:grpSp>
            <xdr:nvGrpSpPr>
              <xdr:cNvPr id="121" name="Grupo 120">
                <a:extLst>
                  <a:ext uri="{FF2B5EF4-FFF2-40B4-BE49-F238E27FC236}">
                    <a16:creationId xmlns:a16="http://schemas.microsoft.com/office/drawing/2014/main" id="{3A8744D0-1814-E675-07CD-2E8D65422AAB}"/>
                  </a:ext>
                </a:extLst>
              </xdr:cNvPr>
              <xdr:cNvGrpSpPr/>
            </xdr:nvGrpSpPr>
            <xdr:grpSpPr>
              <a:xfrm>
                <a:off x="19139096" y="15869014"/>
                <a:ext cx="2509715" cy="1932437"/>
                <a:chOff x="-17308" y="86638"/>
                <a:chExt cx="2508249" cy="1933491"/>
              </a:xfrm>
            </xdr:grpSpPr>
            <xdr:grpSp>
              <xdr:nvGrpSpPr>
                <xdr:cNvPr id="122" name="Grupo 121">
                  <a:extLst>
                    <a:ext uri="{FF2B5EF4-FFF2-40B4-BE49-F238E27FC236}">
                      <a16:creationId xmlns:a16="http://schemas.microsoft.com/office/drawing/2014/main" id="{74150C75-856E-97EE-7B52-8150BABD0F7D}"/>
                    </a:ext>
                  </a:extLst>
                </xdr:cNvPr>
                <xdr:cNvGrpSpPr/>
              </xdr:nvGrpSpPr>
              <xdr:grpSpPr>
                <a:xfrm>
                  <a:off x="-17308" y="86638"/>
                  <a:ext cx="2508249" cy="1904631"/>
                  <a:chOff x="-17308" y="86638"/>
                  <a:chExt cx="2508249" cy="1904631"/>
                </a:xfrm>
              </xdr:grpSpPr>
              <xdr:grpSp>
                <xdr:nvGrpSpPr>
                  <xdr:cNvPr id="125" name="Grupo 124">
                    <a:extLst>
                      <a:ext uri="{FF2B5EF4-FFF2-40B4-BE49-F238E27FC236}">
                        <a16:creationId xmlns:a16="http://schemas.microsoft.com/office/drawing/2014/main" id="{7D15A48A-4FD6-0055-A1C4-1E73C587AF05}"/>
                      </a:ext>
                    </a:extLst>
                  </xdr:cNvPr>
                  <xdr:cNvGrpSpPr/>
                </xdr:nvGrpSpPr>
                <xdr:grpSpPr>
                  <a:xfrm>
                    <a:off x="-17308" y="86638"/>
                    <a:ext cx="2508249" cy="1217419"/>
                    <a:chOff x="-17308" y="86638"/>
                    <a:chExt cx="2508249" cy="1217419"/>
                  </a:xfrm>
                </xdr:grpSpPr>
                <xdr:sp macro="" textlink="$V$36">
                  <xdr:nvSpPr>
                    <xdr:cNvPr id="127" name="CuadroTexto 152">
                      <a:extLst>
                        <a:ext uri="{FF2B5EF4-FFF2-40B4-BE49-F238E27FC236}">
                          <a16:creationId xmlns:a16="http://schemas.microsoft.com/office/drawing/2014/main" id="{9F8D5029-F7AA-7D56-6968-FFBB99612F52}"/>
                        </a:ext>
                      </a:extLst>
                    </xdr:cNvPr>
                    <xdr:cNvSpPr txBox="1"/>
                  </xdr:nvSpPr>
                  <xdr:spPr>
                    <a:xfrm>
                      <a:off x="-17308" y="86638"/>
                      <a:ext cx="2508249" cy="419461"/>
                    </a:xfrm>
                    <a:prstGeom prst="rect">
                      <a:avLst/>
                    </a:prstGeom>
                    <a:solidFill>
                      <a:schemeClr val="bg1">
                        <a:lumMod val="95000"/>
                      </a:schemeClr>
                    </a:solidFill>
                    <a:ln w="9525" cmpd="sng">
                      <a:solidFill>
                        <a:schemeClr val="bg1">
                          <a:lumMod val="95000"/>
                        </a:schemeClr>
                      </a:solidFill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ctr"/>
                    <a:lstStyle>
                      <a:lvl1pPr marL="0" indent="0">
                        <a:defRPr sz="110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457200" indent="0">
                        <a:defRPr sz="110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914400" indent="0">
                        <a:defRPr sz="110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indent="0">
                        <a:defRPr sz="110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indent="0">
                        <a:defRPr sz="110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indent="0">
                        <a:defRPr sz="110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indent="0">
                        <a:defRPr sz="110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indent="0">
                        <a:defRPr sz="110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indent="0">
                        <a:defRPr sz="110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fld id="{30E5351A-FAAD-4A1B-88C7-15524F41BF37}" type="TxLink">
                        <a:rPr lang="en-US" sz="3600" b="0" i="0" u="none" strike="noStrike">
                          <a:solidFill>
                            <a:srgbClr val="7030A0"/>
                          </a:solidFill>
                          <a:latin typeface="Calibri"/>
                          <a:ea typeface="Calibri"/>
                          <a:cs typeface="Calibri"/>
                        </a:rPr>
                        <a:pPr algn="ctr"/>
                        <a:t>ELÉCTRICA</a:t>
                      </a:fld>
                      <a:endParaRPr lang="es-PE" sz="11500" b="1">
                        <a:solidFill>
                          <a:srgbClr val="7030A0"/>
                        </a:solidFill>
                        <a:latin typeface="+mn-lt"/>
                        <a:cs typeface="Segoe UI" panose="020B0502040204020203" pitchFamily="34" charset="0"/>
                      </a:endParaRPr>
                    </a:p>
                  </xdr:txBody>
                </xdr:sp>
                <xdr:grpSp>
                  <xdr:nvGrpSpPr>
                    <xdr:cNvPr id="128" name="Grupo 127">
                      <a:extLst>
                        <a:ext uri="{FF2B5EF4-FFF2-40B4-BE49-F238E27FC236}">
                          <a16:creationId xmlns:a16="http://schemas.microsoft.com/office/drawing/2014/main" id="{81F41121-1331-895E-5873-5C523BC83E81}"/>
                        </a:ext>
                      </a:extLst>
                    </xdr:cNvPr>
                    <xdr:cNvGrpSpPr/>
                  </xdr:nvGrpSpPr>
                  <xdr:grpSpPr>
                    <a:xfrm>
                      <a:off x="100981" y="536412"/>
                      <a:ext cx="1969453" cy="767645"/>
                      <a:chOff x="80484" y="625251"/>
                      <a:chExt cx="1386366" cy="464900"/>
                    </a:xfrm>
                  </xdr:grpSpPr>
                  <xdr:sp macro="" textlink="$X$36">
                    <xdr:nvSpPr>
                      <xdr:cNvPr id="129" name="CuadroTexto 152">
                        <a:extLst>
                          <a:ext uri="{FF2B5EF4-FFF2-40B4-BE49-F238E27FC236}">
                            <a16:creationId xmlns:a16="http://schemas.microsoft.com/office/drawing/2014/main" id="{BC89EABA-6AA7-0F06-426C-95A23BE6404F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80484" y="625251"/>
                        <a:ext cx="1280831" cy="464900"/>
                      </a:xfrm>
                      <a:prstGeom prst="rect">
                        <a:avLst/>
                      </a:prstGeom>
                      <a:solidFill>
                        <a:schemeClr val="bg1">
                          <a:lumMod val="95000"/>
                        </a:schemeClr>
                      </a:solidFill>
                      <a:ln w="9525" cmpd="sng">
                        <a:solidFill>
                          <a:schemeClr val="bg1">
                            <a:lumMod val="95000"/>
                          </a:schemeClr>
                        </a:solidFill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ctr"/>
                      <a:lstStyle>
                        <a:lvl1pPr marL="0" indent="0">
                          <a:defRPr sz="110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indent="0">
                          <a:defRPr sz="110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indent="0">
                          <a:defRPr sz="110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indent="0">
                          <a:defRPr sz="110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indent="0">
                          <a:defRPr sz="110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indent="0">
                          <a:defRPr sz="110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indent="0">
                          <a:defRPr sz="110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indent="0">
                          <a:defRPr sz="110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indent="0">
                          <a:defRPr sz="110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pPr algn="ctr"/>
                        <a:fld id="{4D631E9B-B4E5-4E03-94BD-6EA8CFACE6F6}" type="TxLink">
                          <a:rPr lang="en-US" sz="4800" b="0" i="0" u="none" strike="noStrike">
                            <a:solidFill>
                              <a:srgbClr val="7030A0"/>
                            </a:solidFill>
                            <a:latin typeface="Calibri"/>
                            <a:ea typeface="Calibri"/>
                            <a:cs typeface="Calibri"/>
                          </a:rPr>
                          <a:pPr algn="ctr"/>
                          <a:t>0.25</a:t>
                        </a:fld>
                        <a:endParaRPr lang="es-PE" sz="23900" b="1">
                          <a:solidFill>
                            <a:srgbClr val="7030A0"/>
                          </a:solidFill>
                          <a:latin typeface="+mn-lt"/>
                          <a:cs typeface="Segoe UI" panose="020B0502040204020203" pitchFamily="34" charset="0"/>
                        </a:endParaRPr>
                      </a:p>
                    </xdr:txBody>
                  </xdr:sp>
                  <xdr:sp macro="" textlink="">
                    <xdr:nvSpPr>
                      <xdr:cNvPr id="130" name="CuadroTexto 152">
                        <a:extLst>
                          <a:ext uri="{FF2B5EF4-FFF2-40B4-BE49-F238E27FC236}">
                            <a16:creationId xmlns:a16="http://schemas.microsoft.com/office/drawing/2014/main" id="{B6A9AB49-E31C-ACFA-0391-85ACCB3427DA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132568" y="701064"/>
                        <a:ext cx="334282" cy="348476"/>
                      </a:xfrm>
                      <a:prstGeom prst="rect">
                        <a:avLst/>
                      </a:prstGeom>
                      <a:solidFill>
                        <a:schemeClr val="bg1">
                          <a:lumMod val="95000"/>
                        </a:schemeClr>
                      </a:solidFill>
                      <a:ln w="9525" cmpd="sng">
                        <a:solidFill>
                          <a:schemeClr val="bg1">
                            <a:lumMod val="95000"/>
                          </a:schemeClr>
                        </a:solidFill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ctr"/>
                      <a:lstStyle>
                        <a:lvl1pPr marL="0" indent="0">
                          <a:defRPr sz="110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indent="0">
                          <a:defRPr sz="110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indent="0">
                          <a:defRPr sz="110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indent="0">
                          <a:defRPr sz="110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indent="0">
                          <a:defRPr sz="110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indent="0">
                          <a:defRPr sz="110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indent="0">
                          <a:defRPr sz="110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indent="0">
                          <a:defRPr sz="110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indent="0">
                          <a:defRPr sz="110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pPr algn="ctr"/>
                        <a:r>
                          <a:rPr lang="es-PE" sz="4800" b="0">
                            <a:solidFill>
                              <a:srgbClr val="7030A0"/>
                            </a:solidFill>
                            <a:latin typeface="+mn-lt"/>
                            <a:cs typeface="Segoe UI" panose="020B0502040204020203" pitchFamily="34" charset="0"/>
                          </a:rPr>
                          <a:t>h</a:t>
                        </a:r>
                      </a:p>
                    </xdr:txBody>
                  </xdr:sp>
                </xdr:grpSp>
              </xdr:grpSp>
              <xdr:sp macro="" textlink="$Y$36">
                <xdr:nvSpPr>
                  <xdr:cNvPr id="126" name="CuadroTexto 152">
                    <a:extLst>
                      <a:ext uri="{FF2B5EF4-FFF2-40B4-BE49-F238E27FC236}">
                        <a16:creationId xmlns:a16="http://schemas.microsoft.com/office/drawing/2014/main" id="{B583FEBE-B7E9-A135-5249-A828A5557978}"/>
                      </a:ext>
                    </a:extLst>
                  </xdr:cNvPr>
                  <xdr:cNvSpPr txBox="1"/>
                </xdr:nvSpPr>
                <xdr:spPr>
                  <a:xfrm>
                    <a:off x="609146" y="1526369"/>
                    <a:ext cx="1280831" cy="464900"/>
                  </a:xfrm>
                  <a:prstGeom prst="rect">
                    <a:avLst/>
                  </a:prstGeom>
                  <a:solidFill>
                    <a:schemeClr val="bg1">
                      <a:lumMod val="95000"/>
                    </a:schemeClr>
                  </a:solidFill>
                  <a:ln w="9525" cmpd="sng">
                    <a:solidFill>
                      <a:schemeClr val="bg1">
                        <a:lumMod val="95000"/>
                      </a:schemeClr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ctr"/>
                  <a:lstStyle>
                    <a:lvl1pPr marL="0" indent="0">
                      <a:defRPr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indent="0">
                      <a:defRPr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indent="0">
                      <a:defRPr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indent="0">
                      <a:defRPr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indent="0">
                      <a:defRPr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indent="0">
                      <a:defRPr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indent="0">
                      <a:defRPr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indent="0">
                      <a:defRPr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indent="0">
                      <a:defRPr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fld id="{656F3B57-3E19-4DBD-8974-F709BC74D53E}" type="TxLink">
                      <a:rPr lang="en-US" sz="3200" b="0" i="0" u="none" strike="noStrike">
                        <a:solidFill>
                          <a:srgbClr val="7030A0"/>
                        </a:solidFill>
                        <a:latin typeface="Calibri"/>
                        <a:ea typeface="Calibri"/>
                        <a:cs typeface="Calibri"/>
                      </a:rPr>
                      <a:pPr algn="ctr"/>
                      <a:t>20.8%</a:t>
                    </a:fld>
                    <a:endParaRPr lang="es-PE" sz="41300" b="1">
                      <a:solidFill>
                        <a:srgbClr val="7030A0"/>
                      </a:solidFill>
                      <a:latin typeface="+mn-lt"/>
                      <a:cs typeface="Segoe UI" panose="020B0502040204020203" pitchFamily="34" charset="0"/>
                    </a:endParaRPr>
                  </a:p>
                </xdr:txBody>
              </xdr:sp>
            </xdr:grpSp>
            <xdr:sp macro="" textlink="">
              <xdr:nvSpPr>
                <xdr:cNvPr id="123" name="CuadroTexto 152">
                  <a:extLst>
                    <a:ext uri="{FF2B5EF4-FFF2-40B4-BE49-F238E27FC236}">
                      <a16:creationId xmlns:a16="http://schemas.microsoft.com/office/drawing/2014/main" id="{7CCA8C89-6E1A-68F7-9A77-73130100F9FF}"/>
                    </a:ext>
                  </a:extLst>
                </xdr:cNvPr>
                <xdr:cNvSpPr txBox="1"/>
              </xdr:nvSpPr>
              <xdr:spPr>
                <a:xfrm>
                  <a:off x="268976" y="1431118"/>
                  <a:ext cx="474877" cy="575404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9525" cmpd="sng">
                  <a:solidFill>
                    <a:schemeClr val="bg1">
                      <a:lumMod val="95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ctr"/>
                <a:lstStyle>
                  <a:lvl1pPr marL="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r"/>
                  <a:r>
                    <a:rPr lang="es-PE" sz="2800" b="0">
                      <a:solidFill>
                        <a:srgbClr val="7030A0"/>
                      </a:solidFill>
                      <a:latin typeface="+mn-lt"/>
                      <a:cs typeface="Segoe UI" panose="020B0502040204020203" pitchFamily="34" charset="0"/>
                    </a:rPr>
                    <a:t>(</a:t>
                  </a:r>
                </a:p>
              </xdr:txBody>
            </xdr:sp>
            <xdr:sp macro="" textlink="">
              <xdr:nvSpPr>
                <xdr:cNvPr id="124" name="CuadroTexto 152">
                  <a:extLst>
                    <a:ext uri="{FF2B5EF4-FFF2-40B4-BE49-F238E27FC236}">
                      <a16:creationId xmlns:a16="http://schemas.microsoft.com/office/drawing/2014/main" id="{E06C5DCE-A589-08A2-1397-1ACA3ADA208D}"/>
                    </a:ext>
                  </a:extLst>
                </xdr:cNvPr>
                <xdr:cNvSpPr txBox="1"/>
              </xdr:nvSpPr>
              <xdr:spPr>
                <a:xfrm>
                  <a:off x="1752146" y="1444725"/>
                  <a:ext cx="474877" cy="575404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9525" cmpd="sng">
                  <a:solidFill>
                    <a:schemeClr val="bg1">
                      <a:lumMod val="95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ctr"/>
                <a:lstStyle>
                  <a:lvl1pPr marL="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l"/>
                  <a:r>
                    <a:rPr lang="es-PE" sz="2800" b="0">
                      <a:solidFill>
                        <a:srgbClr val="7030A0"/>
                      </a:solidFill>
                      <a:latin typeface="+mn-lt"/>
                      <a:cs typeface="Segoe UI" panose="020B0502040204020203" pitchFamily="34" charset="0"/>
                    </a:rPr>
                    <a:t>)</a:t>
                  </a:r>
                </a:p>
              </xdr:txBody>
            </xdr:sp>
          </xdr:grpSp>
        </xdr:grpSp>
      </xdr:grpSp>
      <xdr:sp macro="" textlink="">
        <xdr:nvSpPr>
          <xdr:cNvPr id="117" name="CuadroTexto 116">
            <a:extLst>
              <a:ext uri="{FF2B5EF4-FFF2-40B4-BE49-F238E27FC236}">
                <a16:creationId xmlns:a16="http://schemas.microsoft.com/office/drawing/2014/main" id="{67126857-6568-245A-73CA-CD7FDB7530CC}"/>
              </a:ext>
            </a:extLst>
          </xdr:cNvPr>
          <xdr:cNvSpPr txBox="1"/>
        </xdr:nvSpPr>
        <xdr:spPr>
          <a:xfrm>
            <a:off x="14970579" y="15046779"/>
            <a:ext cx="9315450" cy="405492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 cmpd="sng">
            <a:solidFill>
              <a:schemeClr val="bg1">
                <a:lumMod val="9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PE" sz="2400" b="1">
                <a:solidFill>
                  <a:schemeClr val="accent3">
                    <a:lumMod val="50000"/>
                  </a:schemeClr>
                </a:solidFill>
              </a:rPr>
              <a:t>TIEMPO DE FALLA</a:t>
            </a:r>
            <a:r>
              <a:rPr lang="es-PE" sz="2400" b="1" baseline="0">
                <a:solidFill>
                  <a:schemeClr val="accent3">
                    <a:lumMod val="50000"/>
                  </a:schemeClr>
                </a:solidFill>
              </a:rPr>
              <a:t> POR TIPO</a:t>
            </a:r>
            <a:endParaRPr lang="es-PE" sz="2400" b="1">
              <a:solidFill>
                <a:schemeClr val="accent3">
                  <a:lumMod val="50000"/>
                </a:schemeClr>
              </a:solidFill>
            </a:endParaRPr>
          </a:p>
        </xdr:txBody>
      </xdr:sp>
    </xdr:grpSp>
    <xdr:clientData/>
  </xdr:twoCellAnchor>
  <xdr:twoCellAnchor editAs="absolute">
    <xdr:from>
      <xdr:col>1</xdr:col>
      <xdr:colOff>595312</xdr:colOff>
      <xdr:row>73</xdr:row>
      <xdr:rowOff>137678</xdr:rowOff>
    </xdr:from>
    <xdr:to>
      <xdr:col>9</xdr:col>
      <xdr:colOff>623455</xdr:colOff>
      <xdr:row>109</xdr:row>
      <xdr:rowOff>61911</xdr:rowOff>
    </xdr:to>
    <xdr:graphicFrame macro="">
      <xdr:nvGraphicFramePr>
        <xdr:cNvPr id="142" name="Gráfico 141">
          <a:extLst>
            <a:ext uri="{FF2B5EF4-FFF2-40B4-BE49-F238E27FC236}">
              <a16:creationId xmlns:a16="http://schemas.microsoft.com/office/drawing/2014/main" id="{4AAB7B23-51D4-416E-A921-655913B522E1}"/>
            </a:ext>
            <a:ext uri="{147F2762-F138-4A5C-976F-8EAC2B608ADB}">
              <a16:predDERef xmlns:a16="http://schemas.microsoft.com/office/drawing/2014/main" pred="{85D9885F-1188-ED3F-F6BC-943F3757E1E8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absolute">
    <xdr:from>
      <xdr:col>9</xdr:col>
      <xdr:colOff>744682</xdr:colOff>
      <xdr:row>73</xdr:row>
      <xdr:rowOff>148749</xdr:rowOff>
    </xdr:from>
    <xdr:to>
      <xdr:col>11</xdr:col>
      <xdr:colOff>6806045</xdr:colOff>
      <xdr:row>109</xdr:row>
      <xdr:rowOff>100258</xdr:rowOff>
    </xdr:to>
    <xdr:grpSp>
      <xdr:nvGrpSpPr>
        <xdr:cNvPr id="143" name="Grupo 4127">
          <a:extLst>
            <a:ext uri="{FF2B5EF4-FFF2-40B4-BE49-F238E27FC236}">
              <a16:creationId xmlns:a16="http://schemas.microsoft.com/office/drawing/2014/main" id="{9B39BE33-C10E-48B5-8D06-26D32F365D96}"/>
            </a:ext>
            <a:ext uri="{147F2762-F138-4A5C-976F-8EAC2B608ADB}">
              <a16:predDERef xmlns:a16="http://schemas.microsoft.com/office/drawing/2014/main" pred="{9210C257-7BF3-620C-A60E-886B499CFD1E}"/>
            </a:ext>
          </a:extLst>
        </xdr:cNvPr>
        <xdr:cNvGrpSpPr/>
      </xdr:nvGrpSpPr>
      <xdr:grpSpPr>
        <a:xfrm>
          <a:off x="13641532" y="20294124"/>
          <a:ext cx="11423938" cy="6809509"/>
          <a:chOff x="13456228" y="18599974"/>
          <a:chExt cx="11430000" cy="6809509"/>
        </a:xfrm>
      </xdr:grpSpPr>
      <xdr:graphicFrame macro="">
        <xdr:nvGraphicFramePr>
          <xdr:cNvPr id="144" name="Gráfico 4120">
            <a:extLst>
              <a:ext uri="{FF2B5EF4-FFF2-40B4-BE49-F238E27FC236}">
                <a16:creationId xmlns:a16="http://schemas.microsoft.com/office/drawing/2014/main" id="{0F7A7E2C-4E62-6BB0-9789-7079807FBAD7}"/>
              </a:ext>
            </a:extLst>
          </xdr:cNvPr>
          <xdr:cNvGraphicFramePr>
            <a:graphicFrameLocks noChangeAspect="1"/>
          </xdr:cNvGraphicFramePr>
        </xdr:nvGraphicFramePr>
        <xdr:xfrm>
          <a:off x="13456228" y="18599974"/>
          <a:ext cx="11430000" cy="680950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grpSp>
        <xdr:nvGrpSpPr>
          <xdr:cNvPr id="145" name="Grupo 4121">
            <a:extLst>
              <a:ext uri="{FF2B5EF4-FFF2-40B4-BE49-F238E27FC236}">
                <a16:creationId xmlns:a16="http://schemas.microsoft.com/office/drawing/2014/main" id="{969F516B-F8DF-BDFE-6A41-8F0A511D5426}"/>
              </a:ext>
            </a:extLst>
          </xdr:cNvPr>
          <xdr:cNvGrpSpPr/>
        </xdr:nvGrpSpPr>
        <xdr:grpSpPr>
          <a:xfrm>
            <a:off x="21266727" y="21803591"/>
            <a:ext cx="2806704" cy="905082"/>
            <a:chOff x="-73775" y="-121227"/>
            <a:chExt cx="996374" cy="905082"/>
          </a:xfrm>
        </xdr:grpSpPr>
        <xdr:sp macro="" textlink="">
          <xdr:nvSpPr>
            <xdr:cNvPr id="146" name="CuadroTexto 2">
              <a:extLst>
                <a:ext uri="{FF2B5EF4-FFF2-40B4-BE49-F238E27FC236}">
                  <a16:creationId xmlns:a16="http://schemas.microsoft.com/office/drawing/2014/main" id="{96723C62-3387-E24F-F2E3-E189ED428A7B}"/>
                </a:ext>
              </a:extLst>
            </xdr:cNvPr>
            <xdr:cNvSpPr txBox="1"/>
          </xdr:nvSpPr>
          <xdr:spPr>
            <a:xfrm>
              <a:off x="-73775" y="-121227"/>
              <a:ext cx="707891" cy="557893"/>
            </a:xfrm>
            <a:prstGeom prst="rect">
              <a:avLst/>
            </a:prstGeom>
          </xdr:spPr>
          <xdr:txBody>
            <a:bodyPr wrap="square" rtlCol="0"/>
            <a:lstStyle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s-PE" sz="2800" kern="1200">
                  <a:solidFill>
                    <a:srgbClr val="002060"/>
                  </a:solidFill>
                </a:rPr>
                <a:t>NOCHE</a:t>
              </a:r>
            </a:p>
          </xdr:txBody>
        </xdr:sp>
        <xdr:grpSp>
          <xdr:nvGrpSpPr>
            <xdr:cNvPr id="147" name="Grupo 4123">
              <a:extLst>
                <a:ext uri="{FF2B5EF4-FFF2-40B4-BE49-F238E27FC236}">
                  <a16:creationId xmlns:a16="http://schemas.microsoft.com/office/drawing/2014/main" id="{E8509F17-7FE7-153F-DBB9-01357962EF88}"/>
                </a:ext>
              </a:extLst>
            </xdr:cNvPr>
            <xdr:cNvGrpSpPr/>
          </xdr:nvGrpSpPr>
          <xdr:grpSpPr>
            <a:xfrm>
              <a:off x="-71909" y="390978"/>
              <a:ext cx="994508" cy="392877"/>
              <a:chOff x="-129776" y="390978"/>
              <a:chExt cx="1663132" cy="392877"/>
            </a:xfrm>
          </xdr:grpSpPr>
          <xdr:sp macro="" textlink="$R$58">
            <xdr:nvSpPr>
              <xdr:cNvPr id="148" name="CuadroTexto 1">
                <a:extLst>
                  <a:ext uri="{FF2B5EF4-FFF2-40B4-BE49-F238E27FC236}">
                    <a16:creationId xmlns:a16="http://schemas.microsoft.com/office/drawing/2014/main" id="{8E0A750B-2214-C9E8-1905-2640BBD8E396}"/>
                  </a:ext>
                </a:extLst>
              </xdr:cNvPr>
              <xdr:cNvSpPr txBox="1"/>
            </xdr:nvSpPr>
            <xdr:spPr>
              <a:xfrm>
                <a:off x="-129776" y="403843"/>
                <a:ext cx="730992" cy="367393"/>
              </a:xfrm>
              <a:prstGeom prst="rect">
                <a:avLst/>
              </a:prstGeom>
            </xdr:spPr>
            <xdr:txBody>
              <a:bodyPr wrap="square" rtlCol="0" anchor="ctr"/>
              <a:lstStyle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fld id="{594B07D5-1BB5-44E2-9E91-5629F6FAD0C4}" type="TxLink">
                  <a:rPr lang="en-US" sz="3600" b="0" i="0" u="none" strike="noStrike" kern="1200">
                    <a:solidFill>
                      <a:srgbClr val="002060"/>
                    </a:solidFill>
                    <a:latin typeface="Calibri"/>
                    <a:ea typeface="Calibri"/>
                    <a:cs typeface="Calibri"/>
                  </a:rPr>
                  <a:pPr/>
                  <a:t>0.00</a:t>
                </a:fld>
                <a:endParaRPr lang="es-PE" sz="16600" kern="1200">
                  <a:solidFill>
                    <a:srgbClr val="002060"/>
                  </a:solidFill>
                </a:endParaRPr>
              </a:p>
            </xdr:txBody>
          </xdr:sp>
          <xdr:sp macro="" textlink="">
            <xdr:nvSpPr>
              <xdr:cNvPr id="149" name="CuadroTexto 1">
                <a:extLst>
                  <a:ext uri="{FF2B5EF4-FFF2-40B4-BE49-F238E27FC236}">
                    <a16:creationId xmlns:a16="http://schemas.microsoft.com/office/drawing/2014/main" id="{14A97003-5570-D87D-9FD1-898A522CBA5F}"/>
                  </a:ext>
                </a:extLst>
              </xdr:cNvPr>
              <xdr:cNvSpPr txBox="1"/>
            </xdr:nvSpPr>
            <xdr:spPr>
              <a:xfrm>
                <a:off x="435259" y="390978"/>
                <a:ext cx="558182" cy="367393"/>
              </a:xfrm>
              <a:prstGeom prst="rect">
                <a:avLst/>
              </a:prstGeom>
            </xdr:spPr>
            <xdr:txBody>
              <a:bodyPr wrap="square" rtlCol="0" anchor="ctr"/>
              <a:lstStyle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s-PE" sz="3600" kern="1200">
                    <a:solidFill>
                      <a:srgbClr val="002060"/>
                    </a:solidFill>
                  </a:rPr>
                  <a:t>h - </a:t>
                </a:r>
              </a:p>
            </xdr:txBody>
          </xdr:sp>
          <xdr:sp macro="" textlink="$S$58">
            <xdr:nvSpPr>
              <xdr:cNvPr id="150" name="CuadroTexto 1">
                <a:extLst>
                  <a:ext uri="{FF2B5EF4-FFF2-40B4-BE49-F238E27FC236}">
                    <a16:creationId xmlns:a16="http://schemas.microsoft.com/office/drawing/2014/main" id="{AA1B625A-1C93-8C94-EDCE-EA7294ED8EF7}"/>
                  </a:ext>
                </a:extLst>
              </xdr:cNvPr>
              <xdr:cNvSpPr txBox="1"/>
            </xdr:nvSpPr>
            <xdr:spPr>
              <a:xfrm>
                <a:off x="802364" y="416462"/>
                <a:ext cx="730992" cy="367393"/>
              </a:xfrm>
              <a:prstGeom prst="rect">
                <a:avLst/>
              </a:prstGeom>
            </xdr:spPr>
            <xdr:txBody>
              <a:bodyPr wrap="square" rtlCol="0" anchor="ctr"/>
              <a:lstStyle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fld id="{8E41E466-ED92-406F-8510-FFAAD9EFE42F}" type="TxLink">
                  <a:rPr lang="en-US" sz="3600" b="0" i="0" u="none" strike="noStrike" kern="1200">
                    <a:solidFill>
                      <a:srgbClr val="002060"/>
                    </a:solidFill>
                    <a:latin typeface="Calibri"/>
                    <a:ea typeface="Calibri"/>
                    <a:cs typeface="Calibri"/>
                  </a:rPr>
                  <a:pPr/>
                  <a:t>0%</a:t>
                </a:fld>
                <a:endParaRPr lang="es-PE" sz="49600" kern="1200">
                  <a:solidFill>
                    <a:srgbClr val="002060"/>
                  </a:solidFill>
                </a:endParaRPr>
              </a:p>
            </xdr:txBody>
          </xdr:sp>
        </xdr:grpSp>
      </xdr:grpSp>
    </xdr:grpSp>
    <xdr:clientData/>
  </xdr:twoCellAnchor>
  <xdr:twoCellAnchor>
    <xdr:from>
      <xdr:col>1</xdr:col>
      <xdr:colOff>868914</xdr:colOff>
      <xdr:row>142</xdr:row>
      <xdr:rowOff>156866</xdr:rowOff>
    </xdr:from>
    <xdr:to>
      <xdr:col>11</xdr:col>
      <xdr:colOff>6593899</xdr:colOff>
      <xdr:row>144</xdr:row>
      <xdr:rowOff>283569</xdr:rowOff>
    </xdr:to>
    <xdr:grpSp>
      <xdr:nvGrpSpPr>
        <xdr:cNvPr id="151" name="Grupo 150">
          <a:extLst>
            <a:ext uri="{FF2B5EF4-FFF2-40B4-BE49-F238E27FC236}">
              <a16:creationId xmlns:a16="http://schemas.microsoft.com/office/drawing/2014/main" id="{54B227A6-3F52-405A-BE70-0D98737AE094}"/>
            </a:ext>
          </a:extLst>
        </xdr:cNvPr>
        <xdr:cNvGrpSpPr/>
      </xdr:nvGrpSpPr>
      <xdr:grpSpPr>
        <a:xfrm>
          <a:off x="1630914" y="36294716"/>
          <a:ext cx="23222410" cy="1307803"/>
          <a:chOff x="1392789" y="33518952"/>
          <a:chExt cx="23203360" cy="1268941"/>
        </a:xfrm>
      </xdr:grpSpPr>
      <xdr:grpSp>
        <xdr:nvGrpSpPr>
          <xdr:cNvPr id="152" name="Grupo 151">
            <a:extLst>
              <a:ext uri="{FF2B5EF4-FFF2-40B4-BE49-F238E27FC236}">
                <a16:creationId xmlns:a16="http://schemas.microsoft.com/office/drawing/2014/main" id="{A99172B3-BD09-1698-4A34-D2BDC56FA14B}"/>
              </a:ext>
            </a:extLst>
          </xdr:cNvPr>
          <xdr:cNvGrpSpPr/>
        </xdr:nvGrpSpPr>
        <xdr:grpSpPr>
          <a:xfrm>
            <a:off x="15572049" y="33518952"/>
            <a:ext cx="9024100" cy="1268941"/>
            <a:chOff x="1392788" y="33380783"/>
            <a:chExt cx="9032759" cy="1272899"/>
          </a:xfrm>
        </xdr:grpSpPr>
        <xdr:sp macro="" textlink="">
          <xdr:nvSpPr>
            <xdr:cNvPr id="154" name="CuadroTexto 153">
              <a:extLst>
                <a:ext uri="{FF2B5EF4-FFF2-40B4-BE49-F238E27FC236}">
                  <a16:creationId xmlns:a16="http://schemas.microsoft.com/office/drawing/2014/main" id="{C933FF0C-00CC-0E72-3BA5-DB86AE53CD0F}"/>
                </a:ext>
              </a:extLst>
            </xdr:cNvPr>
            <xdr:cNvSpPr txBox="1"/>
          </xdr:nvSpPr>
          <xdr:spPr>
            <a:xfrm>
              <a:off x="1392788" y="33380784"/>
              <a:ext cx="2278667" cy="1238261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2000"/>
                <a:t>TURNO</a:t>
              </a:r>
            </a:p>
            <a:p>
              <a:r>
                <a:rPr lang="es-PE" sz="2000">
                  <a:solidFill>
                    <a:schemeClr val="accent4">
                      <a:lumMod val="75000"/>
                    </a:schemeClr>
                  </a:solidFill>
                </a:rPr>
                <a:t>MAÑANA</a:t>
              </a:r>
            </a:p>
            <a:p>
              <a:r>
                <a:rPr lang="es-PE" sz="2000">
                  <a:solidFill>
                    <a:schemeClr val="accent2">
                      <a:lumMod val="75000"/>
                    </a:schemeClr>
                  </a:solidFill>
                </a:rPr>
                <a:t>TARDE</a:t>
              </a:r>
            </a:p>
            <a:p>
              <a:r>
                <a:rPr lang="es-PE" sz="2000">
                  <a:solidFill>
                    <a:srgbClr val="002060"/>
                  </a:solidFill>
                </a:rPr>
                <a:t>NOCHE</a:t>
              </a:r>
            </a:p>
          </xdr:txBody>
        </xdr:sp>
        <xdr:sp macro="" textlink="">
          <xdr:nvSpPr>
            <xdr:cNvPr id="155" name="CuadroTexto 154">
              <a:extLst>
                <a:ext uri="{FF2B5EF4-FFF2-40B4-BE49-F238E27FC236}">
                  <a16:creationId xmlns:a16="http://schemas.microsoft.com/office/drawing/2014/main" id="{F8F8C8EF-C106-6FFD-6DD7-A827F6594088}"/>
                </a:ext>
              </a:extLst>
            </xdr:cNvPr>
            <xdr:cNvSpPr txBox="1"/>
          </xdr:nvSpPr>
          <xdr:spPr>
            <a:xfrm>
              <a:off x="3749867" y="33380783"/>
              <a:ext cx="2675180" cy="1271164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2000"/>
                <a:t>T. ATENCIÓN</a:t>
              </a:r>
            </a:p>
            <a:p>
              <a:r>
                <a:rPr lang="es-PE" sz="2000">
                  <a:solidFill>
                    <a:schemeClr val="accent6">
                      <a:lumMod val="75000"/>
                    </a:schemeClr>
                  </a:solidFill>
                </a:rPr>
                <a:t>Normal</a:t>
              </a:r>
              <a:r>
                <a:rPr lang="es-PE" sz="2000" baseline="0">
                  <a:solidFill>
                    <a:schemeClr val="accent6">
                      <a:lumMod val="75000"/>
                    </a:schemeClr>
                  </a:solidFill>
                </a:rPr>
                <a:t> (&lt;1:00)</a:t>
              </a:r>
            </a:p>
            <a:p>
              <a:r>
                <a:rPr lang="es-PE" sz="2000" baseline="0">
                  <a:solidFill>
                    <a:schemeClr val="accent4">
                      <a:lumMod val="75000"/>
                    </a:schemeClr>
                  </a:solidFill>
                </a:rPr>
                <a:t>Atención (1:00 &lt;x&lt;2:00)</a:t>
              </a:r>
            </a:p>
            <a:p>
              <a:r>
                <a:rPr lang="es-PE" sz="2000" baseline="0">
                  <a:solidFill>
                    <a:srgbClr val="FF0000"/>
                  </a:solidFill>
                </a:rPr>
                <a:t>Crítico (&gt;2:00)</a:t>
              </a:r>
              <a:endParaRPr lang="es-PE" sz="20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156" name="CuadroTexto 155">
              <a:extLst>
                <a:ext uri="{FF2B5EF4-FFF2-40B4-BE49-F238E27FC236}">
                  <a16:creationId xmlns:a16="http://schemas.microsoft.com/office/drawing/2014/main" id="{2F4C04CB-67CD-6656-FCB5-4259BA7C7D5B}"/>
                </a:ext>
              </a:extLst>
            </xdr:cNvPr>
            <xdr:cNvSpPr txBox="1"/>
          </xdr:nvSpPr>
          <xdr:spPr>
            <a:xfrm>
              <a:off x="6504335" y="33391636"/>
              <a:ext cx="2390661" cy="1262046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2000"/>
                <a:t>P/PN</a:t>
              </a:r>
              <a:endParaRPr lang="es-PE" sz="2000">
                <a:solidFill>
                  <a:srgbClr val="FF0000"/>
                </a:solidFill>
              </a:endParaRPr>
            </a:p>
            <a:p>
              <a:r>
                <a:rPr lang="es-PE" sz="2000">
                  <a:solidFill>
                    <a:srgbClr val="002060"/>
                  </a:solidFill>
                </a:rPr>
                <a:t>PROGRAMADA</a:t>
              </a:r>
            </a:p>
            <a:p>
              <a:r>
                <a:rPr lang="es-PE" sz="2000">
                  <a:solidFill>
                    <a:srgbClr val="FF0000"/>
                  </a:solidFill>
                </a:rPr>
                <a:t>NO</a:t>
              </a:r>
              <a:r>
                <a:rPr lang="es-PE" sz="2000" baseline="0">
                  <a:solidFill>
                    <a:srgbClr val="FF0000"/>
                  </a:solidFill>
                </a:rPr>
                <a:t> PROGRAMADA</a:t>
              </a:r>
              <a:endParaRPr lang="es-PE" sz="2000"/>
            </a:p>
          </xdr:txBody>
        </xdr:sp>
        <xdr:sp macro="" textlink="">
          <xdr:nvSpPr>
            <xdr:cNvPr id="157" name="CuadroTexto 156">
              <a:extLst>
                <a:ext uri="{FF2B5EF4-FFF2-40B4-BE49-F238E27FC236}">
                  <a16:creationId xmlns:a16="http://schemas.microsoft.com/office/drawing/2014/main" id="{BD2CF91E-A9BC-BA34-9A6E-10E18442185F}"/>
                </a:ext>
              </a:extLst>
            </xdr:cNvPr>
            <xdr:cNvSpPr txBox="1"/>
          </xdr:nvSpPr>
          <xdr:spPr>
            <a:xfrm>
              <a:off x="8961338" y="33391651"/>
              <a:ext cx="1464209" cy="1244713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2000"/>
                <a:t>M/E</a:t>
              </a:r>
              <a:endParaRPr lang="es-PE" sz="2000">
                <a:solidFill>
                  <a:srgbClr val="FF0000"/>
                </a:solidFill>
              </a:endParaRPr>
            </a:p>
            <a:p>
              <a:r>
                <a:rPr lang="es-PE" sz="2000">
                  <a:solidFill>
                    <a:schemeClr val="accent2">
                      <a:lumMod val="75000"/>
                    </a:schemeClr>
                  </a:solidFill>
                </a:rPr>
                <a:t>MECÁNICA</a:t>
              </a:r>
            </a:p>
            <a:p>
              <a:r>
                <a:rPr lang="es-PE" sz="2000">
                  <a:solidFill>
                    <a:schemeClr val="accent4">
                      <a:lumMod val="75000"/>
                    </a:schemeClr>
                  </a:solidFill>
                </a:rPr>
                <a:t>ELÉCTRICA</a:t>
              </a:r>
            </a:p>
          </xdr:txBody>
        </xdr:sp>
      </xdr:grpSp>
      <xdr:sp macro="" textlink="">
        <xdr:nvSpPr>
          <xdr:cNvPr id="153" name="CuadroTexto 152">
            <a:extLst>
              <a:ext uri="{FF2B5EF4-FFF2-40B4-BE49-F238E27FC236}">
                <a16:creationId xmlns:a16="http://schemas.microsoft.com/office/drawing/2014/main" id="{EAC45E4A-E33A-3728-EE65-FF12A3CBBAF1}"/>
              </a:ext>
            </a:extLst>
          </xdr:cNvPr>
          <xdr:cNvSpPr txBox="1"/>
        </xdr:nvSpPr>
        <xdr:spPr>
          <a:xfrm>
            <a:off x="1392789" y="33527998"/>
            <a:ext cx="14016063" cy="1200935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PE" sz="8000">
                <a:solidFill>
                  <a:srgbClr val="002060"/>
                </a:solidFill>
              </a:rPr>
              <a:t>DETALLE</a:t>
            </a:r>
            <a:r>
              <a:rPr lang="es-PE" sz="8000" baseline="0">
                <a:solidFill>
                  <a:srgbClr val="002060"/>
                </a:solidFill>
              </a:rPr>
              <a:t> DE ACTIVIDADES</a:t>
            </a:r>
            <a:endParaRPr lang="es-PE" sz="8000">
              <a:solidFill>
                <a:srgbClr val="002060"/>
              </a:solidFill>
            </a:endParaRPr>
          </a:p>
        </xdr:txBody>
      </xdr:sp>
    </xdr:grpSp>
    <xdr:clientData/>
  </xdr:twoCellAnchor>
  <xdr:twoCellAnchor>
    <xdr:from>
      <xdr:col>2</xdr:col>
      <xdr:colOff>79160</xdr:colOff>
      <xdr:row>358</xdr:row>
      <xdr:rowOff>162604</xdr:rowOff>
    </xdr:from>
    <xdr:to>
      <xdr:col>2</xdr:col>
      <xdr:colOff>1374322</xdr:colOff>
      <xdr:row>361</xdr:row>
      <xdr:rowOff>127802</xdr:rowOff>
    </xdr:to>
    <xdr:sp macro="" textlink="$T$339">
      <xdr:nvSpPr>
        <xdr:cNvPr id="158" name="Rectángulo: esquinas redondeadas 157">
          <a:extLst>
            <a:ext uri="{FF2B5EF4-FFF2-40B4-BE49-F238E27FC236}">
              <a16:creationId xmlns:a16="http://schemas.microsoft.com/office/drawing/2014/main" id="{D57DB1C7-4575-40C2-9BF9-87C163AAFD67}"/>
            </a:ext>
          </a:extLst>
        </xdr:cNvPr>
        <xdr:cNvSpPr/>
      </xdr:nvSpPr>
      <xdr:spPr>
        <a:xfrm>
          <a:off x="3260510" y="86802004"/>
          <a:ext cx="1295162" cy="536698"/>
        </a:xfrm>
        <a:prstGeom prst="roundRect">
          <a:avLst/>
        </a:prstGeom>
        <a:noFill/>
        <a:ln w="38100"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fld id="{BA5DF689-24CF-498D-B08F-74D5D60E2338}" type="TxLink">
            <a:rPr lang="en-US" sz="2800" b="1" i="0" u="none" strike="noStrike">
              <a:solidFill>
                <a:schemeClr val="accent6">
                  <a:lumMod val="75000"/>
                </a:schemeClr>
              </a:solidFill>
              <a:latin typeface="Calibri"/>
              <a:ea typeface="Calibri"/>
              <a:cs typeface="Calibri"/>
            </a:rPr>
            <a:pPr algn="l"/>
            <a:t>5488</a:t>
          </a:fld>
          <a:endParaRPr lang="en-US" sz="2800" b="1" i="0" u="none" strike="noStrike">
            <a:solidFill>
              <a:schemeClr val="accent6">
                <a:lumMod val="7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0</xdr:col>
      <xdr:colOff>751177</xdr:colOff>
      <xdr:row>329</xdr:row>
      <xdr:rowOff>140713</xdr:rowOff>
    </xdr:from>
    <xdr:to>
      <xdr:col>12</xdr:col>
      <xdr:colOff>0</xdr:colOff>
      <xdr:row>434</xdr:row>
      <xdr:rowOff>138545</xdr:rowOff>
    </xdr:to>
    <xdr:grpSp>
      <xdr:nvGrpSpPr>
        <xdr:cNvPr id="159" name="Grupo 35">
          <a:extLst>
            <a:ext uri="{FF2B5EF4-FFF2-40B4-BE49-F238E27FC236}">
              <a16:creationId xmlns:a16="http://schemas.microsoft.com/office/drawing/2014/main" id="{641EEDFE-2A17-43C2-A9A6-8E704B703F63}"/>
            </a:ext>
            <a:ext uri="{147F2762-F138-4A5C-976F-8EAC2B608ADB}">
              <a16:predDERef xmlns:a16="http://schemas.microsoft.com/office/drawing/2014/main" pred="{915EA42D-7D58-4FAC-9F96-EB3B35563459}"/>
            </a:ext>
          </a:extLst>
        </xdr:cNvPr>
        <xdr:cNvGrpSpPr/>
      </xdr:nvGrpSpPr>
      <xdr:grpSpPr>
        <a:xfrm>
          <a:off x="751177" y="78836263"/>
          <a:ext cx="24585323" cy="22781632"/>
          <a:chOff x="751177" y="84103588"/>
          <a:chExt cx="24561511" cy="22453020"/>
        </a:xfrm>
      </xdr:grpSpPr>
      <xdr:grpSp>
        <xdr:nvGrpSpPr>
          <xdr:cNvPr id="160" name="Grupo 34">
            <a:extLst>
              <a:ext uri="{FF2B5EF4-FFF2-40B4-BE49-F238E27FC236}">
                <a16:creationId xmlns:a16="http://schemas.microsoft.com/office/drawing/2014/main" id="{78A90EAA-B442-91EF-5377-493CE9C78E9E}"/>
              </a:ext>
            </a:extLst>
          </xdr:cNvPr>
          <xdr:cNvGrpSpPr/>
        </xdr:nvGrpSpPr>
        <xdr:grpSpPr>
          <a:xfrm>
            <a:off x="751177" y="84103588"/>
            <a:ext cx="24561511" cy="8786810"/>
            <a:chOff x="727365" y="74030899"/>
            <a:chExt cx="24561511" cy="8786810"/>
          </a:xfrm>
        </xdr:grpSpPr>
        <xdr:grpSp>
          <xdr:nvGrpSpPr>
            <xdr:cNvPr id="171" name="Grupo 4">
              <a:extLst>
                <a:ext uri="{FF2B5EF4-FFF2-40B4-BE49-F238E27FC236}">
                  <a16:creationId xmlns:a16="http://schemas.microsoft.com/office/drawing/2014/main" id="{4CA184F9-789E-F3E0-7E46-2EF3CA83B6DB}"/>
                </a:ext>
              </a:extLst>
            </xdr:cNvPr>
            <xdr:cNvGrpSpPr>
              <a:grpSpLocks noChangeAspect="1"/>
            </xdr:cNvGrpSpPr>
          </xdr:nvGrpSpPr>
          <xdr:grpSpPr>
            <a:xfrm>
              <a:off x="727365" y="74030899"/>
              <a:ext cx="24561511" cy="1521834"/>
              <a:chOff x="727365" y="74069865"/>
              <a:chExt cx="24574500" cy="1575954"/>
            </a:xfrm>
            <a:solidFill>
              <a:schemeClr val="accent1">
                <a:lumMod val="50000"/>
              </a:schemeClr>
            </a:solidFill>
          </xdr:grpSpPr>
          <xdr:sp macro="" textlink="">
            <xdr:nvSpPr>
              <xdr:cNvPr id="263" name="Rectángulo: esquinas redondeadas 1">
                <a:extLst>
                  <a:ext uri="{FF2B5EF4-FFF2-40B4-BE49-F238E27FC236}">
                    <a16:creationId xmlns:a16="http://schemas.microsoft.com/office/drawing/2014/main" id="{C1390B8F-F6AA-BE4C-1644-5F2B442728C5}"/>
                  </a:ext>
                </a:extLst>
              </xdr:cNvPr>
              <xdr:cNvSpPr/>
            </xdr:nvSpPr>
            <xdr:spPr>
              <a:xfrm>
                <a:off x="727365" y="74069865"/>
                <a:ext cx="24574500" cy="1575954"/>
              </a:xfrm>
              <a:prstGeom prst="roundRect">
                <a:avLst/>
              </a:prstGeom>
              <a:grpFill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fontAlgn="base"/>
                <a:r>
                  <a:rPr lang="es-PE" sz="3600" b="1" i="0">
                    <a:solidFill>
                      <a:schemeClr val="lt1"/>
                    </a:solidFill>
                    <a:effectLst/>
                    <a:latin typeface="+mn-lt"/>
                    <a:ea typeface="+mn-ea"/>
                    <a:cs typeface="+mn-cs"/>
                  </a:rPr>
                  <a:t>📊 CONSUMO DIARIO </a:t>
                </a:r>
              </a:p>
              <a:p>
                <a:pPr fontAlgn="base"/>
                <a:r>
                  <a:rPr lang="es-PE" sz="3600" b="1" i="0">
                    <a:solidFill>
                      <a:schemeClr val="lt1"/>
                    </a:solidFill>
                    <a:effectLst/>
                    <a:latin typeface="+mn-lt"/>
                    <a:ea typeface="+mn-ea"/>
                    <a:cs typeface="+mn-cs"/>
                  </a:rPr>
                  <a:t>🔧 Reporte operativo PTAR | Monitoreo en tiempo real</a:t>
                </a:r>
              </a:p>
              <a:p>
                <a:pPr algn="l"/>
                <a:endParaRPr lang="es-PE" sz="1000"/>
              </a:p>
            </xdr:txBody>
          </xdr:sp>
          <xdr:sp macro="" textlink="$O$332">
            <xdr:nvSpPr>
              <xdr:cNvPr id="264" name="Rectángulo 2">
                <a:extLst>
                  <a:ext uri="{FF2B5EF4-FFF2-40B4-BE49-F238E27FC236}">
                    <a16:creationId xmlns:a16="http://schemas.microsoft.com/office/drawing/2014/main" id="{02F29AAB-092A-B246-C01E-14C5E072AF34}"/>
                  </a:ext>
                </a:extLst>
              </xdr:cNvPr>
              <xdr:cNvSpPr/>
            </xdr:nvSpPr>
            <xdr:spPr>
              <a:xfrm>
                <a:off x="19136591" y="74346954"/>
                <a:ext cx="5195454" cy="1073728"/>
              </a:xfrm>
              <a:prstGeom prst="rect">
                <a:avLst/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BA6BC551-F669-4B89-A96F-65D4A3CE971B}" type="TxLink">
                  <a:rPr lang="en-US" sz="6000" b="0" i="0" u="none" strike="noStrike">
                    <a:solidFill>
                      <a:srgbClr val="FFFFFF"/>
                    </a:solidFill>
                    <a:latin typeface="Calibri"/>
                    <a:ea typeface="Calibri"/>
                    <a:cs typeface="Calibri"/>
                  </a:rPr>
                  <a:pPr algn="ctr"/>
                  <a:t>2/07/2026</a:t>
                </a:fld>
                <a:endParaRPr lang="es-PE" sz="3600"/>
              </a:p>
            </xdr:txBody>
          </xdr:sp>
        </xdr:grpSp>
        <xdr:grpSp>
          <xdr:nvGrpSpPr>
            <xdr:cNvPr id="172" name="Grupo 4131">
              <a:extLst>
                <a:ext uri="{FF2B5EF4-FFF2-40B4-BE49-F238E27FC236}">
                  <a16:creationId xmlns:a16="http://schemas.microsoft.com/office/drawing/2014/main" id="{64E48CAA-2192-7CE5-C886-7E738511ECCE}"/>
                </a:ext>
              </a:extLst>
            </xdr:cNvPr>
            <xdr:cNvGrpSpPr>
              <a:grpSpLocks noChangeAspect="1"/>
            </xdr:cNvGrpSpPr>
          </xdr:nvGrpSpPr>
          <xdr:grpSpPr>
            <a:xfrm>
              <a:off x="801020" y="75699937"/>
              <a:ext cx="4595813" cy="3190875"/>
              <a:chOff x="970709" y="75768573"/>
              <a:chExt cx="4586007" cy="3552264"/>
            </a:xfrm>
            <a:noFill/>
          </xdr:grpSpPr>
          <xdr:sp macro="" textlink="">
            <xdr:nvSpPr>
              <xdr:cNvPr id="254" name="Rectángulo: esquinas redondeadas 33">
                <a:extLst>
                  <a:ext uri="{FF2B5EF4-FFF2-40B4-BE49-F238E27FC236}">
                    <a16:creationId xmlns:a16="http://schemas.microsoft.com/office/drawing/2014/main" id="{CA9BD5A3-24D9-1EEC-7681-6E13F31061A8}"/>
                  </a:ext>
                </a:extLst>
              </xdr:cNvPr>
              <xdr:cNvSpPr/>
            </xdr:nvSpPr>
            <xdr:spPr>
              <a:xfrm>
                <a:off x="970709" y="75768573"/>
                <a:ext cx="4586007" cy="3552264"/>
              </a:xfrm>
              <a:prstGeom prst="roundRect">
                <a:avLst/>
              </a:prstGeom>
              <a:solidFill>
                <a:schemeClr val="tx2">
                  <a:lumMod val="20000"/>
                  <a:lumOff val="80000"/>
                </a:schemeClr>
              </a:solidFill>
              <a:ln w="38100">
                <a:solidFill>
                  <a:schemeClr val="accent1">
                    <a:lumMod val="50000"/>
                  </a:schemeClr>
                </a:solidFill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s-PE" sz="1100"/>
              </a:p>
            </xdr:txBody>
          </xdr:sp>
          <xdr:sp macro="" textlink="">
            <xdr:nvSpPr>
              <xdr:cNvPr id="255" name="Rectángulo: esquinas redondeadas 43">
                <a:extLst>
                  <a:ext uri="{FF2B5EF4-FFF2-40B4-BE49-F238E27FC236}">
                    <a16:creationId xmlns:a16="http://schemas.microsoft.com/office/drawing/2014/main" id="{EBA471FC-F211-9F91-0062-7C70585F697F}"/>
                  </a:ext>
                </a:extLst>
              </xdr:cNvPr>
              <xdr:cNvSpPr/>
            </xdr:nvSpPr>
            <xdr:spPr>
              <a:xfrm>
                <a:off x="1271587" y="75864943"/>
                <a:ext cx="3767887" cy="1022818"/>
              </a:xfrm>
              <a:prstGeom prst="roundRect">
                <a:avLst/>
              </a:prstGeom>
              <a:grpFill/>
              <a:ln w="38100">
                <a:noFill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es-PE" sz="4800" b="0" i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💧</a:t>
                </a:r>
                <a:r>
                  <a:rPr lang="es-PE" sz="4800" b="1" i="0">
                    <a:solidFill>
                      <a:schemeClr val="accent1">
                        <a:lumMod val="7500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GENERAL</a:t>
                </a:r>
                <a:endParaRPr lang="es-PE" sz="4800">
                  <a:solidFill>
                    <a:schemeClr val="accent1">
                      <a:lumMod val="75000"/>
                    </a:schemeClr>
                  </a:solidFill>
                </a:endParaRPr>
              </a:p>
            </xdr:txBody>
          </xdr:sp>
          <xdr:sp macro="" textlink="$U$334">
            <xdr:nvSpPr>
              <xdr:cNvPr id="256" name="Rectángulo: esquinas redondeadas 44">
                <a:extLst>
                  <a:ext uri="{FF2B5EF4-FFF2-40B4-BE49-F238E27FC236}">
                    <a16:creationId xmlns:a16="http://schemas.microsoft.com/office/drawing/2014/main" id="{384ECB62-4B83-A21E-AB00-CC8BCAE976E4}"/>
                  </a:ext>
                </a:extLst>
              </xdr:cNvPr>
              <xdr:cNvSpPr/>
            </xdr:nvSpPr>
            <xdr:spPr>
              <a:xfrm>
                <a:off x="1882587" y="76681853"/>
                <a:ext cx="2958354" cy="1199029"/>
              </a:xfrm>
              <a:prstGeom prst="roundRect">
                <a:avLst/>
              </a:prstGeom>
              <a:grpFill/>
              <a:ln w="38100">
                <a:noFill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78B16B09-285B-4E15-AA3A-E217D2FB262E}" type="TxLink">
                  <a:rPr lang="en-US" sz="8000" b="0" i="0" u="none" strike="noStrike">
                    <a:solidFill>
                      <a:schemeClr val="accent1">
                        <a:lumMod val="60000"/>
                        <a:lumOff val="40000"/>
                      </a:schemeClr>
                    </a:solidFill>
                    <a:latin typeface="Calibri"/>
                    <a:ea typeface="Calibri"/>
                    <a:cs typeface="Calibri"/>
                  </a:rPr>
                  <a:pPr algn="ctr"/>
                  <a:t>58 m3</a:t>
                </a:fld>
                <a:endParaRPr lang="es-PE" sz="123400">
                  <a:solidFill>
                    <a:schemeClr val="accent1">
                      <a:lumMod val="60000"/>
                      <a:lumOff val="40000"/>
                    </a:schemeClr>
                  </a:solidFill>
                </a:endParaRPr>
              </a:p>
            </xdr:txBody>
          </xdr:sp>
          <xdr:sp macro="" textlink="">
            <xdr:nvSpPr>
              <xdr:cNvPr id="257" name="Rectángulo: esquinas redondeadas 51">
                <a:extLst>
                  <a:ext uri="{FF2B5EF4-FFF2-40B4-BE49-F238E27FC236}">
                    <a16:creationId xmlns:a16="http://schemas.microsoft.com/office/drawing/2014/main" id="{999894BA-FC7E-59B2-7A40-5FCD8FA7F419}"/>
                  </a:ext>
                </a:extLst>
              </xdr:cNvPr>
              <xdr:cNvSpPr/>
            </xdr:nvSpPr>
            <xdr:spPr>
              <a:xfrm>
                <a:off x="1932736" y="77709713"/>
                <a:ext cx="633412" cy="540964"/>
              </a:xfrm>
              <a:prstGeom prst="roundRect">
                <a:avLst/>
              </a:prstGeom>
              <a:grpFill/>
              <a:ln w="38100">
                <a:noFill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l"/>
                <a:r>
                  <a:rPr lang="es-PE" sz="2400" b="0" i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🎯 </a:t>
                </a:r>
                <a:endParaRPr lang="es-PE" sz="8800">
                  <a:solidFill>
                    <a:schemeClr val="accent1">
                      <a:lumMod val="75000"/>
                    </a:schemeClr>
                  </a:solidFill>
                </a:endParaRPr>
              </a:p>
            </xdr:txBody>
          </xdr:sp>
          <xdr:sp macro="" textlink="$R$334">
            <xdr:nvSpPr>
              <xdr:cNvPr id="258" name="Rectángulo: esquinas redondeadas 57">
                <a:extLst>
                  <a:ext uri="{FF2B5EF4-FFF2-40B4-BE49-F238E27FC236}">
                    <a16:creationId xmlns:a16="http://schemas.microsoft.com/office/drawing/2014/main" id="{905BD339-B316-B3A3-9B9C-E607D2F563A6}"/>
                  </a:ext>
                </a:extLst>
              </xdr:cNvPr>
              <xdr:cNvSpPr/>
            </xdr:nvSpPr>
            <xdr:spPr>
              <a:xfrm>
                <a:off x="2253225" y="77724000"/>
                <a:ext cx="2150685" cy="589430"/>
              </a:xfrm>
              <a:prstGeom prst="roundRect">
                <a:avLst/>
              </a:prstGeom>
              <a:grpFill/>
              <a:ln w="38100">
                <a:noFill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39DF8829-27F6-4AA7-B54D-AD424F70CFD7}" type="TxLink">
                  <a:rPr lang="en-US" sz="3200" b="1" i="0" u="none" strike="noStrike">
                    <a:solidFill>
                      <a:schemeClr val="accent2">
                        <a:lumMod val="75000"/>
                      </a:schemeClr>
                    </a:solidFill>
                    <a:latin typeface="Calibri"/>
                    <a:ea typeface="Calibri"/>
                    <a:cs typeface="Calibri"/>
                  </a:rPr>
                  <a:pPr algn="ctr"/>
                  <a:t>NORMAL</a:t>
                </a:fld>
                <a:endParaRPr lang="es-PE" sz="13800" b="1">
                  <a:solidFill>
                    <a:schemeClr val="accent2">
                      <a:lumMod val="75000"/>
                    </a:schemeClr>
                  </a:solidFill>
                </a:endParaRPr>
              </a:p>
            </xdr:txBody>
          </xdr:sp>
          <xdr:sp macro="" textlink="">
            <xdr:nvSpPr>
              <xdr:cNvPr id="259" name="Rectángulo: esquinas redondeadas 59">
                <a:extLst>
                  <a:ext uri="{FF2B5EF4-FFF2-40B4-BE49-F238E27FC236}">
                    <a16:creationId xmlns:a16="http://schemas.microsoft.com/office/drawing/2014/main" id="{7345DF91-4597-2DAE-E405-A06B0C0BD6A5}"/>
                  </a:ext>
                </a:extLst>
              </xdr:cNvPr>
              <xdr:cNvSpPr/>
            </xdr:nvSpPr>
            <xdr:spPr>
              <a:xfrm>
                <a:off x="2084293" y="78272250"/>
                <a:ext cx="2510118" cy="540964"/>
              </a:xfrm>
              <a:prstGeom prst="roundRect">
                <a:avLst/>
              </a:prstGeom>
              <a:grpFill/>
              <a:ln w="38100">
                <a:noFill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s-PE" sz="2800">
                    <a:solidFill>
                      <a:schemeClr val="accent1">
                        <a:lumMod val="5000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Máximo: 75 m³</a:t>
                </a:r>
                <a:endParaRPr lang="en-US" sz="4800" b="1" i="0" u="none" strike="noStrike">
                  <a:solidFill>
                    <a:schemeClr val="accent1">
                      <a:lumMod val="50000"/>
                    </a:schemeClr>
                  </a:solidFill>
                  <a:latin typeface="Calibri"/>
                  <a:ea typeface="Calibri"/>
                  <a:cs typeface="Calibri"/>
                </a:endParaRPr>
              </a:p>
            </xdr:txBody>
          </xdr:sp>
          <xdr:sp macro="" textlink="">
            <xdr:nvSpPr>
              <xdr:cNvPr id="260" name="Rectángulo: esquinas redondeadas 4128">
                <a:extLst>
                  <a:ext uri="{FF2B5EF4-FFF2-40B4-BE49-F238E27FC236}">
                    <a16:creationId xmlns:a16="http://schemas.microsoft.com/office/drawing/2014/main" id="{CD246BCA-EBDF-F7CC-FF53-C51FB0EB1ECF}"/>
                  </a:ext>
                </a:extLst>
              </xdr:cNvPr>
              <xdr:cNvSpPr/>
            </xdr:nvSpPr>
            <xdr:spPr>
              <a:xfrm>
                <a:off x="2109791" y="78738414"/>
                <a:ext cx="467563" cy="540964"/>
              </a:xfrm>
              <a:prstGeom prst="roundRect">
                <a:avLst/>
              </a:prstGeom>
              <a:grpFill/>
              <a:ln w="38100">
                <a:noFill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s-PE" sz="1800" b="1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📊 </a:t>
                </a:r>
                <a:endParaRPr lang="en-US" sz="6600" b="1" i="0" u="none" strike="noStrike">
                  <a:solidFill>
                    <a:schemeClr val="accent1">
                      <a:lumMod val="50000"/>
                    </a:schemeClr>
                  </a:solidFill>
                  <a:latin typeface="Calibri"/>
                  <a:ea typeface="Calibri"/>
                  <a:cs typeface="Calibri"/>
                </a:endParaRPr>
              </a:p>
            </xdr:txBody>
          </xdr:sp>
          <xdr:sp macro="" textlink="">
            <xdr:nvSpPr>
              <xdr:cNvPr id="261" name="Rectángulo: esquinas redondeadas 4129">
                <a:extLst>
                  <a:ext uri="{FF2B5EF4-FFF2-40B4-BE49-F238E27FC236}">
                    <a16:creationId xmlns:a16="http://schemas.microsoft.com/office/drawing/2014/main" id="{23BE7C3F-E265-961D-A0DD-F502CF409B6D}"/>
                  </a:ext>
                </a:extLst>
              </xdr:cNvPr>
              <xdr:cNvSpPr/>
            </xdr:nvSpPr>
            <xdr:spPr>
              <a:xfrm>
                <a:off x="3192280" y="78745137"/>
                <a:ext cx="1413340" cy="540964"/>
              </a:xfrm>
              <a:prstGeom prst="roundRect">
                <a:avLst/>
              </a:prstGeom>
              <a:grpFill/>
              <a:ln w="38100">
                <a:noFill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s-PE" sz="1800" b="1">
                    <a:solidFill>
                      <a:srgbClr val="C00000"/>
                    </a:solidFill>
                    <a:effectLst/>
                    <a:latin typeface="+mn-lt"/>
                    <a:ea typeface="+mn-ea"/>
                    <a:cs typeface="+mn-cs"/>
                  </a:rPr>
                  <a:t>del máximo</a:t>
                </a:r>
                <a:endParaRPr lang="en-US" sz="1800" b="1" i="0" u="none" strike="noStrike">
                  <a:solidFill>
                    <a:srgbClr val="C00000"/>
                  </a:solidFill>
                  <a:latin typeface="Calibri"/>
                  <a:ea typeface="Calibri"/>
                  <a:cs typeface="Calibri"/>
                </a:endParaRPr>
              </a:p>
            </xdr:txBody>
          </xdr:sp>
          <xdr:sp macro="" textlink="$S$334">
            <xdr:nvSpPr>
              <xdr:cNvPr id="262" name="Rectángulo: esquinas redondeadas 4130">
                <a:extLst>
                  <a:ext uri="{FF2B5EF4-FFF2-40B4-BE49-F238E27FC236}">
                    <a16:creationId xmlns:a16="http://schemas.microsoft.com/office/drawing/2014/main" id="{EA64803A-2E5D-9A16-4BCC-067522D9249D}"/>
                  </a:ext>
                </a:extLst>
              </xdr:cNvPr>
              <xdr:cNvSpPr/>
            </xdr:nvSpPr>
            <xdr:spPr>
              <a:xfrm>
                <a:off x="2442881" y="78751860"/>
                <a:ext cx="952500" cy="540964"/>
              </a:xfrm>
              <a:prstGeom prst="roundRect">
                <a:avLst/>
              </a:prstGeom>
              <a:grpFill/>
              <a:ln w="38100">
                <a:noFill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l"/>
                <a:fld id="{DECBACAF-46B3-4DD9-9AE3-692DBDABE9D9}" type="TxLink">
                  <a:rPr lang="en-US" sz="1800" b="1" i="0" u="none" strike="noStrike">
                    <a:solidFill>
                      <a:srgbClr val="C00000"/>
                    </a:solidFill>
                    <a:latin typeface="Calibri"/>
                    <a:ea typeface="Calibri"/>
                    <a:cs typeface="Calibri"/>
                  </a:rPr>
                  <a:pPr algn="l"/>
                  <a:t>77.3%</a:t>
                </a:fld>
                <a:endParaRPr lang="en-US" sz="1800" b="1" i="0" u="none" strike="noStrike">
                  <a:solidFill>
                    <a:srgbClr val="C00000"/>
                  </a:solidFill>
                  <a:latin typeface="Calibri"/>
                  <a:ea typeface="Calibri"/>
                  <a:cs typeface="Calibri"/>
                </a:endParaRPr>
              </a:p>
            </xdr:txBody>
          </xdr:sp>
        </xdr:grpSp>
        <xdr:grpSp>
          <xdr:nvGrpSpPr>
            <xdr:cNvPr id="173" name="Grupo 4132">
              <a:extLst>
                <a:ext uri="{FF2B5EF4-FFF2-40B4-BE49-F238E27FC236}">
                  <a16:creationId xmlns:a16="http://schemas.microsoft.com/office/drawing/2014/main" id="{28084F60-525A-4929-90D9-AA1DDA5375F4}"/>
                </a:ext>
              </a:extLst>
            </xdr:cNvPr>
            <xdr:cNvGrpSpPr>
              <a:grpSpLocks noChangeAspect="1"/>
            </xdr:cNvGrpSpPr>
          </xdr:nvGrpSpPr>
          <xdr:grpSpPr>
            <a:xfrm>
              <a:off x="5748082" y="75754921"/>
              <a:ext cx="4576330" cy="3190875"/>
              <a:chOff x="970709" y="75768573"/>
              <a:chExt cx="4586007" cy="3552264"/>
            </a:xfrm>
            <a:noFill/>
          </xdr:grpSpPr>
          <xdr:sp macro="" textlink="">
            <xdr:nvSpPr>
              <xdr:cNvPr id="245" name="Rectángulo: esquinas redondeadas 4133">
                <a:extLst>
                  <a:ext uri="{FF2B5EF4-FFF2-40B4-BE49-F238E27FC236}">
                    <a16:creationId xmlns:a16="http://schemas.microsoft.com/office/drawing/2014/main" id="{83459B13-40F7-4EC8-6EE9-CEE9C8FC350B}"/>
                  </a:ext>
                </a:extLst>
              </xdr:cNvPr>
              <xdr:cNvSpPr/>
            </xdr:nvSpPr>
            <xdr:spPr>
              <a:xfrm>
                <a:off x="970709" y="75768573"/>
                <a:ext cx="4586007" cy="3552264"/>
              </a:xfrm>
              <a:prstGeom prst="roundRect">
                <a:avLst/>
              </a:prstGeom>
              <a:solidFill>
                <a:schemeClr val="tx2">
                  <a:lumMod val="20000"/>
                  <a:lumOff val="80000"/>
                </a:schemeClr>
              </a:solidFill>
              <a:ln w="38100">
                <a:solidFill>
                  <a:schemeClr val="accent1">
                    <a:lumMod val="50000"/>
                  </a:schemeClr>
                </a:solidFill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s-PE" sz="1100"/>
              </a:p>
            </xdr:txBody>
          </xdr:sp>
          <xdr:sp macro="" textlink="">
            <xdr:nvSpPr>
              <xdr:cNvPr id="246" name="Rectángulo: esquinas redondeadas 4134">
                <a:extLst>
                  <a:ext uri="{FF2B5EF4-FFF2-40B4-BE49-F238E27FC236}">
                    <a16:creationId xmlns:a16="http://schemas.microsoft.com/office/drawing/2014/main" id="{C2CA856F-55B3-B646-19CC-6584097F7664}"/>
                  </a:ext>
                </a:extLst>
              </xdr:cNvPr>
              <xdr:cNvSpPr/>
            </xdr:nvSpPr>
            <xdr:spPr>
              <a:xfrm>
                <a:off x="1271587" y="75864943"/>
                <a:ext cx="4031182" cy="1022818"/>
              </a:xfrm>
              <a:prstGeom prst="roundRect">
                <a:avLst/>
              </a:prstGeom>
              <a:grpFill/>
              <a:ln w="38100">
                <a:noFill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es-PE" sz="4800">
                    <a:effectLst/>
                  </a:rPr>
                  <a:t>🚿</a:t>
                </a:r>
                <a:r>
                  <a:rPr lang="es-PE" sz="4800" b="1" i="0">
                    <a:solidFill>
                      <a:schemeClr val="accent1">
                        <a:lumMod val="7500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BAÑOS</a:t>
                </a:r>
              </a:p>
            </xdr:txBody>
          </xdr:sp>
          <xdr:sp macro="" textlink="$U$335">
            <xdr:nvSpPr>
              <xdr:cNvPr id="247" name="Rectángulo: esquinas redondeadas 4135">
                <a:extLst>
                  <a:ext uri="{FF2B5EF4-FFF2-40B4-BE49-F238E27FC236}">
                    <a16:creationId xmlns:a16="http://schemas.microsoft.com/office/drawing/2014/main" id="{A42276B2-1AD2-1DF1-0C0D-17663B1B3192}"/>
                  </a:ext>
                </a:extLst>
              </xdr:cNvPr>
              <xdr:cNvSpPr/>
            </xdr:nvSpPr>
            <xdr:spPr>
              <a:xfrm>
                <a:off x="1882587" y="76681853"/>
                <a:ext cx="2958354" cy="1199029"/>
              </a:xfrm>
              <a:prstGeom prst="roundRect">
                <a:avLst/>
              </a:prstGeom>
              <a:grpFill/>
              <a:ln w="38100">
                <a:noFill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03AEB4CE-6215-441F-B16F-910C1FA427CF}" type="TxLink">
                  <a:rPr lang="en-US" sz="8000" b="0" i="0" u="none" strike="noStrike">
                    <a:solidFill>
                      <a:schemeClr val="accent1">
                        <a:lumMod val="60000"/>
                        <a:lumOff val="40000"/>
                      </a:schemeClr>
                    </a:solidFill>
                    <a:latin typeface="Calibri"/>
                    <a:ea typeface="Calibri"/>
                    <a:cs typeface="Calibri"/>
                  </a:rPr>
                  <a:pPr algn="ctr"/>
                  <a:t>20 m3</a:t>
                </a:fld>
                <a:endParaRPr lang="es-PE" sz="8000">
                  <a:solidFill>
                    <a:schemeClr val="accent1">
                      <a:lumMod val="60000"/>
                      <a:lumOff val="40000"/>
                    </a:schemeClr>
                  </a:solidFill>
                </a:endParaRPr>
              </a:p>
            </xdr:txBody>
          </xdr:sp>
          <xdr:sp macro="" textlink="">
            <xdr:nvSpPr>
              <xdr:cNvPr id="248" name="Rectángulo: esquinas redondeadas 4136">
                <a:extLst>
                  <a:ext uri="{FF2B5EF4-FFF2-40B4-BE49-F238E27FC236}">
                    <a16:creationId xmlns:a16="http://schemas.microsoft.com/office/drawing/2014/main" id="{0D191F4A-D1CC-BB0F-D65A-950CC68E5E3F}"/>
                  </a:ext>
                </a:extLst>
              </xdr:cNvPr>
              <xdr:cNvSpPr/>
            </xdr:nvSpPr>
            <xdr:spPr>
              <a:xfrm>
                <a:off x="1932736" y="77709713"/>
                <a:ext cx="633412" cy="540964"/>
              </a:xfrm>
              <a:prstGeom prst="roundRect">
                <a:avLst/>
              </a:prstGeom>
              <a:grpFill/>
              <a:ln w="38100">
                <a:noFill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l"/>
                <a:r>
                  <a:rPr lang="es-PE" sz="2400" b="0" i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🎯 </a:t>
                </a:r>
                <a:endParaRPr lang="es-PE" sz="8800">
                  <a:solidFill>
                    <a:schemeClr val="accent1">
                      <a:lumMod val="75000"/>
                    </a:schemeClr>
                  </a:solidFill>
                </a:endParaRPr>
              </a:p>
            </xdr:txBody>
          </xdr:sp>
          <xdr:sp macro="" textlink="$R$335">
            <xdr:nvSpPr>
              <xdr:cNvPr id="249" name="Rectángulo: esquinas redondeadas 4137">
                <a:extLst>
                  <a:ext uri="{FF2B5EF4-FFF2-40B4-BE49-F238E27FC236}">
                    <a16:creationId xmlns:a16="http://schemas.microsoft.com/office/drawing/2014/main" id="{8E23B3A2-C139-C5B1-3C0A-1D272D527E90}"/>
                  </a:ext>
                </a:extLst>
              </xdr:cNvPr>
              <xdr:cNvSpPr/>
            </xdr:nvSpPr>
            <xdr:spPr>
              <a:xfrm>
                <a:off x="2235903" y="77724000"/>
                <a:ext cx="2150685" cy="589430"/>
              </a:xfrm>
              <a:prstGeom prst="roundRect">
                <a:avLst/>
              </a:prstGeom>
              <a:grpFill/>
              <a:ln w="38100">
                <a:noFill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EA3C4013-159B-4627-8075-078AC6E26EF8}" type="TxLink">
                  <a:rPr lang="en-US" sz="3200" b="1" i="0" u="none" strike="noStrike">
                    <a:solidFill>
                      <a:schemeClr val="accent2">
                        <a:lumMod val="75000"/>
                      </a:schemeClr>
                    </a:solidFill>
                    <a:latin typeface="Calibri"/>
                    <a:ea typeface="Calibri"/>
                    <a:cs typeface="Calibri"/>
                  </a:rPr>
                  <a:pPr algn="ctr"/>
                  <a:t>NORMAL</a:t>
                </a:fld>
                <a:endParaRPr lang="es-PE" sz="3200" b="1">
                  <a:solidFill>
                    <a:schemeClr val="accent2">
                      <a:lumMod val="75000"/>
                    </a:schemeClr>
                  </a:solidFill>
                </a:endParaRPr>
              </a:p>
            </xdr:txBody>
          </xdr:sp>
          <xdr:sp macro="" textlink="">
            <xdr:nvSpPr>
              <xdr:cNvPr id="250" name="Rectángulo: esquinas redondeadas 4138">
                <a:extLst>
                  <a:ext uri="{FF2B5EF4-FFF2-40B4-BE49-F238E27FC236}">
                    <a16:creationId xmlns:a16="http://schemas.microsoft.com/office/drawing/2014/main" id="{05506C6E-D791-6A34-25A7-D44290BC8B70}"/>
                  </a:ext>
                </a:extLst>
              </xdr:cNvPr>
              <xdr:cNvSpPr/>
            </xdr:nvSpPr>
            <xdr:spPr>
              <a:xfrm>
                <a:off x="2084293" y="78272250"/>
                <a:ext cx="2510118" cy="540964"/>
              </a:xfrm>
              <a:prstGeom prst="roundRect">
                <a:avLst/>
              </a:prstGeom>
              <a:grpFill/>
              <a:ln w="38100">
                <a:noFill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s-PE" sz="2800">
                    <a:solidFill>
                      <a:schemeClr val="accent1">
                        <a:lumMod val="5000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Máximo: 30 m³</a:t>
                </a:r>
                <a:endParaRPr lang="en-US" sz="4800" b="1" i="0" u="none" strike="noStrike">
                  <a:solidFill>
                    <a:schemeClr val="accent1">
                      <a:lumMod val="50000"/>
                    </a:schemeClr>
                  </a:solidFill>
                  <a:latin typeface="Calibri"/>
                  <a:ea typeface="Calibri"/>
                  <a:cs typeface="Calibri"/>
                </a:endParaRPr>
              </a:p>
            </xdr:txBody>
          </xdr:sp>
          <xdr:sp macro="" textlink="">
            <xdr:nvSpPr>
              <xdr:cNvPr id="251" name="Rectángulo: esquinas redondeadas 4139">
                <a:extLst>
                  <a:ext uri="{FF2B5EF4-FFF2-40B4-BE49-F238E27FC236}">
                    <a16:creationId xmlns:a16="http://schemas.microsoft.com/office/drawing/2014/main" id="{A5FDB5B0-EF7F-7E13-8E6A-DCCC8A720698}"/>
                  </a:ext>
                </a:extLst>
              </xdr:cNvPr>
              <xdr:cNvSpPr/>
            </xdr:nvSpPr>
            <xdr:spPr>
              <a:xfrm>
                <a:off x="2109791" y="78738414"/>
                <a:ext cx="467563" cy="540964"/>
              </a:xfrm>
              <a:prstGeom prst="roundRect">
                <a:avLst/>
              </a:prstGeom>
              <a:grpFill/>
              <a:ln w="38100">
                <a:noFill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s-PE" sz="1800" b="1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📊 </a:t>
                </a:r>
                <a:endParaRPr lang="en-US" sz="6600" b="1" i="0" u="none" strike="noStrike">
                  <a:solidFill>
                    <a:schemeClr val="accent1">
                      <a:lumMod val="50000"/>
                    </a:schemeClr>
                  </a:solidFill>
                  <a:latin typeface="Calibri"/>
                  <a:ea typeface="Calibri"/>
                  <a:cs typeface="Calibri"/>
                </a:endParaRPr>
              </a:p>
            </xdr:txBody>
          </xdr:sp>
          <xdr:sp macro="" textlink="">
            <xdr:nvSpPr>
              <xdr:cNvPr id="252" name="Rectángulo: esquinas redondeadas 4140">
                <a:extLst>
                  <a:ext uri="{FF2B5EF4-FFF2-40B4-BE49-F238E27FC236}">
                    <a16:creationId xmlns:a16="http://schemas.microsoft.com/office/drawing/2014/main" id="{1FCA7CA9-C2AF-C4CF-5CD7-469BACF540DA}"/>
                  </a:ext>
                </a:extLst>
              </xdr:cNvPr>
              <xdr:cNvSpPr/>
            </xdr:nvSpPr>
            <xdr:spPr>
              <a:xfrm>
                <a:off x="3192280" y="78745137"/>
                <a:ext cx="1413340" cy="540964"/>
              </a:xfrm>
              <a:prstGeom prst="roundRect">
                <a:avLst/>
              </a:prstGeom>
              <a:grpFill/>
              <a:ln w="38100">
                <a:noFill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s-PE" sz="1800" b="1">
                    <a:solidFill>
                      <a:srgbClr val="C00000"/>
                    </a:solidFill>
                    <a:effectLst/>
                    <a:latin typeface="+mn-lt"/>
                    <a:ea typeface="+mn-ea"/>
                    <a:cs typeface="+mn-cs"/>
                  </a:rPr>
                  <a:t>del máximo</a:t>
                </a:r>
                <a:endParaRPr lang="en-US" sz="1800" b="1" i="0" u="none" strike="noStrike">
                  <a:solidFill>
                    <a:srgbClr val="C00000"/>
                  </a:solidFill>
                  <a:latin typeface="Calibri"/>
                  <a:ea typeface="Calibri"/>
                  <a:cs typeface="Calibri"/>
                </a:endParaRPr>
              </a:p>
            </xdr:txBody>
          </xdr:sp>
          <xdr:sp macro="" textlink="$S$335">
            <xdr:nvSpPr>
              <xdr:cNvPr id="253" name="Rectángulo: esquinas redondeadas 4141">
                <a:extLst>
                  <a:ext uri="{FF2B5EF4-FFF2-40B4-BE49-F238E27FC236}">
                    <a16:creationId xmlns:a16="http://schemas.microsoft.com/office/drawing/2014/main" id="{FE9B2034-4177-B2DB-D270-623B680BAFC9}"/>
                  </a:ext>
                </a:extLst>
              </xdr:cNvPr>
              <xdr:cNvSpPr/>
            </xdr:nvSpPr>
            <xdr:spPr>
              <a:xfrm>
                <a:off x="2442881" y="78751860"/>
                <a:ext cx="952500" cy="540964"/>
              </a:xfrm>
              <a:prstGeom prst="roundRect">
                <a:avLst/>
              </a:prstGeom>
              <a:grpFill/>
              <a:ln w="38100">
                <a:noFill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l"/>
                <a:fld id="{A2A70A2A-D58E-474A-B4CC-1DF401B12B04}" type="TxLink">
                  <a:rPr lang="en-US" sz="1800" b="1" i="0" u="none" strike="noStrike">
                    <a:solidFill>
                      <a:srgbClr val="C00000"/>
                    </a:solidFill>
                    <a:latin typeface="Calibri"/>
                    <a:ea typeface="Calibri"/>
                    <a:cs typeface="Calibri"/>
                  </a:rPr>
                  <a:pPr algn="l"/>
                  <a:t>66.7%</a:t>
                </a:fld>
                <a:endParaRPr lang="en-US" sz="1800" b="1" i="0" u="none" strike="noStrike">
                  <a:solidFill>
                    <a:srgbClr val="C00000"/>
                  </a:solidFill>
                  <a:latin typeface="Calibri"/>
                  <a:ea typeface="Calibri"/>
                  <a:cs typeface="Calibri"/>
                </a:endParaRPr>
              </a:p>
            </xdr:txBody>
          </xdr:sp>
        </xdr:grpSp>
        <xdr:grpSp>
          <xdr:nvGrpSpPr>
            <xdr:cNvPr id="174" name="Grupo 4142">
              <a:extLst>
                <a:ext uri="{FF2B5EF4-FFF2-40B4-BE49-F238E27FC236}">
                  <a16:creationId xmlns:a16="http://schemas.microsoft.com/office/drawing/2014/main" id="{F5352ED7-8266-F3B7-6732-16D3ACA30283}"/>
                </a:ext>
              </a:extLst>
            </xdr:cNvPr>
            <xdr:cNvGrpSpPr>
              <a:grpSpLocks noChangeAspect="1"/>
            </xdr:cNvGrpSpPr>
          </xdr:nvGrpSpPr>
          <xdr:grpSpPr>
            <a:xfrm>
              <a:off x="10734421" y="75727645"/>
              <a:ext cx="4578494" cy="3190875"/>
              <a:chOff x="970709" y="75768573"/>
              <a:chExt cx="4586007" cy="3552264"/>
            </a:xfrm>
            <a:noFill/>
          </xdr:grpSpPr>
          <xdr:sp macro="" textlink="">
            <xdr:nvSpPr>
              <xdr:cNvPr id="236" name="Rectángulo: esquinas redondeadas 4143">
                <a:extLst>
                  <a:ext uri="{FF2B5EF4-FFF2-40B4-BE49-F238E27FC236}">
                    <a16:creationId xmlns:a16="http://schemas.microsoft.com/office/drawing/2014/main" id="{384693D6-9327-40AC-2E23-8E414D12BD06}"/>
                  </a:ext>
                </a:extLst>
              </xdr:cNvPr>
              <xdr:cNvSpPr/>
            </xdr:nvSpPr>
            <xdr:spPr>
              <a:xfrm>
                <a:off x="970709" y="75768573"/>
                <a:ext cx="4586007" cy="3552264"/>
              </a:xfrm>
              <a:prstGeom prst="roundRect">
                <a:avLst/>
              </a:prstGeom>
              <a:solidFill>
                <a:schemeClr val="tx2">
                  <a:lumMod val="20000"/>
                  <a:lumOff val="80000"/>
                </a:schemeClr>
              </a:solidFill>
              <a:ln w="38100">
                <a:solidFill>
                  <a:schemeClr val="accent1">
                    <a:lumMod val="50000"/>
                  </a:schemeClr>
                </a:solidFill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s-PE" sz="1100"/>
              </a:p>
            </xdr:txBody>
          </xdr:sp>
          <xdr:sp macro="" textlink="">
            <xdr:nvSpPr>
              <xdr:cNvPr id="237" name="Rectángulo: esquinas redondeadas 4144">
                <a:extLst>
                  <a:ext uri="{FF2B5EF4-FFF2-40B4-BE49-F238E27FC236}">
                    <a16:creationId xmlns:a16="http://schemas.microsoft.com/office/drawing/2014/main" id="{BD7EFA7F-FD19-CD04-839F-7F4DE747F0B5}"/>
                  </a:ext>
                </a:extLst>
              </xdr:cNvPr>
              <xdr:cNvSpPr/>
            </xdr:nvSpPr>
            <xdr:spPr>
              <a:xfrm>
                <a:off x="1271588" y="75864943"/>
                <a:ext cx="3809460" cy="1022818"/>
              </a:xfrm>
              <a:prstGeom prst="roundRect">
                <a:avLst/>
              </a:prstGeom>
              <a:grpFill/>
              <a:ln w="38100">
                <a:noFill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es-PE" sz="4800" b="1">
                    <a:solidFill>
                      <a:schemeClr val="accent1">
                        <a:lumMod val="75000"/>
                      </a:schemeClr>
                    </a:solidFill>
                    <a:effectLst/>
                  </a:rPr>
                  <a:t>🏭CALDERAS</a:t>
                </a:r>
                <a:endParaRPr lang="es-PE" sz="4800" b="1">
                  <a:solidFill>
                    <a:schemeClr val="accent1">
                      <a:lumMod val="75000"/>
                    </a:schemeClr>
                  </a:solidFill>
                </a:endParaRPr>
              </a:p>
            </xdr:txBody>
          </xdr:sp>
          <xdr:sp macro="" textlink="$U$336">
            <xdr:nvSpPr>
              <xdr:cNvPr id="238" name="Rectángulo: esquinas redondeadas 4145">
                <a:extLst>
                  <a:ext uri="{FF2B5EF4-FFF2-40B4-BE49-F238E27FC236}">
                    <a16:creationId xmlns:a16="http://schemas.microsoft.com/office/drawing/2014/main" id="{7A4EA291-20DE-ECC7-80CF-40EC866304FE}"/>
                  </a:ext>
                </a:extLst>
              </xdr:cNvPr>
              <xdr:cNvSpPr/>
            </xdr:nvSpPr>
            <xdr:spPr>
              <a:xfrm>
                <a:off x="1882587" y="76681853"/>
                <a:ext cx="2958354" cy="1199029"/>
              </a:xfrm>
              <a:prstGeom prst="roundRect">
                <a:avLst/>
              </a:prstGeom>
              <a:grpFill/>
              <a:ln w="38100">
                <a:noFill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E22617D8-5C83-4C5F-91DD-CB0CC72925A9}" type="TxLink">
                  <a:rPr lang="en-US" sz="8000" b="0" i="0" u="none" strike="noStrike">
                    <a:solidFill>
                      <a:schemeClr val="accent1">
                        <a:lumMod val="60000"/>
                        <a:lumOff val="40000"/>
                      </a:schemeClr>
                    </a:solidFill>
                    <a:latin typeface="Calibri"/>
                    <a:ea typeface="Calibri"/>
                    <a:cs typeface="Calibri"/>
                  </a:rPr>
                  <a:pPr algn="ctr"/>
                  <a:t>0.363 m3</a:t>
                </a:fld>
                <a:endParaRPr lang="es-PE" sz="8000">
                  <a:solidFill>
                    <a:schemeClr val="accent1">
                      <a:lumMod val="60000"/>
                      <a:lumOff val="40000"/>
                    </a:schemeClr>
                  </a:solidFill>
                </a:endParaRPr>
              </a:p>
            </xdr:txBody>
          </xdr:sp>
          <xdr:sp macro="" textlink="">
            <xdr:nvSpPr>
              <xdr:cNvPr id="239" name="Rectángulo: esquinas redondeadas 4146">
                <a:extLst>
                  <a:ext uri="{FF2B5EF4-FFF2-40B4-BE49-F238E27FC236}">
                    <a16:creationId xmlns:a16="http://schemas.microsoft.com/office/drawing/2014/main" id="{BC09DDE9-92A8-87DC-2C08-DFCC2D6F5ACC}"/>
                  </a:ext>
                </a:extLst>
              </xdr:cNvPr>
              <xdr:cNvSpPr/>
            </xdr:nvSpPr>
            <xdr:spPr>
              <a:xfrm>
                <a:off x="1932736" y="77709713"/>
                <a:ext cx="633412" cy="540964"/>
              </a:xfrm>
              <a:prstGeom prst="roundRect">
                <a:avLst/>
              </a:prstGeom>
              <a:grpFill/>
              <a:ln w="38100">
                <a:noFill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l"/>
                <a:r>
                  <a:rPr lang="es-PE" sz="2400" b="0" i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🎯 </a:t>
                </a:r>
                <a:endParaRPr lang="es-PE" sz="8800">
                  <a:solidFill>
                    <a:schemeClr val="accent1">
                      <a:lumMod val="75000"/>
                    </a:schemeClr>
                  </a:solidFill>
                </a:endParaRPr>
              </a:p>
            </xdr:txBody>
          </xdr:sp>
          <xdr:sp macro="" textlink="$R$336">
            <xdr:nvSpPr>
              <xdr:cNvPr id="240" name="Rectángulo: esquinas redondeadas 4147">
                <a:extLst>
                  <a:ext uri="{FF2B5EF4-FFF2-40B4-BE49-F238E27FC236}">
                    <a16:creationId xmlns:a16="http://schemas.microsoft.com/office/drawing/2014/main" id="{10503EBB-5CE0-0C9B-4590-41CDCD4173BB}"/>
                  </a:ext>
                </a:extLst>
              </xdr:cNvPr>
              <xdr:cNvSpPr/>
            </xdr:nvSpPr>
            <xdr:spPr>
              <a:xfrm>
                <a:off x="2253225" y="77724000"/>
                <a:ext cx="2150685" cy="589430"/>
              </a:xfrm>
              <a:prstGeom prst="roundRect">
                <a:avLst/>
              </a:prstGeom>
              <a:grpFill/>
              <a:ln w="38100">
                <a:noFill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5FEA3E42-DCA4-4D52-A65B-CBFBE475CD58}" type="TxLink">
                  <a:rPr lang="en-US" sz="3200" b="1" i="0" u="none" strike="noStrike">
                    <a:solidFill>
                      <a:schemeClr val="accent2">
                        <a:lumMod val="75000"/>
                      </a:schemeClr>
                    </a:solidFill>
                    <a:latin typeface="Calibri"/>
                    <a:ea typeface="Calibri"/>
                    <a:cs typeface="Calibri"/>
                  </a:rPr>
                  <a:pPr algn="ctr"/>
                  <a:t>NORMAL</a:t>
                </a:fld>
                <a:endParaRPr lang="es-PE" sz="3200" b="1">
                  <a:solidFill>
                    <a:schemeClr val="accent2">
                      <a:lumMod val="75000"/>
                    </a:schemeClr>
                  </a:solidFill>
                </a:endParaRPr>
              </a:p>
            </xdr:txBody>
          </xdr:sp>
          <xdr:sp macro="" textlink="">
            <xdr:nvSpPr>
              <xdr:cNvPr id="241" name="Rectángulo: esquinas redondeadas 4148">
                <a:extLst>
                  <a:ext uri="{FF2B5EF4-FFF2-40B4-BE49-F238E27FC236}">
                    <a16:creationId xmlns:a16="http://schemas.microsoft.com/office/drawing/2014/main" id="{D588AB63-62AE-0B99-1F1F-2B218F4ACF72}"/>
                  </a:ext>
                </a:extLst>
              </xdr:cNvPr>
              <xdr:cNvSpPr/>
            </xdr:nvSpPr>
            <xdr:spPr>
              <a:xfrm>
                <a:off x="2084293" y="78272250"/>
                <a:ext cx="2510118" cy="540964"/>
              </a:xfrm>
              <a:prstGeom prst="roundRect">
                <a:avLst/>
              </a:prstGeom>
              <a:grpFill/>
              <a:ln w="38100">
                <a:noFill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s-PE" sz="2800">
                    <a:solidFill>
                      <a:schemeClr val="accent1">
                        <a:lumMod val="5000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Máximo: 05 m³</a:t>
                </a:r>
                <a:endParaRPr lang="en-US" sz="4800" b="1" i="0" u="none" strike="noStrike">
                  <a:solidFill>
                    <a:schemeClr val="accent1">
                      <a:lumMod val="50000"/>
                    </a:schemeClr>
                  </a:solidFill>
                  <a:latin typeface="Calibri"/>
                  <a:ea typeface="Calibri"/>
                  <a:cs typeface="Calibri"/>
                </a:endParaRPr>
              </a:p>
            </xdr:txBody>
          </xdr:sp>
          <xdr:sp macro="" textlink="">
            <xdr:nvSpPr>
              <xdr:cNvPr id="242" name="Rectángulo: esquinas redondeadas 4149">
                <a:extLst>
                  <a:ext uri="{FF2B5EF4-FFF2-40B4-BE49-F238E27FC236}">
                    <a16:creationId xmlns:a16="http://schemas.microsoft.com/office/drawing/2014/main" id="{AE2D6CE0-20CF-A898-66E2-8CCAD6E4785B}"/>
                  </a:ext>
                </a:extLst>
              </xdr:cNvPr>
              <xdr:cNvSpPr/>
            </xdr:nvSpPr>
            <xdr:spPr>
              <a:xfrm>
                <a:off x="2109791" y="78738414"/>
                <a:ext cx="467563" cy="540964"/>
              </a:xfrm>
              <a:prstGeom prst="roundRect">
                <a:avLst/>
              </a:prstGeom>
              <a:grpFill/>
              <a:ln w="38100">
                <a:noFill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s-PE" sz="1800" b="1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📊 </a:t>
                </a:r>
                <a:endParaRPr lang="en-US" sz="6600" b="1" i="0" u="none" strike="noStrike">
                  <a:solidFill>
                    <a:schemeClr val="accent1">
                      <a:lumMod val="50000"/>
                    </a:schemeClr>
                  </a:solidFill>
                  <a:latin typeface="Calibri"/>
                  <a:ea typeface="Calibri"/>
                  <a:cs typeface="Calibri"/>
                </a:endParaRPr>
              </a:p>
            </xdr:txBody>
          </xdr:sp>
          <xdr:sp macro="" textlink="">
            <xdr:nvSpPr>
              <xdr:cNvPr id="243" name="Rectángulo: esquinas redondeadas 4150">
                <a:extLst>
                  <a:ext uri="{FF2B5EF4-FFF2-40B4-BE49-F238E27FC236}">
                    <a16:creationId xmlns:a16="http://schemas.microsoft.com/office/drawing/2014/main" id="{EED7F6A9-569F-9623-C208-2DDC307ED01E}"/>
                  </a:ext>
                </a:extLst>
              </xdr:cNvPr>
              <xdr:cNvSpPr/>
            </xdr:nvSpPr>
            <xdr:spPr>
              <a:xfrm>
                <a:off x="3192280" y="78745137"/>
                <a:ext cx="1413340" cy="540964"/>
              </a:xfrm>
              <a:prstGeom prst="roundRect">
                <a:avLst/>
              </a:prstGeom>
              <a:grpFill/>
              <a:ln w="38100">
                <a:noFill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s-PE" sz="1800" b="1">
                    <a:solidFill>
                      <a:srgbClr val="C00000"/>
                    </a:solidFill>
                    <a:effectLst/>
                    <a:latin typeface="+mn-lt"/>
                    <a:ea typeface="+mn-ea"/>
                    <a:cs typeface="+mn-cs"/>
                  </a:rPr>
                  <a:t>del máximo</a:t>
                </a:r>
                <a:endParaRPr lang="en-US" sz="1800" b="1" i="0" u="none" strike="noStrike">
                  <a:solidFill>
                    <a:srgbClr val="C00000"/>
                  </a:solidFill>
                  <a:latin typeface="Calibri"/>
                  <a:ea typeface="Calibri"/>
                  <a:cs typeface="Calibri"/>
                </a:endParaRPr>
              </a:p>
            </xdr:txBody>
          </xdr:sp>
          <xdr:sp macro="" textlink="$S$336">
            <xdr:nvSpPr>
              <xdr:cNvPr id="244" name="Rectángulo: esquinas redondeadas 4151">
                <a:extLst>
                  <a:ext uri="{FF2B5EF4-FFF2-40B4-BE49-F238E27FC236}">
                    <a16:creationId xmlns:a16="http://schemas.microsoft.com/office/drawing/2014/main" id="{925428C3-2198-C0AC-5615-BAA62ED99403}"/>
                  </a:ext>
                </a:extLst>
              </xdr:cNvPr>
              <xdr:cNvSpPr/>
            </xdr:nvSpPr>
            <xdr:spPr>
              <a:xfrm>
                <a:off x="2442881" y="78751860"/>
                <a:ext cx="952500" cy="540964"/>
              </a:xfrm>
              <a:prstGeom prst="roundRect">
                <a:avLst/>
              </a:prstGeom>
              <a:grpFill/>
              <a:ln w="38100">
                <a:noFill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l"/>
                <a:fld id="{274E680B-1E88-481C-9DA7-8A2CC6A783EA}" type="TxLink">
                  <a:rPr lang="en-US" sz="1800" b="1" i="0" u="none" strike="noStrike">
                    <a:solidFill>
                      <a:srgbClr val="C00000"/>
                    </a:solidFill>
                    <a:latin typeface="Calibri"/>
                    <a:ea typeface="Calibri"/>
                    <a:cs typeface="Calibri"/>
                  </a:rPr>
                  <a:pPr algn="l"/>
                  <a:t>7.3%</a:t>
                </a:fld>
                <a:endParaRPr lang="en-US" sz="1800" b="1" i="0" u="none" strike="noStrike">
                  <a:solidFill>
                    <a:srgbClr val="C00000"/>
                  </a:solidFill>
                  <a:latin typeface="Calibri"/>
                  <a:ea typeface="Calibri"/>
                  <a:cs typeface="Calibri"/>
                </a:endParaRPr>
              </a:p>
            </xdr:txBody>
          </xdr:sp>
        </xdr:grpSp>
        <xdr:grpSp>
          <xdr:nvGrpSpPr>
            <xdr:cNvPr id="175" name="Grupo 4152">
              <a:extLst>
                <a:ext uri="{FF2B5EF4-FFF2-40B4-BE49-F238E27FC236}">
                  <a16:creationId xmlns:a16="http://schemas.microsoft.com/office/drawing/2014/main" id="{0B566C39-72E0-493F-C2E6-BFD82E960D39}"/>
                </a:ext>
              </a:extLst>
            </xdr:cNvPr>
            <xdr:cNvGrpSpPr>
              <a:grpSpLocks noChangeAspect="1"/>
            </xdr:cNvGrpSpPr>
          </xdr:nvGrpSpPr>
          <xdr:grpSpPr>
            <a:xfrm>
              <a:off x="20691076" y="75763147"/>
              <a:ext cx="4584989" cy="3186545"/>
              <a:chOff x="970709" y="75768573"/>
              <a:chExt cx="4586007" cy="3552264"/>
            </a:xfrm>
            <a:noFill/>
          </xdr:grpSpPr>
          <xdr:sp macro="" textlink="">
            <xdr:nvSpPr>
              <xdr:cNvPr id="231" name="Rectángulo: esquinas redondeadas 4153">
                <a:extLst>
                  <a:ext uri="{FF2B5EF4-FFF2-40B4-BE49-F238E27FC236}">
                    <a16:creationId xmlns:a16="http://schemas.microsoft.com/office/drawing/2014/main" id="{D8BD96D7-5D94-EE29-B30D-BB39B15B2BF0}"/>
                  </a:ext>
                </a:extLst>
              </xdr:cNvPr>
              <xdr:cNvSpPr/>
            </xdr:nvSpPr>
            <xdr:spPr>
              <a:xfrm>
                <a:off x="970709" y="75768573"/>
                <a:ext cx="4586007" cy="3552264"/>
              </a:xfrm>
              <a:prstGeom prst="roundRect">
                <a:avLst/>
              </a:prstGeom>
              <a:solidFill>
                <a:srgbClr val="F0A197"/>
              </a:solidFill>
              <a:ln w="38100">
                <a:solidFill>
                  <a:schemeClr val="accent2">
                    <a:lumMod val="50000"/>
                  </a:schemeClr>
                </a:solidFill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s-PE" sz="1100"/>
              </a:p>
            </xdr:txBody>
          </xdr:sp>
          <xdr:sp macro="" textlink="">
            <xdr:nvSpPr>
              <xdr:cNvPr id="232" name="Rectángulo: esquinas redondeadas 4154">
                <a:extLst>
                  <a:ext uri="{FF2B5EF4-FFF2-40B4-BE49-F238E27FC236}">
                    <a16:creationId xmlns:a16="http://schemas.microsoft.com/office/drawing/2014/main" id="{4F31DBC1-EAA3-2595-3229-A9B11F927AF6}"/>
                  </a:ext>
                </a:extLst>
              </xdr:cNvPr>
              <xdr:cNvSpPr/>
            </xdr:nvSpPr>
            <xdr:spPr>
              <a:xfrm>
                <a:off x="1271588" y="75864943"/>
                <a:ext cx="3530134" cy="1022818"/>
              </a:xfrm>
              <a:prstGeom prst="roundRect">
                <a:avLst/>
              </a:prstGeom>
              <a:grpFill/>
              <a:ln w="38100">
                <a:noFill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es-PE" sz="4800">
                    <a:effectLst/>
                  </a:rPr>
                  <a:t>🔥</a:t>
                </a:r>
                <a:r>
                  <a:rPr lang="es-PE" sz="4800" b="1">
                    <a:solidFill>
                      <a:schemeClr val="accent2">
                        <a:lumMod val="50000"/>
                      </a:schemeClr>
                    </a:solidFill>
                    <a:effectLst/>
                  </a:rPr>
                  <a:t>GLP</a:t>
                </a:r>
                <a:endParaRPr lang="es-PE" sz="4800" b="1">
                  <a:solidFill>
                    <a:schemeClr val="accent2">
                      <a:lumMod val="50000"/>
                    </a:schemeClr>
                  </a:solidFill>
                </a:endParaRPr>
              </a:p>
            </xdr:txBody>
          </xdr:sp>
          <xdr:sp macro="" textlink="$P$338">
            <xdr:nvSpPr>
              <xdr:cNvPr id="233" name="Rectángulo: esquinas redondeadas 4155">
                <a:extLst>
                  <a:ext uri="{FF2B5EF4-FFF2-40B4-BE49-F238E27FC236}">
                    <a16:creationId xmlns:a16="http://schemas.microsoft.com/office/drawing/2014/main" id="{0A0AFCA3-5CB5-B05D-870B-72421DE916F9}"/>
                  </a:ext>
                </a:extLst>
              </xdr:cNvPr>
              <xdr:cNvSpPr/>
            </xdr:nvSpPr>
            <xdr:spPr>
              <a:xfrm>
                <a:off x="1290988" y="76681853"/>
                <a:ext cx="3845490" cy="1708715"/>
              </a:xfrm>
              <a:prstGeom prst="roundRect">
                <a:avLst/>
              </a:prstGeom>
              <a:grpFill/>
              <a:ln w="38100">
                <a:noFill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6CD97F70-6239-4DC7-9E6C-552826ED9428}" type="TxLink">
                  <a:rPr lang="en-US" sz="13800" b="0" i="0" u="none" strike="noStrike">
                    <a:solidFill>
                      <a:schemeClr val="accent4">
                        <a:lumMod val="20000"/>
                        <a:lumOff val="80000"/>
                      </a:schemeClr>
                    </a:solidFill>
                    <a:latin typeface="Calibri"/>
                    <a:ea typeface="Calibri"/>
                    <a:cs typeface="Calibri"/>
                  </a:rPr>
                  <a:pPr algn="ctr"/>
                  <a:t>48%</a:t>
                </a:fld>
                <a:endParaRPr lang="es-PE" sz="13800">
                  <a:solidFill>
                    <a:schemeClr val="accent4">
                      <a:lumMod val="20000"/>
                      <a:lumOff val="80000"/>
                    </a:schemeClr>
                  </a:solidFill>
                </a:endParaRPr>
              </a:p>
            </xdr:txBody>
          </xdr:sp>
          <xdr:sp macro="" textlink="">
            <xdr:nvSpPr>
              <xdr:cNvPr id="234" name="Rectángulo: esquinas redondeadas 4156">
                <a:extLst>
                  <a:ext uri="{FF2B5EF4-FFF2-40B4-BE49-F238E27FC236}">
                    <a16:creationId xmlns:a16="http://schemas.microsoft.com/office/drawing/2014/main" id="{8A7E2DCE-8DEB-478E-F3E4-A1DE0AAA5B4D}"/>
                  </a:ext>
                </a:extLst>
              </xdr:cNvPr>
              <xdr:cNvSpPr/>
            </xdr:nvSpPr>
            <xdr:spPr>
              <a:xfrm>
                <a:off x="1655583" y="78413133"/>
                <a:ext cx="633412" cy="540964"/>
              </a:xfrm>
              <a:prstGeom prst="roundRect">
                <a:avLst/>
              </a:prstGeom>
              <a:grpFill/>
              <a:ln w="38100">
                <a:noFill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l"/>
                <a:r>
                  <a:rPr lang="es-PE" sz="2400" b="0" i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🎯 </a:t>
                </a:r>
                <a:endParaRPr lang="es-PE" sz="8800">
                  <a:solidFill>
                    <a:schemeClr val="accent1">
                      <a:lumMod val="75000"/>
                    </a:schemeClr>
                  </a:solidFill>
                </a:endParaRPr>
              </a:p>
            </xdr:txBody>
          </xdr:sp>
          <xdr:sp macro="" textlink="$R$338">
            <xdr:nvSpPr>
              <xdr:cNvPr id="235" name="Rectángulo: esquinas redondeadas 4157">
                <a:extLst>
                  <a:ext uri="{FF2B5EF4-FFF2-40B4-BE49-F238E27FC236}">
                    <a16:creationId xmlns:a16="http://schemas.microsoft.com/office/drawing/2014/main" id="{B6619A4C-9F05-3F64-ECCB-FC4585DD00CD}"/>
                  </a:ext>
                </a:extLst>
              </xdr:cNvPr>
              <xdr:cNvSpPr/>
            </xdr:nvSpPr>
            <xdr:spPr>
              <a:xfrm>
                <a:off x="2028038" y="78445003"/>
                <a:ext cx="2710033" cy="589430"/>
              </a:xfrm>
              <a:prstGeom prst="roundRect">
                <a:avLst/>
              </a:prstGeom>
              <a:grpFill/>
              <a:ln w="38100">
                <a:noFill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A91FCF54-73BE-4858-ADD0-67B8F618F1ED}" type="TxLink">
                  <a:rPr lang="en-US" sz="3200" b="1" i="0" u="none" strike="noStrike">
                    <a:solidFill>
                      <a:schemeClr val="accent2">
                        <a:lumMod val="75000"/>
                      </a:schemeClr>
                    </a:solidFill>
                    <a:latin typeface="Calibri"/>
                    <a:ea typeface="Calibri"/>
                    <a:cs typeface="Calibri"/>
                  </a:rPr>
                  <a:pPr algn="ctr"/>
                  <a:t>PRECAUCIÓN</a:t>
                </a:fld>
                <a:endParaRPr lang="es-PE" sz="3200" b="1">
                  <a:solidFill>
                    <a:schemeClr val="accent2">
                      <a:lumMod val="75000"/>
                    </a:schemeClr>
                  </a:solidFill>
                </a:endParaRPr>
              </a:p>
            </xdr:txBody>
          </xdr:sp>
        </xdr:grpSp>
        <xdr:grpSp>
          <xdr:nvGrpSpPr>
            <xdr:cNvPr id="176" name="Grupo 80">
              <a:extLst>
                <a:ext uri="{FF2B5EF4-FFF2-40B4-BE49-F238E27FC236}">
                  <a16:creationId xmlns:a16="http://schemas.microsoft.com/office/drawing/2014/main" id="{09107A08-C73D-1A28-B299-523A85035E34}"/>
                </a:ext>
              </a:extLst>
            </xdr:cNvPr>
            <xdr:cNvGrpSpPr>
              <a:grpSpLocks noChangeAspect="1"/>
            </xdr:cNvGrpSpPr>
          </xdr:nvGrpSpPr>
          <xdr:grpSpPr>
            <a:xfrm>
              <a:off x="15725953" y="75759684"/>
              <a:ext cx="4576330" cy="3186545"/>
              <a:chOff x="970709" y="75768573"/>
              <a:chExt cx="4586007" cy="3552264"/>
            </a:xfrm>
            <a:noFill/>
          </xdr:grpSpPr>
          <xdr:sp macro="" textlink="">
            <xdr:nvSpPr>
              <xdr:cNvPr id="222" name="Rectángulo: esquinas redondeadas 82">
                <a:extLst>
                  <a:ext uri="{FF2B5EF4-FFF2-40B4-BE49-F238E27FC236}">
                    <a16:creationId xmlns:a16="http://schemas.microsoft.com/office/drawing/2014/main" id="{1FBAE972-8BF4-DDB2-494C-0AD1511B80CE}"/>
                  </a:ext>
                </a:extLst>
              </xdr:cNvPr>
              <xdr:cNvSpPr/>
            </xdr:nvSpPr>
            <xdr:spPr>
              <a:xfrm>
                <a:off x="970709" y="75768573"/>
                <a:ext cx="4586007" cy="3552264"/>
              </a:xfrm>
              <a:prstGeom prst="roundRect">
                <a:avLst/>
              </a:prstGeom>
              <a:solidFill>
                <a:schemeClr val="tx2">
                  <a:lumMod val="20000"/>
                  <a:lumOff val="80000"/>
                </a:schemeClr>
              </a:solidFill>
              <a:ln w="38100">
                <a:solidFill>
                  <a:schemeClr val="accent1">
                    <a:lumMod val="50000"/>
                  </a:schemeClr>
                </a:solidFill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s-PE" sz="1100"/>
              </a:p>
            </xdr:txBody>
          </xdr:sp>
          <xdr:sp macro="" textlink="">
            <xdr:nvSpPr>
              <xdr:cNvPr id="223" name="Rectángulo: esquinas redondeadas 83">
                <a:extLst>
                  <a:ext uri="{FF2B5EF4-FFF2-40B4-BE49-F238E27FC236}">
                    <a16:creationId xmlns:a16="http://schemas.microsoft.com/office/drawing/2014/main" id="{9079B0EA-A1DB-1B3E-0080-DBD84B7B1FA4}"/>
                  </a:ext>
                </a:extLst>
              </xdr:cNvPr>
              <xdr:cNvSpPr/>
            </xdr:nvSpPr>
            <xdr:spPr>
              <a:xfrm>
                <a:off x="1271588" y="75864943"/>
                <a:ext cx="3851033" cy="1022818"/>
              </a:xfrm>
              <a:prstGeom prst="roundRect">
                <a:avLst/>
              </a:prstGeom>
              <a:grpFill/>
              <a:ln w="38100">
                <a:noFill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es-PE" sz="4800" b="0" i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💧</a:t>
                </a:r>
                <a:r>
                  <a:rPr lang="es-PE" sz="4800" b="1" i="0">
                    <a:solidFill>
                      <a:schemeClr val="accent1">
                        <a:lumMod val="7500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PTAR</a:t>
                </a:r>
                <a:endParaRPr lang="es-PE" sz="4800">
                  <a:solidFill>
                    <a:schemeClr val="accent1">
                      <a:lumMod val="75000"/>
                    </a:schemeClr>
                  </a:solidFill>
                </a:endParaRPr>
              </a:p>
            </xdr:txBody>
          </xdr:sp>
          <xdr:sp macro="" textlink="$U$337">
            <xdr:nvSpPr>
              <xdr:cNvPr id="224" name="Rectángulo: esquinas redondeadas 84">
                <a:extLst>
                  <a:ext uri="{FF2B5EF4-FFF2-40B4-BE49-F238E27FC236}">
                    <a16:creationId xmlns:a16="http://schemas.microsoft.com/office/drawing/2014/main" id="{4ADF8AE4-CD9A-8341-6C28-BA8F3E7B219D}"/>
                  </a:ext>
                </a:extLst>
              </xdr:cNvPr>
              <xdr:cNvSpPr/>
            </xdr:nvSpPr>
            <xdr:spPr>
              <a:xfrm>
                <a:off x="1882587" y="76681853"/>
                <a:ext cx="2958354" cy="1199029"/>
              </a:xfrm>
              <a:prstGeom prst="roundRect">
                <a:avLst/>
              </a:prstGeom>
              <a:grpFill/>
              <a:ln w="38100">
                <a:noFill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C0403AC4-9326-4E94-8CE0-C1E7BE7ADDA4}" type="TxLink">
                  <a:rPr lang="en-US" sz="8000" b="0" i="0" u="none" strike="noStrike">
                    <a:solidFill>
                      <a:schemeClr val="accent1">
                        <a:lumMod val="60000"/>
                        <a:lumOff val="40000"/>
                      </a:schemeClr>
                    </a:solidFill>
                    <a:latin typeface="Calibri"/>
                    <a:ea typeface="Calibri"/>
                    <a:cs typeface="Calibri"/>
                  </a:rPr>
                  <a:pPr algn="ctr"/>
                  <a:t>7 m3</a:t>
                </a:fld>
                <a:endParaRPr lang="es-PE" sz="8000">
                  <a:solidFill>
                    <a:schemeClr val="accent1">
                      <a:lumMod val="60000"/>
                      <a:lumOff val="40000"/>
                    </a:schemeClr>
                  </a:solidFill>
                </a:endParaRPr>
              </a:p>
            </xdr:txBody>
          </xdr:sp>
          <xdr:sp macro="" textlink="">
            <xdr:nvSpPr>
              <xdr:cNvPr id="225" name="Rectángulo: esquinas redondeadas 85">
                <a:extLst>
                  <a:ext uri="{FF2B5EF4-FFF2-40B4-BE49-F238E27FC236}">
                    <a16:creationId xmlns:a16="http://schemas.microsoft.com/office/drawing/2014/main" id="{A7352A04-2B1F-806A-6B6F-0C6AFD4C8CFA}"/>
                  </a:ext>
                </a:extLst>
              </xdr:cNvPr>
              <xdr:cNvSpPr/>
            </xdr:nvSpPr>
            <xdr:spPr>
              <a:xfrm>
                <a:off x="1932736" y="77709713"/>
                <a:ext cx="633412" cy="540964"/>
              </a:xfrm>
              <a:prstGeom prst="roundRect">
                <a:avLst/>
              </a:prstGeom>
              <a:grpFill/>
              <a:ln w="38100">
                <a:noFill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l"/>
                <a:r>
                  <a:rPr lang="es-PE" sz="2400" b="0" i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🎯 </a:t>
                </a:r>
                <a:endParaRPr lang="es-PE" sz="8800">
                  <a:solidFill>
                    <a:schemeClr val="accent1">
                      <a:lumMod val="75000"/>
                    </a:schemeClr>
                  </a:solidFill>
                </a:endParaRPr>
              </a:p>
            </xdr:txBody>
          </xdr:sp>
          <xdr:sp macro="" textlink="$R$337">
            <xdr:nvSpPr>
              <xdr:cNvPr id="226" name="Rectángulo: esquinas redondeadas 87">
                <a:extLst>
                  <a:ext uri="{FF2B5EF4-FFF2-40B4-BE49-F238E27FC236}">
                    <a16:creationId xmlns:a16="http://schemas.microsoft.com/office/drawing/2014/main" id="{163003CB-1410-843F-4951-DBC6863482AE}"/>
                  </a:ext>
                </a:extLst>
              </xdr:cNvPr>
              <xdr:cNvSpPr/>
            </xdr:nvSpPr>
            <xdr:spPr>
              <a:xfrm>
                <a:off x="2253225" y="77724000"/>
                <a:ext cx="2150685" cy="589430"/>
              </a:xfrm>
              <a:prstGeom prst="roundRect">
                <a:avLst/>
              </a:prstGeom>
              <a:grpFill/>
              <a:ln w="38100">
                <a:noFill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0D464F68-A483-489A-9DDA-5427823BC0BC}" type="TxLink">
                  <a:rPr lang="en-US" sz="3200" b="1" i="0" u="none" strike="noStrike">
                    <a:solidFill>
                      <a:schemeClr val="accent2">
                        <a:lumMod val="75000"/>
                      </a:schemeClr>
                    </a:solidFill>
                    <a:latin typeface="Calibri"/>
                    <a:ea typeface="Calibri"/>
                    <a:cs typeface="Calibri"/>
                  </a:rPr>
                  <a:pPr algn="ctr"/>
                  <a:t>NORMAL</a:t>
                </a:fld>
                <a:endParaRPr lang="es-PE" sz="3200" b="1">
                  <a:solidFill>
                    <a:schemeClr val="accent2">
                      <a:lumMod val="75000"/>
                    </a:schemeClr>
                  </a:solidFill>
                </a:endParaRPr>
              </a:p>
            </xdr:txBody>
          </xdr:sp>
          <xdr:sp macro="" textlink="">
            <xdr:nvSpPr>
              <xdr:cNvPr id="227" name="Rectángulo: esquinas redondeadas 89">
                <a:extLst>
                  <a:ext uri="{FF2B5EF4-FFF2-40B4-BE49-F238E27FC236}">
                    <a16:creationId xmlns:a16="http://schemas.microsoft.com/office/drawing/2014/main" id="{7096F61B-2806-F3FE-0AFB-45D312436533}"/>
                  </a:ext>
                </a:extLst>
              </xdr:cNvPr>
              <xdr:cNvSpPr/>
            </xdr:nvSpPr>
            <xdr:spPr>
              <a:xfrm>
                <a:off x="2084293" y="78272250"/>
                <a:ext cx="2510118" cy="540964"/>
              </a:xfrm>
              <a:prstGeom prst="roundRect">
                <a:avLst/>
              </a:prstGeom>
              <a:grpFill/>
              <a:ln w="38100">
                <a:noFill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s-PE" sz="2800">
                    <a:solidFill>
                      <a:schemeClr val="accent1">
                        <a:lumMod val="5000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Máximo: 20 m³</a:t>
                </a:r>
                <a:endParaRPr lang="en-US" sz="4800" b="1" i="0" u="none" strike="noStrike">
                  <a:solidFill>
                    <a:schemeClr val="accent1">
                      <a:lumMod val="50000"/>
                    </a:schemeClr>
                  </a:solidFill>
                  <a:latin typeface="Calibri"/>
                  <a:ea typeface="Calibri"/>
                  <a:cs typeface="Calibri"/>
                </a:endParaRPr>
              </a:p>
            </xdr:txBody>
          </xdr:sp>
          <xdr:sp macro="" textlink="">
            <xdr:nvSpPr>
              <xdr:cNvPr id="228" name="Rectángulo: esquinas redondeadas 96">
                <a:extLst>
                  <a:ext uri="{FF2B5EF4-FFF2-40B4-BE49-F238E27FC236}">
                    <a16:creationId xmlns:a16="http://schemas.microsoft.com/office/drawing/2014/main" id="{61A1CC91-B5D7-75BF-EA1D-68439D52A04E}"/>
                  </a:ext>
                </a:extLst>
              </xdr:cNvPr>
              <xdr:cNvSpPr/>
            </xdr:nvSpPr>
            <xdr:spPr>
              <a:xfrm>
                <a:off x="2109791" y="78738414"/>
                <a:ext cx="467563" cy="540964"/>
              </a:xfrm>
              <a:prstGeom prst="roundRect">
                <a:avLst/>
              </a:prstGeom>
              <a:grpFill/>
              <a:ln w="38100">
                <a:noFill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s-PE" sz="1800" b="1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📊 </a:t>
                </a:r>
                <a:endParaRPr lang="en-US" sz="6600" b="1" i="0" u="none" strike="noStrike">
                  <a:solidFill>
                    <a:schemeClr val="accent1">
                      <a:lumMod val="50000"/>
                    </a:schemeClr>
                  </a:solidFill>
                  <a:latin typeface="Calibri"/>
                  <a:ea typeface="Calibri"/>
                  <a:cs typeface="Calibri"/>
                </a:endParaRPr>
              </a:p>
            </xdr:txBody>
          </xdr:sp>
          <xdr:sp macro="" textlink="">
            <xdr:nvSpPr>
              <xdr:cNvPr id="229" name="Rectángulo: esquinas redondeadas 97">
                <a:extLst>
                  <a:ext uri="{FF2B5EF4-FFF2-40B4-BE49-F238E27FC236}">
                    <a16:creationId xmlns:a16="http://schemas.microsoft.com/office/drawing/2014/main" id="{01B3381C-002C-EA76-FCBA-E750DF1141F2}"/>
                  </a:ext>
                </a:extLst>
              </xdr:cNvPr>
              <xdr:cNvSpPr/>
            </xdr:nvSpPr>
            <xdr:spPr>
              <a:xfrm>
                <a:off x="3192280" y="78745137"/>
                <a:ext cx="1413340" cy="540964"/>
              </a:xfrm>
              <a:prstGeom prst="roundRect">
                <a:avLst/>
              </a:prstGeom>
              <a:grpFill/>
              <a:ln w="38100">
                <a:noFill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s-PE" sz="1800" b="1">
                    <a:solidFill>
                      <a:srgbClr val="C00000"/>
                    </a:solidFill>
                    <a:effectLst/>
                    <a:latin typeface="+mn-lt"/>
                    <a:ea typeface="+mn-ea"/>
                    <a:cs typeface="+mn-cs"/>
                  </a:rPr>
                  <a:t>del máximo</a:t>
                </a:r>
                <a:endParaRPr lang="en-US" sz="1800" b="1" i="0" u="none" strike="noStrike">
                  <a:solidFill>
                    <a:srgbClr val="C00000"/>
                  </a:solidFill>
                  <a:latin typeface="Calibri"/>
                  <a:ea typeface="Calibri"/>
                  <a:cs typeface="Calibri"/>
                </a:endParaRPr>
              </a:p>
            </xdr:txBody>
          </xdr:sp>
          <xdr:sp macro="" textlink="$S$337">
            <xdr:nvSpPr>
              <xdr:cNvPr id="230" name="Rectángulo: esquinas redondeadas 105">
                <a:extLst>
                  <a:ext uri="{FF2B5EF4-FFF2-40B4-BE49-F238E27FC236}">
                    <a16:creationId xmlns:a16="http://schemas.microsoft.com/office/drawing/2014/main" id="{B82BA51B-F500-33AE-215D-7EECA0DCE48C}"/>
                  </a:ext>
                </a:extLst>
              </xdr:cNvPr>
              <xdr:cNvSpPr/>
            </xdr:nvSpPr>
            <xdr:spPr>
              <a:xfrm>
                <a:off x="2442881" y="78734275"/>
                <a:ext cx="952500" cy="540964"/>
              </a:xfrm>
              <a:prstGeom prst="roundRect">
                <a:avLst/>
              </a:prstGeom>
              <a:grpFill/>
              <a:ln w="38100">
                <a:noFill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l"/>
                <a:fld id="{32EBA607-F8A3-4E55-8BC4-75A97F42DCA3}" type="TxLink">
                  <a:rPr lang="en-US" sz="2000" b="1" i="0" u="none" strike="noStrike">
                    <a:solidFill>
                      <a:srgbClr val="C00000"/>
                    </a:solidFill>
                    <a:latin typeface="Calibri"/>
                    <a:ea typeface="Calibri"/>
                    <a:cs typeface="Calibri"/>
                  </a:rPr>
                  <a:pPr algn="l"/>
                  <a:t>35.0%</a:t>
                </a:fld>
                <a:endParaRPr lang="en-US" sz="1800" b="1" i="0" u="none" strike="noStrike">
                  <a:solidFill>
                    <a:srgbClr val="C00000"/>
                  </a:solidFill>
                  <a:latin typeface="Calibri"/>
                  <a:ea typeface="Calibri"/>
                  <a:cs typeface="Calibri"/>
                </a:endParaRPr>
              </a:p>
            </xdr:txBody>
          </xdr:sp>
        </xdr:grpSp>
        <xdr:grpSp>
          <xdr:nvGrpSpPr>
            <xdr:cNvPr id="177" name="Grupo 107">
              <a:extLst>
                <a:ext uri="{FF2B5EF4-FFF2-40B4-BE49-F238E27FC236}">
                  <a16:creationId xmlns:a16="http://schemas.microsoft.com/office/drawing/2014/main" id="{6A546C1C-3285-F0A9-BE32-FA3A4D2C9FE4}"/>
                </a:ext>
              </a:extLst>
            </xdr:cNvPr>
            <xdr:cNvGrpSpPr>
              <a:grpSpLocks noChangeAspect="1"/>
            </xdr:cNvGrpSpPr>
          </xdr:nvGrpSpPr>
          <xdr:grpSpPr>
            <a:xfrm>
              <a:off x="786732" y="79209898"/>
              <a:ext cx="4595813" cy="3524250"/>
              <a:chOff x="970709" y="75768573"/>
              <a:chExt cx="4586007" cy="3552264"/>
            </a:xfrm>
            <a:noFill/>
          </xdr:grpSpPr>
          <xdr:sp macro="" textlink="">
            <xdr:nvSpPr>
              <xdr:cNvPr id="214" name="Rectángulo: esquinas redondeadas 108">
                <a:extLst>
                  <a:ext uri="{FF2B5EF4-FFF2-40B4-BE49-F238E27FC236}">
                    <a16:creationId xmlns:a16="http://schemas.microsoft.com/office/drawing/2014/main" id="{8ACB3177-633F-438E-0BCB-2C77B7FDE667}"/>
                  </a:ext>
                </a:extLst>
              </xdr:cNvPr>
              <xdr:cNvSpPr/>
            </xdr:nvSpPr>
            <xdr:spPr>
              <a:xfrm>
                <a:off x="970709" y="75768573"/>
                <a:ext cx="4586007" cy="3552264"/>
              </a:xfrm>
              <a:prstGeom prst="roundRect">
                <a:avLst/>
              </a:prstGeom>
              <a:solidFill>
                <a:schemeClr val="accent4">
                  <a:lumMod val="20000"/>
                  <a:lumOff val="80000"/>
                </a:schemeClr>
              </a:solidFill>
              <a:ln w="38100">
                <a:solidFill>
                  <a:schemeClr val="accent4">
                    <a:lumMod val="50000"/>
                  </a:schemeClr>
                </a:solidFill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s-PE" sz="1100"/>
              </a:p>
            </xdr:txBody>
          </xdr:sp>
          <xdr:sp macro="" textlink="">
            <xdr:nvSpPr>
              <xdr:cNvPr id="215" name="Rectángulo: esquinas redondeadas 109">
                <a:extLst>
                  <a:ext uri="{FF2B5EF4-FFF2-40B4-BE49-F238E27FC236}">
                    <a16:creationId xmlns:a16="http://schemas.microsoft.com/office/drawing/2014/main" id="{56FCFC91-FA1C-5A1C-98F1-52DE5C0CBCF9}"/>
                  </a:ext>
                </a:extLst>
              </xdr:cNvPr>
              <xdr:cNvSpPr/>
            </xdr:nvSpPr>
            <xdr:spPr>
              <a:xfrm>
                <a:off x="1271588" y="75864943"/>
                <a:ext cx="3653887" cy="1022818"/>
              </a:xfrm>
              <a:prstGeom prst="roundRect">
                <a:avLst/>
              </a:prstGeom>
              <a:grpFill/>
              <a:ln w="38100">
                <a:noFill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es-PE" sz="4800">
                    <a:effectLst/>
                  </a:rPr>
                  <a:t>⚡</a:t>
                </a:r>
                <a:r>
                  <a:rPr lang="es-PE" sz="4800" b="1" i="0">
                    <a:solidFill>
                      <a:schemeClr val="accent1">
                        <a:lumMod val="7500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MV6</a:t>
                </a:r>
                <a:endParaRPr lang="es-PE" sz="4800">
                  <a:solidFill>
                    <a:schemeClr val="accent1">
                      <a:lumMod val="75000"/>
                    </a:schemeClr>
                  </a:solidFill>
                </a:endParaRPr>
              </a:p>
            </xdr:txBody>
          </xdr:sp>
          <xdr:sp macro="" textlink="$P$339">
            <xdr:nvSpPr>
              <xdr:cNvPr id="216" name="Rectángulo: esquinas redondeadas 111">
                <a:extLst>
                  <a:ext uri="{FF2B5EF4-FFF2-40B4-BE49-F238E27FC236}">
                    <a16:creationId xmlns:a16="http://schemas.microsoft.com/office/drawing/2014/main" id="{A1317DF6-9A9D-E015-ACE8-6E13FCD7DFF2}"/>
                  </a:ext>
                </a:extLst>
              </xdr:cNvPr>
              <xdr:cNvSpPr/>
            </xdr:nvSpPr>
            <xdr:spPr>
              <a:xfrm>
                <a:off x="1882587" y="76681853"/>
                <a:ext cx="2958354" cy="1199029"/>
              </a:xfrm>
              <a:prstGeom prst="roundRect">
                <a:avLst/>
              </a:prstGeom>
              <a:grpFill/>
              <a:ln w="38100">
                <a:noFill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696CF5E9-4D4A-4BBD-9DA9-6E411CCF5364}" type="TxLink">
                  <a:rPr lang="en-US" sz="8000" b="0" i="0" u="none" strike="noStrike">
                    <a:solidFill>
                      <a:schemeClr val="accent4">
                        <a:lumMod val="75000"/>
                      </a:schemeClr>
                    </a:solidFill>
                    <a:latin typeface="Calibri"/>
                    <a:ea typeface="Calibri"/>
                    <a:cs typeface="Calibri"/>
                  </a:rPr>
                  <a:pPr algn="ctr"/>
                  <a:t>3.8</a:t>
                </a:fld>
                <a:endParaRPr lang="es-PE" sz="8000">
                  <a:solidFill>
                    <a:schemeClr val="accent4">
                      <a:lumMod val="75000"/>
                    </a:schemeClr>
                  </a:solidFill>
                </a:endParaRPr>
              </a:p>
            </xdr:txBody>
          </xdr:sp>
          <xdr:sp macro="" textlink="">
            <xdr:nvSpPr>
              <xdr:cNvPr id="217" name="Rectángulo: esquinas redondeadas 113">
                <a:extLst>
                  <a:ext uri="{FF2B5EF4-FFF2-40B4-BE49-F238E27FC236}">
                    <a16:creationId xmlns:a16="http://schemas.microsoft.com/office/drawing/2014/main" id="{DB52FA6C-A9B0-06C2-1D5A-5BF63CCA87D5}"/>
                  </a:ext>
                </a:extLst>
              </xdr:cNvPr>
              <xdr:cNvSpPr/>
            </xdr:nvSpPr>
            <xdr:spPr>
              <a:xfrm>
                <a:off x="1932736" y="77709713"/>
                <a:ext cx="633412" cy="540964"/>
              </a:xfrm>
              <a:prstGeom prst="roundRect">
                <a:avLst/>
              </a:prstGeom>
              <a:grpFill/>
              <a:ln w="38100">
                <a:noFill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l"/>
                <a:r>
                  <a:rPr lang="es-PE" sz="2400" b="0" i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🎯 </a:t>
                </a:r>
                <a:endParaRPr lang="es-PE" sz="8800">
                  <a:solidFill>
                    <a:schemeClr val="accent1">
                      <a:lumMod val="75000"/>
                    </a:schemeClr>
                  </a:solidFill>
                </a:endParaRPr>
              </a:p>
            </xdr:txBody>
          </xdr:sp>
          <xdr:sp macro="" textlink="$R$339">
            <xdr:nvSpPr>
              <xdr:cNvPr id="218" name="Rectángulo: esquinas redondeadas 114">
                <a:extLst>
                  <a:ext uri="{FF2B5EF4-FFF2-40B4-BE49-F238E27FC236}">
                    <a16:creationId xmlns:a16="http://schemas.microsoft.com/office/drawing/2014/main" id="{6C9D57CF-C32E-7D91-3B1A-718F059D5E0E}"/>
                  </a:ext>
                </a:extLst>
              </xdr:cNvPr>
              <xdr:cNvSpPr/>
            </xdr:nvSpPr>
            <xdr:spPr>
              <a:xfrm>
                <a:off x="2253225" y="77724000"/>
                <a:ext cx="2150685" cy="589430"/>
              </a:xfrm>
              <a:prstGeom prst="roundRect">
                <a:avLst/>
              </a:prstGeom>
              <a:grpFill/>
              <a:ln w="38100">
                <a:noFill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97B1E484-AE0B-4520-AABA-FFBC86B9DA0F}" type="TxLink">
                  <a:rPr lang="en-US" sz="3200" b="1" i="0" u="none" strike="noStrike">
                    <a:solidFill>
                      <a:schemeClr val="accent2">
                        <a:lumMod val="75000"/>
                      </a:schemeClr>
                    </a:solidFill>
                    <a:latin typeface="Calibri"/>
                    <a:ea typeface="Calibri"/>
                    <a:cs typeface="Calibri"/>
                  </a:rPr>
                  <a:pPr algn="ctr"/>
                  <a:t>NORMAL</a:t>
                </a:fld>
                <a:endParaRPr lang="es-PE" sz="3200" b="1">
                  <a:solidFill>
                    <a:schemeClr val="accent2">
                      <a:lumMod val="75000"/>
                    </a:schemeClr>
                  </a:solidFill>
                </a:endParaRPr>
              </a:p>
            </xdr:txBody>
          </xdr:sp>
          <xdr:sp macro="" textlink="">
            <xdr:nvSpPr>
              <xdr:cNvPr id="219" name="Rectángulo: esquinas redondeadas 115">
                <a:extLst>
                  <a:ext uri="{FF2B5EF4-FFF2-40B4-BE49-F238E27FC236}">
                    <a16:creationId xmlns:a16="http://schemas.microsoft.com/office/drawing/2014/main" id="{96AD7372-196F-80A2-56EE-4481A3C04354}"/>
                  </a:ext>
                </a:extLst>
              </xdr:cNvPr>
              <xdr:cNvSpPr/>
            </xdr:nvSpPr>
            <xdr:spPr>
              <a:xfrm>
                <a:off x="2084293" y="78272250"/>
                <a:ext cx="2510118" cy="540964"/>
              </a:xfrm>
              <a:prstGeom prst="roundRect">
                <a:avLst/>
              </a:prstGeom>
              <a:grpFill/>
              <a:ln w="38100">
                <a:noFill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s-PE" sz="2800">
                    <a:solidFill>
                      <a:schemeClr val="accent4">
                        <a:lumMod val="5000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Máximo: 05</a:t>
                </a:r>
                <a:endParaRPr lang="en-US" sz="4800" b="1" i="0" u="none" strike="noStrike">
                  <a:solidFill>
                    <a:schemeClr val="accent4">
                      <a:lumMod val="50000"/>
                    </a:schemeClr>
                  </a:solidFill>
                  <a:latin typeface="Calibri"/>
                  <a:ea typeface="Calibri"/>
                  <a:cs typeface="Calibri"/>
                </a:endParaRPr>
              </a:p>
            </xdr:txBody>
          </xdr:sp>
          <xdr:sp macro="" textlink="">
            <xdr:nvSpPr>
              <xdr:cNvPr id="220" name="Rectángulo: esquinas redondeadas 118">
                <a:extLst>
                  <a:ext uri="{FF2B5EF4-FFF2-40B4-BE49-F238E27FC236}">
                    <a16:creationId xmlns:a16="http://schemas.microsoft.com/office/drawing/2014/main" id="{1CEBCB44-BFCF-0CF1-383E-B3959EF9F2E3}"/>
                  </a:ext>
                </a:extLst>
              </xdr:cNvPr>
              <xdr:cNvSpPr/>
            </xdr:nvSpPr>
            <xdr:spPr>
              <a:xfrm>
                <a:off x="2109791" y="78738414"/>
                <a:ext cx="467563" cy="540964"/>
              </a:xfrm>
              <a:prstGeom prst="roundRect">
                <a:avLst/>
              </a:prstGeom>
              <a:grpFill/>
              <a:ln w="38100">
                <a:noFill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s-PE" sz="1800" b="1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📊 </a:t>
                </a:r>
                <a:endParaRPr lang="en-US" sz="6600" b="1" i="0" u="none" strike="noStrike">
                  <a:solidFill>
                    <a:schemeClr val="accent1">
                      <a:lumMod val="50000"/>
                    </a:schemeClr>
                  </a:solidFill>
                  <a:latin typeface="Calibri"/>
                  <a:ea typeface="Calibri"/>
                  <a:cs typeface="Calibri"/>
                </a:endParaRPr>
              </a:p>
            </xdr:txBody>
          </xdr:sp>
          <xdr:sp macro="" textlink="">
            <xdr:nvSpPr>
              <xdr:cNvPr id="221" name="Rectángulo: esquinas redondeadas 120">
                <a:extLst>
                  <a:ext uri="{FF2B5EF4-FFF2-40B4-BE49-F238E27FC236}">
                    <a16:creationId xmlns:a16="http://schemas.microsoft.com/office/drawing/2014/main" id="{A5E62DFD-8F5C-3115-7D86-9390F55CA8BD}"/>
                  </a:ext>
                </a:extLst>
              </xdr:cNvPr>
              <xdr:cNvSpPr/>
            </xdr:nvSpPr>
            <xdr:spPr>
              <a:xfrm>
                <a:off x="2347310" y="78758852"/>
                <a:ext cx="1228937" cy="540964"/>
              </a:xfrm>
              <a:prstGeom prst="roundRect">
                <a:avLst/>
              </a:prstGeom>
              <a:grpFill/>
              <a:ln w="38100">
                <a:noFill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s-PE" sz="1800" b="1" i="0" u="none" strike="noStrike">
                    <a:solidFill>
                      <a:schemeClr val="accent6">
                        <a:lumMod val="7500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Contador:</a:t>
                </a:r>
                <a:endParaRPr lang="en-US" sz="1800" b="1" i="0" u="none" strike="noStrike">
                  <a:solidFill>
                    <a:schemeClr val="accent6">
                      <a:lumMod val="75000"/>
                    </a:schemeClr>
                  </a:solidFill>
                  <a:latin typeface="Calibri"/>
                  <a:ea typeface="Calibri"/>
                  <a:cs typeface="Calibri"/>
                </a:endParaRPr>
              </a:p>
            </xdr:txBody>
          </xdr:sp>
        </xdr:grpSp>
        <xdr:grpSp>
          <xdr:nvGrpSpPr>
            <xdr:cNvPr id="178" name="Grupo 4182">
              <a:extLst>
                <a:ext uri="{FF2B5EF4-FFF2-40B4-BE49-F238E27FC236}">
                  <a16:creationId xmlns:a16="http://schemas.microsoft.com/office/drawing/2014/main" id="{AE673E85-7937-7736-1154-162651EA0824}"/>
                </a:ext>
              </a:extLst>
            </xdr:cNvPr>
            <xdr:cNvGrpSpPr>
              <a:grpSpLocks noChangeAspect="1"/>
            </xdr:cNvGrpSpPr>
          </xdr:nvGrpSpPr>
          <xdr:grpSpPr>
            <a:xfrm>
              <a:off x="5691427" y="79219423"/>
              <a:ext cx="4565197" cy="3524250"/>
              <a:chOff x="5691427" y="79552798"/>
              <a:chExt cx="4565197" cy="3524250"/>
            </a:xfrm>
          </xdr:grpSpPr>
          <xdr:grpSp>
            <xdr:nvGrpSpPr>
              <xdr:cNvPr id="204" name="Grupo 4171">
                <a:extLst>
                  <a:ext uri="{FF2B5EF4-FFF2-40B4-BE49-F238E27FC236}">
                    <a16:creationId xmlns:a16="http://schemas.microsoft.com/office/drawing/2014/main" id="{2075A442-29D6-C956-F9B2-E1CF5318E513}"/>
                  </a:ext>
                </a:extLst>
              </xdr:cNvPr>
              <xdr:cNvGrpSpPr/>
            </xdr:nvGrpSpPr>
            <xdr:grpSpPr>
              <a:xfrm>
                <a:off x="5691427" y="79552798"/>
                <a:ext cx="4565197" cy="3524250"/>
                <a:chOff x="970709" y="75768573"/>
                <a:chExt cx="4586007" cy="3552264"/>
              </a:xfrm>
              <a:noFill/>
            </xdr:grpSpPr>
            <xdr:sp macro="" textlink="">
              <xdr:nvSpPr>
                <xdr:cNvPr id="206" name="Rectángulo: esquinas redondeadas 4172">
                  <a:extLst>
                    <a:ext uri="{FF2B5EF4-FFF2-40B4-BE49-F238E27FC236}">
                      <a16:creationId xmlns:a16="http://schemas.microsoft.com/office/drawing/2014/main" id="{D25B4DA4-9AD1-4EB8-AE75-89AD68803CC6}"/>
                    </a:ext>
                  </a:extLst>
                </xdr:cNvPr>
                <xdr:cNvSpPr/>
              </xdr:nvSpPr>
              <xdr:spPr>
                <a:xfrm>
                  <a:off x="970709" y="75768573"/>
                  <a:ext cx="4586007" cy="3552264"/>
                </a:xfrm>
                <a:prstGeom prst="roundRect">
                  <a:avLst/>
                </a:prstGeom>
                <a:solidFill>
                  <a:schemeClr val="accent4">
                    <a:lumMod val="20000"/>
                    <a:lumOff val="80000"/>
                  </a:schemeClr>
                </a:solidFill>
                <a:ln w="38100">
                  <a:solidFill>
                    <a:schemeClr val="accent4">
                      <a:lumMod val="50000"/>
                    </a:schemeClr>
                  </a:solidFill>
                </a:ln>
              </xdr:spPr>
              <xdr:style>
                <a:lnRef idx="2">
                  <a:schemeClr val="accent1"/>
                </a:lnRef>
                <a:fillRef idx="1">
                  <a:schemeClr val="lt1"/>
                </a:fillRef>
                <a:effectRef idx="0">
                  <a:schemeClr val="accent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PE" sz="1100"/>
                </a:p>
              </xdr:txBody>
            </xdr:sp>
            <xdr:sp macro="" textlink="">
              <xdr:nvSpPr>
                <xdr:cNvPr id="207" name="Rectángulo: esquinas redondeadas 4173">
                  <a:extLst>
                    <a:ext uri="{FF2B5EF4-FFF2-40B4-BE49-F238E27FC236}">
                      <a16:creationId xmlns:a16="http://schemas.microsoft.com/office/drawing/2014/main" id="{4B425D88-7A71-6B8C-98A3-12E53E48600D}"/>
                    </a:ext>
                  </a:extLst>
                </xdr:cNvPr>
                <xdr:cNvSpPr/>
              </xdr:nvSpPr>
              <xdr:spPr>
                <a:xfrm>
                  <a:off x="1271588" y="75864943"/>
                  <a:ext cx="3653887" cy="1022818"/>
                </a:xfrm>
                <a:prstGeom prst="roundRect">
                  <a:avLst/>
                </a:prstGeom>
                <a:grpFill/>
                <a:ln w="38100">
                  <a:noFill/>
                </a:ln>
              </xdr:spPr>
              <xdr:style>
                <a:lnRef idx="2">
                  <a:schemeClr val="accent1"/>
                </a:lnRef>
                <a:fillRef idx="1">
                  <a:schemeClr val="lt1"/>
                </a:fillRef>
                <a:effectRef idx="0">
                  <a:schemeClr val="accent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ctr"/>
                  <a:r>
                    <a:rPr lang="es-PE" sz="4800">
                      <a:effectLst/>
                    </a:rPr>
                    <a:t>⚡</a:t>
                  </a:r>
                  <a:r>
                    <a:rPr lang="es-PE" sz="4800" b="1" i="0">
                      <a:solidFill>
                        <a:schemeClr val="accent1">
                          <a:lumMod val="75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rPr>
                    <a:t>MV9</a:t>
                  </a:r>
                  <a:endParaRPr lang="es-PE" sz="4800">
                    <a:solidFill>
                      <a:schemeClr val="accent1">
                        <a:lumMod val="75000"/>
                      </a:schemeClr>
                    </a:solidFill>
                  </a:endParaRPr>
                </a:p>
              </xdr:txBody>
            </xdr:sp>
            <xdr:sp macro="" textlink="$P$340">
              <xdr:nvSpPr>
                <xdr:cNvPr id="208" name="Rectángulo: esquinas redondeadas 4174">
                  <a:extLst>
                    <a:ext uri="{FF2B5EF4-FFF2-40B4-BE49-F238E27FC236}">
                      <a16:creationId xmlns:a16="http://schemas.microsoft.com/office/drawing/2014/main" id="{54547180-0E11-4FEB-DA20-FA2FAB8BBB3B}"/>
                    </a:ext>
                  </a:extLst>
                </xdr:cNvPr>
                <xdr:cNvSpPr/>
              </xdr:nvSpPr>
              <xdr:spPr>
                <a:xfrm>
                  <a:off x="1882587" y="76681853"/>
                  <a:ext cx="2958354" cy="1199029"/>
                </a:xfrm>
                <a:prstGeom prst="roundRect">
                  <a:avLst/>
                </a:prstGeom>
                <a:grpFill/>
                <a:ln w="38100">
                  <a:noFill/>
                </a:ln>
              </xdr:spPr>
              <xdr:style>
                <a:lnRef idx="2">
                  <a:schemeClr val="accent1"/>
                </a:lnRef>
                <a:fillRef idx="1">
                  <a:schemeClr val="lt1"/>
                </a:fillRef>
                <a:effectRef idx="0">
                  <a:schemeClr val="accent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fld id="{77EE180E-AF3C-4E3A-A4A4-2DA0DEDB4B38}" type="TxLink">
                    <a:rPr lang="en-US" sz="8000" b="0" i="0" u="none" strike="noStrike">
                      <a:solidFill>
                        <a:schemeClr val="accent4">
                          <a:lumMod val="75000"/>
                        </a:schemeClr>
                      </a:solidFill>
                      <a:latin typeface="Calibri"/>
                      <a:ea typeface="Calibri"/>
                      <a:cs typeface="Calibri"/>
                    </a:rPr>
                    <a:pPr algn="ctr"/>
                    <a:t>14</a:t>
                  </a:fld>
                  <a:endParaRPr lang="es-PE" sz="8000">
                    <a:solidFill>
                      <a:schemeClr val="accent4">
                        <a:lumMod val="75000"/>
                      </a:schemeClr>
                    </a:solidFill>
                  </a:endParaRPr>
                </a:p>
              </xdr:txBody>
            </xdr:sp>
            <xdr:sp macro="" textlink="">
              <xdr:nvSpPr>
                <xdr:cNvPr id="209" name="Rectángulo: esquinas redondeadas 4175">
                  <a:extLst>
                    <a:ext uri="{FF2B5EF4-FFF2-40B4-BE49-F238E27FC236}">
                      <a16:creationId xmlns:a16="http://schemas.microsoft.com/office/drawing/2014/main" id="{0090BDDA-644B-6BA5-14A9-0FBF4811B6F3}"/>
                    </a:ext>
                  </a:extLst>
                </xdr:cNvPr>
                <xdr:cNvSpPr/>
              </xdr:nvSpPr>
              <xdr:spPr>
                <a:xfrm>
                  <a:off x="1932736" y="77709713"/>
                  <a:ext cx="633412" cy="540964"/>
                </a:xfrm>
                <a:prstGeom prst="roundRect">
                  <a:avLst/>
                </a:prstGeom>
                <a:grpFill/>
                <a:ln w="38100">
                  <a:noFill/>
                </a:ln>
              </xdr:spPr>
              <xdr:style>
                <a:lnRef idx="2">
                  <a:schemeClr val="accent1"/>
                </a:lnRef>
                <a:fillRef idx="1">
                  <a:schemeClr val="lt1"/>
                </a:fillRef>
                <a:effectRef idx="0">
                  <a:schemeClr val="accent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r>
                    <a:rPr lang="es-PE" sz="2400" b="0" i="0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🎯 </a:t>
                  </a:r>
                  <a:endParaRPr lang="es-PE" sz="8800">
                    <a:solidFill>
                      <a:schemeClr val="accent1">
                        <a:lumMod val="75000"/>
                      </a:schemeClr>
                    </a:solidFill>
                  </a:endParaRPr>
                </a:p>
              </xdr:txBody>
            </xdr:sp>
            <xdr:sp macro="" textlink="$R$340">
              <xdr:nvSpPr>
                <xdr:cNvPr id="210" name="Rectángulo: esquinas redondeadas 4176">
                  <a:extLst>
                    <a:ext uri="{FF2B5EF4-FFF2-40B4-BE49-F238E27FC236}">
                      <a16:creationId xmlns:a16="http://schemas.microsoft.com/office/drawing/2014/main" id="{34EBEFE6-6959-A232-744A-C6C3BE44AE12}"/>
                    </a:ext>
                  </a:extLst>
                </xdr:cNvPr>
                <xdr:cNvSpPr/>
              </xdr:nvSpPr>
              <xdr:spPr>
                <a:xfrm>
                  <a:off x="2253225" y="77724000"/>
                  <a:ext cx="2150685" cy="589430"/>
                </a:xfrm>
                <a:prstGeom prst="roundRect">
                  <a:avLst/>
                </a:prstGeom>
                <a:grpFill/>
                <a:ln w="38100">
                  <a:noFill/>
                </a:ln>
              </xdr:spPr>
              <xdr:style>
                <a:lnRef idx="2">
                  <a:schemeClr val="accent1"/>
                </a:lnRef>
                <a:fillRef idx="1">
                  <a:schemeClr val="lt1"/>
                </a:fillRef>
                <a:effectRef idx="0">
                  <a:schemeClr val="accent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fld id="{F58705C6-2DD7-4F3A-8DF1-DD815BAAEEA8}" type="TxLink">
                    <a:rPr lang="en-US" sz="3200" b="1" i="0" u="none" strike="noStrike">
                      <a:solidFill>
                        <a:schemeClr val="accent2">
                          <a:lumMod val="75000"/>
                        </a:schemeClr>
                      </a:solidFill>
                      <a:latin typeface="Calibri"/>
                      <a:ea typeface="Calibri"/>
                      <a:cs typeface="Calibri"/>
                    </a:rPr>
                    <a:pPr algn="ctr"/>
                    <a:t>NORMAL</a:t>
                  </a:fld>
                  <a:endParaRPr lang="es-PE" sz="3200" b="1">
                    <a:solidFill>
                      <a:schemeClr val="accent2">
                        <a:lumMod val="75000"/>
                      </a:schemeClr>
                    </a:solidFill>
                  </a:endParaRPr>
                </a:p>
              </xdr:txBody>
            </xdr:sp>
            <xdr:sp macro="" textlink="">
              <xdr:nvSpPr>
                <xdr:cNvPr id="211" name="Rectángulo: esquinas redondeadas 4177">
                  <a:extLst>
                    <a:ext uri="{FF2B5EF4-FFF2-40B4-BE49-F238E27FC236}">
                      <a16:creationId xmlns:a16="http://schemas.microsoft.com/office/drawing/2014/main" id="{9EF3BA94-69F1-27C8-AE39-6E686DB8B5B8}"/>
                    </a:ext>
                  </a:extLst>
                </xdr:cNvPr>
                <xdr:cNvSpPr/>
              </xdr:nvSpPr>
              <xdr:spPr>
                <a:xfrm>
                  <a:off x="2084293" y="78272250"/>
                  <a:ext cx="2510118" cy="540964"/>
                </a:xfrm>
                <a:prstGeom prst="roundRect">
                  <a:avLst/>
                </a:prstGeom>
                <a:grpFill/>
                <a:ln w="38100">
                  <a:noFill/>
                </a:ln>
              </xdr:spPr>
              <xdr:style>
                <a:lnRef idx="2">
                  <a:schemeClr val="accent1"/>
                </a:lnRef>
                <a:fillRef idx="1">
                  <a:schemeClr val="lt1"/>
                </a:fillRef>
                <a:effectRef idx="0">
                  <a:schemeClr val="accent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s-PE" sz="2800">
                      <a:solidFill>
                        <a:schemeClr val="accent4">
                          <a:lumMod val="5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rPr>
                    <a:t>Máximo: 20</a:t>
                  </a:r>
                  <a:endParaRPr lang="en-US" sz="4800" b="1" i="0" u="none" strike="noStrike">
                    <a:solidFill>
                      <a:schemeClr val="accent4">
                        <a:lumMod val="50000"/>
                      </a:schemeClr>
                    </a:solidFill>
                    <a:latin typeface="Calibri"/>
                    <a:ea typeface="Calibri"/>
                    <a:cs typeface="Calibri"/>
                  </a:endParaRPr>
                </a:p>
              </xdr:txBody>
            </xdr:sp>
            <xdr:sp macro="" textlink="">
              <xdr:nvSpPr>
                <xdr:cNvPr id="212" name="Rectángulo: esquinas redondeadas 4178">
                  <a:extLst>
                    <a:ext uri="{FF2B5EF4-FFF2-40B4-BE49-F238E27FC236}">
                      <a16:creationId xmlns:a16="http://schemas.microsoft.com/office/drawing/2014/main" id="{BA17541A-3CF2-1B55-E613-7C5022DD79EE}"/>
                    </a:ext>
                  </a:extLst>
                </xdr:cNvPr>
                <xdr:cNvSpPr/>
              </xdr:nvSpPr>
              <xdr:spPr>
                <a:xfrm>
                  <a:off x="2109791" y="78738414"/>
                  <a:ext cx="467563" cy="540964"/>
                </a:xfrm>
                <a:prstGeom prst="roundRect">
                  <a:avLst/>
                </a:prstGeom>
                <a:grpFill/>
                <a:ln w="38100">
                  <a:noFill/>
                </a:ln>
              </xdr:spPr>
              <xdr:style>
                <a:lnRef idx="2">
                  <a:schemeClr val="accent1"/>
                </a:lnRef>
                <a:fillRef idx="1">
                  <a:schemeClr val="lt1"/>
                </a:fillRef>
                <a:effectRef idx="0">
                  <a:schemeClr val="accent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s-PE" sz="1800" b="1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📊 </a:t>
                  </a:r>
                  <a:endParaRPr lang="en-US" sz="6600" b="1" i="0" u="none" strike="noStrike">
                    <a:solidFill>
                      <a:schemeClr val="accent1">
                        <a:lumMod val="50000"/>
                      </a:schemeClr>
                    </a:solidFill>
                    <a:latin typeface="Calibri"/>
                    <a:ea typeface="Calibri"/>
                    <a:cs typeface="Calibri"/>
                  </a:endParaRPr>
                </a:p>
              </xdr:txBody>
            </xdr:sp>
            <xdr:sp macro="" textlink="">
              <xdr:nvSpPr>
                <xdr:cNvPr id="213" name="Rectángulo: esquinas redondeadas 4179">
                  <a:extLst>
                    <a:ext uri="{FF2B5EF4-FFF2-40B4-BE49-F238E27FC236}">
                      <a16:creationId xmlns:a16="http://schemas.microsoft.com/office/drawing/2014/main" id="{0381FEFF-D4BA-C7E4-4B6B-D3462C201751}"/>
                    </a:ext>
                  </a:extLst>
                </xdr:cNvPr>
                <xdr:cNvSpPr/>
              </xdr:nvSpPr>
              <xdr:spPr>
                <a:xfrm>
                  <a:off x="2347310" y="78758852"/>
                  <a:ext cx="1228937" cy="540964"/>
                </a:xfrm>
                <a:prstGeom prst="roundRect">
                  <a:avLst/>
                </a:prstGeom>
                <a:grpFill/>
                <a:ln w="38100">
                  <a:noFill/>
                </a:ln>
              </xdr:spPr>
              <xdr:style>
                <a:lnRef idx="2">
                  <a:schemeClr val="accent1"/>
                </a:lnRef>
                <a:fillRef idx="1">
                  <a:schemeClr val="lt1"/>
                </a:fillRef>
                <a:effectRef idx="0">
                  <a:schemeClr val="accent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s-PE" sz="1800" b="1" i="0" u="none" strike="noStrike">
                      <a:solidFill>
                        <a:schemeClr val="accent6">
                          <a:lumMod val="75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rPr>
                    <a:t>Contador:</a:t>
                  </a:r>
                  <a:endParaRPr lang="en-US" sz="1800" b="1" i="0" u="none" strike="noStrike">
                    <a:solidFill>
                      <a:schemeClr val="accent6">
                        <a:lumMod val="75000"/>
                      </a:schemeClr>
                    </a:solidFill>
                    <a:latin typeface="Calibri"/>
                    <a:ea typeface="Calibri"/>
                    <a:cs typeface="Calibri"/>
                  </a:endParaRPr>
                </a:p>
              </xdr:txBody>
            </xdr:sp>
          </xdr:grpSp>
          <xdr:sp macro="" textlink="$T$340">
            <xdr:nvSpPr>
              <xdr:cNvPr id="205" name="Rectángulo: esquinas redondeadas 4181">
                <a:extLst>
                  <a:ext uri="{FF2B5EF4-FFF2-40B4-BE49-F238E27FC236}">
                    <a16:creationId xmlns:a16="http://schemas.microsoft.com/office/drawing/2014/main" id="{C1530F1F-5CDB-58C7-F31B-BB2DAA8D7F4D}"/>
                  </a:ext>
                </a:extLst>
              </xdr:cNvPr>
              <xdr:cNvSpPr/>
            </xdr:nvSpPr>
            <xdr:spPr>
              <a:xfrm>
                <a:off x="8191739" y="82505548"/>
                <a:ext cx="1295162" cy="536698"/>
              </a:xfrm>
              <a:prstGeom prst="roundRect">
                <a:avLst/>
              </a:prstGeom>
              <a:noFill/>
              <a:ln w="38100">
                <a:noFill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l"/>
                <a:fld id="{ACBB4193-5A53-4140-887C-1F9B7BF18B7A}" type="TxLink">
                  <a:rPr lang="en-US" sz="2800" b="1" i="0" u="none" strike="noStrike">
                    <a:solidFill>
                      <a:schemeClr val="accent6">
                        <a:lumMod val="75000"/>
                      </a:schemeClr>
                    </a:solidFill>
                    <a:latin typeface="Calibri"/>
                    <a:ea typeface="Calibri"/>
                    <a:cs typeface="Calibri"/>
                  </a:rPr>
                  <a:pPr algn="l"/>
                  <a:t>2618</a:t>
                </a:fld>
                <a:endParaRPr lang="en-US" sz="2800" b="1" i="0" u="none" strike="noStrike">
                  <a:solidFill>
                    <a:schemeClr val="accent6">
                      <a:lumMod val="75000"/>
                    </a:schemeClr>
                  </a:solidFill>
                  <a:latin typeface="Calibri"/>
                  <a:ea typeface="Calibri"/>
                  <a:cs typeface="Calibri"/>
                </a:endParaRPr>
              </a:p>
            </xdr:txBody>
          </xdr:sp>
        </xdr:grpSp>
        <xdr:grpSp>
          <xdr:nvGrpSpPr>
            <xdr:cNvPr id="179" name="Grupo 4183">
              <a:extLst>
                <a:ext uri="{FF2B5EF4-FFF2-40B4-BE49-F238E27FC236}">
                  <a16:creationId xmlns:a16="http://schemas.microsoft.com/office/drawing/2014/main" id="{9E15890C-25E3-73FE-F5F9-E376BEDB9C4E}"/>
                </a:ext>
              </a:extLst>
            </xdr:cNvPr>
            <xdr:cNvGrpSpPr>
              <a:grpSpLocks noChangeAspect="1"/>
            </xdr:cNvGrpSpPr>
          </xdr:nvGrpSpPr>
          <xdr:grpSpPr>
            <a:xfrm>
              <a:off x="10725387" y="79252762"/>
              <a:ext cx="4565197" cy="3524250"/>
              <a:chOff x="5691427" y="79552798"/>
              <a:chExt cx="4565197" cy="3524250"/>
            </a:xfrm>
          </xdr:grpSpPr>
          <xdr:grpSp>
            <xdr:nvGrpSpPr>
              <xdr:cNvPr id="194" name="Grupo 4184">
                <a:extLst>
                  <a:ext uri="{FF2B5EF4-FFF2-40B4-BE49-F238E27FC236}">
                    <a16:creationId xmlns:a16="http://schemas.microsoft.com/office/drawing/2014/main" id="{E996C163-1BBE-81A6-184E-36F5F85F01CE}"/>
                  </a:ext>
                </a:extLst>
              </xdr:cNvPr>
              <xdr:cNvGrpSpPr/>
            </xdr:nvGrpSpPr>
            <xdr:grpSpPr>
              <a:xfrm>
                <a:off x="5691427" y="79552798"/>
                <a:ext cx="4565197" cy="3524250"/>
                <a:chOff x="970709" y="75768573"/>
                <a:chExt cx="4586007" cy="3552264"/>
              </a:xfrm>
              <a:noFill/>
            </xdr:grpSpPr>
            <xdr:sp macro="" textlink="">
              <xdr:nvSpPr>
                <xdr:cNvPr id="196" name="Rectángulo: esquinas redondeadas 4186">
                  <a:extLst>
                    <a:ext uri="{FF2B5EF4-FFF2-40B4-BE49-F238E27FC236}">
                      <a16:creationId xmlns:a16="http://schemas.microsoft.com/office/drawing/2014/main" id="{E3A325E4-EB98-12FA-9614-81C6996E0171}"/>
                    </a:ext>
                  </a:extLst>
                </xdr:cNvPr>
                <xdr:cNvSpPr/>
              </xdr:nvSpPr>
              <xdr:spPr>
                <a:xfrm>
                  <a:off x="970709" y="75768573"/>
                  <a:ext cx="4586007" cy="3552264"/>
                </a:xfrm>
                <a:prstGeom prst="roundRect">
                  <a:avLst/>
                </a:prstGeom>
                <a:solidFill>
                  <a:schemeClr val="accent4">
                    <a:lumMod val="20000"/>
                    <a:lumOff val="80000"/>
                  </a:schemeClr>
                </a:solidFill>
                <a:ln w="38100">
                  <a:solidFill>
                    <a:schemeClr val="accent4">
                      <a:lumMod val="50000"/>
                    </a:schemeClr>
                  </a:solidFill>
                </a:ln>
              </xdr:spPr>
              <xdr:style>
                <a:lnRef idx="2">
                  <a:schemeClr val="accent1"/>
                </a:lnRef>
                <a:fillRef idx="1">
                  <a:schemeClr val="lt1"/>
                </a:fillRef>
                <a:effectRef idx="0">
                  <a:schemeClr val="accent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PE" sz="1100"/>
                </a:p>
              </xdr:txBody>
            </xdr:sp>
            <xdr:sp macro="" textlink="">
              <xdr:nvSpPr>
                <xdr:cNvPr id="197" name="Rectángulo: esquinas redondeadas 4187">
                  <a:extLst>
                    <a:ext uri="{FF2B5EF4-FFF2-40B4-BE49-F238E27FC236}">
                      <a16:creationId xmlns:a16="http://schemas.microsoft.com/office/drawing/2014/main" id="{0BF011A1-E825-B0B0-DA77-D789225DFAE8}"/>
                    </a:ext>
                  </a:extLst>
                </xdr:cNvPr>
                <xdr:cNvSpPr/>
              </xdr:nvSpPr>
              <xdr:spPr>
                <a:xfrm>
                  <a:off x="1271588" y="75864943"/>
                  <a:ext cx="3653887" cy="1022818"/>
                </a:xfrm>
                <a:prstGeom prst="roundRect">
                  <a:avLst/>
                </a:prstGeom>
                <a:grpFill/>
                <a:ln w="38100">
                  <a:noFill/>
                </a:ln>
              </xdr:spPr>
              <xdr:style>
                <a:lnRef idx="2">
                  <a:schemeClr val="accent1"/>
                </a:lnRef>
                <a:fillRef idx="1">
                  <a:schemeClr val="lt1"/>
                </a:fillRef>
                <a:effectRef idx="0">
                  <a:schemeClr val="accent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ctr"/>
                  <a:r>
                    <a:rPr lang="es-PE" sz="4800">
                      <a:effectLst/>
                    </a:rPr>
                    <a:t>⚡</a:t>
                  </a:r>
                  <a:r>
                    <a:rPr lang="es-PE" sz="4800" b="1" i="0">
                      <a:solidFill>
                        <a:schemeClr val="accent1">
                          <a:lumMod val="75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rPr>
                    <a:t>MV12</a:t>
                  </a:r>
                  <a:endParaRPr lang="es-PE" sz="4800">
                    <a:solidFill>
                      <a:schemeClr val="accent1">
                        <a:lumMod val="75000"/>
                      </a:schemeClr>
                    </a:solidFill>
                  </a:endParaRPr>
                </a:p>
              </xdr:txBody>
            </xdr:sp>
            <xdr:sp macro="" textlink="$P$341">
              <xdr:nvSpPr>
                <xdr:cNvPr id="198" name="Rectángulo: esquinas redondeadas 4188">
                  <a:extLst>
                    <a:ext uri="{FF2B5EF4-FFF2-40B4-BE49-F238E27FC236}">
                      <a16:creationId xmlns:a16="http://schemas.microsoft.com/office/drawing/2014/main" id="{29AF780E-D18A-1DF6-C84A-4E6D83D2637B}"/>
                    </a:ext>
                  </a:extLst>
                </xdr:cNvPr>
                <xdr:cNvSpPr/>
              </xdr:nvSpPr>
              <xdr:spPr>
                <a:xfrm>
                  <a:off x="1882587" y="76681853"/>
                  <a:ext cx="2958354" cy="1199029"/>
                </a:xfrm>
                <a:prstGeom prst="roundRect">
                  <a:avLst/>
                </a:prstGeom>
                <a:grpFill/>
                <a:ln w="38100">
                  <a:noFill/>
                </a:ln>
              </xdr:spPr>
              <xdr:style>
                <a:lnRef idx="2">
                  <a:schemeClr val="accent1"/>
                </a:lnRef>
                <a:fillRef idx="1">
                  <a:schemeClr val="lt1"/>
                </a:fillRef>
                <a:effectRef idx="0">
                  <a:schemeClr val="accent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fld id="{19840DE9-09DA-4ADE-A90D-9BAF54EAD2F5}" type="TxLink">
                    <a:rPr lang="en-US" sz="8000" b="0" i="0" u="none" strike="noStrike">
                      <a:solidFill>
                        <a:schemeClr val="accent4">
                          <a:lumMod val="75000"/>
                        </a:schemeClr>
                      </a:solidFill>
                      <a:latin typeface="Calibri"/>
                      <a:ea typeface="Calibri"/>
                      <a:cs typeface="Calibri"/>
                    </a:rPr>
                    <a:pPr algn="ctr"/>
                    <a:t>4</a:t>
                  </a:fld>
                  <a:endParaRPr lang="es-PE" sz="8000">
                    <a:solidFill>
                      <a:schemeClr val="accent4">
                        <a:lumMod val="75000"/>
                      </a:schemeClr>
                    </a:solidFill>
                  </a:endParaRPr>
                </a:p>
              </xdr:txBody>
            </xdr:sp>
            <xdr:sp macro="" textlink="">
              <xdr:nvSpPr>
                <xdr:cNvPr id="199" name="Rectángulo: esquinas redondeadas 4189">
                  <a:extLst>
                    <a:ext uri="{FF2B5EF4-FFF2-40B4-BE49-F238E27FC236}">
                      <a16:creationId xmlns:a16="http://schemas.microsoft.com/office/drawing/2014/main" id="{CB7B2161-66BF-6C90-F11C-921794AEAD7E}"/>
                    </a:ext>
                  </a:extLst>
                </xdr:cNvPr>
                <xdr:cNvSpPr/>
              </xdr:nvSpPr>
              <xdr:spPr>
                <a:xfrm>
                  <a:off x="1932736" y="77709713"/>
                  <a:ext cx="633412" cy="540964"/>
                </a:xfrm>
                <a:prstGeom prst="roundRect">
                  <a:avLst/>
                </a:prstGeom>
                <a:grpFill/>
                <a:ln w="38100">
                  <a:noFill/>
                </a:ln>
              </xdr:spPr>
              <xdr:style>
                <a:lnRef idx="2">
                  <a:schemeClr val="accent1"/>
                </a:lnRef>
                <a:fillRef idx="1">
                  <a:schemeClr val="lt1"/>
                </a:fillRef>
                <a:effectRef idx="0">
                  <a:schemeClr val="accent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r>
                    <a:rPr lang="es-PE" sz="2400" b="0" i="0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🎯 </a:t>
                  </a:r>
                  <a:endParaRPr lang="es-PE" sz="8800">
                    <a:solidFill>
                      <a:schemeClr val="accent1">
                        <a:lumMod val="75000"/>
                      </a:schemeClr>
                    </a:solidFill>
                  </a:endParaRPr>
                </a:p>
              </xdr:txBody>
            </xdr:sp>
            <xdr:sp macro="" textlink="$R$341">
              <xdr:nvSpPr>
                <xdr:cNvPr id="200" name="Rectángulo: esquinas redondeadas 4190">
                  <a:extLst>
                    <a:ext uri="{FF2B5EF4-FFF2-40B4-BE49-F238E27FC236}">
                      <a16:creationId xmlns:a16="http://schemas.microsoft.com/office/drawing/2014/main" id="{7FD623C0-D0A5-FEDD-6216-6B59059061F1}"/>
                    </a:ext>
                  </a:extLst>
                </xdr:cNvPr>
                <xdr:cNvSpPr/>
              </xdr:nvSpPr>
              <xdr:spPr>
                <a:xfrm>
                  <a:off x="2253225" y="77724000"/>
                  <a:ext cx="2150685" cy="589430"/>
                </a:xfrm>
                <a:prstGeom prst="roundRect">
                  <a:avLst/>
                </a:prstGeom>
                <a:grpFill/>
                <a:ln w="38100">
                  <a:noFill/>
                </a:ln>
              </xdr:spPr>
              <xdr:style>
                <a:lnRef idx="2">
                  <a:schemeClr val="accent1"/>
                </a:lnRef>
                <a:fillRef idx="1">
                  <a:schemeClr val="lt1"/>
                </a:fillRef>
                <a:effectRef idx="0">
                  <a:schemeClr val="accent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fld id="{00559945-002E-4CFC-B5BF-94D6BDEACBA2}" type="TxLink">
                    <a:rPr lang="en-US" sz="3200" b="1" i="0" u="none" strike="noStrike">
                      <a:solidFill>
                        <a:schemeClr val="accent2">
                          <a:lumMod val="75000"/>
                        </a:schemeClr>
                      </a:solidFill>
                      <a:latin typeface="Calibri"/>
                      <a:ea typeface="Calibri"/>
                      <a:cs typeface="Calibri"/>
                    </a:rPr>
                    <a:pPr algn="ctr"/>
                    <a:t>NORMAL</a:t>
                  </a:fld>
                  <a:endParaRPr lang="es-PE" sz="3200" b="1">
                    <a:solidFill>
                      <a:schemeClr val="accent2">
                        <a:lumMod val="75000"/>
                      </a:schemeClr>
                    </a:solidFill>
                  </a:endParaRPr>
                </a:p>
              </xdr:txBody>
            </xdr:sp>
            <xdr:sp macro="" textlink="">
              <xdr:nvSpPr>
                <xdr:cNvPr id="201" name="Rectángulo: esquinas redondeadas 4191">
                  <a:extLst>
                    <a:ext uri="{FF2B5EF4-FFF2-40B4-BE49-F238E27FC236}">
                      <a16:creationId xmlns:a16="http://schemas.microsoft.com/office/drawing/2014/main" id="{665CB018-B687-A2E7-1872-24EA4A909FC9}"/>
                    </a:ext>
                  </a:extLst>
                </xdr:cNvPr>
                <xdr:cNvSpPr/>
              </xdr:nvSpPr>
              <xdr:spPr>
                <a:xfrm>
                  <a:off x="2084293" y="78272250"/>
                  <a:ext cx="2510118" cy="540964"/>
                </a:xfrm>
                <a:prstGeom prst="roundRect">
                  <a:avLst/>
                </a:prstGeom>
                <a:grpFill/>
                <a:ln w="38100">
                  <a:noFill/>
                </a:ln>
              </xdr:spPr>
              <xdr:style>
                <a:lnRef idx="2">
                  <a:schemeClr val="accent1"/>
                </a:lnRef>
                <a:fillRef idx="1">
                  <a:schemeClr val="lt1"/>
                </a:fillRef>
                <a:effectRef idx="0">
                  <a:schemeClr val="accent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s-PE" sz="2800">
                      <a:solidFill>
                        <a:schemeClr val="accent4">
                          <a:lumMod val="5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rPr>
                    <a:t>Máximo: 10</a:t>
                  </a:r>
                  <a:endParaRPr lang="en-US" sz="4800" b="1" i="0" u="none" strike="noStrike">
                    <a:solidFill>
                      <a:schemeClr val="accent4">
                        <a:lumMod val="50000"/>
                      </a:schemeClr>
                    </a:solidFill>
                    <a:latin typeface="Calibri"/>
                    <a:ea typeface="Calibri"/>
                    <a:cs typeface="Calibri"/>
                  </a:endParaRPr>
                </a:p>
              </xdr:txBody>
            </xdr:sp>
            <xdr:sp macro="" textlink="">
              <xdr:nvSpPr>
                <xdr:cNvPr id="202" name="Rectángulo: esquinas redondeadas 4192">
                  <a:extLst>
                    <a:ext uri="{FF2B5EF4-FFF2-40B4-BE49-F238E27FC236}">
                      <a16:creationId xmlns:a16="http://schemas.microsoft.com/office/drawing/2014/main" id="{6036A61D-EDF4-5B9D-06DE-D39A8281AF95}"/>
                    </a:ext>
                  </a:extLst>
                </xdr:cNvPr>
                <xdr:cNvSpPr/>
              </xdr:nvSpPr>
              <xdr:spPr>
                <a:xfrm>
                  <a:off x="2109791" y="78738414"/>
                  <a:ext cx="467563" cy="540964"/>
                </a:xfrm>
                <a:prstGeom prst="roundRect">
                  <a:avLst/>
                </a:prstGeom>
                <a:grpFill/>
                <a:ln w="38100">
                  <a:noFill/>
                </a:ln>
              </xdr:spPr>
              <xdr:style>
                <a:lnRef idx="2">
                  <a:schemeClr val="accent1"/>
                </a:lnRef>
                <a:fillRef idx="1">
                  <a:schemeClr val="lt1"/>
                </a:fillRef>
                <a:effectRef idx="0">
                  <a:schemeClr val="accent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s-PE" sz="1800" b="1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📊 </a:t>
                  </a:r>
                  <a:endParaRPr lang="en-US" sz="6600" b="1" i="0" u="none" strike="noStrike">
                    <a:solidFill>
                      <a:schemeClr val="accent1">
                        <a:lumMod val="50000"/>
                      </a:schemeClr>
                    </a:solidFill>
                    <a:latin typeface="Calibri"/>
                    <a:ea typeface="Calibri"/>
                    <a:cs typeface="Calibri"/>
                  </a:endParaRPr>
                </a:p>
              </xdr:txBody>
            </xdr:sp>
            <xdr:sp macro="" textlink="">
              <xdr:nvSpPr>
                <xdr:cNvPr id="203" name="Rectángulo: esquinas redondeadas 4193">
                  <a:extLst>
                    <a:ext uri="{FF2B5EF4-FFF2-40B4-BE49-F238E27FC236}">
                      <a16:creationId xmlns:a16="http://schemas.microsoft.com/office/drawing/2014/main" id="{0FEC1DFB-7DB6-52AE-409F-29E937C803E9}"/>
                    </a:ext>
                  </a:extLst>
                </xdr:cNvPr>
                <xdr:cNvSpPr/>
              </xdr:nvSpPr>
              <xdr:spPr>
                <a:xfrm>
                  <a:off x="2347310" y="78758852"/>
                  <a:ext cx="1228937" cy="540964"/>
                </a:xfrm>
                <a:prstGeom prst="roundRect">
                  <a:avLst/>
                </a:prstGeom>
                <a:grpFill/>
                <a:ln w="38100">
                  <a:noFill/>
                </a:ln>
              </xdr:spPr>
              <xdr:style>
                <a:lnRef idx="2">
                  <a:schemeClr val="accent1"/>
                </a:lnRef>
                <a:fillRef idx="1">
                  <a:schemeClr val="lt1"/>
                </a:fillRef>
                <a:effectRef idx="0">
                  <a:schemeClr val="accent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s-PE" sz="1800" b="1" i="0" u="none" strike="noStrike">
                      <a:solidFill>
                        <a:schemeClr val="accent6">
                          <a:lumMod val="75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rPr>
                    <a:t>Contador:</a:t>
                  </a:r>
                  <a:endParaRPr lang="en-US" sz="1800" b="1" i="0" u="none" strike="noStrike">
                    <a:solidFill>
                      <a:schemeClr val="accent6">
                        <a:lumMod val="75000"/>
                      </a:schemeClr>
                    </a:solidFill>
                    <a:latin typeface="Calibri"/>
                    <a:ea typeface="Calibri"/>
                    <a:cs typeface="Calibri"/>
                  </a:endParaRPr>
                </a:p>
              </xdr:txBody>
            </xdr:sp>
          </xdr:grpSp>
          <xdr:sp macro="" textlink="$T$341">
            <xdr:nvSpPr>
              <xdr:cNvPr id="195" name="Rectángulo: esquinas redondeadas 4185">
                <a:extLst>
                  <a:ext uri="{FF2B5EF4-FFF2-40B4-BE49-F238E27FC236}">
                    <a16:creationId xmlns:a16="http://schemas.microsoft.com/office/drawing/2014/main" id="{FBAED1B6-1705-16AD-9FC2-F3C3448ED57B}"/>
                  </a:ext>
                </a:extLst>
              </xdr:cNvPr>
              <xdr:cNvSpPr/>
            </xdr:nvSpPr>
            <xdr:spPr>
              <a:xfrm>
                <a:off x="8191739" y="82505548"/>
                <a:ext cx="1295162" cy="536698"/>
              </a:xfrm>
              <a:prstGeom prst="roundRect">
                <a:avLst/>
              </a:prstGeom>
              <a:noFill/>
              <a:ln w="38100">
                <a:noFill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l"/>
                <a:fld id="{D47C1EB4-55E9-4719-80AE-E3570301D038}" type="TxLink">
                  <a:rPr lang="en-US" sz="2800" b="1" i="0" u="none" strike="noStrike">
                    <a:solidFill>
                      <a:schemeClr val="accent6">
                        <a:lumMod val="75000"/>
                      </a:schemeClr>
                    </a:solidFill>
                    <a:latin typeface="Calibri"/>
                    <a:ea typeface="Calibri"/>
                    <a:cs typeface="Calibri"/>
                  </a:rPr>
                  <a:pPr algn="l"/>
                  <a:t>5734</a:t>
                </a:fld>
                <a:endParaRPr lang="en-US" sz="2800" b="1" i="0" u="none" strike="noStrike">
                  <a:solidFill>
                    <a:schemeClr val="accent6">
                      <a:lumMod val="75000"/>
                    </a:schemeClr>
                  </a:solidFill>
                  <a:latin typeface="Calibri"/>
                  <a:ea typeface="Calibri"/>
                  <a:cs typeface="Calibri"/>
                </a:endParaRPr>
              </a:p>
            </xdr:txBody>
          </xdr:sp>
        </xdr:grpSp>
        <xdr:grpSp>
          <xdr:nvGrpSpPr>
            <xdr:cNvPr id="180" name="Grupo 4195">
              <a:extLst>
                <a:ext uri="{FF2B5EF4-FFF2-40B4-BE49-F238E27FC236}">
                  <a16:creationId xmlns:a16="http://schemas.microsoft.com/office/drawing/2014/main" id="{F4D11D19-CEE3-67A2-0ABC-C82AE1B0A246}"/>
                </a:ext>
              </a:extLst>
            </xdr:cNvPr>
            <xdr:cNvGrpSpPr>
              <a:grpSpLocks noChangeAspect="1"/>
            </xdr:cNvGrpSpPr>
          </xdr:nvGrpSpPr>
          <xdr:grpSpPr>
            <a:xfrm>
              <a:off x="15687910" y="79262286"/>
              <a:ext cx="4565197" cy="3524250"/>
              <a:chOff x="970709" y="75768573"/>
              <a:chExt cx="4586007" cy="3552264"/>
            </a:xfrm>
            <a:noFill/>
          </xdr:grpSpPr>
          <xdr:sp macro="" textlink="">
            <xdr:nvSpPr>
              <xdr:cNvPr id="188" name="Rectángulo: esquinas redondeadas 4197">
                <a:extLst>
                  <a:ext uri="{FF2B5EF4-FFF2-40B4-BE49-F238E27FC236}">
                    <a16:creationId xmlns:a16="http://schemas.microsoft.com/office/drawing/2014/main" id="{7E90B304-1815-EA6D-B4CE-ADCBD6A4BCEF}"/>
                  </a:ext>
                </a:extLst>
              </xdr:cNvPr>
              <xdr:cNvSpPr/>
            </xdr:nvSpPr>
            <xdr:spPr>
              <a:xfrm>
                <a:off x="970709" y="75768573"/>
                <a:ext cx="4586007" cy="3552264"/>
              </a:xfrm>
              <a:prstGeom prst="roundRect">
                <a:avLst/>
              </a:prstGeom>
              <a:solidFill>
                <a:schemeClr val="accent4">
                  <a:lumMod val="60000"/>
                  <a:lumOff val="40000"/>
                </a:schemeClr>
              </a:solidFill>
              <a:ln w="38100">
                <a:solidFill>
                  <a:schemeClr val="accent4">
                    <a:lumMod val="50000"/>
                  </a:schemeClr>
                </a:solidFill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s-PE" sz="1100"/>
              </a:p>
            </xdr:txBody>
          </xdr:sp>
          <xdr:sp macro="" textlink="">
            <xdr:nvSpPr>
              <xdr:cNvPr id="189" name="Rectángulo: esquinas redondeadas 4198">
                <a:extLst>
                  <a:ext uri="{FF2B5EF4-FFF2-40B4-BE49-F238E27FC236}">
                    <a16:creationId xmlns:a16="http://schemas.microsoft.com/office/drawing/2014/main" id="{DFF667F8-21B0-69E7-0995-992454E78116}"/>
                  </a:ext>
                </a:extLst>
              </xdr:cNvPr>
              <xdr:cNvSpPr/>
            </xdr:nvSpPr>
            <xdr:spPr>
              <a:xfrm>
                <a:off x="1271588" y="75864943"/>
                <a:ext cx="3997147" cy="1022818"/>
              </a:xfrm>
              <a:prstGeom prst="roundRect">
                <a:avLst/>
              </a:prstGeom>
              <a:grpFill/>
              <a:ln w="38100">
                <a:noFill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es-PE" sz="4800">
                    <a:effectLst/>
                  </a:rPr>
                  <a:t>🔋</a:t>
                </a:r>
                <a:r>
                  <a:rPr lang="es-PE" sz="4800" b="1" i="0">
                    <a:solidFill>
                      <a:schemeClr val="accent1">
                        <a:lumMod val="7500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ENERGIA</a:t>
                </a:r>
                <a:endParaRPr lang="es-PE" sz="4800">
                  <a:solidFill>
                    <a:schemeClr val="accent1">
                      <a:lumMod val="75000"/>
                    </a:schemeClr>
                  </a:solidFill>
                </a:endParaRPr>
              </a:p>
            </xdr:txBody>
          </xdr:sp>
          <xdr:sp macro="" textlink="$U$342">
            <xdr:nvSpPr>
              <xdr:cNvPr id="190" name="Rectángulo: esquinas redondeadas 4199">
                <a:extLst>
                  <a:ext uri="{FF2B5EF4-FFF2-40B4-BE49-F238E27FC236}">
                    <a16:creationId xmlns:a16="http://schemas.microsoft.com/office/drawing/2014/main" id="{3BA9EC20-7A67-E87C-DF69-D908682C3385}"/>
                  </a:ext>
                </a:extLst>
              </xdr:cNvPr>
              <xdr:cNvSpPr/>
            </xdr:nvSpPr>
            <xdr:spPr>
              <a:xfrm>
                <a:off x="1023098" y="76919048"/>
                <a:ext cx="4521078" cy="1199029"/>
              </a:xfrm>
              <a:prstGeom prst="roundRect">
                <a:avLst/>
              </a:prstGeom>
              <a:grpFill/>
              <a:ln w="38100">
                <a:noFill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FDF4E2E0-A1A4-4D74-91FD-0653E302DAEF}" type="TxLink">
                  <a:rPr lang="en-US" sz="7200" b="0" i="0" u="none" strike="noStrike">
                    <a:solidFill>
                      <a:schemeClr val="accent4">
                        <a:lumMod val="75000"/>
                      </a:schemeClr>
                    </a:solidFill>
                    <a:latin typeface="Calibri"/>
                    <a:ea typeface="Calibri"/>
                    <a:cs typeface="Calibri"/>
                  </a:rPr>
                  <a:pPr algn="ctr"/>
                  <a:t>7118 kWh</a:t>
                </a:fld>
                <a:endParaRPr lang="es-PE" sz="7200">
                  <a:solidFill>
                    <a:schemeClr val="accent4">
                      <a:lumMod val="75000"/>
                    </a:schemeClr>
                  </a:solidFill>
                </a:endParaRPr>
              </a:p>
            </xdr:txBody>
          </xdr:sp>
          <xdr:sp macro="" textlink="">
            <xdr:nvSpPr>
              <xdr:cNvPr id="191" name="Rectángulo: esquinas redondeadas 4200">
                <a:extLst>
                  <a:ext uri="{FF2B5EF4-FFF2-40B4-BE49-F238E27FC236}">
                    <a16:creationId xmlns:a16="http://schemas.microsoft.com/office/drawing/2014/main" id="{0D03D623-5C69-ADA5-3D11-5B442821056F}"/>
                  </a:ext>
                </a:extLst>
              </xdr:cNvPr>
              <xdr:cNvSpPr/>
            </xdr:nvSpPr>
            <xdr:spPr>
              <a:xfrm>
                <a:off x="1669604" y="77880067"/>
                <a:ext cx="860520" cy="711900"/>
              </a:xfrm>
              <a:prstGeom prst="roundRect">
                <a:avLst/>
              </a:prstGeom>
              <a:grpFill/>
              <a:ln w="38100">
                <a:noFill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l"/>
                <a:r>
                  <a:rPr lang="es-PE" sz="3600" b="0" i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🎯 </a:t>
                </a:r>
                <a:endParaRPr lang="es-PE" sz="13800">
                  <a:solidFill>
                    <a:schemeClr val="accent1">
                      <a:lumMod val="75000"/>
                    </a:schemeClr>
                  </a:solidFill>
                </a:endParaRPr>
              </a:p>
            </xdr:txBody>
          </xdr:sp>
          <xdr:sp macro="" textlink="$R$342">
            <xdr:nvSpPr>
              <xdr:cNvPr id="192" name="Rectángulo: esquinas redondeadas 4201">
                <a:extLst>
                  <a:ext uri="{FF2B5EF4-FFF2-40B4-BE49-F238E27FC236}">
                    <a16:creationId xmlns:a16="http://schemas.microsoft.com/office/drawing/2014/main" id="{1968CA9C-74CF-FEB3-F7BA-8E4510239653}"/>
                  </a:ext>
                </a:extLst>
              </xdr:cNvPr>
              <xdr:cNvSpPr/>
            </xdr:nvSpPr>
            <xdr:spPr>
              <a:xfrm>
                <a:off x="1725090" y="77974273"/>
                <a:ext cx="3099584" cy="711120"/>
              </a:xfrm>
              <a:prstGeom prst="roundRect">
                <a:avLst/>
              </a:prstGeom>
              <a:grpFill/>
              <a:ln w="38100">
                <a:noFill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r"/>
                <a:fld id="{255722A7-E9A6-4D54-AF3E-C61942787C08}" type="TxLink">
                  <a:rPr lang="en-US" sz="4400" b="1" i="0" u="none" strike="noStrike">
                    <a:solidFill>
                      <a:schemeClr val="accent2">
                        <a:lumMod val="75000"/>
                      </a:schemeClr>
                    </a:solidFill>
                    <a:latin typeface="Calibri"/>
                    <a:ea typeface="Calibri"/>
                    <a:cs typeface="Calibri"/>
                  </a:rPr>
                  <a:pPr algn="r"/>
                  <a:t>NORMAL</a:t>
                </a:fld>
                <a:endParaRPr lang="es-PE" sz="4400" b="1">
                  <a:solidFill>
                    <a:schemeClr val="accent2">
                      <a:lumMod val="75000"/>
                    </a:schemeClr>
                  </a:solidFill>
                </a:endParaRPr>
              </a:p>
            </xdr:txBody>
          </xdr:sp>
          <xdr:sp macro="" textlink="">
            <xdr:nvSpPr>
              <xdr:cNvPr id="193" name="Rectángulo: esquinas redondeadas 4202">
                <a:extLst>
                  <a:ext uri="{FF2B5EF4-FFF2-40B4-BE49-F238E27FC236}">
                    <a16:creationId xmlns:a16="http://schemas.microsoft.com/office/drawing/2014/main" id="{267C5853-BB76-886E-D7A7-52BC47692370}"/>
                  </a:ext>
                </a:extLst>
              </xdr:cNvPr>
              <xdr:cNvSpPr/>
            </xdr:nvSpPr>
            <xdr:spPr>
              <a:xfrm>
                <a:off x="1698032" y="78627912"/>
                <a:ext cx="3247103" cy="540964"/>
              </a:xfrm>
              <a:prstGeom prst="roundRect">
                <a:avLst/>
              </a:prstGeom>
              <a:noFill/>
              <a:ln w="38100">
                <a:noFill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s-PE" sz="2800">
                    <a:solidFill>
                      <a:schemeClr val="accent4">
                        <a:lumMod val="5000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Máximo: 8000 kWh</a:t>
                </a:r>
                <a:endParaRPr lang="en-US" sz="4800" b="1" i="0" u="none" strike="noStrike">
                  <a:solidFill>
                    <a:schemeClr val="accent4">
                      <a:lumMod val="50000"/>
                    </a:schemeClr>
                  </a:solidFill>
                  <a:latin typeface="Calibri"/>
                  <a:ea typeface="Calibri"/>
                  <a:cs typeface="Calibri"/>
                </a:endParaRPr>
              </a:p>
            </xdr:txBody>
          </xdr:sp>
        </xdr:grpSp>
        <xdr:grpSp>
          <xdr:nvGrpSpPr>
            <xdr:cNvPr id="181" name="Grupo 4205">
              <a:extLst>
                <a:ext uri="{FF2B5EF4-FFF2-40B4-BE49-F238E27FC236}">
                  <a16:creationId xmlns:a16="http://schemas.microsoft.com/office/drawing/2014/main" id="{84CA2B23-DA46-051C-E4D2-44F5980681D0}"/>
                </a:ext>
              </a:extLst>
            </xdr:cNvPr>
            <xdr:cNvGrpSpPr>
              <a:grpSpLocks noChangeAspect="1"/>
            </xdr:cNvGrpSpPr>
          </xdr:nvGrpSpPr>
          <xdr:grpSpPr>
            <a:xfrm>
              <a:off x="20663423" y="79293459"/>
              <a:ext cx="4573856" cy="3524250"/>
              <a:chOff x="970709" y="75768573"/>
              <a:chExt cx="4586007" cy="3552264"/>
            </a:xfrm>
            <a:noFill/>
          </xdr:grpSpPr>
          <xdr:sp macro="" textlink="">
            <xdr:nvSpPr>
              <xdr:cNvPr id="182" name="Rectángulo: esquinas redondeadas 4206">
                <a:extLst>
                  <a:ext uri="{FF2B5EF4-FFF2-40B4-BE49-F238E27FC236}">
                    <a16:creationId xmlns:a16="http://schemas.microsoft.com/office/drawing/2014/main" id="{55DCF729-3498-C6E7-DB00-3E029144C631}"/>
                  </a:ext>
                </a:extLst>
              </xdr:cNvPr>
              <xdr:cNvSpPr/>
            </xdr:nvSpPr>
            <xdr:spPr>
              <a:xfrm>
                <a:off x="970709" y="75768573"/>
                <a:ext cx="4586007" cy="3552264"/>
              </a:xfrm>
              <a:prstGeom prst="roundRect">
                <a:avLst/>
              </a:prstGeom>
              <a:solidFill>
                <a:schemeClr val="accent4">
                  <a:lumMod val="60000"/>
                  <a:lumOff val="40000"/>
                </a:schemeClr>
              </a:solidFill>
              <a:ln w="38100">
                <a:solidFill>
                  <a:schemeClr val="accent4">
                    <a:lumMod val="50000"/>
                  </a:schemeClr>
                </a:solidFill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s-PE" sz="1100"/>
              </a:p>
            </xdr:txBody>
          </xdr:sp>
          <xdr:sp macro="" textlink="">
            <xdr:nvSpPr>
              <xdr:cNvPr id="183" name="Rectángulo: esquinas redondeadas 4207">
                <a:extLst>
                  <a:ext uri="{FF2B5EF4-FFF2-40B4-BE49-F238E27FC236}">
                    <a16:creationId xmlns:a16="http://schemas.microsoft.com/office/drawing/2014/main" id="{EBBBADAA-B40E-0A54-BCC9-184721E7FA96}"/>
                  </a:ext>
                </a:extLst>
              </xdr:cNvPr>
              <xdr:cNvSpPr/>
            </xdr:nvSpPr>
            <xdr:spPr>
              <a:xfrm>
                <a:off x="1271588" y="75864943"/>
                <a:ext cx="3997147" cy="1022818"/>
              </a:xfrm>
              <a:prstGeom prst="roundRect">
                <a:avLst/>
              </a:prstGeom>
              <a:grpFill/>
              <a:ln w="38100">
                <a:noFill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s-PE" sz="3600" b="1">
                    <a:effectLst/>
                  </a:rPr>
                  <a:t>🔌</a:t>
                </a:r>
                <a:r>
                  <a:rPr lang="es-PE" sz="2800" b="1" i="0">
                    <a:solidFill>
                      <a:schemeClr val="accent1">
                        <a:lumMod val="7500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POTENCIA ACTIVA</a:t>
                </a:r>
                <a:endParaRPr lang="es-PE" sz="4800" b="1">
                  <a:solidFill>
                    <a:schemeClr val="accent1">
                      <a:lumMod val="75000"/>
                    </a:schemeClr>
                  </a:solidFill>
                </a:endParaRPr>
              </a:p>
            </xdr:txBody>
          </xdr:sp>
          <xdr:sp macro="" textlink="$U$343">
            <xdr:nvSpPr>
              <xdr:cNvPr id="184" name="Rectángulo: esquinas redondeadas 4208">
                <a:extLst>
                  <a:ext uri="{FF2B5EF4-FFF2-40B4-BE49-F238E27FC236}">
                    <a16:creationId xmlns:a16="http://schemas.microsoft.com/office/drawing/2014/main" id="{DE6A3A33-8B13-5A4C-77A4-1E06ED34A667}"/>
                  </a:ext>
                </a:extLst>
              </xdr:cNvPr>
              <xdr:cNvSpPr/>
            </xdr:nvSpPr>
            <xdr:spPr>
              <a:xfrm>
                <a:off x="1023098" y="76919048"/>
                <a:ext cx="4521078" cy="1199029"/>
              </a:xfrm>
              <a:prstGeom prst="roundRect">
                <a:avLst/>
              </a:prstGeom>
              <a:grpFill/>
              <a:ln w="38100">
                <a:noFill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BFCFC777-9486-4778-8222-6074AF44F8E0}" type="TxLink">
                  <a:rPr lang="en-US" sz="7200" b="0" i="0" u="none" strike="noStrike">
                    <a:solidFill>
                      <a:schemeClr val="accent4">
                        <a:lumMod val="75000"/>
                      </a:schemeClr>
                    </a:solidFill>
                    <a:latin typeface="Calibri"/>
                    <a:ea typeface="Calibri"/>
                    <a:cs typeface="Calibri"/>
                  </a:rPr>
                  <a:pPr algn="ctr"/>
                  <a:t>297 kW</a:t>
                </a:fld>
                <a:endParaRPr lang="es-PE" sz="7200">
                  <a:solidFill>
                    <a:schemeClr val="accent4">
                      <a:lumMod val="75000"/>
                    </a:schemeClr>
                  </a:solidFill>
                </a:endParaRPr>
              </a:p>
            </xdr:txBody>
          </xdr:sp>
          <xdr:sp macro="" textlink="">
            <xdr:nvSpPr>
              <xdr:cNvPr id="185" name="Rectángulo: esquinas redondeadas 4209">
                <a:extLst>
                  <a:ext uri="{FF2B5EF4-FFF2-40B4-BE49-F238E27FC236}">
                    <a16:creationId xmlns:a16="http://schemas.microsoft.com/office/drawing/2014/main" id="{35FD6887-FAB7-2F18-55D8-00A580529BF6}"/>
                  </a:ext>
                </a:extLst>
              </xdr:cNvPr>
              <xdr:cNvSpPr/>
            </xdr:nvSpPr>
            <xdr:spPr>
              <a:xfrm>
                <a:off x="1789209" y="77880067"/>
                <a:ext cx="860520" cy="711900"/>
              </a:xfrm>
              <a:prstGeom prst="roundRect">
                <a:avLst/>
              </a:prstGeom>
              <a:grpFill/>
              <a:ln w="38100">
                <a:noFill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l"/>
                <a:r>
                  <a:rPr lang="es-PE" sz="3600" b="0" i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🎯 </a:t>
                </a:r>
                <a:endParaRPr lang="es-PE" sz="13800">
                  <a:solidFill>
                    <a:schemeClr val="accent1">
                      <a:lumMod val="75000"/>
                    </a:schemeClr>
                  </a:solidFill>
                </a:endParaRPr>
              </a:p>
            </xdr:txBody>
          </xdr:sp>
          <xdr:sp macro="" textlink="$R$343">
            <xdr:nvSpPr>
              <xdr:cNvPr id="186" name="Rectángulo: esquinas redondeadas 4210">
                <a:extLst>
                  <a:ext uri="{FF2B5EF4-FFF2-40B4-BE49-F238E27FC236}">
                    <a16:creationId xmlns:a16="http://schemas.microsoft.com/office/drawing/2014/main" id="{7E119A21-352C-F6A8-FCE0-C1AE7F1BB60B}"/>
                  </a:ext>
                </a:extLst>
              </xdr:cNvPr>
              <xdr:cNvSpPr/>
            </xdr:nvSpPr>
            <xdr:spPr>
              <a:xfrm>
                <a:off x="1725090" y="77974273"/>
                <a:ext cx="3099584" cy="711120"/>
              </a:xfrm>
              <a:prstGeom prst="roundRect">
                <a:avLst/>
              </a:prstGeom>
              <a:grpFill/>
              <a:ln w="38100">
                <a:noFill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r"/>
                <a:fld id="{04E587A9-BD8B-4726-83AD-1EB6A4698A12}" type="TxLink">
                  <a:rPr lang="en-US" sz="4400" b="1" i="0" u="none" strike="noStrike">
                    <a:solidFill>
                      <a:schemeClr val="accent2">
                        <a:lumMod val="75000"/>
                      </a:schemeClr>
                    </a:solidFill>
                    <a:latin typeface="Calibri"/>
                    <a:ea typeface="Calibri"/>
                    <a:cs typeface="Calibri"/>
                  </a:rPr>
                  <a:pPr algn="r"/>
                  <a:t>NORMAL</a:t>
                </a:fld>
                <a:endParaRPr lang="es-PE" sz="4400" b="1">
                  <a:solidFill>
                    <a:schemeClr val="accent2">
                      <a:lumMod val="75000"/>
                    </a:schemeClr>
                  </a:solidFill>
                </a:endParaRPr>
              </a:p>
            </xdr:txBody>
          </xdr:sp>
          <xdr:sp macro="" textlink="">
            <xdr:nvSpPr>
              <xdr:cNvPr id="187" name="Rectángulo: esquinas redondeadas 4211">
                <a:extLst>
                  <a:ext uri="{FF2B5EF4-FFF2-40B4-BE49-F238E27FC236}">
                    <a16:creationId xmlns:a16="http://schemas.microsoft.com/office/drawing/2014/main" id="{4971674F-1931-2125-2AC9-DD3842A1221D}"/>
                  </a:ext>
                </a:extLst>
              </xdr:cNvPr>
              <xdr:cNvSpPr/>
            </xdr:nvSpPr>
            <xdr:spPr>
              <a:xfrm>
                <a:off x="1770963" y="78627912"/>
                <a:ext cx="3056097" cy="540964"/>
              </a:xfrm>
              <a:prstGeom prst="roundRect">
                <a:avLst/>
              </a:prstGeom>
              <a:noFill/>
              <a:ln w="38100">
                <a:noFill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s-PE" sz="2800">
                    <a:solidFill>
                      <a:schemeClr val="accent4">
                        <a:lumMod val="5000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Máximo: 350</a:t>
                </a:r>
                <a:r>
                  <a:rPr lang="es-PE" sz="2800" baseline="0">
                    <a:solidFill>
                      <a:schemeClr val="accent4">
                        <a:lumMod val="5000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 kW</a:t>
                </a:r>
                <a:endParaRPr lang="en-US" sz="4800" b="1" i="0" u="none" strike="noStrike">
                  <a:solidFill>
                    <a:schemeClr val="accent4">
                      <a:lumMod val="50000"/>
                    </a:schemeClr>
                  </a:solidFill>
                  <a:latin typeface="Calibri"/>
                  <a:ea typeface="Calibri"/>
                  <a:cs typeface="Calibri"/>
                </a:endParaRPr>
              </a:p>
            </xdr:txBody>
          </xdr:sp>
        </xdr:grpSp>
      </xdr:grpSp>
      <xdr:grpSp>
        <xdr:nvGrpSpPr>
          <xdr:cNvPr id="161" name="Grupo 4223">
            <a:extLst>
              <a:ext uri="{FF2B5EF4-FFF2-40B4-BE49-F238E27FC236}">
                <a16:creationId xmlns:a16="http://schemas.microsoft.com/office/drawing/2014/main" id="{CC9EB18C-206B-EAE3-1492-A4053BA9C344}"/>
              </a:ext>
            </a:extLst>
          </xdr:cNvPr>
          <xdr:cNvGrpSpPr/>
        </xdr:nvGrpSpPr>
        <xdr:grpSpPr>
          <a:xfrm>
            <a:off x="822554" y="92997339"/>
            <a:ext cx="24408070" cy="4306803"/>
            <a:chOff x="822554" y="83335958"/>
            <a:chExt cx="24431685" cy="4306803"/>
          </a:xfrm>
        </xdr:grpSpPr>
        <xdr:grpSp>
          <xdr:nvGrpSpPr>
            <xdr:cNvPr id="167" name="Grupo 4222">
              <a:extLst>
                <a:ext uri="{FF2B5EF4-FFF2-40B4-BE49-F238E27FC236}">
                  <a16:creationId xmlns:a16="http://schemas.microsoft.com/office/drawing/2014/main" id="{5D1824F6-629B-DC07-9A8E-2A86A30D75EF}"/>
                </a:ext>
              </a:extLst>
            </xdr:cNvPr>
            <xdr:cNvGrpSpPr/>
          </xdr:nvGrpSpPr>
          <xdr:grpSpPr>
            <a:xfrm>
              <a:off x="822554" y="83335958"/>
              <a:ext cx="24431685" cy="4306803"/>
              <a:chOff x="822554" y="83557383"/>
              <a:chExt cx="24425500" cy="4306803"/>
            </a:xfrm>
          </xdr:grpSpPr>
          <xdr:graphicFrame macro="">
            <xdr:nvGraphicFramePr>
              <xdr:cNvPr id="169" name="Gráfico 4214">
                <a:extLst>
                  <a:ext uri="{FF2B5EF4-FFF2-40B4-BE49-F238E27FC236}">
                    <a16:creationId xmlns:a16="http://schemas.microsoft.com/office/drawing/2014/main" id="{C03C5169-D261-A140-B842-01B159D826E4}"/>
                  </a:ext>
                </a:extLst>
              </xdr:cNvPr>
              <xdr:cNvGraphicFramePr/>
            </xdr:nvGraphicFramePr>
            <xdr:xfrm>
              <a:off x="1738312" y="83559546"/>
              <a:ext cx="23509742" cy="4298373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9"/>
              </a:graphicData>
            </a:graphic>
          </xdr:graphicFrame>
          <xdr:sp macro="" textlink="">
            <xdr:nvSpPr>
              <xdr:cNvPr id="170" name="Rectángulo 4221">
                <a:extLst>
                  <a:ext uri="{FF2B5EF4-FFF2-40B4-BE49-F238E27FC236}">
                    <a16:creationId xmlns:a16="http://schemas.microsoft.com/office/drawing/2014/main" id="{CAEBD427-787C-CFAC-5F6B-DE1B0D5B2479}"/>
                  </a:ext>
                </a:extLst>
              </xdr:cNvPr>
              <xdr:cNvSpPr/>
            </xdr:nvSpPr>
            <xdr:spPr>
              <a:xfrm rot="16200000">
                <a:off x="-872458" y="85252395"/>
                <a:ext cx="4306803" cy="916780"/>
              </a:xfrm>
              <a:prstGeom prst="rect">
                <a:avLst/>
              </a:prstGeom>
              <a:solidFill>
                <a:schemeClr val="tx2">
                  <a:lumMod val="20000"/>
                  <a:lumOff val="8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s-PE" sz="6000">
                    <a:solidFill>
                      <a:schemeClr val="accent1">
                        <a:lumMod val="50000"/>
                      </a:schemeClr>
                    </a:solidFill>
                  </a:rPr>
                  <a:t>ENERGIA</a:t>
                </a:r>
              </a:p>
            </xdr:txBody>
          </xdr:sp>
        </xdr:grpSp>
        <xdr:sp macro="" textlink="">
          <xdr:nvSpPr>
            <xdr:cNvPr id="168" name="Rectángulo: esquinas redondeadas 4215">
              <a:extLst>
                <a:ext uri="{FF2B5EF4-FFF2-40B4-BE49-F238E27FC236}">
                  <a16:creationId xmlns:a16="http://schemas.microsoft.com/office/drawing/2014/main" id="{324EDA84-4EDC-4D3C-A6AD-832CF53BC2FE}"/>
                </a:ext>
              </a:extLst>
            </xdr:cNvPr>
            <xdr:cNvSpPr/>
          </xdr:nvSpPr>
          <xdr:spPr>
            <a:xfrm>
              <a:off x="2182958" y="83945557"/>
              <a:ext cx="1775114" cy="848591"/>
            </a:xfrm>
            <a:prstGeom prst="roundRect">
              <a:avLst/>
            </a:prstGeom>
            <a:noFill/>
            <a:ln w="38100">
              <a:noFill/>
            </a:ln>
          </xdr:spPr>
          <xdr:style>
            <a:lnRef idx="2">
              <a:schemeClr val="accent1"/>
            </a:lnRef>
            <a:fillRef idx="1">
              <a:schemeClr val="l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4400" b="1" i="0" u="none" strike="noStrike">
                  <a:solidFill>
                    <a:srgbClr val="C00000"/>
                  </a:solidFill>
                  <a:latin typeface="Calibri"/>
                  <a:ea typeface="Calibri"/>
                  <a:cs typeface="Calibri"/>
                </a:rPr>
                <a:t>75 m3</a:t>
              </a:r>
            </a:p>
          </xdr:txBody>
        </xdr:sp>
      </xdr:grpSp>
      <xdr:grpSp>
        <xdr:nvGrpSpPr>
          <xdr:cNvPr id="162" name="Grupo 4224">
            <a:extLst>
              <a:ext uri="{FF2B5EF4-FFF2-40B4-BE49-F238E27FC236}">
                <a16:creationId xmlns:a16="http://schemas.microsoft.com/office/drawing/2014/main" id="{4B28C9D4-5CEB-E96A-AD3A-207706569854}"/>
              </a:ext>
            </a:extLst>
          </xdr:cNvPr>
          <xdr:cNvGrpSpPr/>
        </xdr:nvGrpSpPr>
        <xdr:grpSpPr>
          <a:xfrm>
            <a:off x="817147" y="97306114"/>
            <a:ext cx="24389608" cy="4541739"/>
            <a:chOff x="817147" y="87644733"/>
            <a:chExt cx="24413279" cy="4541739"/>
          </a:xfrm>
        </xdr:grpSpPr>
        <xdr:graphicFrame macro="">
          <xdr:nvGraphicFramePr>
            <xdr:cNvPr id="164" name="Gráfico 4217">
              <a:extLst>
                <a:ext uri="{FF2B5EF4-FFF2-40B4-BE49-F238E27FC236}">
                  <a16:creationId xmlns:a16="http://schemas.microsoft.com/office/drawing/2014/main" id="{5C528FCD-5DA2-2FDA-74FC-D872E43C14B2}"/>
                </a:ext>
              </a:extLst>
            </xdr:cNvPr>
            <xdr:cNvGraphicFramePr/>
          </xdr:nvGraphicFramePr>
          <xdr:xfrm>
            <a:off x="1714501" y="87647810"/>
            <a:ext cx="23515925" cy="453866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0"/>
            </a:graphicData>
          </a:graphic>
        </xdr:graphicFrame>
        <xdr:sp macro="" textlink="">
          <xdr:nvSpPr>
            <xdr:cNvPr id="165" name="Rectángulo: esquinas redondeadas 4218">
              <a:extLst>
                <a:ext uri="{FF2B5EF4-FFF2-40B4-BE49-F238E27FC236}">
                  <a16:creationId xmlns:a16="http://schemas.microsoft.com/office/drawing/2014/main" id="{BE98D10C-DE86-C46D-AB2F-1F00E226DAFF}"/>
                </a:ext>
              </a:extLst>
            </xdr:cNvPr>
            <xdr:cNvSpPr/>
          </xdr:nvSpPr>
          <xdr:spPr>
            <a:xfrm>
              <a:off x="2326945" y="87738238"/>
              <a:ext cx="2764416" cy="848591"/>
            </a:xfrm>
            <a:prstGeom prst="roundRect">
              <a:avLst/>
            </a:prstGeom>
            <a:noFill/>
            <a:ln w="38100">
              <a:noFill/>
            </a:ln>
          </xdr:spPr>
          <xdr:style>
            <a:lnRef idx="2">
              <a:schemeClr val="accent1"/>
            </a:lnRef>
            <a:fillRef idx="1">
              <a:schemeClr val="l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4400" b="1" i="0" u="none" strike="noStrike">
                  <a:solidFill>
                    <a:srgbClr val="C00000"/>
                  </a:solidFill>
                  <a:latin typeface="Calibri"/>
                  <a:ea typeface="Calibri"/>
                  <a:cs typeface="Calibri"/>
                </a:rPr>
                <a:t>8000</a:t>
              </a:r>
              <a:r>
                <a:rPr lang="en-US" sz="4400" b="1" i="0" u="none" strike="noStrike" baseline="0">
                  <a:solidFill>
                    <a:srgbClr val="C00000"/>
                  </a:solidFill>
                  <a:latin typeface="Calibri"/>
                  <a:ea typeface="Calibri"/>
                  <a:cs typeface="Calibri"/>
                </a:rPr>
                <a:t> kWh</a:t>
              </a:r>
              <a:endParaRPr lang="en-US" sz="4400" b="1" i="0" u="none" strike="noStrike">
                <a:solidFill>
                  <a:srgbClr val="C00000"/>
                </a:solidFill>
                <a:latin typeface="Calibri"/>
                <a:ea typeface="Calibri"/>
                <a:cs typeface="Calibri"/>
              </a:endParaRPr>
            </a:p>
          </xdr:txBody>
        </xdr:sp>
        <xdr:sp macro="" textlink="">
          <xdr:nvSpPr>
            <xdr:cNvPr id="166" name="Rectángulo 4220">
              <a:extLst>
                <a:ext uri="{FF2B5EF4-FFF2-40B4-BE49-F238E27FC236}">
                  <a16:creationId xmlns:a16="http://schemas.microsoft.com/office/drawing/2014/main" id="{0D5B092C-195D-ECFA-ADBD-AFB24F8CAE50}"/>
                </a:ext>
              </a:extLst>
            </xdr:cNvPr>
            <xdr:cNvSpPr/>
          </xdr:nvSpPr>
          <xdr:spPr>
            <a:xfrm rot="16200000">
              <a:off x="-993946" y="89455826"/>
              <a:ext cx="4536281" cy="914095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PE" sz="6000">
                  <a:solidFill>
                    <a:schemeClr val="accent4">
                      <a:lumMod val="50000"/>
                    </a:schemeClr>
                  </a:solidFill>
                </a:rPr>
                <a:t>ENERGIA</a:t>
              </a:r>
            </a:p>
          </xdr:txBody>
        </xdr:sp>
      </xdr:grpSp>
      <xdr:graphicFrame macro="">
        <xdr:nvGraphicFramePr>
          <xdr:cNvPr id="163" name="Gráfico 4225">
            <a:extLst>
              <a:ext uri="{FF2B5EF4-FFF2-40B4-BE49-F238E27FC236}">
                <a16:creationId xmlns:a16="http://schemas.microsoft.com/office/drawing/2014/main" id="{DFDBC648-E90F-6D88-52CC-0043E95AD33B}"/>
              </a:ext>
            </a:extLst>
          </xdr:cNvPr>
          <xdr:cNvGraphicFramePr/>
        </xdr:nvGraphicFramePr>
        <xdr:xfrm>
          <a:off x="1783773" y="101828744"/>
          <a:ext cx="23425438" cy="472786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</xdr:grpSp>
    <xdr:clientData/>
  </xdr:twoCellAnchor>
  <xdr:twoCellAnchor>
    <xdr:from>
      <xdr:col>1</xdr:col>
      <xdr:colOff>51956</xdr:colOff>
      <xdr:row>409</xdr:row>
      <xdr:rowOff>185405</xdr:rowOff>
    </xdr:from>
    <xdr:to>
      <xdr:col>1</xdr:col>
      <xdr:colOff>1030941</xdr:colOff>
      <xdr:row>434</xdr:row>
      <xdr:rowOff>145679</xdr:rowOff>
    </xdr:to>
    <xdr:sp macro="" textlink="">
      <xdr:nvSpPr>
        <xdr:cNvPr id="265" name="Rectángulo 264">
          <a:extLst>
            <a:ext uri="{FF2B5EF4-FFF2-40B4-BE49-F238E27FC236}">
              <a16:creationId xmlns:a16="http://schemas.microsoft.com/office/drawing/2014/main" id="{16D30366-8A37-4A4C-A3B5-B80896D5EC20}"/>
            </a:ext>
          </a:extLst>
        </xdr:cNvPr>
        <xdr:cNvSpPr/>
      </xdr:nvSpPr>
      <xdr:spPr>
        <a:xfrm rot="16200000">
          <a:off x="-1057938" y="98412199"/>
          <a:ext cx="4722774" cy="97898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20000"/>
              <a:lumOff val="8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6000">
              <a:solidFill>
                <a:schemeClr val="accent6">
                  <a:lumMod val="50000"/>
                </a:schemeClr>
              </a:solidFill>
            </a:rPr>
            <a:t>P.ACTIVA</a:t>
          </a:r>
        </a:p>
      </xdr:txBody>
    </xdr:sp>
    <xdr:clientData/>
  </xdr:twoCellAnchor>
  <xdr:twoCellAnchor>
    <xdr:from>
      <xdr:col>1</xdr:col>
      <xdr:colOff>1341022</xdr:colOff>
      <xdr:row>409</xdr:row>
      <xdr:rowOff>79676</xdr:rowOff>
    </xdr:from>
    <xdr:to>
      <xdr:col>2</xdr:col>
      <xdr:colOff>1437409</xdr:colOff>
      <xdr:row>413</xdr:row>
      <xdr:rowOff>166267</xdr:rowOff>
    </xdr:to>
    <xdr:sp macro="" textlink="">
      <xdr:nvSpPr>
        <xdr:cNvPr id="266" name="Rectángulo: esquinas redondeadas 265">
          <a:extLst>
            <a:ext uri="{FF2B5EF4-FFF2-40B4-BE49-F238E27FC236}">
              <a16:creationId xmlns:a16="http://schemas.microsoft.com/office/drawing/2014/main" id="{BAA94C08-8EA4-419C-934E-C9BC128545A9}"/>
            </a:ext>
          </a:extLst>
        </xdr:cNvPr>
        <xdr:cNvSpPr/>
      </xdr:nvSpPr>
      <xdr:spPr>
        <a:xfrm>
          <a:off x="2103022" y="96434576"/>
          <a:ext cx="2515737" cy="848591"/>
        </a:xfrm>
        <a:prstGeom prst="roundRect">
          <a:avLst/>
        </a:prstGeom>
        <a:noFill/>
        <a:ln w="38100"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4400" b="1" i="0" u="none" strike="noStrike" baseline="0">
              <a:solidFill>
                <a:srgbClr val="C00000"/>
              </a:solidFill>
              <a:latin typeface="Calibri"/>
              <a:ea typeface="Calibri"/>
              <a:cs typeface="Calibri"/>
            </a:rPr>
            <a:t>350 kW</a:t>
          </a:r>
          <a:endParaRPr lang="en-US" sz="4400" b="1" i="0" u="none" strike="noStrike">
            <a:solidFill>
              <a:srgbClr val="C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8</xdr:col>
      <xdr:colOff>989302</xdr:colOff>
      <xdr:row>329</xdr:row>
      <xdr:rowOff>333376</xdr:rowOff>
    </xdr:from>
    <xdr:to>
      <xdr:col>11</xdr:col>
      <xdr:colOff>619125</xdr:colOff>
      <xdr:row>333</xdr:row>
      <xdr:rowOff>106005</xdr:rowOff>
    </xdr:to>
    <xdr:sp macro="" textlink="$P$330">
      <xdr:nvSpPr>
        <xdr:cNvPr id="267" name="Rectángulo 266">
          <a:extLst>
            <a:ext uri="{FF2B5EF4-FFF2-40B4-BE49-F238E27FC236}">
              <a16:creationId xmlns:a16="http://schemas.microsoft.com/office/drawing/2014/main" id="{9F1990B4-F2EE-43E6-B6AB-95EE273F73CC}"/>
            </a:ext>
          </a:extLst>
        </xdr:cNvPr>
        <xdr:cNvSpPr/>
      </xdr:nvSpPr>
      <xdr:spPr>
        <a:xfrm>
          <a:off x="12428827" y="79000351"/>
          <a:ext cx="6449723" cy="1220429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C1C722AB-FB1D-493A-A12D-7A876C9119E5}" type="TxLink">
            <a:rPr lang="en-US" sz="3200" b="0" i="0" u="none" strike="noStrike">
              <a:solidFill>
                <a:srgbClr val="FF0000"/>
              </a:solidFill>
              <a:latin typeface="Calibri"/>
              <a:ea typeface="Calibri"/>
              <a:cs typeface="Calibri"/>
            </a:rPr>
            <a:pPr algn="ctr"/>
            <a:t>🚨 Hay consumos fuera de rango</a:t>
          </a:fld>
          <a:endParaRPr lang="es-PE" sz="3200">
            <a:solidFill>
              <a:srgbClr val="FF0000"/>
            </a:solidFill>
          </a:endParaRPr>
        </a:p>
      </xdr:txBody>
    </xdr:sp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0.0593</cdr:x>
      <cdr:y>0.27647</cdr:y>
    </cdr:from>
    <cdr:to>
      <cdr:x>0.27808</cdr:x>
      <cdr:y>0.74525</cdr:y>
    </cdr:to>
    <cdr:grpSp>
      <cdr:nvGrpSpPr>
        <cdr:cNvPr id="11" name="Grupo 10">
          <a:extLst xmlns:a="http://schemas.openxmlformats.org/drawingml/2006/main">
            <a:ext uri="{FF2B5EF4-FFF2-40B4-BE49-F238E27FC236}">
              <a16:creationId xmlns:a16="http://schemas.microsoft.com/office/drawing/2014/main" id="{6D4CFD70-0705-1BEA-0F91-43629A3D0165}"/>
            </a:ext>
          </a:extLst>
        </cdr:cNvPr>
        <cdr:cNvGrpSpPr/>
      </cdr:nvGrpSpPr>
      <cdr:grpSpPr>
        <a:xfrm xmlns:a="http://schemas.openxmlformats.org/drawingml/2006/main">
          <a:off x="679673" y="1188371"/>
          <a:ext cx="2507570" cy="2014991"/>
          <a:chOff x="503011" y="932896"/>
          <a:chExt cx="2508249" cy="2020129"/>
        </a:xfrm>
      </cdr:grpSpPr>
      <cdr:grpSp>
        <cdr:nvGrpSpPr>
          <cdr:cNvPr id="8" name="Grupo 7">
            <a:extLst xmlns:a="http://schemas.openxmlformats.org/drawingml/2006/main">
              <a:ext uri="{FF2B5EF4-FFF2-40B4-BE49-F238E27FC236}">
                <a16:creationId xmlns:a16="http://schemas.microsoft.com/office/drawing/2014/main" id="{21BF8528-C9B4-1388-279B-86866415148F}"/>
              </a:ext>
            </a:extLst>
          </cdr:cNvPr>
          <cdr:cNvGrpSpPr/>
        </cdr:nvGrpSpPr>
        <cdr:grpSpPr>
          <a:xfrm xmlns:a="http://schemas.openxmlformats.org/drawingml/2006/main">
            <a:off x="503011" y="932896"/>
            <a:ext cx="2508249" cy="1991269"/>
            <a:chOff x="503011" y="932896"/>
            <a:chExt cx="2508249" cy="1991269"/>
          </a:xfrm>
        </cdr:grpSpPr>
        <cdr:grpSp>
          <cdr:nvGrpSpPr>
            <cdr:cNvPr id="7" name="Grupo 6">
              <a:extLst xmlns:a="http://schemas.openxmlformats.org/drawingml/2006/main">
                <a:ext uri="{FF2B5EF4-FFF2-40B4-BE49-F238E27FC236}">
                  <a16:creationId xmlns:a16="http://schemas.microsoft.com/office/drawing/2014/main" id="{6B31E792-8E8A-ACB3-A41D-FE84AC835614}"/>
                </a:ext>
              </a:extLst>
            </cdr:cNvPr>
            <cdr:cNvGrpSpPr/>
          </cdr:nvGrpSpPr>
          <cdr:grpSpPr>
            <a:xfrm xmlns:a="http://schemas.openxmlformats.org/drawingml/2006/main">
              <a:off x="503011" y="932896"/>
              <a:ext cx="2508249" cy="1529318"/>
              <a:chOff x="503011" y="932896"/>
              <a:chExt cx="2508249" cy="1529317"/>
            </a:xfrm>
          </cdr:grpSpPr>
          <cdr:sp macro="" textlink="">
            <cdr:nvSpPr>
              <cdr:cNvPr id="2" name="CuadroTexto 152">
                <a:extLst xmlns:a="http://schemas.openxmlformats.org/drawingml/2006/main">
                  <a:ext uri="{FF2B5EF4-FFF2-40B4-BE49-F238E27FC236}">
                    <a16:creationId xmlns:a16="http://schemas.microsoft.com/office/drawing/2014/main" id="{9A65E38A-A07B-42B6-827D-1B8EE685EDD6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503011" y="932896"/>
                <a:ext cx="2508249" cy="419461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chemeClr val="bg1">
                  <a:lumMod val="95000"/>
                </a:schemeClr>
              </a:solidFill>
              <a:ln xmlns:a="http://schemas.openxmlformats.org/drawingml/2006/main" w="9525" cmpd="sng">
                <a:solidFill>
                  <a:schemeClr val="bg1">
                    <a:lumMod val="95000"/>
                  </a:schemeClr>
                </a:solidFill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ctr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r>
                  <a:rPr lang="es-PE" sz="2800" b="1">
                    <a:solidFill>
                      <a:srgbClr val="002060"/>
                    </a:solidFill>
                    <a:latin typeface="+mn-lt"/>
                    <a:cs typeface="Segoe UI" panose="020B0502040204020203" pitchFamily="34" charset="0"/>
                  </a:rPr>
                  <a:t>PROGRAMADO</a:t>
                </a:r>
                <a:endParaRPr lang="es-PE" sz="3200" b="1">
                  <a:solidFill>
                    <a:srgbClr val="002060"/>
                  </a:solidFill>
                  <a:latin typeface="+mn-lt"/>
                  <a:cs typeface="Segoe UI" panose="020B0502040204020203" pitchFamily="34" charset="0"/>
                </a:endParaRPr>
              </a:p>
            </cdr:txBody>
          </cdr:sp>
          <cdr:grpSp>
            <cdr:nvGrpSpPr>
              <cdr:cNvPr id="6" name="Grupo 5">
                <a:extLst xmlns:a="http://schemas.openxmlformats.org/drawingml/2006/main">
                  <a:ext uri="{FF2B5EF4-FFF2-40B4-BE49-F238E27FC236}">
                    <a16:creationId xmlns:a16="http://schemas.microsoft.com/office/drawing/2014/main" id="{FA783DE8-213B-F7E7-12F5-1505251EADEC}"/>
                  </a:ext>
                </a:extLst>
              </cdr:cNvPr>
              <cdr:cNvGrpSpPr/>
            </cdr:nvGrpSpPr>
            <cdr:grpSpPr>
              <a:xfrm xmlns:a="http://schemas.openxmlformats.org/drawingml/2006/main">
                <a:off x="534760" y="1694565"/>
                <a:ext cx="2190749" cy="767648"/>
                <a:chOff x="829581" y="1694569"/>
                <a:chExt cx="1542144" cy="464900"/>
              </a:xfrm>
            </cdr:grpSpPr>
            <cdr:sp macro="" textlink="'PRES. ORIG.'!$W$29">
              <cdr:nvSpPr>
                <cdr:cNvPr id="3" name="CuadroTexto 152">
                  <a:extLst xmlns:a="http://schemas.openxmlformats.org/drawingml/2006/main">
                    <a:ext uri="{FF2B5EF4-FFF2-40B4-BE49-F238E27FC236}">
                      <a16:creationId xmlns:a16="http://schemas.microsoft.com/office/drawing/2014/main" id="{40CF57EE-1641-4FDD-F1DF-4705D3A66343}"/>
                    </a:ext>
                  </a:extLst>
                </cdr:cNvPr>
                <cdr:cNvSpPr txBox="1"/>
              </cdr:nvSpPr>
              <cdr:spPr>
                <a:xfrm xmlns:a="http://schemas.openxmlformats.org/drawingml/2006/main">
                  <a:off x="829581" y="1694569"/>
                  <a:ext cx="1280831" cy="464900"/>
                </a:xfrm>
                <a:prstGeom xmlns:a="http://schemas.openxmlformats.org/drawingml/2006/main" prst="rect">
                  <a:avLst/>
                </a:prstGeom>
                <a:solidFill xmlns:a="http://schemas.openxmlformats.org/drawingml/2006/main">
                  <a:schemeClr val="bg1">
                    <a:lumMod val="95000"/>
                  </a:schemeClr>
                </a:solidFill>
                <a:ln xmlns:a="http://schemas.openxmlformats.org/drawingml/2006/main" w="9525" cmpd="sng">
                  <a:solidFill>
                    <a:schemeClr val="bg1">
                      <a:lumMod val="95000"/>
                    </a:schemeClr>
                  </a:solidFill>
                </a:ln>
              </cdr:spPr>
              <cdr:style>
                <a:lnRef xmlns:a="http://schemas.openxmlformats.org/drawingml/2006/main" idx="0">
                  <a:scrgbClr r="0" g="0" b="0"/>
                </a:lnRef>
                <a:fillRef xmlns:a="http://schemas.openxmlformats.org/drawingml/2006/main" idx="0">
                  <a:scrgbClr r="0" g="0" b="0"/>
                </a:fillRef>
                <a:effectRef xmlns:a="http://schemas.openxmlformats.org/drawingml/2006/main" idx="0">
                  <a:scrgbClr r="0" g="0" b="0"/>
                </a:effectRef>
                <a:fontRef xmlns:a="http://schemas.openxmlformats.org/drawingml/2006/main" idx="minor">
                  <a:schemeClr val="dk1"/>
                </a:fontRef>
              </cdr:style>
              <cdr:txBody>
                <a:bodyPr xmlns:a="http://schemas.openxmlformats.org/drawingml/2006/main" wrap="square" rtlCol="0" anchor="ctr"/>
                <a:lstStyle xmlns:a="http://schemas.openxmlformats.org/drawingml/2006/main">
                  <a:lvl1pPr marL="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 xmlns:a="http://schemas.openxmlformats.org/drawingml/2006/main">
                  <a:pPr algn="ctr"/>
                  <a:fld id="{120D860F-800D-40CB-A5E1-51B7828A6428}" type="TxLink">
                    <a:rPr lang="en-US" sz="4800" b="0" i="0" u="none" strike="noStrike">
                      <a:solidFill>
                        <a:srgbClr val="002060"/>
                      </a:solidFill>
                      <a:latin typeface="Calibri"/>
                      <a:ea typeface="Calibri"/>
                      <a:cs typeface="Calibri"/>
                    </a:rPr>
                    <a:pPr algn="ctr"/>
                    <a:t>2:28</a:t>
                  </a:fld>
                  <a:endParaRPr lang="es-PE" sz="8800" b="1">
                    <a:solidFill>
                      <a:srgbClr val="002060"/>
                    </a:solidFill>
                    <a:latin typeface="+mn-lt"/>
                    <a:cs typeface="Segoe UI" panose="020B0502040204020203" pitchFamily="34" charset="0"/>
                  </a:endParaRPr>
                </a:p>
              </cdr:txBody>
            </cdr:sp>
            <cdr:sp macro="" textlink="">
              <cdr:nvSpPr>
                <cdr:cNvPr id="4" name="CuadroTexto 152">
                  <a:extLst xmlns:a="http://schemas.openxmlformats.org/drawingml/2006/main">
                    <a:ext uri="{FF2B5EF4-FFF2-40B4-BE49-F238E27FC236}">
                      <a16:creationId xmlns:a16="http://schemas.microsoft.com/office/drawing/2014/main" id="{C9579C5B-A594-92FC-F5B2-A99A8BB31B8F}"/>
                    </a:ext>
                  </a:extLst>
                </cdr:cNvPr>
                <cdr:cNvSpPr txBox="1"/>
              </cdr:nvSpPr>
              <cdr:spPr>
                <a:xfrm xmlns:a="http://schemas.openxmlformats.org/drawingml/2006/main">
                  <a:off x="2037443" y="1754642"/>
                  <a:ext cx="334282" cy="348476"/>
                </a:xfrm>
                <a:prstGeom xmlns:a="http://schemas.openxmlformats.org/drawingml/2006/main" prst="rect">
                  <a:avLst/>
                </a:prstGeom>
                <a:solidFill xmlns:a="http://schemas.openxmlformats.org/drawingml/2006/main">
                  <a:schemeClr val="bg1">
                    <a:lumMod val="95000"/>
                  </a:schemeClr>
                </a:solidFill>
                <a:ln xmlns:a="http://schemas.openxmlformats.org/drawingml/2006/main" w="9525" cmpd="sng">
                  <a:solidFill>
                    <a:schemeClr val="bg1">
                      <a:lumMod val="95000"/>
                    </a:schemeClr>
                  </a:solidFill>
                </a:ln>
              </cdr:spPr>
              <cdr:style>
                <a:lnRef xmlns:a="http://schemas.openxmlformats.org/drawingml/2006/main" idx="0">
                  <a:scrgbClr r="0" g="0" b="0"/>
                </a:lnRef>
                <a:fillRef xmlns:a="http://schemas.openxmlformats.org/drawingml/2006/main" idx="0">
                  <a:scrgbClr r="0" g="0" b="0"/>
                </a:fillRef>
                <a:effectRef xmlns:a="http://schemas.openxmlformats.org/drawingml/2006/main" idx="0">
                  <a:scrgbClr r="0" g="0" b="0"/>
                </a:effectRef>
                <a:fontRef xmlns:a="http://schemas.openxmlformats.org/drawingml/2006/main" idx="minor">
                  <a:schemeClr val="dk1"/>
                </a:fontRef>
              </cdr:style>
              <cdr:txBody>
                <a:bodyPr xmlns:a="http://schemas.openxmlformats.org/drawingml/2006/main" wrap="square" rtlCol="0" anchor="ctr"/>
                <a:lstStyle xmlns:a="http://schemas.openxmlformats.org/drawingml/2006/main">
                  <a:lvl1pPr marL="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 xmlns:a="http://schemas.openxmlformats.org/drawingml/2006/main">
                  <a:pPr algn="ctr"/>
                  <a:r>
                    <a:rPr lang="es-PE" sz="4800" b="0">
                      <a:solidFill>
                        <a:srgbClr val="002060"/>
                      </a:solidFill>
                      <a:latin typeface="+mn-lt"/>
                      <a:cs typeface="Segoe UI" panose="020B0502040204020203" pitchFamily="34" charset="0"/>
                    </a:rPr>
                    <a:t>h</a:t>
                  </a:r>
                  <a:endParaRPr lang="es-PE" sz="5400" b="0">
                    <a:solidFill>
                      <a:srgbClr val="002060"/>
                    </a:solidFill>
                    <a:latin typeface="+mn-lt"/>
                    <a:cs typeface="Segoe UI" panose="020B0502040204020203" pitchFamily="34" charset="0"/>
                  </a:endParaRPr>
                </a:p>
              </cdr:txBody>
            </cdr:sp>
          </cdr:grpSp>
        </cdr:grpSp>
        <cdr:sp macro="" textlink="'PRES. ORIG.'!$Y$29">
          <cdr:nvSpPr>
            <cdr:cNvPr id="5" name="CuadroTexto 152">
              <a:extLst xmlns:a="http://schemas.openxmlformats.org/drawingml/2006/main">
                <a:ext uri="{FF2B5EF4-FFF2-40B4-BE49-F238E27FC236}">
                  <a16:creationId xmlns:a16="http://schemas.microsoft.com/office/drawing/2014/main" id="{D7444738-AC15-BFA9-7813-E765FFAFE58B}"/>
                </a:ext>
              </a:extLst>
            </cdr:cNvPr>
            <cdr:cNvSpPr txBox="1"/>
          </cdr:nvSpPr>
          <cdr:spPr>
            <a:xfrm xmlns:a="http://schemas.openxmlformats.org/drawingml/2006/main">
              <a:off x="1112157" y="2459265"/>
              <a:ext cx="1280831" cy="46490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bg1">
                <a:lumMod val="95000"/>
              </a:schemeClr>
            </a:solidFill>
            <a:ln xmlns:a="http://schemas.openxmlformats.org/drawingml/2006/main" w="9525" cmpd="sng">
              <a:solidFill>
                <a:schemeClr val="bg1">
                  <a:lumMod val="95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ctr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fld id="{9B78AC24-08D4-405A-99A4-0396759404B4}" type="TxLink">
                <a:rPr lang="en-US" sz="3200" b="0" i="0" u="none" strike="noStrike">
                  <a:solidFill>
                    <a:srgbClr val="002060"/>
                  </a:solidFill>
                  <a:latin typeface="Calibri"/>
                  <a:ea typeface="Calibri"/>
                  <a:cs typeface="Calibri"/>
                </a:rPr>
                <a:pPr algn="ctr"/>
                <a:t>67.3%</a:t>
              </a:fld>
              <a:endParaRPr lang="es-PE" sz="28700" b="1">
                <a:solidFill>
                  <a:srgbClr val="002060"/>
                </a:solidFill>
                <a:latin typeface="+mn-lt"/>
                <a:cs typeface="Segoe UI" panose="020B0502040204020203" pitchFamily="34" charset="0"/>
              </a:endParaRPr>
            </a:p>
          </cdr:txBody>
        </cdr:sp>
      </cdr:grpSp>
      <cdr:sp macro="" textlink="">
        <cdr:nvSpPr>
          <cdr:cNvPr id="9" name="CuadroTexto 152">
            <a:extLst xmlns:a="http://schemas.openxmlformats.org/drawingml/2006/main">
              <a:ext uri="{FF2B5EF4-FFF2-40B4-BE49-F238E27FC236}">
                <a16:creationId xmlns:a16="http://schemas.microsoft.com/office/drawing/2014/main" id="{9356823F-E967-1A94-65C5-97F44958227F}"/>
              </a:ext>
            </a:extLst>
          </cdr:cNvPr>
          <cdr:cNvSpPr txBox="1"/>
        </cdr:nvSpPr>
        <cdr:spPr>
          <a:xfrm xmlns:a="http://schemas.openxmlformats.org/drawingml/2006/main">
            <a:off x="785586" y="2364014"/>
            <a:ext cx="474877" cy="575404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bg1">
              <a:lumMod val="95000"/>
            </a:schemeClr>
          </a:solidFill>
          <a:ln xmlns:a="http://schemas.openxmlformats.org/drawingml/2006/main" w="9525" cmpd="sng">
            <a:solidFill>
              <a:schemeClr val="bg1">
                <a:lumMod val="95000"/>
              </a:schemeClr>
            </a:solidFill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ctr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r"/>
            <a:r>
              <a:rPr lang="es-PE" sz="3600" b="0">
                <a:solidFill>
                  <a:srgbClr val="002060"/>
                </a:solidFill>
                <a:latin typeface="+mn-lt"/>
                <a:cs typeface="Segoe UI" panose="020B0502040204020203" pitchFamily="34" charset="0"/>
              </a:rPr>
              <a:t>(</a:t>
            </a:r>
            <a:endParaRPr lang="es-PE" sz="4000" b="0">
              <a:solidFill>
                <a:srgbClr val="002060"/>
              </a:solidFill>
              <a:latin typeface="+mn-lt"/>
              <a:cs typeface="Segoe UI" panose="020B0502040204020203" pitchFamily="34" charset="0"/>
            </a:endParaRPr>
          </a:p>
        </cdr:txBody>
      </cdr:sp>
      <cdr:sp macro="" textlink="">
        <cdr:nvSpPr>
          <cdr:cNvPr id="10" name="CuadroTexto 152">
            <a:extLst xmlns:a="http://schemas.openxmlformats.org/drawingml/2006/main">
              <a:ext uri="{FF2B5EF4-FFF2-40B4-BE49-F238E27FC236}">
                <a16:creationId xmlns:a16="http://schemas.microsoft.com/office/drawing/2014/main" id="{A24D4368-CF17-916B-D4C9-0D9557B20461}"/>
              </a:ext>
            </a:extLst>
          </cdr:cNvPr>
          <cdr:cNvSpPr txBox="1"/>
        </cdr:nvSpPr>
        <cdr:spPr>
          <a:xfrm xmlns:a="http://schemas.openxmlformats.org/drawingml/2006/main">
            <a:off x="2255157" y="2377621"/>
            <a:ext cx="474877" cy="575404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bg1">
              <a:lumMod val="95000"/>
            </a:schemeClr>
          </a:solidFill>
          <a:ln xmlns:a="http://schemas.openxmlformats.org/drawingml/2006/main" w="9525" cmpd="sng">
            <a:solidFill>
              <a:schemeClr val="bg1">
                <a:lumMod val="95000"/>
              </a:schemeClr>
            </a:solidFill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ctr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s-PE" sz="3600" b="0">
                <a:solidFill>
                  <a:srgbClr val="002060"/>
                </a:solidFill>
                <a:latin typeface="+mn-lt"/>
                <a:cs typeface="Segoe UI" panose="020B0502040204020203" pitchFamily="34" charset="0"/>
              </a:rPr>
              <a:t>)</a:t>
            </a:r>
            <a:endParaRPr lang="es-PE" sz="4000" b="0">
              <a:solidFill>
                <a:srgbClr val="002060"/>
              </a:solidFill>
              <a:latin typeface="+mn-lt"/>
              <a:cs typeface="Segoe UI" panose="020B0502040204020203" pitchFamily="34" charset="0"/>
            </a:endParaRPr>
          </a:p>
        </cdr:txBody>
      </cdr:sp>
    </cdr:grpSp>
  </cdr:relSizeAnchor>
  <cdr:relSizeAnchor xmlns:cdr="http://schemas.openxmlformats.org/drawingml/2006/chartDrawing">
    <cdr:from>
      <cdr:x>0.67025</cdr:x>
      <cdr:y>0.27991</cdr:y>
    </cdr:from>
    <cdr:to>
      <cdr:x>0.94113</cdr:x>
      <cdr:y>0.74868</cdr:y>
    </cdr:to>
    <cdr:grpSp>
      <cdr:nvGrpSpPr>
        <cdr:cNvPr id="22" name="Grupo 21">
          <a:extLst xmlns:a="http://schemas.openxmlformats.org/drawingml/2006/main">
            <a:ext uri="{FF2B5EF4-FFF2-40B4-BE49-F238E27FC236}">
              <a16:creationId xmlns:a16="http://schemas.microsoft.com/office/drawing/2014/main" id="{4A6DAEEC-977E-014A-7139-B251096E550D}"/>
            </a:ext>
          </a:extLst>
        </cdr:cNvPr>
        <cdr:cNvGrpSpPr/>
      </cdr:nvGrpSpPr>
      <cdr:grpSpPr>
        <a:xfrm xmlns:a="http://schemas.openxmlformats.org/drawingml/2006/main">
          <a:off x="7682141" y="1203158"/>
          <a:ext cx="3104719" cy="2014948"/>
          <a:chOff x="-1" y="0"/>
          <a:chExt cx="3105628" cy="2020129"/>
        </a:xfrm>
      </cdr:grpSpPr>
      <cdr:grpSp>
        <cdr:nvGrpSpPr>
          <cdr:cNvPr id="23" name="Grupo 22">
            <a:extLst xmlns:a="http://schemas.openxmlformats.org/drawingml/2006/main">
              <a:ext uri="{FF2B5EF4-FFF2-40B4-BE49-F238E27FC236}">
                <a16:creationId xmlns:a16="http://schemas.microsoft.com/office/drawing/2014/main" id="{46A08280-924C-3470-3B1E-8CFCCF1787CF}"/>
              </a:ext>
            </a:extLst>
          </cdr:cNvPr>
          <cdr:cNvGrpSpPr/>
        </cdr:nvGrpSpPr>
        <cdr:grpSpPr>
          <a:xfrm xmlns:a="http://schemas.openxmlformats.org/drawingml/2006/main">
            <a:off x="-1" y="0"/>
            <a:ext cx="3105628" cy="1991269"/>
            <a:chOff x="-1" y="0"/>
            <a:chExt cx="3105628" cy="1991269"/>
          </a:xfrm>
        </cdr:grpSpPr>
        <cdr:grpSp>
          <cdr:nvGrpSpPr>
            <cdr:cNvPr id="26" name="Grupo 25">
              <a:extLst xmlns:a="http://schemas.openxmlformats.org/drawingml/2006/main">
                <a:ext uri="{FF2B5EF4-FFF2-40B4-BE49-F238E27FC236}">
                  <a16:creationId xmlns:a16="http://schemas.microsoft.com/office/drawing/2014/main" id="{31219FFD-4A4E-9259-A02F-96861F389664}"/>
                </a:ext>
              </a:extLst>
            </cdr:cNvPr>
            <cdr:cNvGrpSpPr/>
          </cdr:nvGrpSpPr>
          <cdr:grpSpPr>
            <a:xfrm xmlns:a="http://schemas.openxmlformats.org/drawingml/2006/main">
              <a:off x="-1" y="0"/>
              <a:ext cx="3105628" cy="1242594"/>
              <a:chOff x="-1" y="0"/>
              <a:chExt cx="3105628" cy="1242592"/>
            </a:xfrm>
          </cdr:grpSpPr>
          <cdr:sp macro="" textlink="'PRES. ORIG.'!$V$28">
            <cdr:nvSpPr>
              <cdr:cNvPr id="28" name="CuadroTexto 152">
                <a:extLst xmlns:a="http://schemas.openxmlformats.org/drawingml/2006/main">
                  <a:ext uri="{FF2B5EF4-FFF2-40B4-BE49-F238E27FC236}">
                    <a16:creationId xmlns:a16="http://schemas.microsoft.com/office/drawing/2014/main" id="{BCC71450-2514-287A-034F-BA000EB68248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-1" y="0"/>
                <a:ext cx="3105628" cy="419461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chemeClr val="bg1">
                  <a:lumMod val="95000"/>
                </a:schemeClr>
              </a:solidFill>
              <a:ln xmlns:a="http://schemas.openxmlformats.org/drawingml/2006/main" w="9525" cmpd="sng">
                <a:solidFill>
                  <a:schemeClr val="bg1">
                    <a:lumMod val="95000"/>
                  </a:schemeClr>
                </a:solidFill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ctr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fld id="{34391886-EC8C-4BA4-B7B6-F1E79D4C67F1}" type="TxLink">
                  <a:rPr lang="en-US" sz="2800" b="1" i="0" u="none" strike="noStrike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</a:rPr>
                  <a:pPr algn="ctr"/>
                  <a:t>NO PROGRAMADA</a:t>
                </a:fld>
                <a:endParaRPr lang="es-PE" sz="8000" b="1">
                  <a:solidFill>
                    <a:srgbClr val="FF0000"/>
                  </a:solidFill>
                  <a:latin typeface="+mn-lt"/>
                  <a:cs typeface="Segoe UI" panose="020B0502040204020203" pitchFamily="34" charset="0"/>
                </a:endParaRPr>
              </a:p>
            </cdr:txBody>
          </cdr:sp>
          <cdr:grpSp>
            <cdr:nvGrpSpPr>
              <cdr:cNvPr id="29" name="Grupo 28">
                <a:extLst xmlns:a="http://schemas.openxmlformats.org/drawingml/2006/main">
                  <a:ext uri="{FF2B5EF4-FFF2-40B4-BE49-F238E27FC236}">
                    <a16:creationId xmlns:a16="http://schemas.microsoft.com/office/drawing/2014/main" id="{9719A12F-2B09-0BC1-6AAE-7E3A12D77919}"/>
                  </a:ext>
                </a:extLst>
              </cdr:cNvPr>
              <cdr:cNvGrpSpPr/>
            </cdr:nvGrpSpPr>
            <cdr:grpSpPr>
              <a:xfrm xmlns:a="http://schemas.openxmlformats.org/drawingml/2006/main">
                <a:off x="641997" y="777692"/>
                <a:ext cx="1805476" cy="464900"/>
                <a:chOff x="461324" y="771376"/>
                <a:chExt cx="1270937" cy="281552"/>
              </a:xfrm>
            </cdr:grpSpPr>
            <cdr:sp macro="" textlink="'PRES. ORIG.'!$X$28">
              <cdr:nvSpPr>
                <cdr:cNvPr id="30" name="CuadroTexto 152">
                  <a:extLst xmlns:a="http://schemas.openxmlformats.org/drawingml/2006/main">
                    <a:ext uri="{FF2B5EF4-FFF2-40B4-BE49-F238E27FC236}">
                      <a16:creationId xmlns:a16="http://schemas.microsoft.com/office/drawing/2014/main" id="{051DBBE7-D8E5-5AEA-52BD-57025F70D83E}"/>
                    </a:ext>
                  </a:extLst>
                </cdr:cNvPr>
                <cdr:cNvSpPr txBox="1"/>
              </cdr:nvSpPr>
              <cdr:spPr>
                <a:xfrm xmlns:a="http://schemas.openxmlformats.org/drawingml/2006/main">
                  <a:off x="461324" y="771376"/>
                  <a:ext cx="1189973" cy="281552"/>
                </a:xfrm>
                <a:prstGeom xmlns:a="http://schemas.openxmlformats.org/drawingml/2006/main" prst="rect">
                  <a:avLst/>
                </a:prstGeom>
                <a:solidFill xmlns:a="http://schemas.openxmlformats.org/drawingml/2006/main">
                  <a:schemeClr val="bg1">
                    <a:lumMod val="95000"/>
                  </a:schemeClr>
                </a:solidFill>
                <a:ln xmlns:a="http://schemas.openxmlformats.org/drawingml/2006/main" w="9525" cmpd="sng">
                  <a:solidFill>
                    <a:schemeClr val="bg1">
                      <a:lumMod val="95000"/>
                    </a:schemeClr>
                  </a:solidFill>
                </a:ln>
              </cdr:spPr>
              <cdr:style>
                <a:lnRef xmlns:a="http://schemas.openxmlformats.org/drawingml/2006/main" idx="0">
                  <a:scrgbClr r="0" g="0" b="0"/>
                </a:lnRef>
                <a:fillRef xmlns:a="http://schemas.openxmlformats.org/drawingml/2006/main" idx="0">
                  <a:scrgbClr r="0" g="0" b="0"/>
                </a:fillRef>
                <a:effectRef xmlns:a="http://schemas.openxmlformats.org/drawingml/2006/main" idx="0">
                  <a:scrgbClr r="0" g="0" b="0"/>
                </a:effectRef>
                <a:fontRef xmlns:a="http://schemas.openxmlformats.org/drawingml/2006/main" idx="minor">
                  <a:schemeClr val="dk1"/>
                </a:fontRef>
              </cdr:style>
              <cdr:txBody>
                <a:bodyPr xmlns:a="http://schemas.openxmlformats.org/drawingml/2006/main" wrap="square" rtlCol="0" anchor="ctr"/>
                <a:lstStyle xmlns:a="http://schemas.openxmlformats.org/drawingml/2006/main">
                  <a:lvl1pPr marL="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 xmlns:a="http://schemas.openxmlformats.org/drawingml/2006/main">
                  <a:pPr algn="ctr"/>
                  <a:fld id="{F2A4314F-46D9-4A2B-A19D-8DA8B9B595FD}" type="TxLink">
                    <a:rPr lang="en-US" sz="4800" b="0" i="0" u="none" strike="noStrike">
                      <a:solidFill>
                        <a:srgbClr val="FF0000"/>
                      </a:solidFill>
                      <a:latin typeface="Calibri"/>
                      <a:ea typeface="Calibri"/>
                      <a:cs typeface="Calibri"/>
                    </a:rPr>
                    <a:pPr algn="ctr"/>
                    <a:t>1.20</a:t>
                  </a:fld>
                  <a:endParaRPr lang="es-PE" sz="71400" b="1">
                    <a:solidFill>
                      <a:srgbClr val="FF0000"/>
                    </a:solidFill>
                    <a:latin typeface="+mn-lt"/>
                    <a:cs typeface="Segoe UI" panose="020B0502040204020203" pitchFamily="34" charset="0"/>
                  </a:endParaRPr>
                </a:p>
              </cdr:txBody>
            </cdr:sp>
            <cdr:sp macro="" textlink="">
              <cdr:nvSpPr>
                <cdr:cNvPr id="31" name="CuadroTexto 152">
                  <a:extLst xmlns:a="http://schemas.openxmlformats.org/drawingml/2006/main">
                    <a:ext uri="{FF2B5EF4-FFF2-40B4-BE49-F238E27FC236}">
                      <a16:creationId xmlns:a16="http://schemas.microsoft.com/office/drawing/2014/main" id="{F5FF4ED0-4A0B-24CC-416D-A9F70633F88F}"/>
                    </a:ext>
                  </a:extLst>
                </cdr:cNvPr>
                <cdr:cNvSpPr txBox="1"/>
              </cdr:nvSpPr>
              <cdr:spPr>
                <a:xfrm xmlns:a="http://schemas.openxmlformats.org/drawingml/2006/main">
                  <a:off x="1496948" y="811387"/>
                  <a:ext cx="235313" cy="211043"/>
                </a:xfrm>
                <a:prstGeom xmlns:a="http://schemas.openxmlformats.org/drawingml/2006/main" prst="rect">
                  <a:avLst/>
                </a:prstGeom>
                <a:solidFill xmlns:a="http://schemas.openxmlformats.org/drawingml/2006/main">
                  <a:schemeClr val="bg1">
                    <a:lumMod val="95000"/>
                  </a:schemeClr>
                </a:solidFill>
                <a:ln xmlns:a="http://schemas.openxmlformats.org/drawingml/2006/main" w="9525" cmpd="sng">
                  <a:solidFill>
                    <a:schemeClr val="bg1">
                      <a:lumMod val="95000"/>
                    </a:schemeClr>
                  </a:solidFill>
                </a:ln>
              </cdr:spPr>
              <cdr:style>
                <a:lnRef xmlns:a="http://schemas.openxmlformats.org/drawingml/2006/main" idx="0">
                  <a:scrgbClr r="0" g="0" b="0"/>
                </a:lnRef>
                <a:fillRef xmlns:a="http://schemas.openxmlformats.org/drawingml/2006/main" idx="0">
                  <a:scrgbClr r="0" g="0" b="0"/>
                </a:fillRef>
                <a:effectRef xmlns:a="http://schemas.openxmlformats.org/drawingml/2006/main" idx="0">
                  <a:scrgbClr r="0" g="0" b="0"/>
                </a:effectRef>
                <a:fontRef xmlns:a="http://schemas.openxmlformats.org/drawingml/2006/main" idx="minor">
                  <a:schemeClr val="dk1"/>
                </a:fontRef>
              </cdr:style>
              <cdr:txBody>
                <a:bodyPr xmlns:a="http://schemas.openxmlformats.org/drawingml/2006/main" wrap="square" rtlCol="0" anchor="ctr"/>
                <a:lstStyle xmlns:a="http://schemas.openxmlformats.org/drawingml/2006/main">
                  <a:lvl1pPr marL="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 xmlns:a="http://schemas.openxmlformats.org/drawingml/2006/main">
                  <a:pPr algn="ctr"/>
                  <a:r>
                    <a:rPr lang="es-PE" sz="4800" b="0">
                      <a:solidFill>
                        <a:srgbClr val="FF0000"/>
                      </a:solidFill>
                      <a:latin typeface="+mn-lt"/>
                      <a:cs typeface="Segoe UI" panose="020B0502040204020203" pitchFamily="34" charset="0"/>
                    </a:rPr>
                    <a:t>h</a:t>
                  </a:r>
                  <a:endParaRPr lang="es-PE" sz="5400" b="0">
                    <a:solidFill>
                      <a:srgbClr val="FF0000"/>
                    </a:solidFill>
                    <a:latin typeface="+mn-lt"/>
                    <a:cs typeface="Segoe UI" panose="020B0502040204020203" pitchFamily="34" charset="0"/>
                  </a:endParaRPr>
                </a:p>
              </cdr:txBody>
            </cdr:sp>
          </cdr:grpSp>
        </cdr:grpSp>
        <cdr:sp macro="" textlink="'PRES. ORIG.'!$Y$28">
          <cdr:nvSpPr>
            <cdr:cNvPr id="27" name="CuadroTexto 152">
              <a:extLst xmlns:a="http://schemas.openxmlformats.org/drawingml/2006/main">
                <a:ext uri="{FF2B5EF4-FFF2-40B4-BE49-F238E27FC236}">
                  <a16:creationId xmlns:a16="http://schemas.microsoft.com/office/drawing/2014/main" id="{BB96A917-90A4-2EFE-DC4D-DD570091C53D}"/>
                </a:ext>
              </a:extLst>
            </cdr:cNvPr>
            <cdr:cNvSpPr txBox="1"/>
          </cdr:nvSpPr>
          <cdr:spPr>
            <a:xfrm xmlns:a="http://schemas.openxmlformats.org/drawingml/2006/main">
              <a:off x="851444" y="1526369"/>
              <a:ext cx="1280831" cy="46490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bg1">
                <a:lumMod val="95000"/>
              </a:schemeClr>
            </a:solidFill>
            <a:ln xmlns:a="http://schemas.openxmlformats.org/drawingml/2006/main" w="9525" cmpd="sng">
              <a:solidFill>
                <a:schemeClr val="bg1">
                  <a:lumMod val="95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ctr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fld id="{33BDDFAB-92BD-4D9D-8E8D-0AD6F6CAD043}" type="TxLink">
                <a:rPr lang="en-US" sz="3200" b="0" i="0" u="none" strike="noStrike">
                  <a:solidFill>
                    <a:srgbClr val="FF0000"/>
                  </a:solidFill>
                  <a:latin typeface="Calibri"/>
                  <a:ea typeface="Calibri"/>
                  <a:cs typeface="Calibri"/>
                </a:rPr>
                <a:pPr algn="ctr"/>
                <a:t>32.7%</a:t>
              </a:fld>
              <a:endParaRPr lang="es-PE" sz="177700" b="1">
                <a:solidFill>
                  <a:srgbClr val="FF0000"/>
                </a:solidFill>
                <a:latin typeface="+mn-lt"/>
                <a:cs typeface="Segoe UI" panose="020B0502040204020203" pitchFamily="34" charset="0"/>
              </a:endParaRPr>
            </a:p>
          </cdr:txBody>
        </cdr:sp>
      </cdr:grpSp>
      <cdr:sp macro="" textlink="">
        <cdr:nvSpPr>
          <cdr:cNvPr id="24" name="CuadroTexto 152">
            <a:extLst xmlns:a="http://schemas.openxmlformats.org/drawingml/2006/main">
              <a:ext uri="{FF2B5EF4-FFF2-40B4-BE49-F238E27FC236}">
                <a16:creationId xmlns:a16="http://schemas.microsoft.com/office/drawing/2014/main" id="{00FF7061-E0AB-5564-8845-487C3E0C27AB}"/>
              </a:ext>
            </a:extLst>
          </cdr:cNvPr>
          <cdr:cNvSpPr txBox="1"/>
        </cdr:nvSpPr>
        <cdr:spPr>
          <a:xfrm xmlns:a="http://schemas.openxmlformats.org/drawingml/2006/main">
            <a:off x="542180" y="1431118"/>
            <a:ext cx="474877" cy="575404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bg1">
              <a:lumMod val="95000"/>
            </a:schemeClr>
          </a:solidFill>
          <a:ln xmlns:a="http://schemas.openxmlformats.org/drawingml/2006/main" w="9525" cmpd="sng">
            <a:solidFill>
              <a:schemeClr val="bg1">
                <a:lumMod val="95000"/>
              </a:schemeClr>
            </a:solidFill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ctr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r"/>
            <a:r>
              <a:rPr lang="es-PE" sz="3600" b="0">
                <a:solidFill>
                  <a:srgbClr val="FF0000"/>
                </a:solidFill>
                <a:latin typeface="+mn-lt"/>
                <a:cs typeface="Segoe UI" panose="020B0502040204020203" pitchFamily="34" charset="0"/>
              </a:rPr>
              <a:t>(</a:t>
            </a:r>
            <a:endParaRPr lang="es-PE" sz="4000" b="0">
              <a:solidFill>
                <a:srgbClr val="FF0000"/>
              </a:solidFill>
              <a:latin typeface="+mn-lt"/>
              <a:cs typeface="Segoe UI" panose="020B0502040204020203" pitchFamily="34" charset="0"/>
            </a:endParaRPr>
          </a:p>
        </cdr:txBody>
      </cdr:sp>
      <cdr:sp macro="" textlink="">
        <cdr:nvSpPr>
          <cdr:cNvPr id="25" name="CuadroTexto 152">
            <a:extLst xmlns:a="http://schemas.openxmlformats.org/drawingml/2006/main">
              <a:ext uri="{FF2B5EF4-FFF2-40B4-BE49-F238E27FC236}">
                <a16:creationId xmlns:a16="http://schemas.microsoft.com/office/drawing/2014/main" id="{D6200EB3-5F2E-33D6-0ABE-E0C9D1E6FEB4}"/>
              </a:ext>
            </a:extLst>
          </cdr:cNvPr>
          <cdr:cNvSpPr txBox="1"/>
        </cdr:nvSpPr>
        <cdr:spPr>
          <a:xfrm xmlns:a="http://schemas.openxmlformats.org/drawingml/2006/main">
            <a:off x="2029059" y="1444725"/>
            <a:ext cx="474877" cy="575404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bg1">
              <a:lumMod val="95000"/>
            </a:schemeClr>
          </a:solidFill>
          <a:ln xmlns:a="http://schemas.openxmlformats.org/drawingml/2006/main" w="9525" cmpd="sng">
            <a:solidFill>
              <a:schemeClr val="bg1">
                <a:lumMod val="95000"/>
              </a:schemeClr>
            </a:solidFill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ctr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s-PE" sz="3600" b="0">
                <a:solidFill>
                  <a:srgbClr val="FF0000"/>
                </a:solidFill>
                <a:latin typeface="+mn-lt"/>
                <a:cs typeface="Segoe UI" panose="020B0502040204020203" pitchFamily="34" charset="0"/>
              </a:rPr>
              <a:t>)</a:t>
            </a:r>
            <a:endParaRPr lang="es-PE" sz="4000" b="0">
              <a:solidFill>
                <a:srgbClr val="FF0000"/>
              </a:solidFill>
              <a:latin typeface="+mn-lt"/>
              <a:cs typeface="Segoe UI" panose="020B0502040204020203" pitchFamily="34" charset="0"/>
            </a:endParaRPr>
          </a:p>
        </cdr:txBody>
      </cdr:sp>
    </cdr:grpSp>
  </cdr:relSizeAnchor>
  <cdr:relSizeAnchor xmlns:cdr="http://schemas.openxmlformats.org/drawingml/2006/chartDrawing">
    <cdr:from>
      <cdr:x>0.0593</cdr:x>
      <cdr:y>0.27647</cdr:y>
    </cdr:from>
    <cdr:to>
      <cdr:x>0.27808</cdr:x>
      <cdr:y>0.74525</cdr:y>
    </cdr:to>
    <cdr:grpSp>
      <cdr:nvGrpSpPr>
        <cdr:cNvPr id="32" name="Grupo 10">
          <a:extLst xmlns:a="http://schemas.openxmlformats.org/drawingml/2006/main">
            <a:ext uri="{FF2B5EF4-FFF2-40B4-BE49-F238E27FC236}">
              <a16:creationId xmlns:a16="http://schemas.microsoft.com/office/drawing/2014/main" id="{6D4CFD70-0705-1BEA-0F91-43629A3D0165}"/>
            </a:ext>
          </a:extLst>
        </cdr:cNvPr>
        <cdr:cNvGrpSpPr/>
      </cdr:nvGrpSpPr>
      <cdr:grpSpPr>
        <a:xfrm xmlns:a="http://schemas.openxmlformats.org/drawingml/2006/main">
          <a:off x="679673" y="1188371"/>
          <a:ext cx="2507570" cy="2014991"/>
          <a:chOff x="503011" y="932896"/>
          <a:chExt cx="2508249" cy="2020129"/>
        </a:xfrm>
      </cdr:grpSpPr>
      <cdr:grpSp>
        <cdr:nvGrpSpPr>
          <cdr:cNvPr id="33" name="Grupo 7">
            <a:extLst xmlns:a="http://schemas.openxmlformats.org/drawingml/2006/main">
              <a:ext uri="{FF2B5EF4-FFF2-40B4-BE49-F238E27FC236}">
                <a16:creationId xmlns:a16="http://schemas.microsoft.com/office/drawing/2014/main" id="{21BF8528-C9B4-1388-279B-86866415148F}"/>
              </a:ext>
            </a:extLst>
          </cdr:cNvPr>
          <cdr:cNvGrpSpPr/>
        </cdr:nvGrpSpPr>
        <cdr:grpSpPr>
          <a:xfrm xmlns:a="http://schemas.openxmlformats.org/drawingml/2006/main">
            <a:off x="503011" y="932896"/>
            <a:ext cx="2508249" cy="1991269"/>
            <a:chOff x="503011" y="932896"/>
            <a:chExt cx="2508249" cy="1991269"/>
          </a:xfrm>
        </cdr:grpSpPr>
        <cdr:grpSp>
          <cdr:nvGrpSpPr>
            <cdr:cNvPr id="34" name="Grupo 6">
              <a:extLst xmlns:a="http://schemas.openxmlformats.org/drawingml/2006/main">
                <a:ext uri="{FF2B5EF4-FFF2-40B4-BE49-F238E27FC236}">
                  <a16:creationId xmlns:a16="http://schemas.microsoft.com/office/drawing/2014/main" id="{6B31E792-8E8A-ACB3-A41D-FE84AC835614}"/>
                </a:ext>
              </a:extLst>
            </cdr:cNvPr>
            <cdr:cNvGrpSpPr/>
          </cdr:nvGrpSpPr>
          <cdr:grpSpPr>
            <a:xfrm xmlns:a="http://schemas.openxmlformats.org/drawingml/2006/main">
              <a:off x="503011" y="932896"/>
              <a:ext cx="2508249" cy="1529318"/>
              <a:chOff x="503011" y="932896"/>
              <a:chExt cx="2508249" cy="1529317"/>
            </a:xfrm>
          </cdr:grpSpPr>
          <cdr:sp macro="" textlink="">
            <cdr:nvSpPr>
              <cdr:cNvPr id="35" name="CuadroTexto 152">
                <a:extLst xmlns:a="http://schemas.openxmlformats.org/drawingml/2006/main">
                  <a:ext uri="{FF2B5EF4-FFF2-40B4-BE49-F238E27FC236}">
                    <a16:creationId xmlns:a16="http://schemas.microsoft.com/office/drawing/2014/main" id="{9A65E38A-A07B-42B6-827D-1B8EE685EDD6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503011" y="932896"/>
                <a:ext cx="2508249" cy="419461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chemeClr val="bg1">
                  <a:lumMod val="95000"/>
                </a:schemeClr>
              </a:solidFill>
              <a:ln xmlns:a="http://schemas.openxmlformats.org/drawingml/2006/main" w="9525" cmpd="sng">
                <a:solidFill>
                  <a:schemeClr val="bg1">
                    <a:lumMod val="95000"/>
                  </a:schemeClr>
                </a:solidFill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ctr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r>
                  <a:rPr lang="es-PE" sz="2800" b="1">
                    <a:solidFill>
                      <a:srgbClr val="002060"/>
                    </a:solidFill>
                    <a:latin typeface="+mn-lt"/>
                    <a:cs typeface="Segoe UI" panose="020B0502040204020203" pitchFamily="34" charset="0"/>
                  </a:rPr>
                  <a:t>PROGRAMADO</a:t>
                </a:r>
                <a:endParaRPr lang="es-PE" sz="3200" b="1">
                  <a:solidFill>
                    <a:srgbClr val="002060"/>
                  </a:solidFill>
                  <a:latin typeface="+mn-lt"/>
                  <a:cs typeface="Segoe UI" panose="020B0502040204020203" pitchFamily="34" charset="0"/>
                </a:endParaRPr>
              </a:p>
            </cdr:txBody>
          </cdr:sp>
          <cdr:grpSp>
            <cdr:nvGrpSpPr>
              <cdr:cNvPr id="36" name="Grupo 5">
                <a:extLst xmlns:a="http://schemas.openxmlformats.org/drawingml/2006/main">
                  <a:ext uri="{FF2B5EF4-FFF2-40B4-BE49-F238E27FC236}">
                    <a16:creationId xmlns:a16="http://schemas.microsoft.com/office/drawing/2014/main" id="{FA783DE8-213B-F7E7-12F5-1505251EADEC}"/>
                  </a:ext>
                </a:extLst>
              </cdr:cNvPr>
              <cdr:cNvGrpSpPr/>
            </cdr:nvGrpSpPr>
            <cdr:grpSpPr>
              <a:xfrm xmlns:a="http://schemas.openxmlformats.org/drawingml/2006/main">
                <a:off x="534760" y="1694568"/>
                <a:ext cx="2190749" cy="767645"/>
                <a:chOff x="829581" y="1694569"/>
                <a:chExt cx="1542144" cy="464900"/>
              </a:xfrm>
            </cdr:grpSpPr>
            <cdr:sp macro="" textlink="'PRES. ORIG.'!$W$29">
              <cdr:nvSpPr>
                <cdr:cNvPr id="37" name="CuadroTexto 152">
                  <a:extLst xmlns:a="http://schemas.openxmlformats.org/drawingml/2006/main">
                    <a:ext uri="{FF2B5EF4-FFF2-40B4-BE49-F238E27FC236}">
                      <a16:creationId xmlns:a16="http://schemas.microsoft.com/office/drawing/2014/main" id="{40CF57EE-1641-4FDD-F1DF-4705D3A66343}"/>
                    </a:ext>
                  </a:extLst>
                </cdr:cNvPr>
                <cdr:cNvSpPr txBox="1"/>
              </cdr:nvSpPr>
              <cdr:spPr>
                <a:xfrm xmlns:a="http://schemas.openxmlformats.org/drawingml/2006/main">
                  <a:off x="829581" y="1694569"/>
                  <a:ext cx="1280831" cy="464900"/>
                </a:xfrm>
                <a:prstGeom xmlns:a="http://schemas.openxmlformats.org/drawingml/2006/main" prst="rect">
                  <a:avLst/>
                </a:prstGeom>
                <a:solidFill xmlns:a="http://schemas.openxmlformats.org/drawingml/2006/main">
                  <a:schemeClr val="bg1">
                    <a:lumMod val="95000"/>
                  </a:schemeClr>
                </a:solidFill>
                <a:ln xmlns:a="http://schemas.openxmlformats.org/drawingml/2006/main" w="9525" cmpd="sng">
                  <a:solidFill>
                    <a:schemeClr val="bg1">
                      <a:lumMod val="95000"/>
                    </a:schemeClr>
                  </a:solidFill>
                </a:ln>
              </cdr:spPr>
              <cdr:style>
                <a:lnRef xmlns:a="http://schemas.openxmlformats.org/drawingml/2006/main" idx="0">
                  <a:scrgbClr r="0" g="0" b="0"/>
                </a:lnRef>
                <a:fillRef xmlns:a="http://schemas.openxmlformats.org/drawingml/2006/main" idx="0">
                  <a:scrgbClr r="0" g="0" b="0"/>
                </a:fillRef>
                <a:effectRef xmlns:a="http://schemas.openxmlformats.org/drawingml/2006/main" idx="0">
                  <a:scrgbClr r="0" g="0" b="0"/>
                </a:effectRef>
                <a:fontRef xmlns:a="http://schemas.openxmlformats.org/drawingml/2006/main" idx="minor">
                  <a:schemeClr val="dk1"/>
                </a:fontRef>
              </cdr:style>
              <cdr:txBody>
                <a:bodyPr xmlns:a="http://schemas.openxmlformats.org/drawingml/2006/main" wrap="square" rtlCol="0" anchor="ctr"/>
                <a:lstStyle xmlns:a="http://schemas.openxmlformats.org/drawingml/2006/main">
                  <a:lvl1pPr marL="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 xmlns:a="http://schemas.openxmlformats.org/drawingml/2006/main">
                  <a:pPr algn="ctr"/>
                  <a:fld id="{120D860F-800D-40CB-A5E1-51B7828A6428}" type="TxLink">
                    <a:rPr lang="en-US" sz="4800" b="0" i="0" u="none" strike="noStrike">
                      <a:solidFill>
                        <a:srgbClr val="002060"/>
                      </a:solidFill>
                      <a:latin typeface="Calibri"/>
                      <a:ea typeface="Calibri"/>
                      <a:cs typeface="Calibri"/>
                    </a:rPr>
                    <a:pPr algn="ctr"/>
                    <a:t>2:28</a:t>
                  </a:fld>
                  <a:endParaRPr lang="es-PE" sz="8800" b="1">
                    <a:solidFill>
                      <a:srgbClr val="002060"/>
                    </a:solidFill>
                    <a:latin typeface="+mn-lt"/>
                    <a:cs typeface="Segoe UI" panose="020B0502040204020203" pitchFamily="34" charset="0"/>
                  </a:endParaRPr>
                </a:p>
              </cdr:txBody>
            </cdr:sp>
            <cdr:sp macro="" textlink="">
              <cdr:nvSpPr>
                <cdr:cNvPr id="38" name="CuadroTexto 152">
                  <a:extLst xmlns:a="http://schemas.openxmlformats.org/drawingml/2006/main">
                    <a:ext uri="{FF2B5EF4-FFF2-40B4-BE49-F238E27FC236}">
                      <a16:creationId xmlns:a16="http://schemas.microsoft.com/office/drawing/2014/main" id="{C9579C5B-A594-92FC-F5B2-A99A8BB31B8F}"/>
                    </a:ext>
                  </a:extLst>
                </cdr:cNvPr>
                <cdr:cNvSpPr txBox="1"/>
              </cdr:nvSpPr>
              <cdr:spPr>
                <a:xfrm xmlns:a="http://schemas.openxmlformats.org/drawingml/2006/main">
                  <a:off x="2037443" y="1754642"/>
                  <a:ext cx="334282" cy="348476"/>
                </a:xfrm>
                <a:prstGeom xmlns:a="http://schemas.openxmlformats.org/drawingml/2006/main" prst="rect">
                  <a:avLst/>
                </a:prstGeom>
                <a:solidFill xmlns:a="http://schemas.openxmlformats.org/drawingml/2006/main">
                  <a:schemeClr val="bg1">
                    <a:lumMod val="95000"/>
                  </a:schemeClr>
                </a:solidFill>
                <a:ln xmlns:a="http://schemas.openxmlformats.org/drawingml/2006/main" w="9525" cmpd="sng">
                  <a:solidFill>
                    <a:schemeClr val="bg1">
                      <a:lumMod val="95000"/>
                    </a:schemeClr>
                  </a:solidFill>
                </a:ln>
              </cdr:spPr>
              <cdr:style>
                <a:lnRef xmlns:a="http://schemas.openxmlformats.org/drawingml/2006/main" idx="0">
                  <a:scrgbClr r="0" g="0" b="0"/>
                </a:lnRef>
                <a:fillRef xmlns:a="http://schemas.openxmlformats.org/drawingml/2006/main" idx="0">
                  <a:scrgbClr r="0" g="0" b="0"/>
                </a:fillRef>
                <a:effectRef xmlns:a="http://schemas.openxmlformats.org/drawingml/2006/main" idx="0">
                  <a:scrgbClr r="0" g="0" b="0"/>
                </a:effectRef>
                <a:fontRef xmlns:a="http://schemas.openxmlformats.org/drawingml/2006/main" idx="minor">
                  <a:schemeClr val="dk1"/>
                </a:fontRef>
              </cdr:style>
              <cdr:txBody>
                <a:bodyPr xmlns:a="http://schemas.openxmlformats.org/drawingml/2006/main" wrap="square" rtlCol="0" anchor="ctr"/>
                <a:lstStyle xmlns:a="http://schemas.openxmlformats.org/drawingml/2006/main">
                  <a:lvl1pPr marL="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 xmlns:a="http://schemas.openxmlformats.org/drawingml/2006/main">
                  <a:pPr algn="ctr"/>
                  <a:r>
                    <a:rPr lang="es-PE" sz="4800" b="0">
                      <a:solidFill>
                        <a:srgbClr val="002060"/>
                      </a:solidFill>
                      <a:latin typeface="+mn-lt"/>
                      <a:cs typeface="Segoe UI" panose="020B0502040204020203" pitchFamily="34" charset="0"/>
                    </a:rPr>
                    <a:t>h</a:t>
                  </a:r>
                  <a:endParaRPr lang="es-PE" sz="5400" b="0">
                    <a:solidFill>
                      <a:srgbClr val="002060"/>
                    </a:solidFill>
                    <a:latin typeface="+mn-lt"/>
                    <a:cs typeface="Segoe UI" panose="020B0502040204020203" pitchFamily="34" charset="0"/>
                  </a:endParaRPr>
                </a:p>
              </cdr:txBody>
            </cdr:sp>
          </cdr:grpSp>
        </cdr:grpSp>
        <cdr:sp macro="" textlink="'PRES. ORIG.'!$Y$29">
          <cdr:nvSpPr>
            <cdr:cNvPr id="39" name="CuadroTexto 152">
              <a:extLst xmlns:a="http://schemas.openxmlformats.org/drawingml/2006/main">
                <a:ext uri="{FF2B5EF4-FFF2-40B4-BE49-F238E27FC236}">
                  <a16:creationId xmlns:a16="http://schemas.microsoft.com/office/drawing/2014/main" id="{D7444738-AC15-BFA9-7813-E765FFAFE58B}"/>
                </a:ext>
              </a:extLst>
            </cdr:cNvPr>
            <cdr:cNvSpPr txBox="1"/>
          </cdr:nvSpPr>
          <cdr:spPr>
            <a:xfrm xmlns:a="http://schemas.openxmlformats.org/drawingml/2006/main">
              <a:off x="1112157" y="2459265"/>
              <a:ext cx="1280831" cy="46490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bg1">
                <a:lumMod val="95000"/>
              </a:schemeClr>
            </a:solidFill>
            <a:ln xmlns:a="http://schemas.openxmlformats.org/drawingml/2006/main" w="9525" cmpd="sng">
              <a:solidFill>
                <a:schemeClr val="bg1">
                  <a:lumMod val="95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ctr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fld id="{9B78AC24-08D4-405A-99A4-0396759404B4}" type="TxLink">
                <a:rPr lang="en-US" sz="3200" b="0" i="0" u="none" strike="noStrike">
                  <a:solidFill>
                    <a:srgbClr val="002060"/>
                  </a:solidFill>
                  <a:latin typeface="Calibri"/>
                  <a:ea typeface="Calibri"/>
                  <a:cs typeface="Calibri"/>
                </a:rPr>
                <a:pPr algn="ctr"/>
                <a:t>67.3%</a:t>
              </a:fld>
              <a:endParaRPr lang="es-PE" sz="28700" b="1">
                <a:solidFill>
                  <a:srgbClr val="002060"/>
                </a:solidFill>
                <a:latin typeface="+mn-lt"/>
                <a:cs typeface="Segoe UI" panose="020B0502040204020203" pitchFamily="34" charset="0"/>
              </a:endParaRPr>
            </a:p>
          </cdr:txBody>
        </cdr:sp>
      </cdr:grpSp>
      <cdr:sp macro="" textlink="">
        <cdr:nvSpPr>
          <cdr:cNvPr id="40" name="CuadroTexto 152">
            <a:extLst xmlns:a="http://schemas.openxmlformats.org/drawingml/2006/main">
              <a:ext uri="{FF2B5EF4-FFF2-40B4-BE49-F238E27FC236}">
                <a16:creationId xmlns:a16="http://schemas.microsoft.com/office/drawing/2014/main" id="{9356823F-E967-1A94-65C5-97F44958227F}"/>
              </a:ext>
            </a:extLst>
          </cdr:cNvPr>
          <cdr:cNvSpPr txBox="1"/>
        </cdr:nvSpPr>
        <cdr:spPr>
          <a:xfrm xmlns:a="http://schemas.openxmlformats.org/drawingml/2006/main">
            <a:off x="785586" y="2364014"/>
            <a:ext cx="474877" cy="575404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bg1">
              <a:lumMod val="95000"/>
            </a:schemeClr>
          </a:solidFill>
          <a:ln xmlns:a="http://schemas.openxmlformats.org/drawingml/2006/main" w="9525" cmpd="sng">
            <a:solidFill>
              <a:schemeClr val="bg1">
                <a:lumMod val="95000"/>
              </a:schemeClr>
            </a:solidFill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ctr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r"/>
            <a:r>
              <a:rPr lang="es-PE" sz="3600" b="0">
                <a:solidFill>
                  <a:srgbClr val="002060"/>
                </a:solidFill>
                <a:latin typeface="+mn-lt"/>
                <a:cs typeface="Segoe UI" panose="020B0502040204020203" pitchFamily="34" charset="0"/>
              </a:rPr>
              <a:t>(</a:t>
            </a:r>
            <a:endParaRPr lang="es-PE" sz="4000" b="0">
              <a:solidFill>
                <a:srgbClr val="002060"/>
              </a:solidFill>
              <a:latin typeface="+mn-lt"/>
              <a:cs typeface="Segoe UI" panose="020B0502040204020203" pitchFamily="34" charset="0"/>
            </a:endParaRPr>
          </a:p>
        </cdr:txBody>
      </cdr:sp>
      <cdr:sp macro="" textlink="">
        <cdr:nvSpPr>
          <cdr:cNvPr id="41" name="CuadroTexto 152">
            <a:extLst xmlns:a="http://schemas.openxmlformats.org/drawingml/2006/main">
              <a:ext uri="{FF2B5EF4-FFF2-40B4-BE49-F238E27FC236}">
                <a16:creationId xmlns:a16="http://schemas.microsoft.com/office/drawing/2014/main" id="{A24D4368-CF17-916B-D4C9-0D9557B20461}"/>
              </a:ext>
            </a:extLst>
          </cdr:cNvPr>
          <cdr:cNvSpPr txBox="1"/>
        </cdr:nvSpPr>
        <cdr:spPr>
          <a:xfrm xmlns:a="http://schemas.openxmlformats.org/drawingml/2006/main">
            <a:off x="2255157" y="2377621"/>
            <a:ext cx="474877" cy="575404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bg1">
              <a:lumMod val="95000"/>
            </a:schemeClr>
          </a:solidFill>
          <a:ln xmlns:a="http://schemas.openxmlformats.org/drawingml/2006/main" w="9525" cmpd="sng">
            <a:solidFill>
              <a:schemeClr val="bg1">
                <a:lumMod val="95000"/>
              </a:schemeClr>
            </a:solidFill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ctr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s-PE" sz="3600" b="0">
                <a:solidFill>
                  <a:srgbClr val="002060"/>
                </a:solidFill>
                <a:latin typeface="+mn-lt"/>
                <a:cs typeface="Segoe UI" panose="020B0502040204020203" pitchFamily="34" charset="0"/>
              </a:rPr>
              <a:t>)</a:t>
            </a:r>
            <a:endParaRPr lang="es-PE" sz="4000" b="0">
              <a:solidFill>
                <a:srgbClr val="002060"/>
              </a:solidFill>
              <a:latin typeface="+mn-lt"/>
              <a:cs typeface="Segoe UI" panose="020B0502040204020203" pitchFamily="34" charset="0"/>
            </a:endParaRPr>
          </a:p>
        </cdr:txBody>
      </cdr:sp>
    </cdr:grpSp>
  </cdr:relSizeAnchor>
  <cdr:relSizeAnchor xmlns:cdr="http://schemas.openxmlformats.org/drawingml/2006/chartDrawing">
    <cdr:from>
      <cdr:x>0.67025</cdr:x>
      <cdr:y>0.27991</cdr:y>
    </cdr:from>
    <cdr:to>
      <cdr:x>0.94113</cdr:x>
      <cdr:y>0.74868</cdr:y>
    </cdr:to>
    <cdr:grpSp>
      <cdr:nvGrpSpPr>
        <cdr:cNvPr id="42" name="Grupo 21">
          <a:extLst xmlns:a="http://schemas.openxmlformats.org/drawingml/2006/main">
            <a:ext uri="{FF2B5EF4-FFF2-40B4-BE49-F238E27FC236}">
              <a16:creationId xmlns:a16="http://schemas.microsoft.com/office/drawing/2014/main" id="{4A6DAEEC-977E-014A-7139-B251096E550D}"/>
            </a:ext>
          </a:extLst>
        </cdr:cNvPr>
        <cdr:cNvGrpSpPr/>
      </cdr:nvGrpSpPr>
      <cdr:grpSpPr>
        <a:xfrm xmlns:a="http://schemas.openxmlformats.org/drawingml/2006/main">
          <a:off x="7682141" y="1203158"/>
          <a:ext cx="3104719" cy="2014948"/>
          <a:chOff x="-1" y="0"/>
          <a:chExt cx="3105628" cy="2020129"/>
        </a:xfrm>
      </cdr:grpSpPr>
      <cdr:grpSp>
        <cdr:nvGrpSpPr>
          <cdr:cNvPr id="43" name="Grupo 22">
            <a:extLst xmlns:a="http://schemas.openxmlformats.org/drawingml/2006/main">
              <a:ext uri="{FF2B5EF4-FFF2-40B4-BE49-F238E27FC236}">
                <a16:creationId xmlns:a16="http://schemas.microsoft.com/office/drawing/2014/main" id="{46A08280-924C-3470-3B1E-8CFCCF1787CF}"/>
              </a:ext>
            </a:extLst>
          </cdr:cNvPr>
          <cdr:cNvGrpSpPr/>
        </cdr:nvGrpSpPr>
        <cdr:grpSpPr>
          <a:xfrm xmlns:a="http://schemas.openxmlformats.org/drawingml/2006/main">
            <a:off x="-1" y="0"/>
            <a:ext cx="3105628" cy="1991269"/>
            <a:chOff x="-1" y="0"/>
            <a:chExt cx="3105628" cy="1991269"/>
          </a:xfrm>
        </cdr:grpSpPr>
        <cdr:grpSp>
          <cdr:nvGrpSpPr>
            <cdr:cNvPr id="44" name="Grupo 25">
              <a:extLst xmlns:a="http://schemas.openxmlformats.org/drawingml/2006/main">
                <a:ext uri="{FF2B5EF4-FFF2-40B4-BE49-F238E27FC236}">
                  <a16:creationId xmlns:a16="http://schemas.microsoft.com/office/drawing/2014/main" id="{31219FFD-4A4E-9259-A02F-96861F389664}"/>
                </a:ext>
              </a:extLst>
            </cdr:cNvPr>
            <cdr:cNvGrpSpPr/>
          </cdr:nvGrpSpPr>
          <cdr:grpSpPr>
            <a:xfrm xmlns:a="http://schemas.openxmlformats.org/drawingml/2006/main">
              <a:off x="-1" y="0"/>
              <a:ext cx="3105628" cy="1242592"/>
              <a:chOff x="-1" y="0"/>
              <a:chExt cx="3105628" cy="1242592"/>
            </a:xfrm>
          </cdr:grpSpPr>
          <cdr:sp macro="" textlink="'PRES. ORIG.'!$V$28">
            <cdr:nvSpPr>
              <cdr:cNvPr id="45" name="CuadroTexto 152">
                <a:extLst xmlns:a="http://schemas.openxmlformats.org/drawingml/2006/main">
                  <a:ext uri="{FF2B5EF4-FFF2-40B4-BE49-F238E27FC236}">
                    <a16:creationId xmlns:a16="http://schemas.microsoft.com/office/drawing/2014/main" id="{BCC71450-2514-287A-034F-BA000EB68248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-1" y="0"/>
                <a:ext cx="3105628" cy="419461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chemeClr val="bg1">
                  <a:lumMod val="95000"/>
                </a:schemeClr>
              </a:solidFill>
              <a:ln xmlns:a="http://schemas.openxmlformats.org/drawingml/2006/main" w="9525" cmpd="sng">
                <a:solidFill>
                  <a:schemeClr val="bg1">
                    <a:lumMod val="95000"/>
                  </a:schemeClr>
                </a:solidFill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ctr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fld id="{34391886-EC8C-4BA4-B7B6-F1E79D4C67F1}" type="TxLink">
                  <a:rPr lang="en-US" sz="2800" b="1" i="0" u="none" strike="noStrike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</a:rPr>
                  <a:pPr algn="ctr"/>
                  <a:t>NO PROGRAMADA</a:t>
                </a:fld>
                <a:endParaRPr lang="es-PE" sz="8000" b="1">
                  <a:solidFill>
                    <a:srgbClr val="FF0000"/>
                  </a:solidFill>
                  <a:latin typeface="+mn-lt"/>
                  <a:cs typeface="Segoe UI" panose="020B0502040204020203" pitchFamily="34" charset="0"/>
                </a:endParaRPr>
              </a:p>
            </cdr:txBody>
          </cdr:sp>
          <cdr:grpSp>
            <cdr:nvGrpSpPr>
              <cdr:cNvPr id="46" name="Grupo 28">
                <a:extLst xmlns:a="http://schemas.openxmlformats.org/drawingml/2006/main">
                  <a:ext uri="{FF2B5EF4-FFF2-40B4-BE49-F238E27FC236}">
                    <a16:creationId xmlns:a16="http://schemas.microsoft.com/office/drawing/2014/main" id="{9719A12F-2B09-0BC1-6AAE-7E3A12D77919}"/>
                  </a:ext>
                </a:extLst>
              </cdr:cNvPr>
              <cdr:cNvGrpSpPr/>
            </cdr:nvGrpSpPr>
            <cdr:grpSpPr>
              <a:xfrm xmlns:a="http://schemas.openxmlformats.org/drawingml/2006/main">
                <a:off x="641998" y="777691"/>
                <a:ext cx="1805476" cy="464901"/>
                <a:chOff x="461324" y="771376"/>
                <a:chExt cx="1270937" cy="281552"/>
              </a:xfrm>
            </cdr:grpSpPr>
            <cdr:sp macro="" textlink="'PRES. ORIG.'!$X$28">
              <cdr:nvSpPr>
                <cdr:cNvPr id="47" name="CuadroTexto 152">
                  <a:extLst xmlns:a="http://schemas.openxmlformats.org/drawingml/2006/main">
                    <a:ext uri="{FF2B5EF4-FFF2-40B4-BE49-F238E27FC236}">
                      <a16:creationId xmlns:a16="http://schemas.microsoft.com/office/drawing/2014/main" id="{051DBBE7-D8E5-5AEA-52BD-57025F70D83E}"/>
                    </a:ext>
                  </a:extLst>
                </cdr:cNvPr>
                <cdr:cNvSpPr txBox="1"/>
              </cdr:nvSpPr>
              <cdr:spPr>
                <a:xfrm xmlns:a="http://schemas.openxmlformats.org/drawingml/2006/main">
                  <a:off x="461324" y="771376"/>
                  <a:ext cx="1189973" cy="281552"/>
                </a:xfrm>
                <a:prstGeom xmlns:a="http://schemas.openxmlformats.org/drawingml/2006/main" prst="rect">
                  <a:avLst/>
                </a:prstGeom>
                <a:solidFill xmlns:a="http://schemas.openxmlformats.org/drawingml/2006/main">
                  <a:schemeClr val="bg1">
                    <a:lumMod val="95000"/>
                  </a:schemeClr>
                </a:solidFill>
                <a:ln xmlns:a="http://schemas.openxmlformats.org/drawingml/2006/main" w="9525" cmpd="sng">
                  <a:solidFill>
                    <a:schemeClr val="bg1">
                      <a:lumMod val="95000"/>
                    </a:schemeClr>
                  </a:solidFill>
                </a:ln>
              </cdr:spPr>
              <cdr:style>
                <a:lnRef xmlns:a="http://schemas.openxmlformats.org/drawingml/2006/main" idx="0">
                  <a:scrgbClr r="0" g="0" b="0"/>
                </a:lnRef>
                <a:fillRef xmlns:a="http://schemas.openxmlformats.org/drawingml/2006/main" idx="0">
                  <a:scrgbClr r="0" g="0" b="0"/>
                </a:fillRef>
                <a:effectRef xmlns:a="http://schemas.openxmlformats.org/drawingml/2006/main" idx="0">
                  <a:scrgbClr r="0" g="0" b="0"/>
                </a:effectRef>
                <a:fontRef xmlns:a="http://schemas.openxmlformats.org/drawingml/2006/main" idx="minor">
                  <a:schemeClr val="dk1"/>
                </a:fontRef>
              </cdr:style>
              <cdr:txBody>
                <a:bodyPr xmlns:a="http://schemas.openxmlformats.org/drawingml/2006/main" wrap="square" rtlCol="0" anchor="ctr"/>
                <a:lstStyle xmlns:a="http://schemas.openxmlformats.org/drawingml/2006/main">
                  <a:lvl1pPr marL="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 xmlns:a="http://schemas.openxmlformats.org/drawingml/2006/main">
                  <a:pPr algn="ctr"/>
                  <a:fld id="{F2A4314F-46D9-4A2B-A19D-8DA8B9B595FD}" type="TxLink">
                    <a:rPr lang="en-US" sz="4800" b="0" i="0" u="none" strike="noStrike">
                      <a:solidFill>
                        <a:srgbClr val="FF0000"/>
                      </a:solidFill>
                      <a:latin typeface="Calibri"/>
                      <a:ea typeface="Calibri"/>
                      <a:cs typeface="Calibri"/>
                    </a:rPr>
                    <a:pPr algn="ctr"/>
                    <a:t>1.20</a:t>
                  </a:fld>
                  <a:endParaRPr lang="es-PE" sz="71400" b="1">
                    <a:solidFill>
                      <a:srgbClr val="FF0000"/>
                    </a:solidFill>
                    <a:latin typeface="+mn-lt"/>
                    <a:cs typeface="Segoe UI" panose="020B0502040204020203" pitchFamily="34" charset="0"/>
                  </a:endParaRPr>
                </a:p>
              </cdr:txBody>
            </cdr:sp>
            <cdr:sp macro="" textlink="">
              <cdr:nvSpPr>
                <cdr:cNvPr id="48" name="CuadroTexto 152">
                  <a:extLst xmlns:a="http://schemas.openxmlformats.org/drawingml/2006/main">
                    <a:ext uri="{FF2B5EF4-FFF2-40B4-BE49-F238E27FC236}">
                      <a16:creationId xmlns:a16="http://schemas.microsoft.com/office/drawing/2014/main" id="{F5FF4ED0-4A0B-24CC-416D-A9F70633F88F}"/>
                    </a:ext>
                  </a:extLst>
                </cdr:cNvPr>
                <cdr:cNvSpPr txBox="1"/>
              </cdr:nvSpPr>
              <cdr:spPr>
                <a:xfrm xmlns:a="http://schemas.openxmlformats.org/drawingml/2006/main">
                  <a:off x="1496948" y="811387"/>
                  <a:ext cx="235313" cy="211043"/>
                </a:xfrm>
                <a:prstGeom xmlns:a="http://schemas.openxmlformats.org/drawingml/2006/main" prst="rect">
                  <a:avLst/>
                </a:prstGeom>
                <a:solidFill xmlns:a="http://schemas.openxmlformats.org/drawingml/2006/main">
                  <a:schemeClr val="bg1">
                    <a:lumMod val="95000"/>
                  </a:schemeClr>
                </a:solidFill>
                <a:ln xmlns:a="http://schemas.openxmlformats.org/drawingml/2006/main" w="9525" cmpd="sng">
                  <a:solidFill>
                    <a:schemeClr val="bg1">
                      <a:lumMod val="95000"/>
                    </a:schemeClr>
                  </a:solidFill>
                </a:ln>
              </cdr:spPr>
              <cdr:style>
                <a:lnRef xmlns:a="http://schemas.openxmlformats.org/drawingml/2006/main" idx="0">
                  <a:scrgbClr r="0" g="0" b="0"/>
                </a:lnRef>
                <a:fillRef xmlns:a="http://schemas.openxmlformats.org/drawingml/2006/main" idx="0">
                  <a:scrgbClr r="0" g="0" b="0"/>
                </a:fillRef>
                <a:effectRef xmlns:a="http://schemas.openxmlformats.org/drawingml/2006/main" idx="0">
                  <a:scrgbClr r="0" g="0" b="0"/>
                </a:effectRef>
                <a:fontRef xmlns:a="http://schemas.openxmlformats.org/drawingml/2006/main" idx="minor">
                  <a:schemeClr val="dk1"/>
                </a:fontRef>
              </cdr:style>
              <cdr:txBody>
                <a:bodyPr xmlns:a="http://schemas.openxmlformats.org/drawingml/2006/main" wrap="square" rtlCol="0" anchor="ctr"/>
                <a:lstStyle xmlns:a="http://schemas.openxmlformats.org/drawingml/2006/main">
                  <a:lvl1pPr marL="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 xmlns:a="http://schemas.openxmlformats.org/drawingml/2006/main">
                  <a:pPr algn="ctr"/>
                  <a:r>
                    <a:rPr lang="es-PE" sz="4800" b="0">
                      <a:solidFill>
                        <a:srgbClr val="FF0000"/>
                      </a:solidFill>
                      <a:latin typeface="+mn-lt"/>
                      <a:cs typeface="Segoe UI" panose="020B0502040204020203" pitchFamily="34" charset="0"/>
                    </a:rPr>
                    <a:t>h</a:t>
                  </a:r>
                  <a:endParaRPr lang="es-PE" sz="5400" b="0">
                    <a:solidFill>
                      <a:srgbClr val="FF0000"/>
                    </a:solidFill>
                    <a:latin typeface="+mn-lt"/>
                    <a:cs typeface="Segoe UI" panose="020B0502040204020203" pitchFamily="34" charset="0"/>
                  </a:endParaRPr>
                </a:p>
              </cdr:txBody>
            </cdr:sp>
          </cdr:grpSp>
        </cdr:grpSp>
        <cdr:sp macro="" textlink="'PRES. ORIG.'!$Y$28">
          <cdr:nvSpPr>
            <cdr:cNvPr id="49" name="CuadroTexto 152">
              <a:extLst xmlns:a="http://schemas.openxmlformats.org/drawingml/2006/main">
                <a:ext uri="{FF2B5EF4-FFF2-40B4-BE49-F238E27FC236}">
                  <a16:creationId xmlns:a16="http://schemas.microsoft.com/office/drawing/2014/main" id="{BB96A917-90A4-2EFE-DC4D-DD570091C53D}"/>
                </a:ext>
              </a:extLst>
            </cdr:cNvPr>
            <cdr:cNvSpPr txBox="1"/>
          </cdr:nvSpPr>
          <cdr:spPr>
            <a:xfrm xmlns:a="http://schemas.openxmlformats.org/drawingml/2006/main">
              <a:off x="851444" y="1526369"/>
              <a:ext cx="1280831" cy="46490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bg1">
                <a:lumMod val="95000"/>
              </a:schemeClr>
            </a:solidFill>
            <a:ln xmlns:a="http://schemas.openxmlformats.org/drawingml/2006/main" w="9525" cmpd="sng">
              <a:solidFill>
                <a:schemeClr val="bg1">
                  <a:lumMod val="95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ctr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fld id="{33BDDFAB-92BD-4D9D-8E8D-0AD6F6CAD043}" type="TxLink">
                <a:rPr lang="en-US" sz="3200" b="0" i="0" u="none" strike="noStrike">
                  <a:solidFill>
                    <a:srgbClr val="FF0000"/>
                  </a:solidFill>
                  <a:latin typeface="Calibri"/>
                  <a:ea typeface="Calibri"/>
                  <a:cs typeface="Calibri"/>
                </a:rPr>
                <a:pPr algn="ctr"/>
                <a:t>32.7%</a:t>
              </a:fld>
              <a:endParaRPr lang="es-PE" sz="177700" b="1">
                <a:solidFill>
                  <a:srgbClr val="FF0000"/>
                </a:solidFill>
                <a:latin typeface="+mn-lt"/>
                <a:cs typeface="Segoe UI" panose="020B0502040204020203" pitchFamily="34" charset="0"/>
              </a:endParaRPr>
            </a:p>
          </cdr:txBody>
        </cdr:sp>
      </cdr:grpSp>
      <cdr:sp macro="" textlink="">
        <cdr:nvSpPr>
          <cdr:cNvPr id="50" name="CuadroTexto 152">
            <a:extLst xmlns:a="http://schemas.openxmlformats.org/drawingml/2006/main">
              <a:ext uri="{FF2B5EF4-FFF2-40B4-BE49-F238E27FC236}">
                <a16:creationId xmlns:a16="http://schemas.microsoft.com/office/drawing/2014/main" id="{00FF7061-E0AB-5564-8845-487C3E0C27AB}"/>
              </a:ext>
            </a:extLst>
          </cdr:cNvPr>
          <cdr:cNvSpPr txBox="1"/>
        </cdr:nvSpPr>
        <cdr:spPr>
          <a:xfrm xmlns:a="http://schemas.openxmlformats.org/drawingml/2006/main">
            <a:off x="542180" y="1431118"/>
            <a:ext cx="474877" cy="575404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bg1">
              <a:lumMod val="95000"/>
            </a:schemeClr>
          </a:solidFill>
          <a:ln xmlns:a="http://schemas.openxmlformats.org/drawingml/2006/main" w="9525" cmpd="sng">
            <a:solidFill>
              <a:schemeClr val="bg1">
                <a:lumMod val="95000"/>
              </a:schemeClr>
            </a:solidFill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ctr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r"/>
            <a:r>
              <a:rPr lang="es-PE" sz="3600" b="0">
                <a:solidFill>
                  <a:srgbClr val="FF0000"/>
                </a:solidFill>
                <a:latin typeface="+mn-lt"/>
                <a:cs typeface="Segoe UI" panose="020B0502040204020203" pitchFamily="34" charset="0"/>
              </a:rPr>
              <a:t>(</a:t>
            </a:r>
            <a:endParaRPr lang="es-PE" sz="4000" b="0">
              <a:solidFill>
                <a:srgbClr val="FF0000"/>
              </a:solidFill>
              <a:latin typeface="+mn-lt"/>
              <a:cs typeface="Segoe UI" panose="020B0502040204020203" pitchFamily="34" charset="0"/>
            </a:endParaRPr>
          </a:p>
        </cdr:txBody>
      </cdr:sp>
      <cdr:sp macro="" textlink="">
        <cdr:nvSpPr>
          <cdr:cNvPr id="51" name="CuadroTexto 152">
            <a:extLst xmlns:a="http://schemas.openxmlformats.org/drawingml/2006/main">
              <a:ext uri="{FF2B5EF4-FFF2-40B4-BE49-F238E27FC236}">
                <a16:creationId xmlns:a16="http://schemas.microsoft.com/office/drawing/2014/main" id="{D6200EB3-5F2E-33D6-0ABE-E0C9D1E6FEB4}"/>
              </a:ext>
            </a:extLst>
          </cdr:cNvPr>
          <cdr:cNvSpPr txBox="1"/>
        </cdr:nvSpPr>
        <cdr:spPr>
          <a:xfrm xmlns:a="http://schemas.openxmlformats.org/drawingml/2006/main">
            <a:off x="2029059" y="1444725"/>
            <a:ext cx="474877" cy="575404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bg1">
              <a:lumMod val="95000"/>
            </a:schemeClr>
          </a:solidFill>
          <a:ln xmlns:a="http://schemas.openxmlformats.org/drawingml/2006/main" w="9525" cmpd="sng">
            <a:solidFill>
              <a:schemeClr val="bg1">
                <a:lumMod val="95000"/>
              </a:schemeClr>
            </a:solidFill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ctr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s-PE" sz="3600" b="0">
                <a:solidFill>
                  <a:srgbClr val="FF0000"/>
                </a:solidFill>
                <a:latin typeface="+mn-lt"/>
                <a:cs typeface="Segoe UI" panose="020B0502040204020203" pitchFamily="34" charset="0"/>
              </a:rPr>
              <a:t>)</a:t>
            </a:r>
            <a:endParaRPr lang="es-PE" sz="4000" b="0">
              <a:solidFill>
                <a:srgbClr val="FF0000"/>
              </a:solidFill>
              <a:latin typeface="+mn-lt"/>
              <a:cs typeface="Segoe UI" panose="020B0502040204020203" pitchFamily="34" charset="0"/>
            </a:endParaRPr>
          </a:p>
        </cdr:txBody>
      </cdr:sp>
    </cdr:grpSp>
  </cdr:relSizeAnchor>
  <cdr:relSizeAnchor xmlns:cdr="http://schemas.openxmlformats.org/drawingml/2006/chartDrawing">
    <cdr:from>
      <cdr:x>0.0593</cdr:x>
      <cdr:y>0.27647</cdr:y>
    </cdr:from>
    <cdr:to>
      <cdr:x>0.27808</cdr:x>
      <cdr:y>0.74525</cdr:y>
    </cdr:to>
    <cdr:grpSp>
      <cdr:nvGrpSpPr>
        <cdr:cNvPr id="52" name="Grupo 10">
          <a:extLst xmlns:a="http://schemas.openxmlformats.org/drawingml/2006/main">
            <a:ext uri="{FF2B5EF4-FFF2-40B4-BE49-F238E27FC236}">
              <a16:creationId xmlns:a16="http://schemas.microsoft.com/office/drawing/2014/main" id="{6D4CFD70-0705-1BEA-0F91-43629A3D0165}"/>
            </a:ext>
          </a:extLst>
        </cdr:cNvPr>
        <cdr:cNvGrpSpPr/>
      </cdr:nvGrpSpPr>
      <cdr:grpSpPr>
        <a:xfrm xmlns:a="http://schemas.openxmlformats.org/drawingml/2006/main">
          <a:off x="679673" y="1188371"/>
          <a:ext cx="2507570" cy="2014991"/>
          <a:chOff x="503011" y="932896"/>
          <a:chExt cx="2508249" cy="2020129"/>
        </a:xfrm>
      </cdr:grpSpPr>
      <cdr:grpSp>
        <cdr:nvGrpSpPr>
          <cdr:cNvPr id="53" name="Grupo 7">
            <a:extLst xmlns:a="http://schemas.openxmlformats.org/drawingml/2006/main">
              <a:ext uri="{FF2B5EF4-FFF2-40B4-BE49-F238E27FC236}">
                <a16:creationId xmlns:a16="http://schemas.microsoft.com/office/drawing/2014/main" id="{21BF8528-C9B4-1388-279B-86866415148F}"/>
              </a:ext>
            </a:extLst>
          </cdr:cNvPr>
          <cdr:cNvGrpSpPr/>
        </cdr:nvGrpSpPr>
        <cdr:grpSpPr>
          <a:xfrm xmlns:a="http://schemas.openxmlformats.org/drawingml/2006/main">
            <a:off x="503011" y="932896"/>
            <a:ext cx="2508249" cy="1991269"/>
            <a:chOff x="503011" y="932896"/>
            <a:chExt cx="2508249" cy="1991269"/>
          </a:xfrm>
        </cdr:grpSpPr>
        <cdr:grpSp>
          <cdr:nvGrpSpPr>
            <cdr:cNvPr id="54" name="Grupo 6">
              <a:extLst xmlns:a="http://schemas.openxmlformats.org/drawingml/2006/main">
                <a:ext uri="{FF2B5EF4-FFF2-40B4-BE49-F238E27FC236}">
                  <a16:creationId xmlns:a16="http://schemas.microsoft.com/office/drawing/2014/main" id="{6B31E792-8E8A-ACB3-A41D-FE84AC835614}"/>
                </a:ext>
              </a:extLst>
            </cdr:cNvPr>
            <cdr:cNvGrpSpPr/>
          </cdr:nvGrpSpPr>
          <cdr:grpSpPr>
            <a:xfrm xmlns:a="http://schemas.openxmlformats.org/drawingml/2006/main">
              <a:off x="503011" y="932896"/>
              <a:ext cx="2508249" cy="1529318"/>
              <a:chOff x="503011" y="932896"/>
              <a:chExt cx="2508249" cy="1529317"/>
            </a:xfrm>
          </cdr:grpSpPr>
          <cdr:sp macro="" textlink="">
            <cdr:nvSpPr>
              <cdr:cNvPr id="55" name="CuadroTexto 152">
                <a:extLst xmlns:a="http://schemas.openxmlformats.org/drawingml/2006/main">
                  <a:ext uri="{FF2B5EF4-FFF2-40B4-BE49-F238E27FC236}">
                    <a16:creationId xmlns:a16="http://schemas.microsoft.com/office/drawing/2014/main" id="{9A65E38A-A07B-42B6-827D-1B8EE685EDD6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503011" y="932896"/>
                <a:ext cx="2508249" cy="419461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chemeClr val="bg1">
                  <a:lumMod val="95000"/>
                </a:schemeClr>
              </a:solidFill>
              <a:ln xmlns:a="http://schemas.openxmlformats.org/drawingml/2006/main" w="9525" cmpd="sng">
                <a:solidFill>
                  <a:schemeClr val="bg1">
                    <a:lumMod val="95000"/>
                  </a:schemeClr>
                </a:solidFill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ctr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r>
                  <a:rPr lang="es-PE" sz="2800" b="1">
                    <a:solidFill>
                      <a:srgbClr val="002060"/>
                    </a:solidFill>
                    <a:latin typeface="+mn-lt"/>
                    <a:cs typeface="Segoe UI" panose="020B0502040204020203" pitchFamily="34" charset="0"/>
                  </a:rPr>
                  <a:t>PROGRAMADO</a:t>
                </a:r>
                <a:endParaRPr lang="es-PE" sz="3200" b="1">
                  <a:solidFill>
                    <a:srgbClr val="002060"/>
                  </a:solidFill>
                  <a:latin typeface="+mn-lt"/>
                  <a:cs typeface="Segoe UI" panose="020B0502040204020203" pitchFamily="34" charset="0"/>
                </a:endParaRPr>
              </a:p>
            </cdr:txBody>
          </cdr:sp>
          <cdr:grpSp>
            <cdr:nvGrpSpPr>
              <cdr:cNvPr id="56" name="Grupo 5">
                <a:extLst xmlns:a="http://schemas.openxmlformats.org/drawingml/2006/main">
                  <a:ext uri="{FF2B5EF4-FFF2-40B4-BE49-F238E27FC236}">
                    <a16:creationId xmlns:a16="http://schemas.microsoft.com/office/drawing/2014/main" id="{FA783DE8-213B-F7E7-12F5-1505251EADEC}"/>
                  </a:ext>
                </a:extLst>
              </cdr:cNvPr>
              <cdr:cNvGrpSpPr/>
            </cdr:nvGrpSpPr>
            <cdr:grpSpPr>
              <a:xfrm xmlns:a="http://schemas.openxmlformats.org/drawingml/2006/main">
                <a:off x="534760" y="1694568"/>
                <a:ext cx="2190749" cy="767645"/>
                <a:chOff x="829581" y="1694569"/>
                <a:chExt cx="1542144" cy="464900"/>
              </a:xfrm>
            </cdr:grpSpPr>
            <cdr:sp macro="" textlink="'PRES. ORIG.'!$W$29">
              <cdr:nvSpPr>
                <cdr:cNvPr id="57" name="CuadroTexto 152">
                  <a:extLst xmlns:a="http://schemas.openxmlformats.org/drawingml/2006/main">
                    <a:ext uri="{FF2B5EF4-FFF2-40B4-BE49-F238E27FC236}">
                      <a16:creationId xmlns:a16="http://schemas.microsoft.com/office/drawing/2014/main" id="{40CF57EE-1641-4FDD-F1DF-4705D3A66343}"/>
                    </a:ext>
                  </a:extLst>
                </cdr:cNvPr>
                <cdr:cNvSpPr txBox="1"/>
              </cdr:nvSpPr>
              <cdr:spPr>
                <a:xfrm xmlns:a="http://schemas.openxmlformats.org/drawingml/2006/main">
                  <a:off x="829581" y="1694569"/>
                  <a:ext cx="1280831" cy="464900"/>
                </a:xfrm>
                <a:prstGeom xmlns:a="http://schemas.openxmlformats.org/drawingml/2006/main" prst="rect">
                  <a:avLst/>
                </a:prstGeom>
                <a:solidFill xmlns:a="http://schemas.openxmlformats.org/drawingml/2006/main">
                  <a:schemeClr val="bg1">
                    <a:lumMod val="95000"/>
                  </a:schemeClr>
                </a:solidFill>
                <a:ln xmlns:a="http://schemas.openxmlformats.org/drawingml/2006/main" w="9525" cmpd="sng">
                  <a:solidFill>
                    <a:schemeClr val="bg1">
                      <a:lumMod val="95000"/>
                    </a:schemeClr>
                  </a:solidFill>
                </a:ln>
              </cdr:spPr>
              <cdr:style>
                <a:lnRef xmlns:a="http://schemas.openxmlformats.org/drawingml/2006/main" idx="0">
                  <a:scrgbClr r="0" g="0" b="0"/>
                </a:lnRef>
                <a:fillRef xmlns:a="http://schemas.openxmlformats.org/drawingml/2006/main" idx="0">
                  <a:scrgbClr r="0" g="0" b="0"/>
                </a:fillRef>
                <a:effectRef xmlns:a="http://schemas.openxmlformats.org/drawingml/2006/main" idx="0">
                  <a:scrgbClr r="0" g="0" b="0"/>
                </a:effectRef>
                <a:fontRef xmlns:a="http://schemas.openxmlformats.org/drawingml/2006/main" idx="minor">
                  <a:schemeClr val="dk1"/>
                </a:fontRef>
              </cdr:style>
              <cdr:txBody>
                <a:bodyPr xmlns:a="http://schemas.openxmlformats.org/drawingml/2006/main" wrap="square" rtlCol="0" anchor="ctr"/>
                <a:lstStyle xmlns:a="http://schemas.openxmlformats.org/drawingml/2006/main">
                  <a:lvl1pPr marL="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 xmlns:a="http://schemas.openxmlformats.org/drawingml/2006/main">
                  <a:pPr algn="ctr"/>
                  <a:fld id="{120D860F-800D-40CB-A5E1-51B7828A6428}" type="TxLink">
                    <a:rPr lang="en-US" sz="4800" b="0" i="0" u="none" strike="noStrike">
                      <a:solidFill>
                        <a:srgbClr val="002060"/>
                      </a:solidFill>
                      <a:latin typeface="Calibri"/>
                      <a:ea typeface="Calibri"/>
                      <a:cs typeface="Calibri"/>
                    </a:rPr>
                    <a:pPr algn="ctr"/>
                    <a:t>2:28</a:t>
                  </a:fld>
                  <a:endParaRPr lang="es-PE" sz="8800" b="1">
                    <a:solidFill>
                      <a:srgbClr val="002060"/>
                    </a:solidFill>
                    <a:latin typeface="+mn-lt"/>
                    <a:cs typeface="Segoe UI" panose="020B0502040204020203" pitchFamily="34" charset="0"/>
                  </a:endParaRPr>
                </a:p>
              </cdr:txBody>
            </cdr:sp>
            <cdr:sp macro="" textlink="">
              <cdr:nvSpPr>
                <cdr:cNvPr id="58" name="CuadroTexto 152">
                  <a:extLst xmlns:a="http://schemas.openxmlformats.org/drawingml/2006/main">
                    <a:ext uri="{FF2B5EF4-FFF2-40B4-BE49-F238E27FC236}">
                      <a16:creationId xmlns:a16="http://schemas.microsoft.com/office/drawing/2014/main" id="{C9579C5B-A594-92FC-F5B2-A99A8BB31B8F}"/>
                    </a:ext>
                  </a:extLst>
                </cdr:cNvPr>
                <cdr:cNvSpPr txBox="1"/>
              </cdr:nvSpPr>
              <cdr:spPr>
                <a:xfrm xmlns:a="http://schemas.openxmlformats.org/drawingml/2006/main">
                  <a:off x="2037443" y="1754642"/>
                  <a:ext cx="334282" cy="348476"/>
                </a:xfrm>
                <a:prstGeom xmlns:a="http://schemas.openxmlformats.org/drawingml/2006/main" prst="rect">
                  <a:avLst/>
                </a:prstGeom>
                <a:solidFill xmlns:a="http://schemas.openxmlformats.org/drawingml/2006/main">
                  <a:schemeClr val="bg1">
                    <a:lumMod val="95000"/>
                  </a:schemeClr>
                </a:solidFill>
                <a:ln xmlns:a="http://schemas.openxmlformats.org/drawingml/2006/main" w="9525" cmpd="sng">
                  <a:solidFill>
                    <a:schemeClr val="bg1">
                      <a:lumMod val="95000"/>
                    </a:schemeClr>
                  </a:solidFill>
                </a:ln>
              </cdr:spPr>
              <cdr:style>
                <a:lnRef xmlns:a="http://schemas.openxmlformats.org/drawingml/2006/main" idx="0">
                  <a:scrgbClr r="0" g="0" b="0"/>
                </a:lnRef>
                <a:fillRef xmlns:a="http://schemas.openxmlformats.org/drawingml/2006/main" idx="0">
                  <a:scrgbClr r="0" g="0" b="0"/>
                </a:fillRef>
                <a:effectRef xmlns:a="http://schemas.openxmlformats.org/drawingml/2006/main" idx="0">
                  <a:scrgbClr r="0" g="0" b="0"/>
                </a:effectRef>
                <a:fontRef xmlns:a="http://schemas.openxmlformats.org/drawingml/2006/main" idx="minor">
                  <a:schemeClr val="dk1"/>
                </a:fontRef>
              </cdr:style>
              <cdr:txBody>
                <a:bodyPr xmlns:a="http://schemas.openxmlformats.org/drawingml/2006/main" wrap="square" rtlCol="0" anchor="ctr"/>
                <a:lstStyle xmlns:a="http://schemas.openxmlformats.org/drawingml/2006/main">
                  <a:lvl1pPr marL="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 xmlns:a="http://schemas.openxmlformats.org/drawingml/2006/main">
                  <a:pPr algn="ctr"/>
                  <a:r>
                    <a:rPr lang="es-PE" sz="4800" b="0">
                      <a:solidFill>
                        <a:srgbClr val="002060"/>
                      </a:solidFill>
                      <a:latin typeface="+mn-lt"/>
                      <a:cs typeface="Segoe UI" panose="020B0502040204020203" pitchFamily="34" charset="0"/>
                    </a:rPr>
                    <a:t>h</a:t>
                  </a:r>
                  <a:endParaRPr lang="es-PE" sz="5400" b="0">
                    <a:solidFill>
                      <a:srgbClr val="002060"/>
                    </a:solidFill>
                    <a:latin typeface="+mn-lt"/>
                    <a:cs typeface="Segoe UI" panose="020B0502040204020203" pitchFamily="34" charset="0"/>
                  </a:endParaRPr>
                </a:p>
              </cdr:txBody>
            </cdr:sp>
          </cdr:grpSp>
        </cdr:grpSp>
        <cdr:sp macro="" textlink="'PRES. ORIG.'!$Y$29">
          <cdr:nvSpPr>
            <cdr:cNvPr id="59" name="CuadroTexto 152">
              <a:extLst xmlns:a="http://schemas.openxmlformats.org/drawingml/2006/main">
                <a:ext uri="{FF2B5EF4-FFF2-40B4-BE49-F238E27FC236}">
                  <a16:creationId xmlns:a16="http://schemas.microsoft.com/office/drawing/2014/main" id="{D7444738-AC15-BFA9-7813-E765FFAFE58B}"/>
                </a:ext>
              </a:extLst>
            </cdr:cNvPr>
            <cdr:cNvSpPr txBox="1"/>
          </cdr:nvSpPr>
          <cdr:spPr>
            <a:xfrm xmlns:a="http://schemas.openxmlformats.org/drawingml/2006/main">
              <a:off x="1112157" y="2459265"/>
              <a:ext cx="1280831" cy="46490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bg1">
                <a:lumMod val="95000"/>
              </a:schemeClr>
            </a:solidFill>
            <a:ln xmlns:a="http://schemas.openxmlformats.org/drawingml/2006/main" w="9525" cmpd="sng">
              <a:solidFill>
                <a:schemeClr val="bg1">
                  <a:lumMod val="95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ctr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fld id="{9B78AC24-08D4-405A-99A4-0396759404B4}" type="TxLink">
                <a:rPr lang="en-US" sz="3200" b="0" i="0" u="none" strike="noStrike">
                  <a:solidFill>
                    <a:srgbClr val="002060"/>
                  </a:solidFill>
                  <a:latin typeface="Calibri"/>
                  <a:ea typeface="Calibri"/>
                  <a:cs typeface="Calibri"/>
                </a:rPr>
                <a:pPr algn="ctr"/>
                <a:t>67.3%</a:t>
              </a:fld>
              <a:endParaRPr lang="es-PE" sz="28700" b="1">
                <a:solidFill>
                  <a:srgbClr val="002060"/>
                </a:solidFill>
                <a:latin typeface="+mn-lt"/>
                <a:cs typeface="Segoe UI" panose="020B0502040204020203" pitchFamily="34" charset="0"/>
              </a:endParaRPr>
            </a:p>
          </cdr:txBody>
        </cdr:sp>
      </cdr:grpSp>
      <cdr:sp macro="" textlink="">
        <cdr:nvSpPr>
          <cdr:cNvPr id="60" name="CuadroTexto 152">
            <a:extLst xmlns:a="http://schemas.openxmlformats.org/drawingml/2006/main">
              <a:ext uri="{FF2B5EF4-FFF2-40B4-BE49-F238E27FC236}">
                <a16:creationId xmlns:a16="http://schemas.microsoft.com/office/drawing/2014/main" id="{9356823F-E967-1A94-65C5-97F44958227F}"/>
              </a:ext>
            </a:extLst>
          </cdr:cNvPr>
          <cdr:cNvSpPr txBox="1"/>
        </cdr:nvSpPr>
        <cdr:spPr>
          <a:xfrm xmlns:a="http://schemas.openxmlformats.org/drawingml/2006/main">
            <a:off x="785586" y="2364014"/>
            <a:ext cx="474877" cy="575404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bg1">
              <a:lumMod val="95000"/>
            </a:schemeClr>
          </a:solidFill>
          <a:ln xmlns:a="http://schemas.openxmlformats.org/drawingml/2006/main" w="9525" cmpd="sng">
            <a:solidFill>
              <a:schemeClr val="bg1">
                <a:lumMod val="95000"/>
              </a:schemeClr>
            </a:solidFill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ctr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r"/>
            <a:r>
              <a:rPr lang="es-PE" sz="3600" b="0">
                <a:solidFill>
                  <a:srgbClr val="002060"/>
                </a:solidFill>
                <a:latin typeface="+mn-lt"/>
                <a:cs typeface="Segoe UI" panose="020B0502040204020203" pitchFamily="34" charset="0"/>
              </a:rPr>
              <a:t>(</a:t>
            </a:r>
            <a:endParaRPr lang="es-PE" sz="4000" b="0">
              <a:solidFill>
                <a:srgbClr val="002060"/>
              </a:solidFill>
              <a:latin typeface="+mn-lt"/>
              <a:cs typeface="Segoe UI" panose="020B0502040204020203" pitchFamily="34" charset="0"/>
            </a:endParaRPr>
          </a:p>
        </cdr:txBody>
      </cdr:sp>
      <cdr:sp macro="" textlink="">
        <cdr:nvSpPr>
          <cdr:cNvPr id="61" name="CuadroTexto 152">
            <a:extLst xmlns:a="http://schemas.openxmlformats.org/drawingml/2006/main">
              <a:ext uri="{FF2B5EF4-FFF2-40B4-BE49-F238E27FC236}">
                <a16:creationId xmlns:a16="http://schemas.microsoft.com/office/drawing/2014/main" id="{A24D4368-CF17-916B-D4C9-0D9557B20461}"/>
              </a:ext>
            </a:extLst>
          </cdr:cNvPr>
          <cdr:cNvSpPr txBox="1"/>
        </cdr:nvSpPr>
        <cdr:spPr>
          <a:xfrm xmlns:a="http://schemas.openxmlformats.org/drawingml/2006/main">
            <a:off x="2255157" y="2377621"/>
            <a:ext cx="474877" cy="575404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bg1">
              <a:lumMod val="95000"/>
            </a:schemeClr>
          </a:solidFill>
          <a:ln xmlns:a="http://schemas.openxmlformats.org/drawingml/2006/main" w="9525" cmpd="sng">
            <a:solidFill>
              <a:schemeClr val="bg1">
                <a:lumMod val="95000"/>
              </a:schemeClr>
            </a:solidFill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ctr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s-PE" sz="3600" b="0">
                <a:solidFill>
                  <a:srgbClr val="002060"/>
                </a:solidFill>
                <a:latin typeface="+mn-lt"/>
                <a:cs typeface="Segoe UI" panose="020B0502040204020203" pitchFamily="34" charset="0"/>
              </a:rPr>
              <a:t>)</a:t>
            </a:r>
            <a:endParaRPr lang="es-PE" sz="4000" b="0">
              <a:solidFill>
                <a:srgbClr val="002060"/>
              </a:solidFill>
              <a:latin typeface="+mn-lt"/>
              <a:cs typeface="Segoe UI" panose="020B0502040204020203" pitchFamily="34" charset="0"/>
            </a:endParaRPr>
          </a:p>
        </cdr:txBody>
      </cdr:sp>
    </cdr:grpSp>
  </cdr:relSizeAnchor>
  <cdr:relSizeAnchor xmlns:cdr="http://schemas.openxmlformats.org/drawingml/2006/chartDrawing">
    <cdr:from>
      <cdr:x>0.67025</cdr:x>
      <cdr:y>0.27991</cdr:y>
    </cdr:from>
    <cdr:to>
      <cdr:x>0.94113</cdr:x>
      <cdr:y>0.74868</cdr:y>
    </cdr:to>
    <cdr:grpSp>
      <cdr:nvGrpSpPr>
        <cdr:cNvPr id="62" name="Grupo 21">
          <a:extLst xmlns:a="http://schemas.openxmlformats.org/drawingml/2006/main">
            <a:ext uri="{FF2B5EF4-FFF2-40B4-BE49-F238E27FC236}">
              <a16:creationId xmlns:a16="http://schemas.microsoft.com/office/drawing/2014/main" id="{4A6DAEEC-977E-014A-7139-B251096E550D}"/>
            </a:ext>
          </a:extLst>
        </cdr:cNvPr>
        <cdr:cNvGrpSpPr/>
      </cdr:nvGrpSpPr>
      <cdr:grpSpPr>
        <a:xfrm xmlns:a="http://schemas.openxmlformats.org/drawingml/2006/main">
          <a:off x="7682141" y="1203158"/>
          <a:ext cx="3104719" cy="2014948"/>
          <a:chOff x="-1" y="0"/>
          <a:chExt cx="3105628" cy="2020129"/>
        </a:xfrm>
      </cdr:grpSpPr>
      <cdr:grpSp>
        <cdr:nvGrpSpPr>
          <cdr:cNvPr id="63" name="Grupo 22">
            <a:extLst xmlns:a="http://schemas.openxmlformats.org/drawingml/2006/main">
              <a:ext uri="{FF2B5EF4-FFF2-40B4-BE49-F238E27FC236}">
                <a16:creationId xmlns:a16="http://schemas.microsoft.com/office/drawing/2014/main" id="{46A08280-924C-3470-3B1E-8CFCCF1787CF}"/>
              </a:ext>
            </a:extLst>
          </cdr:cNvPr>
          <cdr:cNvGrpSpPr/>
        </cdr:nvGrpSpPr>
        <cdr:grpSpPr>
          <a:xfrm xmlns:a="http://schemas.openxmlformats.org/drawingml/2006/main">
            <a:off x="-1" y="0"/>
            <a:ext cx="3105628" cy="1991269"/>
            <a:chOff x="-1" y="0"/>
            <a:chExt cx="3105628" cy="1991269"/>
          </a:xfrm>
        </cdr:grpSpPr>
        <cdr:grpSp>
          <cdr:nvGrpSpPr>
            <cdr:cNvPr id="64" name="Grupo 25">
              <a:extLst xmlns:a="http://schemas.openxmlformats.org/drawingml/2006/main">
                <a:ext uri="{FF2B5EF4-FFF2-40B4-BE49-F238E27FC236}">
                  <a16:creationId xmlns:a16="http://schemas.microsoft.com/office/drawing/2014/main" id="{31219FFD-4A4E-9259-A02F-96861F389664}"/>
                </a:ext>
              </a:extLst>
            </cdr:cNvPr>
            <cdr:cNvGrpSpPr/>
          </cdr:nvGrpSpPr>
          <cdr:grpSpPr>
            <a:xfrm xmlns:a="http://schemas.openxmlformats.org/drawingml/2006/main">
              <a:off x="-1" y="0"/>
              <a:ext cx="3105628" cy="1242592"/>
              <a:chOff x="-1" y="0"/>
              <a:chExt cx="3105628" cy="1242592"/>
            </a:xfrm>
          </cdr:grpSpPr>
          <cdr:sp macro="" textlink="'PRES. ORIG.'!$V$28">
            <cdr:nvSpPr>
              <cdr:cNvPr id="65" name="CuadroTexto 152">
                <a:extLst xmlns:a="http://schemas.openxmlformats.org/drawingml/2006/main">
                  <a:ext uri="{FF2B5EF4-FFF2-40B4-BE49-F238E27FC236}">
                    <a16:creationId xmlns:a16="http://schemas.microsoft.com/office/drawing/2014/main" id="{BCC71450-2514-287A-034F-BA000EB68248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-1" y="0"/>
                <a:ext cx="3105628" cy="419461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chemeClr val="bg1">
                  <a:lumMod val="95000"/>
                </a:schemeClr>
              </a:solidFill>
              <a:ln xmlns:a="http://schemas.openxmlformats.org/drawingml/2006/main" w="9525" cmpd="sng">
                <a:solidFill>
                  <a:schemeClr val="bg1">
                    <a:lumMod val="95000"/>
                  </a:schemeClr>
                </a:solidFill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ctr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fld id="{34391886-EC8C-4BA4-B7B6-F1E79D4C67F1}" type="TxLink">
                  <a:rPr lang="en-US" sz="2800" b="1" i="0" u="none" strike="noStrike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</a:rPr>
                  <a:pPr algn="ctr"/>
                  <a:t>NO PROGRAMADA</a:t>
                </a:fld>
                <a:endParaRPr lang="es-PE" sz="8000" b="1">
                  <a:solidFill>
                    <a:srgbClr val="FF0000"/>
                  </a:solidFill>
                  <a:latin typeface="+mn-lt"/>
                  <a:cs typeface="Segoe UI" panose="020B0502040204020203" pitchFamily="34" charset="0"/>
                </a:endParaRPr>
              </a:p>
            </cdr:txBody>
          </cdr:sp>
          <cdr:grpSp>
            <cdr:nvGrpSpPr>
              <cdr:cNvPr id="66" name="Grupo 28">
                <a:extLst xmlns:a="http://schemas.openxmlformats.org/drawingml/2006/main">
                  <a:ext uri="{FF2B5EF4-FFF2-40B4-BE49-F238E27FC236}">
                    <a16:creationId xmlns:a16="http://schemas.microsoft.com/office/drawing/2014/main" id="{9719A12F-2B09-0BC1-6AAE-7E3A12D77919}"/>
                  </a:ext>
                </a:extLst>
              </cdr:cNvPr>
              <cdr:cNvGrpSpPr/>
            </cdr:nvGrpSpPr>
            <cdr:grpSpPr>
              <a:xfrm xmlns:a="http://schemas.openxmlformats.org/drawingml/2006/main">
                <a:off x="641998" y="777691"/>
                <a:ext cx="1805476" cy="464901"/>
                <a:chOff x="461324" y="771376"/>
                <a:chExt cx="1270937" cy="281552"/>
              </a:xfrm>
            </cdr:grpSpPr>
            <cdr:sp macro="" textlink="'PRES. ORIG.'!$X$28">
              <cdr:nvSpPr>
                <cdr:cNvPr id="67" name="CuadroTexto 152">
                  <a:extLst xmlns:a="http://schemas.openxmlformats.org/drawingml/2006/main">
                    <a:ext uri="{FF2B5EF4-FFF2-40B4-BE49-F238E27FC236}">
                      <a16:creationId xmlns:a16="http://schemas.microsoft.com/office/drawing/2014/main" id="{051DBBE7-D8E5-5AEA-52BD-57025F70D83E}"/>
                    </a:ext>
                  </a:extLst>
                </cdr:cNvPr>
                <cdr:cNvSpPr txBox="1"/>
              </cdr:nvSpPr>
              <cdr:spPr>
                <a:xfrm xmlns:a="http://schemas.openxmlformats.org/drawingml/2006/main">
                  <a:off x="461324" y="771376"/>
                  <a:ext cx="1189973" cy="281552"/>
                </a:xfrm>
                <a:prstGeom xmlns:a="http://schemas.openxmlformats.org/drawingml/2006/main" prst="rect">
                  <a:avLst/>
                </a:prstGeom>
                <a:solidFill xmlns:a="http://schemas.openxmlformats.org/drawingml/2006/main">
                  <a:schemeClr val="bg1">
                    <a:lumMod val="95000"/>
                  </a:schemeClr>
                </a:solidFill>
                <a:ln xmlns:a="http://schemas.openxmlformats.org/drawingml/2006/main" w="9525" cmpd="sng">
                  <a:solidFill>
                    <a:schemeClr val="bg1">
                      <a:lumMod val="95000"/>
                    </a:schemeClr>
                  </a:solidFill>
                </a:ln>
              </cdr:spPr>
              <cdr:style>
                <a:lnRef xmlns:a="http://schemas.openxmlformats.org/drawingml/2006/main" idx="0">
                  <a:scrgbClr r="0" g="0" b="0"/>
                </a:lnRef>
                <a:fillRef xmlns:a="http://schemas.openxmlformats.org/drawingml/2006/main" idx="0">
                  <a:scrgbClr r="0" g="0" b="0"/>
                </a:fillRef>
                <a:effectRef xmlns:a="http://schemas.openxmlformats.org/drawingml/2006/main" idx="0">
                  <a:scrgbClr r="0" g="0" b="0"/>
                </a:effectRef>
                <a:fontRef xmlns:a="http://schemas.openxmlformats.org/drawingml/2006/main" idx="minor">
                  <a:schemeClr val="dk1"/>
                </a:fontRef>
              </cdr:style>
              <cdr:txBody>
                <a:bodyPr xmlns:a="http://schemas.openxmlformats.org/drawingml/2006/main" wrap="square" rtlCol="0" anchor="ctr"/>
                <a:lstStyle xmlns:a="http://schemas.openxmlformats.org/drawingml/2006/main">
                  <a:lvl1pPr marL="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 xmlns:a="http://schemas.openxmlformats.org/drawingml/2006/main">
                  <a:pPr algn="ctr"/>
                  <a:fld id="{F2A4314F-46D9-4A2B-A19D-8DA8B9B595FD}" type="TxLink">
                    <a:rPr lang="en-US" sz="4800" b="0" i="0" u="none" strike="noStrike">
                      <a:solidFill>
                        <a:srgbClr val="FF0000"/>
                      </a:solidFill>
                      <a:latin typeface="Calibri"/>
                      <a:ea typeface="Calibri"/>
                      <a:cs typeface="Calibri"/>
                    </a:rPr>
                    <a:pPr algn="ctr"/>
                    <a:t>1.20</a:t>
                  </a:fld>
                  <a:endParaRPr lang="es-PE" sz="71400" b="1">
                    <a:solidFill>
                      <a:srgbClr val="FF0000"/>
                    </a:solidFill>
                    <a:latin typeface="+mn-lt"/>
                    <a:cs typeface="Segoe UI" panose="020B0502040204020203" pitchFamily="34" charset="0"/>
                  </a:endParaRPr>
                </a:p>
              </cdr:txBody>
            </cdr:sp>
            <cdr:sp macro="" textlink="">
              <cdr:nvSpPr>
                <cdr:cNvPr id="68" name="CuadroTexto 152">
                  <a:extLst xmlns:a="http://schemas.openxmlformats.org/drawingml/2006/main">
                    <a:ext uri="{FF2B5EF4-FFF2-40B4-BE49-F238E27FC236}">
                      <a16:creationId xmlns:a16="http://schemas.microsoft.com/office/drawing/2014/main" id="{F5FF4ED0-4A0B-24CC-416D-A9F70633F88F}"/>
                    </a:ext>
                  </a:extLst>
                </cdr:cNvPr>
                <cdr:cNvSpPr txBox="1"/>
              </cdr:nvSpPr>
              <cdr:spPr>
                <a:xfrm xmlns:a="http://schemas.openxmlformats.org/drawingml/2006/main">
                  <a:off x="1496948" y="811387"/>
                  <a:ext cx="235313" cy="211043"/>
                </a:xfrm>
                <a:prstGeom xmlns:a="http://schemas.openxmlformats.org/drawingml/2006/main" prst="rect">
                  <a:avLst/>
                </a:prstGeom>
                <a:solidFill xmlns:a="http://schemas.openxmlformats.org/drawingml/2006/main">
                  <a:schemeClr val="bg1">
                    <a:lumMod val="95000"/>
                  </a:schemeClr>
                </a:solidFill>
                <a:ln xmlns:a="http://schemas.openxmlformats.org/drawingml/2006/main" w="9525" cmpd="sng">
                  <a:solidFill>
                    <a:schemeClr val="bg1">
                      <a:lumMod val="95000"/>
                    </a:schemeClr>
                  </a:solidFill>
                </a:ln>
              </cdr:spPr>
              <cdr:style>
                <a:lnRef xmlns:a="http://schemas.openxmlformats.org/drawingml/2006/main" idx="0">
                  <a:scrgbClr r="0" g="0" b="0"/>
                </a:lnRef>
                <a:fillRef xmlns:a="http://schemas.openxmlformats.org/drawingml/2006/main" idx="0">
                  <a:scrgbClr r="0" g="0" b="0"/>
                </a:fillRef>
                <a:effectRef xmlns:a="http://schemas.openxmlformats.org/drawingml/2006/main" idx="0">
                  <a:scrgbClr r="0" g="0" b="0"/>
                </a:effectRef>
                <a:fontRef xmlns:a="http://schemas.openxmlformats.org/drawingml/2006/main" idx="minor">
                  <a:schemeClr val="dk1"/>
                </a:fontRef>
              </cdr:style>
              <cdr:txBody>
                <a:bodyPr xmlns:a="http://schemas.openxmlformats.org/drawingml/2006/main" wrap="square" rtlCol="0" anchor="ctr"/>
                <a:lstStyle xmlns:a="http://schemas.openxmlformats.org/drawingml/2006/main">
                  <a:lvl1pPr marL="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 xmlns:a="http://schemas.openxmlformats.org/drawingml/2006/main">
                  <a:pPr algn="ctr"/>
                  <a:r>
                    <a:rPr lang="es-PE" sz="4800" b="0">
                      <a:solidFill>
                        <a:srgbClr val="FF0000"/>
                      </a:solidFill>
                      <a:latin typeface="+mn-lt"/>
                      <a:cs typeface="Segoe UI" panose="020B0502040204020203" pitchFamily="34" charset="0"/>
                    </a:rPr>
                    <a:t>h</a:t>
                  </a:r>
                  <a:endParaRPr lang="es-PE" sz="5400" b="0">
                    <a:solidFill>
                      <a:srgbClr val="FF0000"/>
                    </a:solidFill>
                    <a:latin typeface="+mn-lt"/>
                    <a:cs typeface="Segoe UI" panose="020B0502040204020203" pitchFamily="34" charset="0"/>
                  </a:endParaRPr>
                </a:p>
              </cdr:txBody>
            </cdr:sp>
          </cdr:grpSp>
        </cdr:grpSp>
        <cdr:sp macro="" textlink="'PRES. ORIG.'!$Y$28">
          <cdr:nvSpPr>
            <cdr:cNvPr id="69" name="CuadroTexto 152">
              <a:extLst xmlns:a="http://schemas.openxmlformats.org/drawingml/2006/main">
                <a:ext uri="{FF2B5EF4-FFF2-40B4-BE49-F238E27FC236}">
                  <a16:creationId xmlns:a16="http://schemas.microsoft.com/office/drawing/2014/main" id="{BB96A917-90A4-2EFE-DC4D-DD570091C53D}"/>
                </a:ext>
              </a:extLst>
            </cdr:cNvPr>
            <cdr:cNvSpPr txBox="1"/>
          </cdr:nvSpPr>
          <cdr:spPr>
            <a:xfrm xmlns:a="http://schemas.openxmlformats.org/drawingml/2006/main">
              <a:off x="851444" y="1526369"/>
              <a:ext cx="1280831" cy="46490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bg1">
                <a:lumMod val="95000"/>
              </a:schemeClr>
            </a:solidFill>
            <a:ln xmlns:a="http://schemas.openxmlformats.org/drawingml/2006/main" w="9525" cmpd="sng">
              <a:solidFill>
                <a:schemeClr val="bg1">
                  <a:lumMod val="95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ctr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fld id="{33BDDFAB-92BD-4D9D-8E8D-0AD6F6CAD043}" type="TxLink">
                <a:rPr lang="en-US" sz="3200" b="0" i="0" u="none" strike="noStrike">
                  <a:solidFill>
                    <a:srgbClr val="FF0000"/>
                  </a:solidFill>
                  <a:latin typeface="Calibri"/>
                  <a:ea typeface="Calibri"/>
                  <a:cs typeface="Calibri"/>
                </a:rPr>
                <a:pPr algn="ctr"/>
                <a:t>32.7%</a:t>
              </a:fld>
              <a:endParaRPr lang="es-PE" sz="177700" b="1">
                <a:solidFill>
                  <a:srgbClr val="FF0000"/>
                </a:solidFill>
                <a:latin typeface="+mn-lt"/>
                <a:cs typeface="Segoe UI" panose="020B0502040204020203" pitchFamily="34" charset="0"/>
              </a:endParaRPr>
            </a:p>
          </cdr:txBody>
        </cdr:sp>
      </cdr:grpSp>
      <cdr:sp macro="" textlink="">
        <cdr:nvSpPr>
          <cdr:cNvPr id="70" name="CuadroTexto 152">
            <a:extLst xmlns:a="http://schemas.openxmlformats.org/drawingml/2006/main">
              <a:ext uri="{FF2B5EF4-FFF2-40B4-BE49-F238E27FC236}">
                <a16:creationId xmlns:a16="http://schemas.microsoft.com/office/drawing/2014/main" id="{00FF7061-E0AB-5564-8845-487C3E0C27AB}"/>
              </a:ext>
            </a:extLst>
          </cdr:cNvPr>
          <cdr:cNvSpPr txBox="1"/>
        </cdr:nvSpPr>
        <cdr:spPr>
          <a:xfrm xmlns:a="http://schemas.openxmlformats.org/drawingml/2006/main">
            <a:off x="542180" y="1431118"/>
            <a:ext cx="474877" cy="575404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bg1">
              <a:lumMod val="95000"/>
            </a:schemeClr>
          </a:solidFill>
          <a:ln xmlns:a="http://schemas.openxmlformats.org/drawingml/2006/main" w="9525" cmpd="sng">
            <a:solidFill>
              <a:schemeClr val="bg1">
                <a:lumMod val="95000"/>
              </a:schemeClr>
            </a:solidFill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ctr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r"/>
            <a:r>
              <a:rPr lang="es-PE" sz="3600" b="0">
                <a:solidFill>
                  <a:srgbClr val="FF0000"/>
                </a:solidFill>
                <a:latin typeface="+mn-lt"/>
                <a:cs typeface="Segoe UI" panose="020B0502040204020203" pitchFamily="34" charset="0"/>
              </a:rPr>
              <a:t>(</a:t>
            </a:r>
            <a:endParaRPr lang="es-PE" sz="4000" b="0">
              <a:solidFill>
                <a:srgbClr val="FF0000"/>
              </a:solidFill>
              <a:latin typeface="+mn-lt"/>
              <a:cs typeface="Segoe UI" panose="020B0502040204020203" pitchFamily="34" charset="0"/>
            </a:endParaRPr>
          </a:p>
        </cdr:txBody>
      </cdr:sp>
      <cdr:sp macro="" textlink="">
        <cdr:nvSpPr>
          <cdr:cNvPr id="71" name="CuadroTexto 152">
            <a:extLst xmlns:a="http://schemas.openxmlformats.org/drawingml/2006/main">
              <a:ext uri="{FF2B5EF4-FFF2-40B4-BE49-F238E27FC236}">
                <a16:creationId xmlns:a16="http://schemas.microsoft.com/office/drawing/2014/main" id="{D6200EB3-5F2E-33D6-0ABE-E0C9D1E6FEB4}"/>
              </a:ext>
            </a:extLst>
          </cdr:cNvPr>
          <cdr:cNvSpPr txBox="1"/>
        </cdr:nvSpPr>
        <cdr:spPr>
          <a:xfrm xmlns:a="http://schemas.openxmlformats.org/drawingml/2006/main">
            <a:off x="2029059" y="1444725"/>
            <a:ext cx="474877" cy="575404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bg1">
              <a:lumMod val="95000"/>
            </a:schemeClr>
          </a:solidFill>
          <a:ln xmlns:a="http://schemas.openxmlformats.org/drawingml/2006/main" w="9525" cmpd="sng">
            <a:solidFill>
              <a:schemeClr val="bg1">
                <a:lumMod val="95000"/>
              </a:schemeClr>
            </a:solidFill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ctr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s-PE" sz="3600" b="0">
                <a:solidFill>
                  <a:srgbClr val="FF0000"/>
                </a:solidFill>
                <a:latin typeface="+mn-lt"/>
                <a:cs typeface="Segoe UI" panose="020B0502040204020203" pitchFamily="34" charset="0"/>
              </a:rPr>
              <a:t>)</a:t>
            </a:r>
            <a:endParaRPr lang="es-PE" sz="4000" b="0">
              <a:solidFill>
                <a:srgbClr val="FF0000"/>
              </a:solidFill>
              <a:latin typeface="+mn-lt"/>
              <a:cs typeface="Segoe UI" panose="020B0502040204020203" pitchFamily="34" charset="0"/>
            </a:endParaRPr>
          </a:p>
        </cdr:txBody>
      </cdr:sp>
    </cdr:grpSp>
  </cdr:relSizeAnchor>
  <cdr:relSizeAnchor xmlns:cdr="http://schemas.openxmlformats.org/drawingml/2006/chartDrawing">
    <cdr:from>
      <cdr:x>0.0593</cdr:x>
      <cdr:y>0.27647</cdr:y>
    </cdr:from>
    <cdr:to>
      <cdr:x>0.27808</cdr:x>
      <cdr:y>0.74525</cdr:y>
    </cdr:to>
    <cdr:grpSp>
      <cdr:nvGrpSpPr>
        <cdr:cNvPr id="72" name="Grupo 10">
          <a:extLst xmlns:a="http://schemas.openxmlformats.org/drawingml/2006/main">
            <a:ext uri="{FF2B5EF4-FFF2-40B4-BE49-F238E27FC236}">
              <a16:creationId xmlns:a16="http://schemas.microsoft.com/office/drawing/2014/main" id="{6D4CFD70-0705-1BEA-0F91-43629A3D0165}"/>
            </a:ext>
          </a:extLst>
        </cdr:cNvPr>
        <cdr:cNvGrpSpPr/>
      </cdr:nvGrpSpPr>
      <cdr:grpSpPr>
        <a:xfrm xmlns:a="http://schemas.openxmlformats.org/drawingml/2006/main">
          <a:off x="679673" y="1188371"/>
          <a:ext cx="2507570" cy="2014991"/>
          <a:chOff x="503011" y="932896"/>
          <a:chExt cx="2508249" cy="2020129"/>
        </a:xfrm>
      </cdr:grpSpPr>
      <cdr:grpSp>
        <cdr:nvGrpSpPr>
          <cdr:cNvPr id="73" name="Grupo 7">
            <a:extLst xmlns:a="http://schemas.openxmlformats.org/drawingml/2006/main">
              <a:ext uri="{FF2B5EF4-FFF2-40B4-BE49-F238E27FC236}">
                <a16:creationId xmlns:a16="http://schemas.microsoft.com/office/drawing/2014/main" id="{21BF8528-C9B4-1388-279B-86866415148F}"/>
              </a:ext>
            </a:extLst>
          </cdr:cNvPr>
          <cdr:cNvGrpSpPr/>
        </cdr:nvGrpSpPr>
        <cdr:grpSpPr>
          <a:xfrm xmlns:a="http://schemas.openxmlformats.org/drawingml/2006/main">
            <a:off x="503011" y="932896"/>
            <a:ext cx="2508249" cy="1991269"/>
            <a:chOff x="503011" y="932896"/>
            <a:chExt cx="2508249" cy="1991269"/>
          </a:xfrm>
        </cdr:grpSpPr>
        <cdr:grpSp>
          <cdr:nvGrpSpPr>
            <cdr:cNvPr id="74" name="Grupo 6">
              <a:extLst xmlns:a="http://schemas.openxmlformats.org/drawingml/2006/main">
                <a:ext uri="{FF2B5EF4-FFF2-40B4-BE49-F238E27FC236}">
                  <a16:creationId xmlns:a16="http://schemas.microsoft.com/office/drawing/2014/main" id="{6B31E792-8E8A-ACB3-A41D-FE84AC835614}"/>
                </a:ext>
              </a:extLst>
            </cdr:cNvPr>
            <cdr:cNvGrpSpPr/>
          </cdr:nvGrpSpPr>
          <cdr:grpSpPr>
            <a:xfrm xmlns:a="http://schemas.openxmlformats.org/drawingml/2006/main">
              <a:off x="503011" y="932896"/>
              <a:ext cx="2508249" cy="1529318"/>
              <a:chOff x="503011" y="932896"/>
              <a:chExt cx="2508249" cy="1529317"/>
            </a:xfrm>
          </cdr:grpSpPr>
          <cdr:sp macro="" textlink="">
            <cdr:nvSpPr>
              <cdr:cNvPr id="75" name="CuadroTexto 152">
                <a:extLst xmlns:a="http://schemas.openxmlformats.org/drawingml/2006/main">
                  <a:ext uri="{FF2B5EF4-FFF2-40B4-BE49-F238E27FC236}">
                    <a16:creationId xmlns:a16="http://schemas.microsoft.com/office/drawing/2014/main" id="{9A65E38A-A07B-42B6-827D-1B8EE685EDD6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503011" y="932896"/>
                <a:ext cx="2508249" cy="419461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chemeClr val="bg1">
                  <a:lumMod val="95000"/>
                </a:schemeClr>
              </a:solidFill>
              <a:ln xmlns:a="http://schemas.openxmlformats.org/drawingml/2006/main" w="9525" cmpd="sng">
                <a:solidFill>
                  <a:schemeClr val="bg1">
                    <a:lumMod val="95000"/>
                  </a:schemeClr>
                </a:solidFill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ctr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r>
                  <a:rPr lang="es-PE" sz="2800" b="1">
                    <a:solidFill>
                      <a:srgbClr val="002060"/>
                    </a:solidFill>
                    <a:latin typeface="+mn-lt"/>
                    <a:cs typeface="Segoe UI" panose="020B0502040204020203" pitchFamily="34" charset="0"/>
                  </a:rPr>
                  <a:t>PROGRAMADO</a:t>
                </a:r>
                <a:endParaRPr lang="es-PE" sz="3200" b="1">
                  <a:solidFill>
                    <a:srgbClr val="002060"/>
                  </a:solidFill>
                  <a:latin typeface="+mn-lt"/>
                  <a:cs typeface="Segoe UI" panose="020B0502040204020203" pitchFamily="34" charset="0"/>
                </a:endParaRPr>
              </a:p>
            </cdr:txBody>
          </cdr:sp>
          <cdr:grpSp>
            <cdr:nvGrpSpPr>
              <cdr:cNvPr id="76" name="Grupo 5">
                <a:extLst xmlns:a="http://schemas.openxmlformats.org/drawingml/2006/main">
                  <a:ext uri="{FF2B5EF4-FFF2-40B4-BE49-F238E27FC236}">
                    <a16:creationId xmlns:a16="http://schemas.microsoft.com/office/drawing/2014/main" id="{FA783DE8-213B-F7E7-12F5-1505251EADEC}"/>
                  </a:ext>
                </a:extLst>
              </cdr:cNvPr>
              <cdr:cNvGrpSpPr/>
            </cdr:nvGrpSpPr>
            <cdr:grpSpPr>
              <a:xfrm xmlns:a="http://schemas.openxmlformats.org/drawingml/2006/main">
                <a:off x="534760" y="1694568"/>
                <a:ext cx="2190749" cy="767645"/>
                <a:chOff x="829581" y="1694569"/>
                <a:chExt cx="1542144" cy="464900"/>
              </a:xfrm>
            </cdr:grpSpPr>
            <cdr:sp macro="" textlink="'PRES. ORIG.'!$W$29">
              <cdr:nvSpPr>
                <cdr:cNvPr id="77" name="CuadroTexto 152">
                  <a:extLst xmlns:a="http://schemas.openxmlformats.org/drawingml/2006/main">
                    <a:ext uri="{FF2B5EF4-FFF2-40B4-BE49-F238E27FC236}">
                      <a16:creationId xmlns:a16="http://schemas.microsoft.com/office/drawing/2014/main" id="{40CF57EE-1641-4FDD-F1DF-4705D3A66343}"/>
                    </a:ext>
                  </a:extLst>
                </cdr:cNvPr>
                <cdr:cNvSpPr txBox="1"/>
              </cdr:nvSpPr>
              <cdr:spPr>
                <a:xfrm xmlns:a="http://schemas.openxmlformats.org/drawingml/2006/main">
                  <a:off x="829581" y="1694569"/>
                  <a:ext cx="1280831" cy="464900"/>
                </a:xfrm>
                <a:prstGeom xmlns:a="http://schemas.openxmlformats.org/drawingml/2006/main" prst="rect">
                  <a:avLst/>
                </a:prstGeom>
                <a:solidFill xmlns:a="http://schemas.openxmlformats.org/drawingml/2006/main">
                  <a:schemeClr val="bg1">
                    <a:lumMod val="95000"/>
                  </a:schemeClr>
                </a:solidFill>
                <a:ln xmlns:a="http://schemas.openxmlformats.org/drawingml/2006/main" w="9525" cmpd="sng">
                  <a:solidFill>
                    <a:schemeClr val="bg1">
                      <a:lumMod val="95000"/>
                    </a:schemeClr>
                  </a:solidFill>
                </a:ln>
              </cdr:spPr>
              <cdr:style>
                <a:lnRef xmlns:a="http://schemas.openxmlformats.org/drawingml/2006/main" idx="0">
                  <a:scrgbClr r="0" g="0" b="0"/>
                </a:lnRef>
                <a:fillRef xmlns:a="http://schemas.openxmlformats.org/drawingml/2006/main" idx="0">
                  <a:scrgbClr r="0" g="0" b="0"/>
                </a:fillRef>
                <a:effectRef xmlns:a="http://schemas.openxmlformats.org/drawingml/2006/main" idx="0">
                  <a:scrgbClr r="0" g="0" b="0"/>
                </a:effectRef>
                <a:fontRef xmlns:a="http://schemas.openxmlformats.org/drawingml/2006/main" idx="minor">
                  <a:schemeClr val="dk1"/>
                </a:fontRef>
              </cdr:style>
              <cdr:txBody>
                <a:bodyPr xmlns:a="http://schemas.openxmlformats.org/drawingml/2006/main" wrap="square" rtlCol="0" anchor="ctr"/>
                <a:lstStyle xmlns:a="http://schemas.openxmlformats.org/drawingml/2006/main">
                  <a:lvl1pPr marL="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 xmlns:a="http://schemas.openxmlformats.org/drawingml/2006/main">
                  <a:pPr algn="ctr"/>
                  <a:fld id="{120D860F-800D-40CB-A5E1-51B7828A6428}" type="TxLink">
                    <a:rPr lang="en-US" sz="4800" b="0" i="0" u="none" strike="noStrike">
                      <a:solidFill>
                        <a:srgbClr val="002060"/>
                      </a:solidFill>
                      <a:latin typeface="Calibri"/>
                      <a:ea typeface="Calibri"/>
                      <a:cs typeface="Calibri"/>
                    </a:rPr>
                    <a:pPr algn="ctr"/>
                    <a:t>2:28</a:t>
                  </a:fld>
                  <a:endParaRPr lang="es-PE" sz="8800" b="1">
                    <a:solidFill>
                      <a:srgbClr val="002060"/>
                    </a:solidFill>
                    <a:latin typeface="+mn-lt"/>
                    <a:cs typeface="Segoe UI" panose="020B0502040204020203" pitchFamily="34" charset="0"/>
                  </a:endParaRPr>
                </a:p>
              </cdr:txBody>
            </cdr:sp>
            <cdr:sp macro="" textlink="">
              <cdr:nvSpPr>
                <cdr:cNvPr id="78" name="CuadroTexto 152">
                  <a:extLst xmlns:a="http://schemas.openxmlformats.org/drawingml/2006/main">
                    <a:ext uri="{FF2B5EF4-FFF2-40B4-BE49-F238E27FC236}">
                      <a16:creationId xmlns:a16="http://schemas.microsoft.com/office/drawing/2014/main" id="{C9579C5B-A594-92FC-F5B2-A99A8BB31B8F}"/>
                    </a:ext>
                  </a:extLst>
                </cdr:cNvPr>
                <cdr:cNvSpPr txBox="1"/>
              </cdr:nvSpPr>
              <cdr:spPr>
                <a:xfrm xmlns:a="http://schemas.openxmlformats.org/drawingml/2006/main">
                  <a:off x="2037443" y="1754642"/>
                  <a:ext cx="334282" cy="348476"/>
                </a:xfrm>
                <a:prstGeom xmlns:a="http://schemas.openxmlformats.org/drawingml/2006/main" prst="rect">
                  <a:avLst/>
                </a:prstGeom>
                <a:solidFill xmlns:a="http://schemas.openxmlformats.org/drawingml/2006/main">
                  <a:schemeClr val="bg1">
                    <a:lumMod val="95000"/>
                  </a:schemeClr>
                </a:solidFill>
                <a:ln xmlns:a="http://schemas.openxmlformats.org/drawingml/2006/main" w="9525" cmpd="sng">
                  <a:solidFill>
                    <a:schemeClr val="bg1">
                      <a:lumMod val="95000"/>
                    </a:schemeClr>
                  </a:solidFill>
                </a:ln>
              </cdr:spPr>
              <cdr:style>
                <a:lnRef xmlns:a="http://schemas.openxmlformats.org/drawingml/2006/main" idx="0">
                  <a:scrgbClr r="0" g="0" b="0"/>
                </a:lnRef>
                <a:fillRef xmlns:a="http://schemas.openxmlformats.org/drawingml/2006/main" idx="0">
                  <a:scrgbClr r="0" g="0" b="0"/>
                </a:fillRef>
                <a:effectRef xmlns:a="http://schemas.openxmlformats.org/drawingml/2006/main" idx="0">
                  <a:scrgbClr r="0" g="0" b="0"/>
                </a:effectRef>
                <a:fontRef xmlns:a="http://schemas.openxmlformats.org/drawingml/2006/main" idx="minor">
                  <a:schemeClr val="dk1"/>
                </a:fontRef>
              </cdr:style>
              <cdr:txBody>
                <a:bodyPr xmlns:a="http://schemas.openxmlformats.org/drawingml/2006/main" wrap="square" rtlCol="0" anchor="ctr"/>
                <a:lstStyle xmlns:a="http://schemas.openxmlformats.org/drawingml/2006/main">
                  <a:lvl1pPr marL="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 xmlns:a="http://schemas.openxmlformats.org/drawingml/2006/main">
                  <a:pPr algn="ctr"/>
                  <a:r>
                    <a:rPr lang="es-PE" sz="4800" b="0">
                      <a:solidFill>
                        <a:srgbClr val="002060"/>
                      </a:solidFill>
                      <a:latin typeface="+mn-lt"/>
                      <a:cs typeface="Segoe UI" panose="020B0502040204020203" pitchFamily="34" charset="0"/>
                    </a:rPr>
                    <a:t>h</a:t>
                  </a:r>
                  <a:endParaRPr lang="es-PE" sz="5400" b="0">
                    <a:solidFill>
                      <a:srgbClr val="002060"/>
                    </a:solidFill>
                    <a:latin typeface="+mn-lt"/>
                    <a:cs typeface="Segoe UI" panose="020B0502040204020203" pitchFamily="34" charset="0"/>
                  </a:endParaRPr>
                </a:p>
              </cdr:txBody>
            </cdr:sp>
          </cdr:grpSp>
        </cdr:grpSp>
        <cdr:sp macro="" textlink="'PRES. ORIG.'!$Y$29">
          <cdr:nvSpPr>
            <cdr:cNvPr id="79" name="CuadroTexto 152">
              <a:extLst xmlns:a="http://schemas.openxmlformats.org/drawingml/2006/main">
                <a:ext uri="{FF2B5EF4-FFF2-40B4-BE49-F238E27FC236}">
                  <a16:creationId xmlns:a16="http://schemas.microsoft.com/office/drawing/2014/main" id="{D7444738-AC15-BFA9-7813-E765FFAFE58B}"/>
                </a:ext>
              </a:extLst>
            </cdr:cNvPr>
            <cdr:cNvSpPr txBox="1"/>
          </cdr:nvSpPr>
          <cdr:spPr>
            <a:xfrm xmlns:a="http://schemas.openxmlformats.org/drawingml/2006/main">
              <a:off x="1112157" y="2459265"/>
              <a:ext cx="1280831" cy="46490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bg1">
                <a:lumMod val="95000"/>
              </a:schemeClr>
            </a:solidFill>
            <a:ln xmlns:a="http://schemas.openxmlformats.org/drawingml/2006/main" w="9525" cmpd="sng">
              <a:solidFill>
                <a:schemeClr val="bg1">
                  <a:lumMod val="95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ctr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fld id="{9B78AC24-08D4-405A-99A4-0396759404B4}" type="TxLink">
                <a:rPr lang="en-US" sz="3200" b="0" i="0" u="none" strike="noStrike">
                  <a:solidFill>
                    <a:srgbClr val="002060"/>
                  </a:solidFill>
                  <a:latin typeface="Calibri"/>
                  <a:ea typeface="Calibri"/>
                  <a:cs typeface="Calibri"/>
                </a:rPr>
                <a:pPr algn="ctr"/>
                <a:t>67.3%</a:t>
              </a:fld>
              <a:endParaRPr lang="es-PE" sz="28700" b="1">
                <a:solidFill>
                  <a:srgbClr val="002060"/>
                </a:solidFill>
                <a:latin typeface="+mn-lt"/>
                <a:cs typeface="Segoe UI" panose="020B0502040204020203" pitchFamily="34" charset="0"/>
              </a:endParaRPr>
            </a:p>
          </cdr:txBody>
        </cdr:sp>
      </cdr:grpSp>
      <cdr:sp macro="" textlink="">
        <cdr:nvSpPr>
          <cdr:cNvPr id="80" name="CuadroTexto 152">
            <a:extLst xmlns:a="http://schemas.openxmlformats.org/drawingml/2006/main">
              <a:ext uri="{FF2B5EF4-FFF2-40B4-BE49-F238E27FC236}">
                <a16:creationId xmlns:a16="http://schemas.microsoft.com/office/drawing/2014/main" id="{9356823F-E967-1A94-65C5-97F44958227F}"/>
              </a:ext>
            </a:extLst>
          </cdr:cNvPr>
          <cdr:cNvSpPr txBox="1"/>
        </cdr:nvSpPr>
        <cdr:spPr>
          <a:xfrm xmlns:a="http://schemas.openxmlformats.org/drawingml/2006/main">
            <a:off x="785586" y="2364014"/>
            <a:ext cx="474877" cy="575404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bg1">
              <a:lumMod val="95000"/>
            </a:schemeClr>
          </a:solidFill>
          <a:ln xmlns:a="http://schemas.openxmlformats.org/drawingml/2006/main" w="9525" cmpd="sng">
            <a:solidFill>
              <a:schemeClr val="bg1">
                <a:lumMod val="95000"/>
              </a:schemeClr>
            </a:solidFill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ctr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r"/>
            <a:r>
              <a:rPr lang="es-PE" sz="3600" b="0">
                <a:solidFill>
                  <a:srgbClr val="002060"/>
                </a:solidFill>
                <a:latin typeface="+mn-lt"/>
                <a:cs typeface="Segoe UI" panose="020B0502040204020203" pitchFamily="34" charset="0"/>
              </a:rPr>
              <a:t>(</a:t>
            </a:r>
            <a:endParaRPr lang="es-PE" sz="4000" b="0">
              <a:solidFill>
                <a:srgbClr val="002060"/>
              </a:solidFill>
              <a:latin typeface="+mn-lt"/>
              <a:cs typeface="Segoe UI" panose="020B0502040204020203" pitchFamily="34" charset="0"/>
            </a:endParaRPr>
          </a:p>
        </cdr:txBody>
      </cdr:sp>
      <cdr:sp macro="" textlink="">
        <cdr:nvSpPr>
          <cdr:cNvPr id="81" name="CuadroTexto 152">
            <a:extLst xmlns:a="http://schemas.openxmlformats.org/drawingml/2006/main">
              <a:ext uri="{FF2B5EF4-FFF2-40B4-BE49-F238E27FC236}">
                <a16:creationId xmlns:a16="http://schemas.microsoft.com/office/drawing/2014/main" id="{A24D4368-CF17-916B-D4C9-0D9557B20461}"/>
              </a:ext>
            </a:extLst>
          </cdr:cNvPr>
          <cdr:cNvSpPr txBox="1"/>
        </cdr:nvSpPr>
        <cdr:spPr>
          <a:xfrm xmlns:a="http://schemas.openxmlformats.org/drawingml/2006/main">
            <a:off x="2255157" y="2377621"/>
            <a:ext cx="474877" cy="575404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bg1">
              <a:lumMod val="95000"/>
            </a:schemeClr>
          </a:solidFill>
          <a:ln xmlns:a="http://schemas.openxmlformats.org/drawingml/2006/main" w="9525" cmpd="sng">
            <a:solidFill>
              <a:schemeClr val="bg1">
                <a:lumMod val="95000"/>
              </a:schemeClr>
            </a:solidFill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ctr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s-PE" sz="3600" b="0">
                <a:solidFill>
                  <a:srgbClr val="002060"/>
                </a:solidFill>
                <a:latin typeface="+mn-lt"/>
                <a:cs typeface="Segoe UI" panose="020B0502040204020203" pitchFamily="34" charset="0"/>
              </a:rPr>
              <a:t>)</a:t>
            </a:r>
            <a:endParaRPr lang="es-PE" sz="4000" b="0">
              <a:solidFill>
                <a:srgbClr val="002060"/>
              </a:solidFill>
              <a:latin typeface="+mn-lt"/>
              <a:cs typeface="Segoe UI" panose="020B0502040204020203" pitchFamily="34" charset="0"/>
            </a:endParaRPr>
          </a:p>
        </cdr:txBody>
      </cdr:sp>
    </cdr:grpSp>
  </cdr:relSizeAnchor>
  <cdr:relSizeAnchor xmlns:cdr="http://schemas.openxmlformats.org/drawingml/2006/chartDrawing">
    <cdr:from>
      <cdr:x>0.67025</cdr:x>
      <cdr:y>0.27991</cdr:y>
    </cdr:from>
    <cdr:to>
      <cdr:x>0.94113</cdr:x>
      <cdr:y>0.74868</cdr:y>
    </cdr:to>
    <cdr:grpSp>
      <cdr:nvGrpSpPr>
        <cdr:cNvPr id="82" name="Grupo 21">
          <a:extLst xmlns:a="http://schemas.openxmlformats.org/drawingml/2006/main">
            <a:ext uri="{FF2B5EF4-FFF2-40B4-BE49-F238E27FC236}">
              <a16:creationId xmlns:a16="http://schemas.microsoft.com/office/drawing/2014/main" id="{4A6DAEEC-977E-014A-7139-B251096E550D}"/>
            </a:ext>
          </a:extLst>
        </cdr:cNvPr>
        <cdr:cNvGrpSpPr/>
      </cdr:nvGrpSpPr>
      <cdr:grpSpPr>
        <a:xfrm xmlns:a="http://schemas.openxmlformats.org/drawingml/2006/main">
          <a:off x="7682141" y="1203158"/>
          <a:ext cx="3104719" cy="2014948"/>
          <a:chOff x="-1" y="0"/>
          <a:chExt cx="3105628" cy="2020129"/>
        </a:xfrm>
      </cdr:grpSpPr>
      <cdr:grpSp>
        <cdr:nvGrpSpPr>
          <cdr:cNvPr id="83" name="Grupo 22">
            <a:extLst xmlns:a="http://schemas.openxmlformats.org/drawingml/2006/main">
              <a:ext uri="{FF2B5EF4-FFF2-40B4-BE49-F238E27FC236}">
                <a16:creationId xmlns:a16="http://schemas.microsoft.com/office/drawing/2014/main" id="{46A08280-924C-3470-3B1E-8CFCCF1787CF}"/>
              </a:ext>
            </a:extLst>
          </cdr:cNvPr>
          <cdr:cNvGrpSpPr/>
        </cdr:nvGrpSpPr>
        <cdr:grpSpPr>
          <a:xfrm xmlns:a="http://schemas.openxmlformats.org/drawingml/2006/main">
            <a:off x="-1" y="0"/>
            <a:ext cx="3105628" cy="1991269"/>
            <a:chOff x="-1" y="0"/>
            <a:chExt cx="3105628" cy="1991269"/>
          </a:xfrm>
        </cdr:grpSpPr>
        <cdr:grpSp>
          <cdr:nvGrpSpPr>
            <cdr:cNvPr id="84" name="Grupo 25">
              <a:extLst xmlns:a="http://schemas.openxmlformats.org/drawingml/2006/main">
                <a:ext uri="{FF2B5EF4-FFF2-40B4-BE49-F238E27FC236}">
                  <a16:creationId xmlns:a16="http://schemas.microsoft.com/office/drawing/2014/main" id="{31219FFD-4A4E-9259-A02F-96861F389664}"/>
                </a:ext>
              </a:extLst>
            </cdr:cNvPr>
            <cdr:cNvGrpSpPr/>
          </cdr:nvGrpSpPr>
          <cdr:grpSpPr>
            <a:xfrm xmlns:a="http://schemas.openxmlformats.org/drawingml/2006/main">
              <a:off x="-1" y="0"/>
              <a:ext cx="3105628" cy="1242592"/>
              <a:chOff x="-1" y="0"/>
              <a:chExt cx="3105628" cy="1242592"/>
            </a:xfrm>
          </cdr:grpSpPr>
          <cdr:sp macro="" textlink="'PRES. ORIG.'!$V$28">
            <cdr:nvSpPr>
              <cdr:cNvPr id="85" name="CuadroTexto 152">
                <a:extLst xmlns:a="http://schemas.openxmlformats.org/drawingml/2006/main">
                  <a:ext uri="{FF2B5EF4-FFF2-40B4-BE49-F238E27FC236}">
                    <a16:creationId xmlns:a16="http://schemas.microsoft.com/office/drawing/2014/main" id="{BCC71450-2514-287A-034F-BA000EB68248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-1" y="0"/>
                <a:ext cx="3105628" cy="419461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chemeClr val="bg1">
                  <a:lumMod val="95000"/>
                </a:schemeClr>
              </a:solidFill>
              <a:ln xmlns:a="http://schemas.openxmlformats.org/drawingml/2006/main" w="9525" cmpd="sng">
                <a:solidFill>
                  <a:schemeClr val="bg1">
                    <a:lumMod val="95000"/>
                  </a:schemeClr>
                </a:solidFill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ctr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fld id="{34391886-EC8C-4BA4-B7B6-F1E79D4C67F1}" type="TxLink">
                  <a:rPr lang="en-US" sz="2800" b="1" i="0" u="none" strike="noStrike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</a:rPr>
                  <a:pPr algn="ctr"/>
                  <a:t>NO PROGRAMADA</a:t>
                </a:fld>
                <a:endParaRPr lang="es-PE" sz="8000" b="1">
                  <a:solidFill>
                    <a:srgbClr val="FF0000"/>
                  </a:solidFill>
                  <a:latin typeface="+mn-lt"/>
                  <a:cs typeface="Segoe UI" panose="020B0502040204020203" pitchFamily="34" charset="0"/>
                </a:endParaRPr>
              </a:p>
            </cdr:txBody>
          </cdr:sp>
          <cdr:grpSp>
            <cdr:nvGrpSpPr>
              <cdr:cNvPr id="86" name="Grupo 28">
                <a:extLst xmlns:a="http://schemas.openxmlformats.org/drawingml/2006/main">
                  <a:ext uri="{FF2B5EF4-FFF2-40B4-BE49-F238E27FC236}">
                    <a16:creationId xmlns:a16="http://schemas.microsoft.com/office/drawing/2014/main" id="{9719A12F-2B09-0BC1-6AAE-7E3A12D77919}"/>
                  </a:ext>
                </a:extLst>
              </cdr:cNvPr>
              <cdr:cNvGrpSpPr/>
            </cdr:nvGrpSpPr>
            <cdr:grpSpPr>
              <a:xfrm xmlns:a="http://schemas.openxmlformats.org/drawingml/2006/main">
                <a:off x="641998" y="777691"/>
                <a:ext cx="1805478" cy="464901"/>
                <a:chOff x="461324" y="771376"/>
                <a:chExt cx="1270937" cy="281552"/>
              </a:xfrm>
            </cdr:grpSpPr>
            <cdr:sp macro="" textlink="'PRES. ORIG.'!$X$28">
              <cdr:nvSpPr>
                <cdr:cNvPr id="87" name="CuadroTexto 152">
                  <a:extLst xmlns:a="http://schemas.openxmlformats.org/drawingml/2006/main">
                    <a:ext uri="{FF2B5EF4-FFF2-40B4-BE49-F238E27FC236}">
                      <a16:creationId xmlns:a16="http://schemas.microsoft.com/office/drawing/2014/main" id="{051DBBE7-D8E5-5AEA-52BD-57025F70D83E}"/>
                    </a:ext>
                  </a:extLst>
                </cdr:cNvPr>
                <cdr:cNvSpPr txBox="1"/>
              </cdr:nvSpPr>
              <cdr:spPr>
                <a:xfrm xmlns:a="http://schemas.openxmlformats.org/drawingml/2006/main">
                  <a:off x="461324" y="771376"/>
                  <a:ext cx="1189973" cy="281552"/>
                </a:xfrm>
                <a:prstGeom xmlns:a="http://schemas.openxmlformats.org/drawingml/2006/main" prst="rect">
                  <a:avLst/>
                </a:prstGeom>
                <a:solidFill xmlns:a="http://schemas.openxmlformats.org/drawingml/2006/main">
                  <a:schemeClr val="bg1">
                    <a:lumMod val="95000"/>
                  </a:schemeClr>
                </a:solidFill>
                <a:ln xmlns:a="http://schemas.openxmlformats.org/drawingml/2006/main" w="9525" cmpd="sng">
                  <a:solidFill>
                    <a:schemeClr val="bg1">
                      <a:lumMod val="95000"/>
                    </a:schemeClr>
                  </a:solidFill>
                </a:ln>
              </cdr:spPr>
              <cdr:style>
                <a:lnRef xmlns:a="http://schemas.openxmlformats.org/drawingml/2006/main" idx="0">
                  <a:scrgbClr r="0" g="0" b="0"/>
                </a:lnRef>
                <a:fillRef xmlns:a="http://schemas.openxmlformats.org/drawingml/2006/main" idx="0">
                  <a:scrgbClr r="0" g="0" b="0"/>
                </a:fillRef>
                <a:effectRef xmlns:a="http://schemas.openxmlformats.org/drawingml/2006/main" idx="0">
                  <a:scrgbClr r="0" g="0" b="0"/>
                </a:effectRef>
                <a:fontRef xmlns:a="http://schemas.openxmlformats.org/drawingml/2006/main" idx="minor">
                  <a:schemeClr val="dk1"/>
                </a:fontRef>
              </cdr:style>
              <cdr:txBody>
                <a:bodyPr xmlns:a="http://schemas.openxmlformats.org/drawingml/2006/main" wrap="square" rtlCol="0" anchor="ctr"/>
                <a:lstStyle xmlns:a="http://schemas.openxmlformats.org/drawingml/2006/main">
                  <a:lvl1pPr marL="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 xmlns:a="http://schemas.openxmlformats.org/drawingml/2006/main">
                  <a:pPr algn="ctr"/>
                  <a:fld id="{F2A4314F-46D9-4A2B-A19D-8DA8B9B595FD}" type="TxLink">
                    <a:rPr lang="en-US" sz="4800" b="0" i="0" u="none" strike="noStrike">
                      <a:solidFill>
                        <a:srgbClr val="FF0000"/>
                      </a:solidFill>
                      <a:latin typeface="Calibri"/>
                      <a:ea typeface="Calibri"/>
                      <a:cs typeface="Calibri"/>
                    </a:rPr>
                    <a:pPr algn="ctr"/>
                    <a:t>1.20</a:t>
                  </a:fld>
                  <a:endParaRPr lang="es-PE" sz="71400" b="1">
                    <a:solidFill>
                      <a:srgbClr val="FF0000"/>
                    </a:solidFill>
                    <a:latin typeface="+mn-lt"/>
                    <a:cs typeface="Segoe UI" panose="020B0502040204020203" pitchFamily="34" charset="0"/>
                  </a:endParaRPr>
                </a:p>
              </cdr:txBody>
            </cdr:sp>
            <cdr:sp macro="" textlink="">
              <cdr:nvSpPr>
                <cdr:cNvPr id="88" name="CuadroTexto 152">
                  <a:extLst xmlns:a="http://schemas.openxmlformats.org/drawingml/2006/main">
                    <a:ext uri="{FF2B5EF4-FFF2-40B4-BE49-F238E27FC236}">
                      <a16:creationId xmlns:a16="http://schemas.microsoft.com/office/drawing/2014/main" id="{F5FF4ED0-4A0B-24CC-416D-A9F70633F88F}"/>
                    </a:ext>
                  </a:extLst>
                </cdr:cNvPr>
                <cdr:cNvSpPr txBox="1"/>
              </cdr:nvSpPr>
              <cdr:spPr>
                <a:xfrm xmlns:a="http://schemas.openxmlformats.org/drawingml/2006/main">
                  <a:off x="1496948" y="811387"/>
                  <a:ext cx="235313" cy="211043"/>
                </a:xfrm>
                <a:prstGeom xmlns:a="http://schemas.openxmlformats.org/drawingml/2006/main" prst="rect">
                  <a:avLst/>
                </a:prstGeom>
                <a:solidFill xmlns:a="http://schemas.openxmlformats.org/drawingml/2006/main">
                  <a:schemeClr val="bg1">
                    <a:lumMod val="95000"/>
                  </a:schemeClr>
                </a:solidFill>
                <a:ln xmlns:a="http://schemas.openxmlformats.org/drawingml/2006/main" w="9525" cmpd="sng">
                  <a:solidFill>
                    <a:schemeClr val="bg1">
                      <a:lumMod val="95000"/>
                    </a:schemeClr>
                  </a:solidFill>
                </a:ln>
              </cdr:spPr>
              <cdr:style>
                <a:lnRef xmlns:a="http://schemas.openxmlformats.org/drawingml/2006/main" idx="0">
                  <a:scrgbClr r="0" g="0" b="0"/>
                </a:lnRef>
                <a:fillRef xmlns:a="http://schemas.openxmlformats.org/drawingml/2006/main" idx="0">
                  <a:scrgbClr r="0" g="0" b="0"/>
                </a:fillRef>
                <a:effectRef xmlns:a="http://schemas.openxmlformats.org/drawingml/2006/main" idx="0">
                  <a:scrgbClr r="0" g="0" b="0"/>
                </a:effectRef>
                <a:fontRef xmlns:a="http://schemas.openxmlformats.org/drawingml/2006/main" idx="minor">
                  <a:schemeClr val="dk1"/>
                </a:fontRef>
              </cdr:style>
              <cdr:txBody>
                <a:bodyPr xmlns:a="http://schemas.openxmlformats.org/drawingml/2006/main" wrap="square" rtlCol="0" anchor="ctr"/>
                <a:lstStyle xmlns:a="http://schemas.openxmlformats.org/drawingml/2006/main">
                  <a:lvl1pPr marL="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 xmlns:a="http://schemas.openxmlformats.org/drawingml/2006/main">
                  <a:pPr algn="ctr"/>
                  <a:r>
                    <a:rPr lang="es-PE" sz="4800" b="0">
                      <a:solidFill>
                        <a:srgbClr val="FF0000"/>
                      </a:solidFill>
                      <a:latin typeface="+mn-lt"/>
                      <a:cs typeface="Segoe UI" panose="020B0502040204020203" pitchFamily="34" charset="0"/>
                    </a:rPr>
                    <a:t>h</a:t>
                  </a:r>
                  <a:endParaRPr lang="es-PE" sz="5400" b="0">
                    <a:solidFill>
                      <a:srgbClr val="FF0000"/>
                    </a:solidFill>
                    <a:latin typeface="+mn-lt"/>
                    <a:cs typeface="Segoe UI" panose="020B0502040204020203" pitchFamily="34" charset="0"/>
                  </a:endParaRPr>
                </a:p>
              </cdr:txBody>
            </cdr:sp>
          </cdr:grpSp>
        </cdr:grpSp>
        <cdr:sp macro="" textlink="'PRES. ORIG.'!$Y$28">
          <cdr:nvSpPr>
            <cdr:cNvPr id="89" name="CuadroTexto 152">
              <a:extLst xmlns:a="http://schemas.openxmlformats.org/drawingml/2006/main">
                <a:ext uri="{FF2B5EF4-FFF2-40B4-BE49-F238E27FC236}">
                  <a16:creationId xmlns:a16="http://schemas.microsoft.com/office/drawing/2014/main" id="{BB96A917-90A4-2EFE-DC4D-DD570091C53D}"/>
                </a:ext>
              </a:extLst>
            </cdr:cNvPr>
            <cdr:cNvSpPr txBox="1"/>
          </cdr:nvSpPr>
          <cdr:spPr>
            <a:xfrm xmlns:a="http://schemas.openxmlformats.org/drawingml/2006/main">
              <a:off x="851444" y="1526369"/>
              <a:ext cx="1280831" cy="46490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bg1">
                <a:lumMod val="95000"/>
              </a:schemeClr>
            </a:solidFill>
            <a:ln xmlns:a="http://schemas.openxmlformats.org/drawingml/2006/main" w="9525" cmpd="sng">
              <a:solidFill>
                <a:schemeClr val="bg1">
                  <a:lumMod val="95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ctr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fld id="{33BDDFAB-92BD-4D9D-8E8D-0AD6F6CAD043}" type="TxLink">
                <a:rPr lang="en-US" sz="3200" b="0" i="0" u="none" strike="noStrike">
                  <a:solidFill>
                    <a:srgbClr val="FF0000"/>
                  </a:solidFill>
                  <a:latin typeface="Calibri"/>
                  <a:ea typeface="Calibri"/>
                  <a:cs typeface="Calibri"/>
                </a:rPr>
                <a:pPr algn="ctr"/>
                <a:t>32.7%</a:t>
              </a:fld>
              <a:endParaRPr lang="es-PE" sz="177700" b="1">
                <a:solidFill>
                  <a:srgbClr val="FF0000"/>
                </a:solidFill>
                <a:latin typeface="+mn-lt"/>
                <a:cs typeface="Segoe UI" panose="020B0502040204020203" pitchFamily="34" charset="0"/>
              </a:endParaRPr>
            </a:p>
          </cdr:txBody>
        </cdr:sp>
      </cdr:grpSp>
      <cdr:sp macro="" textlink="">
        <cdr:nvSpPr>
          <cdr:cNvPr id="90" name="CuadroTexto 152">
            <a:extLst xmlns:a="http://schemas.openxmlformats.org/drawingml/2006/main">
              <a:ext uri="{FF2B5EF4-FFF2-40B4-BE49-F238E27FC236}">
                <a16:creationId xmlns:a16="http://schemas.microsoft.com/office/drawing/2014/main" id="{00FF7061-E0AB-5564-8845-487C3E0C27AB}"/>
              </a:ext>
            </a:extLst>
          </cdr:cNvPr>
          <cdr:cNvSpPr txBox="1"/>
        </cdr:nvSpPr>
        <cdr:spPr>
          <a:xfrm xmlns:a="http://schemas.openxmlformats.org/drawingml/2006/main">
            <a:off x="501358" y="1431118"/>
            <a:ext cx="474877" cy="575404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bg1">
              <a:lumMod val="95000"/>
            </a:schemeClr>
          </a:solidFill>
          <a:ln xmlns:a="http://schemas.openxmlformats.org/drawingml/2006/main" w="9525" cmpd="sng">
            <a:solidFill>
              <a:schemeClr val="bg1">
                <a:lumMod val="95000"/>
              </a:schemeClr>
            </a:solidFill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ctr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r"/>
            <a:r>
              <a:rPr lang="es-PE" sz="3600" b="0">
                <a:solidFill>
                  <a:srgbClr val="FF0000"/>
                </a:solidFill>
                <a:latin typeface="+mn-lt"/>
                <a:cs typeface="Segoe UI" panose="020B0502040204020203" pitchFamily="34" charset="0"/>
              </a:rPr>
              <a:t>(</a:t>
            </a:r>
            <a:endParaRPr lang="es-PE" sz="4000" b="0">
              <a:solidFill>
                <a:srgbClr val="FF0000"/>
              </a:solidFill>
              <a:latin typeface="+mn-lt"/>
              <a:cs typeface="Segoe UI" panose="020B0502040204020203" pitchFamily="34" charset="0"/>
            </a:endParaRPr>
          </a:p>
        </cdr:txBody>
      </cdr:sp>
      <cdr:sp macro="" textlink="">
        <cdr:nvSpPr>
          <cdr:cNvPr id="91" name="CuadroTexto 152">
            <a:extLst xmlns:a="http://schemas.openxmlformats.org/drawingml/2006/main">
              <a:ext uri="{FF2B5EF4-FFF2-40B4-BE49-F238E27FC236}">
                <a16:creationId xmlns:a16="http://schemas.microsoft.com/office/drawing/2014/main" id="{D6200EB3-5F2E-33D6-0ABE-E0C9D1E6FEB4}"/>
              </a:ext>
            </a:extLst>
          </cdr:cNvPr>
          <cdr:cNvSpPr txBox="1"/>
        </cdr:nvSpPr>
        <cdr:spPr>
          <a:xfrm xmlns:a="http://schemas.openxmlformats.org/drawingml/2006/main">
            <a:off x="2029059" y="1444725"/>
            <a:ext cx="474877" cy="575404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bg1">
              <a:lumMod val="95000"/>
            </a:schemeClr>
          </a:solidFill>
          <a:ln xmlns:a="http://schemas.openxmlformats.org/drawingml/2006/main" w="9525" cmpd="sng">
            <a:solidFill>
              <a:schemeClr val="bg1">
                <a:lumMod val="95000"/>
              </a:schemeClr>
            </a:solidFill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ctr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s-PE" sz="3600" b="0">
                <a:solidFill>
                  <a:srgbClr val="FF0000"/>
                </a:solidFill>
                <a:latin typeface="+mn-lt"/>
                <a:cs typeface="Segoe UI" panose="020B0502040204020203" pitchFamily="34" charset="0"/>
              </a:rPr>
              <a:t>)</a:t>
            </a:r>
            <a:endParaRPr lang="es-PE" sz="4000" b="0">
              <a:solidFill>
                <a:srgbClr val="FF0000"/>
              </a:solidFill>
              <a:latin typeface="+mn-lt"/>
              <a:cs typeface="Segoe UI" panose="020B0502040204020203" pitchFamily="34" charset="0"/>
            </a:endParaRPr>
          </a:p>
        </cdr:txBody>
      </cdr:sp>
    </cdr:grpSp>
  </cdr:relSizeAnchor>
  <cdr:relSizeAnchor xmlns:cdr="http://schemas.openxmlformats.org/drawingml/2006/chartDrawing">
    <cdr:from>
      <cdr:x>0.37383</cdr:x>
      <cdr:y>0.40987</cdr:y>
    </cdr:from>
    <cdr:to>
      <cdr:x>0.54132</cdr:x>
      <cdr:y>0.6891</cdr:y>
    </cdr:to>
    <cdr:grpSp>
      <cdr:nvGrpSpPr>
        <cdr:cNvPr id="96" name="Grupo 95">
          <a:extLst xmlns:a="http://schemas.openxmlformats.org/drawingml/2006/main">
            <a:ext uri="{FF2B5EF4-FFF2-40B4-BE49-F238E27FC236}">
              <a16:creationId xmlns:a16="http://schemas.microsoft.com/office/drawing/2014/main" id="{FCC72C7F-12E3-5733-C07F-424DF9FE53DF}"/>
            </a:ext>
          </a:extLst>
        </cdr:cNvPr>
        <cdr:cNvGrpSpPr/>
      </cdr:nvGrpSpPr>
      <cdr:grpSpPr>
        <a:xfrm xmlns:a="http://schemas.openxmlformats.org/drawingml/2006/main">
          <a:off x="4284692" y="1761774"/>
          <a:ext cx="1919704" cy="1200235"/>
          <a:chOff x="4288328" y="1765300"/>
          <a:chExt cx="1921410" cy="1202622"/>
        </a:xfrm>
      </cdr:grpSpPr>
      <cdr:grpSp>
        <cdr:nvGrpSpPr>
          <cdr:cNvPr id="94" name="Grupo 93">
            <a:extLst xmlns:a="http://schemas.openxmlformats.org/drawingml/2006/main">
              <a:ext uri="{FF2B5EF4-FFF2-40B4-BE49-F238E27FC236}">
                <a16:creationId xmlns:a16="http://schemas.microsoft.com/office/drawing/2014/main" id="{0A65A8BA-ECEA-CE1F-1FCA-4291CCBE2FBF}"/>
              </a:ext>
            </a:extLst>
          </cdr:cNvPr>
          <cdr:cNvGrpSpPr/>
        </cdr:nvGrpSpPr>
        <cdr:grpSpPr>
          <a:xfrm xmlns:a="http://schemas.openxmlformats.org/drawingml/2006/main">
            <a:off x="4288328" y="1765300"/>
            <a:ext cx="1919010" cy="575092"/>
            <a:chOff x="4288328" y="1765300"/>
            <a:chExt cx="1919009" cy="575092"/>
          </a:xfrm>
        </cdr:grpSpPr>
        <cdr:sp macro="" textlink="'PRES. ORIG.'!$X$26">
          <cdr:nvSpPr>
            <cdr:cNvPr id="92" name="CuadroTexto 152">
              <a:extLst xmlns:a="http://schemas.openxmlformats.org/drawingml/2006/main">
                <a:ext uri="{FF2B5EF4-FFF2-40B4-BE49-F238E27FC236}">
                  <a16:creationId xmlns:a16="http://schemas.microsoft.com/office/drawing/2014/main" id="{A9641E60-298B-54AE-D507-009B37C6E33F}"/>
                </a:ext>
              </a:extLst>
            </cdr:cNvPr>
            <cdr:cNvSpPr txBox="1"/>
          </cdr:nvSpPr>
          <cdr:spPr>
            <a:xfrm xmlns:a="http://schemas.openxmlformats.org/drawingml/2006/main">
              <a:off x="4288328" y="1834881"/>
              <a:ext cx="1663674" cy="419223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bg1">
                <a:lumMod val="95000"/>
              </a:schemeClr>
            </a:solidFill>
            <a:ln xmlns:a="http://schemas.openxmlformats.org/drawingml/2006/main" w="9525" cmpd="sng">
              <a:solidFill>
                <a:schemeClr val="bg1">
                  <a:lumMod val="95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ctr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fld id="{EECA8E0A-C81C-44A7-AE80-4F6F11FD1D2F}" type="TxLink">
                <a:rPr lang="en-US" sz="5400" b="1" i="0" u="none" strike="noStrike">
                  <a:solidFill>
                    <a:srgbClr val="002060"/>
                  </a:solidFill>
                  <a:latin typeface="Calibri"/>
                  <a:ea typeface="Calibri"/>
                  <a:cs typeface="Calibri"/>
                </a:rPr>
                <a:pPr algn="ctr"/>
                <a:t>3.7</a:t>
              </a:fld>
              <a:endParaRPr lang="es-PE" sz="102800" b="1">
                <a:solidFill>
                  <a:srgbClr val="002060"/>
                </a:solidFill>
                <a:latin typeface="+mn-lt"/>
                <a:cs typeface="Segoe UI" panose="020B0502040204020203" pitchFamily="34" charset="0"/>
              </a:endParaRPr>
            </a:p>
          </cdr:txBody>
        </cdr:sp>
        <cdr:sp macro="" textlink="">
          <cdr:nvSpPr>
            <cdr:cNvPr id="93" name="CuadroTexto 152">
              <a:extLst xmlns:a="http://schemas.openxmlformats.org/drawingml/2006/main">
                <a:ext uri="{FF2B5EF4-FFF2-40B4-BE49-F238E27FC236}">
                  <a16:creationId xmlns:a16="http://schemas.microsoft.com/office/drawing/2014/main" id="{824F26B5-3FC7-4916-4F63-5877B588FCBE}"/>
                </a:ext>
              </a:extLst>
            </cdr:cNvPr>
            <cdr:cNvSpPr txBox="1"/>
          </cdr:nvSpPr>
          <cdr:spPr>
            <a:xfrm xmlns:a="http://schemas.openxmlformats.org/drawingml/2006/main">
              <a:off x="5732183" y="1765300"/>
              <a:ext cx="475154" cy="575092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bg1">
                <a:lumMod val="95000"/>
              </a:schemeClr>
            </a:solidFill>
            <a:ln xmlns:a="http://schemas.openxmlformats.org/drawingml/2006/main" w="9525" cmpd="sng">
              <a:solidFill>
                <a:schemeClr val="bg1">
                  <a:lumMod val="95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ctr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s-PE" sz="5400" b="1">
                  <a:solidFill>
                    <a:srgbClr val="002060"/>
                  </a:solidFill>
                  <a:latin typeface="+mn-lt"/>
                  <a:cs typeface="Segoe UI" panose="020B0502040204020203" pitchFamily="34" charset="0"/>
                </a:rPr>
                <a:t>h</a:t>
              </a:r>
              <a:endParaRPr lang="es-PE" sz="6000" b="1">
                <a:solidFill>
                  <a:srgbClr val="002060"/>
                </a:solidFill>
                <a:latin typeface="+mn-lt"/>
                <a:cs typeface="Segoe UI" panose="020B0502040204020203" pitchFamily="34" charset="0"/>
              </a:endParaRPr>
            </a:p>
          </cdr:txBody>
        </cdr:sp>
      </cdr:grpSp>
      <cdr:sp macro="" textlink="">
        <cdr:nvSpPr>
          <cdr:cNvPr id="95" name="CuadroTexto 152">
            <a:extLst xmlns:a="http://schemas.openxmlformats.org/drawingml/2006/main">
              <a:ext uri="{FF2B5EF4-FFF2-40B4-BE49-F238E27FC236}">
                <a16:creationId xmlns:a16="http://schemas.microsoft.com/office/drawing/2014/main" id="{F73940D6-0AA1-258A-F6B0-6EC93181459F}"/>
              </a:ext>
            </a:extLst>
          </cdr:cNvPr>
          <cdr:cNvSpPr txBox="1"/>
        </cdr:nvSpPr>
        <cdr:spPr>
          <a:xfrm xmlns:a="http://schemas.openxmlformats.org/drawingml/2006/main">
            <a:off x="4465918" y="2392830"/>
            <a:ext cx="1743820" cy="575092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bg1">
              <a:lumMod val="95000"/>
            </a:schemeClr>
          </a:solidFill>
          <a:ln xmlns:a="http://schemas.openxmlformats.org/drawingml/2006/main" w="9525" cmpd="sng">
            <a:solidFill>
              <a:schemeClr val="bg1">
                <a:lumMod val="95000"/>
              </a:schemeClr>
            </a:solidFill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ctr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s-PE" sz="4000" b="1">
                <a:solidFill>
                  <a:srgbClr val="002060"/>
                </a:solidFill>
                <a:latin typeface="+mn-lt"/>
                <a:cs typeface="Segoe UI" panose="020B0502040204020203" pitchFamily="34" charset="0"/>
              </a:rPr>
              <a:t>TOTAL</a:t>
            </a:r>
            <a:endParaRPr lang="es-PE" sz="4400" b="1">
              <a:solidFill>
                <a:srgbClr val="002060"/>
              </a:solidFill>
              <a:latin typeface="+mn-lt"/>
              <a:cs typeface="Segoe UI" panose="020B0502040204020203" pitchFamily="34" charset="0"/>
            </a:endParaRPr>
          </a:p>
        </cdr:txBody>
      </cdr:sp>
    </cdr:grp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0.84144</cdr:x>
      <cdr:y>0.17931</cdr:y>
    </cdr:from>
    <cdr:to>
      <cdr:x>0.87328</cdr:x>
      <cdr:y>0.23326</cdr:y>
    </cdr:to>
    <cdr:sp macro="" textlink="">
      <cdr:nvSpPr>
        <cdr:cNvPr id="6" name="CuadroTexto 1">
          <a:extLst xmlns:a="http://schemas.openxmlformats.org/drawingml/2006/main">
            <a:ext uri="{FF2B5EF4-FFF2-40B4-BE49-F238E27FC236}">
              <a16:creationId xmlns:a16="http://schemas.microsoft.com/office/drawing/2014/main" id="{07575645-34E3-64F3-ED93-6C7DA9A72E23}"/>
            </a:ext>
          </a:extLst>
        </cdr:cNvPr>
        <cdr:cNvSpPr txBox="1"/>
      </cdr:nvSpPr>
      <cdr:spPr>
        <a:xfrm xmlns:a="http://schemas.openxmlformats.org/drawingml/2006/main">
          <a:off x="9612598" y="1221014"/>
          <a:ext cx="363642" cy="3673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s-PE" sz="2400" kern="1200">
            <a:solidFill>
              <a:schemeClr val="accent4">
                <a:lumMod val="75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0.66364</cdr:x>
      <cdr:y>0.10735</cdr:y>
    </cdr:from>
    <cdr:to>
      <cdr:x>0.95303</cdr:x>
      <cdr:y>0.43928</cdr:y>
    </cdr:to>
    <cdr:grpSp>
      <cdr:nvGrpSpPr>
        <cdr:cNvPr id="21" name="Grupo 20">
          <a:extLst xmlns:a="http://schemas.openxmlformats.org/drawingml/2006/main">
            <a:ext uri="{FF2B5EF4-FFF2-40B4-BE49-F238E27FC236}">
              <a16:creationId xmlns:a16="http://schemas.microsoft.com/office/drawing/2014/main" id="{7B15ED56-98AE-92D5-C225-C813F7349E37}"/>
            </a:ext>
          </a:extLst>
        </cdr:cNvPr>
        <cdr:cNvGrpSpPr/>
      </cdr:nvGrpSpPr>
      <cdr:grpSpPr>
        <a:xfrm xmlns:a="http://schemas.openxmlformats.org/drawingml/2006/main">
          <a:off x="7578221" y="731001"/>
          <a:ext cx="3304595" cy="2260280"/>
          <a:chOff x="7710394" y="731005"/>
          <a:chExt cx="3182746" cy="2260258"/>
        </a:xfrm>
      </cdr:grpSpPr>
      <cdr:grpSp>
        <cdr:nvGrpSpPr>
          <cdr:cNvPr id="8" name="Grupo 7">
            <a:extLst xmlns:a="http://schemas.openxmlformats.org/drawingml/2006/main">
              <a:ext uri="{FF2B5EF4-FFF2-40B4-BE49-F238E27FC236}">
                <a16:creationId xmlns:a16="http://schemas.microsoft.com/office/drawing/2014/main" id="{594227C7-092A-5FD5-55A8-16B4CDBB2171}"/>
              </a:ext>
            </a:extLst>
          </cdr:cNvPr>
          <cdr:cNvGrpSpPr/>
        </cdr:nvGrpSpPr>
        <cdr:grpSpPr>
          <a:xfrm xmlns:a="http://schemas.openxmlformats.org/drawingml/2006/main">
            <a:off x="7710394" y="731005"/>
            <a:ext cx="2902643" cy="1065081"/>
            <a:chOff x="7717300" y="731005"/>
            <a:chExt cx="1735699" cy="1065081"/>
          </a:xfrm>
        </cdr:grpSpPr>
        <cdr:sp macro="" textlink="">
          <cdr:nvSpPr>
            <cdr:cNvPr id="2" name="CuadroTexto 1">
              <a:extLst xmlns:a="http://schemas.openxmlformats.org/drawingml/2006/main">
                <a:ext uri="{FF2B5EF4-FFF2-40B4-BE49-F238E27FC236}">
                  <a16:creationId xmlns:a16="http://schemas.microsoft.com/office/drawing/2014/main" id="{8E0AD32F-2B96-7EB5-1A34-A8B339D87EF0}"/>
                </a:ext>
              </a:extLst>
            </cdr:cNvPr>
            <cdr:cNvSpPr txBox="1"/>
          </cdr:nvSpPr>
          <cdr:spPr>
            <a:xfrm xmlns:a="http://schemas.openxmlformats.org/drawingml/2006/main">
              <a:off x="7786822" y="731005"/>
              <a:ext cx="984496" cy="588822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Overflow="clip" wrap="square" rtlCol="0"/>
            <a:lstStyle xmlns:a="http://schemas.openxmlformats.org/drawingml/2006/main"/>
            <a:p xmlns:a="http://schemas.openxmlformats.org/drawingml/2006/main">
              <a:r>
                <a:rPr lang="es-PE" sz="2800" kern="1200">
                  <a:solidFill>
                    <a:schemeClr val="accent4">
                      <a:lumMod val="75000"/>
                    </a:schemeClr>
                  </a:solidFill>
                </a:rPr>
                <a:t>MAÑANA</a:t>
              </a:r>
            </a:p>
          </cdr:txBody>
        </cdr:sp>
        <cdr:grpSp>
          <cdr:nvGrpSpPr>
            <cdr:cNvPr id="7" name="Grupo 6">
              <a:extLst xmlns:a="http://schemas.openxmlformats.org/drawingml/2006/main">
                <a:ext uri="{FF2B5EF4-FFF2-40B4-BE49-F238E27FC236}">
                  <a16:creationId xmlns:a16="http://schemas.microsoft.com/office/drawing/2014/main" id="{5FA7BB4B-84B5-9A4C-C139-595A83C0E7FB}"/>
                </a:ext>
              </a:extLst>
            </cdr:cNvPr>
            <cdr:cNvGrpSpPr/>
          </cdr:nvGrpSpPr>
          <cdr:grpSpPr>
            <a:xfrm xmlns:a="http://schemas.openxmlformats.org/drawingml/2006/main">
              <a:off x="7717300" y="1382322"/>
              <a:ext cx="1735699" cy="413764"/>
              <a:chOff x="7717300" y="1382322"/>
              <a:chExt cx="1735699" cy="413764"/>
            </a:xfrm>
          </cdr:grpSpPr>
          <cdr:sp macro="" textlink="'PRES. ORIG.'!$R$56">
            <cdr:nvSpPr>
              <cdr:cNvPr id="3" name="CuadroTexto 1">
                <a:extLst xmlns:a="http://schemas.openxmlformats.org/drawingml/2006/main">
                  <a:ext uri="{FF2B5EF4-FFF2-40B4-BE49-F238E27FC236}">
                    <a16:creationId xmlns:a16="http://schemas.microsoft.com/office/drawing/2014/main" id="{A9C34AF2-3AC0-915D-113D-C4CB50C48003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7717300" y="1404340"/>
                <a:ext cx="815833" cy="391746"/>
              </a:xfrm>
              <a:prstGeom xmlns:a="http://schemas.openxmlformats.org/drawingml/2006/main" prst="rect">
                <a:avLst/>
              </a:prstGeom>
            </cdr:spPr>
            <cdr:txBody>
              <a:bodyPr xmlns:a="http://schemas.openxmlformats.org/drawingml/2006/main" wrap="square" rtlCol="0" anchor="ctr"/>
              <a:lstStyle xmlns:a="http://schemas.openxmlformats.org/drawingml/2006/main"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fld id="{971BA01D-7143-4FF1-AC14-6EA826F92AE9}" type="TxLink">
                  <a:rPr lang="en-US" sz="3600" b="0" i="0" u="none" strike="noStrike" kern="1200">
                    <a:solidFill>
                      <a:schemeClr val="accent4">
                        <a:lumMod val="75000"/>
                      </a:schemeClr>
                    </a:solidFill>
                    <a:latin typeface="Calibri"/>
                    <a:ea typeface="Calibri"/>
                    <a:cs typeface="Calibri"/>
                  </a:rPr>
                  <a:pPr/>
                  <a:t>3.67</a:t>
                </a:fld>
                <a:endParaRPr lang="es-PE" sz="5400" kern="1200">
                  <a:solidFill>
                    <a:schemeClr val="accent4">
                      <a:lumMod val="75000"/>
                    </a:schemeClr>
                  </a:solidFill>
                </a:endParaRPr>
              </a:p>
            </cdr:txBody>
          </cdr:sp>
          <cdr:sp macro="" textlink="">
            <cdr:nvSpPr>
              <cdr:cNvPr id="4" name="CuadroTexto 1">
                <a:extLst xmlns:a="http://schemas.openxmlformats.org/drawingml/2006/main">
                  <a:ext uri="{FF2B5EF4-FFF2-40B4-BE49-F238E27FC236}">
                    <a16:creationId xmlns:a16="http://schemas.microsoft.com/office/drawing/2014/main" id="{5EA4E28F-5565-9B4E-5AFD-658DE6DF266B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8344620" y="1408793"/>
                <a:ext cx="558182" cy="367393"/>
              </a:xfrm>
              <a:prstGeom xmlns:a="http://schemas.openxmlformats.org/drawingml/2006/main" prst="rect">
                <a:avLst/>
              </a:prstGeom>
            </cdr:spPr>
            <cdr:txBody>
              <a:bodyPr xmlns:a="http://schemas.openxmlformats.org/drawingml/2006/main" wrap="square" rtlCol="0" anchor="ctr"/>
              <a:lstStyle xmlns:a="http://schemas.openxmlformats.org/drawingml/2006/main"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r>
                  <a:rPr lang="es-PE" sz="3600" kern="1200">
                    <a:solidFill>
                      <a:schemeClr val="accent4">
                        <a:lumMod val="75000"/>
                      </a:schemeClr>
                    </a:solidFill>
                  </a:rPr>
                  <a:t>h - </a:t>
                </a:r>
              </a:p>
            </cdr:txBody>
          </cdr:sp>
          <cdr:sp macro="" textlink="'PRES. ORIG.'!$S$56">
            <cdr:nvSpPr>
              <cdr:cNvPr id="5" name="CuadroTexto 1">
                <a:extLst xmlns:a="http://schemas.openxmlformats.org/drawingml/2006/main">
                  <a:ext uri="{FF2B5EF4-FFF2-40B4-BE49-F238E27FC236}">
                    <a16:creationId xmlns:a16="http://schemas.microsoft.com/office/drawing/2014/main" id="{0F79670B-9F3F-B109-38EC-71CC082B7CA1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8722007" y="1382322"/>
                <a:ext cx="730992" cy="367393"/>
              </a:xfrm>
              <a:prstGeom xmlns:a="http://schemas.openxmlformats.org/drawingml/2006/main" prst="rect">
                <a:avLst/>
              </a:prstGeom>
            </cdr:spPr>
            <cdr:txBody>
              <a:bodyPr xmlns:a="http://schemas.openxmlformats.org/drawingml/2006/main" wrap="square" rtlCol="0" anchor="ctr"/>
              <a:lstStyle xmlns:a="http://schemas.openxmlformats.org/drawingml/2006/main"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fld id="{31F7D9C9-3FCA-4CFF-AA4E-730A56E440EC}" type="TxLink">
                  <a:rPr lang="en-US" sz="3600" b="0" i="0" u="none" strike="noStrike" kern="1200">
                    <a:solidFill>
                      <a:schemeClr val="accent4">
                        <a:lumMod val="75000"/>
                      </a:schemeClr>
                    </a:solidFill>
                    <a:latin typeface="Calibri"/>
                    <a:ea typeface="Calibri"/>
                    <a:cs typeface="Calibri"/>
                  </a:rPr>
                  <a:pPr/>
                  <a:t>100%</a:t>
                </a:fld>
                <a:endParaRPr lang="es-PE" sz="9600" kern="1200">
                  <a:solidFill>
                    <a:schemeClr val="accent4">
                      <a:lumMod val="75000"/>
                    </a:schemeClr>
                  </a:solidFill>
                </a:endParaRPr>
              </a:p>
            </cdr:txBody>
          </cdr:sp>
        </cdr:grpSp>
      </cdr:grpSp>
      <cdr:grpSp>
        <cdr:nvGrpSpPr>
          <cdr:cNvPr id="9" name="Grupo 8">
            <a:extLst xmlns:a="http://schemas.openxmlformats.org/drawingml/2006/main">
              <a:ext uri="{FF2B5EF4-FFF2-40B4-BE49-F238E27FC236}">
                <a16:creationId xmlns:a16="http://schemas.microsoft.com/office/drawing/2014/main" id="{BC67D1F9-84C1-E0AB-45FF-E7171B5B87AE}"/>
              </a:ext>
            </a:extLst>
          </cdr:cNvPr>
          <cdr:cNvGrpSpPr/>
        </cdr:nvGrpSpPr>
        <cdr:grpSpPr>
          <a:xfrm xmlns:a="http://schemas.openxmlformats.org/drawingml/2006/main">
            <a:off x="7792027" y="2094345"/>
            <a:ext cx="3101113" cy="896918"/>
            <a:chOff x="0" y="0"/>
            <a:chExt cx="1100888" cy="896918"/>
          </a:xfrm>
        </cdr:grpSpPr>
        <cdr:sp macro="" textlink="'PRES. ORIG.'!$Q$57">
          <cdr:nvSpPr>
            <cdr:cNvPr id="10" name="CuadroTexto 2">
              <a:extLst xmlns:a="http://schemas.openxmlformats.org/drawingml/2006/main">
                <a:ext uri="{FF2B5EF4-FFF2-40B4-BE49-F238E27FC236}">
                  <a16:creationId xmlns:a16="http://schemas.microsoft.com/office/drawing/2014/main" id="{3CE80F9B-D986-F855-941F-C6F6B6C7F420}"/>
                </a:ext>
              </a:extLst>
            </cdr:cNvPr>
            <cdr:cNvSpPr txBox="1"/>
          </cdr:nvSpPr>
          <cdr:spPr>
            <a:xfrm xmlns:a="http://schemas.openxmlformats.org/drawingml/2006/main">
              <a:off x="0" y="0"/>
              <a:ext cx="707891" cy="557893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squar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fld id="{A80F9EAA-9E85-4BF9-AE42-1F10D0296E53}" type="TxLink">
                <a:rPr lang="en-US" sz="2800" b="0" i="0" u="none" strike="noStrike" kern="1200">
                  <a:solidFill>
                    <a:schemeClr val="accent2">
                      <a:lumMod val="75000"/>
                    </a:schemeClr>
                  </a:solidFill>
                  <a:latin typeface="Calibri"/>
                  <a:ea typeface="Calibri"/>
                  <a:cs typeface="Calibri"/>
                </a:rPr>
                <a:pPr/>
                <a:t>TARDE</a:t>
              </a:fld>
              <a:endParaRPr lang="es-PE" sz="6000" kern="1200">
                <a:solidFill>
                  <a:schemeClr val="accent2">
                    <a:lumMod val="75000"/>
                  </a:schemeClr>
                </a:solidFill>
              </a:endParaRPr>
            </a:p>
          </cdr:txBody>
        </cdr:sp>
        <cdr:grpSp>
          <cdr:nvGrpSpPr>
            <cdr:cNvPr id="11" name="Grupo 10">
              <a:extLst xmlns:a="http://schemas.openxmlformats.org/drawingml/2006/main">
                <a:ext uri="{FF2B5EF4-FFF2-40B4-BE49-F238E27FC236}">
                  <a16:creationId xmlns:a16="http://schemas.microsoft.com/office/drawing/2014/main" id="{B1584E4D-FB9E-B09F-CEF4-795D74C1E545}"/>
                </a:ext>
              </a:extLst>
            </cdr:cNvPr>
            <cdr:cNvGrpSpPr/>
          </cdr:nvGrpSpPr>
          <cdr:grpSpPr>
            <a:xfrm xmlns:a="http://schemas.openxmlformats.org/drawingml/2006/main">
              <a:off x="14162" y="278001"/>
              <a:ext cx="1086726" cy="618917"/>
              <a:chOff x="23683" y="278000"/>
              <a:chExt cx="1817353" cy="618918"/>
            </a:xfrm>
          </cdr:grpSpPr>
          <cdr:sp macro="" textlink="'PRES. ORIG.'!$R$57">
            <cdr:nvSpPr>
              <cdr:cNvPr id="12" name="CuadroTexto 1">
                <a:extLst xmlns:a="http://schemas.openxmlformats.org/drawingml/2006/main">
                  <a:ext uri="{FF2B5EF4-FFF2-40B4-BE49-F238E27FC236}">
                    <a16:creationId xmlns:a16="http://schemas.microsoft.com/office/drawing/2014/main" id="{6550EA69-9FB1-AEEE-2EB9-F260A5F0F3C3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23683" y="525071"/>
                <a:ext cx="730992" cy="367393"/>
              </a:xfrm>
              <a:prstGeom xmlns:a="http://schemas.openxmlformats.org/drawingml/2006/main" prst="rect">
                <a:avLst/>
              </a:prstGeom>
            </cdr:spPr>
            <cdr:txBody>
              <a:bodyPr xmlns:a="http://schemas.openxmlformats.org/drawingml/2006/main" wrap="square" rtlCol="0" anchor="ctr"/>
              <a:lstStyle xmlns:a="http://schemas.openxmlformats.org/drawingml/2006/main"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fld id="{DAC2949F-2949-4761-BD25-F85FEA186D9E}" type="TxLink">
                  <a:rPr lang="en-US" sz="3600" b="0" i="0" u="none" strike="noStrike" kern="1200">
                    <a:solidFill>
                      <a:schemeClr val="accent2">
                        <a:lumMod val="75000"/>
                      </a:schemeClr>
                    </a:solidFill>
                    <a:latin typeface="Calibri"/>
                    <a:ea typeface="Calibri"/>
                    <a:cs typeface="Calibri"/>
                  </a:rPr>
                  <a:pPr/>
                  <a:t>0.00</a:t>
                </a:fld>
                <a:endParaRPr lang="es-PE" sz="16600" kern="1200">
                  <a:solidFill>
                    <a:schemeClr val="accent2">
                      <a:lumMod val="75000"/>
                    </a:schemeClr>
                  </a:solidFill>
                </a:endParaRPr>
              </a:p>
            </cdr:txBody>
          </cdr:sp>
          <cdr:sp macro="" textlink="">
            <cdr:nvSpPr>
              <cdr:cNvPr id="13" name="CuadroTexto 1">
                <a:extLst xmlns:a="http://schemas.openxmlformats.org/drawingml/2006/main">
                  <a:ext uri="{FF2B5EF4-FFF2-40B4-BE49-F238E27FC236}">
                    <a16:creationId xmlns:a16="http://schemas.microsoft.com/office/drawing/2014/main" id="{5A750C45-709C-E944-DBBC-2EDB330EA99A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660689" y="278000"/>
                <a:ext cx="558182" cy="618918"/>
              </a:xfrm>
              <a:prstGeom xmlns:a="http://schemas.openxmlformats.org/drawingml/2006/main" prst="rect">
                <a:avLst/>
              </a:prstGeom>
            </cdr:spPr>
            <cdr:txBody>
              <a:bodyPr xmlns:a="http://schemas.openxmlformats.org/drawingml/2006/main" wrap="square" rtlCol="0" anchor="ctr"/>
              <a:lstStyle xmlns:a="http://schemas.openxmlformats.org/drawingml/2006/main"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r>
                  <a:rPr lang="es-PE" sz="3600" kern="1200">
                    <a:solidFill>
                      <a:schemeClr val="accent2">
                        <a:lumMod val="75000"/>
                      </a:schemeClr>
                    </a:solidFill>
                  </a:rPr>
                  <a:t>h</a:t>
                </a:r>
                <a:r>
                  <a:rPr lang="es-PE" sz="6000" kern="1200">
                    <a:solidFill>
                      <a:schemeClr val="accent2">
                        <a:lumMod val="75000"/>
                      </a:schemeClr>
                    </a:solidFill>
                  </a:rPr>
                  <a:t> - </a:t>
                </a:r>
              </a:p>
            </cdr:txBody>
          </cdr:sp>
          <cdr:sp macro="" textlink="'PRES. ORIG.'!$S$57">
            <cdr:nvSpPr>
              <cdr:cNvPr id="14" name="CuadroTexto 1">
                <a:extLst xmlns:a="http://schemas.openxmlformats.org/drawingml/2006/main">
                  <a:ext uri="{FF2B5EF4-FFF2-40B4-BE49-F238E27FC236}">
                    <a16:creationId xmlns:a16="http://schemas.microsoft.com/office/drawing/2014/main" id="{72FE4D85-70A0-E3BB-22AB-9930FF8970DF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1110044" y="520371"/>
                <a:ext cx="730992" cy="367393"/>
              </a:xfrm>
              <a:prstGeom xmlns:a="http://schemas.openxmlformats.org/drawingml/2006/main" prst="rect">
                <a:avLst/>
              </a:prstGeom>
            </cdr:spPr>
            <cdr:txBody>
              <a:bodyPr xmlns:a="http://schemas.openxmlformats.org/drawingml/2006/main" wrap="square" rtlCol="0" anchor="ctr"/>
              <a:lstStyle xmlns:a="http://schemas.openxmlformats.org/drawingml/2006/main"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fld id="{289B8C18-58E9-466F-BA31-05CF2CCD50C7}" type="TxLink">
                  <a:rPr lang="en-US" sz="3600" b="0" i="0" u="none" strike="noStrike" kern="1200">
                    <a:solidFill>
                      <a:schemeClr val="accent2">
                        <a:lumMod val="75000"/>
                      </a:schemeClr>
                    </a:solidFill>
                    <a:latin typeface="Calibri"/>
                    <a:ea typeface="Calibri"/>
                    <a:cs typeface="Calibri"/>
                  </a:rPr>
                  <a:pPr/>
                  <a:t>0%</a:t>
                </a:fld>
                <a:endParaRPr lang="es-PE" sz="49600" kern="1200">
                  <a:solidFill>
                    <a:schemeClr val="accent2">
                      <a:lumMod val="75000"/>
                    </a:schemeClr>
                  </a:solidFill>
                </a:endParaRPr>
              </a:p>
            </cdr:txBody>
          </cdr:sp>
        </cdr:grpSp>
      </cdr:grpSp>
    </cdr:grpSp>
  </cdr:relSizeAnchor>
  <cdr:relSizeAnchor xmlns:cdr="http://schemas.openxmlformats.org/drawingml/2006/chartDrawing">
    <cdr:from>
      <cdr:x>0.25444</cdr:x>
      <cdr:y>0.36606</cdr:y>
    </cdr:from>
    <cdr:to>
      <cdr:x>0.48788</cdr:x>
      <cdr:y>0.55948</cdr:y>
    </cdr:to>
    <cdr:sp macro="" textlink="'PRES. ORIG.'!$R$55">
      <cdr:nvSpPr>
        <cdr:cNvPr id="22" name="CuadroTexto 1">
          <a:extLst xmlns:a="http://schemas.openxmlformats.org/drawingml/2006/main">
            <a:ext uri="{FF2B5EF4-FFF2-40B4-BE49-F238E27FC236}">
              <a16:creationId xmlns:a16="http://schemas.microsoft.com/office/drawing/2014/main" id="{344EB7A3-890D-A256-421F-CA99036BFC16}"/>
            </a:ext>
          </a:extLst>
        </cdr:cNvPr>
        <cdr:cNvSpPr txBox="1"/>
      </cdr:nvSpPr>
      <cdr:spPr>
        <a:xfrm xmlns:a="http://schemas.openxmlformats.org/drawingml/2006/main">
          <a:off x="2908301" y="2492664"/>
          <a:ext cx="2668154" cy="131708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>
            <a:lumMod val="95000"/>
          </a:schemeClr>
        </a:solidFill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8808EF3-C98D-41BB-896C-6B3A3492071F}" type="TxLink">
            <a:rPr lang="en-US" sz="6000" b="0" i="0" u="none" strike="noStrike" kern="1200">
              <a:solidFill>
                <a:srgbClr val="002060"/>
              </a:solidFill>
              <a:latin typeface="Calibri"/>
              <a:ea typeface="Calibri"/>
              <a:cs typeface="Calibri"/>
            </a:rPr>
            <a:pPr algn="ctr"/>
            <a:t>3.67</a:t>
          </a:fld>
          <a:endParaRPr lang="es-PE" sz="13800" kern="1200">
            <a:solidFill>
              <a:srgbClr val="002060"/>
            </a:solidFill>
          </a:endParaRPr>
        </a:p>
      </cdr:txBody>
    </cdr:sp>
  </cdr:relSizeAnchor>
  <cdr:relSizeAnchor xmlns:cdr="http://schemas.openxmlformats.org/drawingml/2006/chartDrawing">
    <cdr:from>
      <cdr:x>0.25747</cdr:x>
      <cdr:y>0.52088</cdr:y>
    </cdr:from>
    <cdr:to>
      <cdr:x>0.48636</cdr:x>
      <cdr:y>0.66121</cdr:y>
    </cdr:to>
    <cdr:sp macro="" textlink="">
      <cdr:nvSpPr>
        <cdr:cNvPr id="23" name="CuadroTexto 1">
          <a:extLst xmlns:a="http://schemas.openxmlformats.org/drawingml/2006/main">
            <a:ext uri="{FF2B5EF4-FFF2-40B4-BE49-F238E27FC236}">
              <a16:creationId xmlns:a16="http://schemas.microsoft.com/office/drawing/2014/main" id="{78626124-668F-6783-5BE3-B158E6281DCB}"/>
            </a:ext>
          </a:extLst>
        </cdr:cNvPr>
        <cdr:cNvSpPr txBox="1"/>
      </cdr:nvSpPr>
      <cdr:spPr>
        <a:xfrm xmlns:a="http://schemas.openxmlformats.org/drawingml/2006/main">
          <a:off x="2942883" y="3546952"/>
          <a:ext cx="2616254" cy="95556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>
            <a:lumMod val="95000"/>
          </a:schemeClr>
        </a:solidFill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s-PE" sz="2800" kern="1200">
              <a:solidFill>
                <a:srgbClr val="002060"/>
              </a:solidFill>
            </a:rPr>
            <a:t>TOTAL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2012017</xdr:colOff>
      <xdr:row>0</xdr:row>
      <xdr:rowOff>0</xdr:rowOff>
    </xdr:from>
    <xdr:to>
      <xdr:col>7</xdr:col>
      <xdr:colOff>906011</xdr:colOff>
      <xdr:row>4</xdr:row>
      <xdr:rowOff>3362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AQUINA/AREA/EQUIPO">
              <a:extLst>
                <a:ext uri="{FF2B5EF4-FFF2-40B4-BE49-F238E27FC236}">
                  <a16:creationId xmlns:a16="http://schemas.microsoft.com/office/drawing/2014/main" id="{D9F3E3EB-80F6-69B3-E521-656546369B9C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QUINA/AREA/EQUI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82429" y="0"/>
              <a:ext cx="6777780" cy="13447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1331819</xdr:colOff>
      <xdr:row>0</xdr:row>
      <xdr:rowOff>0</xdr:rowOff>
    </xdr:from>
    <xdr:to>
      <xdr:col>5</xdr:col>
      <xdr:colOff>2801471</xdr:colOff>
      <xdr:row>3</xdr:row>
      <xdr:rowOff>535081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P/NP">
              <a:extLst>
                <a:ext uri="{FF2B5EF4-FFF2-40B4-BE49-F238E27FC236}">
                  <a16:creationId xmlns:a16="http://schemas.microsoft.com/office/drawing/2014/main" id="{3970251A-047C-A996-FF7B-508137F0BC2B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/NP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87760" y="0"/>
              <a:ext cx="1824878" cy="1333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2814359</xdr:colOff>
      <xdr:row>0</xdr:row>
      <xdr:rowOff>0</xdr:rowOff>
    </xdr:from>
    <xdr:to>
      <xdr:col>6</xdr:col>
      <xdr:colOff>705971</xdr:colOff>
      <xdr:row>3</xdr:row>
      <xdr:rowOff>533400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M/E">
              <a:extLst>
                <a:ext uri="{FF2B5EF4-FFF2-40B4-BE49-F238E27FC236}">
                  <a16:creationId xmlns:a16="http://schemas.microsoft.com/office/drawing/2014/main" id="{1CA9E2C9-6060-CF2B-5ADD-F1DD3D4DCBC8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/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70300" y="0"/>
              <a:ext cx="1085288" cy="13290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11206</xdr:colOff>
      <xdr:row>0</xdr:row>
      <xdr:rowOff>1</xdr:rowOff>
    </xdr:from>
    <xdr:to>
      <xdr:col>1</xdr:col>
      <xdr:colOff>1234888</xdr:colOff>
      <xdr:row>4</xdr:row>
      <xdr:rowOff>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FECHA 1">
              <a:extLst>
                <a:ext uri="{FF2B5EF4-FFF2-40B4-BE49-F238E27FC236}">
                  <a16:creationId xmlns:a16="http://schemas.microsoft.com/office/drawing/2014/main" id="{083CA553-FB6C-0293-EB21-6D9CA6DB6F83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06" y="1"/>
              <a:ext cx="1828800" cy="1333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1252817</xdr:colOff>
      <xdr:row>0</xdr:row>
      <xdr:rowOff>1</xdr:rowOff>
    </xdr:from>
    <xdr:to>
      <xdr:col>2</xdr:col>
      <xdr:colOff>78441</xdr:colOff>
      <xdr:row>3</xdr:row>
      <xdr:rowOff>515471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ACUM">
              <a:extLst>
                <a:ext uri="{FF2B5EF4-FFF2-40B4-BE49-F238E27FC236}">
                  <a16:creationId xmlns:a16="http://schemas.microsoft.com/office/drawing/2014/main" id="{11106469-8DD0-CD74-409F-7F0C4EB5C3D8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CU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57935" y="1"/>
              <a:ext cx="1290918" cy="13110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693645</xdr:colOff>
      <xdr:row>0</xdr:row>
      <xdr:rowOff>1</xdr:rowOff>
    </xdr:from>
    <xdr:to>
      <xdr:col>7</xdr:col>
      <xdr:colOff>668766</xdr:colOff>
      <xdr:row>4</xdr:row>
      <xdr:rowOff>16922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PIEZA - PARTE">
              <a:extLst>
                <a:ext uri="{FF2B5EF4-FFF2-40B4-BE49-F238E27FC236}">
                  <a16:creationId xmlns:a16="http://schemas.microsoft.com/office/drawing/2014/main" id="{CE8F0305-5C10-D1CA-14D4-C1C62DDE91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IEZA - PAR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18645" y="1"/>
              <a:ext cx="1043266" cy="13447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3</xdr:row>
      <xdr:rowOff>735330</xdr:rowOff>
    </xdr:from>
    <xdr:to>
      <xdr:col>12</xdr:col>
      <xdr:colOff>0</xdr:colOff>
      <xdr:row>77</xdr:row>
      <xdr:rowOff>11430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5F8CBAF-CC3B-4B33-9BB3-FCE6EB8AE3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15240</xdr:colOff>
      <xdr:row>76</xdr:row>
      <xdr:rowOff>129540</xdr:rowOff>
    </xdr:from>
    <xdr:to>
      <xdr:col>12</xdr:col>
      <xdr:colOff>0</xdr:colOff>
      <xdr:row>124</xdr:row>
      <xdr:rowOff>163830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95EE932-820C-48A3-AC47-1BF963A21BB1}"/>
            </a:ext>
            <a:ext uri="{147F2762-F138-4A5C-976F-8EAC2B608ADB}">
              <a16:predDERef xmlns:a16="http://schemas.microsoft.com/office/drawing/2014/main" pred="{45F8CBAF-CC3B-4B33-9BB3-FCE6EB8AE3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762000</xdr:colOff>
      <xdr:row>173</xdr:row>
      <xdr:rowOff>60960</xdr:rowOff>
    </xdr:from>
    <xdr:to>
      <xdr:col>11</xdr:col>
      <xdr:colOff>7985760</xdr:colOff>
      <xdr:row>242</xdr:row>
      <xdr:rowOff>175260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E5D15C8-8F15-4B27-9AF6-B34F74E8A47E}"/>
            </a:ext>
            <a:ext uri="{147F2762-F138-4A5C-976F-8EAC2B608ADB}">
              <a16:predDERef xmlns:a16="http://schemas.microsoft.com/office/drawing/2014/main" pred="{F95EE932-820C-48A3-AC47-1BF963A21B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781050</xdr:colOff>
      <xdr:row>242</xdr:row>
      <xdr:rowOff>180975</xdr:rowOff>
    </xdr:from>
    <xdr:to>
      <xdr:col>11</xdr:col>
      <xdr:colOff>7985760</xdr:colOff>
      <xdr:row>316</xdr:row>
      <xdr:rowOff>83820</xdr:rowOff>
    </xdr:to>
    <xdr:graphicFrame macro="">
      <xdr:nvGraphicFramePr>
        <xdr:cNvPr id="9" name="Gráfico 5">
          <a:extLst>
            <a:ext uri="{FF2B5EF4-FFF2-40B4-BE49-F238E27FC236}">
              <a16:creationId xmlns:a16="http://schemas.microsoft.com/office/drawing/2014/main" id="{6C3C40DA-052C-4E87-A255-3B84D2D9CE7B}"/>
            </a:ext>
            <a:ext uri="{147F2762-F138-4A5C-976F-8EAC2B608ADB}">
              <a16:predDERef xmlns:a16="http://schemas.microsoft.com/office/drawing/2014/main" pred="{BE5D15C8-8F15-4B27-9AF6-B34F74E8A4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30480</xdr:colOff>
      <xdr:row>124</xdr:row>
      <xdr:rowOff>91440</xdr:rowOff>
    </xdr:from>
    <xdr:to>
      <xdr:col>11</xdr:col>
      <xdr:colOff>8016240</xdr:colOff>
      <xdr:row>173</xdr:row>
      <xdr:rowOff>91440</xdr:rowOff>
    </xdr:to>
    <xdr:graphicFrame macro="">
      <xdr:nvGraphicFramePr>
        <xdr:cNvPr id="8" name="Gráfico 1">
          <a:extLst>
            <a:ext uri="{FF2B5EF4-FFF2-40B4-BE49-F238E27FC236}">
              <a16:creationId xmlns:a16="http://schemas.microsoft.com/office/drawing/2014/main" id="{EDE1D194-48A3-4543-B1CE-D46879C71E24}"/>
            </a:ext>
            <a:ext uri="{147F2762-F138-4A5C-976F-8EAC2B608ADB}">
              <a16:predDERef xmlns:a16="http://schemas.microsoft.com/office/drawing/2014/main" pred="{6C3C40DA-052C-4E87-A255-3B84D2D9CE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38098</xdr:colOff>
      <xdr:row>124</xdr:row>
      <xdr:rowOff>142875</xdr:rowOff>
    </xdr:from>
    <xdr:to>
      <xdr:col>2</xdr:col>
      <xdr:colOff>904875</xdr:colOff>
      <xdr:row>129</xdr:row>
      <xdr:rowOff>123133</xdr:rowOff>
    </xdr:to>
    <xdr:sp macro="" textlink="N127">
      <xdr:nvSpPr>
        <xdr:cNvPr id="7" name="Rectángulo: esquinas redondeadas 6">
          <a:extLst>
            <a:ext uri="{FF2B5EF4-FFF2-40B4-BE49-F238E27FC236}">
              <a16:creationId xmlns:a16="http://schemas.microsoft.com/office/drawing/2014/main" id="{13EAC6FD-49BD-40C5-5DCF-DBEF883A36EC}"/>
            </a:ext>
          </a:extLst>
        </xdr:cNvPr>
        <xdr:cNvSpPr/>
      </xdr:nvSpPr>
      <xdr:spPr>
        <a:xfrm>
          <a:off x="800098" y="24907875"/>
          <a:ext cx="3295652" cy="932758"/>
        </a:xfrm>
        <a:prstGeom prst="round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6055AF99-D88A-466C-ADD0-50F2A610D0B6}" type="TxLink">
            <a:rPr lang="en-US" sz="48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SEM. - 027</a:t>
          </a:fld>
          <a:endParaRPr lang="es-PE" sz="199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iancarlo Mamani Luque" id="{0826005D-8375-4AC0-88F9-0A2D85D80C80}" userId="S::giancarlo.mamani@laiberica.com.pe::f3b51866-6fa1-40d7-93ca-cebe7676ad3d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acnarlottb" refreshedDate="46161.358704745369" createdVersion="8" refreshedVersion="8" minRefreshableVersion="3" recordCount="303" xr:uid="{DE183FE8-E9C7-46DD-87C1-FE2BBAC2730A}">
  <cacheSource type="worksheet">
    <worksheetSource name="Tabla1015"/>
  </cacheSource>
  <cacheFields count="29">
    <cacheField name="CONTEO-NOMBRE" numFmtId="164">
      <sharedItems/>
    </cacheField>
    <cacheField name="FECHA" numFmtId="0">
      <sharedItems containsNonDate="0" containsDate="1" containsString="0" containsBlank="1" minDate="2025-10-13T00:00:00" maxDate="2025-10-19T00:00:00"/>
    </cacheField>
    <cacheField name="TECNICO" numFmtId="0">
      <sharedItems containsBlank="1"/>
    </cacheField>
    <cacheField name="TURNO" numFmtId="0">
      <sharedItems containsBlank="1" count="4">
        <s v="NOCHE"/>
        <s v="MAÑANA"/>
        <s v="TARDE"/>
        <m/>
      </sharedItems>
    </cacheField>
    <cacheField name="INICIO" numFmtId="0">
      <sharedItems containsBlank="1"/>
    </cacheField>
    <cacheField name="FIN" numFmtId="0">
      <sharedItems containsDate="1" containsBlank="1" containsMixedTypes="1" minDate="1899-12-31T00:05:00" maxDate="1899-12-31T00:30:00"/>
    </cacheField>
    <cacheField name="T.TOTAL" numFmtId="0">
      <sharedItems containsNonDate="0" containsDate="1" containsString="0" containsBlank="1" minDate="1899-12-30T00:07:00" maxDate="1899-12-30T02:00:00"/>
    </cacheField>
    <cacheField name="MAQUINA / EQUIPO" numFmtId="0">
      <sharedItems containsBlank="1" count="142">
        <s v="EMP. SACMI"/>
        <s v="LINEA AUTOMATICA HACOS 1"/>
        <s v="LINEA AUTOMATICA HACOS 2"/>
        <s v="LINEA DE COCCION HANSEL"/>
        <s v="PLANTA INDUSTRIAL"/>
        <s v="QUEBRANTADOR DE CACAO  01 JAF INOX"/>
        <s v="1ER PISO"/>
        <s v="TALLER DE MANTENIMIENTO"/>
        <s v="EMP. 2 - CARLE MONTANARY"/>
        <s v="BOLEADORA"/>
        <s v="CALDERO, CHRILLER Y COMPRESOR"/>
        <s v="EMP. FLOWPACK 2"/>
        <s v="PROCESADORA DE MASAS - NETZSCH"/>
        <s v="RAYOS X 2"/>
        <s v="FORRADORA MINIFLEX"/>
        <s v="COCINADORA 2 - GIANINI "/>
        <s v="CALDERO 100 BHP"/>
        <s v="POZOS"/>
        <s v="EMP. SAPAL"/>
        <s v="STEPHAN - PROCESADOR DE MASAS"/>
        <s v="TOSTADOR PETRONCINI"/>
        <s v="EMP. AMP ROSE"/>
        <s v="EMP. FLOWPACK 1"/>
        <s v="BARQUILLERA FRANZ HAAZ"/>
        <s v="ENCELOFANADORA ECCOPAC"/>
        <s v="COMEDOR"/>
        <s v="ENVASADORA TEPACK"/>
        <s v="FORRADORA AUTOMATICA 03"/>
        <s v="EMP. GD"/>
        <s v="EMP. NAPOLITANA"/>
        <s v="FORRADORA AUTOMATICA 02"/>
        <s v="EMP. 1 - CHOCOTECH"/>
        <s v="LOCAL ANEXO"/>
        <m/>
        <s v="BAÑADORA DE CHOCOLATE 1" u="1"/>
        <s v="HORNO NOVA" u="1"/>
        <s v="AGUA POTABLE" u="1"/>
        <s v="RAYOS X 1" u="1"/>
        <s v="REFINADOR BUHLER" u="1"/>
        <s v="CORTADORA DE TURRON" u="1"/>
        <s v="LABORATORIO" u="1"/>
        <s v="MAQUINARIA DE PLANTA" u="1"/>
        <s v="CYCLOP 50/ MOLDEO MANUAL" u="1"/>
        <s v="TEMPERADORA CHOCOLATIER" u="1"/>
        <s v="NO ASIGNADO" u="1"/>
        <s v="CONCHA CR 150" u="1"/>
        <s v="MOLINO BILLAS" u="1"/>
        <s v="CAMARA DE FRIO FIGURAS HUECAS" u="1"/>
        <s v="MOLINO REBOTE - IMPACTO" u="1"/>
        <s v="CHILLER YORK 150 TON" u="1"/>
        <s v="POZO DE CHILLER" u="1"/>
        <s v="ESTACION TERMICA" u="1"/>
        <s v="CONCHA ASPAS" u="1"/>
        <s v="TOSTADOR CARLE MONTANARY" u="1"/>
        <s v="CODIFICADORA LASER MACSA SAPAL" u="1"/>
        <s v="BATIDORA DE FONDANT 1 OTTO HANSEL" u="1"/>
        <s v="5TO PISO" u="1"/>
        <s v="ASCENSOR TK " u="1"/>
        <s v="CONCHA ELK" u="1"/>
        <s v="3ER PISO" u="1"/>
        <s v="TEMPERADORA CHOCOTECH" u="1"/>
        <s v="CYCLOP 80 / F.HUECAS" u="1"/>
        <s v="QUEBRANTADOR DE CACAO  02" u="1"/>
        <s v="ASCENSOR OTIS" u="1"/>
        <s v="VESTUARIOS" u="1"/>
        <s v="CODIFICADORA MARKEM IMAJE 9050- FLOWPACK 2" u="1"/>
        <s v="LAMINADORA DE MASA" u="1"/>
        <s v="TANQUE DE CHOCOLATE DE BAÑADORA" u="1"/>
        <s v="GIRADORA CABRELLON" u="1"/>
        <s v="CONCHA BAWERMEISTER" u="1"/>
        <s v="CODIFICADORA MARKEM IMAJE 9450- FLOWPACK 1" u="1"/>
        <s v="CONCHA CLOVER 01" u="1"/>
        <s v="CODIFICADORA  MARKEM IMAJE 9450 4TO PISO" u="1"/>
        <s v="CONCHA COCOATOWN" u="1"/>
        <s v="SELLADORA DE BOLSAS DOYPACK ECCOPAC" u="1"/>
        <s v="GARITA 01" u="1"/>
        <s v="COCINADORA 4 -GIANINNI " u="1"/>
        <s v="MOLINO REBOTE" u="1"/>
        <s v="ENCEFALONADORA ECCOPAC" u="1"/>
        <s v="COCINADORA 6 -FAMAIC " u="1"/>
        <s v="BAÑADORA DE CHOCOLATES 1" u="1"/>
        <s v="FORMADOR DE BOLAS" u="1"/>
        <s v="HACOS 1" u="1"/>
        <s v="ENCAJADO MANUAL" u="1"/>
        <s v="HACOS 2" u="1"/>
        <s v="HANSEL" u="1"/>
        <s v="CODIF. 4TO PISO" u="1"/>
        <s v="MINIFLEX" u="1"/>
        <s v="QUEB. DE CACAO  " u="1"/>
        <s v="ELEVADOR DE CACAO" u="1"/>
        <s v="SELLADORA DE BOLSITAS" u="1"/>
        <s v="4TO PISO" u="1"/>
        <s v="STEPHAN" u="1"/>
        <s v="FORRADORA AUTOMATICA" u="1"/>
        <s v="COCINADORA 5 - GIANINI" u="1"/>
        <s v="SALA DE CORRIDO" u="1"/>
        <s v="NETCH" u="1"/>
        <s v="T-PACK" u="1"/>
        <s v="FIGURAS HUECAS" u="1"/>
        <s v="TOSTADOR" u="1"/>
        <s v="BATIDORA DE FONDANT" u="1"/>
        <s v="QUEBRANTADOR JAF INOX" u="1"/>
        <s v="CHILLER" u="1"/>
        <s v="GRAGEADORA" u="1"/>
        <s v="TOSTADOR CM" u="1"/>
        <s v="PICADOR DE CASTAÑA" u="1"/>
        <s v="SELLADORA ECOPACK" u="1"/>
        <s v="CONCHAS CLOVER" u="1"/>
        <s v="BAÑADORA DE CHOCOLATE 2" u="1"/>
        <s v="LUMINARIAS" u="1"/>
        <s v="OFICINAS ADMINSITRATIVAS" u="1"/>
        <s v="LAMINADORA" u="1"/>
        <s v="EQUIPOS AUXILIARES" u="1"/>
        <s v="MOLINO DE AZUCAR" u="1"/>
        <s v="CYCLOP" u="1"/>
        <s v="MOLDEO MANUAL" u="1"/>
        <s v="CALDERO" u="1"/>
        <s v="TUNEL DE ENFRIAMIENTO" u="1"/>
        <s v="COCHES DE PLANTA" u="1"/>
        <s v="VENTILADORES" u="1"/>
        <s v="TANQUE PASTA FINA " u="1"/>
        <s v="2DO PISO" u="1"/>
        <s v="ALMACEN DE MATERIA PRIMA" u="1"/>
        <s v="MESAS VIBRADORAS" u="1"/>
        <s v="REFRIGERADORA DE MOLDEO MANUAL" u="1"/>
        <s v="GIANINI 1 - FAMAIC" u="1"/>
        <s v="MDS" u="1"/>
        <s v="CORTADORA DE CENTROS" u="1"/>
        <s v="BALANZA" u="1"/>
        <s v="MEZCLADORA DE DOBLE EJE" u="1"/>
        <s v="COCINADORA 3 - GIANNINI " u="1"/>
        <s v="GARITA" u="1"/>
        <s v="ALMACEN DE MANTENIMIENTO" u="1"/>
        <s v="ASCENSORES" u="1"/>
        <s v="IMPRESORA LASER MACSA" u="1"/>
        <s v="TANQUE DE PASTA GRUESA" u="1"/>
        <s v="COMPRESORES" u="1"/>
        <s v="CAMARA DE FRIO" u="1"/>
        <s v="INFRAESTRUCTURA" u="1"/>
        <s v="ALMACEN DE FRUTOS SECOS" u="1"/>
        <s v="ZONA DE PASTAS" u="1"/>
        <s v="MEZCLADORA BUHLER" u="1"/>
      </sharedItems>
    </cacheField>
    <cacheField name="CLASIFICACION" numFmtId="0">
      <sharedItems containsBlank="1" count="9">
        <s v="Maquinaria"/>
        <s v="Area"/>
        <s v="Equipos auxiliares"/>
        <s v="Sistema"/>
        <s v=""/>
        <m u="1"/>
        <s v="Casa fuerza" u="1"/>
        <s v="Vehiculos" u="1"/>
        <s v="Equipos" u="1"/>
      </sharedItems>
    </cacheField>
    <cacheField name="TIPO" numFmtId="0">
      <sharedItems containsBlank="1" count="15">
        <s v="Inspección"/>
        <s v="Ajuste /Calibracion"/>
        <s v="Trabajos menores"/>
        <s v="Capacitacion"/>
        <s v="SET UP"/>
        <s v="Sustitucion"/>
        <s v="Encendido / Arranque de linea"/>
        <s v="Lubricación"/>
        <s v="Limpieza"/>
        <s v="Seguimiento / Pruebas"/>
        <m/>
        <s v="M.General" u="1"/>
        <s v="Reparacion" u="1"/>
        <s v="Coordinacion" u="1"/>
        <s v="Mejora" u="1"/>
      </sharedItems>
    </cacheField>
    <cacheField name="P/NP" numFmtId="0">
      <sharedItems containsBlank="1" count="4">
        <s v="PROGRAMADA"/>
        <s v="NO PROGRAMADA"/>
        <m/>
        <e v="#N/A" u="1"/>
      </sharedItems>
    </cacheField>
    <cacheField name="M/E" numFmtId="0">
      <sharedItems containsBlank="1" count="4">
        <s v=""/>
        <s v="MECÁNICA"/>
        <s v="ELÉCTRICA"/>
        <m/>
      </sharedItems>
    </cacheField>
    <cacheField name="OBSERVACION" numFmtId="0">
      <sharedItems containsBlank="1"/>
    </cacheField>
    <cacheField name="ACT. CORRECTIVA" numFmtId="0">
      <sharedItems containsBlank="1"/>
    </cacheField>
    <cacheField name="PARTE/AREA" numFmtId="0">
      <sharedItems containsNonDate="0" containsString="0" containsBlank="1"/>
    </cacheField>
    <cacheField name="DESCRIPCION" numFmtId="0">
      <sharedItems containsNonDate="0" containsString="0" containsBlank="1"/>
    </cacheField>
    <cacheField name="SOLUCION" numFmtId="0">
      <sharedItems containsNonDate="0" containsString="0" containsBlank="1"/>
    </cacheField>
    <cacheField name="SEM" numFmtId="0">
      <sharedItems containsNonDate="0" containsString="0" containsBlank="1"/>
    </cacheField>
    <cacheField name="MES" numFmtId="0">
      <sharedItems containsNonDate="0" containsString="0" containsBlank="1"/>
    </cacheField>
    <cacheField name="MES2" numFmtId="0">
      <sharedItems containsNonDate="0" containsString="0" containsBlank="1"/>
    </cacheField>
    <cacheField name="Horas" numFmtId="0">
      <sharedItems containsNonDate="0" containsString="0" containsBlank="1"/>
    </cacheField>
    <cacheField name="Año" numFmtId="0">
      <sharedItems containsNonDate="0" containsString="0" containsBlank="1"/>
    </cacheField>
    <cacheField name="Mes-Año" numFmtId="0">
      <sharedItems containsNonDate="0" containsString="0" containsBlank="1"/>
    </cacheField>
    <cacheField name="Año-Sem" numFmtId="0">
      <sharedItems containsNonDate="0" containsString="0" containsBlank="1"/>
    </cacheField>
    <cacheField name="CONTAR" numFmtId="0">
      <sharedItems containsNonDate="0" containsString="0" containsBlank="1"/>
    </cacheField>
    <cacheField name="CONTADOR 2" numFmtId="0">
      <sharedItems containsNonDate="0" containsString="0" containsBlank="1"/>
    </cacheField>
    <cacheField name="Tiempo (min)" numFmtId="0">
      <sharedItems containsNonDate="0" containsString="0" containsBlank="1"/>
    </cacheField>
    <cacheField name="dia-text" numFmtId="0">
      <sharedItems containsBlank="1" count="31">
        <s v="1-lunes"/>
        <s v="3-miércoles"/>
        <s v="4-jueves"/>
        <s v="5-viernes"/>
        <s v="6-sábado"/>
        <s v=""/>
        <s v="2-martes" u="1"/>
        <s v="7-domingo" u="1"/>
        <s v=" -jueves" u="1"/>
        <s v="4-sábado" u="1"/>
        <s v="Columna2-jueves" u="1"/>
        <s v="10-martes" u="1"/>
        <s v="11-miércoles" u="1"/>
        <s v="12-jueves" u="1"/>
        <s v="13-viernes" u="1"/>
        <s v="14-sábado" u="1"/>
        <s v="15-domingo" u="1"/>
        <s v="0-sábado" u="1"/>
        <m u="1"/>
        <s v="1 - lunes" u="1"/>
        <s v="2 - martes" u="1"/>
        <s v="3 - miércoles" u="1"/>
        <s v="4 - jueves" u="1"/>
        <s v="5 - viernes" u="1"/>
        <s v="6 - sábado" u="1"/>
        <s v="lunes" u="1"/>
        <s v="martes" u="1"/>
        <s v="miércoles" u="1"/>
        <s v="jueves" u="1"/>
        <s v="viernes" u="1"/>
        <s v="sábado" u="1"/>
      </sharedItems>
    </cacheField>
    <cacheField name="CONTEO" numFmtId="1">
      <sharedItems containsSemiMixedTypes="0" containsString="0" containsNumber="1" containsInteger="1" minValue="0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5.334940046298" createdVersion="8" refreshedVersion="8" minRefreshableVersion="3" recordCount="2021" xr:uid="{C38475E3-CD90-4EB3-92E4-44DFF7A25292}">
  <cacheSource type="worksheet">
    <worksheetSource name="Tabla8"/>
  </cacheSource>
  <cacheFields count="21">
    <cacheField name="FECHA" numFmtId="14">
      <sharedItems containsSemiMixedTypes="0" containsNonDate="0" containsDate="1" containsString="0" minDate="2025-01-02T00:00:00" maxDate="2026-07-02T00:00:00" count="107">
        <d v="2025-01-02T00:00:00"/>
        <d v="2026-01-05T00:00:00"/>
        <d v="2026-01-06T00:00:00"/>
        <d v="2026-01-07T00:00:00"/>
        <d v="2026-01-08T00:00:00"/>
        <d v="2026-01-09T00:00:00"/>
        <d v="2026-01-10T00:00:00"/>
        <d v="2026-01-12T00:00:00"/>
        <d v="2026-01-13T00:00:00"/>
        <d v="2026-02-09T00:00:00"/>
        <d v="2026-02-10T00:00:00"/>
        <d v="2026-02-11T00:00:00"/>
        <d v="2026-02-12T00:00:00"/>
        <d v="2026-02-16T00:00:00"/>
        <d v="2026-02-17T00:00:00"/>
        <d v="2026-02-18T00:00:00"/>
        <d v="2026-02-23T00:00:00"/>
        <d v="2026-02-24T00:00:00"/>
        <d v="2026-02-25T00:00:00"/>
        <d v="2026-02-26T00:00:00"/>
        <d v="2026-02-27T00:00:00"/>
        <d v="2026-02-28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4T00:00:00"/>
        <d v="2026-03-16T00:00:00"/>
        <d v="2026-03-17T00:00:00"/>
        <d v="2026-03-18T00:00:00"/>
        <d v="2026-03-19T00:00:00"/>
        <d v="2026-03-21T00:00:00"/>
        <d v="2026-03-23T00:00:00"/>
        <d v="2026-03-24T00:00:00"/>
        <d v="2026-03-25T00:00:00"/>
        <d v="2026-03-26T00:00:00"/>
        <d v="2026-03-30T00:00:00"/>
        <d v="2026-03-31T00:00:00"/>
        <d v="2026-04-01T00:00:00"/>
        <d v="2026-04-06T00:00:00"/>
        <d v="2026-04-07T00:00:00"/>
        <d v="2026-04-08T00:00:00"/>
        <d v="2026-04-09T00:00:00"/>
        <d v="2026-04-10T00:00:00"/>
        <d v="2026-04-11T00:00:00"/>
        <d v="2026-04-13T00:00:00"/>
        <d v="2026-04-14T00:00:00"/>
        <d v="2026-04-16T00:00:00"/>
        <d v="2026-04-17T00:00:00"/>
        <d v="2026-04-20T00:00:00"/>
        <d v="2026-04-21T00:00:00"/>
        <d v="2026-04-22T00:00:00"/>
        <d v="2026-04-23T00:00:00"/>
        <d v="2026-04-27T00:00:00"/>
        <d v="2026-04-28T00:00:00"/>
        <d v="2026-04-29T00:00:00"/>
        <d v="2026-04-30T00:00:00"/>
        <d v="2026-05-02T00:00:00"/>
        <d v="2026-05-04T00:00:00"/>
        <d v="2026-05-05T00:00:00"/>
        <d v="2026-05-06T00:00:00"/>
        <d v="2026-05-07T00:00:00"/>
        <d v="2026-05-11T00:00:00"/>
        <d v="2026-05-12T00:00:00"/>
        <d v="2026-05-13T00:00:00"/>
        <d v="2026-05-14T00:00:00"/>
        <d v="2026-05-15T00:00:00"/>
        <d v="2026-05-16T00:00:00"/>
        <d v="2026-05-18T00:00:00"/>
        <d v="2026-05-19T00:00:00"/>
        <d v="2026-05-20T00:00:00"/>
        <d v="2026-05-21T00:00:00"/>
        <d v="2026-05-22T00:00:00"/>
        <d v="2026-05-23T00:00:00"/>
        <d v="2026-05-25T00:00:00"/>
        <d v="2026-05-26T00:00:00"/>
        <d v="2026-05-27T00:00:00"/>
        <d v="2026-05-28T00:00:00"/>
        <d v="2026-06-01T00:00:00"/>
        <d v="2026-06-02T00:00:00"/>
        <d v="2026-06-03T00:00:00"/>
        <d v="2026-06-04T00:00:00"/>
        <d v="2026-06-08T00:00:00"/>
        <d v="2026-06-09T00:00:00"/>
        <d v="2026-06-10T00:00:00"/>
        <d v="2026-06-11T00:00:00"/>
        <d v="2026-06-12T00:00:00"/>
        <d v="2026-06-13T00:00:00"/>
        <d v="2026-06-15T00:00:00"/>
        <d v="2026-06-16T00:00:00"/>
        <d v="2026-06-17T00:00:00"/>
        <d v="2026-06-18T00:00:00"/>
        <d v="2026-06-22T00:00:00"/>
        <d v="2026-06-23T00:00:00"/>
        <d v="2026-06-24T00:00:00"/>
        <d v="2026-06-25T00:00:00"/>
        <d v="2026-06-26T00:00:00"/>
        <d v="2026-06-27T00:00:00"/>
        <d v="2026-06-30T00:00:00"/>
        <d v="2026-07-01T00:00:00"/>
      </sharedItems>
    </cacheField>
    <cacheField name="TECNICO" numFmtId="0">
      <sharedItems/>
    </cacheField>
    <cacheField name="TURNO" numFmtId="0">
      <sharedItems/>
    </cacheField>
    <cacheField name="HR. INICIO" numFmtId="166">
      <sharedItems containsDate="1" containsMixedTypes="1" minDate="1899-12-30T00:00:00" maxDate="1899-12-31T00:40:00"/>
    </cacheField>
    <cacheField name="HR. FIN" numFmtId="166">
      <sharedItems containsDate="1" containsMixedTypes="1" minDate="1899-12-30T00:00:00" maxDate="1899-12-31T00:58:00"/>
    </cacheField>
    <cacheField name="T.Total" numFmtId="166">
      <sharedItems containsSemiMixedTypes="0" containsNonDate="0" containsDate="1" containsString="0" minDate="1899-12-30T00:02:00" maxDate="1899-12-30T23:56:00"/>
    </cacheField>
    <cacheField name="MAQUINA/AREA/EQUIPO" numFmtId="0">
      <sharedItems containsMixedTypes="1" containsNumber="1" containsInteger="1" minValue="0" maxValue="0" count="117">
        <s v="NETCH"/>
        <s v="BAÑADORA DE CHOCOLATES 1"/>
        <s v="HACOS 1"/>
        <s v="EMP. FLOWPACK 2"/>
        <s v="GIANINI 1 - FAMAIC"/>
        <s v="EMP. SACMI"/>
        <s v="FORRADORA AUTOMATICA"/>
        <s v="MAQUINARIA DE PLANTA"/>
        <s v="CYCLOP"/>
        <s v="5TO PISO"/>
        <s v="HANSEL"/>
        <s v="MOLINO REBOTE"/>
        <s v="MINIFLEX"/>
        <s v="EMP. AMP ROSE"/>
        <s v="TOSTADOR CARLE MONTANARY"/>
        <s v="LINEA AUTOMATICA HACOS 1"/>
        <s v="CONCHA CLOVER 01"/>
        <s v="BARQUILLERA FRANZ HAAZ"/>
        <s v="PROCESADORA DE MASAS - NETZSCH"/>
        <s v="QUEBRANTADOR DE CACAO  01 JAF INOX"/>
        <s v="CODIFICADORA  LASER MACSA 4TO PISO"/>
        <s v="PLANTA INDUSTRIAL"/>
        <s v="FORRADORA AUTOMATICA 02"/>
        <s v="1ER PISO"/>
        <s v="COCINADORA 3 - GIANNINI "/>
        <s v="RAYOS X 1"/>
        <s v="EMP. 2 - CARLE MONTANARY"/>
        <s v="EMP. NAPOLITANA"/>
        <s v="ENCELOFANADORA ECCOPAC"/>
        <s v="EMP. SAPAL"/>
        <s v="CODIFICADORA  MARKEM IMAJE 9450 4TO PISO"/>
        <s v="CALDERO, CHRILLER Y COMPRESOR"/>
        <s v="MOLINO BILLAS"/>
        <s v="BATIDORA DE HUEVOS 01 SUPERMAP"/>
        <s v="EMP. 1 - CHOCOTECH"/>
        <s v="CONCHA CLOVER 02"/>
        <s v="DESINFECCION DE CASTAÑA"/>
        <s v="BATIDORA DE HUEVOS 02 NOVA"/>
        <s v="TUNEL DE ENFRIAMIENTO WHESTONE"/>
        <s v="LINEA DE COCCION HANSEL"/>
        <s v="CYCLOP 80 / F.HUECAS"/>
        <s v="RAYOS X 2"/>
        <s v="MEZCLADORA DE DOBLE EJE SSHS40"/>
        <s v="POZOS"/>
        <s v="TOSTADOR PETRONCINI"/>
        <s v="CALDERO 100 BHP"/>
        <s v="CAMARA DE FRIO"/>
        <s v="LINEA AUTOMATICA HACOS 2"/>
        <s v="GARITA"/>
        <s v="BAÑADORA DE CHOCOLATE 2"/>
        <s v="BAÑADORA DE CHOCOLATE 1"/>
        <s v="CORTADORA DE TURRON"/>
        <s v="TALLER DE MANTENIMIENTO"/>
        <s v="CHILLER YORK 150 TON"/>
        <s v="2DO PISO"/>
        <s v="EMP. FLOWPACK 1"/>
        <s v="FORMADORA DE CORDONES"/>
        <s v="TEMPERADORA CHOCOLATIER"/>
        <s v="CODIFICADORA MARKEM IMAJE 9050- FLOWPACK 2"/>
        <s v="CODIFICADORA MARKEM IMAJE 9450- FLOWPACK 1"/>
        <s v="BATIDORA DE FONDANT 2 M&amp;M"/>
        <s v="CAMARA DE FRIO FIGURAS HUECAS"/>
        <s v="ESTACION TERMICA"/>
        <s v="BOLEADORA"/>
        <s v="VESTUARIOS"/>
        <s v="MOLINO REBOTE - IMPACTO"/>
        <s v="REFINADOR BUHLER"/>
        <s v="FORRADORA AUTOMATICA 03"/>
        <s v="4TO PISO"/>
        <s v="HORNO NOVA"/>
        <s v="ELEVADOR DE CACAO"/>
        <s v="ENVASADORA TEPACK"/>
        <s v="TANQUE DE CHOCOLATE 01 FIGURAS HUECAS"/>
        <s v="GIRADORA CABRELLON"/>
        <s v="3ER PISO"/>
        <s v="FAJA DE CODIFICACION - ENVASES LASER"/>
        <s v="BAÑADORA DE CHOCOLATE 3"/>
        <s v="ENCEFALONADORA ECCOPAC"/>
        <s v="COCINA DE PLANTA"/>
        <s v="MOLINO DE AZUCAR"/>
        <s v="CONCHA ASPAS"/>
        <s v="TEMPERADORA CHOCOTECH"/>
        <s v="BALANZA"/>
        <s v="POZO DE CHILLER"/>
        <s v="LABORATORIO"/>
        <s v="SELLADORA DE BOLSAS DOYPACK ECCOPAC"/>
        <s v="APILADOR ELECTRICO"/>
        <s v="CONCHA COCOATOWN"/>
        <s v="TUNEL DE ENFRIAMIENTO AMP ROSE"/>
        <s v="FORRADORA MINIFLEX"/>
        <s v="GRAGEADORA CRG-100X"/>
        <s v="EQUIPOS AUXILIARES"/>
        <s v="FORRADORA AUTOMATICA 01"/>
        <s v="NO ASIGNADO"/>
        <s v="AGUA POTABLE"/>
        <s v="CONCHA ELK"/>
        <s v="ASCENSOR TK "/>
        <s v="CYCLOP 50/ MOLDEO MANUAL"/>
        <s v="BOMBA CONTRAINCENDIOS"/>
        <s v="CORTADORA DE MASA"/>
        <s v="TANQUE DE CHOCOLATE 02 FIGURAS HUECAS"/>
        <s v="STEPHAN - PROCESADOR DE MASAS"/>
        <s v="LAMINADORA DE MASA"/>
        <s v="QUEBRANTADOR DE CACAO  02"/>
        <s v="TUBERIAS"/>
        <s v="MOLDEO MANUAL"/>
        <s v="RAYOS X 3"/>
        <s v="TOSTADOR PETRONCINI NUEVO"/>
        <s v="COMEDOR"/>
        <s v="EQUIPO DE FRIO 05 - 1 CUERPO  TOFFEE"/>
        <s v="TANQUE DE CHOCOLATE DE BAÑADORA"/>
        <s v="GIRADORA COLLMAN 02"/>
        <s v="SISTEMA DE MECANIZADO DE ENCAJADO MANUAL"/>
        <s v="LOCAL ANEXO"/>
        <s v="COCINADORA 6 -FAMAIC "/>
        <s v="FORMADOR DE BOLAS"/>
        <n v="0" u="1"/>
      </sharedItems>
    </cacheField>
    <cacheField name="CLASIFICACIÓN" numFmtId="0">
      <sharedItems/>
    </cacheField>
    <cacheField name="TIPO ACTIVIDAD" numFmtId="0">
      <sharedItems containsBlank="1"/>
    </cacheField>
    <cacheField name="P/NP" numFmtId="0">
      <sharedItems containsBlank="1" count="4">
        <s v="PROGRAMADA"/>
        <s v="NO PROGRAMADA"/>
        <m/>
        <e v="#N/A" u="1"/>
      </sharedItems>
    </cacheField>
    <cacheField name="M/E" numFmtId="0">
      <sharedItems containsBlank="1" count="6">
        <s v=""/>
        <s v="MECÁNICA"/>
        <s v="ELÉCTRICA"/>
        <m/>
        <s v="ELECTRICA" u="1"/>
        <e v="#N/A" u="1"/>
      </sharedItems>
    </cacheField>
    <cacheField name="DESCRIPCION DE TRABAJO" numFmtId="0">
      <sharedItems/>
    </cacheField>
    <cacheField name="ACTIVIDAD CORRECTIVO" numFmtId="0">
      <sharedItems containsBlank="1"/>
    </cacheField>
    <cacheField name="PIEZA" numFmtId="0">
      <sharedItems count="1032">
        <s v=""/>
        <s v="Filtro"/>
        <s v="Piston(es)"/>
        <s v="Polin De Arrastre"/>
        <s v="Mordaza"/>
        <s v="Dispensador"/>
        <s v="Rejilla, Tapa"/>
        <s v="Manguera, Producto"/>
        <s v="Producto"/>
        <s v="Banda"/>
        <s v="Guardamotor, Motor"/>
        <s v="Banda, Motor"/>
        <s v="Gomas"/>
        <s v="Planchas"/>
        <s v="Cadena"/>
        <s v="Apilador"/>
        <s v="Plato"/>
        <s v="Husillo, Husillo"/>
        <s v="B2"/>
        <s v="Oring"/>
        <s v="Canaletas"/>
        <s v="Banda, Tensador"/>
        <s v="Banda, Cadena"/>
        <s v="Banda, Rascador, Rascador"/>
        <s v="Actuadores"/>
        <s v="Guias, Mordaza"/>
        <s v="Cabezal"/>
        <s v="Perno, Producto"/>
        <s v="Empujador, Husillo, Husillo, Planchas"/>
        <s v="Abrazaderas, Brazo, Manguera"/>
        <s v="Banda, Polin De Arrastre, Tensador"/>
        <s v="Cuchilla"/>
        <s v="Bobina"/>
        <s v="Dientes, Filtro"/>
        <s v="Perno"/>
        <s v="Puerta"/>
        <s v="Laminado, Plegador"/>
        <s v="Husillo, Husillo, Planchas"/>
        <s v="Laminado"/>
        <s v="Quemador"/>
        <s v="Sensor"/>
        <s v="Banda, Guias, Producto"/>
        <s v="Empujador, Moldes"/>
        <s v="Mesa"/>
        <s v="Banda, Producto"/>
        <s v="Disco"/>
        <s v="Abrefacil"/>
        <s v="Llave"/>
        <s v="Tuberias"/>
        <s v="Interruptor"/>
        <s v="Moldes"/>
        <s v="Iman, Criba"/>
        <s v="Empaque, Polin De Arrastre, Polin De Arrastre"/>
        <s v="Manguera"/>
        <s v="Banda, Polin De Arrastre"/>
        <s v="Cajas"/>
        <s v="Boquilla, Pinzas"/>
        <s v="Guarda, Tapa"/>
        <s v="Malla"/>
        <s v="Polin De Arrastre, Tapa"/>
        <s v="Banda, Tapa, Tensador"/>
        <s v="Polin De Arrastre, Rascador, Rascador"/>
        <s v="Cajas, Disco"/>
        <s v="Banda, Pinzas"/>
        <s v="Extractor"/>
        <s v="Borneras, Sensor"/>
        <s v="Boquilla"/>
        <s v="Bomba , Cadena, Transmisión"/>
        <s v="Patrones"/>
        <s v="Conector, Dientes, Transmisión"/>
        <s v="Fecha"/>
        <s v="Cadena, Transmisión"/>
        <s v="Producto, Sensor"/>
        <s v="Banda, Mordaza, Pines, Planchas, Rascador, Rascador"/>
        <s v="Dientes"/>
        <s v="Filtro, Producto"/>
        <s v="Compuerta, Banda, Faja De Transmisión, Puerta, Ventana, Transmisión"/>
        <s v="Ventilador"/>
        <s v="Tapa"/>
        <s v="Filtro, Polin De Arrastre"/>
        <s v="Bomba "/>
        <s v="Disco, Planchas"/>
        <s v="Pasta"/>
        <s v="Manguera, Tuberias"/>
        <s v="Empaque"/>
        <s v="Aspirador, Perno, Tapa"/>
        <s v="Ductos"/>
        <s v="Agitador, Resistencia"/>
        <s v="Banda, Guias"/>
        <s v="Iman"/>
        <s v="Elevador, Elevador"/>
        <s v="Tuerca"/>
        <s v="Cuchilla, Tapa"/>
        <s v="Husillo, Husillo, Piston(es), Planchas"/>
        <s v="Cuchilla, Laminado"/>
        <s v="Cajas, Cuchilla, Producto"/>
        <s v="Actuadores, B6"/>
        <s v="Producto, Tuberias"/>
        <s v="Husillo"/>
        <s v="Producto, Moldes"/>
        <s v="Laminado, Producto"/>
        <s v="Guarda, Iman, Rejilla, Tolva"/>
        <s v="Conector, Pasta"/>
        <s v="Rascador, Moldes, Rascador"/>
        <s v="Gomas, Pinzas"/>
        <s v="Piston(es), Planchas"/>
        <s v="Mordaza, Cadena"/>
        <s v="Conector"/>
        <s v="Carbon"/>
        <s v="Cuchilla, Perno"/>
        <s v="Tomacorriente"/>
        <s v="Pinzas"/>
        <s v="Motor, Producto"/>
        <s v="Tapones, Rodillo"/>
        <s v="Cuchilla, Empaque"/>
        <s v="Bomba , Chaqueta, Tina"/>
        <s v="Rodillo"/>
        <s v="Planchas, Rodillo"/>
        <s v="Cangilones"/>
        <s v="Malla, Tuberias"/>
        <s v="Producto, Tapa, Tuberias"/>
        <s v="Bomba , Producto"/>
        <s v="Producto, Producto"/>
        <s v="Laminado, Polin De Arrastre"/>
        <s v="Freno"/>
        <s v="Elevador, Tuberias, Elevador"/>
        <s v="Bobina, Freno"/>
        <s v="Disco, Laminado"/>
        <s v="Guias, Laminado"/>
        <s v="Banda, Rascador, Cadena, Rascador"/>
        <s v="Banda, Faja De Transmisión, Producto, Tolva" u="1"/>
        <s v="Balanza" u="1"/>
        <s v="Malla, Tensador" u="1"/>
        <s v="Pantalla" u="1"/>
        <s v="Llave, Tuberias" u="1"/>
        <s v="Empujador" u="1"/>
        <s v="Producto, Tolva" u="1"/>
        <s v="Variador " u="1"/>
        <s v="Resistencia, Tuberias" u="1"/>
        <s v="Brazo" u="1"/>
        <s v="Cilindro" u="1"/>
        <s v="Bomba , Producto, Producto, Tuberias" u="1"/>
        <s v="B2, Elevador, Elevador, Moldes" u="1"/>
        <s v="A1, A10, Moldes" u="1"/>
        <s v="Agitador" u="1"/>
        <s v="Valvula" u="1"/>
        <s v="Husillo, Planchas" u="1"/>
        <s v="Estopa, Prensaestopa" u="1"/>
        <s v="Bomba , Producto, Tuberias, Quemador" u="1"/>
        <s v="Tina" u="1"/>
        <s v="Cuchilla, Pantalla" u="1"/>
        <s v="Producto, Virutas" u="1"/>
        <s v="Teflon" u="1"/>
        <s v="Balon" u="1"/>
        <s v="Bomba , Bomba De Retorno, Tina" u="1"/>
        <s v="Parada De Emergencia" u="1"/>
        <s v="Display" u="1"/>
        <s v="Mordaza, Rascador, Rascador" u="1"/>
        <s v="Chaqueta" u="1"/>
        <s v="Parametros, Producto" u="1"/>
        <s v="Perno, Rascador, Rascador" u="1"/>
        <s v="Seguro" u="1"/>
        <s v="Gomas, Parametros" u="1"/>
        <s v="Sumidero" u="1"/>
        <s v="A520" u="1"/>
        <s v="Producto, Rodillo" u="1"/>
        <s v="Guias" u="1"/>
        <s v="Cable" u="1"/>
        <s v="Banda, Hilo" u="1"/>
        <s v="Producto, Tina" u="1"/>
        <s v="Perno, Tapa" u="1"/>
        <s v="Tapa, Tuberias" u="1"/>
        <s v="Calefactor, Moldes" u="1"/>
        <s v="Banda, Faja De Transmisión" u="1"/>
        <s v="Empujador, Planchas" u="1"/>
        <s v="Guias, Planchas" u="1"/>
        <s v="Cajas, Plancha De Sellado, Planchas" u="1"/>
        <s v="Motor" u="1"/>
        <s v="Plancha De Sellado, Planchas" u="1"/>
        <s v="Rascador, Rascador" u="1"/>
        <s v="Rodamiento" u="1"/>
        <s v="Cable, Ventilador" u="1"/>
        <s v="Perno, Moldes" u="1"/>
        <s v="Parametros" u="1"/>
        <s v="Cañon, Manija" u="1"/>
        <s v="Banda, Pistola De Aire" u="1"/>
        <s v="Pedal, Perno" u="1"/>
        <s v="B7, Moldes" u="1"/>
        <s v="Rejilla" u="1"/>
        <s v="Bomba , Filtro" u="1"/>
        <s v="Bastonador" u="1"/>
        <s v="Producto, Sensor, Tina" u="1"/>
        <s v="Parametros, Moldes" u="1"/>
        <s v="Pines" u="1"/>
        <s v="Bobina, Laminado" u="1"/>
        <s v="Laminado, Motor" u="1"/>
        <s v="Pasta, Plato" u="1"/>
        <s v="Calefactor" u="1"/>
        <s v="Compuerta, Puerta" u="1"/>
        <s v="Parametros, Planchas" u="1"/>
        <s v="Guarda, Sensor" u="1"/>
        <s v="Producto, Soplador" u="1"/>
        <s v="Tuerca, Valvula" u="1"/>
        <s v="Guarda" u="1"/>
        <s v="Gomas, Sensor" u="1"/>
        <s v="Aditivo" u="1"/>
        <s v="Tolva" u="1"/>
        <s v="Actuadores, Husillo, Husillo" u="1"/>
        <s v="Actuadores, Rodillo" u="1"/>
        <s v="Gomas, Tapa" u="1"/>
        <s v="Actuadores, Sensor, Moldes" u="1"/>
        <s v="Parametros, Variador " u="1"/>
        <s v="Cable, Sensor" u="1"/>
        <s v="Tolva, Tuberias" u="1"/>
        <s v="Aspirador" u="1"/>
        <s v="Rascador, Rascador, Rodillo" u="1"/>
        <s v="Planchas, Producto, Ventosas" u="1"/>
        <s v="Laminado, Sensor" u="1"/>
        <s v="Paletas" u="1"/>
        <s v="Banda, Faja De Transmisión, Producto" u="1"/>
        <s v="Guias, Pines, Producto" u="1"/>
        <s v="Banda, Polin De Arrastre, Rascador, Rascador" u="1"/>
        <s v="Perno, Cadena" u="1"/>
        <s v="Cadena, Tensador" u="1"/>
        <s v="Manija, Puerta" u="1"/>
        <s v="Laminado, Polin De Arrastre, Polin De Arrastre" u="1"/>
        <s v="Pinzas, Producto" u="1"/>
        <s v="Producto, Tapa" u="1"/>
        <s v="Perno, Seguro" u="1"/>
        <s v="Cajas, Producto" u="1"/>
        <s v="Carbon, Mordaza" u="1"/>
        <s v="Guarda, Ventilador" u="1"/>
        <s v="Bomba , Pasta" u="1"/>
        <s v="Laminado, Resorte" u="1"/>
        <s v="Calefactor, Resistencia" u="1"/>
        <s v="Bomba , Elevador, Elevador" u="1"/>
        <s v="Empujador, Planchas, Producto" u="1"/>
        <s v="Resistencia" u="1"/>
        <s v="Mesa, Producto" u="1"/>
        <s v="Banda, Mordaza" u="1"/>
        <s v="Bomba , Manguera" u="1"/>
        <s v="Bomba , Malla" u="1"/>
        <s v="Empujador, Mordaza, Planchas" u="1"/>
        <s v="Conector, Puerta, Seguro, Sensor" u="1"/>
        <s v="Producto, Tolva, Tuberias" u="1"/>
        <s v="Rascador, Tapa, Rascador" u="1"/>
        <s v="Perno, Planchas" u="1"/>
        <s v="Bomba , Gomas" u="1"/>
        <s v="Elevador, Pinzas, Elevador" u="1"/>
        <s v="Puerta, Sensor" u="1"/>
        <s v="Resorte" u="1"/>
        <s v="Husillo, Husillo, Planchas, Tolva" u="1"/>
        <s v="Mandril" u="1"/>
        <s v="Actuadores, Sensor" u="1"/>
        <s v="Envoltura" u="1"/>
        <s v="Cuchilla, Gomas" u="1"/>
        <s v="Cable, Estopa, Prensaestopa" u="1"/>
        <s v="Envoltura, Plegador" u="1"/>
        <s v="Cabezal, Carbon" u="1"/>
        <s v="Mesa, Tuberias" u="1"/>
        <s v="A1, A12, Empujador" u="1"/>
        <s v="Banda, Polin De Arrastre, Producto, Sensor, Tina" u="1"/>
        <s v="Banda, Gomas, Pinzas" u="1"/>
        <s v="Cañon" u="1"/>
        <s v="Disco, Motor" u="1"/>
        <s v="Bomba , Guias, Manguera" u="1"/>
        <s v="Meneke" u="1"/>
        <s v="Potenciometro" u="1"/>
        <s v="Bomba , Bomba De Retorno" u="1"/>
        <s v="Pistola De Aire, Virutas" u="1"/>
        <s v="Cabezal, Extractor" u="1"/>
        <s v="Bomba , Planchas, Quemador" u="1"/>
        <s v="Plancha De Sellado, Planchas, Teflon" u="1"/>
        <s v="Guias, Cadena" u="1"/>
        <s v="B6" u="1"/>
        <s v="Bomba , Guarda, Motor, Producto" u="1"/>
        <s v="Bolsa/ Envoltura" u="1"/>
        <s v="B7" u="1"/>
        <s v="Iman, Producto, Moldes" u="1"/>
        <s v="Cable, Conector" u="1"/>
        <s v="Banda, Plegador" u="1"/>
        <s v="Plegador" u="1"/>
        <s v="Cuerda" u="1"/>
        <s v="Agitador, Banda" u="1"/>
        <s v="Tapa, Cadena" u="1"/>
        <s v="Cuchilla, Filtro, Polin De Arrastre" u="1"/>
        <s v="Perno, Planchas, Tuerca" u="1"/>
        <s v="Bolsa/ Envoltura, Cuchilla, Macula, Sensor" u="1"/>
        <s v="Banda, Ventilador" u="1"/>
        <s v="Filtro, Producto, Tina" u="1"/>
        <s v="UPS" u="1"/>
        <s v="Cuchilla, Polin De Arrastre" u="1"/>
        <s v="Banda, Rascador, Tapa, Rascador" u="1"/>
        <s v="Guias, Tapa" u="1"/>
        <s v="Pasta, Ventilador" u="1"/>
        <s v="Guias, Producto" u="1"/>
        <s v="Pistola De Aire" u="1"/>
        <s v="Banda, Extractor" u="1"/>
        <s v="Cabezal, Perno, Pinzas" u="1"/>
        <s v="Bomba , Bomba De Chocolate, Filtro, Producto, Tapa" u="1"/>
        <s v="Banda, Teflon" u="1"/>
        <s v="Termologer" u="1"/>
        <s v="Ductos, Ventilador" u="1"/>
        <s v="Ductos, Filtro" u="1"/>
        <s v="Carbon, Disco" u="1"/>
        <s v="Cuchilla, Producto" u="1"/>
        <s v="Parada De Emergencia, Producto, Producto" u="1"/>
        <s v="Carbon, Motor" u="1"/>
        <s v="Rosca" u="1"/>
        <s v="Husillo, Perno, Tuerca" u="1"/>
        <s v="Perno, Tuerca" u="1"/>
        <s v="Bomba , Bomba De Chocolate, Filtro, Producto" u="1"/>
        <s v="Elevador, Mordaza, Planchas, Producto, Elevador" u="1"/>
        <s v="Bomba , Mandril, Manguera" u="1"/>
        <s v="Banda, Transmisión" u="1"/>
        <s v="Banda, Pasta" u="1"/>
        <s v="Correa" u="1"/>
        <s v="Foco, Quemador" u="1"/>
        <s v="Balanza, Cable" u="1"/>
        <s v="Puerta, Seguro, Ventana" u="1"/>
        <s v="Husillo, Husillo, Tolva" u="1"/>
        <s v="Pistola De Aire, Soplador" u="1"/>
        <s v="Canaletas, Nivel De Tinta, Tina" u="1"/>
        <s v="Envoltura, Gomas" u="1"/>
        <s v="Dientes, Patrones, Pistola De Aire" u="1"/>
        <s v="Carbon, Perno, Cadena" u="1"/>
        <s v="Lower Long Seal" u="1"/>
        <s v="Polin De Arrastre, Transmisión" u="1"/>
        <s v="Calefactor, Guarda, Perno" u="1"/>
        <s v="Guarda, Perno" u="1"/>
        <s v="Disco, Envoltura, Mordaza" u="1"/>
        <s v="Filtro, Producto, Tapa" u="1"/>
        <s v="Estopa" u="1"/>
        <s v="Polin De Arrastre, Cadena" u="1"/>
        <s v="Sensor, Tolva" u="1"/>
        <s v="Soga" u="1"/>
        <s v="Canaletas, Guias, Producto, Sensor" u="1"/>
        <s v="Gomas, Producto" u="1"/>
        <s v="Banda, Filtro, Polin De Arrastre" u="1"/>
        <s v="Rascador, Tapa, Cadena, Rascador" u="1"/>
        <s v="A530" u="1"/>
        <s v="Cuchilla, Tapones" u="1"/>
        <s v="Ssr28" u="1"/>
        <s v="Compuerta, Pantalla, Puerta" u="1"/>
        <s v="Compuerta, Puerta, Sensor" u="1"/>
        <s v="Calefactor, Resistencia, Teflon" u="1"/>
        <s v="Aditivo, Mordaza" u="1"/>
        <s v="Cuchilla, Paletas, Teflon" u="1"/>
        <s v="Tablero Electrico" u="1"/>
        <s v="Husillo, Piston(es)" u="1"/>
        <s v="Mordaza, Virutas" u="1"/>
        <s v="Malla, Tapa" u="1"/>
        <s v="Empujador, Cadena" u="1"/>
        <s v="Filtro, Polin De Arrastre, Tapa" u="1"/>
        <s v="Seguro, Tapa" u="1"/>
        <s v="Banda, Parametros" u="1"/>
        <s v="Bomba , Bomba De Chocolate, Producto" u="1"/>
        <s v="Bomba , Bomba De Retorno, Filtro" u="1"/>
        <s v="Bomba , Malla, Producto" u="1"/>
        <s v="Mordaza, Quemador" u="1"/>
        <s v="Bomba , Bomba De Chocolate, Producto, Valvula" u="1"/>
        <s v="Borneras, Cajas, Tablero Electrico" u="1"/>
        <s v="Cuchilla, Cuchilla Movil" u="1"/>
        <s v="Empaque, Pantalla, Pasta, Pinzas" u="1"/>
        <s v="Actuadores, B1" u="1"/>
        <s v="Mesa, Valvula" u="1"/>
        <s v="Ventosas" u="1"/>
        <s v="Calefactor, Husillo" u="1"/>
        <s v="Aditivo, Parametros" u="1"/>
        <s v="Bobina, Polin De Arrastre" u="1"/>
        <s v="Producto, Quemador" u="1"/>
        <s v="Banda, Sensor" u="1"/>
        <s v="Actuadores, Producto, Rodillo" u="1"/>
        <s v="Banda, Filtro" u="1"/>
        <s v="Malla, Planchas" u="1"/>
        <s v="Iman, Tolva" u="1"/>
        <s v="Malla, Producto, Tina" u="1"/>
        <s v="Empaque, Empujador" u="1"/>
        <s v="Brazo, Sensor" u="1"/>
        <s v="Pasta, Expulsador" u="1"/>
        <s v="Malla, Transmisión" u="1"/>
        <s v="Tuberias, Valvula" u="1"/>
        <s v="Perno, Plegador" u="1"/>
        <s v="Producto, Tuberias, Quemador" u="1"/>
        <s v="Producto, Criba" u="1"/>
        <s v="Macula" u="1"/>
        <s v="Bolsa/ Envoltura, Cuchilla, Quemador" u="1"/>
        <s v="Guias, Producto, Sensor" u="1"/>
        <s v="Producto, Cadena, Transmisión" u="1"/>
        <s v="Agitador, Motor" u="1"/>
        <s v="Tablero Electrico, Tapa" u="1"/>
        <s v="B5, B530, Moldes" u="1"/>
        <s v="Tapones, Tina, Tuberias" u="1"/>
        <s v="Foco, Mesa" u="1"/>
        <s v="Cajas, Laminado" u="1"/>
        <s v="Ventana" u="1"/>
        <s v="Bobina, Producto, Sensor" u="1"/>
        <s v="Cajas, Envoltura" u="1"/>
        <s v="Banda, Pasta, Producto" u="1"/>
        <s v="Mandril, Producto" u="1"/>
        <s v="Bomba , Borneras" u="1"/>
        <s v="Cilindro, Elevador, Elevador" u="1"/>
        <s v="Producto, Valvula" u="1"/>
        <s v="Manguera, Pistola De Aire" u="1"/>
        <s v="Ductos, Producto" u="1"/>
        <s v="Soga, Cadena" u="1"/>
        <s v="Cuchilla, Envoltura" u="1"/>
        <s v="Producto, Bastonador" u="1"/>
        <s v="Banda, Pedal" u="1"/>
        <s v="Bobina, Pasta" u="1"/>
        <s v="Transmisión" u="1"/>
        <s v="Aditivo, Cabezal" u="1"/>
        <s v="Boquilla, Gomas" u="1"/>
        <s v="Bomba , Elevador, Mesa, Producto, Elevador" u="1"/>
        <s v="Boquilla, Gomas, Quemador" u="1"/>
        <s v="Envoltura, Fecha" u="1"/>
        <s v="Boquilla, Gomas, Parametros" u="1"/>
        <s v="Cable, Puerta" u="1"/>
        <s v="Foco" u="1"/>
        <s v="Laminado, Mordaza" u="1"/>
        <s v="Cable, Rascador, Rascador" u="1"/>
        <s v="Filtro, Tapa" u="1"/>
        <s v="Parametros, Valvula" u="1"/>
        <s v="A510" u="1"/>
        <s v="B2, C2, Moldes" u="1"/>
        <s v="Bobina, Cuchilla" u="1"/>
        <s v="Agitador, Tina, Transmisión" u="1"/>
        <s v="Agitador, Producto" u="1"/>
        <s v="Bobina, Bolsa/ Envoltura, Gomas" u="1"/>
        <s v="B6, Piston(es), Sensor" u="1"/>
        <s v="Bolsa/ Envoltura, Banda" u="1"/>
        <s v="B7, B8, Sensor" u="1"/>
        <s v="Disco, Elevador, Elevador" u="1"/>
        <s v="Cuchilla, Parametros, Plegador" u="1"/>
        <s v="Guardamotor, Llave, Motor" u="1"/>
        <s v="Alambre, Cuerda" u="1"/>
        <s v="Guarda, Cadena" u="1"/>
        <s v="B8, Piston(es)" u="1"/>
        <s v="Laminado, Quemador" u="1"/>
        <s v="Laminado, Pasta" u="1"/>
        <s v="Producto, Transmisión" u="1"/>
        <s v="Gomas, Pasta" u="1"/>
        <s v="Agitador, Producto, Tina" u="1"/>
        <s v="Bobina, Gomas, Pinzas" u="1"/>
        <s v="Cajas, Cuchilla" u="1"/>
        <s v="B5" u="1"/>
        <s v="Bobina, Resistencia" u="1"/>
        <s v="Cuchilla, Gomas, Pasta, Pinzas" u="1"/>
        <s v="Cuchilla, Plegador" u="1"/>
        <s v="Elevador, Gomas, Pinzas, Elevador" u="1"/>
        <s v="Laminado, Pinzas" u="1"/>
        <s v="Pasta, Pinzas" u="1"/>
        <s v="Pedal, Resorte" u="1"/>
        <s v="Gomas, Laminado, Pasta" u="1"/>
        <s v="Bobina, Pinzas" u="1"/>
        <s v="Elevador, Gomas, Pantalla, Elevador" u="1"/>
        <s v="Empaque, Producto" u="1"/>
        <s v="Angulo, Perno" u="1"/>
        <s v="Agitador, Motor, Quemador" u="1"/>
        <s v="Agitador, Sensor" u="1"/>
        <s v="Cuchilla, Teflon" u="1"/>
        <s v="Banda, Pantalla" u="1"/>
        <s v="Piston(es), Sensor" u="1"/>
        <s v="Envoltura, Producto" u="1"/>
        <s v="Cajas, Sensor" u="1"/>
        <s v="Banda, Bolsa/ Envoltura" u="1"/>
        <s v="Bolsa/ Envoltura, Cadena" u="1"/>
        <s v="Bolsa/ Envoltura, Laminado" u="1"/>
        <s v="B6, Piston(es)" u="1"/>
        <s v="B6, Piston(es), Moldes" u="1"/>
        <s v="Correa, Empaque" u="1"/>
        <s v="Bolsa/ Envoltura, Producto" u="1"/>
        <s v="Banda, Perno" u="1"/>
        <s v="Banda, Producto, Expulsador" u="1"/>
        <s v="Empujador, Plegador, Producto" u="1"/>
        <s v="Banda, Producto, Tuberias" u="1"/>
        <s v="P21, Piston(es)" u="1"/>
        <s v="Perilla, Rosca" u="1"/>
        <s v="Tensador" u="1"/>
        <s v="Cuchilla, Pedal" u="1"/>
        <s v="Bolsa/ Envoltura, Pedal" u="1"/>
        <s v="B7, B8" u="1"/>
        <s v="Empujador, Producto, Sensor" u="1"/>
        <s v="Producto, Expulsador" u="1"/>
        <s v="B1" u="1"/>
        <s v="Polin De Arrastre, Rodillo" u="1"/>
        <s v="Lavatorio" u="1"/>
        <s v="Seguro, Sensor" u="1"/>
        <s v="B8, Moldes" u="1"/>
        <s v="Piston(es), Puerta" u="1"/>
        <s v="Perilla" u="1"/>
        <s v="Resistencia, Teflon" u="1"/>
        <s v="Agitador, Transmisión" u="1"/>
        <s v="Bobina, Producto" u="1"/>
        <s v="Agitador, Tina" u="1"/>
        <s v="Guias, Puerta" u="1"/>
        <s v="Agitador, Brazo" u="1"/>
        <s v="B6, Moldes" u="1"/>
        <s v="Agitador, Filtro" u="1"/>
        <s v="Rascador, Resistencia, Rascador" u="1"/>
        <s v="Cuchilla, Resorte" u="1"/>
        <s v="Planchas, Rosca" u="1"/>
        <s v="Correa, Mordaza, Transmisión" u="1"/>
        <s v="Bobina, Bolsa/ Envoltura, Cuchilla" u="1"/>
        <s v="Bolsa/ Envoltura, Cuchilla" u="1"/>
        <s v="Gomas, Pinzas, Plegador" u="1"/>
        <s v="Motor, Soplador" u="1"/>
        <s v="Empaque, Laminado" u="1"/>
        <s v="B5, Moldes" u="1"/>
        <s v="Perno, Pinzas" u="1"/>
        <s v="Rascador, Resorte, Rascador" u="1"/>
        <s v="Banda, Producto, Sensor" u="1"/>
        <s v="Disco, Banda" u="1"/>
        <s v="Banda, Filtro, Producto" u="1"/>
        <s v="Jebe" u="1"/>
        <s v="Virutas" u="1"/>
        <s v="Cuchilla, Pinzas" u="1"/>
        <s v="Gomas, Laminado, Plegador" u="1"/>
        <s v="Empaque, Producto, Teflon" u="1"/>
        <s v="Elevador, Freno, Perno, Tuerca, Elevador" u="1"/>
        <s v="Banda, Laminado" u="1"/>
        <s v="Gomas, Producto, Sensor" u="1"/>
        <s v="Disco, Envoltura, Guias" u="1"/>
        <s v="Estopa, Producto" u="1"/>
        <s v="Motor, Ventilador, Quemador" u="1"/>
        <s v="Banda, Faja De Transmisión, Transmisión" u="1"/>
        <s v="Actuadores, Gomas" u="1"/>
        <s v="Pedal" u="1"/>
        <s v="Mordaza, Producto" u="1"/>
        <s v="Elevador, Plato, Elevador" u="1"/>
        <s v="Empaque, Gomas, Producto" u="1"/>
        <s v="Conector, Sensor" u="1"/>
        <s v="Macula, Sensor" u="1"/>
        <s v="Laminado, Teflon" u="1"/>
        <s v="Producto, Producto, Sensor" u="1"/>
        <s v="Bobina, Tensador" u="1"/>
        <s v="Banda, Hilo, Tensador" u="1"/>
        <s v="Carbon, Disco, Guarda" u="1"/>
        <s v="Plegador, Teflon" u="1"/>
        <s v="Empujador, Producto, Cadena" u="1"/>
        <s v="Cañon, Conector, Tina" u="1"/>
        <s v="Carbon, Perno" u="1"/>
        <s v="Tapa, Abrefacil" u="1"/>
        <s v="Dientes, Empujador" u="1"/>
        <s v="Cadena, Moldes" u="1"/>
        <s v="B2, Moldes" u="1"/>
        <s v="Guias, Perno" u="1"/>
        <s v="Cuchilla, Envoltura, Gomas" u="1"/>
        <s v="Plegador, Producto" u="1"/>
        <s v="Bolsa/ Envoltura, Tensador" u="1"/>
        <s v="Gomas, Pasta, Pinzas" u="1"/>
        <s v="Banda, Perno, Polin De Arrastre" u="1"/>
        <s v="Bobina, Bobina" u="1"/>
        <s v="Banda, Guias, Teflon" u="1"/>
        <s v="A1, A13, A13, Actuadores, Guarda" u="1"/>
        <s v="Bomba , Tina" u="1"/>
        <s v="B5, B530" u="1"/>
        <s v="Correa, Transmisión" u="1"/>
        <s v="Perno, Sensor, Teflon, Tuerca" u="1"/>
        <s v="A1, A19, A19, Conector, Sensor" u="1"/>
        <s v="Manija" u="1"/>
        <s v="Fotomarca, Guias" u="1"/>
        <s v="Compuerta, Puerta, Tina" u="1"/>
        <s v="Fotomarca" u="1"/>
        <s v="C1, Cilindro" u="1"/>
        <s v="C4" u="1"/>
        <s v="Cajas, Plegador" u="1"/>
        <s v="Perno, Plancha De Sellado, Planchas" u="1"/>
        <s v="Empaque, Macula" u="1"/>
        <s v="Plegador, Rosca" u="1"/>
        <s v="Abrazaderas, Brazo" u="1"/>
        <s v="Cable, Tapa" u="1"/>
        <s v="Malla, Perno" u="1"/>
        <s v="Producto, Sensor, Expulsador" u="1"/>
        <s v="Empaque, Tuberias" u="1"/>
        <s v="Bolsa/ Envoltura, Plegador" u="1"/>
        <s v="Parametros, Sensor" u="1"/>
        <s v="Aditivo, Tina" u="1"/>
        <s v="Elevador, Perno, Elevador" u="1"/>
        <s v="Pasta, Moldes" u="1"/>
        <s v="Bobina, Polin De Arrastre, Polin De Arrastre" u="1"/>
        <s v="Bobina, Banda, Polin De Arrastre" u="1"/>
        <s v="Envoltura, Gomas, Producto" u="1"/>
        <s v="Bobina, Empaque, Laminado" u="1"/>
        <s v="Banda, Gomas, Producto, Sensor" u="1"/>
        <s v="Guias, Producto, Expulsador" u="1"/>
        <s v="A1, A14, A14, Piston(es)" u="1"/>
        <s v="Alambre, Malla" u="1"/>
        <s v="Guarda, Expulsador" u="1"/>
        <s v="Calefactor, Manija" u="1"/>
        <s v="Resorte, Sensor" u="1"/>
        <s v="Banda, Banda" u="1"/>
        <s v="A2, A24, A24, Piston(es)" u="1"/>
        <s v="Bolsa/ Envoltura, Freno" u="1"/>
        <s v="Banda, Rodamiento" u="1"/>
        <s v="Bolsa/ Envoltura, Abrefacil" u="1"/>
        <s v="Gomas, Pantalla, Pinzas" u="1"/>
        <s v="Bolsa/ Envoltura, Plancha De Sellado, Planchas" u="1"/>
        <s v="Brazo, Cuchilla, Laminado, Polin De Arrastre, Polin De Arrastre" u="1"/>
        <s v="Banda, Malla, Producto" u="1"/>
        <s v="Empaque, Envoltura, Gomas" u="1"/>
        <s v="Bobina, Envoltura, Gomas, Plegador, Producto" u="1"/>
        <s v="A2, Rascador, Rascador" u="1"/>
        <s v="Criba" u="1"/>
        <s v="Bomba , Parametros" u="1"/>
        <s v="Guias, Sensor" u="1"/>
        <s v="Perno, Ventosas" u="1"/>
        <s v="Guias, Moldes" u="1"/>
        <s v="Fotomarca, Sensor" u="1"/>
        <s v="Nivel De Tinta, Tina" u="1"/>
        <s v="A1, A10, Piston(es)" u="1"/>
        <s v="Filtro, Tina" u="1"/>
        <s v="Envoltura, Laminado, Producto, Sensor" u="1"/>
        <s v="Bobina, Portabobina, Tensador" u="1"/>
        <s v="Aditivo, Guias" u="1"/>
        <s v="A530, Puerta, Moldes" u="1"/>
        <s v="Laminado, Pasta, Pinzas" u="1"/>
        <s v="Paletas, Teflon" u="1"/>
        <s v="Cuchilla, Abrefacil" u="1"/>
        <s v="Disco, Plegador" u="1"/>
        <s v="Producto, Variador " u="1"/>
        <s v="Gomas, Pasta, Rosca" u="1"/>
        <s v="Gomas, Pinzas, Producto" u="1"/>
        <s v="Elevador, Banda, Polin De Arrastre, Elevador" u="1"/>
        <s v="Cajas, Mordaza" u="1"/>
        <s v="Soplador" u="1"/>
        <s v="Empaque, Guias, Soplador" u="1"/>
        <s v="Brazo, Seguro" u="1"/>
        <s v="Perno, Piston(es)" u="1"/>
        <s v="B2, B23" u="1"/>
        <s v="Gomas, Pistola De Aire, Expulsador" u="1"/>
        <s v="Bolsa/ Envoltura, Guias" u="1"/>
        <s v="B5, Guias, Moldes" u="1"/>
        <s v="Boquilla, Planchas" u="1"/>
        <s v="Guias, Cadena, Moldes" u="1"/>
        <s v="Empaque, Piston(es)" u="1"/>
        <s v="Gomas, Seguro" u="1"/>
        <s v="A1, A12" u="1"/>
        <s v="Laminado, Abrefacil" u="1"/>
        <s v="Bomba , Perno" u="1"/>
        <s v="Empujador, Mordaza, Producto" u="1"/>
        <s v="Manija, Perno" u="1"/>
        <s v="B2, B6" u="1"/>
        <s v="Angulo, Ventilador" u="1"/>
        <s v="Disco, Mesa, Producto" u="1"/>
        <s v="Cuchilla, Plegador, Producto" u="1"/>
        <s v="Cajas, Cuchilla, Laminado" u="1"/>
        <s v="Prisionero" u="1"/>
        <s v="Balanza, Laminado, Parametros" u="1"/>
        <s v="Arandela, Perno" u="1"/>
        <s v="Paletas, Virutas" u="1"/>
        <s v="Cuchilla, Paletas" u="1"/>
        <s v="Embrague, Perno, Tuerca" u="1"/>
        <s v="Guias, Motor" u="1"/>
        <s v="Bobina, Disco, Laminado, Sensor" u="1"/>
        <s v="Pantalla, Moldes" u="1"/>
        <s v="Embrague" u="1"/>
        <s v="Arandela, Valvula" u="1"/>
        <s v="Empujador, Pasta" u="1"/>
        <s v="Cable, Planchas" u="1"/>
        <s v="Abrazaderas, Brazo, Manguera, Producto" u="1"/>
        <s v="Banda, Planchas, Producto" u="1"/>
        <s v="Sensor, Tapa" u="1"/>
        <s v="Filtro, Tapa, Ventilador" u="1"/>
        <s v="Banda, Planchas" u="1"/>
        <s v="Banda, Guardamotor, Motor" u="1"/>
        <s v="Envoltura, Gomas, Producto, Sensor" u="1"/>
        <s v="Cajas, Envoltura, Gomas" u="1"/>
        <s v="Perno, Sensor, Tapa" u="1"/>
        <s v="Bobina, Empaque" u="1"/>
        <s v="Bobina, Gomas" u="1"/>
        <s v="Balanza, Tomacorriente" u="1"/>
        <s v="Cuchilla, Bastonador" u="1"/>
        <s v="Alambre" u="1"/>
        <s v="Interruptor, Resistencia, Tuberias, Quemador" u="1"/>
        <s v="Empaque, Valvula" u="1"/>
        <s v="Gomas, Gomas, Pasta" u="1"/>
        <s v="Planchas, Cadena" u="1"/>
        <s v="A510, Moldes" u="1"/>
        <s v="Bobina, Banda" u="1"/>
        <s v="Laminado, Producto, Sensor" u="1"/>
        <s v="Motor, Tina" u="1"/>
        <s v="Guias, Planchas, Sensor" u="1"/>
        <s v="Filtro, Perno" u="1"/>
        <s v="Balanza, Llave, Perno" u="1"/>
        <s v="Cuchilla, Envoltura, Bastonador" u="1"/>
        <s v="Disco, Perno" u="1"/>
        <s v="Guias, Perno, Producto" u="1"/>
        <s v="Guarda, Perno, Sensor" u="1"/>
        <s v="Banda, Bobina" u="1"/>
        <s v="Banda, Mesa" u="1"/>
        <s v="Laminado, Rodillo" u="1"/>
        <s v="Banda, Plato, Producto" u="1"/>
        <s v="Aditivo, Cartucho" u="1"/>
        <s v="Cuchilla, Guias, Laminado" u="1"/>
        <s v="Manguera, Producto, Criba" u="1"/>
        <s v="Banda, Gomas, Pasta" u="1"/>
        <s v="Aditivo, Banda" u="1"/>
        <s v="Agitador, Variador " u="1"/>
        <s v="Agitador, Paletas" u="1"/>
        <s v="Bolsa/ Envoltura, Empaque, Abrefacil" u="1"/>
        <s v="A1, A10, Empujador" u="1"/>
        <s v="Banda, Perno, Tapa" u="1"/>
        <s v="B1, B12, Empujador" u="1"/>
        <s v="Empaque, Pasta" u="1"/>
        <s v="Bobina, Plegador" u="1"/>
        <s v="Planchas, Moldes" u="1"/>
        <s v="Estopa, Prensaestopa, Valvula" u="1"/>
        <s v="Bolsa/ Envoltura, Sensor" u="1"/>
        <s v="Cuchilla, Envoltura, Producto, Producto" u="1"/>
        <s v="A1, A12, Sensor" u="1"/>
        <s v="Banda, Banda, Perno, Variador " u="1"/>
        <s v="Cuchilla, Guarda" u="1"/>
        <s v="Cuchilla, Plancha De Sellado, Planchas" u="1"/>
        <s v="Banda, Moldes" u="1"/>
        <s v="Elevador, Paletas, Elevador" u="1"/>
        <s v="Bobina, Portabobina" u="1"/>
        <s v="Banda, Variador " u="1"/>
        <s v="Pantalla, Seguro" u="1"/>
        <s v="A530, Pantalla" u="1"/>
        <s v="Correa, Cadena" u="1"/>
        <s v="Correa, Tensador" u="1"/>
        <s v="Empujador, Producto" u="1"/>
        <s v="A500" u="1"/>
        <s v="A530, Moldes" u="1"/>
        <s v="Banda, Perno, Rosca, Tensador" u="1"/>
        <s v="Banda, Perno, Tensador" u="1"/>
        <s v="A500, Moldes" u="1"/>
        <s v="Bobina, Virutas" u="1"/>
        <s v="Bomba , Estopa, Prensaestopa" u="1"/>
        <s v="Banda, Polin De Arrastre, Rodamiento" u="1"/>
        <s v="Cable, Resistencia" u="1"/>
        <s v="Producto, Soga" u="1"/>
        <s v="Gomas, Pasta, Producto" u="1"/>
        <s v="Pantalla, Variador " u="1"/>
        <s v="Pantalla, Puerta" u="1"/>
        <s v="Perno, Puerta" u="1"/>
        <s v="Interlock" u="1"/>
        <s v="Banda, Cuchilla" u="1"/>
        <s v="Empaque, Plegador" u="1"/>
        <s v="Elevador, Producto, Elevador" u="1"/>
        <s v="Actuadores, Producto" u="1"/>
        <s v="B2, C2" u="1"/>
        <s v="Elevador, Pinzas" u="1"/>
        <s v="Disco, Elevador" u="1"/>
        <s v="Elevador, Gomas, Pinzas" u="1"/>
        <s v="Elevador" u="1"/>
        <s v="Banda, Rascador" u="1"/>
        <s v="Elevador, Gomas, Pantalla" u="1"/>
        <s v="Bomba , Planchas" u="1"/>
        <s v="Rascador" u="1"/>
        <s v="Iman, Producto" u="1"/>
        <s v="B8" u="1"/>
        <s v="Mordaza, Rascador" u="1"/>
        <s v="Rascador, Resistencia" u="1"/>
        <s v="Correa, Mordaza" u="1"/>
        <s v="Banda, Rascador, Tapa" u="1"/>
        <s v="Rascador, Resorte" u="1"/>
        <s v="Elevador, Mordaza, Planchas, Producto" u="1"/>
        <s v="Elevador, Freno, Perno, Tuerca" u="1"/>
        <s v="Motor, Ventilador" u="1"/>
        <s v="Elevador, Plato" u="1"/>
        <s v="Banda, Polin De Arrastre, Rascador" u="1"/>
        <s v="Rascador, Tapa" u="1"/>
        <s v="Elevador, Perno" u="1"/>
        <s v="A2, Rascador" u="1"/>
        <s v="A530, Puerta" u="1"/>
        <s v="Elevador, Banda, Polin De Arrastre" u="1"/>
        <s v="Gomas, Pistola De Aire" u="1"/>
        <s v="B5, Guias" u="1"/>
        <s v="Cilindro, Elevador" u="1"/>
        <s v="Interruptor, Resistencia, Tuberias" u="1"/>
        <s v="Bomba , Elevador, Mesa, Producto" u="1"/>
        <s v="Cable, Rascador" u="1"/>
        <s v="A1, A10" u="1"/>
        <s v="B2, Elevador" u="1"/>
        <s v="Bolsa/ Envoltura, Empaque" u="1"/>
        <s v="Bomba , Producto, Tuberias" u="1"/>
        <s v="Elevador, Paletas" u="1"/>
        <s v="Banda, Perno, Rosca" u="1"/>
        <s v="Perno, Rascador" u="1"/>
        <s v="Faja" u="1"/>
        <s v="Tina, Agitador" u="1"/>
        <s v="Faja, Guias" u="1"/>
        <s v="Bolsa/ Envoltura, Faja" u="1"/>
        <s v="Tina, Producto" u="1"/>
        <s v="Llave, Guardamotor, Motor" u="1"/>
        <s v="Faja, Sensor" u="1"/>
        <s v="Pasta, Gomas" u="1"/>
        <s v="Tina, Agitador, Producto" u="1"/>
        <s v="Laminado, Pasta, Gomas" u="1"/>
        <s v="Faja, Pantalla" u="1"/>
        <s v="Producto, Guias" u="1"/>
        <s v="Faja, Producto" u="1"/>
        <s v="Planchas, Plancha De Sellado, Teflon" u="1"/>
        <s v="Faja, Parametros" u="1"/>
        <s v="Faja, Perno" u="1"/>
        <s v="Bomba , Producto, Guarda, Motor" u="1"/>
        <s v="Producto, Faja, Tuberias" u="1"/>
        <s v="Piston(es), P21" u="1"/>
        <s v="Faja, Plegador" u="1"/>
        <s v="Polin De Arrastre, Laminado" u="1"/>
        <s v="Faja, Rascador" u="1"/>
        <s v="Tina, Producto, Filtro" u="1"/>
        <s v="Bomba , Bomba De Chocolate, Producto, Filtro, Tapa" u="1"/>
        <s v="Tina, Producto, Malla" u="1"/>
        <s v="Producto, Filtro" u="1"/>
        <s v="Faja, Teflon" u="1"/>
        <s v="Disco, Faja" u="1"/>
        <s v="Faja, Filtro, Producto" u="1"/>
        <s v="Perno, Tuerca, Husillo" u="1"/>
        <s v="Bomba , Bomba De Chocolate, Producto, Filtro" u="1"/>
        <s v="Faja, Laminado" u="1"/>
        <s v="Faja, Pasta" u="1"/>
        <s v="Producto, Estopa" u="1"/>
        <s v="Faja, Faja De Transmisión" u="1"/>
        <s v="Faja, Polin De Arrastre, Rascador" u="1"/>
        <s v="Husillo, Planchas, Husillo" u="1"/>
        <s v="Producto, Sensor, Producto" u="1"/>
        <s v="Husillo, Tolva, Husillo" u="1"/>
        <s v="Tina, Canaletas, Nivel De Tinta" u="1"/>
        <s v="Tina, Cañon, Conector" u="1"/>
        <s v="Producto, Faja" u="1"/>
        <s v="Producto, Filtro, Tapa" u="1"/>
        <s v="Faja, Perno, Polin De Arrastre" u="1"/>
        <s v="Faja, Guias, Teflon" u="1"/>
        <s v="Actuadores, A1, A13, A13, Guarda" u="1"/>
        <s v="Tina, Bomba " u="1"/>
        <s v="Tina, Compuerta, Puerta" u="1"/>
        <s v="Perno, Planchas, Plancha De Sellado" u="1"/>
        <s v="Piston(es), Husillo" u="1"/>
        <s v="Tina, Aditivo" u="1"/>
        <s v="Bobina, Polin De Arrastre, Faja" u="1"/>
        <s v="Faja, Gomas, Sensor, Producto" u="1"/>
        <s v="Bomba , Producto, Malla" u="1"/>
        <s v="Banda, Faja" u="1"/>
        <s v="Faja, Polin De Arrastre" u="1"/>
        <s v="Faja, Rodamiento" u="1"/>
        <s v="Bolsa/ Envoltura, Planchas, Plancha De Sellado" u="1"/>
        <s v="Pasta, Gomas, Pinzas" u="1"/>
        <s v="Faja, Malla, Producto" u="1"/>
        <s v="Faja, Filtro" u="1"/>
        <s v="Tina, Nivel De Tinta" u="1"/>
        <s v="Tina, Filtro" u="1"/>
        <s v="Pasta, Gomas, Rosca" u="1"/>
        <s v="Planchas, Husillo" u="1"/>
        <s v="Elevador, Faja, Polin De Arrastre" u="1"/>
        <s v="Piston(es), Perno" u="1"/>
        <s v="Tina, Tapones, Tuberias" u="1"/>
        <s v="Tina, Bomba , Bomba De Retorno" u="1"/>
        <s v="Abrazaderas, Brazo, Producto, Manguera" u="1"/>
        <s v="Faja, Planchas, Producto" u="1"/>
        <s v="Faja, Guardamotor, Motor" u="1"/>
        <s v="Faja, Pedal" u="1"/>
        <s v="Gomas, Pasta, Gomas" u="1"/>
        <s v="Planchas, Plancha De Sellado" u="1"/>
        <s v="Bobina, Faja" u="1"/>
        <s v="Tina, Motor" u="1"/>
        <s v="Llave, Balanza, Perno" u="1"/>
        <s v="Producto, Perno" u="1"/>
        <s v="Faja, Plato, Producto" u="1"/>
        <s v="Producto, Manguera" u="1"/>
        <s v="Faja, Pasta, Gomas" u="1"/>
        <s v="Aditivo, Faja" u="1"/>
        <s v="Banda, Faja, Perno, Variador " u="1"/>
        <s v="Cuchilla, Planchas, Plancha De Sellado" u="1"/>
        <s v="Faja, Variador " u="1"/>
        <s v="Faja, Perno, Rosca" u="1"/>
        <s v="Pasta, Gomas, Producto" u="1"/>
        <s v="A5" u="1"/>
        <s v="A5, A530" u="1"/>
        <s v="A5, A530, Puerta" u="1"/>
        <s v="A5, A510" u="1"/>
        <s v="A5, A530, Pantalla" u="1"/>
        <s v="A5, A520" u="1"/>
        <s v="Producto, Sellado" u="1"/>
        <s v="Sellado" u="1"/>
        <s v="Banda, Sellado" u="1"/>
        <s v="Laminado, Sellado" u="1"/>
        <s v="Cuchilla, Sellado" u="1"/>
        <s v="Planchas, Plancha De Sellado, Sellado, Teflon" u="1"/>
        <s v="Resistencia, Sellado, Teflon" u="1"/>
        <s v="Gomas, Sellado" u="1"/>
        <s v="Bolsa/ Envoltura, Sellado" u="1"/>
        <s v="Cajas, Sellado" u="1"/>
        <s v="Disco, Laminado, Sellado" u="1"/>
        <s v="Faja, Laminado, Sellado" u="1"/>
        <s v="Planchas, Sellado" u="1"/>
        <s v="Parametros, Sellado" u="1"/>
        <s v="Disco, Sellado" u="1"/>
        <s v="Sellado, Tapa" u="1"/>
        <s v="Macula, Sellado" u="1"/>
        <s v="Laminado, Plegador, Sellado" u="1"/>
        <s v="Empaque, Sellado" u="1"/>
        <s v="Perno, Planchas, Plancha De Sellado, Sellado" u="1"/>
        <s v="Bobina, Sellado" u="1"/>
        <s v="Sellado, Sensor" u="1"/>
        <s v="Envoltura, Gomas, Sellado, Producto" u="1"/>
        <s v="Bolsa/ Envoltura, Planchas, Plancha De Sellado, Sellado" u="1"/>
        <s v="Piston(es), Perno, Sellado" u="1"/>
        <s v="Bobina, Producto, Sellado, Sensor" u="1"/>
        <s v="Planchas, Plancha De Sellado, Sellado" u="1"/>
        <s v="Plegador, Sellado" u="1"/>
        <s v="Cuchilla, Planchas, Plancha De Sellado, Sellado" u="1"/>
        <s v="Empaque, Producto, Sellado" u="1"/>
        <s v="Pistones, Sensor" u="1"/>
        <s v="Pistones" u="1"/>
        <s v="Ductos, Producto, Sellado" u="1"/>
        <s v="Guarda, Guardamotor, Motor" u="1"/>
        <s v="Agitador, Ductos, Producto, Tina" u="1"/>
        <s v="Cuchilla, Gomas, Pinzas, Pasta" u="1"/>
        <s v="Banda, Ductos, Producto" u="1"/>
        <s v="Producto, Mica" u="1"/>
        <s v="Pinzas, Pasta" u="1"/>
        <s v="Resorte, Pedal" u="1"/>
        <s v="Ductos, Empaque, Producto" u="1"/>
        <s v="Filtro, Guarda, Polin De Arrastre" u="1"/>
        <s v="Mica" u="1"/>
        <s v="Ductos, Producto, Sensor" u="1"/>
        <s v="Ductos, Faja, Producto" u="1"/>
        <s v="Ductos, Envoltura, Producto" u="1"/>
        <s v="Planchas, Sellado, Teflon, Plancha De Sellado" u="1"/>
        <s v="Bolsa/ Envoltura, Ductos, Producto" u="1"/>
        <s v="Banda, Tina" u="1"/>
        <s v="Ductos, Empujador, Plegador, Producto" u="1"/>
        <s v="Faja, Producto, Tuberias" u="1"/>
        <s v="Ductos, Empujador, Producto, Sensor" u="1"/>
        <s v="Banda, Guarda" u="1"/>
        <s v="Ductos, Iman, Producto" u="1"/>
        <s v="Pistones, Planchas" u="1"/>
        <s v="Patrones, Mica" u="1"/>
        <s v="Sensor, Seguro" u="1"/>
        <s v="Pistones, Puerta" u="1"/>
        <s v="Ductos, Producto, Tuberias" u="1"/>
        <s v="Bobina, Ductos, Producto" u="1"/>
        <s v="Banda, Ductos, Guias, Producto" u="1"/>
        <s v="Bolsa/ Envoltura, Cuchilla, Sensor, Macula" u="1"/>
        <s v="Ventilador, Pasta" u="1"/>
        <s v="Banda, Guarda, Rascador, Tapa" u="1"/>
        <s v="Guarda, Guias, Tapa" u="1"/>
        <s v="Ductos, Guias, Producto" u="1"/>
        <s v="Empaque, Laminado, Tina" u="1"/>
        <s v="Puerta, Tina" u="1"/>
        <s v="Banda, Ductos, Producto, Sensor" u="1"/>
        <s v="Guarda, Polin De Arrastre" u="1"/>
        <s v="Ductos, Faja, Filtro, Producto" u="1"/>
        <s v="Cuchilla, Ductos, Producto" u="1"/>
        <s v="Guias, Tina" u="1"/>
        <s v="Ductos, Elevador, Mordaza, Planchas, Producto" u="1"/>
        <s v="Ductos, Empaque, Producto, Teflon" u="1"/>
        <s v="Ductos, Gomas, Producto, Sensor" u="1"/>
        <s v="Ductos, Pinzas, Producto" u="1"/>
        <s v="Ductos, Mordaza, Producto" u="1"/>
        <s v="Ductos, Empaque, Gomas, Producto" u="1"/>
        <s v="Sensor, Macula" u="1"/>
        <s v="Puerta, Ventana, Seguro" u="1"/>
        <s v="Guarda, Seguro" u="1"/>
        <s v="Ductos, Producto, Producto, Sensor" u="1"/>
        <s v="Ductos, Laminado, Producto" u="1"/>
        <s v="Parametros, Sellado, Tina" u="1"/>
        <s v="Plato, Pasta" u="1"/>
        <s v="Ductos, Empujador, Producto" u="1"/>
        <s v="Dientes, Pistola De Aire, Patrones, Mica" u="1"/>
        <s v="Empaque, Tina" u="1"/>
        <s v="Gomas, Pinzas, Pasta" u="1"/>
        <s v="Ductos, Plegador, Producto" u="1"/>
        <s v="Sellado, Macula" u="1"/>
        <s v="Faja, Perno, Polin De Arrastre, Tina" u="1"/>
        <s v="Actuadores, Guarda" u="1"/>
        <s v="Canaletas, Ductos, Guias, Producto, Sensor" u="1"/>
        <s v="Guarda, Perno, Sensor, Teflon, Tuerca" u="1"/>
        <s v="Compuerta, Pantalla, Puerta, Tina" u="1"/>
        <s v="Sensor, Tina" u="1"/>
        <s v="Cajas, Ductos, Producto" u="1"/>
        <s v="Actuadores, Valvula" u="1"/>
        <s v="Perno, Planchas, Sellado, Plancha De Sellado" u="1"/>
        <s v="Husillo, Pistones" u="1"/>
        <s v="Guarda, Rascador" u="1"/>
        <s v="Tapa, Seguro" u="1"/>
        <s v="Bobina, Faja, Polin De Arrastre" u="1"/>
        <s v="Faja, Gomas, Producto, Sensor" u="1"/>
        <s v="Envoltura, Gomas, Producto, Sellado" u="1"/>
        <s v="Guarda, Guias" u="1"/>
        <s v="Empaque, Pantalla, Pinzas, Pasta" u="1"/>
        <s v="Bolsa/ Envoltura, Planchas, Sellado, Plancha De Sellado" u="1"/>
        <s v="Ductos, Gomas, Producto" u="1"/>
        <s v="Ductos, Faja, Malla, Producto" u="1"/>
        <s v="Faja, Guarda, Sensor" u="1"/>
        <s v="Bobina, Ductos, Envoltura, Gomas, Plegador, Producto" u="1"/>
        <s v="Actuadores, Ductos, Producto" u="1"/>
        <s v="Ductos, Producto, Virutas" u="1"/>
        <s v="Ductos, Producto, Soplador" u="1"/>
        <s v="Ductos, Envoltura, Laminado, Producto, Sensor" u="1"/>
        <s v="Ductos, Producto, Tina" u="1"/>
        <s v="Laminado, Pinzas, Pasta" u="1"/>
        <s v="Guarda, Mordaza" u="1"/>
        <s v="Guarda, Planchas" u="1"/>
        <s v="Gomas, Rosca, Pasta" u="1"/>
        <s v="Ductos, Gomas, Pinzas, Producto" u="1"/>
        <s v="Ductos, Guias, Producto, Sensor" u="1"/>
        <s v="Cajas, Ductos" u="1"/>
        <s v="Faja, Guarda" u="1"/>
        <s v="Perno, Pistones, Sellado" u="1"/>
        <s v="Perno, Pedal" u="1"/>
        <s v="Empaque, Pistones" u="1"/>
        <s v="Ductos, Empujador, Mordaza, Producto" u="1"/>
        <s v="Disco, Ductos, Mesa, Producto" u="1"/>
        <s v="Bobina, Ductos, Producto, Sellado, Sensor" u="1"/>
        <s v="Perno, Tuerca, Embrague" u="1"/>
        <s v="Banda, Ductos, Producto, Pasta" u="1"/>
        <s v="Ductos, Faja, Planchas, Producto" u="1"/>
        <s v="Ductos, Mandril, Producto" u="1"/>
        <s v="Elevador, Cilindro" u="1"/>
        <s v="Faja, Guarda, Guardamotor, Motor" u="1"/>
        <s v="Ductos, Envoltura, Gomas, Producto, Sensor" u="1"/>
        <s v="Ductos, Producto, Valvula" u="1"/>
        <s v="Angulo" u="1"/>
        <s v="Bomba , Ductos, Elevador, Mesa, Producto" u="1"/>
        <s v="Planchas, Sellado, Plancha De Sellado" u="1"/>
        <s v="Ductos, Laminado, Producto, Sensor" u="1"/>
        <s v="Balanza, Perno" u="1"/>
        <s v="Ductos, Guias, Perno, Producto" u="1"/>
        <s v="Tuberias, Mica" u="1"/>
        <s v="Ductos, Producto, Tolva" u="1"/>
        <s v="Ductos, Faja, Plato, Producto" u="1"/>
        <s v="Bomba , Ductos, Producto, Producto, Tuberias" u="1"/>
        <s v="Faja, Gomas, Pasta" u="1"/>
        <s v="Cuchilla, Ductos, Envoltura, Producto, Producto" u="1"/>
        <s v="Cuchilla, Planchas, Sellado, Plancha De Sellado" u="1"/>
        <s v="Ductos, Parametros, Producto" u="1"/>
        <s v="Ductos, Empaque, Producto, Sellado" u="1"/>
        <s v="Bobina, Tina, Virutas" u="1"/>
      </sharedItems>
    </cacheField>
    <cacheField name="PARTE" numFmtId="0">
      <sharedItems count="174">
        <s v=""/>
        <s v="Mds"/>
        <s v="Columna"/>
        <s v="Tanque"/>
        <s v="Extension"/>
        <s v="Tanque, Temperadora"/>
        <s v="Tunel De Enfriamiento"/>
        <s v="Camara De Temperado"/>
        <s v="Dosificador"/>
        <s v="Robot"/>
        <s v="Intercambiador De Moldes"/>
        <s v="Temperadora"/>
        <s v="Sammfill"/>
        <s v="Codificador"/>
        <s v="Dosificador, Mds"/>
        <s v="Contraelevador"/>
        <s v="Columna, Temperadora"/>
        <s v="Vibradora"/>
        <s v="Preenfriamiento"/>
        <s v="Sammfill, Extension"/>
        <s v="Columna, Tanque, Temperadora"/>
        <s v="Sammfill, Temperadora"/>
        <s v="Codificador, Impresora"/>
        <s v="Impresora"/>
        <s v="Sammfill, Columna"/>
        <s v="Camara De Temperado, Climatizador"/>
        <s v="Horno"/>
        <s v="Climatizador"/>
        <s v="Unibath*" u="1"/>
        <s v="Intercambiador De Vacio" u="1"/>
        <s v="Dosificador, Robot" u="1"/>
        <s v="Sammfill, Tanque" u="1"/>
        <s v="Preenfriamiento, Tunel De Enfriamiento" u="1"/>
        <s v="Modulo De Corte" u="1"/>
        <s v="Columna, Tanque" u="1"/>
        <s v="Temperadora, Tunel De Enfriamiento" u="1"/>
        <s v="Dosificador, Sammfill" u="1"/>
        <s v="Codificador, Temperadora" u="1"/>
        <s v="Sammfill, Dosificador" u="1"/>
        <s v="Robot, Columna" u="1"/>
        <s v="Mds, Tunel De Enfriamiento" u="1"/>
        <s v="Sistema Neumatico" u="1"/>
        <s v="Sammfill, Dosificador, Extension" u="1"/>
        <s v="Dosificador, Intercambiador De Moldes" u="1"/>
        <s v="Unidad De Enfriamiento" u="1"/>
        <s v="Mesa De Enfriamiento " u="1"/>
        <s v="Extension, Sammfill" u="1"/>
        <s v="Robot, Temperadora" u="1"/>
        <s v="Sammfill, Columna, Temperadora" u="1"/>
        <s v="Mds, Temperadora" u="1"/>
        <s v="Temperadora, Unidad De Enfriamiento" u="1"/>
        <s v="Robatech" u="1"/>
        <s v="Extension, Tunel De Enfriamiento" u="1"/>
        <s v="Dosificador, Tanque" u="1"/>
        <s v="Intercambiador De Moldes, Moldes" u="1"/>
        <s v="Moldes, Robot" u="1"/>
        <s v="Moldes" u="1"/>
        <s v="Transmisión" u="1"/>
        <s v="Elevador" u="1"/>
        <s v="Cadena" u="1"/>
        <s v="Sellador" u="1"/>
        <s v="Quemador, Sellador" u="1"/>
        <s v="Quemador" u="1"/>
        <s v="Tanque, Temperadora, Transmisión" u="1"/>
        <s v="Contraelevador, Elevador" u="1"/>
        <s v="Rascador" u="1"/>
        <s v="Columna, Moldes" u="1"/>
        <s v="Moldes, Vibradora" u="1"/>
        <s v="Expulsador" u="1"/>
        <s v="Tensador" u="1"/>
        <s v="Cadena, Horno" u="1"/>
        <s v="Rascador, Sammfill" u="1"/>
        <s v="UPS" u="1"/>
        <s v="Bastonador" u="1"/>
        <s v="Dosificador, Extension, Sammfill" u="1"/>
        <s v="Dosificador, Intercambiador De Moldes, Moldes" u="1"/>
        <s v="Sellador, Unidad De Enfriamiento" u="1"/>
        <s v="Abrefacil" u="1"/>
        <s v="Cadena, Columna" u="1"/>
        <s v="Abrefacil, Sellador" u="1"/>
        <s v="Cadena, Columna, Moldes" u="1"/>
        <s v="Mds, Moldes" u="1"/>
        <s v="Cadena, Rascador" u="1"/>
        <s v="Columna, Sammfill, Temperadora" u="1"/>
        <s v="Extension, Rascador" u="1"/>
        <s v="Criba" u="1"/>
        <s v="Cadena, Columna, Transmisión" u="1"/>
        <s v="Cadena, Moldes" u="1"/>
        <s v="Columna, Rascador" u="1"/>
        <s v="Quemador, Tanque" u="1"/>
        <s v="Moldes, Rascador" u="1"/>
        <s v="Elevador, Moldes" u="1"/>
        <s v="Dosificador, Moldes, Robot" u="1"/>
        <s v="Quemador, Sammfill, Tanque" u="1"/>
        <s v="Moldes, Intercambiador De Moldes, Intercambiador De Moldes" u="1"/>
        <s v="Robot, Moldes" u="1"/>
        <s v="Temperadora, Columna" u="1"/>
        <s v="Sellador, Quemador" u="1"/>
        <s v="Transmisión, Temperadora, Tanque" u="1"/>
        <s v="Elevador, Contraelevador" u="1"/>
        <s v="Mds, Dosificador" u="1"/>
        <s v="Tunel De Enfriamiento, Mds" u="1"/>
        <s v="Vibradora, Moldes" u="1"/>
        <s v="Temperadora, Tanque" u="1"/>
        <s v="Horno, Cadena" u="1"/>
        <s v="Extension, Dosificador, Sammfill" u="1"/>
        <s v="Tunel De Enfriamiento, Preenfriamiento" u="1"/>
        <s v="Moldes, Intercambiador De Moldes, Dosificador, Intercambiador De Moldes" u="1"/>
        <s v="Unidad De Enfriamiento, Sellador" u="1"/>
        <s v="Columna, Cadena" u="1"/>
        <s v="Sellador, Abrefacil" u="1"/>
        <s v="Columna, Moldes, Cadena" u="1"/>
        <s v="Moldes, Mds" u="1"/>
        <s v="Rascador, Cadena" u="1"/>
        <s v="Temperadora, Robot" u="1"/>
        <s v="Temperadora, Columna, Sammfill" u="1"/>
        <s v="Temperadora, Mds" u="1"/>
        <s v="Unidad De Enfriamiento, Temperadora" u="1"/>
        <s v="Rascador, Extension" u="1"/>
        <s v="Moldes, Intercambiador De Moldes" u="1"/>
        <s v="Transmisión, Columna, Cadena" u="1"/>
        <s v="Moldes, Cadena" u="1"/>
        <s v="Tunel De Enfriamiento, Extension" u="1"/>
        <s v="Tanque, Dosificador" u="1"/>
        <s v="Tanque, Quemador" u="1"/>
        <s v="Rascador, Moldes" u="1"/>
        <s v="Moldes, Elevador" u="1"/>
        <s v="Temperadora, Sammfill" u="1"/>
        <s v="Robot, Moldes, Dosificador" u="1"/>
        <s v="Tanque, Sammfill, Quemador" u="1"/>
        <s v="B2, Intercambiador De Moldes, Intercambiador De Moldes, Moldes" u="1"/>
        <s v="B6" u="1"/>
        <s v="B7, B8" u="1"/>
        <s v="B8" u="1"/>
        <s v="Intercambiador De Moldes, Intercambiador De Moldes, Moldes" u="1"/>
        <s v="A530, A530" u="1"/>
        <s v="Horno, Horno" u="1"/>
        <s v="Empujador, Empujador" u="1"/>
        <s v="B6, Moldes" u="1"/>
        <s v="B7" u="1"/>
        <s v="P21" u="1"/>
        <s v="B1" u="1"/>
        <s v="Cadena, Horno, Horno" u="1"/>
        <s v="B8, Moldes" u="1"/>
        <s v="B7, Moldes" u="1"/>
        <s v="Dosificador, Sammfill, Sammfill" u="1"/>
        <s v="Sammfill, Sammfill" u="1"/>
        <s v="B530, Moldes" u="1"/>
        <s v="B2" u="1"/>
        <s v="Dosificador, Empujador, Empujador" u="1"/>
        <s v="Dosificador, Intercambiador De Moldes, Intercambiador De Moldes, Moldes, Sammfill" u="1"/>
        <s v="Empujador, Empujador, Moldes" u="1"/>
        <s v="Cadena, Columna, Empujador, Empujador" u="1"/>
        <s v="Cadena, Empujador, Empujador" u="1"/>
        <s v="A13" u="1"/>
        <s v="B530, Columna" u="1"/>
        <s v="A19" u="1"/>
        <s v="C1" u="1"/>
        <s v="C4" u="1"/>
        <s v="Extension, Sammfill, Sammfill" u="1"/>
        <s v="A14" u="1"/>
        <s v="A24" u="1"/>
        <s v="A10" u="1"/>
        <s v="A530, A530, Moldes" u="1"/>
        <s v="B2, B23" u="1"/>
        <s v="B2, B6, Extension" u="1"/>
        <s v="A510, Moldes" u="1"/>
        <s v="A510" u="1"/>
        <s v="A10, Moldes" u="1"/>
        <s v="B2, Elevador, Moldes" u="1"/>
        <s v="A10, Empujador, Empujador" u="1"/>
        <s v="B1, B12, Empujador, Empujador" u="1"/>
        <s v="Sammfill, Sammfill, Temperadora" u="1"/>
        <s v="Sammfill, Sammfill, Tanque, Quemador" u="1"/>
      </sharedItems>
    </cacheField>
    <cacheField name="PARTE 1" numFmtId="0">
      <sharedItems/>
    </cacheField>
    <cacheField name="PARTE 2" numFmtId="0">
      <sharedItems/>
    </cacheField>
    <cacheField name="PARTE 3" numFmtId="0">
      <sharedItems/>
    </cacheField>
    <cacheField name="DETALLE" numFmtId="0">
      <sharedItems count="864">
        <s v=""/>
        <s v="Filtracion, Sustitucion"/>
        <s v="Cambio De Formato"/>
        <s v="Ruido"/>
        <s v="Dañado, Sustitucion"/>
        <s v="Detenido, Detenido"/>
        <s v="Error"/>
        <s v="Calibracion, Laminado"/>
        <s v="Desalineado"/>
        <s v="No Responde"/>
        <s v="Alarma"/>
        <s v="Con Agujeros"/>
        <s v="No Corta"/>
        <s v="Abierto"/>
        <s v="Sustitucion"/>
        <s v="Calibracion, Nivel"/>
        <s v="Nivel"/>
        <s v="Obstruido, Ruido"/>
        <s v="Fuga"/>
        <s v="Demora, Temperatura"/>
        <s v="No Imprime"/>
        <s v="No Inicia"/>
        <s v="Con Oxido"/>
        <s v="Doblada, Rajadura"/>
        <s v="Rotura"/>
        <s v="Bloqueado"/>
        <s v="Fuera De Posicion, Soltura"/>
        <s v="Presencia De Grasa"/>
        <s v="Calibracion"/>
        <s v="No Sella"/>
        <s v="No Enciende, Reset, Vibracion"/>
        <s v="Acumulacion De Producto"/>
        <s v="Juntos"/>
        <s v="Fuera De Posicion"/>
        <s v="Desmolde"/>
        <s v="Desgaste, Soltura"/>
        <s v="Dañado, Obstruido"/>
        <s v="No Avanza"/>
        <s v="Carga/descarga"/>
        <s v="Cambio De Formato, Sustitucion"/>
        <s v="Mancha Etiquetas"/>
        <s v="No Gira, Rotura"/>
        <s v="Laminado, No Corta"/>
        <s v="No Arrastra"/>
        <s v="Lubricacion"/>
        <s v="Dañado, Falla De Presion"/>
        <s v="Calibracion, Colision, Descalibrado"/>
        <s v="Alimentacion Obstruida, Dañado"/>
        <s v="Sustitucion, Temperatura"/>
        <s v="Soltura"/>
        <s v="Laminado"/>
        <s v="Laminado, Soltura, Vibracion"/>
        <s v="No Cae Producto"/>
        <s v="Alarma, Falla De Presion, No Enciende"/>
        <s v="Obstruido"/>
        <s v="Colision, Falla De Presion"/>
        <s v="Borrosa, Falla De Presion"/>
        <s v="Altura, Expulsion"/>
        <s v="No Enciende"/>
        <s v="Bloqueado, No Cae Producto"/>
        <s v="Goteo"/>
        <s v="Bloqueado, Falla De Presion, Rotura"/>
        <s v="Sellado"/>
        <s v="Ruido, Temperatura, Temperatura"/>
        <s v="Humedad, Se Tapo"/>
        <s v="Temperatura, Temperatura"/>
        <s v="Muy Frio"/>
        <s v="Bloqueado, Falla De Presion"/>
        <s v="Dañado, No Gira, Ruido"/>
        <s v="Fuga, Fuga De Chocolate"/>
        <s v="Expulsion, Falla En Velocid*, Velocidad"/>
        <s v="Desalineado, Obstruido"/>
        <s v="Desgaste"/>
        <s v="No Dosifica"/>
        <s v="Alimentacion Obstruida, Calibracion, Desajustado, Soltura"/>
        <s v="Muy Frio, Rotura"/>
        <s v="Desalineado, Soltura"/>
        <s v="Alta Temperatura, Rotura"/>
        <s v="Fuga, Lubricacion"/>
        <s v="Quemado"/>
        <s v="Dañado, Laminado"/>
        <s v="Laminado, Rotura"/>
        <s v="Borrosa"/>
        <s v="No Codifica"/>
        <s v="No Recircula"/>
        <s v="Dañado"/>
        <s v="Rotura, Carga/descarga"/>
        <s v="Con Restos"/>
        <s v="Calibracion, Desajustado, Soltura"/>
        <s v="Rotura, Ruido"/>
        <s v="Ruido, Soltura"/>
        <s v="Apagado"/>
        <s v="Calibracion, Falla De Presion"/>
        <s v="Calibracion, Cambio De Formato"/>
        <s v="Sobretorque"/>
        <s v="Vibracion"/>
        <s v="Temperatura"/>
        <s v="Amarrado, Desalineado, Soltura"/>
        <s v="Calibracion, Sellado"/>
        <s v="Calibracion, Dañado"/>
        <s v="Apagado, Rotura"/>
        <s v="Fuera De Posicion, Fuera De Tiempo"/>
        <s v="Alimentacion Obstruida"/>
        <s v="Falla En Velocid*, Velocidad"/>
        <s v="Demora, Lento, Muy Lento"/>
        <s v="Expulsion"/>
        <s v="Volteado"/>
        <s v="Desalineado, Desalineado, Carga/descarga"/>
        <s v="Falla De Presion"/>
        <s v="Error, Falla De Presion, No Inicia"/>
        <s v="Abierto, Sellado"/>
        <s v="Calibracion, Desajustado, Sustitucion"/>
        <s v="Calibracion, Desalineado"/>
        <s v="Laminado, Soltura"/>
        <s v="Dañado, Golpea"/>
        <s v="Fuga, Fuga De Agua"/>
        <s v="Desgaste, Desgaste"/>
        <s v="Seco, Temperatura"/>
        <s v="Alimentacion Obstruida, Detenido"/>
        <s v="Alarma, Calibracion, Nivel"/>
        <s v="Calibracion, Calibracion"/>
        <s v="Colision, Rotura"/>
        <s v="No Sella, Sellado"/>
        <s v="No Tempera"/>
        <s v="Detenido"/>
        <s v="Alarma, Baja Temperatura"/>
        <s v="Golpea"/>
        <s v="Altura, Sellado"/>
        <s v="Incorrecto, Temperatura, Temperatura"/>
        <s v="Demora"/>
        <s v="Soltura, Sustitucion"/>
        <s v="Apagado, Seco"/>
        <s v="Expuesto"/>
        <s v="Se cae"/>
        <s v="Setup"/>
        <s v="Bajo Nivel, Nivel"/>
        <s v="Bloqueado, Temperatura"/>
        <s v="Fuera De Posicion, No Retorna"/>
        <s v="Error, Sellado"/>
        <s v="Amarrado, Obstruido"/>
        <s v="Calibracion, Descalibrado, Soltura"/>
        <s v="Lento, Muy Lento, Obstruido"/>
        <s v="Se Tapo"/>
        <s v="Calibracion, Temperatura"/>
        <s v="Alimentacion Obstruida, Juntos"/>
        <s v="Calibracion, Desmolde"/>
        <s v="Altura, Calibracion, Cambio De Formato, Sellado"/>
        <s v="Mal Plegadas, No Sella"/>
        <s v="Mal Plegadas"/>
        <s v="No Sella, Se Pegan"/>
        <s v="Atrapado"/>
        <s v="No Corta, Sellado"/>
        <s v="No Enciende, Rotura"/>
        <s v="Laminado, No Arrastra"/>
        <s v="Obstruido, Suciedad"/>
        <s v="No Inicia, Carga/descarga"/>
        <s v="Amarrado, Rotura, Se Protege"/>
        <s v="Alarma, Nivel, Nivel Alto"/>
        <s v="Altura, Cambio De Formato, Falla En Velocid*, Velocidad"/>
        <s v="Alimentacion Obstruida, Laminado, No Corta"/>
        <s v="Colision, Doblada"/>
        <s v="Desmolde, Rotura"/>
        <s v="Filtracion"/>
        <s v="Calibracion, Lubricacion"/>
        <s v="Lento, Muy Lento, Muy Lento"/>
        <s v="Baja Temperatura, Temperatura"/>
        <s v="Lubricacion, Setup"/>
        <s v="Rotura, Rotura"/>
        <s v="Seco"/>
        <s v="Laminado, No Sube"/>
        <s v="Rotura, Sellado"/>
        <s v="Alimentacion Obstruida, Carga/descarga"/>
        <s v="Rotura, Soltura, Soltura"/>
        <s v="Ruido, Soltura, Soltura"/>
        <s v="Cambio De Formato, Lubricacion"/>
        <s v="Laminado, Sellado"/>
        <s v="Soltura, Carga/descarga"/>
        <s v="Colision"/>
        <s v="Rotura, Se cae"/>
        <s v="Alimentacion Obstruida, Ruido"/>
        <s v="Alarma, Nivel, Carga/descarga"/>
        <s v="Nivel, Sustitucion"/>
        <s v="Desalineado, Falla En Velocid*, Juntos, Velocidad"/>
        <s v="Cambio De Formato, Laminado"/>
        <s v="Fuera De Posicion, Se Pegan"/>
        <s v="Alarma, Lento, Muy Lento"/>
        <s v="Golpea, Laminado, Rotura, Ruido"/>
        <s v="Error, No Avanza"/>
        <s v="Desmolde, No Desmolda"/>
        <s v="Golpea, Ruido"/>
        <s v="No Corta, Obstruido"/>
        <s v="Fuga, Fuga De Aceite"/>
        <s v="Laminado, Rotura, Sellado"/>
        <s v="Dañado, Soltura"/>
        <s v="Amarrado"/>
        <s v="Laminado, Se Pegan"/>
        <s v="Arrugado"/>
        <s v="Dañado, Rotura"/>
        <s v="Dañado, Sellado"/>
        <s v="No Acciona, No Corta"/>
        <s v="Doblada, Laminado"/>
        <s v="Calibracion, Falla De Presion, Laminado"/>
        <s v="Colision, Desnivel, Nivel"/>
        <s v="Calibracion, Desajustado, Desalineado, Laminado, Rotura, Se Pegan, Sellado, Soltura"/>
        <s v="No Sella, Rotura"/>
        <s v="Alta Temperatura, Seco, Temperatura"/>
        <s v="Error, Lento, Muy Lento"/>
        <s v="Nivel, Temperatura"/>
        <s v="Fuga, Fuga De Aire, Rotura"/>
        <s v="Borrosa, Falla De Presion, Incompleto"/>
        <s v="Cambio De Formato, No Sella"/>
        <s v="Abierto, Alarma"/>
        <s v="Alimentacion Obstruida, Desgaste"/>
        <s v="Error, Mala Posicion"/>
        <s v="Colision, No Corta"/>
        <s v="Doblada"/>
        <s v="Amarrado, Cambio De Formato"/>
        <s v="Fuga, Fuga De Chocolate, Rotura"/>
        <s v="No Avanza, Carga/descarga"/>
        <s v="No Cae Producto, Rotura"/>
        <s v="Error, Fuera De Posicion, Fuera De Tiempo"/>
        <s v="Error, Vibracion"/>
        <s v="Calibracion, Carga/descarga"/>
        <s v="Cambio De Formato, Desalineado"/>
        <s v="Fuera De Posicion, Rotura, Se Pegan, Sellado"/>
        <s v="Sustitucion, Carga/descarga"/>
        <s v="Con Oxido, Error"/>
        <s v="Alarma, Ruido"/>
        <s v="Dañado, Carga/descarga"/>
        <s v="Se Pegan, Sellado"/>
        <s v="No Enciende, No Gira"/>
        <s v="Dañado, Fuga"/>
        <s v="Colision, Dañado"/>
        <s v="Mancha Etiquetas, No Pega, Obstruido, Volteado"/>
        <s v="Laminado, No Sella"/>
        <s v="Bajo Nivel, Nivel, Temperatura"/>
        <s v="Error, No Avanza, Obstruido"/>
        <s v="No Pega"/>
        <s v="Se Pegan"/>
        <s v="No Gira, Carga/descarga"/>
        <s v="Error, No Inicia"/>
        <s v="Desalineado, Laminado, No Corta"/>
        <s v="Alta Temperatura"/>
        <s v="No Corta, Rotura"/>
        <s v="Lento, Muy Lento"/>
        <s v="Calibracion, Dañado, Sustitucion"/>
        <s v="Calibracion, Doblada"/>
        <s v="Error, Flama, No Enciende"/>
        <s v="Bloqueado, Rotura"/>
        <s v="No Enciende, Quemado"/>
        <s v="Falsa Señal"/>
        <s v="Desalineado, Laminado"/>
        <s v="Falla De Presion, Nivel"/>
        <s v="Calibracion, Sustitucion"/>
        <s v="Fuga, Fuga De Aire, Temperatura, Temperatura"/>
        <s v="Desalineado, No Gira"/>
        <s v="Muy Duro"/>
        <s v="Driver, Error" u="1"/>
        <s v="Calibracion, Falla En Velocid*, Velocidad" u="1"/>
        <s v="No Gira" u="1"/>
        <s v="Enmicado" u="1"/>
        <s v="Apagado, Vibracion" u="1"/>
        <s v="Amarrado, No Gira" u="1"/>
        <s v="No Avanza, No Inicia" u="1"/>
        <s v="Calibracion, Soltura" u="1"/>
        <s v="Rajadura" u="1"/>
        <s v="Desmolde, Se cae" u="1"/>
        <s v="Dañado, No Corta" u="1"/>
        <s v="Detenido, Temperatura" u="1"/>
        <s v="Con Oxido, Desalineado" u="1"/>
        <s v="Acumulacion De Producto, Rotura" u="1"/>
        <s v="Error, Falla De Presion, No Responde" u="1"/>
        <s v="Alarma, Alta Temperatura" u="1"/>
        <s v="Colision, Laminado" u="1"/>
        <s v="Amarrado, Obstruido, Ruido, Seco, Temperatura" u="1"/>
        <s v="Laminado, No Corta, Rotura" u="1"/>
        <s v="Alarma, Nivel" u="1"/>
        <s v="Calibracion, Expulsion" u="1"/>
        <s v="Baja Temperatura" u="1"/>
        <s v="Humedad, No Enciende" u="1"/>
        <s v="Desgaste, Se cae" u="1"/>
        <s v="Error, Falla De Presion" u="1"/>
        <s v="No Enfria, Temperatura" u="1"/>
        <s v="Aplastamiento" u="1"/>
        <s v="Baja Temperatura, Temperatura, Temperatura" u="1"/>
        <s v="Detenido, Error, Obstruido, Ruido" u="1"/>
        <s v="Alarma, Temperatura" u="1"/>
        <s v="No Sella, Se Pegan, Sellado" u="1"/>
        <s v="Fuera De Posicion, Juntos" u="1"/>
        <s v="Error, No Gira" u="1"/>
        <s v="Chocolate Espeso" u="1"/>
        <s v="No Abre, Carga/descarga" u="1"/>
        <s v="No Abre" u="1"/>
        <s v="Desmolde, No Desmolda, Se cae" u="1"/>
        <s v="Dañado, No Sella" u="1"/>
        <s v="Rotura, Se Protege" u="1"/>
        <s v="No Corta, Sustitucion" u="1"/>
        <s v="Desalineado, Falla En Velocid*, Velocidad" u="1"/>
        <s v="No Cae Producto, Quemado" u="1"/>
        <s v="Detenido, Soltura" u="1"/>
        <s v="No Gira, Temperatura" u="1"/>
        <s v="Demora, Temperado" u="1"/>
        <s v="No Sube, Rotura" u="1"/>
        <s v="Alarma, Flama" u="1"/>
        <s v="Dañado, Error, Lento, Muy Lento" u="1"/>
        <s v="Con Virutas" u="1"/>
        <s v="Dañado, Laminado, No Corta" u="1"/>
        <s v="Fuga, Fuga De Aire" u="1"/>
        <s v="No Corta, No Sube, Sellado" u="1"/>
        <s v="Humedad, Seco" u="1"/>
        <s v="Calibracion, Desajustado" u="1"/>
        <s v="Error, Sobretorque" u="1"/>
        <s v="Desalineado, Suciedad" u="1"/>
        <s v="Lubricacion, Rotura" u="1"/>
        <s v="Laminado, Mal Sellado, Sellado" u="1"/>
        <s v="Abierto, Mal Colocado, Mala Posicion, Sellado" u="1"/>
        <s v="Desmolde, Juntos" u="1"/>
        <s v="Bloqueado, No Sube" u="1"/>
        <s v="Dañado, Filtracion, Rotura" u="1"/>
        <s v="Con Huecos, Mal Sellado, Rotura, Sellado" u="1"/>
        <s v="Acumulacion De Producto, Fuera De Posicion" u="1"/>
        <s v="Dañado, Juntos" u="1"/>
        <s v="Obstruido, Sobretorque" u="1"/>
        <s v="Dañado, Rajadura" u="1"/>
        <s v="Lubricacion, Sustitucion" u="1"/>
        <s v="No Corta, Ruido" u="1"/>
        <s v="Soltura, Temperatura" u="1"/>
        <s v="Sellado, Suciedad" u="1"/>
        <s v="Colision, Error" u="1"/>
        <s v="Fuga, Nivel" u="1"/>
        <s v="Fuera De Posicion, Temperatura" u="1"/>
        <s v="Mal Sellado, Sellado" u="1"/>
        <s v="Muy Duro, No Corta" u="1"/>
        <s v="Con Agujeros, Sellado" u="1"/>
        <s v="Alarma, Rotura" u="1"/>
        <s v="Calibracion, Fuga, Fuga De Chocolate" u="1"/>
        <s v="Detenido, Detenido, No Avanza" u="1"/>
        <s v="Desalineado, No Corta" u="1"/>
        <s v="Desalineado, Detenido" u="1"/>
        <s v="Doblada, No Sella" u="1"/>
        <s v="Detenido, No Avanza" u="1"/>
        <s v="No Avanza, No Avanza" u="1"/>
        <s v="Desalineado, No Avanza" u="1"/>
        <s v="Mal Plegadas, Ruido" u="1"/>
        <s v="No Cae Producto, Temperatura" u="1"/>
        <s v="Apagado, No Responde" u="1"/>
        <s v="Obstruccion" u="1"/>
        <s v="No Corta, No Inicia" u="1"/>
        <s v="Detenido, No Corta" u="1"/>
        <s v="Golpea, Sellado" u="1"/>
        <s v="Alta Temperatura, No Enfria, Temperatura" u="1"/>
        <s v="No Acciona" u="1"/>
        <s v="Lento, Muy Lento, Obstruido, Ruido" u="1"/>
        <s v="Rotura, Se Pegan" u="1"/>
        <s v="Mal Plegadas, Se Pegan" u="1"/>
        <s v="Reset" u="1"/>
        <s v="Detenido, Juntos" u="1"/>
        <s v="Golpea, Juntos, Sellado" u="1"/>
        <s v="Amarrado, Carga/descarga" u="1"/>
        <s v="Calibracion, Descalibrado" u="1"/>
        <s v="Mala Posicion" u="1"/>
        <s v="No Avanza, Temperatura" u="1"/>
        <s v="Calibracion, Fuga, Fuga De Agua" u="1"/>
        <s v="Altura, Desalineado" u="1"/>
        <s v="No Avanza, No Corta" u="1"/>
        <s v="Altura" u="1"/>
        <s v="Alimentacion Obstruida, No Avanza" u="1"/>
        <s v="Lento, Muy Lento, No Gira" u="1"/>
        <s v="Laminado, Rotura, Ruido" u="1"/>
        <s v="Fuera De Posicion, Rotura, Soltura" u="1"/>
        <s v="No Gira, Soltura" u="1"/>
        <s v="Error, Falla En Velocid*, Fuera De Posicion, Velocidad" u="1"/>
        <s v="Sellado, Setup" u="1"/>
        <s v="Doblada, Soltura" u="1"/>
        <s v="Obstruido, Ruido, Carga/descarga" u="1"/>
        <s v="Rebose" u="1"/>
        <s v="No Sube, Temperatura" u="1"/>
        <s v="No Enciende, Carga/descarga" u="1"/>
        <s v="Con Huecos, Rotura, Sellado" u="1"/>
        <s v="Incorrecto" u="1"/>
        <s v="Abierto, Error, No Inicia" u="1"/>
        <s v="Error, Fuera De Posicion" u="1"/>
        <s v="No Enciende, Temperatura" u="1"/>
        <s v="Alarma, Fuera De Posicion" u="1"/>
        <s v="Abierto, Apagado, Fuera De Posicion" u="1"/>
        <s v="No Gira, Vibracion" u="1"/>
        <s v="Con Virutas, Laminado" u="1"/>
        <s v="Falla En Velocid*, No Corta, Velocidad" u="1"/>
        <s v="No Avanza, No Enciende" u="1"/>
        <s v="Dañado, Rescate De Personal Tercero, Sustitucion" u="1"/>
        <s v="Juntos, Rotura" u="1"/>
        <s v="Quemado, Sellado, Suciedad" u="1"/>
        <s v="Dañado, Setup" u="1"/>
        <s v="Mal Sellado, Rotura, Sellado" u="1"/>
        <s v="Bloqueado, No Responde" u="1"/>
        <s v="Alimentacion Obstruida, Calibracion, Expulsion" u="1"/>
        <s v="Fuga, Fuga De Agua, Soltura" u="1"/>
        <s v="Suciedad" u="1"/>
        <s v="Calibracion, Lento, Muy Lento" u="1"/>
        <s v="Error, Rotura, Se Protege, Temperatura" u="1"/>
        <s v="Laminado, Ruido, Vibracion" u="1"/>
        <s v="Desgaste, Sustitucion" u="1"/>
        <s v="Detenido, No Gira" u="1"/>
        <s v="Con Huecos, Rotura" u="1"/>
        <s v="Falla De Presion, Rotura, Se Protege" u="1"/>
        <s v="Calibracion, Desajustado, Fuera De Posicion" u="1"/>
        <s v="Altura, Calibracion, Falla De Presion" u="1"/>
        <s v="Alimentacion Obstruida, Fuga" u="1"/>
        <s v="Se Pegan, Soltura" u="1"/>
        <s v="Error, Laminado" u="1"/>
        <s v="Alimentacion Obstruida, Laminado" u="1"/>
        <s v="Calibracion, Setup" u="1"/>
        <s v="Con Virutas, No Corta" u="1"/>
        <s v="Desgaste, Fuga, Fuga De Aire, Ruido" u="1"/>
        <s v="Borrosa, Incompleto" u="1"/>
        <s v="Desalineado, Rotura" u="1"/>
        <s v="Sellado, Soltura" u="1"/>
        <s v="Alarma, No Avanza" u="1"/>
        <s v="Apagado, Fuera De Posicion" u="1"/>
        <s v="No Enciende, Seco" u="1"/>
        <s v="Calibracion, Laminado, Setup" u="1"/>
        <s v="No Sube" u="1"/>
        <s v="Abierto, Laminado, No Sella" u="1"/>
        <s v="Cambio De Formato, No Dosifica" u="1"/>
        <s v="Abierto, Laminado, Rotura" u="1"/>
        <s v="Abierto, Laminado" u="1"/>
        <s v="Sellado, Sustitucion" u="1"/>
        <s v="No Tempera, Temperatura" u="1"/>
        <s v="Laminado, No Avanza" u="1"/>
        <s v="Calibracion, No Sella" u="1"/>
        <s v="Incompleto" u="1"/>
        <s v="Desgaste, Lubricacion, Rotura, Ruido, Se cae" u="1"/>
        <s v="Calibracion, Descalibrado, Laminado, Sellado" u="1"/>
        <s v="Incompleto, Mancha Etiquetas" u="1"/>
        <s v="Sellado, Temperatura, Temperatura" u="1"/>
        <s v="Arrugado, No Sella, Sellado" u="1"/>
        <s v="Bloqueado, Temperatura, Temperatura" u="1"/>
        <s v="Enrollado" u="1"/>
        <s v="Laminado, Ruido" u="1"/>
        <s v="Enrollado, Laminado" u="1"/>
        <s v="Rotura, Soltura" u="1"/>
        <s v="No Gira, Obstruido, Ruido" u="1"/>
        <s v="Desalineado, Ruido" u="1"/>
        <s v="Borrosa, No Imprime" u="1"/>
        <s v="Humedad" u="1"/>
        <s v="Flama" u="1"/>
        <s v="Fuera De Posicion, Rotura" u="1"/>
        <s v="Expuesto, Fuera De Posicion" u="1"/>
        <s v="Doblada, Mala Posicion" u="1"/>
        <s v="Calibracion, Vibracion" u="1"/>
        <s v="Dañado, Lubricacion, Sustitucion" u="1"/>
        <s v="Altura, Calibracion, Laminado" u="1"/>
        <s v="Altura, Falla En Velocid*, Velocidad" u="1"/>
        <s v="Lento, Muy Lento, Obstruido, Ruido, Carga/descarga" u="1"/>
        <s v="Obstruido, Carga/descarga" u="1"/>
        <s v="Goteo, Temperatura" u="1"/>
        <s v="Lubricacion, Soltura" u="1"/>
        <s v="Setup, Sustitucion" u="1"/>
        <s v="No Codifica, Rotura" u="1"/>
        <s v="Falla En Velocid*, Sellado, Velocidad" u="1"/>
        <s v="No Retorna, Obstruido" u="1"/>
        <s v="No Corta, No Sube" u="1"/>
        <s v="Error, Rotura" u="1"/>
        <s v="Abierto, Ruido" u="1"/>
        <s v="Detenido, Obstruido" u="1"/>
        <s v="Detenido, Lento, Muy Lento, Muy Lento, No Avanza" u="1"/>
        <s v="Colision, Soltura" u="1"/>
        <s v="Falla De Presion, Rotura" u="1"/>
        <s v="Juntos, Sellado" u="1"/>
        <s v="Alarma, Apagado, Rotura" u="1"/>
        <s v="Alimentacion Obstruida, Sustitucion" u="1"/>
        <s v="Desalineado, Desgaste" u="1"/>
        <s v="Colision, Dañado, Error" u="1"/>
        <s v="Calibracion, Laminado, Sellado" u="1"/>
        <s v="Error, No Codifica" u="1"/>
        <s v="No Dosifica, Obstruido" u="1"/>
        <s v="Calibracion, Filtracion" u="1"/>
        <s v="Calibracion, Descalibrado, Desgaste" u="1"/>
        <s v="Obstruido, Soltura" u="1"/>
        <s v="Ruido, Carga/descarga" u="1"/>
        <s v="No Arrastra, Soltura" u="1"/>
        <s v="Calibracion, Descalibrado, Laminado, Obstruido" u="1"/>
        <s v="No Corta, Soltura" u="1"/>
        <s v="Fuera De Posicion, No Corta" u="1"/>
        <s v="Alarma, Desgaste" u="1"/>
        <s v="Filtracion, Fuga, Fuga De Aire" u="1"/>
        <s v="Seco, Sustitucion" u="1"/>
        <s v="Calibracion, Descalibrado, No Sella, Sellado" u="1"/>
        <s v="Arrugado, Laminado, Mal Sellado, Sellado" u="1"/>
        <s v="Lento, Muy Lento, Sellado" u="1"/>
        <s v="Falla De Presion, Temperatura" u="1"/>
        <s v="Colision, Laminado, Rotura" u="1"/>
        <s v="Juntos, Mala Posicion" u="1"/>
        <s v="Sustitucion, Sustitucion" u="1"/>
        <s v="Rotura, Sustitucion" u="1"/>
        <s v="Desalineado, Temperatura" u="1"/>
        <s v="Muy Frio, Temperatura" u="1"/>
        <s v="Filtracion, Juntos" u="1"/>
        <s v="Desgaste, Laminado, No Corta" u="1"/>
        <s v="Con Restos, Temperatura" u="1"/>
        <s v="Alta Temperatura, Incorrecto" u="1"/>
        <s v="Dañado, Desalineado" u="1"/>
        <s v="Fuga, Fuga De Agua, Carga/descarga" u="1"/>
        <s v="Alarma, Quemado" u="1"/>
        <s v="Mancha Etiquetas, Sellado" u="1"/>
        <s v="Apagado, Nivel" u="1"/>
        <s v="Mancha Etiquetas, No Corta" u="1"/>
        <s v="Rotura, Sellado, Temperatura, Temperatura" u="1"/>
        <s v="Error, Fuera De Posicion, Juntos" u="1"/>
        <s v="Dañado, Desgaste" u="1"/>
        <s v="Dañado, Vibracion" u="1"/>
        <s v="Desalineado, Desalineado" u="1"/>
        <s v="Alimentacion Obstruida, Desalineado" u="1"/>
        <s v="Error, Juntos" u="1"/>
        <s v="Calibracion, Calibracion, Cambio De Formato" u="1"/>
        <s v="Demora, Carga/descarga" u="1"/>
        <s v="Mal Plegadas, No Enciende" u="1"/>
        <s v="Dañado, Temperatura" u="1"/>
        <s v="Ruido, Vibracion" u="1"/>
        <s v="Fuga, Fuga De Aire, Carga/descarga" u="1"/>
        <s v="Desgaste, Desgaste, Carga/descarga" u="1"/>
        <s v="Alimentacion Obstruida, Setup" u="1"/>
        <s v="Con Virutas, Desalineado" u="1"/>
        <s v="Calibracion, Ruido" u="1"/>
        <s v="No Acciona, Carga/descarga" u="1"/>
        <s v="Error, No Imprime" u="1"/>
        <s v="No Dosifica, No Gira" u="1"/>
        <s v="Alimentacion Obstruida, Expuesto" u="1"/>
        <s v="Abierto, Con Oxido" u="1"/>
        <s v="Error, Muy Frio" u="1"/>
        <s v="Falla De Presion, Obstruido, Ruido" u="1"/>
        <s v="Desgaste, Enrollado" u="1"/>
        <s v="No Cae Producto, Temperatura, Temperatura" u="1"/>
        <s v="Golpea, No Corta, Ruido" u="1"/>
        <s v="Se cae, Soltura" u="1"/>
        <s v="Fuera De Posicion, Juntos, No Corta" u="1"/>
        <s v="Desmolde, Volteado" u="1"/>
        <s v="Quemado, Sellado" u="1"/>
        <s v="Laminado, Quemado" u="1"/>
        <s v="Filtracion, Obstruido, Ruido" u="1"/>
        <s v="No Gira, Seco" u="1"/>
        <s v="Cortocircuito" u="1"/>
        <s v="Mala Posicion, No Imprime" u="1"/>
        <s v="No Sella, Soltura" u="1"/>
        <s v="Calibracion, Descalibrado, Desgaste, Rotura" u="1"/>
        <s v="Arrugado, Obstruido" u="1"/>
        <s v="Mal Plegadas, No Corta, No Sella" u="1"/>
        <s v="Alarma, Bajo Nivel, Nivel" u="1"/>
        <s v="Con Restos, Rotura" u="1"/>
        <s v="Con Restos, Falla En Velocid*, No Avanza, Velocidad" u="1"/>
        <s v="Con Restos, Expulsion" u="1"/>
        <s v="Error, Soltura" u="1"/>
        <s v="Laminado, Mal Plegadas" u="1"/>
        <s v="Arrugado, Laminado" u="1"/>
        <s v="No Retorna" u="1"/>
        <s v="Muy Duro, Seco" u="1"/>
        <s v="Desalineado, Error" u="1"/>
        <s v="No Avanza, No Tempera, Ruido" u="1"/>
        <s v="Lento, Muy Lento, Ruido" u="1"/>
        <s v="Detenido, No Tempera" u="1"/>
        <s v="No Enfria, Quemado, Temperatura" u="1"/>
        <s v="Mancha Etiquetas, Suciedad" u="1"/>
        <s v="Arrugado, No Corta" u="1"/>
        <s v="Golpea, Muy Rapido" u="1"/>
        <s v="No Avanza, Vibracion" u="1"/>
        <s v="Con Agujeros, Se Tapo" u="1"/>
        <s v="Error, No Enciende" u="1"/>
        <s v="Falla De Presion, Ruido" u="1"/>
        <s v="Amarrado, No Gira, Temperatura" u="1"/>
        <s v="Bajo Nivel, Nivel, No Enciende, Rotura" u="1"/>
        <s v="Desgaste, Rotura" u="1"/>
        <s v="Mancha Etiquetas, No Arrastra" u="1"/>
        <s v="Calibracion, Descalibrado, Obstruido" u="1"/>
        <s v="Error, Lento, Muy Lento, Muy Lento" u="1"/>
        <s v="Alimentacion Obstruida, No Gira, Ruido, Seco, Temperatura" u="1"/>
        <s v="Muy Tenso, Soltura" u="1"/>
        <s v="Muy Tenso" u="1"/>
        <s v="Falla En Velocid*, No Avanza, Velocidad" u="1"/>
        <s v="Con Rebaba" u="1"/>
        <s v="Con Restos, Ruido" u="1"/>
        <s v="Desalineado, Lento, Muy Lento" u="1"/>
        <s v="Nose Detiene" u="1"/>
        <s v="Desalineado, Desmolde, No Desmolda" u="1"/>
        <s v="No Tempera, Ruido" u="1"/>
        <s v="Desalineado, No Inicia" u="1"/>
        <s v="Mal Sellado, No Sella, Sellado" u="1"/>
        <s v="Apagado, Falla De Presion" u="1"/>
        <s v="Alarma, Detenido" u="1"/>
        <s v="Lento, Muy Lento, Muy Lento, Temperatura" u="1"/>
        <s v="Alimentacion Obstruida, Calibracion" u="1"/>
        <s v="Desmolde, Mancha Etiquetas, No Desmolda" u="1"/>
        <s v="Mancha Etiquetas, Rotura" u="1"/>
        <s v="Filtracion, No Gira, Suciedad, Temperatura" u="1"/>
        <s v="Calibracion, Desajustado, Golpea" u="1"/>
        <s v="No Gira, No Sube" u="1"/>
        <s v="Falla De Presion, Se cae" u="1"/>
        <s v="Altura, Calibracion" u="1"/>
        <s v="Alimentacion Obstruida, Altura, Obstruido" u="1"/>
        <s v="Alimentacion Obstruida, Obstruido" u="1"/>
        <s v="Dañado, Desmolde, No Desmolda" u="1"/>
        <s v="Alimentacion Obstruida, Cambio De Formato, Mal Colocado, Mala Posicion" u="1"/>
        <s v="Abierto, Desalineado, Laminado" u="1"/>
        <s v="Laminado, No Pega, No Sella" u="1"/>
        <s v="Filtracion, Obstruido" u="1"/>
        <s v="Dañado, Seco" u="1"/>
        <s v="Filtracion, Lento, Muy Lento" u="1"/>
        <s v="Filtracion, Suciedad" u="1"/>
        <s v="Demora, Seco, Temperatura, Temperatura" u="1"/>
        <s v="Falla De Presion, Fuga" u="1"/>
        <s v="Filtracion, Rotura, Suciedad" u="1"/>
        <s v="Desgaste, No Cae Producto" u="1"/>
        <s v="Filtracion, Sustitucion, Sustitucion" u="1"/>
        <s v="Alimentacion Obstruida, Lento, Muy Lento, Muy Lento" u="1"/>
        <s v="Filtracion, Obstruido, Ruido, Temperatura" u="1"/>
        <s v="Falla En Velocid*, Fuera De Posicion, Velocidad" u="1"/>
        <s v="Error, Reset" u="1"/>
        <s v="Con Virutas, Ruido" u="1"/>
        <s v="Con Oxido, Rotura" u="1"/>
        <s v="Alarma, Bajo Nivel, Detenido, Nivel" u="1"/>
        <s v="Bajo Nivel, Error, Nivel, No Enfria, Temperatura, Temperatura" u="1"/>
        <s v="Desalineado, Quemado, Sellado" u="1"/>
        <s v="Alarma, No Inicia, Reset" u="1"/>
        <s v="Soltura, Vibracion" u="1"/>
        <s v="Calibracion, Rotura" u="1"/>
        <s v="Desalineado, Laminado, Mal Plegadas" u="1"/>
        <s v="Colision, Doblada, Rotura" u="1"/>
        <s v="Laminado, Lento, Muy Lento, Sellado" u="1"/>
        <s v="Abierto, Arrugado, Calibracion, Descalibrado, Laminado, Sellado" u="1"/>
        <s v="Laminado, Volteado" u="1"/>
        <s v="No Dosifica, Temperatura" u="1"/>
        <s v="Alimentacion Obstruida, Calibracion, Desajustado" u="1"/>
        <s v="Con Oxido, Sustitucion" u="1"/>
        <s v="Laminado, Seco" u="1"/>
        <s v="Fuga, Fuga De Agua, Fuga De Chocolate" u="1"/>
        <s v="Error, Fuera De Posicion, No Inicia" u="1"/>
        <s v="Cambio De Formato, Desmolde" u="1"/>
        <s v="Quemado, Ruido" u="1"/>
        <s v="Cambio De Formato, Seco" u="1"/>
        <s v="Doblada, Obstruido" u="1"/>
        <s v="Mala Posicion, No Corta" u="1"/>
        <s v="Colision, Ruido" u="1"/>
        <s v="Desalineado, Desalineado, No Pega, Rotura" u="1"/>
        <s v="Calibracion, Desajustado, Obstruido" u="1"/>
        <s v="Laminado, No Sella, Rotura" u="1"/>
        <s v="Sellado, Temperatura" u="1"/>
        <s v="Suciedad, Temperatura" u="1"/>
        <s v="Error, Temperatura" u="1"/>
        <s v="No Avanza, Obstruido" u="1"/>
        <s v="Desnivel, Nivel" u="1"/>
        <s v="No Avanza, Soltura" u="1"/>
        <s v="Desgaste, Desgaste, Laminado, Mancha Etiquetas" u="1"/>
        <s v="Desmolde, Juntos, No Desmolda" u="1"/>
        <s v="Lento, Muy Lento, Temperatura, Temperatura" u="1"/>
        <s v="Laminado, No Sella, Sellado" u="1"/>
        <s v="Desalineado, Filtracion, Sustitucion" u="1"/>
        <s v="Colision, Ruido, Vibracion" u="1"/>
        <s v="Calibracion, Desajustado, Desalineado" u="1"/>
        <s v="Falla De Presion, No Inicia" u="1"/>
        <s v="Error, Fuera De Posicion, Nivel" u="1"/>
        <s v="No Corta, No Sella" u="1"/>
        <s v="Rotura, Soltura, Temperatura, Temperatura" u="1"/>
        <s v="Apagado, Calibracion, Descalibrado" u="1"/>
        <s v="Calibracion, Desajustado, No Corta" u="1"/>
        <s v="Abierto, Error, Reset" u="1"/>
        <s v="Filtracion, No Cae Producto, Se Tapo" u="1"/>
        <s v="Obstruido, Rotura" u="1"/>
        <s v="Nivel, Rescate De Personal Tercero" u="1"/>
        <s v="Alimentacion Obstruida, Dañado, Sustitucion" u="1"/>
        <s v="Sustitucion, Vibracion" u="1"/>
        <s v="Alarma, Calibracion, Expulsion" u="1"/>
        <s v="Cambio De Formato, Ruido" u="1"/>
        <s v="Mala Posicion, Sellado" u="1"/>
        <s v="Laminado, Mal Plegadas, Mal Sellado, Sellado" u="1"/>
        <s v="Calibracion, Fuera De Posicion" u="1"/>
        <s v="Error, Obstruido, Sobretorque" u="1"/>
        <s v="Filtracion, Rotura" u="1"/>
        <s v="Rotura, Se Pegan, Sustitucion" u="1"/>
        <s v="Muy Rapido" u="1"/>
        <s v="Calibracion, Soltura, Sustitucion" u="1"/>
        <s v="Obstruido, Sustitucion" u="1"/>
        <s v="Abierto, Error, Temperatura, Carga/descarga" u="1"/>
        <s v="No Sella, Obstruido" u="1"/>
        <s v="Sobretorque, Suciedad" u="1"/>
        <s v="Apagado, Calibracion, Laminado" u="1"/>
        <s v="Alimentacion Obstruida, Calibracion, Laminado, No Corta" u="1"/>
        <s v="No Enfria, Temperatura, Temperatura" u="1"/>
        <s v="Muy Frio, No Enciende" u="1"/>
        <s v="Nivel, Rotura" u="1"/>
        <s v="Lubricacion, Ruido" u="1"/>
        <s v="Alta Temperatura, Lubricacion" u="1"/>
        <s v="No Avanza, Rotura" u="1"/>
        <s v="Apagado, Apagado" u="1"/>
        <s v="Dañado, Lubricacion" u="1"/>
        <s v="Calibracion, Cambio De Formato, No Corta" u="1"/>
        <s v="Colision, Incorrecto" u="1"/>
        <s v="Expuesto, Fuga, Fuga De Aceite" u="1"/>
        <s v="Con Agujeros, Mal Sellado, Sellado" u="1"/>
        <s v="Fuga, Fuga De Agua, Temperatura" u="1"/>
        <s v="Con Restos, Obstruido" u="1"/>
        <s v="Rotura, Se Protege, Sellado, Temperatura, Temperatura" u="1"/>
        <s v="Colision, Fuga, Fuga De Chocolate" u="1"/>
        <s v="Baja Temperatura, No Cae Producto" u="1"/>
        <s v="Desalineado, Expulsion" u="1"/>
        <s v="Calibracion, No Corta" u="1"/>
        <s v="No Enciende, Vibracion" u="1"/>
        <s v="Mal Colocado, Mala Posicion" u="1"/>
        <s v="Rotura, Se Protege, Temperatura" u="1"/>
        <s v="Desalineado, Laminado, No Sella" u="1"/>
        <s v="Desgaste, Volteado" u="1"/>
        <s v="Bloqueado, Cambio De Formato, Rotura" u="1"/>
        <s v="Mancha Etiquetas, Rotura, Sellado" u="1"/>
        <s v="Bajo Nivel, Laminado, Nivel, No Sella" u="1"/>
        <s v="Seco, Temperatura, Temperatura" u="1"/>
        <s v="Fuga, Fuga De Chocolate, Ruido" u="1"/>
        <s v="Con Restos, Quemado" u="1"/>
        <s v="Acumulacion De Producto, Obstruido, Ruido, Temperatura, Carga/descarga" u="1"/>
        <s v="No Inicia, No Sella" u="1"/>
        <s v="No Arrastra, Rotura" u="1"/>
        <s v="Fuga, Fuga De Aire, Ruido" u="1"/>
        <s v="Error, No Responde, Temperatura" u="1"/>
        <s v="Alarma, Desgaste, Desgaste" u="1"/>
        <s v="Dañado, Ruido" u="1"/>
        <s v="Desgaste, Error" u="1"/>
        <s v="Laminado, No Corta, Soltura" u="1"/>
        <s v="Expulsion, Obstruido" u="1"/>
        <s v="No Avanza, Quemado, Soltura" u="1"/>
        <s v="Error, Fuera De Posicion, Reset" u="1"/>
        <s v="Filtracion, No Cae Producto, Suciedad" u="1"/>
        <s v="Error, No Responde" u="1"/>
        <s v="Alarma, Detenido, Detenido" u="1"/>
        <s v="Temperatura, Carga/descarga" u="1"/>
        <s v="Apagado, No Cae Producto" u="1"/>
        <s v="Error, Nivel" u="1"/>
        <s v="Cambio De Formato, Error" u="1"/>
        <s v="Desgaste, No Corta" u="1"/>
        <s v="Bajo Nivel, Calibracion, Nivel" u="1"/>
        <s v="No Enfria, Temperatura, Carga/descarga" u="1"/>
        <s v="Rotura, Sustitucion, Sustitucion" u="1"/>
        <s v="No Enciende, Rotura, Se Protege" u="1"/>
        <s v="Temperatura, Temperatura, Temperatura" u="1"/>
        <s v="Error, Fuera De Posicion, Obstruido" u="1"/>
        <s v="Dañado, Falla En Velocid*, Velocidad" u="1"/>
        <s v="Alarma, Falla De Presion" u="1"/>
        <s v="Con Restos, Mal Sellado, Sellado" u="1"/>
        <s v="Con Agujeros, Laminado" u="1"/>
        <s v="Golpea, Obstruido" u="1"/>
        <s v="Error, Expulsion" u="1"/>
        <s v="No Abre, Sellado" u="1"/>
        <s v="Calibracion, Error" u="1"/>
        <s v="Quemado, Soltura" u="1"/>
        <s v="Alimentacion Obstruida, Obstruido, Ruido" u="1"/>
        <s v="Obstruido, Rebose, Ruido" u="1"/>
        <s v="Con Restos, No Corta, Quemado" u="1"/>
        <s v="Cambio De Formato, Carga/descarga" u="1"/>
        <s v="No Cae Producto, Se Tapo" u="1"/>
        <s v="Doblada, No Avanza" u="1"/>
        <s v="Muy Duro, No Enciende" u="1"/>
        <s v="Desalineado, Mancha Etiquetas" u="1"/>
        <s v="Fuga, Fuga De Chocolate, Seco" u="1"/>
        <s v="Con Rebaba, Lubricacion" u="1"/>
        <s v="Detenido, Carga/descarga" u="1"/>
        <s v="Error, Obstruido" u="1"/>
        <s v="Mala Posicion, No Avanza, No Inicia" u="1"/>
        <s v="Detenido, Sellado" u="1"/>
        <s v="No Arrastra, No Corta" u="1"/>
        <s v="Calibracion, Descalibrado, Mal Colocado, Mala Posicion" u="1"/>
        <s v="Error, Temperatura, Temperatura" u="1"/>
        <s v="Obstruido, Quemado, Ruido" u="1"/>
        <s v="Con Huecos, No Sella, Rotura" u="1"/>
        <s v="Enrollado, Laminado, No Sella" u="1"/>
        <s v="Doblada, Ruido" u="1"/>
        <s v="Fuga, Ruido" u="1"/>
        <s v="Falla De Presion, Sustitucion, Carga/descarga" u="1"/>
        <s v="Rotura, Seco" u="1"/>
        <s v="Alimentacion Obstruida, Desalineado, Obstruido" u="1"/>
        <s v="Descalibrado" u="1"/>
        <s v="Obstruido, Ruido, Seco" u="1"/>
        <s v="Atrapado, Desnivel, Nivel" u="1"/>
        <s v="Atrapado, Sobretorque" u="1"/>
        <s v="Detenido, Rotura, Se Protege" u="1"/>
        <s v="Cambio De Formato, No Pega" u="1"/>
        <s v="Dañado, No Pega" u="1"/>
        <s v="No Corta, Rajadura" u="1"/>
        <s v="Humedad, Carga/descarga" u="1"/>
        <s v="Alta Temperatura, Humedad" u="1"/>
        <s v="Se Pegan, Temperatura" u="1"/>
        <s v="Desalineado, Doblada" u="1"/>
        <s v="Lento, Muy Lento, Quemado" u="1"/>
        <s v="Desgaste, Desgaste, Se cae" u="1"/>
        <s v="Dañado, Quemado" u="1"/>
        <s v="No Acciona, Sellado" u="1"/>
        <s v="No Dosifica, Rotura" u="1"/>
        <s v="Con Huecos, Rotura, Sellado, Sustitucion" u="1"/>
        <s v="Alarma, Detenido, No Avanza" u="1"/>
        <s v="Quemado, Rotura" u="1"/>
        <s v="Dañado, Filtracion" u="1"/>
        <s v="Detenido, Error" u="1"/>
        <s v="Desalineado, Desalineado, Rotura" u="1"/>
        <s v="No Inicia, Ruido" u="1"/>
        <s v="Doblada, No Corta" u="1"/>
        <s v="Laminado, Obstruido, Sellado" u="1"/>
        <s v="Detenido, Detenido, Ruido" u="1"/>
        <s v="Baja Temperatura, Filtracion, Se Tapo" u="1"/>
        <s v="Abierto, Error, Temperatura" u="1"/>
        <s v="Acumulacion De Producto, Obstruido, Ruido, Temperatura" u="1"/>
        <s v="Falla De Presion, Sustitucion" u="1"/>
        <s v="Caliente, No Calienta" u="1"/>
        <s v="Caliente, No Cae Producto, No Calienta" u="1"/>
        <s v="No Cae Chocolate, No Cae Producto" u="1"/>
        <s v="No Desmolda" u="1"/>
        <s v="Error, Error Driver" u="1"/>
        <s v="Calibracion, Parada De Emergencia" u="1"/>
        <s v="No Enfria, Quemado" u="1"/>
        <s v="Amarrado, Caliente, No Gira" u="1"/>
        <s v="Alimentacion Obstruida, No Gira, Ruido, Seco" u="1"/>
        <s v="Temperado" u="1"/>
        <s v="Mancha Etiquetas, No Desmolda" u="1"/>
        <s v="Caliente, Lento, Muy Lento, Muy Lento" u="1"/>
        <s v="Caliente, No Calienta, Sellado" u="1"/>
        <s v="Filtracion, No Gira, Suciedad" u="1"/>
        <s v="Dañado, No Desmolda" u="1"/>
        <s v="Parada De Emergencia" u="1"/>
        <s v="Error, Parada De Emergencia, Reset" u="1"/>
        <s v="Bajo Nivel, Error, Nivel, No Enfria" u="1"/>
        <s v="Caliente" u="1"/>
        <s v="No Enfria" u="1"/>
        <s v="Juntos, No Desmolda" u="1"/>
        <s v="Caliente, Lento, Muy Lento, No Calienta" u="1"/>
        <s v="Caliente, No Calienta, Rotura, Soltura" u="1"/>
        <s v="Filtracion, No Cae Chocolate, No Cae Producto, Se Tapo" u="1"/>
        <s v="Error, Parada De Emergencia" u="1"/>
        <s v="Abierto, Error" u="1"/>
        <s v="Caliente, No Enfria" u="1"/>
        <s v="Caliente, Fuga, Fuga De Agua" u="1"/>
        <s v="Caliente, No Calienta, Rotura, Se Protege, Sellado" u="1"/>
        <s v="Baja Temperatura, No Cae Chocolate, No Cae Producto" u="1"/>
        <s v="Caliente, No Calienta, Seco" u="1"/>
        <s v="Baja Temperatura, Caliente" u="1"/>
        <s v="Acumulacion De Producto, Obstruido, Ruido" u="1"/>
        <s v="Filtracion, No Cae Chocolate, No Cae Producto, Suciedad" u="1"/>
        <s v="Apagado, No Cae Chocolate, No Cae Producto" u="1"/>
        <s v="Caliente, Error, No Calienta" u="1"/>
        <s v="Caliente, Se Pegan" u="1"/>
        <s v="Amarrado, Obstruido, Ruido, Seco" u="1"/>
        <s v="Colision, Parada De Emergencia, Rotura" u="1"/>
        <s v="No Cae Chocolate, No Cae Producto, Quemado" u="1"/>
        <s v="Falla De Presion, Parada De Emergencia" u="1"/>
        <s v="Cambio De Formato, Cambio De Formato" u="1"/>
        <s v="Enrollado, Desgaste" u="1"/>
        <s v="Calibracion, Descalibrado, Rotura, Desgaste" u="1"/>
        <s v="Rotura, Desgaste" u="1"/>
        <s v="Alimentacion Obstruida, Cambio De Formato, Cambio De Formato, Mal Colocado, Mala Posicion" u="1"/>
        <s v="Cambio De Formato, Cambio De Formato, Seco" u="1"/>
        <s v="Desgaste, Laminado, Mancha Etiquetas, Desgaste" u="1"/>
        <s v="Soltura, Desgaste" u="1"/>
        <s v="Cambio De Formato, Cambio De Formato, Ruido" u="1"/>
        <s v="Calibracion, Cambio De Formato, Cambio De Formato" u="1"/>
        <s v="No Cae Chocolate, No Cae Producto, Baja Temperatura" u="1"/>
        <s v="Caliente, Baja Temperatura" u="1"/>
        <s v="Error, Desgaste" u="1"/>
        <s v="Cambio De Formato, Cambio De Formato, Error" u="1"/>
        <s v="Cambio De Formato, Cambio De Formato, No Sella" u="1"/>
        <s v="Cambio De Formato, Cambio De Formato, Sustitucion" u="1"/>
        <s v="Filtracion, Se Tapo, Baja Temperatura" u="1"/>
      </sharedItems>
    </cacheField>
    <cacheField name="PIEZA - PARTE" numFmtId="0">
      <sharedItems count="2">
        <s v="VACIO"/>
        <s v="OK"/>
      </sharedItems>
    </cacheField>
    <cacheField name="ACUM" numFmtId="0">
      <sharedItems count="110">
        <s v="1-2025"/>
        <s v="2-2026"/>
        <s v="3-2026"/>
        <s v="7-2026"/>
        <s v="8-2026"/>
        <s v="9-2026"/>
        <s v="10-2026"/>
        <s v="11-2026"/>
        <s v="12-2026"/>
        <s v="13-2026"/>
        <s v="14-2026"/>
        <s v="15-2026"/>
        <s v="16-2026"/>
        <s v="17-2026"/>
        <s v="18-2026"/>
        <s v="19-2026"/>
        <s v="20-2026"/>
        <s v="21-2026"/>
        <s v="22-2026"/>
        <s v="23-2026"/>
        <s v="24-2026"/>
        <s v="25-2026"/>
        <s v="26-2026"/>
        <s v="27-2026"/>
        <s v="2-2025" u="1"/>
        <s v="3-2025" u="1"/>
        <s v="4-2025" u="1"/>
        <s v="5-2025" u="1"/>
        <s v="6-2025" u="1"/>
        <s v="7-2025" u="1"/>
        <s v="8-2025" u="1"/>
        <s v="9-2025" u="1"/>
        <s v="10-2025" u="1"/>
        <s v="11-2025" u="1"/>
        <s v="12-2025" u="1"/>
        <s v="13-2025" u="1"/>
        <s v="14-2025" u="1"/>
        <s v="15-2025" u="1"/>
        <s v="16-2025" u="1"/>
        <s v="17-2025" u="1"/>
        <s v="18-2025" u="1"/>
        <s v="19-2025" u="1"/>
        <s v="20-2025" u="1"/>
        <s v="21-2025" u="1"/>
        <s v="22-2025" u="1"/>
        <s v="23-2025" u="1"/>
        <s v="24-2025" u="1"/>
        <s v="25-2025" u="1"/>
        <s v="26-2025" u="1"/>
        <s v="27-2025" u="1"/>
        <s v="28-2025" u="1"/>
        <s v="29-2025" u="1"/>
        <s v="30-2025" u="1"/>
        <s v="31-2025" u="1"/>
        <s v="32-2025" u="1"/>
        <s v="33-2025" u="1"/>
        <s v="34-2025" u="1"/>
        <s v="35-2025" u="1"/>
        <s v="36-2025" u="1"/>
        <s v="37-2025" u="1"/>
        <s v="38-2025" u="1"/>
        <s v="39-2025" u="1"/>
        <s v="41-2025" u="1"/>
        <s v="42-2025" u="1"/>
        <s v="43-2025" u="1"/>
        <s v="9-2024" u="1"/>
        <s v="10-2024" u="1"/>
        <s v="11-2024" u="1"/>
        <s v="12-2024" u="1"/>
        <s v="13-2024" u="1"/>
        <s v="14-2024" u="1"/>
        <s v="15-2024" u="1"/>
        <s v="16-2024" u="1"/>
        <s v="17-2024" u="1"/>
        <s v="18-2024" u="1"/>
        <s v="19-2024" u="1"/>
        <s v="20-2024" u="1"/>
        <s v="21-2024" u="1"/>
        <s v="22-2024" u="1"/>
        <s v="23-2024" u="1"/>
        <s v="24-2024" u="1"/>
        <s v="25-2024" u="1"/>
        <s v="26-2024" u="1"/>
        <s v="27-2024" u="1"/>
        <s v="28-2024" u="1"/>
        <s v="29-2024" u="1"/>
        <s v="30-2024" u="1"/>
        <s v="31-2024" u="1"/>
        <s v="32-2024" u="1"/>
        <s v="33-2024" u="1"/>
        <s v="34-2024" u="1"/>
        <s v="35-2024" u="1"/>
        <s v="36-2024" u="1"/>
        <s v="37-2024" u="1"/>
        <s v="38-2024" u="1"/>
        <s v="39-2024" u="1"/>
        <s v="40-2024" u="1"/>
        <s v="41-2024" u="1"/>
        <s v="42-2024" u="1"/>
        <s v="43-2024" u="1"/>
        <s v="44-2024" u="1"/>
        <s v="45-2024" u="1"/>
        <s v="46-2024" u="1"/>
        <s v="47-2024" u="1"/>
        <s v="48-2024" u="1"/>
        <s v="49-2024" u="1"/>
        <s v="50-2024" u="1"/>
        <s v="51-2024" u="1"/>
        <s v="52-2024" u="1"/>
        <s v="53-2024" u="1"/>
      </sharedItems>
    </cacheField>
  </cacheFields>
  <extLst>
    <ext xmlns:x14="http://schemas.microsoft.com/office/spreadsheetml/2009/9/main" uri="{725AE2AE-9491-48be-B2B4-4EB974FC3084}">
      <x14:pivotCacheDefinition pivotCacheId="732453305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5.335445717596" createdVersion="8" refreshedVersion="8" minRefreshableVersion="3" recordCount="60" xr:uid="{FEA9B7DF-55C4-464F-8104-7A60A5D23C60}">
  <cacheSource type="worksheet">
    <worksheetSource name="Tabla107"/>
  </cacheSource>
  <cacheFields count="16">
    <cacheField name="CONTEO-NOMBRE" numFmtId="164">
      <sharedItems/>
    </cacheField>
    <cacheField name="FECHA" numFmtId="14">
      <sharedItems containsNonDate="0" containsDate="1" containsString="0" containsBlank="1" minDate="2026-07-01T00:00:00" maxDate="2026-07-02T00:00:00"/>
    </cacheField>
    <cacheField name="TECNICO" numFmtId="0">
      <sharedItems containsBlank="1"/>
    </cacheField>
    <cacheField name="TURNO" numFmtId="0">
      <sharedItems containsBlank="1" count="4">
        <s v="MAÑANA"/>
        <m/>
        <s v="NOCHE" u="1"/>
        <s v="TARDE" u="1"/>
      </sharedItems>
    </cacheField>
    <cacheField name="INICIO" numFmtId="166">
      <sharedItems containsBlank="1"/>
    </cacheField>
    <cacheField name="FIN" numFmtId="166">
      <sharedItems containsBlank="1"/>
    </cacheField>
    <cacheField name="T.TOTAL" numFmtId="166">
      <sharedItems containsNonDate="0" containsDate="1" containsString="0" containsBlank="1" minDate="1899-12-30T00:15:00" maxDate="1899-12-30T00:45:00"/>
    </cacheField>
    <cacheField name="MAQUINA / EQUIPO" numFmtId="0">
      <sharedItems containsBlank="1" count="104">
        <s v="PROCESADORA DE MASAS - NETZSCH"/>
        <s v="LINEA AUTOMATICA HACOS 2"/>
        <s v="BARQUILLERA FRANZ HAAZ"/>
        <s v="TEMPERADORA CHOCOLATIER"/>
        <s v="COMEDOR"/>
        <s v="RAYOS X 2"/>
        <s v="CALDERO, CHRILLER Y COMPRESOR"/>
        <s v="POZO DE CHILLER"/>
        <s v="CORTADORA DE TURRON"/>
        <s v="EMP. SACMI"/>
        <m/>
        <s v="PLANTA INDUSTRIAL" u="1"/>
        <s v="POZOS" u="1"/>
        <s v="LINEA AUTOMATICA HACOS 1" u="1"/>
        <s v="1ER PISO" u="1"/>
        <s v="EMP. FLOWPACK 2" u="1"/>
        <s v="BAÑADORA DE CHOCOLATE 1" u="1"/>
        <s v="EMP. 2 - CARLE MONTANARY" u="1"/>
        <s v="ENCELOFANADORA ECCOPAC" u="1"/>
        <s v="QUEBRANTADOR DE CACAO  01 JAF INOX" u="1"/>
        <s v="EMP. FLOWPACK 1" u="1"/>
        <s v="TALLER DE MANTENIMIENTO" u="1"/>
        <s v="BAÑADORA DE CHOCOLATE 3" u="1"/>
        <s v="EMP. 1 - CHOCOTECH" u="1"/>
        <s v="EMP. SAPAL" u="1"/>
        <s v="TOSTADOR PETRONCINI NUEVO" u="1"/>
        <s v="EMP. NAPOLITANA" u="1"/>
        <s v="RAYOS X 3" u="1"/>
        <s v="FORRADORA AUTOMATICA 03" u="1"/>
        <s v="REFINADOR BUHLER" u="1"/>
        <s v="TANQUE DE CHOCOLATE DE BAÑADORA" u="1"/>
        <s v="COCINADORA 6 -FAMAIC " u="1"/>
        <s v="EMP. AMP ROSE" u="1"/>
        <s v="MOLINO BILLAS" u="1"/>
        <s v="FORRADORA AUTOMATICA 01" u="1"/>
        <s v="FORRADORA MINIFLEX" u="1"/>
        <s v="ENVASADORA TEPACK" u="1"/>
        <s v="MAQUINARIA DE PLANTA" u="1"/>
        <s v="LINEA DE COCCION HANSEL" u="1"/>
        <s v="CONCHA ELK" u="1"/>
        <s v="CODIFICADORA MARKEM IMAJE 9450- FLOWPACK 1" u="1"/>
        <s v="GRAGEADORA CRG-100X" u="1"/>
        <s v="3ER PISO" u="1"/>
        <s v="5TO PISO" u="1"/>
        <s v="MOLDEO MANUAL" u="1"/>
        <s v="SELLADORA DE BOLSAS DOYPACK ECCOPAC" u="1"/>
        <s v="LOCAL ANEXO" u="1"/>
        <s v="BAÑADORA DE CHOCOLATE 2" u="1"/>
        <s v="CODIFICADORA  MARKEM IMAJE 9450 4TO PISO" u="1"/>
        <s v="LABORATORIO" u="1"/>
        <s v="AGUA POTABLE" u="1"/>
        <s v="SISTEMA DE MECANIZADO DE ENCAJADO MANUAL" u="1"/>
        <s v="FORRADORA AUTOMATICA 02" u="1"/>
        <s v="CONCHA CLOVER 01" u="1"/>
        <s v="RAYOS X 1" u="1"/>
        <s v="ASCENSOR TK " u="1"/>
        <s v="CONCHA CLOVER 02" u="1"/>
        <s v="MOLINO REBOTE - IMPACTO" u="1"/>
        <s v="TUNEL DE ENFRIAMIENTO AMP ROSE" u="1"/>
        <s v="CYCLOP 50/ MOLDEO MANUAL" u="1"/>
        <s v="STEPHAN - PROCESADOR DE MASAS" u="1"/>
        <s v="CALDERO 100 BHP" u="1"/>
        <s v="CYCLOP 80 / F.HUECAS" u="1"/>
        <s v="CODIFICADORA MARKEM IMAJE 9050- FLOWPACK 2" u="1"/>
        <s v="DESINFECCION DE CASTAÑA" u="1"/>
        <s v="GIRADORA COLLMAN 02" u="1"/>
        <s v="TEMPERADORA CHOCOTECH" u="1"/>
        <s v="EQUIPO DE FRIO 05 - 1 CUERPO  TOFFEE" u="1"/>
        <s v="MEZCLADORA DE DOBLE EJE SSHS40" u="1"/>
        <s v="ELEVADOR DE CACAO" u="1"/>
        <s v="CODIFICADORA  LASER MACSA 4TO PISO" u="1"/>
        <s v="FORMADORA DE CORDONES" u="1"/>
        <s v="MOLINO DE AZUCAR" u="1"/>
        <s v="ENCEFALONADORA ECCOPAC" u="1"/>
        <s v="TOSTADOR PETRONCINI" u="1"/>
        <s v="BOLEADORA" u="1"/>
        <s v="TUBERIAS" u="1"/>
        <s v="ESTACION TERMICA" u="1"/>
        <s v="GIRADORA CABRELLON" u="1"/>
        <s v="CONCHA COCOATOWN" u="1"/>
        <s v="LAMINADORA DE MASA" u="1"/>
        <s v="QUEBRANTADOR DE CACAO  02" u="1"/>
        <s v="CHILLER YORK 150 TON" u="1"/>
        <s v="HACOS 1" u="1"/>
        <s v="CORTADORA DE MASA" u="1"/>
        <s v="TANQUE DE CHOCOLATE 02 FIGURAS HUECAS" u="1"/>
        <s v="4TO PISO" u="1"/>
        <s v="EQUIPOS AUXILIARES" u="1"/>
        <s v="NO ASIGNADO" u="1"/>
        <s v="BALANZA" u="1"/>
        <s v="CONCHA ASPAS" u="1"/>
        <s v="COCINA DE PLANTA" u="1"/>
        <s v="VESTUARIOS" u="1"/>
        <s v="HORNO NOVA" u="1"/>
        <s v="2DO PISO" u="1"/>
        <s v="CAMARA DE FRIO FIGURAS HUECAS" u="1"/>
        <s v="CAMARA DE FRIO" u="1"/>
        <s v="GARITA" u="1"/>
        <s v="TUNEL DE ENFRIAMIENTO WHESTONE" u="1"/>
        <s v="BATIDORA DE HUEVOS 01 SUPERMAP" u="1"/>
        <s v="BATIDORA DE HUEVOS 02 NOVA" u="1"/>
        <s v="COCINADORA 3 - GIANNINI " u="1"/>
        <s v="TOSTADOR CARLE MONTANARY" u="1"/>
        <s v="SELLADORA AL VACIO KOMET" u="1"/>
      </sharedItems>
    </cacheField>
    <cacheField name="CLASIFICACION" numFmtId="0">
      <sharedItems containsBlank="1"/>
    </cacheField>
    <cacheField name="TIPO" numFmtId="0">
      <sharedItems containsBlank="1" count="19">
        <s v="SET UP"/>
        <s v="Inspección"/>
        <s v="Encendido / Arranque de linea"/>
        <m/>
        <s v="Ajuste /Calibracion"/>
        <s v="M.General"/>
        <s v="Lubricación"/>
        <s v="Reparacion"/>
        <s v="Coordinacion" u="1"/>
        <s v="Limpieza" u="1"/>
        <s v="Seguimiento / Pruebas" u="1"/>
        <s v="Sustitucion" u="1"/>
        <s v="Capacitacion" u="1"/>
        <s v="Trabajos menores" u="1"/>
        <s v="Mejora" u="1"/>
        <s v="Encendido / Arranque de línea" u="1"/>
        <s v="Reparación" u="1"/>
        <s v="Ajuste / Calibración" u="1"/>
        <s v="Sustitución" u="1"/>
      </sharedItems>
    </cacheField>
    <cacheField name="P/NP" numFmtId="0">
      <sharedItems containsBlank="1" count="3">
        <s v="PROGRAMADA"/>
        <s v="NO PROGRAMADA"/>
        <m/>
      </sharedItems>
    </cacheField>
    <cacheField name="M/E" numFmtId="0">
      <sharedItems containsBlank="1" count="5">
        <m/>
        <s v="ELÉCTRICA"/>
        <s v="MECÁNICA"/>
        <s v="ELECTRICA" u="1"/>
        <s v="" u="1"/>
      </sharedItems>
    </cacheField>
    <cacheField name="OBSERVACION" numFmtId="0">
      <sharedItems containsBlank="1" count="516">
        <s v="Armado de máquina "/>
        <s v="Inspección de máquina en funcionamiento "/>
        <s v="Inspección de máquina "/>
        <s v="Temperadora no enciende "/>
        <s v="Receso"/>
        <s v="Apoyo en máquina. Producto se junta y el equipo lo rechaza"/>
        <s v="Revisión de funcionamiento y parámetros de trabajo "/>
        <s v="Llenado de pozo con agua blanda"/>
        <s v="Revisión de funcionamiento, revisión de estado de tanques y temperadoras"/>
        <s v="Equipo muy duro para empujar"/>
        <s v="Punta de pistola desprendida, se retiro punta y se llevó a taller para pegarlo"/>
        <m/>
        <s v="Arranque de equipos de planta, se encendió caldero, chiller, bomba de agua y compresor " u="1"/>
        <s v="Revisión de niveles de pozos, y presión de trabajo de bombas de agua" u="1"/>
        <s v="Solicitan cambio de formato " u="1"/>
        <s v="No hay iluminación en zona de grageadora" u="1"/>
        <s v="Armado de formato cremas x50 en mds" u="1"/>
        <s v="Armado y habilitación de equipo, se realizó cambio de cadena y colocación de rascadores de bandas" u="1"/>
        <s v="Retiro de sensor de temperatura para calibración por parte de LO JUSTO" u="1"/>
        <s v="MDS no calienta, fuga de aire en conector neumático de calefactor." u="1"/>
        <s v="Faja 5 no gira, faja 2 desalineada." u="1"/>
        <s v="Verificación de funcionamiento de equipo " u="1"/>
        <s v="Contraelevador tiene juego." u="1"/>
        <s v="Cajas se pegan " u="1"/>
        <s v="Fuga de chocolate por tuberías de tanque." u="1"/>
        <s v="Apoyo con el armado de máquina " u="1"/>
        <s v="Armado máquina y colocación de mordazas y cadena." u="1"/>
        <s v="Toma de datos de colector eléctrico para la compra de repuestos " u="1"/>
        <s v="Armado y habilitación de equipo" u="1"/>
        <s v="Apoyo en armado de equipo" u="1"/>
        <s v="Arranque de planta y habilitación de líneas " u="1"/>
        <s v="Orden y limpieza de herramientas y mesa de trabajo" u="1"/>
        <s v="Cortinas de salida de planta dañadas " u="1"/>
        <s v="Problemas frecuentes con sensor b21" u="1"/>
        <s v="Armado de malla de equipo" u="1"/>
        <s v="Pinza no sujeta bien papel " u="1"/>
        <s v="Tolva de agregados dañado por caida" u="1"/>
        <s v="Banda se movió a un costado" u="1"/>
        <s v="Problemas con cuchilla, no corta bien " u="1"/>
        <s v="Revisión de funcionamiento de equipo" u="1"/>
        <s v="Cambio de formato de 40g a 50" u="1"/>
        <s v="Inspección de equipo " u="1"/>
        <s v="Cambio de formato mds" u="1"/>
        <s v="Reportan que quemador no enciende" u="1"/>
        <s v="No dosifica goma" u="1"/>
        <s v="Se apoyó en regulación de puntos de goma" u="1"/>
        <s v="Sellado sale mal" u="1"/>
        <s v="Se seguro sensibilidad para disminuir falsos  en receta barra 50g" u="1"/>
        <s v="Cuchilla no corta correctamente, no sale un punto de goma" u="1"/>
        <s v="Creación de recetas para turrón almendras, pistachos castaña." u="1"/>
        <s v="Laminado se desplaza para un lado." u="1"/>
        <s v="Seguimiento de control de temperaturas de mordazas " u="1"/>
        <s v="Apoyo cambio de formato de 100 a 40" u="1"/>
        <s v="No hay retorno de chocolate, tanque vacío " u="1"/>
        <s v="Reportan oring roto" u="1"/>
        <s v="Parte de fondo de tina tiene chocolate solidificado, resistencias se encuentran apagadas." u="1"/>
        <s v="Capacitación de Calibración para elementos faltantes " u="1"/>
        <s v="Por momentos no sella el papel aluminio " u="1"/>
        <s v="Cambio de porta carbones de mordaza superior y verificación de funcionamiento en vacío " u="1"/>
        <s v="Armado de módulo MDS formato cremas" u="1"/>
        <s v="Se realiza inspección de temperadora de hacos 1" u="1"/>
        <s v="Orden y limpieza en taller " u="1"/>
        <s v="Problemas constante son sensores " u="1"/>
        <s v="Se realiza armado para su funcionamiento " u="1"/>
        <s v="Pinza no sujeta laminado " u="1"/>
        <s v="Revisión de funcionamiento y parámetros de trabajo" u="1"/>
        <s v="Cajas salen pegadas, no sella bien longseal" u="1"/>
        <s v="Variación de temperatura en mordaza parte superior" u="1"/>
        <s v="Desarmado de formato agregados x100 de mds" u="1"/>
        <s v="Armado de formato cremas ovaladas en hacos 1" u="1"/>
        <s v="Pruebas de laminado nuevo lote, apoyo en regulación de temperatura y regulación de guiadores " u="1"/>
        <s v="Temperatura vuelve a tener variación en mordaza superior" u="1"/>
        <s v="Banda se dañó, " u="1"/>
        <s v="Desarmado de formato cremas de mds" u="1"/>
        <s v="No sella bien primero sellado, cajas salen pegadas" u="1"/>
        <s v="Desmontaje de samfill para lavado de piezas" u="1"/>
        <s v="Apoyó en arranque de linea para chocolate doble" u="1"/>
        <s v="Armado de samfill " u="1"/>
        <s v="Parada de emergencia accionada permanentemente " u="1"/>
        <s v="Bomba bloqueada, guarda motor protegido" u="1"/>
        <s v="Contraelevador desalineado " u="1"/>
        <s v="Cambio de formato a 100" u="1"/>
        <s v="Goma mancha etiqueta " u="1"/>
        <s v="Cambio de sensor inductivo" u="1"/>
        <s v="Temperatura de moradazas varía 30°" u="1"/>
        <s v="Solicitan goma." u="1"/>
        <s v="Desarmado de de MDS y armado para agregados x100" u="1"/>
        <s v="Sellador aplasta las cajas" u="1"/>
        <s v="Cambio de cuchilla" u="1"/>
        <s v="Ajustar cuchilla fija. No realiza el corte adecuado " u="1"/>
        <s v="Variación constante de temperatura en mordazas." u="1"/>
        <s v="Armado de equipo " u="1"/>
        <s v="No sella correctamente " u="1"/>
        <s v="Sensor de pocision de olla en mal estado" u="1"/>
        <s v="Cuchilla no corta , tirante roto" u="1"/>
        <s v="Se apoyó calentando tuberías y se hizo pruebas " u="1"/>
        <s v="Desarme de equipo " u="1"/>
        <s v="Se apoyó en el Desarme y armado de mds por limpieza " u="1"/>
        <s v="Inspección de temperadora " u="1"/>
        <s v="Problemas en sensores" u="1"/>
        <s v="Desarmar máquina para su limpieza " u="1"/>
        <s v="Reemplazar perno dañado y ajustar bases." u="1"/>
        <s v="Pieza doblada. Apoyo con la calibración de máquina para tableta de 50 gr exportación " u="1"/>
        <s v="Creación de receta " u="1"/>
        <s v="Apoyo en desarmado de formato cremas en mds" u="1"/>
        <s v="Empujador roto" u="1"/>
        <s v="Armado de formato agregados x50 en mds" u="1"/>
        <s v="Cambio de dispensadores de papel y fluorescente " u="1"/>
        <s v="Creación de receta a pedido de producción " u="1"/>
        <s v="Pieza se mueve y hace que cuchilla choque con brazo de pinza" u="1"/>
        <s v="Se realiza inspección a equipo" u="1"/>
        <s v="Sensor desalineado" u="1"/>
        <s v="Sensor de temperatura dañado" u="1"/>
        <s v="Se realiza desarmado y armado de formato en mds " u="1"/>
        <s v="Error de flama, no enciende " u="1"/>
        <s v="Cambio de formato de 40 a 50" u="1"/>
        <s v="No sale un punto de goma" u="1"/>
        <s v="Cambio de controladores de temperatura " u="1"/>
        <s v="Verificación de correcto funcionamiento de equipo " u="1"/>
        <s v="No cae productoen proceso de cocción " u="1"/>
        <s v="Baja presión de agua potable " u="1"/>
        <s v="No corta cuchilla " u="1"/>
        <s v="Se arma mds para formato cremas milki relleno" u="1"/>
        <s v="Se realiza inspección ha temperadora de hacos 1 " u="1"/>
        <s v="Se cambia formato a enselofanadora x90" u="1"/>
        <s v="Se arma netzsch para su uso " u="1"/>
        <s v="Se calibrar fajas " u="1"/>
        <s v="Se realiza cambio de formato de bate size a mini milky" u="1"/>
        <s v="Laminado chueco " u="1"/>
        <s v="Se desarma netzsch para su limpieza " u="1"/>
        <s v="Se continúa las pruebas correspondientes " u="1"/>
        <s v="Inspección de equipos en uso" u="1"/>
        <s v="Cambio de formato de pisco x 9 a milky x 10" u="1"/>
        <s v="Laminado sale hacia un lado, cuchilla no corta completamente " u="1"/>
        <s v="Goma no se dosifica correctamente " u="1"/>
        <s v="Temperatura alta en ambiente de toffe" u="1"/>
        <s v="Cuchilla no corta " u="1"/>
        <s v="Cambio de formato de pisco x9 a milky x 10" u="1"/>
        <s v="Armado de túnel de pre enfriamiento " u="1"/>
        <s v="Hmi no enciende " u="1"/>
        <s v="Retiro de guardas y polines para limpieza " u="1"/>
        <s v="Lubricación de cadena " u="1"/>
        <s v="Conector neumático roto. " u="1"/>
        <s v="Colocación de guardas y polines " u="1"/>
        <s v="Laminado se sale de los discos " u="1"/>
        <s v="En samfill no aparece ningún Parámetro" u="1"/>
        <s v="Arranque de planta." u="1"/>
        <s v="Cambio de formato para bitesize size" u="1"/>
        <s v="Armado de máquina y encendido de la misma." u="1"/>
        <s v="Retirar guardas del elevador de cacao para su limpieza " u="1"/>
        <s v="Revisar depósito de condensado del sistema de climatizacion" u="1"/>
        <s v="Cambio de formato a 100 " u="1"/>
        <s v="Climatizador gotea " u="1"/>
        <s v="Cambio de formato a milky x10" u="1"/>
        <s v="Empaquetado sale mal" u="1"/>
        <s v="Banda atascada, sale error no avanza " u="1"/>
        <s v="No pega etiqueta " u="1"/>
        <s v="Piensa torcida " u="1"/>
        <s v="No enfría túnel de moldeo manual " u="1"/>
        <s v="Guillotina no corta " u="1"/>
        <s v="Faja se va a un lado " u="1"/>
        <s v="Se cambia formato sapal x100" u="1"/>
        <s v="Limpieza de taller " u="1"/>
        <s v="Cajas se pegan" u="1"/>
        <s v="Faja de carga no gira" u="1"/>
        <s v="Cangilones no avanzan" u="1"/>
        <s v="Desarmado MDS para limpieza " u="1"/>
        <s v="Codificadora no inicia, error de tinta y aditivo " u="1"/>
        <s v="Túnel no baja de 20°" u="1"/>
        <s v="Verificación de funcionamiento de equipo. Revisión de estado de freno" u="1"/>
        <s v="Cajas no pega " u="1"/>
        <s v="Contraelevador torcido a un lado" u="1"/>
        <s v="Pegado de goma irregular " u="1"/>
        <s v="Se apoyó con la impieza de bajas y regulación de temperatura y presion" u="1"/>
        <s v="Se apoyó con el desatorr de la tubería del elevador neumático de cacao" u="1"/>
        <s v="Revision de freno de bobina" u="1"/>
        <s v="Apoyó en purga de chocolate en tuberías " u="1"/>
        <s v="Apoyó en configuración de mensajes " u="1"/>
        <s v="Cambio de formato y calibración para pisco x9" u="1"/>
        <s v="Apoyó en arranque de máquina y ajustes " u="1"/>
        <s v="Traslado de equipo nuevo (encubadora)." u="1"/>
        <s v="Se apoya armando equipo sacmi " u="1"/>
        <s v="Bajo nivel de refrigerante en túnel de enfriamiento." u="1"/>
        <s v="Agitador de tina no se mueve." u="1"/>
        <s v="Se desarma barquillera para limpieza " u="1"/>
        <s v="Cambio de formato de pisco a minimilky." u="1"/>
        <s v="Tomacorrientes primer piso lado tostador sin energía " u="1"/>
        <s v="Mejorar el frenado de laminado. Darle seguimiento al funcionamiento de máquina con producto." u="1"/>
        <s v="Se desarma iman de molino de villas " u="1"/>
        <s v="Se cambia formato de cremas a agregado x100" u="1"/>
        <s v="Bajar mesa de producción (5to piso) y trasladarlo a local anexó." u="1"/>
        <s v="Ruido por zona de bomba" u="1"/>
        <s v="Variación de temperatura en mordaza, problemas con tensión de bobina " u="1"/>
        <s v="Impresora no inicia" u="1"/>
        <s v="Cae poco chocolate a tina" u="1"/>
        <s v="Se arma imán de molino de villas " u="1"/>
        <s v="Desarmado de formato cremas de mds para limpieza" u="1"/>
        <s v="Armado de formato cremas de mds" u="1"/>
        <s v="Calibración para formato x18" u="1"/>
        <s v="Temperatura de mordazas varian" u="1"/>
        <s v="Apoyó a técnico de turno en intervención en máquina " u="1"/>
        <s v="Cuchilla no corta el laminado " u="1"/>
        <s v="Inspección de bomba inoperativa" u="1"/>
        <s v="Se apoyó regulando velocidad de fajas guías , se dió seguimiento " u="1"/>
        <s v="Inspección de bomba de descarga " u="1"/>
        <s v="Se realiza sebado de bomba de presión constante " u="1"/>
        <s v="Bomba de agua potable descebada" u="1"/>
        <s v="Se cambia formato x90" u="1"/>
        <s v="Flowpack no sella " u="1"/>
        <s v="Se realiza el cambio de pozos de agua potable " u="1"/>
        <s v="Temperadora bloqueada " u="1"/>
        <s v="Requiere habilitación de extensión para tercero " u="1"/>
        <s v="Se cambia formato a mds a a cremas redondas " u="1"/>
        <s v="No sé separan las fajas de arrastre " u="1"/>
        <s v="Se cambia formato x180" u="1"/>
        <s v="Se cambia formato a cremas ovaladas " u="1"/>
        <s v="Fuga de crema en plancha de módulo mds, falla de actuador a10, habilitación de mds" u="1"/>
        <s v="Apoyo en habilitación de equipo" u="1"/>
        <s v="Contraelevador tiene rose con pinzas, banda se mueve a un costado" u="1"/>
        <s v="Producto sale manchado con goma, no pega bien un costado, producto se atasca en volteador de producto" u="1"/>
        <s v="Llenado de pozo, desde pozo del exterior" u="1"/>
        <s v="Bomba de agua potable descebada " u="1"/>
        <s v="Se apoyó en encendido de equipo , se inició en perfil avanzado" u="1"/>
        <s v="Problemas en temperadora, no enfría tanque de agua fria" u="1"/>
        <s v="Arranque de planta" u="1"/>
        <s v="Tanques de chocolate se encuentran fríos. No sé puede bombear chocolate a temperadora." u="1"/>
        <s v="Bandas de transporte no avanzan." u="1"/>
        <s v="Apoyo en máquina con la operación y carga de producto " u="1"/>
        <s v="Bomba pierde presión." u="1"/>
        <s v="Equipo no enciende y no gira." u="1"/>
        <s v="Sale alarma constantemente de problemas con bomba de tina de samfill" u="1"/>
        <s v="Creación de receta para bombon ron " u="1"/>
        <s v="Explicación y apoyo  en regulación de tensión de bobina" u="1"/>
        <s v="Válvula dañada , fuga de glucosa" u="1"/>
        <s v="Problema de alarma en la tina" u="1"/>
        <s v="Fuga de glucosa por valvula de tuberia" u="1"/>
        <s v="Se apoya en faja de bañadora " u="1"/>
        <s v="Equipo no enciende " u="1"/>
        <s v="Cyclop columna fría " u="1"/>
        <s v="Se saca husillo para limpieza " u="1"/>
        <s v="Guarda de soldada " u="1"/>
        <s v="Falta de receta en rayos x " u="1"/>
        <s v="Túnel de enfriamiento no llega a seteado puesto " u="1"/>
        <s v="Revisión de funcionamiento de bomba de masa, prueba en vacio" u="1"/>
        <s v="Calefactor se cae" u="1"/>
        <s v="Sellado sale mal, cajas se pegan" u="1"/>
        <s v="Pernos dañado en tolva de descarga." u="1"/>
        <s v="Papel se arruga, brazo de módulo de corte suelto" u="1"/>
        <s v="Variación de temperatura en mordaza" u="1"/>
        <s v="Pistón gastado y/o rendido, no soporta el peso de calefactor en máquina." u="1"/>
        <s v="Creación de recetas para productos de chocolatier" u="1"/>
        <s v="Apoyo con la culminación de cambio de formato en máquina " u="1"/>
        <s v="Apoyo con la calibración en máquina." u="1"/>
        <s v="Cambio de formato en máquina, barra por 40gramos." u="1"/>
        <s v="Ruido en mordazas , alarma de empujador" u="1"/>
        <s v="Se retiró plancha y husillo por limpieza y se volvió armar ya estando limpios" u="1"/>
        <s v="Apoyó en máquina " u="1"/>
        <s v="Desarme de equipo por limpieza " u="1"/>
        <s v="Traslado de mobiliario a pedido de jefe de mantenimiento " u="1"/>
        <s v="No sale relleno de una de las boquillas de la mds" u="1"/>
        <s v="Inspección de linea automática bw system" u="1"/>
        <s v="Inspección de bomba de temperadora de bañadora" u="1"/>
        <s v="Fuga de agua en temperadora" u="1"/>
        <s v="Cajas de pegan" u="1"/>
        <s v="Temperadora bloqueada, no cae chocolate a samfill " u="1"/>
        <s v="Faja se detiene " u="1"/>
        <s v="Cambio de formato, de bite size a mini milky " u="1"/>
        <s v="Retiro de husillo, plancha y pistones para limpieza " u="1"/>
        <s v="Inspección de funcionamiento de equipo " u="1"/>
        <s v="Error en pantalla HDMI, no permite la conexión correcta con los servomotores." u="1"/>
        <s v="Ascensor nuevo no responde se queda en segundo piso con personal de producción dentro " u="1"/>
        <s v="Apoyo en máquina. Para retirar tapa de tubería, para la descarga de chocolate." u="1"/>
        <s v="Se verifico niveles de pozos de agua " u="1"/>
        <s v="Apoyo en máquina, no permite el arranque en línea." u="1"/>
        <s v="Error pack drive, no permite avanzar equipo" u="1"/>
        <s v="Temperatura de mordaza varia" u="1"/>
        <s v="Extensión dañada " u="1"/>
        <s v="Problemas con tensador de bobina" u="1"/>
        <s v="Pruebas en vacío de bomba de producto. " u="1"/>
        <s v="Horno se apaga de la nada." u="1"/>
        <s v="Desarmado de equipo para limpieza " u="1"/>
        <s v="Apoyo en máquina, nose puede confirmar alarma de puertas/ventanas cerradas." u="1"/>
        <s v="Armado de máquina. Colocar malla y tuberías." u="1"/>
        <s v="Armado y habilitación de máquina." u="1"/>
        <s v="Apoyo en máquina, sensor de ventana no confirma alarma" u="1"/>
        <s v="Retiró de husillo para limpieza, formato agregados x50 " u="1"/>
        <s v="Colocación de husillo " u="1"/>
        <s v="Temperadora bloqueada, no circula chocolate " u="1"/>
        <s v="Cajas salen pegadas y algunas aplastadas." u="1"/>
        <s v="Puntos de goma fuera de posición, papel aluminio se pega al sellador y rompe las tabletas " u="1"/>
        <s v="Desarmado de MDS, formato agregados x50 " u="1"/>
        <s v="Armado de mds para fondy menta" u="1"/>
        <s v="Inspección funcionamiento de equipo " u="1"/>
        <s v="Apoyó en reparación de tubería dañada " u="1"/>
        <s v="Rodillo amarrado de mds" u="1"/>
        <s v="Apoyó en cambio de formato de pisco x9 a milky x10" u="1"/>
        <s v="Sobre torque A100" u="1"/>
        <s v="Apoyó en calibración par formato milky x10" u="1"/>
        <s v="Variador en falla por sobrecarga " u="1"/>
        <s v="Controlador de motor de fajas dañado" u="1"/>
        <s v="Desarme de cabina de bañado " u="1"/>
        <s v="Se apoyó en alineación de fajas para formato mini milky" u="1"/>
        <s v="Se retirara piezas de cabina de bañado a pedido de producción y calidad" u="1"/>
        <s v="Cambio de formato de milky x10 a pisco x18" u="1"/>
        <s v="Falta de adhesivo en etiquetas" u="1"/>
        <s v="Cuchilla se atasca" u="1"/>
        <s v="Falla A23 fuera de tiempo en extensión " u="1"/>
        <s v="Fuga de chocolate de tubería de bañadora" u="1"/>
        <s v="Se retiró plancha y rodillo de Mds para limpieza y se volvió a armar" u="1"/>
        <s v="Sellado sale mal , actuador no regresa a su posicion" u="1"/>
        <s v="Error en variador de frecuencia de vibrador t5 " u="1"/>
        <s v="Temperatura de cuchilla varia" u="1"/>
        <s v="Laminado sale volteaod" u="1"/>
        <s v="Tornillo sin fin amarrado" u="1"/>
        <s v="Apoyo en regulación de bandas transportadoras" u="1"/>
        <s v="Se retiró husillo de Mds por limpieza, se volvió a colocar" u="1"/>
        <s v="Con apoyó de producción se coloco tubería acoplada a tornillo sin fin y se habilito equipo " u="1"/>
        <s v="Bomba desebada " u="1"/>
        <s v="Temperatura de agua fría no baja" u="1"/>
        <s v="Desarmar MDS para su limpieza " u="1"/>
        <s v="Apoyo con el cambio de formato, para bitesize." u="1"/>
        <s v="Armado y habilitación de equipo " u="1"/>
        <s v="Inspección de máquina en funcionamiento con carga." u="1"/>
        <s v="Apoyo en máquina, para cargar receta y ajustar parámetros " u="1"/>
        <s v="Verificación de luminarias en toda la planta. Registrar cantidad, tipo, y ubicación de luminarias de planta." u="1"/>
        <s v="No hay presión de agua en planta " u="1"/>
        <s v="Operador reporta problemas con los cangilones, no se detienen por más de 15 minutos " u="1"/>
        <s v="Armado de MDS formato crema ovalada " u="1"/>
        <s v="Apoyo en calibración " u="1"/>
        <s v="Contraelevador desviado, goma de pinza despegandose" u="1"/>
        <s v="Reportan fallas en horno " u="1"/>
        <s v="No hay fondo" u="1"/>
        <s v="Armado de módulo MDS formato cremas " u="1"/>
        <s v="Inspección de máquina en funcionamiento." u="1"/>
        <s v="Desarmado de MDS para limpieza " u="1"/>
        <s v="Apoyo en cambio de formato para bite size" u="1"/>
        <s v="Reportan que no reconoce muestra patron" u="1"/>
        <s v="Calibracion para formato pisco x18" u="1"/>
        <s v="Malla no avanza " u="1"/>
        <s v="Cambio de formato de Mds, rodillo agregados amarrado , tapones de módulo de cremas amareados" u="1"/>
        <s v="Fuga de chocolate, manguera rota entre criba y bomba" u="1"/>
        <s v="Desarmado de iman" u="1"/>
        <s v="Armado de máquina." u="1"/>
        <s v="Cambio de formato de 100gr a tabletas por 50gr." u="1"/>
        <s v="Faja de carga no avanza " u="1"/>
        <s v="No cae chocolate, columna protegida " u="1"/>
        <s v="Colocación de empaque y cuchilla " u="1"/>
        <s v="Inspección de equipo, verificación de parámetros de trabajo " u="1"/>
        <s v="Verificación de túnel de enfriamiento " u="1"/>
        <s v="Error fuera de tiempo a530" u="1"/>
        <s v="Armado de bomba y llenado de chaqueta de tina" u="1"/>
        <s v="No cae chocolate, columna bloqueada " u="1"/>
        <s v="Apoyo en habilitación de equipo " u="1"/>
        <s v="Limpieza de polines en banda de carga." u="1"/>
        <s v="Apoyo en máquina " u="1"/>
        <s v="Desarmado de iman y verificación de autoclave, tiene fuga de agua" u="1"/>
        <s v="Apoyo en cambio de formato " u="1"/>
        <s v="Inspección de equipo" u="1"/>
        <s v="Desarmar máquina para su limpieza." u="1"/>
        <s v="Cambio de juego de pinzas" u="1"/>
        <s v="Retirar filtro de chocolate para su revisión y limpieza." u="1"/>
        <s v="Inspección con el encendido y arranque de máquina." u="1"/>
        <s v="Atasco de pastillas en faja" u="1"/>
        <s v="Armado de máquina y encendido " u="1"/>
        <s v="Arranque de equipos de planta " u="1"/>
        <s v="Sellado sale mal , rompe el laminado " u="1"/>
        <s v="Base de pistón que sostiene alineador de producto (sacmi) doblado." u="1"/>
        <s v="Preparación de juego de pinzas para sacmi" u="1"/>
        <s v="Retiró de polines y guardas para limpieza " u="1"/>
        <s v="Seguimiento de corriente de motor principal durante carga de producto " u="1"/>
        <s v="Se apoyó en el Desarme y armado de Camara climatizada por limpieza " u="1"/>
        <s v="Se salieron 3 polines de cadena del horno " u="1"/>
        <s v="Cambio de formato a mini milky " u="1"/>
        <s v="Verificación de funcionamiento de túnel de enfriamiento " u="1"/>
        <s v="Habilitación de luminarias. Se puentea diferencial" u="1"/>
        <s v="Desarmado de máquina " u="1"/>
        <s v="Armar máquina y habilitarla" u="1"/>
        <s v="Retiró de piezas para limpieza " u="1"/>
        <s v="Retiró de filtro para limpieza " u="1"/>
        <s v="Ascensor nuevo no responde " u="1"/>
        <s v="Reportan lavadero obstruido" u="1"/>
        <s v="Alarma por puerta abierta, (todas las puertas estabas cerradas)" u="1"/>
        <s v="Se reviso desgaste de polin motriz en faja alimentadora " u="1"/>
        <s v="Se preparo pernos tipo botón para cambio en cuchilla amp rose y se apoyó en calibración " u="1"/>
        <s v="Pernos dañados." u="1"/>
        <s v="Inspección de máquina." u="1"/>
        <s v="Problemas en movimiento de mds" u="1"/>
        <s v="Pieza no encaja, pernos nuevos sobre salen" u="1"/>
        <s v="Forrado sale mal, cajas se pegan y no sella bien" u="1"/>
        <s v="Desarmado de formato.agregados x100 de mds" u="1"/>
        <s v="Armado de formato cremas en mds" u="1"/>
        <s v="Sale error en pantalla de empujador en mala posicion" u="1"/>
        <s v="Cambio de formato a mini milky" u="1"/>
        <s v="No corta laminado " u="1"/>
        <s v="Se desarma mds de agrados x50 y se arma agregados x100" u="1"/>
        <s v="Se entrega material a tercero para habilitar tomacorrientes en primer piso " u="1"/>
        <s v="Se apoya en seguimiento y de piezas de la empaquetadora mp rose " u="1"/>
        <s v="Cuchilla no corta, piezas chocan entre sí." u="1"/>
        <s v="Cuchilla no corta papel aluminio " u="1"/>
        <s v="Verificación funcionamiento de equipo " u="1"/>
        <s v="Temperatura demasiado baja en tanque." u="1"/>
        <s v="Cambio de cuchilla y verificación de funcionamiento " u="1"/>
        <s v="Se remplazo cuchilla fija y se calibro , se hizo pruebas en vacío a alta velocidad " u="1"/>
        <s v="Cuchilla no corta y piezas chocan entre sí." u="1"/>
        <s v="Cuchilla no corta correctamente." u="1"/>
        <s v="No hay presión de agua en planta" u="1"/>
        <s v="Cambio de formato a tabletas x100" u="1"/>
        <s v="Acumulación de producto en la entrada" u="1"/>
        <s v="Cambio de formato a milky x 10" u="1"/>
        <s v="Temperatura varían en mordazas" u="1"/>
        <s v="Cuchilla no corta, sensor no reconoce producto " u="1"/>
        <s v="Apoyó en calibración de equipo para pasar pastillas" u="1"/>
        <s v="Tolerancia de temperatura de producto negativa , ingreso de agua fría aún cuando el equipo está frío " u="1"/>
        <s v="Problemas en polin de arrastre, papel arrugado, funcionamiento intermitente de equipo con microparadas" u="1"/>
        <s v="Armado y habilitación de formato para fondy menta" u="1"/>
        <s v="Problemas con el sensor de producto, empujador demora en actuar y producto se acumula en banda" u="1"/>
        <s v="Armado de equipo" u="1"/>
        <s v="Bandas se mueve a un costado" u="1"/>
        <s v="Se apoya con armado y calibración de sacmi " u="1"/>
        <s v="No sella formato x18" u="1"/>
        <s v="Problemas con la impresión de fecha, sale borrosa e incompleta " u="1"/>
        <s v="Se rompe tubo de aceite " u="1"/>
        <s v="No hay agua caliente " u="1"/>
        <s v="Se apoya con  desarmado de mds para limpieza " u="1"/>
        <s v="Se arma MDS para cremas redondas " u="1"/>
        <s v="Tuberías de desfogue de producto para limpieza atorado" u="1"/>
        <s v="Deja agujeros al sellar" u="1"/>
        <s v="Fuga de aire , manguera neumática rota." u="1"/>
        <s v="Armado de equipo , chocolatier" u="1"/>
        <s v="Manguera rota." u="1"/>
        <s v="Reportan que equipo no se apaga" u="1"/>
        <s v="Columna bloqueada, no cae chocolate a samfill " u="1"/>
        <s v="Se arruga laminado constantemente " u="1"/>
        <s v="Reportan fuga de agua en zona" u="1"/>
        <s v="Revisión de nivel y llenado de agua en tanques de agua fría y caliente" u="1"/>
        <s v="Papel se arruga constantemente " u="1"/>
        <s v="Impresora no arranca " u="1"/>
        <s v="Variación de temperatura de mordaza" u="1"/>
        <s v="Retirar mordazas para su limpieza " u="1"/>
        <s v="Fuga de agua por depósito posterior." u="1"/>
        <s v="Inspección de temperadora y compresor" u="1"/>
        <s v="Apoyo en el armado de bañadora" u="1"/>
        <s v="Bomba de agua potable desebada" u="1"/>
        <s v="Apoyó en operación de codificadora " u="1"/>
        <s v="Temperatura alta en sección 1 del túnel de enfriamiento " u="1"/>
        <s v="Se apoyó en operación y pruebas " u="1"/>
        <s v="Se coloco guardas de ventiladores en túnel de enfriamiento " u="1"/>
        <s v="Se realizó pruebas de circuito de enfriamiento en samfill" u="1"/>
        <s v="Habilitación de equipo , se translado a la planta y se conecto a tablero eléctrico " u="1"/>
        <s v="Cambio de formato Mds , se desarmo formato de agregados x50 y se armó formato agregados x100" u="1"/>
        <s v="Cambio de formato de pisco x9 a milky x10 " u="1"/>
        <s v="Apoyó en la regulación de velocidades de fajas guias" u="1"/>
        <s v="Error en ssr4 de sistema de pre calentamiento " u="1"/>
        <s v="Cambiar formato a pisco x 9 " u="1"/>
        <s v="Limpieza de carbones en máquina." u="1"/>
        <s v="Impresora con falla en el codificado." u="1"/>
        <s v="Armado de módulo MDS formato agregados " u="1"/>
        <s v="Armado de máquina y tuberías. Colocar piezas en posición y habilitar máquina." u="1"/>
        <s v="Sobretorque en b520, torre de subida " u="1"/>
        <s v="Problemas en temperadora, no tempera " u="1"/>
        <s v="Cambio de formato de milky a pisco x9" u="1"/>
        <s v="No codifica correctamente " u="1"/>
        <s v="No cae chocolate" u="1"/>
        <s v="Contraelevador no se puede bajar más, tiene rose con pinzas" u="1"/>
        <s v="Cambio de formato a milky" u="1"/>
        <s v="Tensador de laminado desajustado, puntos de goma desalineados. Papel aluminio se pega a sellador y se rompe producto " u="1"/>
        <s v="Falta empujador de cadena" u="1"/>
        <s v="No sella aluminio, se rompe el producto. Codificado sale a la mitad " u="1"/>
        <s v="No cae chocolate, columna bloqueada" u="1"/>
        <s v="Desarmado de MDS. Formato frambuesa " u="1"/>
        <s v="Armado de MDS para agregados x50 " u="1"/>
        <s v="Robot no desmolda correctamente " u="1"/>
        <s v="Codificado sale borroso " u="1"/>
        <s v="Falla de arrastre " u="1"/>
        <s v="Inspección de temperadora de hacos 1 " u="1"/>
        <s v="Requieren lubricación en cadena " u="1"/>
        <s v="Laminado se hace bolsa " u="1"/>
        <s v="Producto sale ladeado " u="1"/>
        <s v="Desarmado de MDS para limpieza, cambio de sabor" u="1"/>
        <s v="Armado de MDS para crema ovalada " u="1"/>
        <s v="Armado de iman " u="1"/>
        <s v="Tina se llenó, bomba no impulsa suficiente chocolate." u="1"/>
        <s v="Cambio de formato de bite size a mini fondy " u="1"/>
        <s v="Verificación de arranque correcto en formato mini milky " u="1"/>
        <s v="Producto se junta en faja" u="1"/>
        <s v="Cambio de formato a crema redonda " u="1"/>
        <s v="Cambio de formato a milky x 10." u="1"/>
        <s v="Colisión de piezas." u="1"/>
        <s v="Desarmar módulo MDS para su limpieza " u="1"/>
        <s v="Lubricacion " u="1"/>
        <s v="Apoyo en ajuste de pieza para presión de laminado bite size" u="1"/>
        <s v="Cambio de formato de pisco x18 a milky x10" u="1"/>
        <s v="Canal de entrada de producto desnivelado, producto choca y sale mal el corte" u="1"/>
        <s v="Lubricacion de equipo" u="1"/>
        <s v="Armado de módulo de corte en maquina" u="1"/>
        <s v="Laminado se sale continuamente, mordaza muerde producto" u="1"/>
        <s v="Solicitan cambio de formato de pisco x9 a milky" u="1"/>
        <s v="Guía de laminado se encuentra doblado" u="1"/>
        <s v="Verificación de arrastre de laminado, se realiza pruebas de piezas adaptada para pasar laminado de bite size" u="1"/>
        <s v="Codificado sale borroso y distorsionado" u="1"/>
        <s v="Producción indica que ya no pasaráilky, que se vuelva a cambiar a pisco x18" u="1"/>
        <s v="B6 empuja demasiado fuerte los moldes" u="1"/>
        <s v="Armado de MDS para crema ovalada" u="1"/>
        <s v="Calibración de laminado y pruebas con producto. Pisco x18" u="1"/>
        <s v="Tina se encuentra llena. Bomba impulsa poco chocolate " u="1"/>
        <s v="Arranque de equipos de planta, verificación de pozos" u="1"/>
        <s v="Apoyo en arranque de equipo" u="1"/>
        <s v="Válvula abierta de unidad de mantenimiento de aire" u="1"/>
        <s v="Desarmar máquina para su limpieza. Retirar mordazas y cadena para su limpieza." u="1"/>
        <s v="Cambiar formato a bite size." u="1"/>
        <s v="Pieza de sellado dañada. " u="1"/>
        <s v="Apoyo en desarmado de equipo para limpieza " u="1"/>
        <s v="Pedal no acciona, cuchilla no corta" u="1"/>
        <s v="Cambio de mordaza para formato bite size, colocación de guardas" u="1"/>
        <s v="Imprime borroso" u="1"/>
        <s v="Revisión de temperado y niveles de agua en temperadora" u="1"/>
      </sharedItems>
    </cacheField>
    <cacheField name="ACT. CORRECTIVA" numFmtId="0">
      <sharedItems containsBlank="1"/>
    </cacheField>
    <cacheField name="CONTEO" numFmtId="1">
      <sharedItems containsSemiMixedTypes="0" containsString="0" containsNumber="1" containsInteger="1" minValue="0" maxValue="3"/>
    </cacheField>
    <cacheField name="Maq." numFmtId="0">
      <sharedItems count="69">
        <s v="PROCESADORA DE MASAS - NETZSCH"/>
        <s v="LINEA AUTOMATICA HACOS 2"/>
        <s v="BARQUILLERA FRANZ HAAZ"/>
        <s v="TEMPERADORA CHOCOLATIER"/>
        <s v="COMEDOR"/>
        <s v="RAYOS X 2"/>
        <s v="CALDERO, CHRILLER Y COMPRESOR"/>
        <s v="POZO DE CHILLER"/>
        <s v="CORTADORA DE TURRON"/>
        <s v="EMP. SACMI"/>
        <s v=""/>
        <s v="PLANTA INDUSTRIAL" u="1"/>
        <s v="POZOS" u="1"/>
        <s v="LINEA AUTOMATICA HACOS 1" u="1"/>
        <s v="1ER PISO" u="1"/>
        <s v="EMP. FLOWPACK 2" u="1"/>
        <s v="BAÑADORA DE CHOCOLATE 1" u="1"/>
        <s v="EMP. 2 - CARLE MONTANARY" u="1"/>
        <s v="ENCELOFANADORA ECCOPAC" u="1"/>
        <s v="QUEBRANTADOR DE CACAO  01 JAF INOX" u="1"/>
        <s v="EMP. FLOWPACK 1" u="1"/>
        <s v="TALLER DE MANTENIMIENTO" u="1"/>
        <s v="BAÑADORA DE CHOCOLATE 3" u="1"/>
        <s v="EMP. 1 - CHOCOTECH" u="1"/>
        <s v="EMP. SAPAL" u="1"/>
        <s v="TOSTADOR PETRONCINI NUEVO" u="1"/>
        <s v="EMP. NAPOLITANA" u="1"/>
        <s v="RAYOS X 3" u="1"/>
        <s v="FORRADORA AUTOMATICA 03" u="1"/>
        <s v="REFINADOR BUHLER" u="1"/>
        <s v="TANQUE DE CHOCOLATE DE BAÑADORA" u="1"/>
        <s v="COCINADORA 6 -FAMAIC " u="1"/>
        <s v="EMP. AMP ROSE" u="1"/>
        <s v="MOLINO BILLAS" u="1"/>
        <s v="FORRADORA AUTOMATICA 01" u="1"/>
        <s v="FORRADORA MINIFLEX" u="1"/>
        <s v="ENVASADORA TEPACK" u="1"/>
        <s v="MAQUINARIA DE PLANTA" u="1"/>
        <s v="LINEA DE COCCION HANSEL" u="1"/>
        <s v="CONCHA ELK" u="1"/>
        <s v="CODIFICADORA MARKEM IMAJE 9450- FLOWPACK 1" u="1"/>
        <s v="GRAGEADORA CRG-100X" u="1"/>
        <s v="3ER PISO" u="1"/>
        <s v="5TO PISO" u="1"/>
        <s v="MOLDEO MANUAL" u="1"/>
        <s v="SELLADORA DE BOLSAS DOYPACK ECCOPAC" u="1"/>
        <s v="LOCAL ANEXO" u="1"/>
        <s v="BAÑADORA DE CHOCOLATE 2" u="1"/>
        <s v="CODIFICADORA  MARKEM IMAJE 9450 4TO PISO" u="1"/>
        <s v="LABORATORIO" u="1"/>
        <s v="AGUA POTABLE" u="1"/>
        <s v="SISTEMA DE MECANIZADO DE ENCAJADO MANUAL" u="1"/>
        <s v="FORRADORA AUTOMATICA 02" u="1"/>
        <s v="CONCHA CLOVER 01" u="1"/>
        <s v="RAYOS X 1" u="1"/>
        <s v="ASCENSOR TK " u="1"/>
        <s v="CONCHA CLOVER 02" u="1"/>
        <s v="MOLINO REBOTE - IMPACTO" u="1"/>
        <s v="TUNEL DE ENFRIAMIENTO AMP ROSE" u="1"/>
        <s v="CYCLOP 50/ MOLDEO MANUAL" u="1"/>
        <s v="STEPHAN - PROCESADOR DE MASAS" u="1"/>
        <s v="CALDERO 100 BHP" u="1"/>
        <s v="CYCLOP 80 / F.HUECAS" u="1"/>
        <s v="CODIFICADORA MARKEM IMAJE 9050- FLOWPACK 2" u="1"/>
        <s v="DESINFECCION DE CASTAÑA" u="1"/>
        <s v="GIRADORA COLLMAN 02" u="1"/>
        <s v="TEMPERADORA CHOCOTECH" u="1"/>
        <s v="EQUIPO DE FRIO 05 - 1 CUERPO  TOFFEE" u="1"/>
        <s v="MEZCLADORA DE DOBLE EJE SSHS4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ancarlo Mamani Luque" refreshedDate="46205.33631712963" createdVersion="8" refreshedVersion="8" minRefreshableVersion="3" recordCount="290" xr:uid="{1434D5FB-00AB-410E-86A5-46DDE4B374F8}">
  <cacheSource type="worksheet">
    <worksheetSource name="Tabla_query___2026_06_23T082334.128"/>
  </cacheSource>
  <cacheFields count="32">
    <cacheField name="FECHA REGISTRO" numFmtId="16">
      <sharedItems containsSemiMixedTypes="0" containsNonDate="0" containsDate="1" containsString="0" minDate="2025-07-10T00:00:00" maxDate="2026-07-03T00:00:00" count="290">
        <d v="2025-07-10T00:00:00"/>
        <d v="2025-07-11T00:00:00"/>
        <d v="2025-07-12T00:00:00"/>
        <d v="2025-07-14T00:00:00"/>
        <d v="2025-07-15T00:00:00"/>
        <d v="2025-07-16T00:00:00"/>
        <d v="2025-07-17T00:00:00"/>
        <d v="2025-07-18T00:00:00"/>
        <d v="2025-07-19T00:00:00"/>
        <d v="2025-07-21T00:00:00"/>
        <d v="2025-07-22T00:00:00"/>
        <d v="2025-07-24T00:00:00"/>
        <d v="2025-07-25T00:00:00"/>
        <d v="2025-07-26T00:00:00"/>
        <d v="2025-07-30T00:00:00"/>
        <d v="2025-07-31T00:00:00"/>
        <d v="2025-08-01T00:00:00"/>
        <d v="2025-08-02T00:00:00"/>
        <d v="2025-08-05T00:00:00"/>
        <d v="2025-08-07T00:00:00"/>
        <d v="2025-08-08T00:00:00"/>
        <d v="2025-08-09T00:00:00"/>
        <d v="2025-08-11T00:00:00"/>
        <d v="2025-08-12T00:00:00"/>
        <d v="2025-08-13T00:00:00"/>
        <d v="2025-08-14T00:00:00"/>
        <d v="2025-08-16T00:00:00"/>
        <d v="2025-08-18T00:00:00"/>
        <d v="2025-08-19T00:00:00"/>
        <d v="2025-08-20T00:00:00"/>
        <d v="2025-08-21T00:00:00"/>
        <d v="2025-08-22T00:00:00"/>
        <d v="2025-08-23T00:00:00"/>
        <d v="2025-08-25T00:00:00"/>
        <d v="2025-08-26T00:00:00"/>
        <d v="2025-08-27T00:00:00"/>
        <d v="2025-08-28T00:00:00"/>
        <d v="2025-08-29T00:00:00"/>
        <d v="2025-09-01T00:00:00"/>
        <d v="2025-09-02T00:00:00"/>
        <d v="2025-09-03T00:00:00"/>
        <d v="2025-09-04T00:00:00"/>
        <d v="2025-09-05T00:00:00"/>
        <d v="2025-09-06T00:00:00"/>
        <d v="2025-09-08T00:00:00"/>
        <d v="2025-09-09T00:00:00"/>
        <d v="2025-09-10T00:00:00"/>
        <d v="2025-09-11T00:00:00"/>
        <d v="2025-09-12T00:00:00"/>
        <d v="2025-09-13T00:00:00"/>
        <d v="2025-09-15T00:00:00"/>
        <d v="2025-09-16T00:00:00"/>
        <d v="2025-09-17T00:00:00"/>
        <d v="2025-09-18T00:00:00"/>
        <d v="2025-09-19T00:00:00"/>
        <d v="2025-09-20T00:00:00"/>
        <d v="2025-09-22T00:00:00"/>
        <d v="2025-09-23T00:00:00"/>
        <d v="2025-09-24T00:00:00"/>
        <d v="2025-09-25T00:00:00"/>
        <d v="2025-09-26T00:00:00"/>
        <d v="2025-09-27T00:00:00"/>
        <d v="2025-09-29T00:00:00"/>
        <d v="2025-09-30T00:00:00"/>
        <d v="2025-10-01T00:00:00"/>
        <d v="2025-10-02T00:00:00"/>
        <d v="2025-10-03T00:00:00"/>
        <d v="2025-10-04T00:00:00"/>
        <d v="2025-10-06T00:00:00"/>
        <d v="2025-10-07T00:00:00"/>
        <d v="2025-10-09T00:00:00"/>
        <d v="2025-10-10T00:00:00"/>
        <d v="2025-10-11T00:00:00"/>
        <d v="2025-10-13T00:00:00"/>
        <d v="2025-10-14T00:00:00"/>
        <d v="2025-10-15T00:00:00"/>
        <d v="2025-10-16T00:00:00"/>
        <d v="2025-10-17T00:00:00"/>
        <d v="2025-10-18T00:00:00"/>
        <d v="2025-10-20T00:00:00"/>
        <d v="2025-10-21T00:00:00"/>
        <d v="2025-10-22T00:00:00"/>
        <d v="2025-10-23T00:00:00"/>
        <d v="2025-10-24T00:00:00"/>
        <d v="2025-10-25T00:00:00"/>
        <d v="2025-10-27T00:00:00"/>
        <d v="2025-10-28T00:00:00"/>
        <d v="2025-10-29T00:00:00"/>
        <d v="2025-10-30T00:00:00"/>
        <d v="2025-10-31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4T00:00:00"/>
        <d v="2025-11-25T00:00:00"/>
        <d v="2025-11-26T00:00:00"/>
        <d v="2025-11-27T00:00:00"/>
        <d v="2025-11-28T00:00:00"/>
        <d v="2025-11-29T00:00:00"/>
        <d v="2025-12-01T00:00:00"/>
        <d v="2025-12-02T00:00:00"/>
        <d v="2025-12-03T00:00:00"/>
        <d v="2025-12-04T00:00:00"/>
        <d v="2025-12-05T00:00:00"/>
        <d v="2025-12-06T00:00:00"/>
        <d v="2025-12-10T00:00:00"/>
        <d v="2025-12-11T00:00:00"/>
        <d v="2025-12-12T00:00:00"/>
        <d v="2025-12-13T00:00:00"/>
        <d v="2025-12-15T00:00:00"/>
        <d v="2025-12-16T00:00:00"/>
        <d v="2025-12-17T00:00:00"/>
        <d v="2025-12-19T00:00:00"/>
        <d v="2025-12-20T00:00:00"/>
        <d v="2025-12-22T00:00:00"/>
        <d v="2025-12-23T00:00:00"/>
        <d v="2025-12-24T00:00:00"/>
        <d v="2025-12-26T00:00:00"/>
        <d v="2025-12-27T00:00:00"/>
        <d v="2025-12-29T00:00:00"/>
        <d v="2025-12-30T00:00:00"/>
        <d v="2025-12-31T00:00:00"/>
        <d v="2026-01-02T00:00:00"/>
        <d v="2026-01-03T00:00:00"/>
        <d v="2026-01-05T00:00:00"/>
        <d v="2026-01-06T00:00:00"/>
        <d v="2026-01-07T00:00:00"/>
        <d v="2026-01-08T00:00:00"/>
        <d v="2026-01-09T00:00:00"/>
        <d v="2026-01-10T00:00:00"/>
        <d v="2026-01-12T00:00:00"/>
        <d v="2026-01-13T00:00:00"/>
        <d v="2026-01-14T00:00:00"/>
        <d v="2026-01-15T00:00:00"/>
        <d v="2026-01-16T00:00:00"/>
        <d v="2026-01-17T00:00:00"/>
        <d v="2026-01-19T00:00:00"/>
        <d v="2026-01-20T00:00:00"/>
        <d v="2026-01-21T00:00:00"/>
        <d v="2026-01-22T00:00:00"/>
        <d v="2026-01-23T00:00:00"/>
        <d v="2026-01-24T00:00:00"/>
        <d v="2026-01-26T00:00:00"/>
        <d v="2026-01-27T00:00:00"/>
        <d v="2026-01-28T00:00:00"/>
        <d v="2026-01-29T00:00:00"/>
        <d v="2026-01-30T00:00:00"/>
        <d v="2026-01-31T00:00:00"/>
        <d v="2026-02-02T00:00:00"/>
        <d v="2026-02-03T00:00:00"/>
        <d v="2026-02-04T00:00:00"/>
        <d v="2026-02-05T00:00:00"/>
        <d v="2026-02-06T00:00:00"/>
        <d v="2026-02-07T00:00:00"/>
        <d v="2026-02-09T00:00:00"/>
        <d v="2026-02-10T00:00:00"/>
        <d v="2026-02-11T00:00:00"/>
        <d v="2026-02-12T00:00:00"/>
        <d v="2026-02-13T00:00:00"/>
        <d v="2026-02-14T00:00:00"/>
        <d v="2026-02-16T00:00:00"/>
        <d v="2026-02-17T00:00:00"/>
        <d v="2026-02-18T00:00:00"/>
        <d v="2026-02-19T00:00:00"/>
        <d v="2026-02-20T00:00:00"/>
        <d v="2026-02-21T00:00:00"/>
        <d v="2026-02-23T00:00:00"/>
        <d v="2026-02-24T00:00:00"/>
        <d v="2026-02-25T00:00:00"/>
        <d v="2026-02-26T00:00:00"/>
        <d v="2026-02-27T00:00:00"/>
        <d v="2026-02-28T00:00:00"/>
        <d v="2026-03-02T00:00:00"/>
        <d v="2026-03-03T00:00:00"/>
        <d v="2026-03-04T00:00:00"/>
        <d v="2026-03-05T00:00:00"/>
        <d v="2026-03-06T00:00:00"/>
        <d v="2026-03-07T00:00:00"/>
        <d v="2026-03-09T00:00:00"/>
        <d v="2026-03-10T00:00:00"/>
        <d v="2026-03-11T00:00:00"/>
        <d v="2026-03-12T00:00:00"/>
        <d v="2026-03-13T00:00:00"/>
        <d v="2026-03-14T00:00:00"/>
        <d v="2026-03-16T00:00:00"/>
        <d v="2026-03-17T00:00:00"/>
        <d v="2026-03-18T00:00:00"/>
        <d v="2026-03-19T00:00:00"/>
        <d v="2026-03-20T00:00:00"/>
        <d v="2026-03-21T00:00:00"/>
        <d v="2026-03-23T00:00:00"/>
        <d v="2026-03-24T00:00:00"/>
        <d v="2026-03-25T00:00:00"/>
        <d v="2026-03-26T00:00:00"/>
        <d v="2026-03-27T00:00:00"/>
        <d v="2026-03-28T00:00:00"/>
        <d v="2026-03-30T00:00:00"/>
        <d v="2026-03-31T00:00:00"/>
        <d v="2026-04-01T00:00:00"/>
        <d v="2026-04-02T00:00:00"/>
        <d v="2026-04-06T00:00:00"/>
        <d v="2026-04-07T00:00:00"/>
        <d v="2026-04-08T00:00:00"/>
        <d v="2026-04-09T00:00:00"/>
        <d v="2026-04-10T00:00:00"/>
        <d v="2026-04-11T00:00:00"/>
        <d v="2026-04-13T00:00:00"/>
        <d v="2026-04-14T00:00:00"/>
        <d v="2026-04-15T00:00:00"/>
        <d v="2026-04-16T00:00:00"/>
        <d v="2026-04-17T00:00:00"/>
        <d v="2026-04-18T00:00:00"/>
        <d v="2026-04-20T00:00:00"/>
        <d v="2026-04-21T00:00:00"/>
        <d v="2026-04-22T00:00:00"/>
        <d v="2026-04-23T00:00:00"/>
        <d v="2026-04-24T00:00:00"/>
        <d v="2026-04-25T00:00:00"/>
        <d v="2026-04-27T00:00:00"/>
        <d v="2026-04-28T00:00:00"/>
        <d v="2026-04-29T00:00:00"/>
        <d v="2026-04-30T00:00:00"/>
        <d v="2026-05-04T00:00:00"/>
        <d v="2026-05-05T00:00:00"/>
        <d v="2026-05-06T00:00:00"/>
        <d v="2026-05-07T00:00:00"/>
        <d v="2026-05-08T00:00:00"/>
        <d v="2026-05-09T00:00:00"/>
        <d v="2026-05-11T00:00:00"/>
        <d v="2026-05-12T00:00:00"/>
        <d v="2026-05-13T00:00:00"/>
        <d v="2026-05-14T00:00:00"/>
        <d v="2026-05-15T00:00:00"/>
        <d v="2026-05-16T00:00:00"/>
        <d v="2026-05-18T00:00:00"/>
        <d v="2026-05-19T00:00:00"/>
        <d v="2026-05-20T00:00:00"/>
        <d v="2026-05-21T00:00:00"/>
        <d v="2026-05-22T00:00:00"/>
        <d v="2026-05-23T00:00:00"/>
        <d v="2026-05-25T00:00:00"/>
        <d v="2026-05-26T00:00:00"/>
        <d v="2026-05-27T00:00:00"/>
        <d v="2026-05-28T00:00:00"/>
        <d v="2026-05-29T00:00:00"/>
        <d v="2026-05-30T00:00:00"/>
        <d v="2026-06-01T00:00:00"/>
        <d v="2026-06-02T00:00:00"/>
        <d v="2026-06-03T00:00:00"/>
        <d v="2026-06-04T00:00:00"/>
        <d v="2026-06-05T00:00:00"/>
        <d v="2026-06-06T00:00:00"/>
        <d v="2026-06-08T00:00:00"/>
        <d v="2026-06-09T00:00:00"/>
        <d v="2026-06-10T00:00:00"/>
        <d v="2026-06-11T00:00:00"/>
        <d v="2026-06-12T00:00:00"/>
        <d v="2026-06-13T00:00:00"/>
        <d v="2026-06-15T00:00:00"/>
        <d v="2026-06-16T00:00:00"/>
        <d v="2026-06-17T00:00:00"/>
        <d v="2026-06-18T00:00:00"/>
        <d v="2026-06-19T00:00:00"/>
        <d v="2026-06-20T00:00:00"/>
        <d v="2026-06-22T00:00:00"/>
        <d v="2026-06-23T00:00:00"/>
        <d v="2026-06-24T00:00:00"/>
        <d v="2026-06-25T00:00:00"/>
        <d v="2026-06-26T00:00:00"/>
        <d v="2026-06-27T00:00:00"/>
        <d v="2026-06-30T00:00:00"/>
        <d v="2026-07-01T00:00:00"/>
        <d v="2026-07-02T00:00:00"/>
      </sharedItems>
      <fieldGroup par="31"/>
    </cacheField>
    <cacheField name="GENERAL" numFmtId="4">
      <sharedItems containsSemiMixedTypes="0" containsString="0" containsNumber="1" containsInteger="1" minValue="53190" maxValue="71048"/>
    </cacheField>
    <cacheField name="POZOS Y OFICINAS" numFmtId="4">
      <sharedItems containsSemiMixedTypes="0" containsString="0" containsNumber="1" containsInteger="1" minValue="54145" maxValue="72414"/>
    </cacheField>
    <cacheField name="BAÑOS Y OFICINAS" numFmtId="4">
      <sharedItems containsSemiMixedTypes="0" containsString="0" containsNumber="1" containsInteger="1" minValue="13133" maxValue="16807"/>
    </cacheField>
    <cacheField name="CALDERAS" numFmtId="4">
      <sharedItems containsSemiMixedTypes="0" containsString="0" containsNumber="1" minValue="757.01" maxValue="968.04899999999998"/>
    </cacheField>
    <cacheField name="PTAR" numFmtId="4">
      <sharedItems containsSemiMixedTypes="0" containsString="0" containsNumber="1" containsInteger="1" minValue="7400" maxValue="9935"/>
    </cacheField>
    <cacheField name="SEDAPAR_x000a_GENERAL" numFmtId="4">
      <sharedItems containsSemiMixedTypes="0" containsString="0" containsNumber="1" containsInteger="1" minValue="226413" maxValue="244616"/>
    </cacheField>
    <cacheField name="MV6" numFmtId="4">
      <sharedItems containsSemiMixedTypes="0" containsString="0" containsNumber="1" minValue="4446.1000000000004" maxValue="5484.1"/>
    </cacheField>
    <cacheField name="MV9" numFmtId="4">
      <sharedItems containsSemiMixedTypes="0" containsString="0" containsNumber="1" minValue="13" maxValue="9998.4"/>
    </cacheField>
    <cacheField name="MV12" numFmtId="4">
      <sharedItems containsSemiMixedTypes="0" containsString="0" containsNumber="1" minValue="4259.3999999999996" maxValue="5729.6"/>
    </cacheField>
    <cacheField name="ENERGIA" numFmtId="4">
      <sharedItems containsString="0" containsBlank="1" containsNumber="1" containsInteger="1" minValue="1811" maxValue="9092"/>
    </cacheField>
    <cacheField name="P.ACTIVA" numFmtId="4">
      <sharedItems containsString="0" containsBlank="1" containsNumber="1" containsInteger="1" minValue="75" maxValue="379"/>
    </cacheField>
    <cacheField name="GENERAL_x000a_CAL" numFmtId="4">
      <sharedItems containsSemiMixedTypes="0" containsString="0" containsNumber="1" containsInteger="1" minValue="5" maxValue="143"/>
    </cacheField>
    <cacheField name="POZOS_x000a_CAL" numFmtId="4">
      <sharedItems containsSemiMixedTypes="0" containsString="0" containsNumber="1" containsInteger="1" minValue="3" maxValue="147"/>
    </cacheField>
    <cacheField name="BAÑOS_x000a_CAL" numFmtId="4">
      <sharedItems containsSemiMixedTypes="0" containsString="0" containsNumber="1" containsInteger="1" minValue="3" maxValue="40"/>
    </cacheField>
    <cacheField name="CALDERAS_x000a_CAL" numFmtId="0">
      <sharedItems containsSemiMixedTypes="0" containsString="0" containsNumber="1" minValue="0" maxValue="27.818000000000001"/>
    </cacheField>
    <cacheField name="PTAR_x000a_CAL" numFmtId="4">
      <sharedItems containsSemiMixedTypes="0" containsString="0" containsNumber="1" containsInteger="1" minValue="0" maxValue="22"/>
    </cacheField>
    <cacheField name="SEDAPAR_x000a_CAL" numFmtId="4">
      <sharedItems containsSemiMixedTypes="0" containsString="0" containsNumber="1" containsInteger="1" minValue="2" maxValue="147"/>
    </cacheField>
    <cacheField name="MV6_x000a_CAL" numFmtId="4">
      <sharedItems containsSemiMixedTypes="0" containsString="0" containsNumber="1" minValue="0" maxValue="7.7"/>
    </cacheField>
    <cacheField name="MV9_x000a_CAL" numFmtId="0">
      <sharedItems containsSemiMixedTypes="0" containsString="0" containsNumber="1" minValue="-52.8" maxValue="32.4"/>
    </cacheField>
    <cacheField name="MV12_x000a_CAL" numFmtId="4">
      <sharedItems containsSemiMixedTypes="0" containsString="0" containsNumber="1" minValue="0.9" maxValue="12.3"/>
    </cacheField>
    <cacheField name="TANQUE DE GLP" numFmtId="9">
      <sharedItems containsSemiMixedTypes="0" containsString="0" containsNumber="1" containsInteger="1" minValue="19" maxValue="88"/>
    </cacheField>
    <cacheField name="SEMANA" numFmtId="0">
      <sharedItems containsSemiMixedTypes="0" containsString="0" containsNumber="1" containsInteger="1" minValue="1" maxValue="53"/>
    </cacheField>
    <cacheField name="AÑO" numFmtId="3">
      <sharedItems containsSemiMixedTypes="0" containsString="0" containsNumber="1" containsInteger="1" minValue="2025" maxValue="2026"/>
    </cacheField>
    <cacheField name="MES" numFmtId="3">
      <sharedItems containsSemiMixedTypes="0" containsString="0" containsNumber="1" containsInteger="1" minValue="1" maxValue="12"/>
    </cacheField>
    <cacheField name="CONCAT" numFmtId="0">
      <sharedItems count="13">
        <s v="2025 - 7"/>
        <s v="2025 - 8"/>
        <s v="2025 - 9"/>
        <s v="2025 - 10"/>
        <s v="2025 - 11"/>
        <s v="2025 - 12"/>
        <s v="2026 - 1"/>
        <s v="2026 - 2"/>
        <s v="2026 - 3"/>
        <s v="2026 - 4"/>
        <s v="2026 - 5"/>
        <s v="2026 - 6"/>
        <s v="2026 - 7"/>
      </sharedItems>
    </cacheField>
    <cacheField name="LCC _x000a_GENERAL" numFmtId="0">
      <sharedItems containsSemiMixedTypes="0" containsString="0" containsNumber="1" containsInteger="1" minValue="75" maxValue="75"/>
    </cacheField>
    <cacheField name="LCC ENERGIA" numFmtId="0">
      <sharedItems containsSemiMixedTypes="0" containsString="0" containsNumber="1" containsInteger="1" minValue="8000" maxValue="8000"/>
    </cacheField>
    <cacheField name="LCC  P.ACTIVA" numFmtId="0">
      <sharedItems containsSemiMixedTypes="0" containsString="0" containsNumber="1" containsInteger="1" minValue="350" maxValue="350"/>
    </cacheField>
    <cacheField name="Meses (FECHA REGISTRO)" numFmtId="0" databaseField="0">
      <fieldGroup base="0">
        <rangePr groupBy="months" startDate="2025-07-10T00:00:00" endDate="2026-07-03T00:00:00"/>
        <groupItems count="14">
          <s v="&lt;10/07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3/07/2026"/>
        </groupItems>
      </fieldGroup>
    </cacheField>
    <cacheField name="Trimestres (FECHA REGISTRO)" numFmtId="0" databaseField="0">
      <fieldGroup base="0">
        <rangePr groupBy="quarters" startDate="2025-07-10T00:00:00" endDate="2026-07-03T00:00:00"/>
        <groupItems count="6">
          <s v="&lt;10/07/2025"/>
          <s v="Trim.1"/>
          <s v="Trim.2"/>
          <s v="Trim.3"/>
          <s v="Trim.4"/>
          <s v="&gt;3/07/2026"/>
        </groupItems>
      </fieldGroup>
    </cacheField>
    <cacheField name="Años (FECHA REGISTRO)" numFmtId="0" databaseField="0">
      <fieldGroup base="0">
        <rangePr groupBy="years" startDate="2025-07-10T00:00:00" endDate="2026-07-03T00:00:00"/>
        <groupItems count="4">
          <s v="&lt;10/07/2025"/>
          <s v="2025"/>
          <s v="2026"/>
          <s v="&gt;3/07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3">
  <r>
    <s v="EMP. SACMI-1"/>
    <d v="2025-10-13T00:00:00"/>
    <s v="CARLOS PUMA"/>
    <x v="0"/>
    <s v="21:30"/>
    <s v="21:50"/>
    <d v="1899-12-30T00:20:00"/>
    <x v="0"/>
    <x v="0"/>
    <x v="0"/>
    <x v="0"/>
    <x v="0"/>
    <s v="Inspección de equipo "/>
    <s v=""/>
    <m/>
    <m/>
    <m/>
    <m/>
    <m/>
    <m/>
    <m/>
    <m/>
    <m/>
    <m/>
    <m/>
    <m/>
    <m/>
    <x v="0"/>
    <n v="1"/>
  </r>
  <r>
    <s v="LINEA AUTOMATICA HACOS 1-1"/>
    <d v="2025-10-13T00:00:00"/>
    <s v="CARLOS PUMA"/>
    <x v="0"/>
    <s v="22:00"/>
    <s v="22:25"/>
    <d v="1899-12-30T00:25:00"/>
    <x v="1"/>
    <x v="0"/>
    <x v="0"/>
    <x v="0"/>
    <x v="0"/>
    <s v="Inspección de temperadora"/>
    <s v="Se ajusto prensaestopa de columna y se reviso niveles de agua"/>
    <m/>
    <m/>
    <m/>
    <m/>
    <m/>
    <m/>
    <m/>
    <m/>
    <m/>
    <m/>
    <m/>
    <m/>
    <m/>
    <x v="0"/>
    <n v="1"/>
  </r>
  <r>
    <s v="LINEA AUTOMATICA HACOS 2-1"/>
    <d v="2025-10-13T00:00:00"/>
    <s v="CARLOS PUMA"/>
    <x v="0"/>
    <s v="22:35"/>
    <s v="23:10"/>
    <d v="1899-12-30T00:35:00"/>
    <x v="2"/>
    <x v="0"/>
    <x v="1"/>
    <x v="1"/>
    <x v="1"/>
    <s v="Robot no desmolda correctamente "/>
    <s v="Se aumento fuerza de torsión, se apoyó en el cambio de ventosas dañadas y se configuro parámetros del robot"/>
    <m/>
    <m/>
    <m/>
    <m/>
    <m/>
    <m/>
    <m/>
    <m/>
    <m/>
    <m/>
    <m/>
    <m/>
    <m/>
    <x v="0"/>
    <n v="1"/>
  </r>
  <r>
    <s v="LINEA DE COCCION HANSEL-1"/>
    <d v="2025-10-13T00:00:00"/>
    <s v="CARLOS PUMA"/>
    <x v="0"/>
    <s v="23:15"/>
    <d v="1899-12-31T00:10:00"/>
    <d v="1899-12-30T00:55:00"/>
    <x v="3"/>
    <x v="0"/>
    <x v="1"/>
    <x v="1"/>
    <x v="1"/>
    <s v="Problemas con el vacío, válvulas no calibradas"/>
    <s v="Se aborto receta y se descargo manualmente a mesa de toffe, se regulo la presión de vacío sin carga"/>
    <m/>
    <m/>
    <m/>
    <m/>
    <m/>
    <m/>
    <m/>
    <m/>
    <m/>
    <m/>
    <m/>
    <m/>
    <m/>
    <x v="0"/>
    <n v="1"/>
  </r>
  <r>
    <s v="PLANTA INDUSTRIAL-1"/>
    <d v="2025-10-13T00:00:00"/>
    <s v="CARLOS PUMA"/>
    <x v="0"/>
    <s v="00:24"/>
    <s v="00:40"/>
    <d v="1899-12-30T00:16:00"/>
    <x v="4"/>
    <x v="1"/>
    <x v="2"/>
    <x v="0"/>
    <x v="0"/>
    <s v="Trabajos menores en planta"/>
    <s v=""/>
    <m/>
    <m/>
    <m/>
    <m/>
    <m/>
    <m/>
    <m/>
    <m/>
    <m/>
    <m/>
    <m/>
    <m/>
    <m/>
    <x v="0"/>
    <n v="1"/>
  </r>
  <r>
    <s v="LINEA AUTOMATICA HACOS 1-2"/>
    <d v="2025-10-13T00:00:00"/>
    <s v="CARLOS PUMA"/>
    <x v="0"/>
    <s v="01:00"/>
    <s v="01:10"/>
    <d v="1899-12-30T00:10:00"/>
    <x v="1"/>
    <x v="0"/>
    <x v="3"/>
    <x v="0"/>
    <x v="0"/>
    <s v="Charla informativa sobre intercambiador de moldes"/>
    <s v=""/>
    <m/>
    <m/>
    <m/>
    <m/>
    <m/>
    <m/>
    <m/>
    <m/>
    <m/>
    <m/>
    <m/>
    <m/>
    <m/>
    <x v="0"/>
    <n v="2"/>
  </r>
  <r>
    <s v="QUEBRANTADOR DE CACAO  01 JAF INOX-1"/>
    <d v="2025-10-13T00:00:00"/>
    <s v="CARLOS TAPIA"/>
    <x v="1"/>
    <s v="06:30"/>
    <s v="07:00"/>
    <d v="1899-12-30T00:30:00"/>
    <x v="5"/>
    <x v="0"/>
    <x v="4"/>
    <x v="0"/>
    <x v="0"/>
    <s v="Desarmar máquina para su limpieza."/>
    <s v="Se retiró guardas, rejillas y piezas de máquina para su respectiva limpieza."/>
    <m/>
    <m/>
    <m/>
    <m/>
    <m/>
    <m/>
    <m/>
    <m/>
    <m/>
    <m/>
    <m/>
    <m/>
    <m/>
    <x v="0"/>
    <n v="1"/>
  </r>
  <r>
    <s v="LINEA DE COCCION HANSEL-2"/>
    <d v="2025-10-13T00:00:00"/>
    <s v="CARLOS TAPIA"/>
    <x v="1"/>
    <s v="08:00"/>
    <s v="08:30"/>
    <d v="1899-12-30T00:30:00"/>
    <x v="3"/>
    <x v="0"/>
    <x v="1"/>
    <x v="1"/>
    <x v="1"/>
    <s v="Válvula de descarga, no realiza la apertura de forma manual. Se presencia fuga de aire por actuador neumático."/>
    <s v="Se revisó y aperturó de forma manual válvula de descarga.Se informó a jefe de mantenimiento y a supervisor de producción, para la intervención (retiro de válvula)."/>
    <m/>
    <m/>
    <m/>
    <m/>
    <m/>
    <m/>
    <m/>
    <m/>
    <m/>
    <m/>
    <m/>
    <m/>
    <m/>
    <x v="0"/>
    <n v="2"/>
  </r>
  <r>
    <s v="1ER PISO-1"/>
    <d v="2025-10-13T00:00:00"/>
    <s v="CARLOS TAPIA"/>
    <x v="1"/>
    <s v="09:15"/>
    <s v="09:40"/>
    <d v="1899-12-30T00:25:00"/>
    <x v="6"/>
    <x v="1"/>
    <x v="1"/>
    <x v="1"/>
    <x v="2"/>
    <s v="No hay tensión en luminarias y tomacorrientes en almacén de envases."/>
    <s v="Se revisó tablero eléctrico y se identifico llaves que dicha zona."/>
    <m/>
    <m/>
    <m/>
    <m/>
    <m/>
    <m/>
    <m/>
    <m/>
    <m/>
    <m/>
    <m/>
    <m/>
    <m/>
    <x v="0"/>
    <n v="1"/>
  </r>
  <r>
    <s v="EMP. SACMI-2"/>
    <d v="2025-10-13T00:00:00"/>
    <s v="CARLOS TAPIA"/>
    <x v="1"/>
    <s v="10:00"/>
    <s v="10:30"/>
    <d v="1899-12-30T00:30:00"/>
    <x v="0"/>
    <x v="0"/>
    <x v="4"/>
    <x v="0"/>
    <x v="0"/>
    <s v="Armar y habilitar máquina."/>
    <s v="Se buscó piezas para armar máquina, se le informó a supervisores de producción sobre las piezas de máquina para que puedan buscarlas. Se colocó piezas en cabina de máquina."/>
    <m/>
    <m/>
    <m/>
    <m/>
    <m/>
    <m/>
    <m/>
    <m/>
    <m/>
    <m/>
    <m/>
    <m/>
    <m/>
    <x v="0"/>
    <n v="2"/>
  </r>
  <r>
    <s v="TALLER DE MANTENIMIENTO-1"/>
    <d v="2025-10-13T00:00:00"/>
    <s v="CARLOS TAPIA"/>
    <x v="1"/>
    <s v="10:50"/>
    <s v="11:10"/>
    <d v="1899-12-30T00:20:00"/>
    <x v="7"/>
    <x v="1"/>
    <x v="5"/>
    <x v="1"/>
    <x v="1"/>
    <s v="Válvula de descarga hansel, con empaques (o ring) desgastados."/>
    <s v="Se apoyo a personal tercero MV.mecanica a la sustitución y se dió seguimiento al momento del montaje en maquina."/>
    <m/>
    <m/>
    <m/>
    <m/>
    <m/>
    <m/>
    <m/>
    <m/>
    <m/>
    <m/>
    <m/>
    <m/>
    <m/>
    <x v="0"/>
    <n v="1"/>
  </r>
  <r>
    <s v="QUEBRANTADOR DE CACAO  01 JAF INOX-2"/>
    <d v="2025-10-13T00:00:00"/>
    <s v="CARLOS TAPIA"/>
    <x v="1"/>
    <s v="12:40"/>
    <s v="13:20"/>
    <d v="1899-12-30T00:40:00"/>
    <x v="5"/>
    <x v="0"/>
    <x v="4"/>
    <x v="0"/>
    <x v="0"/>
    <s v="Armar máquina."/>
    <s v="Se colocó piezas en posición y se habilitó máquina."/>
    <m/>
    <m/>
    <m/>
    <m/>
    <m/>
    <m/>
    <m/>
    <m/>
    <m/>
    <m/>
    <m/>
    <m/>
    <m/>
    <x v="0"/>
    <n v="2"/>
  </r>
  <r>
    <s v="TALLER DE MANTENIMIENTO-2"/>
    <d v="2025-10-13T00:00:00"/>
    <s v="CARLOS TAPIA"/>
    <x v="1"/>
    <s v="13:30"/>
    <s v="14:00"/>
    <d v="1899-12-30T00:30:00"/>
    <x v="7"/>
    <x v="1"/>
    <x v="2"/>
    <x v="0"/>
    <x v="0"/>
    <s v="Reparar sumideros inoxidables de Hansell."/>
    <s v="Se soldó asa en sumidero de zona toffee-Hansell."/>
    <m/>
    <m/>
    <m/>
    <m/>
    <m/>
    <m/>
    <m/>
    <m/>
    <m/>
    <m/>
    <m/>
    <m/>
    <m/>
    <x v="0"/>
    <n v="2"/>
  </r>
  <r>
    <s v="PLANTA INDUSTRIAL-2"/>
    <d v="2025-10-13T00:00:00"/>
    <s v="OMAR NINA"/>
    <x v="1"/>
    <s v="05:35"/>
    <s v="06:30"/>
    <d v="1899-12-30T00:55:00"/>
    <x v="4"/>
    <x v="1"/>
    <x v="6"/>
    <x v="0"/>
    <x v="0"/>
    <s v="Arranque de equipos de planta y verificación de correcto encendido "/>
    <s v=""/>
    <m/>
    <m/>
    <m/>
    <m/>
    <m/>
    <m/>
    <m/>
    <m/>
    <m/>
    <m/>
    <m/>
    <m/>
    <m/>
    <x v="0"/>
    <n v="2"/>
  </r>
  <r>
    <s v="QUEBRANTADOR DE CACAO  01 JAF INOX-3"/>
    <d v="2025-10-13T00:00:00"/>
    <s v="OMAR NINA"/>
    <x v="1"/>
    <s v="06:35"/>
    <s v="06:54"/>
    <d v="1899-12-30T00:19:00"/>
    <x v="5"/>
    <x v="0"/>
    <x v="4"/>
    <x v="0"/>
    <x v="0"/>
    <s v="Se desarma equipo para limpieza "/>
    <s v=""/>
    <m/>
    <m/>
    <m/>
    <m/>
    <m/>
    <m/>
    <m/>
    <m/>
    <m/>
    <m/>
    <m/>
    <m/>
    <m/>
    <x v="0"/>
    <n v="3"/>
  </r>
  <r>
    <s v="EMP. 2 - CARLE MONTANARY-1"/>
    <d v="2025-10-13T00:00:00"/>
    <s v="OMAR NINA"/>
    <x v="1"/>
    <s v="07:10"/>
    <s v="07:35"/>
    <d v="1899-12-30T00:25:00"/>
    <x v="8"/>
    <x v="0"/>
    <x v="4"/>
    <x v="0"/>
    <x v="0"/>
    <s v="Se retira guardas y bandas para limpieza "/>
    <s v=""/>
    <m/>
    <m/>
    <m/>
    <m/>
    <m/>
    <m/>
    <m/>
    <m/>
    <m/>
    <m/>
    <m/>
    <m/>
    <m/>
    <x v="0"/>
    <n v="1"/>
  </r>
  <r>
    <s v="EMP. SACMI-3"/>
    <d v="2025-10-13T00:00:00"/>
    <s v="OMAR NINA"/>
    <x v="1"/>
    <s v="07:46"/>
    <s v="08:00"/>
    <d v="1899-12-30T00:14:00"/>
    <x v="0"/>
    <x v="0"/>
    <x v="4"/>
    <x v="0"/>
    <x v="0"/>
    <s v="Se retira guardas para realizar limpieza "/>
    <s v=""/>
    <m/>
    <m/>
    <m/>
    <m/>
    <m/>
    <m/>
    <m/>
    <m/>
    <m/>
    <m/>
    <m/>
    <m/>
    <m/>
    <x v="0"/>
    <n v="3"/>
  </r>
  <r>
    <s v="BOLEADORA-1"/>
    <d v="2025-10-13T00:00:00"/>
    <s v="OMAR NINA"/>
    <x v="1"/>
    <s v="08:14"/>
    <s v="08:30"/>
    <d v="1899-12-30T00:16:00"/>
    <x v="9"/>
    <x v="0"/>
    <x v="4"/>
    <x v="0"/>
    <x v="0"/>
    <s v="Se coloca polines "/>
    <s v=""/>
    <m/>
    <m/>
    <m/>
    <m/>
    <m/>
    <m/>
    <m/>
    <m/>
    <m/>
    <m/>
    <m/>
    <m/>
    <m/>
    <x v="0"/>
    <n v="1"/>
  </r>
  <r>
    <s v="LINEA AUTOMATICA HACOS 1-3"/>
    <d v="2025-10-13T00:00:00"/>
    <s v="OMAR NINA"/>
    <x v="1"/>
    <s v="08:44"/>
    <s v="08:53"/>
    <d v="1899-12-30T00:09:00"/>
    <x v="1"/>
    <x v="0"/>
    <x v="1"/>
    <x v="1"/>
    <x v="1"/>
    <s v="Falla en sensor A10"/>
    <s v="Se calibra posición de sensores y se regula flujo de aire en actuador "/>
    <m/>
    <m/>
    <m/>
    <m/>
    <m/>
    <m/>
    <m/>
    <m/>
    <m/>
    <m/>
    <m/>
    <m/>
    <m/>
    <x v="0"/>
    <n v="3"/>
  </r>
  <r>
    <s v="LINEA AUTOMATICA HACOS 1-4"/>
    <d v="2025-10-13T00:00:00"/>
    <s v="OMAR NINA"/>
    <x v="1"/>
    <s v="09:03"/>
    <s v="09:20"/>
    <d v="1899-12-30T00:17:00"/>
    <x v="1"/>
    <x v="0"/>
    <x v="0"/>
    <x v="0"/>
    <x v="0"/>
    <s v="Inspección de correcto funcionamiento de equipo "/>
    <s v=""/>
    <m/>
    <m/>
    <m/>
    <m/>
    <m/>
    <m/>
    <m/>
    <m/>
    <m/>
    <m/>
    <m/>
    <m/>
    <m/>
    <x v="0"/>
    <n v="4"/>
  </r>
  <r>
    <s v="EMP. SACMI-4"/>
    <d v="2025-10-13T00:00:00"/>
    <s v="OMAR NINA"/>
    <x v="1"/>
    <s v="11:00"/>
    <s v="11:27"/>
    <d v="1899-12-30T00:27:00"/>
    <x v="0"/>
    <x v="0"/>
    <x v="4"/>
    <x v="0"/>
    <x v="0"/>
    <s v="Armado de equipo, se coloca guardas fajas y se inicializa "/>
    <s v=""/>
    <m/>
    <m/>
    <m/>
    <m/>
    <m/>
    <m/>
    <m/>
    <m/>
    <m/>
    <m/>
    <m/>
    <m/>
    <m/>
    <x v="0"/>
    <n v="4"/>
  </r>
  <r>
    <s v="LINEA AUTOMATICA HACOS 1-5"/>
    <d v="2025-10-13T00:00:00"/>
    <s v="OMAR NINA"/>
    <x v="1"/>
    <s v="11:41"/>
    <s v="12:12"/>
    <d v="1899-12-30T00:31:00"/>
    <x v="1"/>
    <x v="0"/>
    <x v="4"/>
    <x v="0"/>
    <x v="0"/>
    <s v="Se busca piezas y se arma MD para formato milky frambuesa "/>
    <s v=""/>
    <m/>
    <m/>
    <m/>
    <m/>
    <m/>
    <m/>
    <m/>
    <m/>
    <m/>
    <m/>
    <m/>
    <m/>
    <m/>
    <x v="0"/>
    <n v="5"/>
  </r>
  <r>
    <s v="EMP. SACMI-5"/>
    <d v="2025-10-13T00:00:00"/>
    <s v="OMAR NINA"/>
    <x v="1"/>
    <s v="12:25"/>
    <s v="13:00"/>
    <d v="1899-12-30T00:35:00"/>
    <x v="0"/>
    <x v="0"/>
    <x v="1"/>
    <x v="1"/>
    <x v="1"/>
    <s v="Inspección de equipo "/>
    <s v="Faja de alimentación se frena por momentos, se tensa y se realiza pruebas "/>
    <m/>
    <m/>
    <m/>
    <m/>
    <m/>
    <m/>
    <m/>
    <m/>
    <m/>
    <m/>
    <m/>
    <m/>
    <m/>
    <x v="0"/>
    <n v="5"/>
  </r>
  <r>
    <s v="CALDERO, CHRILLER Y COMPRESOR-1"/>
    <d v="2025-10-15T00:00:00"/>
    <s v="CESAR QUIROZ"/>
    <x v="2"/>
    <s v="12:48"/>
    <s v="13:07"/>
    <d v="1899-12-30T00:19:00"/>
    <x v="10"/>
    <x v="2"/>
    <x v="0"/>
    <x v="0"/>
    <x v="0"/>
    <s v="Revisión de funcionamiento y parámetros de trabajo"/>
    <m/>
    <m/>
    <m/>
    <m/>
    <m/>
    <m/>
    <m/>
    <m/>
    <m/>
    <m/>
    <m/>
    <m/>
    <m/>
    <m/>
    <x v="1"/>
    <n v="1"/>
  </r>
  <r>
    <s v="LINEA AUTOMATICA HACOS 1-6"/>
    <d v="2025-10-15T00:00:00"/>
    <s v="CESAR QUIROZ"/>
    <x v="2"/>
    <s v="13:28"/>
    <s v="13:50"/>
    <d v="1899-12-30T00:22:00"/>
    <x v="1"/>
    <x v="0"/>
    <x v="0"/>
    <x v="0"/>
    <x v="0"/>
    <s v="Revisión de funcionamiento de martillo, ajuste de ingreso de aire "/>
    <m/>
    <m/>
    <m/>
    <m/>
    <m/>
    <m/>
    <m/>
    <m/>
    <m/>
    <m/>
    <m/>
    <m/>
    <m/>
    <m/>
    <x v="1"/>
    <n v="6"/>
  </r>
  <r>
    <s v="EMP. FLOWPACK 2-1"/>
    <d v="2025-10-15T00:00:00"/>
    <s v="CESAR QUIROZ"/>
    <x v="2"/>
    <s v="14:10"/>
    <s v="16:09"/>
    <d v="1899-12-30T01:59:00"/>
    <x v="11"/>
    <x v="0"/>
    <x v="4"/>
    <x v="0"/>
    <x v="0"/>
    <s v="Montaje de bandas alimentadoras y pruebas de funcionamiento, habilitación de equipo"/>
    <m/>
    <m/>
    <m/>
    <m/>
    <m/>
    <m/>
    <m/>
    <m/>
    <m/>
    <m/>
    <m/>
    <m/>
    <m/>
    <m/>
    <x v="1"/>
    <n v="1"/>
  </r>
  <r>
    <s v="PROCESADORA DE MASAS - NETZSCH-1"/>
    <d v="2025-10-15T00:00:00"/>
    <s v="CESAR QUIROZ"/>
    <x v="2"/>
    <s v="16:12"/>
    <s v="16:28"/>
    <d v="1899-12-30T00:16:00"/>
    <x v="12"/>
    <x v="0"/>
    <x v="4"/>
    <x v="0"/>
    <x v="0"/>
    <s v="Armado de equipo y habilitación "/>
    <m/>
    <m/>
    <m/>
    <m/>
    <m/>
    <m/>
    <m/>
    <m/>
    <m/>
    <m/>
    <m/>
    <m/>
    <m/>
    <m/>
    <x v="1"/>
    <n v="1"/>
  </r>
  <r>
    <s v="EMP. FLOWPACK 2-2"/>
    <d v="2025-10-15T00:00:00"/>
    <s v="CESAR QUIROZ"/>
    <x v="2"/>
    <s v="16:36"/>
    <s v="17:04"/>
    <d v="1899-12-30T00:28:00"/>
    <x v="11"/>
    <x v="0"/>
    <x v="1"/>
    <x v="1"/>
    <x v="1"/>
    <s v="Laminado se mueve, empaquetado sale mal"/>
    <s v="Se reviso, se regulo guías de plancha, se ajusto posición de plancha de discos y se realizó pruebas"/>
    <m/>
    <m/>
    <m/>
    <m/>
    <m/>
    <m/>
    <m/>
    <m/>
    <m/>
    <m/>
    <m/>
    <m/>
    <m/>
    <x v="1"/>
    <n v="2"/>
  </r>
  <r>
    <s v="RAYOS X 2-1"/>
    <d v="2025-10-15T00:00:00"/>
    <s v="CESAR QUIROZ"/>
    <x v="2"/>
    <s v="17:12"/>
    <s v="17:35"/>
    <d v="1899-12-30T00:23:00"/>
    <x v="13"/>
    <x v="0"/>
    <x v="7"/>
    <x v="0"/>
    <x v="0"/>
    <s v="Ruido en bandas"/>
    <s v="Se reviso, se lubrico rodamientos y se verifico funcionamiento "/>
    <m/>
    <m/>
    <m/>
    <m/>
    <m/>
    <m/>
    <m/>
    <m/>
    <m/>
    <m/>
    <m/>
    <m/>
    <m/>
    <x v="1"/>
    <n v="1"/>
  </r>
  <r>
    <s v="EMP. FLOWPACK 2-3"/>
    <d v="2025-10-15T00:00:00"/>
    <s v="CESAR QUIROZ"/>
    <x v="2"/>
    <s v="18:51"/>
    <s v="19:12"/>
    <d v="1899-12-30T00:21:00"/>
    <x v="11"/>
    <x v="0"/>
    <x v="1"/>
    <x v="1"/>
    <x v="1"/>
    <s v="Ruido en maquina"/>
    <s v="Se corrigió posición de rascador de bandas, se ajusto posición de guiadores de entrada"/>
    <m/>
    <m/>
    <m/>
    <m/>
    <m/>
    <m/>
    <m/>
    <m/>
    <m/>
    <m/>
    <m/>
    <m/>
    <m/>
    <x v="1"/>
    <n v="3"/>
  </r>
  <r>
    <s v="LINEA AUTOMATICA HACOS 1-7"/>
    <d v="2025-10-15T00:00:00"/>
    <s v="CESAR QUIROZ"/>
    <x v="2"/>
    <s v="18:17"/>
    <s v="18:45"/>
    <d v="1899-12-30T00:28:00"/>
    <x v="1"/>
    <x v="0"/>
    <x v="4"/>
    <x v="0"/>
    <x v="0"/>
    <s v="Desarmado de formato agregados para limpieza"/>
    <m/>
    <m/>
    <m/>
    <m/>
    <m/>
    <m/>
    <m/>
    <m/>
    <m/>
    <m/>
    <m/>
    <m/>
    <m/>
    <m/>
    <x v="1"/>
    <n v="7"/>
  </r>
  <r>
    <s v="LINEA AUTOMATICA HACOS 1-8"/>
    <d v="2025-10-15T00:00:00"/>
    <s v="CESAR QUIROZ"/>
    <x v="2"/>
    <s v="18:50"/>
    <s v="19:24"/>
    <d v="1899-12-30T00:34:00"/>
    <x v="1"/>
    <x v="0"/>
    <x v="4"/>
    <x v="0"/>
    <x v="0"/>
    <s v="Armado de formato cremas y habilitación en mds"/>
    <m/>
    <m/>
    <m/>
    <m/>
    <m/>
    <m/>
    <m/>
    <m/>
    <m/>
    <m/>
    <m/>
    <m/>
    <m/>
    <m/>
    <x v="1"/>
    <n v="8"/>
  </r>
  <r>
    <s v="TALLER DE MANTENIMIENTO-3"/>
    <d v="2025-10-15T00:00:00"/>
    <s v="CARLOS PUMA"/>
    <x v="0"/>
    <s v="00:35"/>
    <s v="01:00"/>
    <d v="1899-12-30T00:25:00"/>
    <x v="7"/>
    <x v="1"/>
    <x v="4"/>
    <x v="0"/>
    <x v="0"/>
    <s v="Preparación de juego de pinzas para sacami"/>
    <m/>
    <m/>
    <m/>
    <m/>
    <m/>
    <m/>
    <m/>
    <m/>
    <m/>
    <m/>
    <m/>
    <m/>
    <m/>
    <m/>
    <x v="1"/>
    <n v="3"/>
  </r>
  <r>
    <s v="EMP. SACMI-6"/>
    <d v="2025-10-15T00:00:00"/>
    <s v="CARLOS PUMA"/>
    <x v="0"/>
    <s v="01:03"/>
    <s v="01:10"/>
    <d v="1899-12-30T00:07:00"/>
    <x v="0"/>
    <x v="0"/>
    <x v="4"/>
    <x v="0"/>
    <x v="0"/>
    <s v="Cambio de pinzas"/>
    <m/>
    <m/>
    <m/>
    <m/>
    <m/>
    <m/>
    <m/>
    <m/>
    <m/>
    <m/>
    <m/>
    <m/>
    <m/>
    <m/>
    <x v="1"/>
    <n v="6"/>
  </r>
  <r>
    <s v="FORRADORA MINIFLEX-1"/>
    <d v="2025-10-15T00:00:00"/>
    <s v="CARLOS PUMA"/>
    <x v="0"/>
    <s v="01:30"/>
    <s v="01:50"/>
    <d v="1899-12-30T00:20:00"/>
    <x v="14"/>
    <x v="0"/>
    <x v="4"/>
    <x v="0"/>
    <x v="0"/>
    <s v="Se coloco guardas y se completo pernos"/>
    <m/>
    <m/>
    <m/>
    <m/>
    <m/>
    <m/>
    <m/>
    <m/>
    <m/>
    <m/>
    <m/>
    <m/>
    <m/>
    <m/>
    <x v="1"/>
    <n v="1"/>
  </r>
  <r>
    <s v="LINEA AUTOMATICA HACOS 1-9"/>
    <d v="2025-10-15T00:00:00"/>
    <s v="CARLOS PUMA"/>
    <x v="0"/>
    <s v="02:10"/>
    <s v="02:40"/>
    <d v="1899-12-30T00:30:00"/>
    <x v="1"/>
    <x v="0"/>
    <x v="0"/>
    <x v="0"/>
    <x v="0"/>
    <s v="Inspección de funcionamiento de actuador b6 y martillo "/>
    <m/>
    <m/>
    <m/>
    <m/>
    <m/>
    <m/>
    <m/>
    <m/>
    <m/>
    <m/>
    <m/>
    <m/>
    <m/>
    <m/>
    <x v="1"/>
    <n v="9"/>
  </r>
  <r>
    <s v="COCINADORA 2 - GIANINI -1"/>
    <d v="2025-10-15T00:00:00"/>
    <s v="CARLOS PUMA"/>
    <x v="0"/>
    <s v="04:00"/>
    <s v="04:10"/>
    <d v="1899-12-30T00:10:00"/>
    <x v="15"/>
    <x v="0"/>
    <x v="4"/>
    <x v="0"/>
    <x v="0"/>
    <s v="Apoyó en máquina "/>
    <s v="Se regulo velocidad de agitacion"/>
    <m/>
    <m/>
    <m/>
    <m/>
    <m/>
    <m/>
    <m/>
    <m/>
    <m/>
    <m/>
    <m/>
    <m/>
    <m/>
    <x v="1"/>
    <n v="1"/>
  </r>
  <r>
    <s v="CALDERO 100 BHP-1"/>
    <d v="2025-10-15T00:00:00"/>
    <s v="OMAR NINA"/>
    <x v="1"/>
    <s v="05:30"/>
    <s v="05:50"/>
    <d v="1899-12-30T00:20:00"/>
    <x v="16"/>
    <x v="2"/>
    <x v="0"/>
    <x v="0"/>
    <x v="0"/>
    <s v="Revisión de equipo y purgas"/>
    <m/>
    <m/>
    <m/>
    <m/>
    <m/>
    <m/>
    <m/>
    <m/>
    <m/>
    <m/>
    <m/>
    <m/>
    <m/>
    <m/>
    <x v="1"/>
    <n v="1"/>
  </r>
  <r>
    <s v="POZOS-1"/>
    <d v="2025-10-15T00:00:00"/>
    <s v="OMAR NINA"/>
    <x v="1"/>
    <s v="06:10"/>
    <s v="06:23"/>
    <d v="1899-12-30T00:13:00"/>
    <x v="17"/>
    <x v="3"/>
    <x v="0"/>
    <x v="0"/>
    <x v="0"/>
    <s v="Inspección de niveles de agua "/>
    <m/>
    <m/>
    <m/>
    <m/>
    <m/>
    <m/>
    <m/>
    <m/>
    <m/>
    <m/>
    <m/>
    <m/>
    <m/>
    <m/>
    <x v="1"/>
    <n v="1"/>
  </r>
  <r>
    <s v="EMP. FLOWPACK 2-4"/>
    <d v="2025-10-15T00:00:00"/>
    <s v="OMAR NINA"/>
    <x v="1"/>
    <s v="07:30"/>
    <s v="08:00"/>
    <d v="1899-12-30T00:30:00"/>
    <x v="11"/>
    <x v="0"/>
    <x v="1"/>
    <x v="1"/>
    <x v="1"/>
    <s v="Faja se desalinea y genera virutas, polín de arrastre tiene juego"/>
    <s v="Se informa para intervención con personal tercero "/>
    <m/>
    <m/>
    <m/>
    <m/>
    <m/>
    <m/>
    <m/>
    <m/>
    <m/>
    <m/>
    <m/>
    <m/>
    <m/>
    <x v="1"/>
    <n v="4"/>
  </r>
  <r>
    <s v="LINEA AUTOMATICA HACOS 1-10"/>
    <d v="2025-10-15T00:00:00"/>
    <s v="OMAR NINA"/>
    <x v="1"/>
    <s v="08:15"/>
    <s v="08:35"/>
    <d v="1899-12-30T00:20:00"/>
    <x v="1"/>
    <x v="0"/>
    <x v="0"/>
    <x v="0"/>
    <x v="0"/>
    <s v="Inspección de equipo "/>
    <m/>
    <m/>
    <m/>
    <m/>
    <m/>
    <m/>
    <m/>
    <m/>
    <m/>
    <m/>
    <m/>
    <m/>
    <m/>
    <m/>
    <x v="1"/>
    <n v="10"/>
  </r>
  <r>
    <s v="EMP. SAPAL-1"/>
    <d v="2025-10-15T00:00:00"/>
    <s v="OMAR NINA"/>
    <x v="1"/>
    <s v="09:00"/>
    <s v="09:35"/>
    <d v="1899-12-30T00:35:00"/>
    <x v="18"/>
    <x v="0"/>
    <x v="4"/>
    <x v="0"/>
    <x v="0"/>
    <s v="Cambio de formato de 50 a 100"/>
    <m/>
    <m/>
    <m/>
    <m/>
    <m/>
    <m/>
    <m/>
    <m/>
    <m/>
    <m/>
    <m/>
    <m/>
    <m/>
    <m/>
    <x v="1"/>
    <n v="1"/>
  </r>
  <r>
    <s v="STEPHAN - PROCESADOR DE MASAS-1"/>
    <d v="2025-10-15T00:00:00"/>
    <s v="CARLOS TAPIA"/>
    <x v="1"/>
    <s v="06:50"/>
    <s v="07:10"/>
    <d v="1899-12-30T00:20:00"/>
    <x v="19"/>
    <x v="0"/>
    <x v="4"/>
    <x v="0"/>
    <x v="0"/>
    <s v="Colocar piezas en posición"/>
    <s v="Se colocó cuchilla y empaque en máquina."/>
    <m/>
    <m/>
    <m/>
    <m/>
    <m/>
    <m/>
    <m/>
    <m/>
    <m/>
    <m/>
    <m/>
    <m/>
    <m/>
    <x v="1"/>
    <n v="1"/>
  </r>
  <r>
    <s v="TOSTADOR PETRONCINI-1"/>
    <d v="2025-10-15T00:00:00"/>
    <s v="OMAR NINA"/>
    <x v="1"/>
    <s v="11:30"/>
    <s v="11:50"/>
    <d v="1899-12-30T00:20:00"/>
    <x v="20"/>
    <x v="0"/>
    <x v="0"/>
    <x v="0"/>
    <x v="0"/>
    <s v="Inspección funcionamiento de equipo "/>
    <m/>
    <m/>
    <m/>
    <m/>
    <m/>
    <m/>
    <m/>
    <m/>
    <m/>
    <m/>
    <m/>
    <m/>
    <m/>
    <m/>
    <x v="1"/>
    <n v="1"/>
  </r>
  <r>
    <s v="EMP. AMP ROSE-1"/>
    <d v="2025-10-15T00:00:00"/>
    <s v="OMAR NINA"/>
    <x v="1"/>
    <s v="12:06"/>
    <s v="12:20"/>
    <d v="1899-12-30T00:14:00"/>
    <x v="21"/>
    <x v="0"/>
    <x v="1"/>
    <x v="1"/>
    <x v="1"/>
    <s v="Cuchilla no corta laminado "/>
    <s v="Se calibra posición de cuchilla fija"/>
    <m/>
    <m/>
    <m/>
    <m/>
    <m/>
    <m/>
    <m/>
    <m/>
    <m/>
    <m/>
    <m/>
    <m/>
    <m/>
    <x v="1"/>
    <n v="1"/>
  </r>
  <r>
    <s v="EMP. FLOWPACK 1-1"/>
    <d v="2025-10-15T00:00:00"/>
    <s v="OMAR NINA"/>
    <x v="1"/>
    <s v="12:50"/>
    <s v="13:20"/>
    <d v="1899-12-30T00:30:00"/>
    <x v="22"/>
    <x v="0"/>
    <x v="0"/>
    <x v="0"/>
    <x v="0"/>
    <s v="Inspección de equipo "/>
    <m/>
    <m/>
    <m/>
    <m/>
    <m/>
    <m/>
    <m/>
    <m/>
    <m/>
    <m/>
    <m/>
    <m/>
    <m/>
    <m/>
    <x v="1"/>
    <n v="1"/>
  </r>
  <r>
    <s v="EMP. SAPAL-2"/>
    <d v="2025-10-15T00:00:00"/>
    <s v="CARLOS TAPIA"/>
    <x v="1"/>
    <s v="08:50"/>
    <s v="09:40"/>
    <d v="1899-12-30T00:50:00"/>
    <x v="18"/>
    <x v="0"/>
    <x v="4"/>
    <x v="0"/>
    <x v="0"/>
    <s v="Apoyo a técnico de turno con el cambio de formato en máquina."/>
    <s v="Se realizó el cambio de formato en máquina a formato por 100gr"/>
    <m/>
    <m/>
    <m/>
    <m/>
    <m/>
    <m/>
    <m/>
    <m/>
    <m/>
    <m/>
    <m/>
    <m/>
    <m/>
    <x v="1"/>
    <n v="2"/>
  </r>
  <r>
    <s v="LINEA AUTOMATICA HACOS 1-11"/>
    <d v="2025-10-15T00:00:00"/>
    <s v="CARLOS TAPIA"/>
    <x v="1"/>
    <s v="09:40"/>
    <s v="10:10"/>
    <d v="1899-12-30T00:30:00"/>
    <x v="1"/>
    <x v="0"/>
    <x v="4"/>
    <x v="0"/>
    <x v="0"/>
    <s v="Desarmar módulo de MDS para su limpieza."/>
    <s v="Se desarmo módulo de MDS."/>
    <m/>
    <m/>
    <m/>
    <m/>
    <m/>
    <m/>
    <m/>
    <m/>
    <m/>
    <m/>
    <m/>
    <m/>
    <m/>
    <x v="1"/>
    <n v="11"/>
  </r>
  <r>
    <s v="LINEA AUTOMATICA HACOS 1-12"/>
    <d v="2025-10-15T00:00:00"/>
    <s v="CARLOS TAPIA"/>
    <x v="1"/>
    <s v="10:10"/>
    <s v="10:41"/>
    <d v="1899-12-30T00:31:00"/>
    <x v="1"/>
    <x v="0"/>
    <x v="4"/>
    <x v="0"/>
    <x v="0"/>
    <s v="Armar módulo MDS formato agregados x100gr"/>
    <s v="Se armó módulo de MDS."/>
    <m/>
    <m/>
    <m/>
    <m/>
    <m/>
    <m/>
    <m/>
    <m/>
    <m/>
    <m/>
    <m/>
    <m/>
    <m/>
    <x v="1"/>
    <n v="12"/>
  </r>
  <r>
    <s v="CALDERO 100 BHP-2"/>
    <d v="2025-10-16T00:00:00"/>
    <s v="OMAR NINA"/>
    <x v="1"/>
    <s v="05:50"/>
    <s v="06:00"/>
    <d v="1899-12-30T00:10:00"/>
    <x v="16"/>
    <x v="2"/>
    <x v="6"/>
    <x v="0"/>
    <x v="0"/>
    <s v="Purgas y revisión "/>
    <s v=""/>
    <m/>
    <m/>
    <m/>
    <m/>
    <m/>
    <m/>
    <m/>
    <m/>
    <m/>
    <m/>
    <m/>
    <m/>
    <m/>
    <x v="2"/>
    <n v="2"/>
  </r>
  <r>
    <s v="BARQUILLERA FRANZ HAAZ-1"/>
    <d v="2025-10-16T00:00:00"/>
    <s v="OMAR NINA"/>
    <x v="1"/>
    <s v="06:15"/>
    <s v="06:49"/>
    <d v="1899-12-30T00:34:00"/>
    <x v="23"/>
    <x v="0"/>
    <x v="4"/>
    <x v="0"/>
    <x v="0"/>
    <s v="Se desarma equipo para limpieza "/>
    <s v=""/>
    <m/>
    <m/>
    <m/>
    <m/>
    <m/>
    <m/>
    <m/>
    <m/>
    <m/>
    <m/>
    <m/>
    <m/>
    <m/>
    <x v="2"/>
    <n v="1"/>
  </r>
  <r>
    <s v="ENCELOFANADORA ECCOPAC-1"/>
    <d v="2025-10-16T00:00:00"/>
    <s v="OMAR NINA"/>
    <x v="1"/>
    <s v="07:07"/>
    <s v="08:36"/>
    <d v="1899-12-30T01:29:00"/>
    <x v="24"/>
    <x v="0"/>
    <x v="4"/>
    <x v="0"/>
    <x v="0"/>
    <s v="Cambio de formato de milky a pisco x9"/>
    <s v="Cambio de piezas y calibración de equipo "/>
    <m/>
    <m/>
    <m/>
    <m/>
    <m/>
    <m/>
    <m/>
    <m/>
    <m/>
    <m/>
    <m/>
    <m/>
    <m/>
    <x v="2"/>
    <n v="1"/>
  </r>
  <r>
    <s v="EMP. FLOWPACK 2-5"/>
    <d v="2025-10-16T00:00:00"/>
    <s v="OMAR NINA"/>
    <x v="1"/>
    <s v="08:45"/>
    <s v="09:00"/>
    <d v="1899-12-30T00:15:00"/>
    <x v="11"/>
    <x v="0"/>
    <x v="0"/>
    <x v="0"/>
    <x v="0"/>
    <s v="Inspección de alineación de fajas"/>
    <s v=""/>
    <m/>
    <m/>
    <m/>
    <m/>
    <m/>
    <m/>
    <m/>
    <m/>
    <m/>
    <m/>
    <m/>
    <m/>
    <m/>
    <x v="2"/>
    <n v="5"/>
  </r>
  <r>
    <s v="TALLER DE MANTENIMIENTO-4"/>
    <d v="2025-10-16T00:00:00"/>
    <s v="OMAR NINA"/>
    <x v="1"/>
    <s v="09:10"/>
    <s v="10:00"/>
    <d v="1899-12-30T00:50:00"/>
    <x v="7"/>
    <x v="1"/>
    <x v="8"/>
    <x v="0"/>
    <x v="0"/>
    <s v="Orden y limpieza de área "/>
    <s v="De guardo repuesto en almacén "/>
    <m/>
    <m/>
    <m/>
    <m/>
    <m/>
    <m/>
    <m/>
    <m/>
    <m/>
    <m/>
    <m/>
    <m/>
    <m/>
    <x v="2"/>
    <n v="4"/>
  </r>
  <r>
    <s v="LINEA AUTOMATICA HACOS 1-13"/>
    <d v="2025-10-16T00:00:00"/>
    <s v="OMAR NINA"/>
    <x v="1"/>
    <s v="11:00"/>
    <s v="11:15"/>
    <d v="1899-12-30T00:15:00"/>
    <x v="1"/>
    <x v="0"/>
    <x v="8"/>
    <x v="0"/>
    <x v="0"/>
    <s v="Se retira husillo y plancha para limpieza "/>
    <s v=""/>
    <m/>
    <m/>
    <m/>
    <m/>
    <m/>
    <m/>
    <m/>
    <m/>
    <m/>
    <m/>
    <m/>
    <m/>
    <m/>
    <x v="2"/>
    <n v="13"/>
  </r>
  <r>
    <s v="EMP. FLOWPACK 2-6"/>
    <d v="2025-10-16T00:00:00"/>
    <s v="OMAR NINA"/>
    <x v="1"/>
    <s v="11:20"/>
    <s v="11:35"/>
    <d v="1899-12-30T00:15:00"/>
    <x v="11"/>
    <x v="0"/>
    <x v="4"/>
    <x v="0"/>
    <x v="0"/>
    <s v="Cambio de formato de milky a mini milky "/>
    <s v="Se coloca empujadores y se carga recetas "/>
    <m/>
    <m/>
    <m/>
    <m/>
    <m/>
    <m/>
    <m/>
    <m/>
    <m/>
    <m/>
    <m/>
    <m/>
    <m/>
    <x v="2"/>
    <n v="6"/>
  </r>
  <r>
    <s v="LINEA AUTOMATICA HACOS 1-14"/>
    <d v="2025-10-16T00:00:00"/>
    <s v="OMAR NINA"/>
    <x v="1"/>
    <s v="11:40"/>
    <s v="11:55"/>
    <d v="1899-12-30T00:15:00"/>
    <x v="1"/>
    <x v="0"/>
    <x v="4"/>
    <x v="0"/>
    <x v="0"/>
    <s v="Se coloca husillo y plancha en MDS y se inicializa "/>
    <s v=""/>
    <m/>
    <m/>
    <m/>
    <m/>
    <m/>
    <m/>
    <m/>
    <m/>
    <m/>
    <m/>
    <m/>
    <m/>
    <m/>
    <x v="2"/>
    <n v="14"/>
  </r>
  <r>
    <s v="COMEDOR-1"/>
    <d v="2025-10-16T00:00:00"/>
    <s v="OMAR NINA"/>
    <x v="1"/>
    <s v="12:00"/>
    <s v="13:00"/>
    <d v="1899-12-30T01:00:00"/>
    <x v="25"/>
    <x v="1"/>
    <x v="3"/>
    <x v="0"/>
    <x v="0"/>
    <s v="Charla de seguridad "/>
    <s v=""/>
    <m/>
    <m/>
    <m/>
    <m/>
    <m/>
    <m/>
    <m/>
    <m/>
    <m/>
    <m/>
    <m/>
    <m/>
    <m/>
    <x v="2"/>
    <n v="1"/>
  </r>
  <r>
    <s v="BARQUILLERA FRANZ HAAZ-2"/>
    <d v="2025-10-16T00:00:00"/>
    <s v="CARLOS TAPIA"/>
    <x v="1"/>
    <s v="06:00"/>
    <s v="06:45"/>
    <d v="1899-12-30T00:45:00"/>
    <x v="23"/>
    <x v="0"/>
    <x v="4"/>
    <x v="0"/>
    <x v="0"/>
    <s v="Desarmar máquina para su limpieza."/>
    <s v="Se desarmo máquina."/>
    <m/>
    <m/>
    <m/>
    <m/>
    <m/>
    <m/>
    <m/>
    <m/>
    <m/>
    <m/>
    <m/>
    <m/>
    <m/>
    <x v="2"/>
    <n v="2"/>
  </r>
  <r>
    <s v="LINEA AUTOMATICA HACOS 1-15"/>
    <d v="2025-10-16T00:00:00"/>
    <s v="CARLOS TAPIA"/>
    <x v="1"/>
    <s v="07:00"/>
    <s v="07:20"/>
    <d v="1899-12-30T00:20:00"/>
    <x v="1"/>
    <x v="0"/>
    <x v="0"/>
    <x v="0"/>
    <x v="0"/>
    <s v="Inspección de máquina en funcionamiento "/>
    <s v="Se dió seguimiento al funcionamiento de máquina."/>
    <m/>
    <m/>
    <m/>
    <m/>
    <m/>
    <m/>
    <m/>
    <m/>
    <m/>
    <m/>
    <m/>
    <m/>
    <m/>
    <x v="2"/>
    <n v="15"/>
  </r>
  <r>
    <s v="LINEA AUTOMATICA HACOS 2-2"/>
    <d v="2025-10-16T00:00:00"/>
    <s v="CARLOS TAPIA"/>
    <x v="1"/>
    <s v="07:40"/>
    <s v="08:00"/>
    <d v="1899-12-30T00:20:00"/>
    <x v="2"/>
    <x v="0"/>
    <x v="1"/>
    <x v="1"/>
    <x v="1"/>
    <s v="Apoyo en máquina."/>
    <s v="Se ajusto pernos de guardas y se apoyo con el levantamiento de imán."/>
    <m/>
    <m/>
    <m/>
    <m/>
    <m/>
    <m/>
    <m/>
    <m/>
    <m/>
    <m/>
    <m/>
    <m/>
    <m/>
    <x v="2"/>
    <n v="2"/>
  </r>
  <r>
    <s v="TALLER DE MANTENIMIENTO-5"/>
    <d v="2025-10-16T00:00:00"/>
    <s v="CARLOS TAPIA"/>
    <x v="1"/>
    <s v="09:00"/>
    <s v="10:00"/>
    <d v="1899-12-30T01:00:00"/>
    <x v="7"/>
    <x v="1"/>
    <x v="8"/>
    <x v="0"/>
    <x v="0"/>
    <s v="Orden y limpieza de taller."/>
    <s v="Se ordeno y limpio taller de mantenimiento."/>
    <m/>
    <m/>
    <m/>
    <m/>
    <m/>
    <m/>
    <m/>
    <m/>
    <m/>
    <m/>
    <m/>
    <m/>
    <m/>
    <x v="2"/>
    <n v="5"/>
  </r>
  <r>
    <s v="EMP. 2 - CARLE MONTANARY-2"/>
    <d v="2025-10-16T00:00:00"/>
    <s v="CARLOS TAPIA"/>
    <x v="1"/>
    <s v="10:30"/>
    <s v="11:00"/>
    <d v="1899-12-30T00:30:00"/>
    <x v="8"/>
    <x v="0"/>
    <x v="5"/>
    <x v="1"/>
    <x v="1"/>
    <s v="Gomas gastada en pinzas."/>
    <s v="Se reemplazo gomas de las pinzas."/>
    <m/>
    <m/>
    <m/>
    <m/>
    <m/>
    <m/>
    <m/>
    <m/>
    <m/>
    <m/>
    <m/>
    <m/>
    <m/>
    <x v="2"/>
    <n v="2"/>
  </r>
  <r>
    <s v="COMEDOR-2"/>
    <d v="2025-10-16T00:00:00"/>
    <s v="CARLOS TAPIA"/>
    <x v="1"/>
    <s v="12:00"/>
    <s v="13:00"/>
    <d v="1899-12-30T01:00:00"/>
    <x v="25"/>
    <x v="1"/>
    <x v="3"/>
    <x v="0"/>
    <x v="0"/>
    <s v="Charla de seguridad en el trabajo y primeros auxilios."/>
    <s v="Se asistió a las respectivas charlas."/>
    <m/>
    <m/>
    <m/>
    <m/>
    <m/>
    <m/>
    <m/>
    <m/>
    <m/>
    <m/>
    <m/>
    <m/>
    <m/>
    <x v="2"/>
    <n v="2"/>
  </r>
  <r>
    <s v="LINEA AUTOMATICA HACOS 1-16"/>
    <d v="2025-10-16T00:00:00"/>
    <s v="CARLOS PUMA"/>
    <x v="0"/>
    <s v="00:00"/>
    <s v="01:00"/>
    <d v="1899-12-30T01:00:00"/>
    <x v="1"/>
    <x v="0"/>
    <x v="4"/>
    <x v="0"/>
    <x v="0"/>
    <s v="Cambio de formato de mds"/>
    <s v="Se retiró rodillo, plancha y empujadores , se apoyó con el secado de piezas y se armó equipo"/>
    <m/>
    <m/>
    <m/>
    <m/>
    <m/>
    <m/>
    <m/>
    <m/>
    <m/>
    <m/>
    <m/>
    <m/>
    <m/>
    <x v="2"/>
    <n v="16"/>
  </r>
  <r>
    <s v="LINEA AUTOMATICA HACOS 1-17"/>
    <d v="2025-10-16T00:00:00"/>
    <s v="CARLOS PUMA"/>
    <x v="0"/>
    <s v="01:07"/>
    <s v="01:20"/>
    <d v="1899-12-30T00:13:00"/>
    <x v="1"/>
    <x v="0"/>
    <x v="0"/>
    <x v="0"/>
    <x v="0"/>
    <s v="Inspección de robot "/>
    <s v=""/>
    <m/>
    <m/>
    <m/>
    <m/>
    <m/>
    <m/>
    <m/>
    <m/>
    <m/>
    <m/>
    <m/>
    <m/>
    <m/>
    <x v="2"/>
    <n v="17"/>
  </r>
  <r>
    <s v="LINEA AUTOMATICA HACOS 1-18"/>
    <d v="2025-10-16T00:00:00"/>
    <s v="CARLOS PUMA"/>
    <x v="0"/>
    <s v="01:30"/>
    <s v="02:00"/>
    <d v="1899-12-30T00:30:00"/>
    <x v="1"/>
    <x v="0"/>
    <x v="0"/>
    <x v="0"/>
    <x v="0"/>
    <s v="Revisión de sensores y solenoides de sección 1 del túnel de enfriamiento "/>
    <s v=""/>
    <m/>
    <m/>
    <m/>
    <m/>
    <m/>
    <m/>
    <m/>
    <m/>
    <m/>
    <m/>
    <m/>
    <m/>
    <m/>
    <x v="2"/>
    <n v="18"/>
  </r>
  <r>
    <s v="ENVASADORA TEPACK-1"/>
    <d v="2025-10-16T00:00:00"/>
    <s v="CARLOS PUMA"/>
    <x v="0"/>
    <s v="21:45"/>
    <s v="22:00"/>
    <d v="1899-12-30T00:15:00"/>
    <x v="26"/>
    <x v="0"/>
    <x v="4"/>
    <x v="0"/>
    <x v="0"/>
    <s v="Fallo en impresor, rotura de cinta"/>
    <s v="Se coloco cinta , se restableció impresor y se hizo pruebas"/>
    <m/>
    <m/>
    <m/>
    <m/>
    <m/>
    <m/>
    <m/>
    <m/>
    <m/>
    <m/>
    <m/>
    <m/>
    <m/>
    <x v="2"/>
    <n v="1"/>
  </r>
  <r>
    <s v="EMP. FLOWPACK 2-7"/>
    <d v="2025-10-16T00:00:00"/>
    <s v="CARLOS PUMA"/>
    <x v="0"/>
    <s v="22:30"/>
    <s v="23:30"/>
    <d v="1899-12-30T01:00:00"/>
    <x v="11"/>
    <x v="0"/>
    <x v="4"/>
    <x v="0"/>
    <x v="0"/>
    <s v="Cambio de formato para chocolate a la taza"/>
    <s v="Se cambió formato y se preparó línea automática para el formato de chocolate a la taza"/>
    <m/>
    <m/>
    <m/>
    <m/>
    <m/>
    <m/>
    <m/>
    <m/>
    <m/>
    <m/>
    <m/>
    <m/>
    <m/>
    <x v="2"/>
    <n v="7"/>
  </r>
  <r>
    <s v="FORRADORA AUTOMATICA 03-1"/>
    <d v="2025-10-16T00:00:00"/>
    <s v="CARLOS PUMA"/>
    <x v="0"/>
    <s v="23:40"/>
    <d v="1899-12-31T00:05:00"/>
    <d v="1899-12-30T00:25:00"/>
    <x v="27"/>
    <x v="0"/>
    <x v="1"/>
    <x v="1"/>
    <x v="1"/>
    <s v="Problemas con el corte , hace hueco la bolsa"/>
    <s v="Se regulo angulo de corte de cuchilla , se calibro corte y sellado y se hizo pruebas"/>
    <m/>
    <m/>
    <m/>
    <m/>
    <m/>
    <m/>
    <m/>
    <m/>
    <m/>
    <m/>
    <m/>
    <m/>
    <m/>
    <x v="2"/>
    <n v="1"/>
  </r>
  <r>
    <s v="ENVASADORA TEPACK-2"/>
    <d v="2025-10-17T00:00:00"/>
    <s v="CARLOS PUMA"/>
    <x v="0"/>
    <s v="00:15"/>
    <s v="00:35"/>
    <d v="1899-12-30T00:20:00"/>
    <x v="26"/>
    <x v="0"/>
    <x v="0"/>
    <x v="0"/>
    <x v="0"/>
    <s v="Inspección de funcionamiento "/>
    <s v=""/>
    <m/>
    <m/>
    <m/>
    <m/>
    <m/>
    <m/>
    <m/>
    <m/>
    <m/>
    <m/>
    <m/>
    <m/>
    <m/>
    <x v="3"/>
    <n v="2"/>
  </r>
  <r>
    <s v="EMP. FLOWPACK 2-8"/>
    <d v="2025-10-17T00:00:00"/>
    <s v="CARLOS PUMA"/>
    <x v="0"/>
    <s v="01:00"/>
    <s v="03:00"/>
    <d v="1899-12-30T02:00:00"/>
    <x v="11"/>
    <x v="0"/>
    <x v="1"/>
    <x v="1"/>
    <x v="1"/>
    <s v="Apoyó en maquina"/>
    <s v="Se apoyó con regulación de fajas guías para formato de chocolate a la taza, se corrigio provisionalmente la altura de par de bandas de ingreso , se dió seguimiento y se apoyó en operación "/>
    <m/>
    <m/>
    <m/>
    <m/>
    <m/>
    <m/>
    <m/>
    <m/>
    <m/>
    <m/>
    <m/>
    <m/>
    <m/>
    <x v="3"/>
    <n v="8"/>
  </r>
  <r>
    <s v="FORRADORA MINIFLEX-2"/>
    <d v="2025-10-17T00:00:00"/>
    <s v="CARLOS PUMA"/>
    <x v="0"/>
    <s v="21:45"/>
    <s v="22:00"/>
    <d v="1899-12-30T00:15:00"/>
    <x v="14"/>
    <x v="0"/>
    <x v="0"/>
    <x v="0"/>
    <x v="0"/>
    <s v="Inspección de equipo "/>
    <s v="Se reviso el estado de cuchillas de ambos lados"/>
    <m/>
    <m/>
    <m/>
    <m/>
    <m/>
    <m/>
    <m/>
    <m/>
    <m/>
    <m/>
    <m/>
    <m/>
    <m/>
    <x v="3"/>
    <n v="2"/>
  </r>
  <r>
    <s v="FORRADORA AUTOMATICA 03-2"/>
    <d v="2025-10-17T00:00:00"/>
    <s v="CARLOS PUMA"/>
    <x v="0"/>
    <s v="22:08"/>
    <s v="23:03"/>
    <d v="1899-12-30T00:55:00"/>
    <x v="27"/>
    <x v="0"/>
    <x v="1"/>
    <x v="1"/>
    <x v="1"/>
    <s v="Rotura del vástago del pistón"/>
    <s v="Se retiró pistón y vástago del equipo, se hizo el soldeo en taller de mantenimiento, se montó pisto reparado y se hizo pruebas "/>
    <m/>
    <m/>
    <m/>
    <m/>
    <m/>
    <m/>
    <m/>
    <m/>
    <m/>
    <m/>
    <m/>
    <m/>
    <m/>
    <x v="3"/>
    <n v="2"/>
  </r>
  <r>
    <s v="ENCELOFANADORA ECCOPAC-2"/>
    <d v="2025-10-17T00:00:00"/>
    <s v="CARLOS PUMA"/>
    <x v="0"/>
    <s v="23:30"/>
    <d v="1899-12-31T00:30:00"/>
    <d v="1899-12-30T01:00:00"/>
    <x v="24"/>
    <x v="0"/>
    <x v="4"/>
    <x v="0"/>
    <x v="0"/>
    <s v="Calibración para formato de pisco x 18"/>
    <s v="Se calibro laminado, abrefacil corte , sellado y plegado , se hizo pruebas y se dejó producto de muestra "/>
    <m/>
    <m/>
    <m/>
    <m/>
    <m/>
    <m/>
    <m/>
    <m/>
    <m/>
    <m/>
    <m/>
    <m/>
    <m/>
    <x v="3"/>
    <n v="2"/>
  </r>
  <r>
    <s v="EMP. FLOWPACK 1-2"/>
    <d v="2025-10-18T00:00:00"/>
    <s v="CARLOS PUMA"/>
    <x v="0"/>
    <s v="01:00"/>
    <s v="01:20"/>
    <d v="1899-12-30T00:20:00"/>
    <x v="22"/>
    <x v="0"/>
    <x v="0"/>
    <x v="0"/>
    <x v="0"/>
    <s v="Inspección de equipo "/>
    <s v="Se reviso parámetros de controlador de temperatura "/>
    <m/>
    <m/>
    <m/>
    <m/>
    <m/>
    <m/>
    <m/>
    <m/>
    <m/>
    <m/>
    <m/>
    <m/>
    <m/>
    <x v="4"/>
    <n v="2"/>
  </r>
  <r>
    <s v="FORRADORA AUTOMATICA 03-3"/>
    <d v="2025-10-18T00:00:00"/>
    <s v="CARLOS PUMA"/>
    <x v="0"/>
    <s v="01:30"/>
    <s v="01:40"/>
    <d v="1899-12-30T00:10:00"/>
    <x v="27"/>
    <x v="0"/>
    <x v="0"/>
    <x v="0"/>
    <x v="0"/>
    <s v="Inspección de equipo "/>
    <s v=""/>
    <m/>
    <m/>
    <m/>
    <m/>
    <m/>
    <m/>
    <m/>
    <m/>
    <m/>
    <m/>
    <m/>
    <m/>
    <m/>
    <x v="4"/>
    <n v="3"/>
  </r>
  <r>
    <s v="EMP. GD-1"/>
    <d v="2025-10-18T00:00:00"/>
    <s v="CARLOS PUMA"/>
    <x v="0"/>
    <s v="02:00"/>
    <s v="03:00"/>
    <d v="1899-12-30T01:00:00"/>
    <x v="28"/>
    <x v="0"/>
    <x v="7"/>
    <x v="0"/>
    <x v="0"/>
    <s v="Lubricacion según formato "/>
    <s v="Se lubrico y limpio excedentes den empaquetadora y realizadora GD"/>
    <m/>
    <m/>
    <m/>
    <m/>
    <m/>
    <m/>
    <m/>
    <m/>
    <m/>
    <m/>
    <m/>
    <m/>
    <m/>
    <x v="4"/>
    <n v="1"/>
  </r>
  <r>
    <s v="CALDERO, CHRILLER Y COMPRESOR-2"/>
    <d v="2025-10-18T00:00:00"/>
    <s v="CESAR QUIROZ"/>
    <x v="2"/>
    <s v="12:47"/>
    <s v="13:03"/>
    <d v="1899-12-30T00:16:00"/>
    <x v="10"/>
    <x v="2"/>
    <x v="0"/>
    <x v="0"/>
    <x v="0"/>
    <s v="Revisión de funcionamiento y parámetros de trabajo"/>
    <s v=""/>
    <m/>
    <m/>
    <m/>
    <m/>
    <m/>
    <m/>
    <m/>
    <m/>
    <m/>
    <m/>
    <m/>
    <m/>
    <m/>
    <x v="4"/>
    <n v="2"/>
  </r>
  <r>
    <s v="LINEA AUTOMATICA HACOS 1-19"/>
    <d v="2025-10-18T00:00:00"/>
    <s v="CESAR QUIROZ"/>
    <x v="2"/>
    <s v="13:12"/>
    <s v="13:44"/>
    <d v="1899-12-30T00:32:00"/>
    <x v="1"/>
    <x v="0"/>
    <x v="4"/>
    <x v="0"/>
    <x v="0"/>
    <s v="Desarmado de formato cremas de mds, para limpieza "/>
    <s v=""/>
    <m/>
    <m/>
    <m/>
    <m/>
    <m/>
    <m/>
    <m/>
    <m/>
    <m/>
    <m/>
    <m/>
    <m/>
    <m/>
    <x v="4"/>
    <n v="19"/>
  </r>
  <r>
    <s v="EMP. NAPOLITANA-1"/>
    <d v="2025-10-18T00:00:00"/>
    <s v="CESAR QUIROZ"/>
    <x v="2"/>
    <s v="13:52"/>
    <s v="14:15"/>
    <d v="1899-12-30T00:23:00"/>
    <x v="29"/>
    <x v="0"/>
    <x v="4"/>
    <x v="1"/>
    <x v="1"/>
    <s v="No pega bien etiqueta"/>
    <s v="Se reviso boquillas de goma, le falta billa, se reviso alrededor no se encontró, se llevó boquilla a taller para buscar adecuarlo"/>
    <m/>
    <m/>
    <m/>
    <m/>
    <m/>
    <m/>
    <m/>
    <m/>
    <m/>
    <m/>
    <m/>
    <m/>
    <m/>
    <x v="4"/>
    <n v="1"/>
  </r>
  <r>
    <s v="CALDERO, CHRILLER Y COMPRESOR-3"/>
    <d v="2025-10-17T00:00:00"/>
    <s v="CESAR QUIROZ"/>
    <x v="2"/>
    <s v="12:46"/>
    <s v="13:02"/>
    <d v="1899-12-30T00:16:00"/>
    <x v="10"/>
    <x v="2"/>
    <x v="0"/>
    <x v="0"/>
    <x v="0"/>
    <s v="Revisión de funcionamiento y parámetros de trabajo "/>
    <s v=""/>
    <m/>
    <m/>
    <m/>
    <m/>
    <m/>
    <m/>
    <m/>
    <m/>
    <m/>
    <m/>
    <m/>
    <m/>
    <m/>
    <x v="3"/>
    <n v="3"/>
  </r>
  <r>
    <s v="EMP. FLOWPACK 1-3"/>
    <d v="2025-10-17T00:00:00"/>
    <s v="CESAR QUIROZ"/>
    <x v="2"/>
    <s v="13:04"/>
    <s v="13:19"/>
    <d v="1899-12-30T00:15:00"/>
    <x v="22"/>
    <x v="0"/>
    <x v="8"/>
    <x v="0"/>
    <x v="0"/>
    <s v="Variación de temperatura en mordazas"/>
    <s v="Se realizó limpieza de colector y carboncillos, se realizó pruebas de funcionamiento "/>
    <m/>
    <m/>
    <m/>
    <m/>
    <m/>
    <m/>
    <m/>
    <m/>
    <m/>
    <m/>
    <m/>
    <m/>
    <m/>
    <x v="3"/>
    <n v="3"/>
  </r>
  <r>
    <s v="FORRADORA AUTOMATICA 02-1"/>
    <d v="2025-10-17T00:00:00"/>
    <s v="CESAR QUIROZ"/>
    <x v="2"/>
    <s v="13:23"/>
    <s v="13:44"/>
    <d v="1899-12-30T00:21:00"/>
    <x v="30"/>
    <x v="0"/>
    <x v="1"/>
    <x v="1"/>
    <x v="1"/>
    <s v="Ruido en maquina, perno rodado en ajuste de bobina"/>
    <s v="Se reviso ruido, se reporto y se realizó cambio de pernos rodado"/>
    <m/>
    <m/>
    <m/>
    <m/>
    <m/>
    <m/>
    <m/>
    <m/>
    <m/>
    <m/>
    <m/>
    <m/>
    <m/>
    <x v="3"/>
    <n v="1"/>
  </r>
  <r>
    <s v="POZOS-2"/>
    <d v="2025-10-17T00:00:00"/>
    <s v="CESAR QUIROZ"/>
    <x v="2"/>
    <s v="13:47"/>
    <s v="14:09"/>
    <d v="1899-12-30T00:22:00"/>
    <x v="17"/>
    <x v="3"/>
    <x v="9"/>
    <x v="0"/>
    <x v="0"/>
    <s v="Prueba de funcionamiento de bomba de pozo subterráneo de local anexo"/>
    <s v=""/>
    <m/>
    <m/>
    <m/>
    <m/>
    <m/>
    <m/>
    <m/>
    <m/>
    <m/>
    <m/>
    <m/>
    <m/>
    <m/>
    <x v="3"/>
    <n v="2"/>
  </r>
  <r>
    <s v="EMP. 1 - CHOCOTECH-1"/>
    <d v="2025-10-17T00:00:00"/>
    <s v="CESAR QUIROZ"/>
    <x v="2"/>
    <s v="14:16"/>
    <s v="14:42"/>
    <d v="1899-12-30T00:26:00"/>
    <x v="31"/>
    <x v="0"/>
    <x v="1"/>
    <x v="1"/>
    <x v="1"/>
    <s v="Problemas en el empaquetado"/>
    <s v="Se regulo cuchilla, se retraso cierre de pinzas, se regulo altura de plegador"/>
    <m/>
    <m/>
    <m/>
    <m/>
    <m/>
    <m/>
    <m/>
    <m/>
    <m/>
    <m/>
    <m/>
    <m/>
    <m/>
    <x v="3"/>
    <n v="1"/>
  </r>
  <r>
    <s v="LINEA AUTOMATICA HACOS 2-3"/>
    <d v="2025-10-17T00:00:00"/>
    <s v="CESAR QUIROZ"/>
    <x v="2"/>
    <s v="14:49"/>
    <s v="15:09"/>
    <d v="1899-12-30T00:20:00"/>
    <x v="2"/>
    <x v="0"/>
    <x v="1"/>
    <x v="1"/>
    <x v="1"/>
    <s v="Tubería desajustada, plancha no ajusta bien"/>
    <s v="Se ajusto tubería y se apoyo ajustando plancha de dosificador"/>
    <m/>
    <m/>
    <m/>
    <m/>
    <m/>
    <m/>
    <m/>
    <m/>
    <m/>
    <m/>
    <m/>
    <m/>
    <m/>
    <x v="3"/>
    <n v="3"/>
  </r>
  <r>
    <s v="LOCAL ANEXO-1"/>
    <d v="2025-10-17T00:00:00"/>
    <s v="CESAR QUIROZ"/>
    <x v="2"/>
    <s v="15:16"/>
    <s v="16:03"/>
    <d v="1899-12-30T00:47:00"/>
    <x v="32"/>
    <x v="1"/>
    <x v="2"/>
    <x v="0"/>
    <x v="0"/>
    <s v="Apoyo al área de seguridad, se rompió candados de casilleros de vestuario de local anexo "/>
    <s v=""/>
    <m/>
    <m/>
    <m/>
    <m/>
    <m/>
    <m/>
    <m/>
    <m/>
    <m/>
    <m/>
    <m/>
    <m/>
    <m/>
    <x v="3"/>
    <n v="1"/>
  </r>
  <r>
    <s v="LINEA AUTOMATICA HACOS 1-20"/>
    <d v="2025-10-17T00:00:00"/>
    <s v="CESAR QUIROZ"/>
    <x v="2"/>
    <s v="17:10"/>
    <s v="18:02"/>
    <d v="1899-12-30T00:52:00"/>
    <x v="1"/>
    <x v="0"/>
    <x v="8"/>
    <x v="0"/>
    <x v="0"/>
    <s v="Polines con chocolate seco en banda, sensor con problemas en tina de samfill"/>
    <s v="Se realizó limpieza de polines de banda, se retiro sensor de tina se le realizó limpieza y se sello con silicona, se realizó pruebas de funcionamiento "/>
    <m/>
    <m/>
    <m/>
    <m/>
    <m/>
    <m/>
    <m/>
    <m/>
    <m/>
    <m/>
    <m/>
    <m/>
    <m/>
    <x v="3"/>
    <n v="20"/>
  </r>
  <r>
    <s v="ENVASADORA TEPACK-3"/>
    <d v="2025-10-17T00:00:00"/>
    <s v="CESAR QUIROZ"/>
    <x v="2"/>
    <s v="18:20"/>
    <s v="18:49"/>
    <d v="1899-12-30T00:29:00"/>
    <x v="26"/>
    <x v="0"/>
    <x v="1"/>
    <x v="1"/>
    <x v="1"/>
    <s v="Problemas en el envasado de producto"/>
    <s v="Se reviso funcionamiento y se regulo brazos de salida "/>
    <m/>
    <m/>
    <m/>
    <m/>
    <m/>
    <m/>
    <m/>
    <m/>
    <m/>
    <m/>
    <m/>
    <m/>
    <m/>
    <x v="3"/>
    <n v="3"/>
  </r>
  <r>
    <s v="EMP. FLOWPACK 1-4"/>
    <d v="2025-10-17T00:00:00"/>
    <s v="CESAR QUIROZ"/>
    <x v="2"/>
    <s v="18:54"/>
    <s v="19:26"/>
    <d v="1899-12-30T00:32:00"/>
    <x v="22"/>
    <x v="0"/>
    <x v="5"/>
    <x v="1"/>
    <x v="2"/>
    <s v="Controlador de temperatura con botones dañados"/>
    <s v="Se realizó cambio de controlador, se realizó configuración según temperatura "/>
    <m/>
    <m/>
    <m/>
    <m/>
    <m/>
    <m/>
    <m/>
    <m/>
    <m/>
    <m/>
    <m/>
    <m/>
    <m/>
    <x v="3"/>
    <n v="4"/>
  </r>
  <r>
    <s v="ENCELOFANADORA ECCOPAC-3"/>
    <d v="2025-10-17T00:00:00"/>
    <s v="CESAR QUIROZ"/>
    <x v="2"/>
    <s v="19:39"/>
    <s v="20:57"/>
    <d v="1899-12-30T01:18:00"/>
    <x v="24"/>
    <x v="0"/>
    <x v="4"/>
    <x v="0"/>
    <x v="0"/>
    <s v="Cambio de medidas y piezas para formato pisco x18"/>
    <s v=""/>
    <m/>
    <m/>
    <m/>
    <m/>
    <m/>
    <m/>
    <m/>
    <m/>
    <m/>
    <m/>
    <m/>
    <m/>
    <m/>
    <x v="3"/>
    <n v="3"/>
  </r>
  <r>
    <s v="LINEA DE COCCION HANSEL-3"/>
    <d v="2025-10-18T00:00:00"/>
    <s v="CESAR QUIROZ"/>
    <x v="2"/>
    <s v="14:18"/>
    <s v="14:57"/>
    <d v="1899-12-30T00:39:00"/>
    <x v="3"/>
    <x v="0"/>
    <x v="0"/>
    <x v="0"/>
    <x v="0"/>
    <s v="Revisión de funcionamiento de vacío en coccion de toffee chocolate "/>
    <s v=""/>
    <m/>
    <m/>
    <m/>
    <m/>
    <m/>
    <m/>
    <m/>
    <m/>
    <m/>
    <m/>
    <m/>
    <m/>
    <m/>
    <x v="4"/>
    <n v="3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  <r>
    <s v=""/>
    <m/>
    <m/>
    <x v="3"/>
    <m/>
    <m/>
    <m/>
    <x v="33"/>
    <x v="4"/>
    <x v="10"/>
    <x v="2"/>
    <x v="3"/>
    <m/>
    <m/>
    <m/>
    <m/>
    <m/>
    <m/>
    <m/>
    <m/>
    <m/>
    <m/>
    <m/>
    <m/>
    <m/>
    <m/>
    <m/>
    <x v="5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1">
  <r>
    <x v="0"/>
    <s v="Carlos Puma"/>
    <s v="TARDE"/>
    <d v="1899-12-30T13:00:00"/>
    <d v="1899-12-30T13:15:00"/>
    <d v="1899-12-30T00:15:00"/>
    <x v="0"/>
    <s v="Maquinaria"/>
    <s v="SET UP"/>
    <x v="0"/>
    <x v="0"/>
    <s v="Armado de equipo"/>
    <m/>
    <x v="0"/>
    <x v="0"/>
    <s v=""/>
    <s v=""/>
    <s v=""/>
    <x v="0"/>
    <x v="0"/>
    <x v="0"/>
  </r>
  <r>
    <x v="0"/>
    <s v="Carlos Puma"/>
    <s v="TARDE"/>
    <d v="1899-12-30T14:25:00"/>
    <d v="1899-12-30T14:35:00"/>
    <d v="1899-12-30T00:10:00"/>
    <x v="1"/>
    <s v="Maquinaria"/>
    <s v="Limpieza"/>
    <x v="0"/>
    <x v="0"/>
    <s v="Se retiro filtro para limpieza "/>
    <m/>
    <x v="1"/>
    <x v="0"/>
    <s v=""/>
    <s v=""/>
    <s v=""/>
    <x v="1"/>
    <x v="1"/>
    <x v="0"/>
  </r>
  <r>
    <x v="0"/>
    <s v="Carlos Puma"/>
    <s v="TARDE"/>
    <d v="1899-12-30T17:20:00"/>
    <d v="1899-12-30T17:40:00"/>
    <d v="1899-12-30T00:20:00"/>
    <x v="0"/>
    <s v="Maquinaria"/>
    <s v="Limpieza"/>
    <x v="0"/>
    <x v="0"/>
    <s v="Se desarma equipo para limpieza"/>
    <m/>
    <x v="0"/>
    <x v="0"/>
    <s v=""/>
    <s v=""/>
    <s v=""/>
    <x v="0"/>
    <x v="0"/>
    <x v="0"/>
  </r>
  <r>
    <x v="0"/>
    <s v="Carlos Puma"/>
    <s v="TARDE"/>
    <d v="1899-12-30T18:45:00"/>
    <d v="1899-12-30T19:00:00"/>
    <d v="1899-12-30T00:15:00"/>
    <x v="2"/>
    <s v="Maquinaria"/>
    <s v="Inspección"/>
    <x v="0"/>
    <x v="0"/>
    <s v="Inspeccion de equipo  (piston C-14)"/>
    <m/>
    <x v="2"/>
    <x v="0"/>
    <s v=""/>
    <s v=""/>
    <s v=""/>
    <x v="0"/>
    <x v="1"/>
    <x v="0"/>
  </r>
  <r>
    <x v="0"/>
    <s v="Carlos Puma"/>
    <s v="TARDE"/>
    <d v="1899-12-30T19:10:00"/>
    <d v="1899-12-30T20:20:00"/>
    <d v="1899-12-30T01:10:00"/>
    <x v="3"/>
    <s v="Maquinaria"/>
    <s v="SET UP"/>
    <x v="0"/>
    <x v="0"/>
    <s v="Cambio de formato bitesize"/>
    <s v="Se cambio cadena, empujadores y mordaza"/>
    <x v="0"/>
    <x v="0"/>
    <s v=""/>
    <s v=""/>
    <s v=""/>
    <x v="2"/>
    <x v="0"/>
    <x v="0"/>
  </r>
  <r>
    <x v="0"/>
    <s v="Carlos Puma"/>
    <s v="TARDE"/>
    <d v="1899-12-30T20:30:00"/>
    <d v="1899-12-30T20:45:00"/>
    <d v="1899-12-30T00:15:00"/>
    <x v="4"/>
    <s v="Maquinaria"/>
    <s v="Inspección"/>
    <x v="0"/>
    <x v="0"/>
    <s v="Ruido al girar"/>
    <s v="Se realizo pruebas y del ruido nose manifesto (ruido intermitente)"/>
    <x v="0"/>
    <x v="0"/>
    <s v=""/>
    <s v=""/>
    <s v=""/>
    <x v="3"/>
    <x v="0"/>
    <x v="0"/>
  </r>
  <r>
    <x v="0"/>
    <s v="Carlos Puma"/>
    <s v="TARDE"/>
    <d v="1899-12-30T23:00:00"/>
    <d v="1899-12-30T04:00:00"/>
    <d v="1899-12-30T05:00:00"/>
    <x v="5"/>
    <s v="Maquinaria"/>
    <s v="Trabajos menores"/>
    <x v="0"/>
    <x v="0"/>
    <s v="Apoyo a personal tercero retirando polin dañado para toma de medidas"/>
    <m/>
    <x v="3"/>
    <x v="0"/>
    <s v=""/>
    <s v=""/>
    <s v=""/>
    <x v="4"/>
    <x v="1"/>
    <x v="0"/>
  </r>
  <r>
    <x v="0"/>
    <s v="Carlos Puma"/>
    <s v="TARDE"/>
    <d v="1899-12-30T13:25:00"/>
    <d v="1899-12-30T13:50:00"/>
    <d v="1899-12-30T00:25:00"/>
    <x v="6"/>
    <s v="Maquinaria"/>
    <s v="Ajuste /Calibracion"/>
    <x v="1"/>
    <x v="1"/>
    <s v="Faja detenida"/>
    <s v="Se alineo faja y se dio seguimiento"/>
    <x v="0"/>
    <x v="0"/>
    <s v=""/>
    <s v=""/>
    <s v=""/>
    <x v="5"/>
    <x v="0"/>
    <x v="0"/>
  </r>
  <r>
    <x v="0"/>
    <s v="Carlos Puma"/>
    <s v="TARDE"/>
    <d v="1899-12-30T14:40:00"/>
    <d v="1899-12-30T17:15:00"/>
    <d v="1899-12-30T02:35:00"/>
    <x v="2"/>
    <s v="Maquinaria"/>
    <s v="Sustitucion"/>
    <x v="1"/>
    <x v="2"/>
    <s v="Error en C-14"/>
    <s v="Se hizo cambio de resorte de empujador de moldes, se reemplaza piston, se calibro sensores y se regulo el recorrido y velocidad de piston"/>
    <x v="0"/>
    <x v="0"/>
    <s v=""/>
    <s v=""/>
    <s v=""/>
    <x v="6"/>
    <x v="0"/>
    <x v="0"/>
  </r>
  <r>
    <x v="0"/>
    <s v="Cesar Quiroz"/>
    <s v="MAÑANA"/>
    <d v="1899-12-30T05:36:00"/>
    <d v="1899-12-30T06:21:00"/>
    <d v="1899-12-30T00:45:00"/>
    <x v="7"/>
    <s v="Maquinaria"/>
    <s v="Encendido / Arranque de linea"/>
    <x v="0"/>
    <x v="0"/>
    <s v="Arranque de equipos de planta"/>
    <m/>
    <x v="0"/>
    <x v="0"/>
    <s v=""/>
    <s v=""/>
    <s v=""/>
    <x v="0"/>
    <x v="0"/>
    <x v="0"/>
  </r>
  <r>
    <x v="0"/>
    <s v="Cesar Quiroz"/>
    <s v="MAÑANA"/>
    <d v="1899-12-30T06:37:00"/>
    <d v="1899-12-30T07:04:00"/>
    <d v="1899-12-30T00:27:00"/>
    <x v="2"/>
    <s v="Maquinaria"/>
    <s v="SET UP"/>
    <x v="0"/>
    <x v="0"/>
    <s v="Desarmado de formato x100 agregados en MDS"/>
    <m/>
    <x v="0"/>
    <x v="1"/>
    <s v="Mds"/>
    <s v=""/>
    <s v=""/>
    <x v="2"/>
    <x v="1"/>
    <x v="0"/>
  </r>
  <r>
    <x v="0"/>
    <s v="Cesar Quiroz"/>
    <s v="MAÑANA"/>
    <d v="1899-12-30T07:10:00"/>
    <d v="1899-12-30T07:42:00"/>
    <d v="1899-12-30T00:32:00"/>
    <x v="2"/>
    <s v="Maquinaria"/>
    <s v="SET UP"/>
    <x v="0"/>
    <x v="0"/>
    <s v="Armado de formato x50 agregados en MDS"/>
    <m/>
    <x v="0"/>
    <x v="1"/>
    <s v="Mds"/>
    <s v=""/>
    <s v=""/>
    <x v="2"/>
    <x v="1"/>
    <x v="0"/>
  </r>
  <r>
    <x v="0"/>
    <s v="Cesar Quiroz"/>
    <s v="MAÑANA"/>
    <d v="1899-12-30T07:45:00"/>
    <d v="1899-12-30T08:46:00"/>
    <d v="1899-12-30T01:01:00"/>
    <x v="3"/>
    <s v="Maquinaria"/>
    <s v="SET UP"/>
    <x v="0"/>
    <x v="0"/>
    <s v="Cambio de mordaza para minimilky"/>
    <m/>
    <x v="4"/>
    <x v="0"/>
    <s v=""/>
    <s v=""/>
    <s v=""/>
    <x v="0"/>
    <x v="1"/>
    <x v="0"/>
  </r>
  <r>
    <x v="0"/>
    <s v="Cesar Quiroz"/>
    <s v="MAÑANA"/>
    <d v="1899-12-30T08:48:00"/>
    <d v="1899-12-30T08:59:00"/>
    <d v="1899-12-30T00:11:00"/>
    <x v="2"/>
    <s v="Maquinaria"/>
    <s v="Inspección"/>
    <x v="0"/>
    <x v="0"/>
    <s v="Temperatura de columnas se baja"/>
    <s v="Se reviso nivel de agua de tanque. Se reviso retorno, se modifico seteado de agua fria, se modifico velocidad de bomba"/>
    <x v="0"/>
    <x v="2"/>
    <s v="Columna"/>
    <s v=""/>
    <s v=""/>
    <x v="0"/>
    <x v="1"/>
    <x v="0"/>
  </r>
  <r>
    <x v="0"/>
    <s v="Cesar Quiroz"/>
    <s v="MAÑANA"/>
    <d v="1899-12-30T11:18:00"/>
    <d v="1899-12-30T11:36:00"/>
    <d v="1899-12-30T00:18:00"/>
    <x v="8"/>
    <s v="Maquinaria"/>
    <s v="Inspección"/>
    <x v="0"/>
    <x v="0"/>
    <s v="Revision de funcionamiento "/>
    <m/>
    <x v="0"/>
    <x v="0"/>
    <s v=""/>
    <s v=""/>
    <s v=""/>
    <x v="0"/>
    <x v="0"/>
    <x v="0"/>
  </r>
  <r>
    <x v="0"/>
    <s v="Cesar Quiroz"/>
    <s v="MAÑANA"/>
    <d v="1899-12-30T11:39:00"/>
    <d v="1899-12-30T12:07:00"/>
    <d v="1899-12-30T00:28:00"/>
    <x v="2"/>
    <s v="Maquinaria"/>
    <s v="SET UP"/>
    <x v="0"/>
    <x v="0"/>
    <s v="Desarmado de formato agregados x50 MDS"/>
    <m/>
    <x v="0"/>
    <x v="1"/>
    <s v="Mds"/>
    <s v=""/>
    <s v=""/>
    <x v="2"/>
    <x v="1"/>
    <x v="0"/>
  </r>
  <r>
    <x v="0"/>
    <s v="Cesar Quiroz"/>
    <s v="MAÑANA"/>
    <d v="1899-12-30T12:10:00"/>
    <d v="1899-12-30T12:38:00"/>
    <d v="1899-12-30T00:28:00"/>
    <x v="2"/>
    <s v="Maquinaria"/>
    <s v="SET UP"/>
    <x v="0"/>
    <x v="0"/>
    <s v="Armado de formato cremas en MDS"/>
    <m/>
    <x v="0"/>
    <x v="1"/>
    <s v="Mds"/>
    <s v=""/>
    <s v=""/>
    <x v="2"/>
    <x v="1"/>
    <x v="0"/>
  </r>
  <r>
    <x v="0"/>
    <s v="Cesar Quiroz"/>
    <s v="MAÑANA"/>
    <d v="1899-12-30T09:04:00"/>
    <d v="1899-12-30T09:23:00"/>
    <d v="1899-12-30T00:19:00"/>
    <x v="3"/>
    <s v="Maquinaria"/>
    <s v="Ajuste /Calibracion"/>
    <x v="1"/>
    <x v="1"/>
    <s v="Laminado se mueve nose puede calibrar"/>
    <s v="Se apoyo en la alineacion de laminado. Se realizo pruebas"/>
    <x v="0"/>
    <x v="0"/>
    <s v=""/>
    <s v=""/>
    <s v=""/>
    <x v="7"/>
    <x v="0"/>
    <x v="0"/>
  </r>
  <r>
    <x v="0"/>
    <s v="Cesar Quiroz"/>
    <s v="MAÑANA"/>
    <d v="1899-12-30T09:26:00"/>
    <d v="1899-12-30T09:44:00"/>
    <d v="1899-12-30T00:18:00"/>
    <x v="3"/>
    <s v="Maquinaria"/>
    <s v="Ajuste /Calibracion"/>
    <x v="1"/>
    <x v="1"/>
    <s v="Alineacion de guiadores, regularizacion de sensor "/>
    <m/>
    <x v="0"/>
    <x v="0"/>
    <s v=""/>
    <s v=""/>
    <s v=""/>
    <x v="8"/>
    <x v="0"/>
    <x v="0"/>
  </r>
  <r>
    <x v="0"/>
    <s v="Omar Nina"/>
    <s v="NOCHE"/>
    <d v="1899-12-30T02:00:00"/>
    <d v="1899-12-30T02:25:00"/>
    <d v="1899-12-30T00:25:00"/>
    <x v="9"/>
    <s v="Area"/>
    <s v="Trabajos menores"/>
    <x v="0"/>
    <x v="0"/>
    <s v="Se apoya a calidad colocando dispensador "/>
    <m/>
    <x v="5"/>
    <x v="0"/>
    <s v=""/>
    <s v=""/>
    <s v=""/>
    <x v="0"/>
    <x v="1"/>
    <x v="0"/>
  </r>
  <r>
    <x v="0"/>
    <s v="Omar Nina"/>
    <s v="NOCHE"/>
    <d v="1899-12-30T21:50:00"/>
    <d v="1899-12-30T22:15:00"/>
    <d v="1899-12-30T00:25:00"/>
    <x v="3"/>
    <s v="Maquinaria"/>
    <s v="SET UP"/>
    <x v="0"/>
    <x v="0"/>
    <s v="Programa no responde"/>
    <s v="Se reinicia ambos tableros y se probo. Queda operativo "/>
    <x v="0"/>
    <x v="0"/>
    <s v=""/>
    <s v=""/>
    <s v=""/>
    <x v="9"/>
    <x v="0"/>
    <x v="0"/>
  </r>
  <r>
    <x v="0"/>
    <s v="Omar Nina"/>
    <s v="NOCHE"/>
    <d v="1899-12-30T22:30:00"/>
    <d v="1899-12-30T22:50:00"/>
    <d v="1899-12-30T00:20:00"/>
    <x v="10"/>
    <s v="Maquinaria"/>
    <s v="Inspección"/>
    <x v="0"/>
    <x v="0"/>
    <s v="Inspeccion de equipo"/>
    <m/>
    <x v="0"/>
    <x v="0"/>
    <s v=""/>
    <s v=""/>
    <s v=""/>
    <x v="0"/>
    <x v="0"/>
    <x v="0"/>
  </r>
  <r>
    <x v="0"/>
    <s v="Omar Nina"/>
    <s v="NOCHE"/>
    <d v="1899-12-30T03:34:00"/>
    <d v="1899-12-30T04:00:00"/>
    <d v="1899-12-30T00:26:00"/>
    <x v="9"/>
    <s v="Area"/>
    <s v="Trabajos menores"/>
    <x v="0"/>
    <x v="0"/>
    <s v="Apoyo a calidad colocando dispensado de papel"/>
    <m/>
    <x v="5"/>
    <x v="0"/>
    <s v=""/>
    <s v=""/>
    <s v=""/>
    <x v="0"/>
    <x v="1"/>
    <x v="0"/>
  </r>
  <r>
    <x v="0"/>
    <s v="Omar Nina"/>
    <s v="NOCHE"/>
    <d v="1899-12-30T23:20:00"/>
    <d v="1899-12-31T00:17:00"/>
    <d v="1899-12-30T00:57:00"/>
    <x v="2"/>
    <s v="Maquinaria"/>
    <s v="SET UP"/>
    <x v="0"/>
    <x v="0"/>
    <s v="Cambio de formato a crema ovalada"/>
    <s v="Se retiro plancha y usillo para lavar y se cambio cuchilla"/>
    <x v="0"/>
    <x v="0"/>
    <s v=""/>
    <s v=""/>
    <s v=""/>
    <x v="2"/>
    <x v="0"/>
    <x v="0"/>
  </r>
  <r>
    <x v="0"/>
    <s v="Omar Nina"/>
    <s v="NOCHE"/>
    <d v="1899-12-31T00:40:00"/>
    <d v="1899-12-31T00:58:00"/>
    <d v="1899-12-30T00:18:00"/>
    <x v="11"/>
    <s v="Maquinaria"/>
    <s v="Limpieza"/>
    <x v="0"/>
    <x v="0"/>
    <s v="No deja encender, sale alarma "/>
    <s v="Se limpio sensor y se encendio. Se deja trabajando"/>
    <x v="0"/>
    <x v="0"/>
    <s v=""/>
    <s v=""/>
    <s v=""/>
    <x v="10"/>
    <x v="0"/>
    <x v="0"/>
  </r>
  <r>
    <x v="0"/>
    <s v="Omar Nina"/>
    <s v="NOCHE"/>
    <d v="1899-12-30T01:20:00"/>
    <d v="1899-12-30T01:40:00"/>
    <d v="1899-12-30T00:20:00"/>
    <x v="2"/>
    <s v="Maquinaria"/>
    <s v="Inspección"/>
    <x v="0"/>
    <x v="0"/>
    <s v="Inspeccion de funcionamiento de maquinas"/>
    <m/>
    <x v="0"/>
    <x v="0"/>
    <s v=""/>
    <s v=""/>
    <s v=""/>
    <x v="0"/>
    <x v="0"/>
    <x v="0"/>
  </r>
  <r>
    <x v="0"/>
    <s v="Omar Nina"/>
    <s v="NOCHE"/>
    <d v="1899-12-30T04:15:00"/>
    <d v="1899-12-30T04:40:00"/>
    <d v="1899-12-30T00:25:00"/>
    <x v="3"/>
    <s v="Maquinaria"/>
    <s v="Inspección"/>
    <x v="0"/>
    <x v="0"/>
    <s v="Inspeccion de equipo"/>
    <m/>
    <x v="0"/>
    <x v="0"/>
    <s v=""/>
    <s v=""/>
    <s v=""/>
    <x v="0"/>
    <x v="0"/>
    <x v="0"/>
  </r>
  <r>
    <x v="0"/>
    <s v="Omar Nina"/>
    <s v="NOCHE"/>
    <d v="1899-12-30T22:56:00"/>
    <d v="1899-12-30T23:15:00"/>
    <d v="1899-12-30T00:19:00"/>
    <x v="12"/>
    <s v="Maquinaria"/>
    <s v="Ajuste /Calibracion"/>
    <x v="1"/>
    <x v="1"/>
    <s v="Al sellar hace agujeros en la parte inferior de la caja"/>
    <s v="Se cambio posicion de teflones de sellado, se hace preubas con producto. Queda operativo"/>
    <x v="0"/>
    <x v="0"/>
    <s v=""/>
    <s v=""/>
    <s v=""/>
    <x v="11"/>
    <x v="0"/>
    <x v="0"/>
  </r>
  <r>
    <x v="0"/>
    <s v="Omar Nina"/>
    <s v="NOCHE"/>
    <d v="1899-12-31T00:20:00"/>
    <d v="1899-12-31T00:34:00"/>
    <d v="1899-12-30T00:14:00"/>
    <x v="13"/>
    <s v="Maquinaria"/>
    <s v="Ajuste /Calibracion"/>
    <x v="1"/>
    <x v="1"/>
    <s v="Cuchilla no corta"/>
    <s v="Se calibro cuchilla"/>
    <x v="0"/>
    <x v="0"/>
    <s v=""/>
    <s v=""/>
    <s v=""/>
    <x v="12"/>
    <x v="0"/>
    <x v="0"/>
  </r>
  <r>
    <x v="1"/>
    <s v="Carlos Puma"/>
    <s v="NOCHE"/>
    <s v="21:30"/>
    <s v="21:45"/>
    <d v="1899-12-30T00:15:00"/>
    <x v="14"/>
    <s v="Maquinaria"/>
    <s v="Inspección"/>
    <x v="0"/>
    <x v="0"/>
    <s v="Reportan válvulas de gas abiertas "/>
    <s v="Se reviso estado de válvulas de gas"/>
    <x v="0"/>
    <x v="0"/>
    <s v=""/>
    <s v=""/>
    <s v=""/>
    <x v="13"/>
    <x v="0"/>
    <x v="1"/>
  </r>
  <r>
    <x v="1"/>
    <s v="Carlos Puma"/>
    <s v="NOCHE"/>
    <s v="21:55"/>
    <s v="22:25"/>
    <d v="1899-12-30T00:30:00"/>
    <x v="15"/>
    <s v="Maquinaria"/>
    <s v="SET UP"/>
    <x v="0"/>
    <x v="0"/>
    <s v="Armado de mds para formato crema ovalada"/>
    <s v=""/>
    <x v="0"/>
    <x v="1"/>
    <s v="Mds"/>
    <s v=""/>
    <s v=""/>
    <x v="2"/>
    <x v="1"/>
    <x v="1"/>
  </r>
  <r>
    <x v="1"/>
    <s v="Carlos Puma"/>
    <s v="NOCHE"/>
    <s v="22:35"/>
    <s v="22:59"/>
    <d v="1899-12-30T00:24:00"/>
    <x v="16"/>
    <s v="Maquinaria"/>
    <s v="SET UP"/>
    <x v="0"/>
    <x v="0"/>
    <s v="Se retiró tapas, rejillas y guardas para limpieza "/>
    <s v=""/>
    <x v="6"/>
    <x v="0"/>
    <s v=""/>
    <s v=""/>
    <s v=""/>
    <x v="14"/>
    <x v="1"/>
    <x v="1"/>
  </r>
  <r>
    <x v="1"/>
    <s v="Carlos Puma"/>
    <s v="NOCHE"/>
    <s v="00:03"/>
    <s v="00:20"/>
    <d v="1899-12-30T00:17:00"/>
    <x v="17"/>
    <s v="Maquinaria"/>
    <s v="Ajuste /Calibracion"/>
    <x v="0"/>
    <x v="3"/>
    <s v="Se apoyó en el ajuste de manguera de masa y se regulo parámetros de nivel del tanque de masa"/>
    <s v=""/>
    <x v="7"/>
    <x v="3"/>
    <s v="Tanque"/>
    <s v=""/>
    <s v=""/>
    <x v="15"/>
    <x v="1"/>
    <x v="1"/>
  </r>
  <r>
    <x v="1"/>
    <s v="Carlos Puma"/>
    <s v="NOCHE"/>
    <s v="00:30"/>
    <s v="00:45"/>
    <d v="1899-12-30T00:15:00"/>
    <x v="18"/>
    <s v="Maquinaria"/>
    <s v="SET UP"/>
    <x v="0"/>
    <x v="0"/>
    <s v="Desarme de equipo por limpieza "/>
    <s v=""/>
    <x v="0"/>
    <x v="0"/>
    <s v=""/>
    <s v=""/>
    <s v=""/>
    <x v="0"/>
    <x v="0"/>
    <x v="1"/>
  </r>
  <r>
    <x v="1"/>
    <s v="Carlos Puma"/>
    <s v="NOCHE"/>
    <s v="02:50"/>
    <s v="03:10"/>
    <d v="1899-12-30T00:20:00"/>
    <x v="17"/>
    <s v="Maquinaria"/>
    <s v="Inspección"/>
    <x v="0"/>
    <x v="0"/>
    <s v="Inspección de parámetros de nivel de tanque de masa"/>
    <s v=""/>
    <x v="8"/>
    <x v="3"/>
    <s v="Tanque"/>
    <s v=""/>
    <s v=""/>
    <x v="16"/>
    <x v="1"/>
    <x v="1"/>
  </r>
  <r>
    <x v="1"/>
    <s v="Carlos Puma"/>
    <s v="NOCHE"/>
    <s v="01:00"/>
    <s v="01:45"/>
    <d v="1899-12-30T00:45:00"/>
    <x v="19"/>
    <s v="Maquinaria"/>
    <s v="Ajuste /Calibracion"/>
    <x v="1"/>
    <x v="1"/>
    <s v="Problemas con aspiración de ciclo jafinox ,"/>
    <s v="Se invirtió el giro de motor de aspiración y de motor de salida de cascarilla , se reviso circuito eléctrico y se realizó un puente ala bobina del contactor de motor de salida para habilitar el encendido con interruptor del teblero"/>
    <x v="0"/>
    <x v="0"/>
    <s v=""/>
    <s v=""/>
    <s v=""/>
    <x v="0"/>
    <x v="0"/>
    <x v="1"/>
  </r>
  <r>
    <x v="1"/>
    <s v="Carlos Puma"/>
    <s v="NOCHE"/>
    <s v="02:00"/>
    <s v="02:20"/>
    <d v="1899-12-30T00:20:00"/>
    <x v="20"/>
    <s v="Maquinaria"/>
    <s v="SET UP"/>
    <x v="1"/>
    <x v="2"/>
    <s v="No detecta señal de sensor "/>
    <s v="Se configuro parámetros y tipo de sensor a usar , se aseguro conexiones y se hizo pruebas "/>
    <x v="0"/>
    <x v="0"/>
    <s v=""/>
    <s v=""/>
    <s v=""/>
    <x v="0"/>
    <x v="0"/>
    <x v="1"/>
  </r>
  <r>
    <x v="1"/>
    <s v="CARLOS TAPIA"/>
    <s v="MAÑANA"/>
    <s v="10:00"/>
    <s v="11:00"/>
    <d v="1899-12-30T01:00:00"/>
    <x v="17"/>
    <s v="Maquinaria"/>
    <s v="SET UP"/>
    <x v="0"/>
    <x v="0"/>
    <s v="Armar máquina para el turno tarde."/>
    <s v="Se colocó piezas en posición y se dejó habilitada para el turno tarde."/>
    <x v="0"/>
    <x v="0"/>
    <s v=""/>
    <s v=""/>
    <s v=""/>
    <x v="0"/>
    <x v="0"/>
    <x v="1"/>
  </r>
  <r>
    <x v="1"/>
    <s v="CARLOS TAPIA"/>
    <s v="MAÑANA"/>
    <s v="05:30"/>
    <s v="06:20"/>
    <d v="1899-12-30T00:50:00"/>
    <x v="21"/>
    <s v="Area"/>
    <s v="Encendido / Arranque de linea"/>
    <x v="0"/>
    <x v="0"/>
    <s v="Arranque de planta."/>
    <s v="Se encendió líneas de vapor agua y aire. Se revisó y encendió equipos."/>
    <x v="0"/>
    <x v="0"/>
    <s v=""/>
    <s v=""/>
    <s v=""/>
    <x v="0"/>
    <x v="0"/>
    <x v="1"/>
  </r>
  <r>
    <x v="1"/>
    <s v="CARLOS TAPIA"/>
    <s v="MAÑANA"/>
    <s v="06:30"/>
    <s v="07:00"/>
    <d v="1899-12-30T00:30:00"/>
    <x v="15"/>
    <s v="Maquinaria"/>
    <s v="SET UP"/>
    <x v="0"/>
    <x v="0"/>
    <s v="Desarmar módulo MDS para su limpieza."/>
    <s v="Se desarmo módulo de MDS."/>
    <x v="0"/>
    <x v="1"/>
    <s v="Mds"/>
    <s v=""/>
    <s v=""/>
    <x v="0"/>
    <x v="1"/>
    <x v="1"/>
  </r>
  <r>
    <x v="1"/>
    <s v="CARLOS TAPIA"/>
    <s v="MAÑANA"/>
    <s v="07:30"/>
    <s v="08:00"/>
    <d v="1899-12-30T00:30:00"/>
    <x v="22"/>
    <s v="Maquinaria"/>
    <s v="Inspección"/>
    <x v="0"/>
    <x v="0"/>
    <s v="Inspección de máquina."/>
    <s v="Se revisó y se calibró la altura de la mesa Se realizó pruebas y se dejó máquina operativa."/>
    <x v="0"/>
    <x v="0"/>
    <s v=""/>
    <s v=""/>
    <s v=""/>
    <x v="0"/>
    <x v="0"/>
    <x v="1"/>
  </r>
  <r>
    <x v="1"/>
    <s v="CARLOS TAPIA"/>
    <s v="MAÑANA"/>
    <s v="08:30"/>
    <s v="09:50"/>
    <d v="1899-12-30T01:20:00"/>
    <x v="23"/>
    <s v="Area"/>
    <s v="SET UP"/>
    <x v="1"/>
    <x v="1"/>
    <s v="Bomba del tanque de retorno se encuentra obstruida."/>
    <s v="Se retiró tuberías conectadas a bomba y se retiró el trapeador que se encontraba obstruyendo el impulsor."/>
    <x v="0"/>
    <x v="3"/>
    <s v="Tanque"/>
    <s v=""/>
    <s v=""/>
    <x v="17"/>
    <x v="1"/>
    <x v="1"/>
  </r>
  <r>
    <x v="1"/>
    <s v="CARLOS TAPIA"/>
    <s v="MAÑANA"/>
    <s v="12:40"/>
    <s v="13:30"/>
    <d v="1899-12-30T00:50:00"/>
    <x v="24"/>
    <s v="Maquinaria"/>
    <s v="Sustitucion"/>
    <x v="1"/>
    <x v="1"/>
    <s v="Fuga de vapor por empaque (brida)."/>
    <s v="Se retiró brida para el reemplazo de empaque. Se dejó operativa."/>
    <x v="0"/>
    <x v="0"/>
    <s v=""/>
    <s v=""/>
    <s v=""/>
    <x v="18"/>
    <x v="0"/>
    <x v="1"/>
  </r>
  <r>
    <x v="1"/>
    <s v="Omar Nina"/>
    <s v="MAÑANA"/>
    <s v="07:07"/>
    <s v="07:22"/>
    <d v="1899-12-30T00:15:00"/>
    <x v="25"/>
    <s v="Maquinaria"/>
    <s v="Limpieza"/>
    <x v="0"/>
    <x v="0"/>
    <s v="Apoyo retirando faja central para limpieza "/>
    <s v=""/>
    <x v="9"/>
    <x v="0"/>
    <s v=""/>
    <s v=""/>
    <s v=""/>
    <x v="14"/>
    <x v="1"/>
    <x v="1"/>
  </r>
  <r>
    <x v="1"/>
    <s v="Omar Nina"/>
    <s v="MAÑANA"/>
    <s v="07:45"/>
    <s v="07:58"/>
    <d v="1899-12-30T00:13:00"/>
    <x v="25"/>
    <s v="Maquinaria"/>
    <s v="SET UP"/>
    <x v="0"/>
    <x v="0"/>
    <s v="Colocación de faja"/>
    <s v=""/>
    <x v="9"/>
    <x v="0"/>
    <s v=""/>
    <s v=""/>
    <s v=""/>
    <x v="0"/>
    <x v="1"/>
    <x v="1"/>
  </r>
  <r>
    <x v="1"/>
    <s v="Omar Nina"/>
    <s v="MAÑANA"/>
    <s v="08:03"/>
    <s v="08:30"/>
    <d v="1899-12-30T00:27:00"/>
    <x v="15"/>
    <s v="Maquinaria"/>
    <s v="SET UP"/>
    <x v="0"/>
    <x v="0"/>
    <s v="Armado de MDS para formato frambuesa "/>
    <s v=""/>
    <x v="0"/>
    <x v="1"/>
    <s v="Mds"/>
    <s v=""/>
    <s v=""/>
    <x v="2"/>
    <x v="1"/>
    <x v="1"/>
  </r>
  <r>
    <x v="1"/>
    <s v="Omar Nina"/>
    <s v="MAÑANA"/>
    <s v="10:55"/>
    <s v="11:15"/>
    <d v="1899-12-30T00:20:00"/>
    <x v="26"/>
    <s v="Maquinaria"/>
    <s v="Inspección"/>
    <x v="0"/>
    <x v="0"/>
    <s v="Inspección funcionamiento de equipo "/>
    <s v=""/>
    <x v="0"/>
    <x v="0"/>
    <s v=""/>
    <s v=""/>
    <s v=""/>
    <x v="0"/>
    <x v="0"/>
    <x v="1"/>
  </r>
  <r>
    <x v="1"/>
    <s v="Omar Nina"/>
    <s v="MAÑANA"/>
    <s v="13:46"/>
    <s v="14:10"/>
    <d v="1899-12-30T00:24:00"/>
    <x v="27"/>
    <s v="Maquinaria"/>
    <s v="SET UP"/>
    <x v="0"/>
    <x v="0"/>
    <s v="Llenado de aceite "/>
    <s v=""/>
    <x v="0"/>
    <x v="0"/>
    <s v=""/>
    <s v=""/>
    <s v=""/>
    <x v="0"/>
    <x v="0"/>
    <x v="1"/>
  </r>
  <r>
    <x v="1"/>
    <s v="Omar Nina"/>
    <s v="MAÑANA"/>
    <s v="08:35"/>
    <s v="08:51"/>
    <d v="1899-12-30T00:16:00"/>
    <x v="15"/>
    <s v="Maquinaria"/>
    <s v="SET UP"/>
    <x v="1"/>
    <x v="1"/>
    <s v="Temperatura de túnel de enfriamiento demorar en bajar"/>
    <s v="Se agrega refrigerante a compresor "/>
    <x v="0"/>
    <x v="0"/>
    <s v=""/>
    <s v=""/>
    <s v=""/>
    <x v="19"/>
    <x v="0"/>
    <x v="1"/>
  </r>
  <r>
    <x v="2"/>
    <s v="CARLOS TAPIA"/>
    <s v="MAÑANA"/>
    <d v="1899-12-30T12:40:00"/>
    <d v="1899-12-30T13:00:00"/>
    <d v="1899-12-30T00:20:00"/>
    <x v="15"/>
    <s v="Maquinaria"/>
    <s v="Inspección"/>
    <x v="0"/>
    <x v="0"/>
    <s v="Inspección de máquina."/>
    <s v="Se dió seguimiento al funcionamiento de máquina "/>
    <x v="0"/>
    <x v="0"/>
    <s v=""/>
    <s v=""/>
    <s v=""/>
    <x v="0"/>
    <x v="0"/>
    <x v="1"/>
  </r>
  <r>
    <x v="2"/>
    <s v="CARLOS TAPIA"/>
    <s v="MAÑANA"/>
    <d v="1899-12-30T06:20:00"/>
    <d v="1899-12-30T07:45:00"/>
    <d v="1899-12-30T01:25:00"/>
    <x v="28"/>
    <s v="Maquinaria"/>
    <s v="SET UP"/>
    <x v="0"/>
    <x v="0"/>
    <s v="Cambio de formato."/>
    <s v="Se realizó el cambio de formato en máquina."/>
    <x v="0"/>
    <x v="0"/>
    <s v=""/>
    <s v=""/>
    <s v=""/>
    <x v="2"/>
    <x v="0"/>
    <x v="1"/>
  </r>
  <r>
    <x v="2"/>
    <s v="Cesar Quiroz"/>
    <s v="TARDE"/>
    <d v="1899-12-30T15:16:00"/>
    <d v="1899-12-30T15:53:00"/>
    <d v="1899-12-30T00:37:00"/>
    <x v="29"/>
    <s v="Maquinaria"/>
    <s v="SET UP"/>
    <x v="0"/>
    <x v="0"/>
    <s v="Cambio de formato para barras x50"/>
    <s v=""/>
    <x v="0"/>
    <x v="0"/>
    <s v=""/>
    <s v=""/>
    <s v=""/>
    <x v="2"/>
    <x v="0"/>
    <x v="1"/>
  </r>
  <r>
    <x v="2"/>
    <s v="Cesar Quiroz"/>
    <s v="TARDE"/>
    <d v="1899-12-30T14:45:00"/>
    <d v="1899-12-30T15:11:00"/>
    <d v="1899-12-30T00:26:00"/>
    <x v="30"/>
    <s v="Maquinaria"/>
    <s v="Limpieza"/>
    <x v="0"/>
    <x v="0"/>
    <s v="No imprime bien"/>
    <s v="Se realizó limpieza de cabezal y se realizó pruebas de funcionamiento "/>
    <x v="0"/>
    <x v="0"/>
    <s v=""/>
    <s v=""/>
    <s v=""/>
    <x v="20"/>
    <x v="0"/>
    <x v="1"/>
  </r>
  <r>
    <x v="2"/>
    <s v="Cesar Quiroz"/>
    <s v="TARDE"/>
    <d v="1899-12-30T14:11:00"/>
    <d v="1899-12-30T14:42:00"/>
    <d v="1899-12-30T00:31:00"/>
    <x v="15"/>
    <s v="Maquinaria"/>
    <s v="SET UP"/>
    <x v="0"/>
    <x v="0"/>
    <s v="Limpieza de módulo mds"/>
    <s v="Desarmado de formato cremas de mds"/>
    <x v="0"/>
    <x v="1"/>
    <s v="Mds"/>
    <s v=""/>
    <s v=""/>
    <x v="0"/>
    <x v="1"/>
    <x v="1"/>
  </r>
  <r>
    <x v="2"/>
    <s v="Cesar Quiroz"/>
    <s v="TARDE"/>
    <d v="1899-12-30T12:37:00"/>
    <d v="1899-12-30T12:56:00"/>
    <d v="1899-12-30T00:19:00"/>
    <x v="31"/>
    <s v="Equipos auxiliares"/>
    <s v="Inspección"/>
    <x v="0"/>
    <x v="0"/>
    <s v="Revisión de funcionamiento y parámetros de trabajo de equipos"/>
    <s v=""/>
    <x v="0"/>
    <x v="0"/>
    <s v=""/>
    <s v=""/>
    <s v=""/>
    <x v="0"/>
    <x v="0"/>
    <x v="1"/>
  </r>
  <r>
    <x v="2"/>
    <s v="Cesar Quiroz"/>
    <s v="TARDE"/>
    <d v="1899-12-30T13:33:00"/>
    <d v="1899-12-30T13:59:00"/>
    <d v="1899-12-30T00:26:00"/>
    <x v="32"/>
    <s v="Maquinaria"/>
    <s v="SET UP"/>
    <x v="1"/>
    <x v="2"/>
    <s v="No inicia, tablero de tanque de pasta gruesa desactivado"/>
    <s v="Se habilitó tablero de tanque de pasta gruesa, se verifico calentamiento de chaqueta, se encendio molino de villas, se dejó trabajando "/>
    <x v="0"/>
    <x v="3"/>
    <s v="Tanque"/>
    <s v=""/>
    <s v=""/>
    <x v="21"/>
    <x v="1"/>
    <x v="1"/>
  </r>
  <r>
    <x v="2"/>
    <s v="Cesar Quiroz"/>
    <s v="TARDE"/>
    <d v="1899-12-30T13:09:00"/>
    <d v="1899-12-30T13:28:00"/>
    <d v="1899-12-30T00:19:00"/>
    <x v="33"/>
    <s v="Maquinaria"/>
    <s v="Sustitucion"/>
    <x v="1"/>
    <x v="1"/>
    <s v="Accesorio con presencia de oxido en pernos "/>
    <s v="Se apoyo en el cambio de pernos y limpieza de oxido "/>
    <x v="0"/>
    <x v="0"/>
    <s v=""/>
    <s v=""/>
    <s v=""/>
    <x v="22"/>
    <x v="0"/>
    <x v="1"/>
  </r>
  <r>
    <x v="2"/>
    <s v="JOSÉ HAÑARI"/>
    <s v="TARDE"/>
    <d v="1899-12-30T20:52:00"/>
    <d v="1899-12-30T00:00:00"/>
    <d v="1899-12-30T03:08:00"/>
    <x v="23"/>
    <s v="Area"/>
    <s v="SET UP"/>
    <x v="0"/>
    <x v="0"/>
    <s v="Habilitar extensión grageadora "/>
    <s v="Se habilita extensión en grageadora "/>
    <x v="0"/>
    <x v="4"/>
    <s v="Extension"/>
    <s v=""/>
    <s v=""/>
    <x v="0"/>
    <x v="1"/>
    <x v="1"/>
  </r>
  <r>
    <x v="2"/>
    <s v="JOSÉ HAÑARI"/>
    <s v="TARDE"/>
    <d v="1899-12-30T17:00:00"/>
    <d v="1899-12-30T17:30:00"/>
    <d v="1899-12-30T00:30:00"/>
    <x v="26"/>
    <s v="Maquinaria"/>
    <s v="Ajuste /Calibracion"/>
    <x v="1"/>
    <x v="1"/>
    <s v="Contra elevador doblado y rajado "/>
    <s v="Se corrige dobaduras y se refuersa con soldadura "/>
    <x v="0"/>
    <x v="0"/>
    <s v=""/>
    <s v=""/>
    <s v=""/>
    <x v="23"/>
    <x v="0"/>
    <x v="1"/>
  </r>
  <r>
    <x v="2"/>
    <s v="Omar Nina"/>
    <s v="MAÑANA"/>
    <d v="1899-12-30T12:00:00"/>
    <d v="1899-12-30T12:30:00"/>
    <d v="1899-12-30T00:30:00"/>
    <x v="34"/>
    <s v="Maquinaria"/>
    <s v="Inspección"/>
    <x v="0"/>
    <x v="0"/>
    <s v="Inspección funcionamiento de equipo "/>
    <s v=""/>
    <x v="0"/>
    <x v="0"/>
    <s v=""/>
    <s v=""/>
    <s v=""/>
    <x v="0"/>
    <x v="0"/>
    <x v="1"/>
  </r>
  <r>
    <x v="2"/>
    <s v="Omar Nina"/>
    <s v="MAÑANA"/>
    <d v="1899-12-30T10:30:00"/>
    <d v="1899-12-30T10:50:00"/>
    <d v="1899-12-30T00:20:00"/>
    <x v="35"/>
    <s v="Maquinaria"/>
    <s v="Inspección"/>
    <x v="0"/>
    <x v="0"/>
    <s v="Inspección visual de equipo "/>
    <s v="Se informa de fisura en chaqueta de agua."/>
    <x v="0"/>
    <x v="0"/>
    <s v=""/>
    <s v=""/>
    <s v=""/>
    <x v="0"/>
    <x v="0"/>
    <x v="1"/>
  </r>
  <r>
    <x v="2"/>
    <s v="Omar Nina"/>
    <s v="MAÑANA"/>
    <d v="1899-12-30T09:35:00"/>
    <d v="1899-12-30T10:10:00"/>
    <d v="1899-12-30T00:35:00"/>
    <x v="15"/>
    <s v="Maquinaria"/>
    <s v="Inspección"/>
    <x v="0"/>
    <x v="0"/>
    <s v="Reportan que equipo se apagó. Guardamotor th9 protegido"/>
    <s v="Se revisó tensión de línea principal. Se revisó ventiladores y se inicia equipo."/>
    <x v="10"/>
    <x v="0"/>
    <s v=""/>
    <s v=""/>
    <s v=""/>
    <x v="24"/>
    <x v="1"/>
    <x v="1"/>
  </r>
  <r>
    <x v="2"/>
    <s v="Omar Nina"/>
    <s v="MAÑANA"/>
    <d v="1899-12-30T08:30:00"/>
    <d v="1899-12-30T09:00:00"/>
    <d v="1899-12-30T00:30:00"/>
    <x v="19"/>
    <s v="Maquinaria"/>
    <s v="Ajuste /Calibracion"/>
    <x v="0"/>
    <x v="3"/>
    <s v="Inspección funcionamiento de equipo "/>
    <s v="Se regula aspiración de cascarilla "/>
    <x v="0"/>
    <x v="0"/>
    <s v=""/>
    <s v=""/>
    <s v=""/>
    <x v="0"/>
    <x v="0"/>
    <x v="1"/>
  </r>
  <r>
    <x v="2"/>
    <s v="Omar Nina"/>
    <s v="MAÑANA"/>
    <d v="1899-12-30T07:55:00"/>
    <d v="1899-12-30T08:20:00"/>
    <d v="1899-12-30T00:25:00"/>
    <x v="36"/>
    <s v="Maquinaria"/>
    <s v="Ajuste /Calibracion"/>
    <x v="0"/>
    <x v="3"/>
    <s v="Revisión de equipo, operador necesita hacer hervir agua "/>
    <s v="Se revisó válvulas y se hizo hervir."/>
    <x v="0"/>
    <x v="0"/>
    <s v=""/>
    <s v=""/>
    <s v=""/>
    <x v="0"/>
    <x v="0"/>
    <x v="1"/>
  </r>
  <r>
    <x v="2"/>
    <s v="Omar Nina"/>
    <s v="MAÑANA"/>
    <d v="1899-12-30T06:42:00"/>
    <d v="1899-12-30T07:40:00"/>
    <d v="1899-12-30T00:58:00"/>
    <x v="28"/>
    <s v="Maquinaria"/>
    <s v="SET UP"/>
    <x v="0"/>
    <x v="0"/>
    <s v="Cambio de formato de pisco x9 a milky"/>
    <s v="Cambio de piezas y calibración de equipo "/>
    <x v="0"/>
    <x v="0"/>
    <s v=""/>
    <s v=""/>
    <s v=""/>
    <x v="2"/>
    <x v="0"/>
    <x v="1"/>
  </r>
  <r>
    <x v="2"/>
    <s v="Omar Nina"/>
    <s v="MAÑANA"/>
    <d v="1899-12-30T13:10:00"/>
    <d v="1899-12-30T14:10:00"/>
    <d v="1899-12-30T01:00:00"/>
    <x v="37"/>
    <s v="Maquinaria"/>
    <s v="Reparacion"/>
    <x v="1"/>
    <x v="1"/>
    <s v="Agitador tiene óxido en los pernos "/>
    <s v="Se lleva a taller y se inicia con el cambio de pernos y pulido"/>
    <x v="0"/>
    <x v="0"/>
    <s v=""/>
    <s v=""/>
    <s v=""/>
    <x v="0"/>
    <x v="0"/>
    <x v="1"/>
  </r>
  <r>
    <x v="2"/>
    <s v="Omar Nina"/>
    <s v="MAÑANA"/>
    <d v="1899-12-30T06:15:00"/>
    <d v="1899-12-30T06:30:00"/>
    <d v="1899-12-30T00:15:00"/>
    <x v="15"/>
    <s v="Maquinaria"/>
    <s v="SET UP"/>
    <x v="1"/>
    <x v="2"/>
    <s v="Temperadora bloqueada, no hay chocolate en tanque "/>
    <s v="Se restablece guardamotor y se deja en modo calentamiento "/>
    <x v="0"/>
    <x v="5"/>
    <s v="Tanque"/>
    <s v="Temperadora"/>
    <s v=""/>
    <x v="25"/>
    <x v="1"/>
    <x v="1"/>
  </r>
  <r>
    <x v="3"/>
    <s v="Carlos Puma"/>
    <s v="NOCHE"/>
    <d v="1899-12-30T01:28:00"/>
    <d v="1899-12-30T01:42:00"/>
    <d v="1899-12-30T00:14:00"/>
    <x v="29"/>
    <s v="Maquinaria"/>
    <s v="Ajuste /Calibracion"/>
    <x v="1"/>
    <x v="1"/>
    <s v="Pieza de empujador suelta fuera de pocision "/>
    <s v="Se reconecto pieza a su respectiva base y se regulo embrague , se hizo pruebas en vacio"/>
    <x v="0"/>
    <x v="0"/>
    <s v=""/>
    <s v=""/>
    <s v=""/>
    <x v="26"/>
    <x v="0"/>
    <x v="1"/>
  </r>
  <r>
    <x v="3"/>
    <s v="Carlos Puma"/>
    <s v="NOCHE"/>
    <d v="1899-12-30T02:30:00"/>
    <d v="1899-12-30T02:45:00"/>
    <d v="1899-12-30T00:15:00"/>
    <x v="38"/>
    <s v="Maquinaria"/>
    <s v="Ajuste /Calibracion"/>
    <x v="1"/>
    <x v="1"/>
    <s v="Reportan que moldes se atoran en el interior del tunel"/>
    <s v="Se reviso que no exista obtruccions , se realizó una limpieza parcial de guías y se tenso guias"/>
    <x v="0"/>
    <x v="6"/>
    <s v="Tunel De Enfriamiento"/>
    <s v=""/>
    <s v=""/>
    <x v="0"/>
    <x v="1"/>
    <x v="1"/>
  </r>
  <r>
    <x v="3"/>
    <s v="Carlos Puma"/>
    <s v="NOCHE"/>
    <d v="1899-12-30T02:55:00"/>
    <d v="1899-12-30T03:20:00"/>
    <d v="1899-12-30T00:25:00"/>
    <x v="28"/>
    <s v="Maquinaria"/>
    <s v="Ajuste /Calibracion"/>
    <x v="1"/>
    <x v="1"/>
    <s v="Equipo aplasta las cajas "/>
    <s v="Se calibro sellador principal, laminado y apertura de mesa, se hizo pruebas y apoyó en la operación "/>
    <x v="0"/>
    <x v="0"/>
    <s v=""/>
    <s v=""/>
    <s v=""/>
    <x v="0"/>
    <x v="0"/>
    <x v="1"/>
  </r>
  <r>
    <x v="3"/>
    <s v="Carlos Puma"/>
    <s v="NOCHE"/>
    <d v="1899-12-30T01:12:00"/>
    <d v="1899-12-30T01:22:00"/>
    <d v="1899-12-30T00:10:00"/>
    <x v="16"/>
    <s v="Maquinaria"/>
    <s v="SET UP"/>
    <x v="0"/>
    <x v="0"/>
    <s v="Reconexión habilitación de motor de faja de ingreso a clovers "/>
    <s v=""/>
    <x v="11"/>
    <x v="0"/>
    <s v=""/>
    <s v=""/>
    <s v=""/>
    <x v="0"/>
    <x v="1"/>
    <x v="1"/>
  </r>
  <r>
    <x v="3"/>
    <s v="Carlos Puma"/>
    <s v="NOCHE"/>
    <d v="1899-12-30T01:50:00"/>
    <d v="1899-12-30T02:00:00"/>
    <d v="1899-12-30T00:10:00"/>
    <x v="39"/>
    <s v="Maquinaria"/>
    <s v="Ajuste /Calibracion"/>
    <x v="0"/>
    <x v="3"/>
    <s v="Apoyo en máquina "/>
    <s v="Se ajusto uniones sms de tuberías de descarga"/>
    <x v="0"/>
    <x v="0"/>
    <s v=""/>
    <s v=""/>
    <s v=""/>
    <x v="0"/>
    <x v="0"/>
    <x v="1"/>
  </r>
  <r>
    <x v="3"/>
    <s v="CARLOS TAPIA"/>
    <s v="MAÑANA"/>
    <d v="1899-12-30T07:40:00"/>
    <d v="1899-12-30T08:00:00"/>
    <d v="1899-12-30T00:20:00"/>
    <x v="40"/>
    <s v="Maquinaria"/>
    <s v="Inspección"/>
    <x v="0"/>
    <x v="0"/>
    <s v="Inspección de máquina."/>
    <s v="Se revisó y habilitó máquina."/>
    <x v="0"/>
    <x v="0"/>
    <s v=""/>
    <s v=""/>
    <s v=""/>
    <x v="0"/>
    <x v="0"/>
    <x v="1"/>
  </r>
  <r>
    <x v="3"/>
    <s v="CARLOS TAPIA"/>
    <s v="MAÑANA"/>
    <d v="1899-12-30T09:30:00"/>
    <d v="1899-12-30T10:30:00"/>
    <d v="1899-12-30T01:00:00"/>
    <x v="41"/>
    <s v="Maquinaria"/>
    <s v="Ajuste /Calibracion"/>
    <x v="1"/>
    <x v="1"/>
    <s v="Equipo presenta error E8 y E9. "/>
    <s v="Se revisó equipo y se restableció enfriador."/>
    <x v="0"/>
    <x v="0"/>
    <s v=""/>
    <s v=""/>
    <s v=""/>
    <x v="6"/>
    <x v="0"/>
    <x v="1"/>
  </r>
  <r>
    <x v="3"/>
    <s v="Cesar Quiroz"/>
    <s v="TARDE"/>
    <d v="1899-12-30T12:39:00"/>
    <d v="1899-12-30T12:55:00"/>
    <d v="1899-12-30T00:16:00"/>
    <x v="31"/>
    <s v="Equipos auxiliares"/>
    <s v="Inspección"/>
    <x v="0"/>
    <x v="0"/>
    <s v="Revisión de funcionamiento y parámetros de trabajo "/>
    <s v=""/>
    <x v="0"/>
    <x v="0"/>
    <s v=""/>
    <s v=""/>
    <s v=""/>
    <x v="0"/>
    <x v="0"/>
    <x v="1"/>
  </r>
  <r>
    <x v="3"/>
    <s v="Cesar Quiroz"/>
    <s v="TARDE"/>
    <d v="1899-12-30T13:14:00"/>
    <d v="1899-12-30T13:47:00"/>
    <d v="1899-12-30T00:33:00"/>
    <x v="15"/>
    <s v="Maquinaria"/>
    <s v="SET UP"/>
    <x v="0"/>
    <x v="0"/>
    <s v="Armado de formato agregados x100 en mds"/>
    <s v=""/>
    <x v="0"/>
    <x v="1"/>
    <s v="Mds"/>
    <s v=""/>
    <s v=""/>
    <x v="2"/>
    <x v="1"/>
    <x v="1"/>
  </r>
  <r>
    <x v="3"/>
    <s v="Cesar Quiroz"/>
    <s v="TARDE"/>
    <d v="1899-12-30T13:57:00"/>
    <d v="1899-12-30T14:16:00"/>
    <d v="1899-12-30T00:19:00"/>
    <x v="42"/>
    <s v="Maquinaria"/>
    <s v="Lubricación"/>
    <x v="0"/>
    <x v="0"/>
    <s v="Máquina sin presencia de grasa"/>
    <s v="Se lubrico equipo por puntos de engrase "/>
    <x v="0"/>
    <x v="0"/>
    <s v=""/>
    <s v=""/>
    <s v=""/>
    <x v="27"/>
    <x v="0"/>
    <x v="1"/>
  </r>
  <r>
    <x v="3"/>
    <s v="Omar Nina"/>
    <s v="MAÑANA"/>
    <d v="1899-12-30T10:05:00"/>
    <d v="1899-12-30T10:20:00"/>
    <d v="1899-12-30T00:15:00"/>
    <x v="29"/>
    <s v="Maquinaria"/>
    <s v="SET UP"/>
    <x v="0"/>
    <x v="0"/>
    <s v="Apoyo en calibración de puntos de goma"/>
    <s v=""/>
    <x v="12"/>
    <x v="0"/>
    <s v=""/>
    <s v=""/>
    <s v=""/>
    <x v="28"/>
    <x v="1"/>
    <x v="1"/>
  </r>
  <r>
    <x v="3"/>
    <s v="Omar Nina"/>
    <s v="MAÑANA"/>
    <d v="1899-12-30T10:35:00"/>
    <d v="1899-12-30T10:56:00"/>
    <d v="1899-12-30T00:21:00"/>
    <x v="43"/>
    <s v="Sistema"/>
    <s v="Inspección"/>
    <x v="0"/>
    <x v="0"/>
    <s v="Inspección de nivel de agua "/>
    <s v=""/>
    <x v="0"/>
    <x v="0"/>
    <s v=""/>
    <s v=""/>
    <s v=""/>
    <x v="16"/>
    <x v="0"/>
    <x v="1"/>
  </r>
  <r>
    <x v="3"/>
    <s v="Omar Nina"/>
    <s v="MAÑANA"/>
    <d v="1899-12-30T11:10:00"/>
    <d v="1899-12-30T11:30:00"/>
    <d v="1899-12-30T00:20:00"/>
    <x v="26"/>
    <s v="Maquinaria"/>
    <s v="Inspección"/>
    <x v="0"/>
    <x v="0"/>
    <s v="Inspección de funcionamiento de equipo "/>
    <s v=""/>
    <x v="0"/>
    <x v="0"/>
    <s v=""/>
    <s v=""/>
    <s v=""/>
    <x v="0"/>
    <x v="0"/>
    <x v="1"/>
  </r>
  <r>
    <x v="3"/>
    <s v="Omar Nina"/>
    <s v="MAÑANA"/>
    <d v="1899-12-30T12:50:00"/>
    <d v="1899-12-30T13:35:00"/>
    <d v="1899-12-30T00:45:00"/>
    <x v="29"/>
    <s v="Maquinaria"/>
    <s v="SET UP"/>
    <x v="0"/>
    <x v="0"/>
    <s v="Inspección de equipo "/>
    <s v="Ajuste de medida 4 y apoyo en configuración de formato de fecha "/>
    <x v="0"/>
    <x v="0"/>
    <s v=""/>
    <s v=""/>
    <s v=""/>
    <x v="0"/>
    <x v="0"/>
    <x v="1"/>
  </r>
  <r>
    <x v="3"/>
    <s v="Omar Nina"/>
    <s v="MAÑANA"/>
    <d v="1899-12-30T06:30:00"/>
    <d v="1899-12-30T06:50:00"/>
    <d v="1899-12-30T00:20:00"/>
    <x v="44"/>
    <s v="Maquinaria"/>
    <s v="Ajuste /Calibracion"/>
    <x v="1"/>
    <x v="1"/>
    <s v="No permite llenar la tolva, el tablero tiene activo el indicador de tolva llena."/>
    <s v="Se calibra posición de sensor."/>
    <x v="0"/>
    <x v="0"/>
    <s v=""/>
    <s v=""/>
    <s v=""/>
    <x v="0"/>
    <x v="0"/>
    <x v="1"/>
  </r>
  <r>
    <x v="3"/>
    <s v="Omar Nina"/>
    <s v="MAÑANA"/>
    <d v="1899-12-30T07:00:00"/>
    <d v="1899-12-30T07:35:00"/>
    <d v="1899-12-30T00:35:00"/>
    <x v="28"/>
    <s v="Maquinaria"/>
    <s v="Ajuste /Calibracion"/>
    <x v="1"/>
    <x v="1"/>
    <s v="Aplasta cajas, y no sella"/>
    <s v="Se calibra presión inicial de cajas. Altura de cuchilla y plegadores"/>
    <x v="0"/>
    <x v="0"/>
    <s v=""/>
    <s v=""/>
    <s v=""/>
    <x v="29"/>
    <x v="0"/>
    <x v="1"/>
  </r>
  <r>
    <x v="3"/>
    <s v="Omar Nina"/>
    <s v="MAÑANA"/>
    <d v="1899-12-30T08:10:00"/>
    <d v="1899-12-30T08:48:00"/>
    <d v="1899-12-30T00:38:00"/>
    <x v="25"/>
    <s v="Maquinaria"/>
    <s v="Inspección"/>
    <x v="1"/>
    <x v="2"/>
    <s v="No enciende la mesa de vibración con el pulsador de reset."/>
    <s v="Se revisa conección eléctrica. Estado de relés."/>
    <x v="0"/>
    <x v="0"/>
    <s v=""/>
    <s v=""/>
    <s v=""/>
    <x v="30"/>
    <x v="0"/>
    <x v="1"/>
  </r>
  <r>
    <x v="3"/>
    <s v="Omar Nina"/>
    <s v="MAÑANA"/>
    <d v="1899-12-30T09:15:00"/>
    <d v="1899-12-30T09:50:00"/>
    <d v="1899-12-30T00:35:00"/>
    <x v="41"/>
    <s v="Maquinaria"/>
    <s v="Limpieza"/>
    <x v="1"/>
    <x v="1"/>
    <s v="Alarma de temperatura no deja iniciar equipo "/>
    <s v="Se realiza limpieza de condensador y se realiza pruebas de funcionamiento "/>
    <x v="0"/>
    <x v="0"/>
    <s v=""/>
    <s v=""/>
    <s v=""/>
    <x v="10"/>
    <x v="0"/>
    <x v="1"/>
  </r>
  <r>
    <x v="4"/>
    <s v="Carlos Puma"/>
    <s v="NOCHE"/>
    <s v="02:30"/>
    <s v="02:50"/>
    <d v="1899-12-30T00:20:00"/>
    <x v="45"/>
    <s v="Equipos auxiliares"/>
    <s v="SET UP"/>
    <x v="1"/>
    <x v="2"/>
    <s v="Alarma falla de llama"/>
    <s v="Se confirmo alarma se reseteo programa , se hizo las purgas de nivel y fondo y se dió seguimiento "/>
    <x v="0"/>
    <x v="0"/>
    <s v=""/>
    <s v=""/>
    <s v=""/>
    <x v="10"/>
    <x v="0"/>
    <x v="1"/>
  </r>
  <r>
    <x v="4"/>
    <s v="Carlos Puma"/>
    <s v="NOCHE"/>
    <s v="04:36"/>
    <s v="04:50"/>
    <d v="1899-12-30T00:14:00"/>
    <x v="15"/>
    <s v="Maquinaria"/>
    <s v="Ajuste /Calibracion"/>
    <x v="1"/>
    <x v="1"/>
    <s v="Falla actuador b6"/>
    <s v="Se apoyó regulando velocidad de actuador, se dió seguimiento "/>
    <x v="0"/>
    <x v="0"/>
    <s v=""/>
    <s v=""/>
    <s v=""/>
    <x v="0"/>
    <x v="0"/>
    <x v="1"/>
  </r>
  <r>
    <x v="4"/>
    <s v="Carlos Puma"/>
    <s v="NOCHE"/>
    <s v="05:00"/>
    <d v="1899-12-30T05:18:00"/>
    <d v="1899-12-30T00:18:00"/>
    <x v="16"/>
    <s v="Maquinaria"/>
    <s v="Inspección"/>
    <x v="1"/>
    <x v="1"/>
    <s v="Reportan ruido anómalo en equipo "/>
    <s v="Se dió seguimiento al funcionamiento "/>
    <x v="0"/>
    <x v="0"/>
    <s v=""/>
    <s v=""/>
    <s v=""/>
    <x v="3"/>
    <x v="0"/>
    <x v="1"/>
  </r>
  <r>
    <x v="4"/>
    <s v="Carlos Puma"/>
    <s v="NOCHE"/>
    <s v="01:00"/>
    <s v="02:00"/>
    <d v="1899-12-30T01:00:00"/>
    <x v="21"/>
    <s v="Area"/>
    <s v="Inspección"/>
    <x v="0"/>
    <x v="0"/>
    <s v="Inspección de equipos en uso durante el turno"/>
    <s v=""/>
    <x v="0"/>
    <x v="0"/>
    <s v=""/>
    <s v=""/>
    <s v=""/>
    <x v="0"/>
    <x v="0"/>
    <x v="1"/>
  </r>
  <r>
    <x v="4"/>
    <s v="Carlos Puma"/>
    <s v="NOCHE"/>
    <s v="04:15"/>
    <s v="04:30"/>
    <d v="1899-12-30T00:15:00"/>
    <x v="26"/>
    <s v="Maquinaria"/>
    <s v="Ajuste /Calibracion"/>
    <x v="0"/>
    <x v="3"/>
    <s v="Apoyó en regulacion mecánica de piezas guías de entrada "/>
    <s v=""/>
    <x v="0"/>
    <x v="0"/>
    <s v=""/>
    <s v=""/>
    <s v=""/>
    <x v="0"/>
    <x v="0"/>
    <x v="1"/>
  </r>
  <r>
    <x v="4"/>
    <s v="Cesar Quiroz"/>
    <s v="TARDE"/>
    <s v="12:39"/>
    <s v="12:58"/>
    <d v="1899-12-30T00:19:00"/>
    <x v="31"/>
    <s v="Equipos auxiliares"/>
    <s v="Inspección"/>
    <x v="0"/>
    <x v="0"/>
    <s v="Revisión de funcionamiento y parámetros dé trabajo"/>
    <s v=""/>
    <x v="0"/>
    <x v="0"/>
    <s v=""/>
    <s v=""/>
    <s v=""/>
    <x v="0"/>
    <x v="0"/>
    <x v="1"/>
  </r>
  <r>
    <x v="4"/>
    <s v="Cesar Quiroz"/>
    <s v="TARDE"/>
    <s v="13:08"/>
    <s v="14:03"/>
    <d v="1899-12-30T00:55:00"/>
    <x v="23"/>
    <s v="Area"/>
    <s v="Inspección"/>
    <x v="0"/>
    <x v="0"/>
    <s v="Revisión de circuitos y tableros eléctricos "/>
    <s v=""/>
    <x v="0"/>
    <x v="0"/>
    <s v=""/>
    <s v=""/>
    <s v=""/>
    <x v="0"/>
    <x v="0"/>
    <x v="1"/>
  </r>
  <r>
    <x v="4"/>
    <s v="Cesar Quiroz"/>
    <s v="TARDE"/>
    <s v="15:29"/>
    <s v="15:54"/>
    <d v="1899-12-30T00:25:00"/>
    <x v="46"/>
    <s v="Maquinaria"/>
    <s v="SET UP"/>
    <x v="0"/>
    <x v="0"/>
    <s v="Camara de frío sale agua de condensado, acumulación de hielo"/>
    <s v="Se retiro bandeja y se realizó limpieza y descongelacion"/>
    <x v="0"/>
    <x v="7"/>
    <s v="Camara De Temperado"/>
    <s v=""/>
    <s v=""/>
    <x v="31"/>
    <x v="1"/>
    <x v="1"/>
  </r>
  <r>
    <x v="4"/>
    <s v="Cesar Quiroz"/>
    <s v="TARDE"/>
    <s v="14:07"/>
    <s v="14:23"/>
    <d v="1899-12-30T00:16:00"/>
    <x v="29"/>
    <s v="Maquinaria"/>
    <s v="Limpieza"/>
    <x v="1"/>
    <x v="1"/>
    <s v="Problemas con la dosificación de goma"/>
    <s v="Se realizó purga y limpieza, se regulo cantidad de salida de goma"/>
    <x v="0"/>
    <x v="8"/>
    <s v="Dosificador"/>
    <s v=""/>
    <s v=""/>
    <x v="0"/>
    <x v="1"/>
    <x v="1"/>
  </r>
  <r>
    <x v="4"/>
    <s v="Cesar Quiroz"/>
    <s v="TARDE"/>
    <s v="14:38"/>
    <s v="15:15"/>
    <d v="1899-12-30T00:37:00"/>
    <x v="26"/>
    <s v="Maquinaria"/>
    <s v="Limpieza"/>
    <x v="1"/>
    <x v="1"/>
    <s v="Problemas con el rodillo de arrastre, papel se arruga constantemente "/>
    <s v="Se desarmo y se realizó limpieza y correcta instalación, se lubrico y se realizó pruebas"/>
    <x v="0"/>
    <x v="0"/>
    <s v=""/>
    <s v=""/>
    <s v=""/>
    <x v="0"/>
    <x v="0"/>
    <x v="1"/>
  </r>
  <r>
    <x v="4"/>
    <s v="Cesar Quiroz"/>
    <s v="TARDE"/>
    <s v="15:54"/>
    <s v="16:18"/>
    <d v="1899-12-30T00:24:00"/>
    <x v="47"/>
    <s v="Maquinaria"/>
    <s v="Ajuste /Calibracion"/>
    <x v="1"/>
    <x v="1"/>
    <s v="Moldes de juntan en salida de torre"/>
    <s v="Se regulo presión de rascadores, se realizó pruebas"/>
    <x v="0"/>
    <x v="2"/>
    <s v="Columna"/>
    <s v=""/>
    <s v=""/>
    <x v="32"/>
    <x v="1"/>
    <x v="1"/>
  </r>
  <r>
    <x v="4"/>
    <s v="JOSÉ HAÑARI"/>
    <s v="TARDE"/>
    <s v="12:40"/>
    <s v="13:30"/>
    <d v="1899-12-30T00:50:00"/>
    <x v="23"/>
    <s v="Area"/>
    <s v="Inspección"/>
    <x v="0"/>
    <x v="0"/>
    <s v="Se hace inspección de circuitos eléctricos del primer piso "/>
    <s v=""/>
    <x v="0"/>
    <x v="0"/>
    <s v=""/>
    <s v=""/>
    <s v=""/>
    <x v="0"/>
    <x v="0"/>
    <x v="1"/>
  </r>
  <r>
    <x v="4"/>
    <s v="JOSÉ HAÑARI"/>
    <s v="TARDE"/>
    <s v="14:00"/>
    <s v="14:30"/>
    <d v="1899-12-30T00:30:00"/>
    <x v="2"/>
    <s v="Maquinaria"/>
    <s v="SET UP"/>
    <x v="0"/>
    <x v="0"/>
    <s v="Se desarma MDS para limpieza "/>
    <s v=""/>
    <x v="0"/>
    <x v="1"/>
    <s v="Mds"/>
    <s v=""/>
    <s v=""/>
    <x v="0"/>
    <x v="1"/>
    <x v="1"/>
  </r>
  <r>
    <x v="4"/>
    <s v="JOSÉ HAÑARI"/>
    <s v="TARDE"/>
    <s v="17:50"/>
    <s v="18:10"/>
    <d v="1899-12-30T00:20:00"/>
    <x v="48"/>
    <s v="Area"/>
    <s v="Inspección"/>
    <x v="0"/>
    <x v="0"/>
    <s v="Se hace inspección de luminaria de garita y se saca medidas"/>
    <s v=""/>
    <x v="0"/>
    <x v="0"/>
    <s v=""/>
    <s v=""/>
    <s v=""/>
    <x v="0"/>
    <x v="0"/>
    <x v="1"/>
  </r>
  <r>
    <x v="4"/>
    <s v="JOSÉ HAÑARI"/>
    <s v="TARDE"/>
    <s v="16:00"/>
    <s v="16:40"/>
    <d v="1899-12-30T00:40:00"/>
    <x v="49"/>
    <s v="Maquinaria"/>
    <s v="Ajuste /Calibracion"/>
    <x v="1"/>
    <x v="1"/>
    <s v="Se habilita la faja de tranporte de producto y se regula temperatura de cabina "/>
    <s v=""/>
    <x v="0"/>
    <x v="0"/>
    <s v=""/>
    <s v=""/>
    <s v=""/>
    <x v="0"/>
    <x v="0"/>
    <x v="1"/>
  </r>
  <r>
    <x v="4"/>
    <s v="JOSÉ HAÑARI"/>
    <s v="TARDE"/>
    <s v="16:45"/>
    <s v="17:00"/>
    <d v="1899-12-30T00:15:00"/>
    <x v="50"/>
    <s v="Maquinaria"/>
    <s v="Ajuste /Calibracion"/>
    <x v="1"/>
    <x v="1"/>
    <s v="Faja de tranporte de túnel de bañadora fuera de punto "/>
    <s v="Se regula la faja a punto de trabajo "/>
    <x v="0"/>
    <x v="0"/>
    <s v=""/>
    <s v=""/>
    <s v=""/>
    <x v="33"/>
    <x v="0"/>
    <x v="1"/>
  </r>
  <r>
    <x v="4"/>
    <s v="JOSÉ HAÑARI"/>
    <s v="TARDE"/>
    <s v="18:15"/>
    <s v="18:50"/>
    <d v="1899-12-30T00:35:00"/>
    <x v="26"/>
    <s v="Maquinaria"/>
    <s v="Limpieza"/>
    <x v="1"/>
    <x v="1"/>
    <s v="Rodillo de arrastre de la vpack arruga el papel aluminio "/>
    <s v="Se realiza limpieza de eje y rodamientos y se verifica los gomas con cesar "/>
    <x v="0"/>
    <x v="0"/>
    <s v=""/>
    <s v=""/>
    <s v=""/>
    <x v="0"/>
    <x v="0"/>
    <x v="1"/>
  </r>
  <r>
    <x v="4"/>
    <s v="JOSÉ HAÑARI"/>
    <s v="TARDE"/>
    <s v="19:00"/>
    <s v="19:40"/>
    <d v="1899-12-30T00:40:00"/>
    <x v="47"/>
    <s v="Maquinaria"/>
    <s v="SET UP"/>
    <x v="1"/>
    <x v="1"/>
    <s v="Sobre torque de línea "/>
    <s v="Se realiza punto cero a la linea u se verifica los moldes con apoyo de cesar "/>
    <x v="0"/>
    <x v="0"/>
    <s v=""/>
    <s v=""/>
    <s v=""/>
    <x v="0"/>
    <x v="0"/>
    <x v="1"/>
  </r>
  <r>
    <x v="5"/>
    <s v="Carlos Puma"/>
    <s v="NOCHE"/>
    <d v="1899-12-30T00:30:00"/>
    <d v="1899-12-30T00:50:00"/>
    <d v="1899-12-30T00:20:00"/>
    <x v="15"/>
    <s v="Maquinaria"/>
    <s v="Sustitucion"/>
    <x v="1"/>
    <x v="1"/>
    <s v="Robot de desmolde deja caer producto"/>
    <s v="Se reviso y remplazo gomas de sistema de succion "/>
    <x v="0"/>
    <x v="9"/>
    <s v="Robot"/>
    <s v=""/>
    <s v=""/>
    <x v="34"/>
    <x v="1"/>
    <x v="1"/>
  </r>
  <r>
    <x v="5"/>
    <s v="Carlos Puma"/>
    <s v="NOCHE"/>
    <d v="1899-12-30T01:00:00"/>
    <d v="1899-12-30T01:20:00"/>
    <d v="1899-12-30T00:20:00"/>
    <x v="3"/>
    <s v="Maquinaria"/>
    <s v="Ajuste /Calibracion"/>
    <x v="1"/>
    <x v="1"/>
    <s v="Apoyó  en máquina "/>
    <s v="Se apoyó regulando fajas guías y se dió seguimiento "/>
    <x v="0"/>
    <x v="0"/>
    <s v=""/>
    <s v=""/>
    <s v=""/>
    <x v="0"/>
    <x v="0"/>
    <x v="1"/>
  </r>
  <r>
    <x v="5"/>
    <s v="Carlos Puma"/>
    <s v="NOCHE"/>
    <d v="1899-12-30T02:40:00"/>
    <d v="1899-12-30T02:50:00"/>
    <d v="1899-12-30T00:10:00"/>
    <x v="15"/>
    <s v="Maquinaria"/>
    <s v="Limpieza"/>
    <x v="1"/>
    <x v="1"/>
    <s v="Molde atorado en intercambiador de moldes"/>
    <s v="Se retiró molde y se realizó la limpieza de sensor de intercambiador de moldes"/>
    <x v="0"/>
    <x v="10"/>
    <s v="Intercambiador De Moldes"/>
    <s v=""/>
    <s v=""/>
    <x v="0"/>
    <x v="1"/>
    <x v="1"/>
  </r>
  <r>
    <x v="5"/>
    <s v="Carlos Puma"/>
    <s v="NOCHE"/>
    <d v="1899-12-30T02:55:00"/>
    <d v="1899-12-30T04:00:00"/>
    <d v="1899-12-30T01:05:00"/>
    <x v="26"/>
    <s v="Maquinaria"/>
    <s v="Sustitucion"/>
    <x v="1"/>
    <x v="1"/>
    <s v="Pinzas gastadas sueltan el producto "/>
    <s v="Se retiró pinzas para cambio de gomas"/>
    <x v="0"/>
    <x v="0"/>
    <s v=""/>
    <s v=""/>
    <s v=""/>
    <x v="35"/>
    <x v="0"/>
    <x v="1"/>
  </r>
  <r>
    <x v="5"/>
    <s v="Carlos Puma"/>
    <s v="NOCHE"/>
    <d v="1899-12-30T04:05:00"/>
    <d v="1899-12-30T04:20:00"/>
    <d v="1899-12-30T00:15:00"/>
    <x v="15"/>
    <s v="Maquinaria"/>
    <s v="SET UP"/>
    <x v="1"/>
    <x v="1"/>
    <s v="Temperadora bloqueada "/>
    <s v="Se reviso y aumento agua en tanques, se verifico retorno y se dejó calentando"/>
    <x v="0"/>
    <x v="11"/>
    <s v="Temperadora"/>
    <s v=""/>
    <s v=""/>
    <x v="25"/>
    <x v="1"/>
    <x v="1"/>
  </r>
  <r>
    <x v="5"/>
    <s v="Carlos Puma"/>
    <s v="NOCHE"/>
    <d v="1899-12-30T22:05:00"/>
    <d v="1899-12-30T00:30:00"/>
    <d v="1899-12-30T02:25:00"/>
    <x v="47"/>
    <s v="Maquinaria"/>
    <s v="Ajuste /Calibracion"/>
    <x v="1"/>
    <x v="1"/>
    <s v="Sobre torque a530 molde atascado empujador dañado"/>
    <s v="Se retiro molde y restos se retiro empujador y se enderezo empujador y bases, se monto empujador se retiro moldes se coloco en punto O torre de bajada y se subida se hizo pruebas"/>
    <x v="0"/>
    <x v="0"/>
    <s v=""/>
    <s v=""/>
    <s v=""/>
    <x v="36"/>
    <x v="0"/>
    <x v="1"/>
  </r>
  <r>
    <x v="5"/>
    <s v="Carlos Puma"/>
    <s v="NOCHE"/>
    <d v="1899-12-30T00:04:00"/>
    <d v="1899-12-30T00:20:00"/>
    <d v="1899-12-30T00:16:00"/>
    <x v="3"/>
    <s v="Maquinaria"/>
    <s v="SET UP"/>
    <x v="0"/>
    <x v="0"/>
    <s v="Cambio de formato d emilky a minimilky"/>
    <s v=""/>
    <x v="0"/>
    <x v="0"/>
    <s v=""/>
    <s v=""/>
    <s v=""/>
    <x v="2"/>
    <x v="0"/>
    <x v="1"/>
  </r>
  <r>
    <x v="5"/>
    <s v="Carlos Puma"/>
    <s v="NOCHE"/>
    <d v="1899-12-30T01:50:00"/>
    <d v="1899-12-30T02:10:00"/>
    <d v="1899-12-30T00:20:00"/>
    <x v="15"/>
    <s v="Maquinaria"/>
    <s v="SET UP"/>
    <x v="0"/>
    <x v="0"/>
    <s v="Cambio de plancha de Mds , de crema redonda a fondy menta "/>
    <s v=""/>
    <x v="13"/>
    <x v="1"/>
    <s v="Mds"/>
    <s v=""/>
    <s v=""/>
    <x v="0"/>
    <x v="1"/>
    <x v="1"/>
  </r>
  <r>
    <x v="5"/>
    <s v="CARLOS TAPIA"/>
    <s v="MAÑANA"/>
    <d v="1899-12-30T06:00:00"/>
    <d v="1899-12-30T06:21:00"/>
    <d v="1899-12-30T00:21:00"/>
    <x v="15"/>
    <s v="Maquinaria"/>
    <s v="Inspección"/>
    <x v="0"/>
    <x v="0"/>
    <s v="Revisar niveles de agua en tanques."/>
    <s v="Se llenó agua en los tanques de la temperadora."/>
    <x v="0"/>
    <x v="3"/>
    <s v="Tanque"/>
    <s v=""/>
    <s v=""/>
    <x v="16"/>
    <x v="1"/>
    <x v="1"/>
  </r>
  <r>
    <x v="5"/>
    <s v="CARLOS TAPIA"/>
    <s v="MAÑANA"/>
    <d v="1899-12-30T07:10:00"/>
    <d v="1899-12-30T07:35:00"/>
    <d v="1899-12-30T00:25:00"/>
    <x v="51"/>
    <s v="Maquinaria"/>
    <s v="Limpieza"/>
    <x v="0"/>
    <x v="0"/>
    <s v="Base de corte no avanza libremente por su guía."/>
    <s v="Se limpio guía y se lubricó máquina."/>
    <x v="0"/>
    <x v="0"/>
    <s v=""/>
    <s v=""/>
    <s v=""/>
    <x v="37"/>
    <x v="0"/>
    <x v="1"/>
  </r>
  <r>
    <x v="5"/>
    <s v="CARLOS TAPIA"/>
    <s v="MAÑANA"/>
    <d v="1899-12-30T10:00:00"/>
    <d v="1899-12-30T11:00:00"/>
    <d v="1899-12-30T01:00:00"/>
    <x v="7"/>
    <s v="Maquinaria"/>
    <s v="Limpieza"/>
    <x v="0"/>
    <x v="0"/>
    <s v="Limpieza de zona de carga. Sopletear equipos."/>
    <s v="Se limpio y sopleteo de carga.Se limpio zona de carga."/>
    <x v="0"/>
    <x v="0"/>
    <s v=""/>
    <s v=""/>
    <s v=""/>
    <x v="38"/>
    <x v="0"/>
    <x v="1"/>
  </r>
  <r>
    <x v="5"/>
    <s v="CARLOS TAPIA"/>
    <s v="MAÑANA"/>
    <d v="1899-12-30T12:00:00"/>
    <d v="1899-12-30T12:20:00"/>
    <d v="1899-12-30T00:20:00"/>
    <x v="15"/>
    <s v="Maquinaria"/>
    <s v="Inspección"/>
    <x v="0"/>
    <x v="0"/>
    <s v="Inspección de máquina."/>
    <s v="Se dió seguimiento al funcionamiento de máquina."/>
    <x v="0"/>
    <x v="0"/>
    <s v=""/>
    <s v=""/>
    <s v=""/>
    <x v="0"/>
    <x v="0"/>
    <x v="1"/>
  </r>
  <r>
    <x v="5"/>
    <s v="CARLOS TAPIA"/>
    <s v="MAÑANA"/>
    <d v="1899-12-30T12:50:00"/>
    <d v="1899-12-30T13:20:00"/>
    <d v="1899-12-30T00:30:00"/>
    <x v="52"/>
    <s v="Area"/>
    <s v="Limpieza"/>
    <x v="0"/>
    <x v="0"/>
    <s v="Orden y limpieza del taller ."/>
    <s v="Se limpio y ordenó mesa de trabajo."/>
    <x v="0"/>
    <x v="0"/>
    <s v=""/>
    <s v=""/>
    <s v=""/>
    <x v="0"/>
    <x v="0"/>
    <x v="1"/>
  </r>
  <r>
    <x v="6"/>
    <s v="Carlos Puma"/>
    <s v="NOCHE"/>
    <d v="1899-12-30T01:25:00"/>
    <d v="1899-12-30T01:40:00"/>
    <d v="1899-12-30T00:15:00"/>
    <x v="26"/>
    <s v="Maquinaria"/>
    <s v="Sustitucion"/>
    <x v="1"/>
    <x v="1"/>
    <s v="Perno robado no se puede retirar "/>
    <s v="Se retiró perno con extractor y se remplazo "/>
    <x v="0"/>
    <x v="0"/>
    <s v=""/>
    <s v=""/>
    <s v=""/>
    <x v="14"/>
    <x v="0"/>
    <x v="1"/>
  </r>
  <r>
    <x v="6"/>
    <s v="Carlos Puma"/>
    <s v="NOCHE"/>
    <d v="1899-12-30T00:30:00"/>
    <d v="1899-12-30T01:20:00"/>
    <d v="1899-12-30T00:50:00"/>
    <x v="15"/>
    <s v="Maquinaria"/>
    <s v="SET UP"/>
    <x v="0"/>
    <x v="0"/>
    <s v="Cambio de formato mds "/>
    <s v="Se desarmo formato de agregados x100 y se armó formato de agregados x50"/>
    <x v="0"/>
    <x v="1"/>
    <s v="Mds"/>
    <s v=""/>
    <s v=""/>
    <x v="2"/>
    <x v="1"/>
    <x v="1"/>
  </r>
  <r>
    <x v="6"/>
    <s v="Carlos Puma"/>
    <s v="NOCHE"/>
    <d v="1899-12-30T01:50:00"/>
    <d v="1899-12-30T03:25:00"/>
    <d v="1899-12-30T01:35:00"/>
    <x v="28"/>
    <s v="Maquinaria"/>
    <s v="SET UP"/>
    <x v="0"/>
    <x v="0"/>
    <s v="Cambio de formato de milky x10 a pisco x 9"/>
    <s v=""/>
    <x v="0"/>
    <x v="0"/>
    <s v=""/>
    <s v=""/>
    <s v=""/>
    <x v="2"/>
    <x v="0"/>
    <x v="1"/>
  </r>
  <r>
    <x v="6"/>
    <s v="Carlos Puma"/>
    <s v="NOCHE"/>
    <d v="1899-12-30T03:30:00"/>
    <d v="1899-12-30T04:10:00"/>
    <d v="1899-12-30T00:40:00"/>
    <x v="47"/>
    <s v="Maquinaria"/>
    <s v="SET UP"/>
    <x v="0"/>
    <x v="0"/>
    <s v="Se retiró base dañada de cadena"/>
    <s v=""/>
    <x v="14"/>
    <x v="0"/>
    <s v=""/>
    <s v=""/>
    <s v=""/>
    <x v="4"/>
    <x v="1"/>
    <x v="1"/>
  </r>
  <r>
    <x v="6"/>
    <s v="Carlos Puma"/>
    <s v="NOCHE"/>
    <d v="1899-12-30T21:30:00"/>
    <d v="1899-12-30T22:10:00"/>
    <d v="1899-12-30T00:40:00"/>
    <x v="5"/>
    <s v="Maquinaria"/>
    <s v="Inspección"/>
    <x v="0"/>
    <x v="0"/>
    <s v="Reportan ruido en sacmi"/>
    <s v="Se informo a jefe de mantenimiento, se dió seguimiento al funcionamiento con velocidad 400"/>
    <x v="0"/>
    <x v="0"/>
    <s v=""/>
    <s v=""/>
    <s v=""/>
    <x v="3"/>
    <x v="0"/>
    <x v="1"/>
  </r>
  <r>
    <x v="6"/>
    <s v="Carlos Puma"/>
    <s v="NOCHE"/>
    <d v="1899-12-30T22:05:00"/>
    <d v="1899-12-30T23:05:00"/>
    <d v="1899-12-30T01:00:00"/>
    <x v="52"/>
    <s v="Area"/>
    <s v="Coordinacion"/>
    <x v="0"/>
    <x v="0"/>
    <s v="Regularizacion de reportes diarios y formato de paradas no programadas "/>
    <s v=""/>
    <x v="0"/>
    <x v="0"/>
    <s v=""/>
    <s v=""/>
    <s v=""/>
    <x v="2"/>
    <x v="0"/>
    <x v="1"/>
  </r>
  <r>
    <x v="6"/>
    <s v="CARLOS TAPIA"/>
    <s v="MAÑANA"/>
    <d v="1899-12-30T10:00:00"/>
    <d v="1899-12-30T11:00:00"/>
    <d v="1899-12-30T01:00:00"/>
    <x v="7"/>
    <s v="Maquinaria"/>
    <s v="Limpieza"/>
    <x v="0"/>
    <x v="0"/>
    <s v="Sopletear y limpieza zona de carga de apiladores."/>
    <s v="Se limpio y sopleteo zona de carga de los apiladores."/>
    <x v="15"/>
    <x v="0"/>
    <s v=""/>
    <s v=""/>
    <s v=""/>
    <x v="38"/>
    <x v="1"/>
    <x v="1"/>
  </r>
  <r>
    <x v="7"/>
    <s v="CARLOS TAPIA"/>
    <s v="MAÑANA"/>
    <d v="1899-12-30T07:00:00"/>
    <d v="1899-12-30T07:30:00"/>
    <d v="1899-12-30T00:30:00"/>
    <x v="50"/>
    <s v="Maquinaria"/>
    <s v="SET UP"/>
    <x v="0"/>
    <x v="0"/>
    <s v="Desarmar máquina para su limpieza."/>
    <s v="Se retiró piezas para su limpieza."/>
    <x v="0"/>
    <x v="0"/>
    <s v=""/>
    <s v=""/>
    <s v=""/>
    <x v="0"/>
    <x v="0"/>
    <x v="2"/>
  </r>
  <r>
    <x v="7"/>
    <s v="CARLOS TAPIA"/>
    <s v="MAÑANA"/>
    <d v="1899-12-30T08:00:00"/>
    <d v="1899-12-30T08:15:00"/>
    <d v="1899-12-30T00:15:00"/>
    <x v="15"/>
    <s v="Maquinaria"/>
    <s v="Inspección"/>
    <x v="0"/>
    <x v="0"/>
    <s v="Revisar niveles de agua en tanques de temperadora."/>
    <s v="Se revisó y llenó agua a tanques."/>
    <x v="0"/>
    <x v="5"/>
    <s v="Tanque"/>
    <s v="Temperadora"/>
    <s v=""/>
    <x v="16"/>
    <x v="1"/>
    <x v="2"/>
  </r>
  <r>
    <x v="7"/>
    <s v="CARLOS TAPIA"/>
    <s v="MAÑANA"/>
    <d v="1899-12-30T08:30:00"/>
    <d v="1899-12-30T09:30:00"/>
    <d v="1899-12-30T01:00:00"/>
    <x v="17"/>
    <s v="Maquinaria"/>
    <s v="SET UP"/>
    <x v="0"/>
    <x v="0"/>
    <s v="Armado de máquina."/>
    <s v="Se realizó el armado de máquina."/>
    <x v="0"/>
    <x v="0"/>
    <s v=""/>
    <s v=""/>
    <s v=""/>
    <x v="0"/>
    <x v="0"/>
    <x v="2"/>
  </r>
  <r>
    <x v="7"/>
    <s v="CARLOS TAPIA"/>
    <s v="MAÑANA"/>
    <d v="1899-12-30T09:45:00"/>
    <d v="1899-12-30T10:15:00"/>
    <d v="1899-12-30T00:30:00"/>
    <x v="50"/>
    <s v="Maquinaria"/>
    <s v="SET UP"/>
    <x v="0"/>
    <x v="0"/>
    <s v="Armar máquina."/>
    <s v="Se colocó piezas en posición."/>
    <x v="0"/>
    <x v="0"/>
    <s v=""/>
    <s v=""/>
    <s v=""/>
    <x v="0"/>
    <x v="0"/>
    <x v="2"/>
  </r>
  <r>
    <x v="7"/>
    <s v="CARLOS TAPIA"/>
    <s v="MAÑANA"/>
    <d v="1899-12-30T11:50:00"/>
    <d v="1899-12-30T12:20:00"/>
    <d v="1899-12-30T00:30:00"/>
    <x v="19"/>
    <s v="Maquinaria"/>
    <s v="SET UP"/>
    <x v="0"/>
    <x v="0"/>
    <s v="Armar y habilitar máquina."/>
    <s v="Se colocó piezas y se habilitó máquina."/>
    <x v="0"/>
    <x v="0"/>
    <s v=""/>
    <s v=""/>
    <s v=""/>
    <x v="0"/>
    <x v="0"/>
    <x v="2"/>
  </r>
  <r>
    <x v="7"/>
    <s v="CARLOS TAPIA"/>
    <s v="MAÑANA"/>
    <d v="1899-12-30T12:50:00"/>
    <d v="1899-12-30T13:10:00"/>
    <d v="1899-12-30T00:20:00"/>
    <x v="53"/>
    <s v="Maquinaria"/>
    <s v="SET UP"/>
    <x v="0"/>
    <x v="0"/>
    <s v="Revisar y cambiar el seteado de 8 a 10 grados. "/>
    <s v="Se apoyo con la revisión y cambio del seteado "/>
    <x v="0"/>
    <x v="0"/>
    <s v=""/>
    <s v=""/>
    <s v=""/>
    <x v="0"/>
    <x v="0"/>
    <x v="2"/>
  </r>
  <r>
    <x v="7"/>
    <s v="Cesar Quiroz"/>
    <s v="MAÑANA"/>
    <d v="1899-12-30T05:33:00"/>
    <d v="1899-12-30T06:35:00"/>
    <d v="1899-12-30T01:02:00"/>
    <x v="21"/>
    <s v="Area"/>
    <s v="Encendido / Arranque de linea"/>
    <x v="0"/>
    <x v="0"/>
    <s v="Arranque de equipos de planta, verificación de nivel de pozos"/>
    <s v=""/>
    <x v="0"/>
    <x v="0"/>
    <s v=""/>
    <s v=""/>
    <s v=""/>
    <x v="16"/>
    <x v="0"/>
    <x v="2"/>
  </r>
  <r>
    <x v="7"/>
    <s v="Cesar Quiroz"/>
    <s v="MAÑANA"/>
    <d v="1899-12-30T06:44:00"/>
    <d v="1899-12-30T07:14:00"/>
    <d v="1899-12-30T00:30:00"/>
    <x v="19"/>
    <s v="Maquinaria"/>
    <s v="SET UP"/>
    <x v="0"/>
    <x v="0"/>
    <s v="Desarmado de equipo para limpieza "/>
    <s v=""/>
    <x v="0"/>
    <x v="0"/>
    <s v=""/>
    <s v=""/>
    <s v=""/>
    <x v="0"/>
    <x v="0"/>
    <x v="2"/>
  </r>
  <r>
    <x v="7"/>
    <s v="Cesar Quiroz"/>
    <s v="MAÑANA"/>
    <d v="1899-12-30T07:21:00"/>
    <d v="1899-12-30T07:48:00"/>
    <d v="1899-12-30T00:27:00"/>
    <x v="5"/>
    <s v="Maquinaria"/>
    <s v="SET UP"/>
    <x v="0"/>
    <x v="0"/>
    <s v="Desarmado de equipo para limpieza semanal"/>
    <s v=""/>
    <x v="0"/>
    <x v="0"/>
    <s v=""/>
    <s v=""/>
    <s v=""/>
    <x v="0"/>
    <x v="0"/>
    <x v="2"/>
  </r>
  <r>
    <x v="7"/>
    <s v="Cesar Quiroz"/>
    <s v="MAÑANA"/>
    <d v="1899-12-30T07:53:00"/>
    <d v="1899-12-30T08:11:00"/>
    <d v="1899-12-30T00:18:00"/>
    <x v="47"/>
    <s v="Maquinaria"/>
    <s v="SET UP"/>
    <x v="0"/>
    <x v="0"/>
    <s v="Apoyo en movimiento de guías y plato de samfill para limpieza "/>
    <s v=""/>
    <x v="16"/>
    <x v="12"/>
    <s v="Sammfill"/>
    <s v=""/>
    <s v=""/>
    <x v="0"/>
    <x v="1"/>
    <x v="2"/>
  </r>
  <r>
    <x v="7"/>
    <s v="JOSÉ HAÑARI"/>
    <s v="TARDE"/>
    <d v="1899-12-30T14:30:00"/>
    <d v="1899-12-30T15:00:00"/>
    <d v="1899-12-30T00:30:00"/>
    <x v="54"/>
    <s v="Area"/>
    <s v="SET UP"/>
    <x v="0"/>
    <x v="0"/>
    <s v="Se arma mds a formato Agregado x50"/>
    <s v=""/>
    <x v="0"/>
    <x v="1"/>
    <s v="Mds"/>
    <s v=""/>
    <s v=""/>
    <x v="2"/>
    <x v="1"/>
    <x v="2"/>
  </r>
  <r>
    <x v="7"/>
    <s v="Omar Nina"/>
    <s v="NOCHE"/>
    <d v="1899-12-30T01:07:00"/>
    <d v="1899-12-30T01:36:00"/>
    <d v="1899-12-30T00:29:00"/>
    <x v="15"/>
    <s v="Maquinaria"/>
    <s v="SET UP"/>
    <x v="0"/>
    <x v="0"/>
    <s v="Armado de MDS, formato agregados x100"/>
    <s v=""/>
    <x v="0"/>
    <x v="1"/>
    <s v="Mds"/>
    <s v=""/>
    <s v=""/>
    <x v="2"/>
    <x v="1"/>
    <x v="2"/>
  </r>
  <r>
    <x v="7"/>
    <s v="Omar Nina"/>
    <s v="NOCHE"/>
    <d v="1899-12-30T02:00:00"/>
    <d v="1899-12-30T02:12:00"/>
    <d v="1899-12-30T00:12:00"/>
    <x v="27"/>
    <s v="Maquinaria"/>
    <s v="Seguimiento / Pruebas"/>
    <x v="0"/>
    <x v="0"/>
    <s v="Pruebas en equipo con producto "/>
    <s v=""/>
    <x v="8"/>
    <x v="0"/>
    <s v=""/>
    <s v=""/>
    <s v=""/>
    <x v="0"/>
    <x v="1"/>
    <x v="2"/>
  </r>
  <r>
    <x v="7"/>
    <s v="Omar Nina"/>
    <s v="NOCHE"/>
    <d v="1899-12-30T03:55:00"/>
    <d v="1899-12-30T04:18:00"/>
    <d v="1899-12-30T00:23:00"/>
    <x v="15"/>
    <s v="Maquinaria"/>
    <s v="SET UP"/>
    <x v="0"/>
    <x v="0"/>
    <s v="Se retira husillo para limpieza y se vuelve a colocar "/>
    <s v=""/>
    <x v="17"/>
    <x v="0"/>
    <s v=""/>
    <s v=""/>
    <s v=""/>
    <x v="14"/>
    <x v="1"/>
    <x v="2"/>
  </r>
  <r>
    <x v="7"/>
    <s v="Omar Nina"/>
    <s v="NOCHE"/>
    <d v="1899-12-30T21:30:00"/>
    <d v="1899-12-30T21:57:00"/>
    <d v="1899-12-30T00:27:00"/>
    <x v="15"/>
    <s v="Maquinaria"/>
    <s v="SET UP"/>
    <x v="0"/>
    <x v="0"/>
    <s v="Se retira husillo de MDS para limpieza, formato agregados x50. Se esperó que termine limpieza y se volvió a colocar "/>
    <s v=""/>
    <x v="17"/>
    <x v="1"/>
    <s v="Mds"/>
    <s v=""/>
    <s v=""/>
    <x v="39"/>
    <x v="1"/>
    <x v="2"/>
  </r>
  <r>
    <x v="7"/>
    <s v="Omar Nina"/>
    <s v="NOCHE"/>
    <d v="1899-12-30T22:10:00"/>
    <d v="1899-12-30T22:33:00"/>
    <d v="1899-12-30T00:23:00"/>
    <x v="5"/>
    <s v="Maquinaria"/>
    <s v="Inspección"/>
    <x v="0"/>
    <x v="0"/>
    <s v="Inspección funcionamiento de equipo "/>
    <s v=""/>
    <x v="0"/>
    <x v="0"/>
    <s v=""/>
    <s v=""/>
    <s v=""/>
    <x v="0"/>
    <x v="0"/>
    <x v="2"/>
  </r>
  <r>
    <x v="7"/>
    <s v="Omar Nina"/>
    <s v="NOCHE"/>
    <d v="1899-12-30T23:45:00"/>
    <d v="1899-12-30T01:06:00"/>
    <d v="1899-12-30T01:21:00"/>
    <x v="15"/>
    <s v="Maquinaria"/>
    <s v="SET UP"/>
    <x v="0"/>
    <x v="0"/>
    <s v="Desarmado de MDS formato agregados x50 "/>
    <s v=""/>
    <x v="0"/>
    <x v="1"/>
    <s v="Mds"/>
    <s v=""/>
    <s v=""/>
    <x v="2"/>
    <x v="1"/>
    <x v="2"/>
  </r>
  <r>
    <x v="7"/>
    <s v="Omar Nina"/>
    <s v="NOCHE"/>
    <d v="1899-12-30T01:38:00"/>
    <d v="1899-12-30T02:00:00"/>
    <d v="1899-12-30T00:22:00"/>
    <x v="27"/>
    <s v="Maquinaria"/>
    <s v="Ajuste /Calibracion"/>
    <x v="1"/>
    <x v="1"/>
    <s v="Producto sale con manchas"/>
    <s v="Se regula presión de contraelevador "/>
    <x v="0"/>
    <x v="0"/>
    <s v=""/>
    <s v=""/>
    <s v=""/>
    <x v="40"/>
    <x v="0"/>
    <x v="2"/>
  </r>
  <r>
    <x v="7"/>
    <s v="Omar Nina"/>
    <s v="NOCHE"/>
    <d v="1899-12-30T03:19:00"/>
    <d v="1899-12-30T03:50:00"/>
    <d v="1899-12-30T00:31:00"/>
    <x v="19"/>
    <s v="Maquinaria"/>
    <s v="Sustitucion"/>
    <x v="1"/>
    <x v="1"/>
    <s v="Peineta de quebrantado no gira, faja rota"/>
    <s v="Se reemplaza faja y se alinea poleas. Queda operativo "/>
    <x v="0"/>
    <x v="0"/>
    <s v=""/>
    <s v=""/>
    <s v=""/>
    <x v="41"/>
    <x v="0"/>
    <x v="2"/>
  </r>
  <r>
    <x v="7"/>
    <s v="Omar Nina"/>
    <s v="NOCHE"/>
    <d v="1899-12-30T22:40:00"/>
    <d v="1899-12-30T22:55:00"/>
    <d v="1899-12-30T00:15:00"/>
    <x v="13"/>
    <s v="Maquinaria"/>
    <s v="Ajuste /Calibracion"/>
    <x v="1"/>
    <x v="1"/>
    <s v="No corta laminado "/>
    <s v="Calibración de cuchilla fija"/>
    <x v="0"/>
    <x v="0"/>
    <s v=""/>
    <s v=""/>
    <s v=""/>
    <x v="42"/>
    <x v="0"/>
    <x v="2"/>
  </r>
  <r>
    <x v="7"/>
    <s v="Omar Nina"/>
    <s v="NOCHE"/>
    <d v="1899-12-30T23:03:00"/>
    <d v="1899-12-30T23:30:00"/>
    <d v="1899-12-30T00:27:00"/>
    <x v="27"/>
    <s v="Maquinaria"/>
    <s v="Ajuste /Calibracion"/>
    <x v="1"/>
    <x v="1"/>
    <s v="No jala etiqueta, plegado sale mal"/>
    <s v="Calibración de altura de boquilla de succión de laminado. Calibración de plegadores "/>
    <x v="0"/>
    <x v="0"/>
    <s v=""/>
    <s v=""/>
    <s v=""/>
    <x v="43"/>
    <x v="0"/>
    <x v="2"/>
  </r>
  <r>
    <x v="8"/>
    <s v="CARLOS TAPIA"/>
    <s v="MAÑANA"/>
    <s v="06:00"/>
    <s v="06:20"/>
    <d v="1899-12-30T00:20:00"/>
    <x v="15"/>
    <s v="Maquinaria"/>
    <s v="Inspección"/>
    <x v="0"/>
    <x v="0"/>
    <s v="Inspección de máquina. Error B2."/>
    <s v="Se revisó pistón B2."/>
    <x v="18"/>
    <x v="0"/>
    <s v=""/>
    <s v=""/>
    <s v=""/>
    <x v="6"/>
    <x v="1"/>
    <x v="2"/>
  </r>
  <r>
    <x v="8"/>
    <s v="CARLOS TAPIA"/>
    <s v="MAÑANA"/>
    <s v="07:00"/>
    <s v="07:15"/>
    <d v="1899-12-30T00:15:00"/>
    <x v="55"/>
    <s v="Maquinaria"/>
    <s v="Lubricación"/>
    <x v="0"/>
    <x v="0"/>
    <s v="Lubricar cadena."/>
    <s v="Se revisó cadena y se lubricó."/>
    <x v="14"/>
    <x v="0"/>
    <s v=""/>
    <s v=""/>
    <s v=""/>
    <x v="44"/>
    <x v="1"/>
    <x v="2"/>
  </r>
  <r>
    <x v="8"/>
    <s v="CARLOS TAPIA"/>
    <s v="MAÑANA"/>
    <s v="07:20"/>
    <s v="08:20"/>
    <d v="1899-12-30T01:00:00"/>
    <x v="29"/>
    <s v="Maquinaria"/>
    <s v="SET UP"/>
    <x v="0"/>
    <x v="0"/>
    <s v="Cambio de formato a barra por 50gr."/>
    <s v="Se cambió formato en máquina."/>
    <x v="0"/>
    <x v="0"/>
    <s v=""/>
    <s v=""/>
    <s v=""/>
    <x v="2"/>
    <x v="0"/>
    <x v="2"/>
  </r>
  <r>
    <x v="8"/>
    <s v="CARLOS TAPIA"/>
    <s v="MAÑANA"/>
    <s v="08:30"/>
    <s v="09:15"/>
    <d v="1899-12-30T00:45:00"/>
    <x v="3"/>
    <s v="Maquinaria"/>
    <s v="SET UP"/>
    <x v="0"/>
    <x v="0"/>
    <s v="Apoyo en máquina."/>
    <s v="Se apoyo cambiando la cadena para el formato de funcionamiento size."/>
    <x v="0"/>
    <x v="0"/>
    <s v=""/>
    <s v=""/>
    <s v=""/>
    <x v="0"/>
    <x v="0"/>
    <x v="2"/>
  </r>
  <r>
    <x v="8"/>
    <s v="CARLOS TAPIA"/>
    <s v="MAÑANA"/>
    <s v="10:45"/>
    <s v="11:45"/>
    <d v="1899-12-30T01:00:00"/>
    <x v="52"/>
    <s v="Area"/>
    <s v="M.General"/>
    <x v="0"/>
    <x v="0"/>
    <s v="Trasladar máquinas y equipos al almacén de máquina."/>
    <s v="Se forró equipo para el guardado en almacén. Se trasladó equipos."/>
    <x v="0"/>
    <x v="0"/>
    <s v=""/>
    <s v=""/>
    <s v=""/>
    <x v="0"/>
    <x v="0"/>
    <x v="2"/>
  </r>
  <r>
    <x v="8"/>
    <s v="CARLOS TAPIA"/>
    <s v="MAÑANA"/>
    <s v="11:50"/>
    <s v="13:50"/>
    <d v="1899-12-30T02:00:00"/>
    <x v="28"/>
    <s v="Maquinaria"/>
    <s v="SET UP"/>
    <x v="0"/>
    <x v="0"/>
    <s v="Cambio de formato de milky a piscox18."/>
    <s v="Se retiró piezas de máquina para el cambio de formato solicitado. Se cambió formato y se calibró corte y sellado."/>
    <x v="0"/>
    <x v="0"/>
    <s v=""/>
    <s v=""/>
    <s v=""/>
    <x v="2"/>
    <x v="0"/>
    <x v="2"/>
  </r>
  <r>
    <x v="8"/>
    <s v="Omar Nina"/>
    <s v="NOCHE"/>
    <s v="21:31"/>
    <s v="22:00"/>
    <d v="1899-12-30T00:29:00"/>
    <x v="15"/>
    <s v="Maquinaria"/>
    <s v="SET UP"/>
    <x v="0"/>
    <x v="0"/>
    <s v="Armado de equipo para formato chocotejas "/>
    <s v=""/>
    <x v="0"/>
    <x v="0"/>
    <s v=""/>
    <s v=""/>
    <s v=""/>
    <x v="2"/>
    <x v="0"/>
    <x v="2"/>
  </r>
  <r>
    <x v="8"/>
    <s v="Omar Nina"/>
    <s v="NOCHE"/>
    <s v="22:00"/>
    <s v="22:13"/>
    <d v="1899-12-30T00:13:00"/>
    <x v="15"/>
    <s v="Maquinaria"/>
    <s v="SET UP"/>
    <x v="0"/>
    <x v="0"/>
    <s v="Habilitación de equipo. "/>
    <s v="Se revisa parámetros de trabajo."/>
    <x v="0"/>
    <x v="0"/>
    <s v=""/>
    <s v=""/>
    <s v=""/>
    <x v="0"/>
    <x v="0"/>
    <x v="2"/>
  </r>
  <r>
    <x v="8"/>
    <s v="Omar Nina"/>
    <s v="NOCHE"/>
    <s v="23:10"/>
    <s v="23:40"/>
    <d v="1899-12-30T00:30:00"/>
    <x v="18"/>
    <s v="Maquinaria"/>
    <s v="SET UP"/>
    <x v="0"/>
    <x v="0"/>
    <s v="Armado de equipo, se encuentra un oring roto"/>
    <s v="Se buscó oring y se reemplaza "/>
    <x v="19"/>
    <x v="0"/>
    <s v=""/>
    <s v=""/>
    <s v=""/>
    <x v="24"/>
    <x v="1"/>
    <x v="2"/>
  </r>
  <r>
    <x v="8"/>
    <s v="Omar Nina"/>
    <s v="NOCHE"/>
    <s v="04:48"/>
    <s v="05:15"/>
    <d v="1899-12-30T00:27:00"/>
    <x v="15"/>
    <s v="Maquinaria"/>
    <s v="Inspección"/>
    <x v="0"/>
    <x v="0"/>
    <s v="Inspección funcionamiento de equipo "/>
    <s v=""/>
    <x v="0"/>
    <x v="0"/>
    <s v=""/>
    <s v=""/>
    <s v=""/>
    <x v="0"/>
    <x v="0"/>
    <x v="2"/>
  </r>
  <r>
    <x v="8"/>
    <s v="Omar Nina"/>
    <s v="NOCHE"/>
    <s v="22:20"/>
    <s v="23:00"/>
    <d v="1899-12-30T00:40:00"/>
    <x v="47"/>
    <s v="Maquinaria"/>
    <s v="Ajuste /Calibracion"/>
    <x v="1"/>
    <x v="1"/>
    <s v="Reportan ruido en temperadora desde turno anterior."/>
    <s v="Se revisa sistemas de transmisión de agitadores, un agitador no gira."/>
    <x v="0"/>
    <x v="11"/>
    <s v="Temperadora"/>
    <s v=""/>
    <s v=""/>
    <x v="3"/>
    <x v="1"/>
    <x v="2"/>
  </r>
  <r>
    <x v="8"/>
    <s v="Omar Nina"/>
    <s v="NOCHE"/>
    <s v="23:50"/>
    <s v="01:30"/>
    <d v="1899-12-30T01:40:00"/>
    <x v="47"/>
    <s v="Maquinaria"/>
    <s v="Ajuste /Calibracion"/>
    <x v="1"/>
    <x v="1"/>
    <s v="Se desmonta transmisión, se corta parte dañada de anillo de presión y se realiza pruebas. "/>
    <s v=""/>
    <x v="0"/>
    <x v="0"/>
    <s v=""/>
    <s v=""/>
    <s v=""/>
    <x v="45"/>
    <x v="0"/>
    <x v="2"/>
  </r>
  <r>
    <x v="8"/>
    <s v="Omar Nina"/>
    <s v="NOCHE"/>
    <s v="01:35"/>
    <s v="02:20"/>
    <d v="1899-12-30T00:45:00"/>
    <x v="13"/>
    <s v="Maquinaria"/>
    <s v="Ajuste /Calibracion"/>
    <x v="1"/>
    <x v="1"/>
    <s v="Lanzador de producto descalibrado, choca con cuchilla de corte de masa"/>
    <s v="Se retira guardas, se calibra y se realiza pruebas "/>
    <x v="0"/>
    <x v="0"/>
    <s v=""/>
    <s v=""/>
    <s v=""/>
    <x v="46"/>
    <x v="0"/>
    <x v="2"/>
  </r>
  <r>
    <x v="8"/>
    <s v="Omar Nina"/>
    <s v="NOCHE"/>
    <s v="03:25"/>
    <s v="03:40"/>
    <d v="1899-12-30T00:15:00"/>
    <x v="15"/>
    <s v="Maquinaria"/>
    <s v="Ajuste /Calibracion"/>
    <x v="1"/>
    <x v="1"/>
    <s v="Problemas continuos en a12, empuja solo medio molde."/>
    <s v="Se calibra posición de sensores de actuador neumático y se regula flujo de aire."/>
    <x v="0"/>
    <x v="0"/>
    <s v=""/>
    <s v=""/>
    <s v=""/>
    <x v="0"/>
    <x v="0"/>
    <x v="2"/>
  </r>
  <r>
    <x v="8"/>
    <s v="Omar Nina"/>
    <s v="NOCHE"/>
    <s v="03:55"/>
    <s v="04:30"/>
    <d v="1899-12-30T00:35:00"/>
    <x v="47"/>
    <s v="Maquinaria"/>
    <s v="Sustitucion"/>
    <x v="1"/>
    <x v="1"/>
    <s v="Se vuelve a desmontar transmisión de eje del agitador en temperadora."/>
    <s v="Se deja para el siguiente turno para realizar cambio de anillo "/>
    <x v="0"/>
    <x v="11"/>
    <s v="Temperadora"/>
    <s v=""/>
    <s v=""/>
    <x v="0"/>
    <x v="1"/>
    <x v="2"/>
  </r>
  <r>
    <x v="9"/>
    <s v="Carlos Puma"/>
    <s v="MAÑANA"/>
    <s v="08:40"/>
    <s v="08:58"/>
    <d v="1899-12-30T00:18:00"/>
    <x v="39"/>
    <s v="Maquinaria"/>
    <s v="Ajuste /Calibracion"/>
    <x v="1"/>
    <x v="1"/>
    <s v="Se reparo abrazadera dañada y se coloco manga flexible de alimentación de azucar "/>
    <s v=""/>
    <x v="0"/>
    <x v="0"/>
    <s v=""/>
    <s v=""/>
    <s v=""/>
    <x v="47"/>
    <x v="0"/>
    <x v="3"/>
  </r>
  <r>
    <x v="9"/>
    <s v="Carlos Puma"/>
    <s v="MAÑANA"/>
    <s v="05:38"/>
    <s v="06:25"/>
    <d v="1899-12-30T00:47:00"/>
    <x v="21"/>
    <s v="Area"/>
    <s v="Encendido / Arranque de linea"/>
    <x v="0"/>
    <x v="0"/>
    <s v="Arranque de planta "/>
    <s v=""/>
    <x v="0"/>
    <x v="0"/>
    <s v=""/>
    <s v=""/>
    <s v=""/>
    <x v="0"/>
    <x v="0"/>
    <x v="3"/>
  </r>
  <r>
    <x v="9"/>
    <s v="Carlos Puma"/>
    <s v="MAÑANA"/>
    <s v="06:30"/>
    <s v="07:00"/>
    <d v="1899-12-30T00:30:00"/>
    <x v="5"/>
    <s v="Maquinaria"/>
    <s v="SET UP"/>
    <x v="0"/>
    <x v="0"/>
    <s v="Desarme de equipo para limpieza "/>
    <s v=""/>
    <x v="0"/>
    <x v="0"/>
    <s v=""/>
    <s v=""/>
    <s v=""/>
    <x v="0"/>
    <x v="0"/>
    <x v="3"/>
  </r>
  <r>
    <x v="9"/>
    <s v="Carlos Puma"/>
    <s v="MAÑANA"/>
    <s v="07:05"/>
    <s v="07:35"/>
    <d v="1899-12-30T00:30:00"/>
    <x v="50"/>
    <s v="Maquinaria"/>
    <s v="SET UP"/>
    <x v="0"/>
    <x v="0"/>
    <s v="Retiró de polines de túnel de enfriamiento para limpieza "/>
    <s v=""/>
    <x v="3"/>
    <x v="0"/>
    <s v=""/>
    <s v=""/>
    <s v=""/>
    <x v="48"/>
    <x v="1"/>
    <x v="3"/>
  </r>
  <r>
    <x v="9"/>
    <s v="Carlos Puma"/>
    <s v="MAÑANA"/>
    <s v="07:40"/>
    <s v="08:15"/>
    <d v="1899-12-30T00:35:00"/>
    <x v="56"/>
    <s v="Maquinaria"/>
    <s v="SET UP"/>
    <x v="0"/>
    <x v="0"/>
    <s v="Se retiró faja para limpieza "/>
    <s v=""/>
    <x v="9"/>
    <x v="0"/>
    <s v=""/>
    <s v=""/>
    <s v=""/>
    <x v="14"/>
    <x v="1"/>
    <x v="3"/>
  </r>
  <r>
    <x v="9"/>
    <s v="Carlos Puma"/>
    <s v="MAÑANA"/>
    <s v="08:18"/>
    <s v="08:30"/>
    <d v="1899-12-30T00:12:00"/>
    <x v="26"/>
    <s v="Maquinaria"/>
    <s v="SET UP"/>
    <x v="0"/>
    <x v="0"/>
    <s v="Se apoyó retirando guardas para limpieza "/>
    <s v=""/>
    <x v="0"/>
    <x v="0"/>
    <s v=""/>
    <s v=""/>
    <s v=""/>
    <x v="14"/>
    <x v="0"/>
    <x v="3"/>
  </r>
  <r>
    <x v="9"/>
    <s v="Carlos Puma"/>
    <s v="MAÑANA"/>
    <s v="09:03"/>
    <s v="09:18"/>
    <d v="1899-12-30T00:15:00"/>
    <x v="15"/>
    <s v="Maquinaria"/>
    <s v="Limpieza"/>
    <x v="0"/>
    <x v="0"/>
    <s v="Limpieza de canaletas"/>
    <s v=""/>
    <x v="20"/>
    <x v="0"/>
    <s v=""/>
    <s v=""/>
    <s v=""/>
    <x v="0"/>
    <x v="1"/>
    <x v="3"/>
  </r>
  <r>
    <x v="9"/>
    <s v="Carlos Puma"/>
    <s v="MAÑANA"/>
    <s v="09:21"/>
    <s v="09:45"/>
    <d v="1899-12-30T00:24:00"/>
    <x v="47"/>
    <s v="Maquinaria"/>
    <s v="Limpieza"/>
    <x v="0"/>
    <x v="0"/>
    <s v="Limpieza de canaletas "/>
    <s v=""/>
    <x v="20"/>
    <x v="0"/>
    <s v=""/>
    <s v=""/>
    <s v=""/>
    <x v="0"/>
    <x v="1"/>
    <x v="3"/>
  </r>
  <r>
    <x v="9"/>
    <s v="Carlos Puma"/>
    <s v="MAÑANA"/>
    <s v="09:48"/>
    <s v="10:00"/>
    <d v="1899-12-30T00:12:00"/>
    <x v="50"/>
    <s v="Maquinaria"/>
    <s v="SET UP"/>
    <x v="0"/>
    <x v="0"/>
    <s v="Apoyó en la colocación de polines "/>
    <s v=""/>
    <x v="3"/>
    <x v="0"/>
    <s v=""/>
    <s v=""/>
    <s v=""/>
    <x v="0"/>
    <x v="1"/>
    <x v="3"/>
  </r>
  <r>
    <x v="9"/>
    <s v="Carlos Puma"/>
    <s v="MAÑANA"/>
    <s v="10:05"/>
    <s v="10:15"/>
    <d v="1899-12-30T00:10:00"/>
    <x v="26"/>
    <s v="Maquinaria"/>
    <s v="SET UP"/>
    <x v="0"/>
    <x v="0"/>
    <s v="Apoyó en colocación de guardas"/>
    <s v=""/>
    <x v="0"/>
    <x v="0"/>
    <s v=""/>
    <s v=""/>
    <s v=""/>
    <x v="0"/>
    <x v="0"/>
    <x v="3"/>
  </r>
  <r>
    <x v="9"/>
    <s v="Carlos Puma"/>
    <s v="MAÑANA"/>
    <s v="10:25"/>
    <s v="10:45"/>
    <d v="1899-12-30T00:20:00"/>
    <x v="15"/>
    <s v="Maquinaria"/>
    <s v="Inspección"/>
    <x v="0"/>
    <x v="0"/>
    <s v="Inspección de temperadora "/>
    <s v="Se llenó agua en tanques de agua fría y caliente y chaqueta de tuberias"/>
    <x v="0"/>
    <x v="11"/>
    <s v="Temperadora"/>
    <s v=""/>
    <s v=""/>
    <x v="0"/>
    <x v="1"/>
    <x v="3"/>
  </r>
  <r>
    <x v="9"/>
    <s v="Carlos Puma"/>
    <s v="MAÑANA"/>
    <s v="10:50"/>
    <s v="11:35"/>
    <d v="1899-12-30T00:45:00"/>
    <x v="17"/>
    <s v="Maquinaria"/>
    <s v="SET UP"/>
    <x v="0"/>
    <x v="0"/>
    <s v="Armado de equipo "/>
    <s v=""/>
    <x v="0"/>
    <x v="0"/>
    <s v=""/>
    <s v=""/>
    <s v=""/>
    <x v="0"/>
    <x v="0"/>
    <x v="3"/>
  </r>
  <r>
    <x v="9"/>
    <s v="Carlos Puma"/>
    <s v="MAÑANA"/>
    <s v="11:50"/>
    <s v="12:10"/>
    <d v="1899-12-30T00:20:00"/>
    <x v="26"/>
    <s v="Maquinaria"/>
    <s v="SET UP"/>
    <x v="0"/>
    <x v="0"/>
    <s v="Colocación y tensado de fajas , se coloco guardas"/>
    <s v=""/>
    <x v="21"/>
    <x v="0"/>
    <s v=""/>
    <s v=""/>
    <s v=""/>
    <x v="49"/>
    <x v="1"/>
    <x v="3"/>
  </r>
  <r>
    <x v="9"/>
    <s v="Carlos Puma"/>
    <s v="MAÑANA"/>
    <s v="13:00"/>
    <s v="13:30"/>
    <d v="1899-12-30T00:30:00"/>
    <x v="19"/>
    <s v="Maquinaria"/>
    <s v="SET UP"/>
    <x v="0"/>
    <x v="0"/>
    <s v="Apoyó en el armado de equipo "/>
    <s v=""/>
    <x v="0"/>
    <x v="0"/>
    <s v=""/>
    <s v=""/>
    <s v=""/>
    <x v="0"/>
    <x v="0"/>
    <x v="3"/>
  </r>
  <r>
    <x v="9"/>
    <s v="Carlos Puma"/>
    <s v="MAÑANA"/>
    <s v="13:40"/>
    <s v="14:20"/>
    <d v="1899-12-30T00:40:00"/>
    <x v="56"/>
    <s v="Maquinaria"/>
    <s v="SET UP"/>
    <x v="0"/>
    <x v="0"/>
    <s v="Colocación de fajas y armado de equipo "/>
    <s v=""/>
    <x v="9"/>
    <x v="0"/>
    <s v=""/>
    <s v=""/>
    <s v=""/>
    <x v="0"/>
    <x v="1"/>
    <x v="3"/>
  </r>
  <r>
    <x v="9"/>
    <s v="Cesar Quiroz"/>
    <s v="NOCHE"/>
    <s v="21:22"/>
    <s v="21:38"/>
    <d v="1899-12-30T00:16:00"/>
    <x v="31"/>
    <s v="Equipos auxiliares"/>
    <s v="Inspección"/>
    <x v="0"/>
    <x v="0"/>
    <s v="Revisión de funcionamiento y parámetros de trabajo "/>
    <s v=""/>
    <x v="0"/>
    <x v="0"/>
    <s v=""/>
    <s v=""/>
    <s v=""/>
    <x v="0"/>
    <x v="0"/>
    <x v="3"/>
  </r>
  <r>
    <x v="9"/>
    <s v="Cesar Quiroz"/>
    <s v="NOCHE"/>
    <s v="22:15"/>
    <s v="22:33"/>
    <d v="1899-12-30T00:18:00"/>
    <x v="18"/>
    <s v="Maquinaria"/>
    <s v="SET UP"/>
    <x v="0"/>
    <x v="0"/>
    <s v="Armado de equipo"/>
    <s v=""/>
    <x v="0"/>
    <x v="0"/>
    <s v=""/>
    <s v=""/>
    <s v=""/>
    <x v="0"/>
    <x v="0"/>
    <x v="3"/>
  </r>
  <r>
    <x v="9"/>
    <s v="Cesar Quiroz"/>
    <s v="NOCHE"/>
    <s v="21:46"/>
    <s v="22:12"/>
    <d v="1899-12-30T00:26:00"/>
    <x v="40"/>
    <s v="Maquinaria"/>
    <s v="SET UP"/>
    <x v="1"/>
    <x v="2"/>
    <s v="Problemas con el temperado"/>
    <s v="Se reviso seteado de temperatura de agua fría, se modifico a 6.5, se dejó temperado"/>
    <x v="0"/>
    <x v="11"/>
    <s v="Temperadora"/>
    <s v=""/>
    <s v=""/>
    <x v="0"/>
    <x v="1"/>
    <x v="3"/>
  </r>
  <r>
    <x v="9"/>
    <s v="Cesar Quiroz"/>
    <s v="NOCHE"/>
    <s v="22:41"/>
    <s v="23:02"/>
    <d v="1899-12-30T00:21:00"/>
    <x v="34"/>
    <s v="Maquinaria"/>
    <s v="Ajuste /Calibracion"/>
    <x v="1"/>
    <x v="1"/>
    <s v="Papel se va a un costado, empaquetado sale mal"/>
    <s v="Se regula posición de polines de tensador de laminado, se realiza pruebas"/>
    <x v="0"/>
    <x v="0"/>
    <s v=""/>
    <s v=""/>
    <s v=""/>
    <x v="8"/>
    <x v="0"/>
    <x v="3"/>
  </r>
  <r>
    <x v="9"/>
    <s v="Cesar Quiroz"/>
    <s v="NOCHE"/>
    <s v="23:08"/>
    <s v="23:36"/>
    <d v="1899-12-30T00:28:00"/>
    <x v="5"/>
    <s v="Maquinaria"/>
    <s v="Ajuste /Calibracion"/>
    <x v="1"/>
    <x v="1"/>
    <s v="Papel se arruga constantemente "/>
    <s v="Se revisa polin de arrastre, se encuentra con cinta desgastada, se retira cinta y se realiza limpieza de polin y se prueba funcionamiento "/>
    <x v="0"/>
    <x v="0"/>
    <s v=""/>
    <s v=""/>
    <s v=""/>
    <x v="0"/>
    <x v="0"/>
    <x v="3"/>
  </r>
  <r>
    <x v="9"/>
    <s v="Omar Nina"/>
    <s v="TARDE"/>
    <s v="13:00"/>
    <s v="13:30"/>
    <d v="1899-12-30T00:30:00"/>
    <x v="19"/>
    <s v="Maquinaria"/>
    <s v="SET UP"/>
    <x v="0"/>
    <x v="0"/>
    <s v="Armado de equipo "/>
    <s v=""/>
    <x v="0"/>
    <x v="0"/>
    <s v=""/>
    <s v=""/>
    <s v=""/>
    <x v="0"/>
    <x v="0"/>
    <x v="3"/>
  </r>
  <r>
    <x v="9"/>
    <s v="Omar Nina"/>
    <s v="TARDE"/>
    <s v="13:40"/>
    <s v="14:20"/>
    <d v="1899-12-30T00:40:00"/>
    <x v="56"/>
    <s v="Maquinaria"/>
    <s v="SET UP"/>
    <x v="0"/>
    <x v="0"/>
    <s v="Colocación de faja y armado de equipo "/>
    <s v=""/>
    <x v="9"/>
    <x v="0"/>
    <s v=""/>
    <s v=""/>
    <s v=""/>
    <x v="0"/>
    <x v="1"/>
    <x v="3"/>
  </r>
  <r>
    <x v="9"/>
    <s v="Omar Nina"/>
    <s v="TARDE"/>
    <s v="14:30"/>
    <s v="14:45"/>
    <d v="1899-12-30T00:15:00"/>
    <x v="5"/>
    <s v="Maquinaria"/>
    <s v="SET UP"/>
    <x v="0"/>
    <x v="0"/>
    <s v="Colocación de guardas "/>
    <s v=""/>
    <x v="0"/>
    <x v="0"/>
    <s v=""/>
    <s v=""/>
    <s v=""/>
    <x v="0"/>
    <x v="0"/>
    <x v="3"/>
  </r>
  <r>
    <x v="9"/>
    <s v="Omar Nina"/>
    <s v="TARDE"/>
    <s v="15:00"/>
    <s v="15:20"/>
    <d v="1899-12-30T00:20:00"/>
    <x v="26"/>
    <s v="Maquinaria"/>
    <s v="Inspección"/>
    <x v="0"/>
    <x v="0"/>
    <s v="Inspección de equipo "/>
    <s v=""/>
    <x v="0"/>
    <x v="0"/>
    <s v=""/>
    <s v=""/>
    <s v=""/>
    <x v="0"/>
    <x v="0"/>
    <x v="3"/>
  </r>
  <r>
    <x v="9"/>
    <s v="Omar Nina"/>
    <s v="TARDE"/>
    <s v="15:45"/>
    <s v="16:00"/>
    <d v="1899-12-30T00:15:00"/>
    <x v="57"/>
    <s v="Maquinaria"/>
    <s v="SET UP"/>
    <x v="0"/>
    <x v="0"/>
    <s v="Colocación de piezas "/>
    <s v=""/>
    <x v="0"/>
    <x v="0"/>
    <s v=""/>
    <s v=""/>
    <s v=""/>
    <x v="0"/>
    <x v="0"/>
    <x v="3"/>
  </r>
  <r>
    <x v="9"/>
    <s v="Omar Nina"/>
    <s v="TARDE"/>
    <s v="16:30"/>
    <s v="17:15"/>
    <d v="1899-12-30T00:45:00"/>
    <x v="3"/>
    <s v="Maquinaria"/>
    <s v="SET UP"/>
    <x v="0"/>
    <x v="0"/>
    <s v="Cambio de cadena y colocación de fajas para formato bite size "/>
    <s v=""/>
    <x v="22"/>
    <x v="0"/>
    <s v=""/>
    <s v=""/>
    <s v=""/>
    <x v="2"/>
    <x v="1"/>
    <x v="3"/>
  </r>
  <r>
    <x v="9"/>
    <s v="Omar Nina"/>
    <s v="TARDE"/>
    <s v="17:30"/>
    <s v="18:12"/>
    <d v="1899-12-30T00:42:00"/>
    <x v="15"/>
    <s v="Maquinaria"/>
    <s v="SET UP"/>
    <x v="0"/>
    <x v="0"/>
    <s v="Armado de MDS para agregados x50"/>
    <s v=""/>
    <x v="0"/>
    <x v="1"/>
    <s v="Mds"/>
    <s v=""/>
    <s v=""/>
    <x v="0"/>
    <x v="1"/>
    <x v="3"/>
  </r>
  <r>
    <x v="9"/>
    <s v="Omar Nina"/>
    <s v="TARDE"/>
    <s v="19:45"/>
    <s v="20:18"/>
    <d v="1899-12-30T00:33:00"/>
    <x v="3"/>
    <s v="Maquinaria"/>
    <s v="SET UP"/>
    <x v="0"/>
    <x v="0"/>
    <s v="Cambio de mordaza para formato bite size "/>
    <s v=""/>
    <x v="4"/>
    <x v="0"/>
    <s v=""/>
    <s v=""/>
    <s v=""/>
    <x v="2"/>
    <x v="1"/>
    <x v="3"/>
  </r>
  <r>
    <x v="9"/>
    <s v="Omar Nina"/>
    <s v="TARDE"/>
    <s v="15:23"/>
    <s v="15:38"/>
    <d v="1899-12-30T00:15:00"/>
    <x v="5"/>
    <s v="Maquinaria"/>
    <s v="Ajuste /Calibracion"/>
    <x v="1"/>
    <x v="1"/>
    <s v="No sale laminado, se arruga en los rodillos de arrastre."/>
    <s v="Se regula altura de guías de laminado acoplados en módulo de arrastre superior. Queda operativo "/>
    <x v="0"/>
    <x v="0"/>
    <s v=""/>
    <s v=""/>
    <s v=""/>
    <x v="50"/>
    <x v="0"/>
    <x v="3"/>
  </r>
  <r>
    <x v="9"/>
    <s v="Omar Nina"/>
    <s v="TARDE"/>
    <s v="16:06"/>
    <s v="16:20"/>
    <d v="1899-12-30T00:14:00"/>
    <x v="5"/>
    <s v="Maquinaria"/>
    <s v="Ajuste /Calibracion"/>
    <x v="1"/>
    <x v="1"/>
    <s v="Módulo superior de arrastre de laminado se suelta por la vibración y deja de jalar laminado."/>
    <s v="Se regula presión de seguro y se realiza pruebas. Queda operativo "/>
    <x v="0"/>
    <x v="0"/>
    <s v=""/>
    <s v=""/>
    <s v=""/>
    <x v="51"/>
    <x v="0"/>
    <x v="3"/>
  </r>
  <r>
    <x v="9"/>
    <s v="Omar Nina"/>
    <s v="TARDE"/>
    <s v="19:20"/>
    <s v="19:30"/>
    <d v="1899-12-30T00:10:00"/>
    <x v="15"/>
    <s v="Maquinaria"/>
    <s v="SET UP"/>
    <x v="1"/>
    <x v="2"/>
    <s v="Reportan que no cae chocolate a Samfill "/>
    <s v="Se encontró conector de sensor de llenado desconectado. Se conecto y se revisó dosificación "/>
    <x v="0"/>
    <x v="12"/>
    <s v="Sammfill"/>
    <s v=""/>
    <s v=""/>
    <x v="52"/>
    <x v="1"/>
    <x v="3"/>
  </r>
  <r>
    <x v="10"/>
    <s v="Carlos Puma"/>
    <s v="MAÑANA"/>
    <s v="08:37"/>
    <s v="09:00"/>
    <d v="1899-12-30T00:23:00"/>
    <x v="32"/>
    <s v="Maquinaria"/>
    <s v="Ajuste /Calibracion"/>
    <x v="1"/>
    <x v="1"/>
    <s v="Equipo no enciende por alarma de sobrepresion"/>
    <s v="Se  extrangulo valvula de ingreso se dió pulsos de encendido, se apoyó calentando tubería de ingreso y salida de criba"/>
    <x v="0"/>
    <x v="0"/>
    <s v=""/>
    <s v=""/>
    <s v=""/>
    <x v="53"/>
    <x v="0"/>
    <x v="3"/>
  </r>
  <r>
    <x v="10"/>
    <s v="Carlos Puma"/>
    <s v="MAÑANA"/>
    <s v="10:10"/>
    <s v="10:25"/>
    <d v="1899-12-30T00:15:00"/>
    <x v="5"/>
    <s v="Maquinaria"/>
    <s v="Limpieza"/>
    <x v="1"/>
    <x v="1"/>
    <s v="Papel arruga constantemente "/>
    <s v="Se realizó la limpieza de rodillo de arrastre , se regulo guías de rodillo superior "/>
    <x v="0"/>
    <x v="0"/>
    <s v=""/>
    <s v=""/>
    <s v=""/>
    <x v="0"/>
    <x v="0"/>
    <x v="3"/>
  </r>
  <r>
    <x v="10"/>
    <s v="Carlos Puma"/>
    <s v="MAÑANA"/>
    <s v="10:45"/>
    <s v="11:15"/>
    <d v="1899-12-30T00:30:00"/>
    <x v="58"/>
    <s v="Maquinaria"/>
    <s v="Limpieza"/>
    <x v="1"/>
    <x v="1"/>
    <s v="Mantenimiento, limpieza de cabezal y componentes de linea de codificado"/>
    <s v=""/>
    <x v="0"/>
    <x v="13"/>
    <s v="Codificador"/>
    <s v=""/>
    <s v=""/>
    <x v="0"/>
    <x v="1"/>
    <x v="3"/>
  </r>
  <r>
    <x v="10"/>
    <s v="Carlos Puma"/>
    <s v="MAÑANA"/>
    <s v="11:50"/>
    <s v="12:05"/>
    <d v="1899-12-30T00:15:00"/>
    <x v="15"/>
    <s v="Maquinaria"/>
    <s v="Sustitucion"/>
    <x v="1"/>
    <x v="1"/>
    <s v="Compuertas de dosificación de Mds no funcionan correctamente, atascadas"/>
    <s v="Se retiró compuertas y se remplazo actuador neumático"/>
    <x v="0"/>
    <x v="14"/>
    <s v="Dosificador"/>
    <s v="Mds"/>
    <s v=""/>
    <x v="54"/>
    <x v="1"/>
    <x v="3"/>
  </r>
  <r>
    <x v="10"/>
    <s v="Carlos Puma"/>
    <s v="MAÑANA"/>
    <s v="13:30"/>
    <s v="14:00"/>
    <d v="1899-12-30T00:30:00"/>
    <x v="27"/>
    <s v="Maquinaria"/>
    <s v="Ajuste /Calibracion"/>
    <x v="1"/>
    <x v="1"/>
    <s v="Apoyó en regulacion de caja de etiquetas "/>
    <s v=""/>
    <x v="0"/>
    <x v="0"/>
    <s v=""/>
    <s v=""/>
    <s v=""/>
    <x v="0"/>
    <x v="0"/>
    <x v="3"/>
  </r>
  <r>
    <x v="10"/>
    <s v="Carlos Puma"/>
    <s v="MAÑANA"/>
    <s v="06:30"/>
    <s v="08:00"/>
    <d v="1899-12-30T01:30:00"/>
    <x v="28"/>
    <s v="Maquinaria"/>
    <s v="SET UP"/>
    <x v="0"/>
    <x v="0"/>
    <s v="Cambio de formato de pisco x9 a pisco x18 "/>
    <s v="Se cambió piezas y se calibro , se hizo pruebas y se dejó muestras"/>
    <x v="0"/>
    <x v="0"/>
    <s v=""/>
    <s v=""/>
    <s v=""/>
    <x v="2"/>
    <x v="0"/>
    <x v="3"/>
  </r>
  <r>
    <x v="10"/>
    <s v="Carlos Puma"/>
    <s v="MAÑANA"/>
    <s v="08:03"/>
    <s v="08:15"/>
    <d v="1899-12-30T00:12:00"/>
    <x v="15"/>
    <s v="Maquinaria"/>
    <s v="SET UP"/>
    <x v="0"/>
    <x v="0"/>
    <s v="Retiró y colocación de husillo de Mds por limpieza "/>
    <s v=""/>
    <x v="17"/>
    <x v="1"/>
    <s v="Mds"/>
    <s v=""/>
    <s v=""/>
    <x v="14"/>
    <x v="1"/>
    <x v="3"/>
  </r>
  <r>
    <x v="10"/>
    <s v="Carlos Puma"/>
    <s v="MAÑANA"/>
    <s v="08:18"/>
    <s v="08:33"/>
    <d v="1899-12-30T00:15:00"/>
    <x v="5"/>
    <s v="Maquinaria"/>
    <s v="Inspección"/>
    <x v="0"/>
    <x v="0"/>
    <s v="Inspección de equipo "/>
    <s v="Se hizo pruebas y se modifico velocidad de funcionamiento "/>
    <x v="0"/>
    <x v="0"/>
    <s v=""/>
    <s v=""/>
    <s v=""/>
    <x v="0"/>
    <x v="0"/>
    <x v="3"/>
  </r>
  <r>
    <x v="10"/>
    <s v="Carlos Puma"/>
    <s v="MAÑANA"/>
    <s v="11:23"/>
    <s v="11:40"/>
    <d v="1899-12-30T00:17:00"/>
    <x v="3"/>
    <s v="Maquinaria"/>
    <s v="SET UP"/>
    <x v="0"/>
    <x v="0"/>
    <s v="Apoyó en colocación de  rascadores en bandas de transporte "/>
    <s v=""/>
    <x v="23"/>
    <x v="0"/>
    <s v=""/>
    <s v=""/>
    <s v=""/>
    <x v="0"/>
    <x v="1"/>
    <x v="3"/>
  </r>
  <r>
    <x v="10"/>
    <s v="Carlos Puma"/>
    <s v="MAÑANA"/>
    <s v="12:15"/>
    <s v="13:00"/>
    <d v="1899-12-30T00:45:00"/>
    <x v="15"/>
    <s v="Maquinaria"/>
    <s v="SET UP"/>
    <x v="0"/>
    <x v="0"/>
    <s v="Se dió servicio a actuador neumático "/>
    <s v=""/>
    <x v="24"/>
    <x v="0"/>
    <s v=""/>
    <s v=""/>
    <s v=""/>
    <x v="0"/>
    <x v="1"/>
    <x v="3"/>
  </r>
  <r>
    <x v="10"/>
    <s v="Carlos Puma"/>
    <s v="MAÑANA"/>
    <s v="14:03"/>
    <s v="14:15"/>
    <d v="1899-12-30T00:12:00"/>
    <x v="15"/>
    <s v="Maquinaria"/>
    <s v="SET UP"/>
    <x v="0"/>
    <x v="0"/>
    <s v="Se retiró husillo  de Mds por limpieza "/>
    <s v=""/>
    <x v="17"/>
    <x v="1"/>
    <s v="Mds"/>
    <s v=""/>
    <s v=""/>
    <x v="14"/>
    <x v="1"/>
    <x v="3"/>
  </r>
  <r>
    <x v="10"/>
    <s v="Cesar Quiroz"/>
    <s v="NOCHE"/>
    <s v="21:19"/>
    <s v="21:41"/>
    <d v="1899-12-30T00:22:00"/>
    <x v="31"/>
    <s v="Equipos auxiliares"/>
    <s v="Inspección"/>
    <x v="0"/>
    <x v="0"/>
    <s v="Revisión de funcionamiento y parámetros de trabajo "/>
    <s v=""/>
    <x v="0"/>
    <x v="0"/>
    <s v=""/>
    <s v=""/>
    <s v=""/>
    <x v="0"/>
    <x v="0"/>
    <x v="3"/>
  </r>
  <r>
    <x v="10"/>
    <s v="Cesar Quiroz"/>
    <s v="NOCHE"/>
    <s v="21:43"/>
    <s v="21:53"/>
    <d v="1899-12-30T00:10:00"/>
    <x v="49"/>
    <s v="Maquinaria"/>
    <s v="Trabajos menores"/>
    <x v="0"/>
    <x v="0"/>
    <s v="Cae agua del fan cool, recipiente de agua condensada lleno"/>
    <s v="Se libero recipiente de agua condensada y se limpio área con agua "/>
    <x v="0"/>
    <x v="0"/>
    <s v=""/>
    <s v=""/>
    <s v=""/>
    <x v="0"/>
    <x v="0"/>
    <x v="3"/>
  </r>
  <r>
    <x v="10"/>
    <s v="Cesar Quiroz"/>
    <s v="NOCHE"/>
    <s v="22:34"/>
    <s v="22:58"/>
    <d v="1899-12-30T00:24:00"/>
    <x v="3"/>
    <s v="Maquinaria"/>
    <s v="SET UP"/>
    <x v="0"/>
    <x v="0"/>
    <s v="Cambio de cadena para formato fondy 50g"/>
    <s v=""/>
    <x v="14"/>
    <x v="0"/>
    <s v=""/>
    <s v=""/>
    <s v=""/>
    <x v="2"/>
    <x v="1"/>
    <x v="3"/>
  </r>
  <r>
    <x v="10"/>
    <s v="Cesar Quiroz"/>
    <s v="NOCHE"/>
    <s v="23:17"/>
    <s v="23:54"/>
    <d v="1899-12-30T00:37:00"/>
    <x v="3"/>
    <s v="Maquinaria"/>
    <s v="SET UP"/>
    <x v="0"/>
    <x v="0"/>
    <s v="Cambio de mordaza y regulación de guiadores para formato fondy 50g"/>
    <s v=""/>
    <x v="25"/>
    <x v="0"/>
    <s v=""/>
    <s v=""/>
    <s v=""/>
    <x v="2"/>
    <x v="1"/>
    <x v="3"/>
  </r>
  <r>
    <x v="10"/>
    <s v="Cesar Quiroz"/>
    <s v="NOCHE"/>
    <s v="21:58"/>
    <s v="22:29"/>
    <d v="1899-12-30T00:31:00"/>
    <x v="26"/>
    <s v="Maquinaria"/>
    <s v="Reparacion"/>
    <x v="1"/>
    <x v="1"/>
    <s v="Contraelevador choca con pinzas, no hace buena presión a producto"/>
    <s v="Se enderezó porta contraelevador, se realizó pruebas de funcionamiento en modo manual, se ajusto posición "/>
    <x v="0"/>
    <x v="15"/>
    <s v="Contraelevador"/>
    <s v=""/>
    <s v=""/>
    <x v="55"/>
    <x v="1"/>
    <x v="3"/>
  </r>
  <r>
    <x v="10"/>
    <s v="Cesar Quiroz"/>
    <s v="NOCHE"/>
    <s v="23:02"/>
    <s v="23:15"/>
    <d v="1899-12-30T00:13:00"/>
    <x v="15"/>
    <s v="Maquinaria"/>
    <s v="Inspección"/>
    <x v="1"/>
    <x v="1"/>
    <s v="Problemas con temperatura de mds"/>
    <s v="Se reviso mangueras y tanque, se llenó agua y se acomodo mangueras, se deja con temperatura lista para trabajar"/>
    <x v="0"/>
    <x v="1"/>
    <s v="Mds"/>
    <s v=""/>
    <s v=""/>
    <x v="0"/>
    <x v="1"/>
    <x v="3"/>
  </r>
  <r>
    <x v="10"/>
    <s v="Cesar Quiroz"/>
    <s v="NOCHE"/>
    <s v="00:06"/>
    <s v="00:24"/>
    <d v="1899-12-30T00:18:00"/>
    <x v="58"/>
    <s v="Maquinaria"/>
    <s v="Limpieza"/>
    <x v="1"/>
    <x v="1"/>
    <s v="Con problemas en la impresión, imprime borroso los número de la fecha"/>
    <s v="Se realiza limpieza a cabezal, se realiza ajuste de punto de ruptura"/>
    <x v="0"/>
    <x v="0"/>
    <s v=""/>
    <s v=""/>
    <s v=""/>
    <x v="56"/>
    <x v="0"/>
    <x v="3"/>
  </r>
  <r>
    <x v="10"/>
    <s v="Cesar Quiroz"/>
    <s v="NOCHE"/>
    <s v="00:41"/>
    <s v="00:58"/>
    <d v="1899-12-30T00:17:00"/>
    <x v="3"/>
    <s v="Maquinaria"/>
    <s v="Ajuste /Calibracion"/>
    <x v="1"/>
    <x v="1"/>
    <s v="Regulación de altura y posicion de guiadores para reducir caída de producto en expulsión de producto desbordante"/>
    <s v=""/>
    <x v="0"/>
    <x v="0"/>
    <s v=""/>
    <s v=""/>
    <s v=""/>
    <x v="57"/>
    <x v="0"/>
    <x v="3"/>
  </r>
  <r>
    <x v="10"/>
    <s v="JOSÉ HAÑARI"/>
    <s v="MAÑANA"/>
    <s v="09:00"/>
    <s v="09:30"/>
    <d v="1899-12-30T00:30:00"/>
    <x v="32"/>
    <s v="Maquinaria"/>
    <s v="SET UP"/>
    <x v="0"/>
    <x v="0"/>
    <s v="Se desarma imán de molino de billas "/>
    <s v=""/>
    <x v="0"/>
    <x v="0"/>
    <s v=""/>
    <s v=""/>
    <s v=""/>
    <x v="0"/>
    <x v="0"/>
    <x v="3"/>
  </r>
  <r>
    <x v="10"/>
    <s v="JOSÉ HAÑARI"/>
    <s v="MAÑANA"/>
    <s v="11:00"/>
    <s v="11:30"/>
    <d v="1899-12-30T00:30:00"/>
    <x v="59"/>
    <s v="Maquinaria"/>
    <s v="Limpieza"/>
    <x v="0"/>
    <x v="0"/>
    <s v="Limpieza de cabezal de codificadora"/>
    <s v=""/>
    <x v="26"/>
    <x v="13"/>
    <s v="Codificador"/>
    <s v=""/>
    <s v=""/>
    <x v="0"/>
    <x v="1"/>
    <x v="3"/>
  </r>
  <r>
    <x v="10"/>
    <s v="JOSÉ HAÑARI"/>
    <s v="MAÑANA"/>
    <s v="11:40"/>
    <s v="12:00"/>
    <d v="1899-12-30T00:20:00"/>
    <x v="55"/>
    <s v="Maquinaria"/>
    <s v="Sustitucion"/>
    <x v="0"/>
    <x v="3"/>
    <s v="Se cambia pernos de sontenedores de producto "/>
    <s v=""/>
    <x v="27"/>
    <x v="0"/>
    <s v=""/>
    <s v=""/>
    <s v=""/>
    <x v="0"/>
    <x v="1"/>
    <x v="3"/>
  </r>
  <r>
    <x v="10"/>
    <s v="JOSÉ HAÑARI"/>
    <s v="MAÑANA"/>
    <s v="06:00"/>
    <s v="06:20"/>
    <d v="1899-12-30T00:20:00"/>
    <x v="50"/>
    <s v="Maquinaria"/>
    <s v="Ajuste /Calibracion"/>
    <x v="1"/>
    <x v="1"/>
    <s v="Malla de bañadora no avanza "/>
    <s v="Se realiza el calentamiento de chocolate "/>
    <x v="0"/>
    <x v="0"/>
    <s v=""/>
    <s v=""/>
    <s v=""/>
    <x v="37"/>
    <x v="0"/>
    <x v="3"/>
  </r>
  <r>
    <x v="10"/>
    <s v="JOSÉ HAÑARI"/>
    <s v="MAÑANA"/>
    <s v="06:50"/>
    <s v="07:30"/>
    <d v="1899-12-30T00:40:00"/>
    <x v="26"/>
    <s v="Maquinaria"/>
    <s v="Reparacion"/>
    <x v="1"/>
    <x v="1"/>
    <s v="Colación en contra elevador "/>
    <s v="Se realiza dobles en contra elevador y soporte de contra elevador "/>
    <x v="0"/>
    <x v="0"/>
    <s v=""/>
    <s v=""/>
    <s v=""/>
    <x v="0"/>
    <x v="0"/>
    <x v="3"/>
  </r>
  <r>
    <x v="10"/>
    <s v="Omar Nina"/>
    <s v="TARDE"/>
    <s v="15:40"/>
    <s v="16:04"/>
    <d v="1899-12-30T00:24:00"/>
    <x v="15"/>
    <s v="Maquinaria"/>
    <s v="Inspección"/>
    <x v="0"/>
    <x v="0"/>
    <s v="Inspección de equipo "/>
    <s v=""/>
    <x v="0"/>
    <x v="0"/>
    <s v=""/>
    <s v=""/>
    <s v=""/>
    <x v="0"/>
    <x v="0"/>
    <x v="3"/>
  </r>
  <r>
    <x v="10"/>
    <s v="Omar Nina"/>
    <s v="TARDE"/>
    <s v="18:30"/>
    <s v="18:50"/>
    <d v="1899-12-30T00:20:00"/>
    <x v="18"/>
    <s v="Maquinaria"/>
    <s v="SET UP"/>
    <x v="0"/>
    <x v="0"/>
    <s v="Armado de equipo "/>
    <s v=""/>
    <x v="0"/>
    <x v="0"/>
    <s v=""/>
    <s v=""/>
    <s v=""/>
    <x v="0"/>
    <x v="0"/>
    <x v="3"/>
  </r>
  <r>
    <x v="10"/>
    <s v="Omar Nina"/>
    <s v="TARDE"/>
    <s v="19:05"/>
    <s v="19:30"/>
    <d v="1899-12-30T00:25:00"/>
    <x v="34"/>
    <s v="Maquinaria"/>
    <s v="Inspección"/>
    <x v="0"/>
    <x v="0"/>
    <s v="Inspección funcionamiento de equipo "/>
    <s v=""/>
    <x v="0"/>
    <x v="0"/>
    <s v=""/>
    <s v=""/>
    <s v=""/>
    <x v="0"/>
    <x v="0"/>
    <x v="3"/>
  </r>
  <r>
    <x v="10"/>
    <s v="Omar Nina"/>
    <s v="TARDE"/>
    <s v="19:40"/>
    <s v="20:00"/>
    <d v="1899-12-30T00:20:00"/>
    <x v="3"/>
    <s v="Maquinaria"/>
    <s v="Inspección"/>
    <x v="0"/>
    <x v="0"/>
    <s v="Inspección funcionamiento de equipo "/>
    <s v=""/>
    <x v="0"/>
    <x v="0"/>
    <s v=""/>
    <s v=""/>
    <s v=""/>
    <x v="0"/>
    <x v="0"/>
    <x v="3"/>
  </r>
  <r>
    <x v="10"/>
    <s v="Omar Nina"/>
    <s v="TARDE"/>
    <s v="20:07"/>
    <s v="20:30"/>
    <d v="1899-12-30T00:23:00"/>
    <x v="15"/>
    <s v="Maquinaria"/>
    <s v="SET UP"/>
    <x v="0"/>
    <x v="0"/>
    <s v="Desarmado de MDS, formato agregados x50 "/>
    <s v=""/>
    <x v="0"/>
    <x v="1"/>
    <s v="Mds"/>
    <s v=""/>
    <s v=""/>
    <x v="2"/>
    <x v="1"/>
    <x v="3"/>
  </r>
  <r>
    <x v="10"/>
    <s v="Omar Nina"/>
    <s v="TARDE"/>
    <s v="20:45"/>
    <s v="21:08"/>
    <d v="1899-12-30T00:23:00"/>
    <x v="15"/>
    <s v="Maquinaria"/>
    <s v="SET UP"/>
    <x v="0"/>
    <x v="0"/>
    <s v="Armado de equipo para crema ovalada "/>
    <s v=""/>
    <x v="0"/>
    <x v="0"/>
    <s v=""/>
    <s v=""/>
    <s v=""/>
    <x v="0"/>
    <x v="0"/>
    <x v="3"/>
  </r>
  <r>
    <x v="10"/>
    <s v="Omar Nina"/>
    <s v="TARDE"/>
    <s v="13:15"/>
    <s v="13:30"/>
    <d v="1899-12-30T00:15:00"/>
    <x v="60"/>
    <s v="Maquinaria"/>
    <s v="SET UP"/>
    <x v="1"/>
    <x v="2"/>
    <s v="No enciende "/>
    <s v="Se calienta equipo y se restablece termomagnético "/>
    <x v="0"/>
    <x v="0"/>
    <s v=""/>
    <s v=""/>
    <s v=""/>
    <x v="58"/>
    <x v="0"/>
    <x v="3"/>
  </r>
  <r>
    <x v="10"/>
    <s v="Omar Nina"/>
    <s v="TARDE"/>
    <s v="13:40"/>
    <s v="14:15"/>
    <d v="1899-12-30T00:35:00"/>
    <x v="27"/>
    <s v="Maquinaria"/>
    <s v="Ajuste /Calibracion"/>
    <x v="1"/>
    <x v="1"/>
    <s v="Etiquetas salen desalineadas"/>
    <s v="Se calibra altura de contraelevador y porta etiquetas "/>
    <x v="0"/>
    <x v="0"/>
    <s v=""/>
    <s v=""/>
    <s v=""/>
    <x v="8"/>
    <x v="0"/>
    <x v="3"/>
  </r>
  <r>
    <x v="10"/>
    <s v="Omar Nina"/>
    <s v="TARDE"/>
    <s v="14:31"/>
    <s v="14:56"/>
    <d v="1899-12-30T00:25:00"/>
    <x v="3"/>
    <s v="Maquinaria"/>
    <s v="Ajuste /Calibracion"/>
    <x v="1"/>
    <x v="1"/>
    <s v="Reportan ruido en mordazas "/>
    <s v="Se revisa correa de trasmisión. Se disminuye temperatura de mordaza para evitar que se pegue el laminado "/>
    <x v="0"/>
    <x v="0"/>
    <s v=""/>
    <s v=""/>
    <s v=""/>
    <x v="3"/>
    <x v="0"/>
    <x v="3"/>
  </r>
  <r>
    <x v="10"/>
    <s v="Omar Nina"/>
    <s v="TARDE"/>
    <s v="15:02"/>
    <s v="15:30"/>
    <d v="1899-12-30T00:28:00"/>
    <x v="40"/>
    <s v="Maquinaria"/>
    <s v="Ajuste /Calibracion"/>
    <x v="1"/>
    <x v="1"/>
    <s v="Columna bloqueada, no cae chocolate "/>
    <s v="Se calienta columna y se deja temperando "/>
    <x v="0"/>
    <x v="2"/>
    <s v="Columna"/>
    <s v=""/>
    <s v=""/>
    <x v="59"/>
    <x v="1"/>
    <x v="3"/>
  </r>
  <r>
    <x v="10"/>
    <s v="Omar Nina"/>
    <s v="TARDE"/>
    <s v="16:15"/>
    <s v="17:00"/>
    <d v="1899-12-30T00:45:00"/>
    <x v="61"/>
    <s v="Maquinaria"/>
    <s v="Trabajos menores"/>
    <x v="1"/>
    <x v="1"/>
    <s v="Goteo de agua de mini split sobre forradora de moldes"/>
    <s v="Se retira guardas y se destapa tubería de drenaje ."/>
    <x v="0"/>
    <x v="0"/>
    <s v=""/>
    <s v=""/>
    <s v=""/>
    <x v="60"/>
    <x v="0"/>
    <x v="3"/>
  </r>
  <r>
    <x v="10"/>
    <s v="Omar Nina"/>
    <s v="TARDE"/>
    <s v="17:10"/>
    <s v="17:22"/>
    <d v="1899-12-30T00:12:00"/>
    <x v="27"/>
    <s v="Maquinaria"/>
    <s v="SET UP"/>
    <x v="1"/>
    <x v="1"/>
    <s v="Cuchilla no corta laminado de aluminio "/>
    <s v="Se retira cuchilla y se realiza limpieza. "/>
    <x v="0"/>
    <x v="0"/>
    <s v=""/>
    <s v=""/>
    <s v=""/>
    <x v="42"/>
    <x v="0"/>
    <x v="3"/>
  </r>
  <r>
    <x v="10"/>
    <s v="Omar Nina"/>
    <s v="TARDE"/>
    <s v="20:30"/>
    <s v="20:42"/>
    <d v="1899-12-30T00:12:00"/>
    <x v="47"/>
    <s v="Maquinaria"/>
    <s v="Ajuste /Calibracion"/>
    <x v="1"/>
    <x v="1"/>
    <s v="Temperadora bloqueada, protegida por sobrepresión "/>
    <s v="Se calienta tuberías y se deja temperando "/>
    <x v="0"/>
    <x v="11"/>
    <s v="Temperadora"/>
    <s v=""/>
    <s v=""/>
    <x v="61"/>
    <x v="1"/>
    <x v="3"/>
  </r>
  <r>
    <x v="11"/>
    <s v="Carlos Puma"/>
    <s v="MAÑANA"/>
    <s v="06:40"/>
    <s v="07:30"/>
    <d v="1899-12-30T00:50:00"/>
    <x v="47"/>
    <s v="Maquinaria"/>
    <s v="Ajuste /Calibracion"/>
    <x v="1"/>
    <x v="1"/>
    <s v="Ruido en temperadora "/>
    <s v="Se reviso mecanismos de columnas de encontró patinando la polea de distribución y se ajusto , se puso a temperatura y se hizo pruebas "/>
    <x v="0"/>
    <x v="11"/>
    <s v="Temperadora"/>
    <s v=""/>
    <s v=""/>
    <x v="3"/>
    <x v="1"/>
    <x v="3"/>
  </r>
  <r>
    <x v="11"/>
    <s v="Carlos Puma"/>
    <s v="MAÑANA"/>
    <s v="07:50"/>
    <s v="08:50"/>
    <d v="1899-12-30T01:00:00"/>
    <x v="26"/>
    <s v="Maquinaria"/>
    <s v="Ajuste /Calibracion"/>
    <x v="1"/>
    <x v="1"/>
    <s v="Producto de daña en el empaquetado, papel se arruga constantemente , producto no calza correctamente en disco"/>
    <s v="Se coloco goma en contra elevador y se regulo , se remplazo disco por una medida inferior , se regulo recorrido de cuchilla, queda operativa se dió seguimiento "/>
    <x v="0"/>
    <x v="0"/>
    <s v=""/>
    <s v=""/>
    <s v=""/>
    <x v="0"/>
    <x v="0"/>
    <x v="3"/>
  </r>
  <r>
    <x v="11"/>
    <s v="Carlos Puma"/>
    <s v="MAÑANA"/>
    <s v="09:15"/>
    <s v="09:35"/>
    <d v="1899-12-30T00:20:00"/>
    <x v="3"/>
    <s v="Maquinaria"/>
    <s v="Ajuste /Calibracion"/>
    <x v="1"/>
    <x v="1"/>
    <s v="Problemas en el sellado, lado de plegado invertido "/>
    <s v="Se regulo discos de plegado, se regulo guías y altura de cepillo "/>
    <x v="0"/>
    <x v="0"/>
    <s v=""/>
    <s v=""/>
    <s v=""/>
    <x v="62"/>
    <x v="0"/>
    <x v="3"/>
  </r>
  <r>
    <x v="11"/>
    <s v="Carlos Puma"/>
    <s v="MAÑANA"/>
    <s v="09:45"/>
    <s v="10:15"/>
    <d v="1899-12-30T00:30:00"/>
    <x v="3"/>
    <s v="Maquinaria"/>
    <s v="Ajuste /Calibracion"/>
    <x v="1"/>
    <x v="1"/>
    <s v="Producto se daña en fajas, expulsa mucho producto "/>
    <s v="Se regulo velocidades y pocision de fajas, se dió seguimiento "/>
    <x v="0"/>
    <x v="0"/>
    <s v=""/>
    <s v=""/>
    <s v=""/>
    <x v="0"/>
    <x v="0"/>
    <x v="3"/>
  </r>
  <r>
    <x v="11"/>
    <s v="Carlos Puma"/>
    <s v="MAÑANA"/>
    <s v="08:53"/>
    <s v="09:05"/>
    <d v="1899-12-30T00:12:00"/>
    <x v="15"/>
    <s v="Maquinaria"/>
    <s v="SET UP"/>
    <x v="0"/>
    <x v="0"/>
    <s v="Se retiró husillo plancha y empujadores de Mds para limpieza "/>
    <s v=""/>
    <x v="28"/>
    <x v="1"/>
    <s v="Mds"/>
    <s v=""/>
    <s v=""/>
    <x v="14"/>
    <x v="1"/>
    <x v="3"/>
  </r>
  <r>
    <x v="11"/>
    <s v="Carlos Puma"/>
    <s v="MAÑANA"/>
    <s v="10:30"/>
    <s v="10:50"/>
    <d v="1899-12-30T00:20:00"/>
    <x v="15"/>
    <s v="Maquinaria"/>
    <s v="Inspección"/>
    <x v="0"/>
    <x v="0"/>
    <s v="Inspección de temperadora"/>
    <s v=""/>
    <x v="0"/>
    <x v="11"/>
    <s v="Temperadora"/>
    <s v=""/>
    <s v=""/>
    <x v="0"/>
    <x v="1"/>
    <x v="3"/>
  </r>
  <r>
    <x v="11"/>
    <s v="Carlos Puma"/>
    <s v="MAÑANA"/>
    <s v="11:55"/>
    <s v="12:08"/>
    <d v="1899-12-30T00:13:00"/>
    <x v="21"/>
    <s v="Area"/>
    <s v="M.General"/>
    <x v="0"/>
    <x v="0"/>
    <s v="Levantamiento de observaciones "/>
    <s v=""/>
    <x v="0"/>
    <x v="0"/>
    <s v=""/>
    <s v=""/>
    <s v=""/>
    <x v="0"/>
    <x v="0"/>
    <x v="3"/>
  </r>
  <r>
    <x v="11"/>
    <s v="Carlos Puma"/>
    <s v="MAÑANA"/>
    <d v="1899-12-30T11:45:00"/>
    <d v="1899-12-30T12:15:00"/>
    <d v="1899-12-30T00:30:00"/>
    <x v="52"/>
    <s v="Area"/>
    <s v="Limpieza"/>
    <x v="0"/>
    <x v="0"/>
    <s v="Orden y limpieza de taller de mantenimiento "/>
    <s v=""/>
    <x v="0"/>
    <x v="0"/>
    <s v=""/>
    <s v=""/>
    <s v=""/>
    <x v="0"/>
    <x v="0"/>
    <x v="3"/>
  </r>
  <r>
    <x v="11"/>
    <s v="Carlos Puma"/>
    <s v="MAÑANA"/>
    <s v="01:15"/>
    <s v="01:30"/>
    <d v="1899-12-30T00:15:00"/>
    <x v="62"/>
    <s v="Equipos auxiliares"/>
    <s v="Ajuste /Calibracion"/>
    <x v="0"/>
    <x v="1"/>
    <s v="Reportan Condensado en estación termica de concha elk"/>
    <s v="Se limpio y se reviso uniones "/>
    <x v="0"/>
    <x v="0"/>
    <s v=""/>
    <s v=""/>
    <s v=""/>
    <x v="0"/>
    <x v="0"/>
    <x v="3"/>
  </r>
  <r>
    <x v="11"/>
    <s v="Cesar Quiroz"/>
    <s v="NOCHE"/>
    <s v="21:43"/>
    <s v="22:04"/>
    <d v="1899-12-30T00:21:00"/>
    <x v="50"/>
    <s v="Maquinaria"/>
    <s v="Trabajos menores"/>
    <x v="1"/>
    <x v="1"/>
    <s v="Agua en zona, envases de almacenamiento de agua condensada llenos"/>
    <s v="Se libero envases, se limpio zona "/>
    <x v="0"/>
    <x v="0"/>
    <s v=""/>
    <s v=""/>
    <s v=""/>
    <x v="0"/>
    <x v="0"/>
    <x v="3"/>
  </r>
  <r>
    <x v="11"/>
    <s v="Cesar Quiroz"/>
    <s v="NOCHE"/>
    <s v="22:08"/>
    <s v="22:30"/>
    <d v="1899-12-30T00:22:00"/>
    <x v="3"/>
    <s v="Maquinaria"/>
    <s v="Ajuste /Calibracion"/>
    <x v="1"/>
    <x v="1"/>
    <s v="Banda desalineada, a un costado"/>
    <s v="Se reviso y se encontró wypall envuelto en polin tensador, se desarmo y se retiro wypall, se alineó banda y se ajusto polin tensador"/>
    <x v="0"/>
    <x v="0"/>
    <s v=""/>
    <s v=""/>
    <s v=""/>
    <x v="8"/>
    <x v="0"/>
    <x v="3"/>
  </r>
  <r>
    <x v="11"/>
    <s v="Cesar Quiroz"/>
    <s v="NOCHE"/>
    <s v="22:37"/>
    <s v="23:08"/>
    <d v="1899-12-30T00:31:00"/>
    <x v="50"/>
    <s v="Maquinaria"/>
    <s v="Ajuste /Calibracion"/>
    <x v="1"/>
    <x v="1"/>
    <s v="Temperatura de agua no calienta, ruido por agitador interno"/>
    <s v="Se reviso sistema, se estranguló salida de agua fría, se reviso funcionamiento, se dejó temperado"/>
    <x v="0"/>
    <x v="0"/>
    <s v=""/>
    <s v=""/>
    <s v=""/>
    <x v="63"/>
    <x v="0"/>
    <x v="3"/>
  </r>
  <r>
    <x v="11"/>
    <s v="Cesar Quiroz"/>
    <s v="NOCHE"/>
    <s v="23:18"/>
    <s v="23:58"/>
    <d v="1899-12-30T00:40:00"/>
    <x v="15"/>
    <s v="Maquinaria"/>
    <s v="SET UP"/>
    <x v="1"/>
    <x v="2"/>
    <s v="Tapado de bombones sale mal, ambiente cálido y alta humedad en zona"/>
    <s v="Se habilitó fancoil de zona de hacos 1, se encendió todos los ventiladores de presión positiva, se reviso temperaturas de túnel de enfriamiento, se reviso estado de crema y se encuentra muy aguada"/>
    <x v="0"/>
    <x v="0"/>
    <s v=""/>
    <s v=""/>
    <s v=""/>
    <x v="64"/>
    <x v="0"/>
    <x v="3"/>
  </r>
  <r>
    <x v="11"/>
    <s v="Cesar Quiroz"/>
    <s v="NOCHE"/>
    <s v="21:17"/>
    <s v="21:36"/>
    <d v="1899-12-30T00:19:00"/>
    <x v="31"/>
    <s v="Equipos auxiliares"/>
    <s v="Inspección"/>
    <x v="0"/>
    <x v="0"/>
    <s v="Revisión de funcionamiento y parámetros de trabajo "/>
    <s v=""/>
    <x v="0"/>
    <x v="0"/>
    <s v=""/>
    <s v=""/>
    <s v=""/>
    <x v="0"/>
    <x v="0"/>
    <x v="3"/>
  </r>
  <r>
    <x v="11"/>
    <s v="JOSÉ HAÑARI"/>
    <s v="MAÑANA"/>
    <d v="1899-12-31T00:00:00"/>
    <d v="1899-12-31T00:30:00"/>
    <d v="1899-12-30T00:30:00"/>
    <x v="63"/>
    <s v="Maquinaria"/>
    <s v="SET UP"/>
    <x v="0"/>
    <x v="0"/>
    <s v="Se arma boleadora "/>
    <s v=""/>
    <x v="0"/>
    <x v="0"/>
    <s v=""/>
    <s v=""/>
    <s v=""/>
    <x v="0"/>
    <x v="0"/>
    <x v="3"/>
  </r>
  <r>
    <x v="11"/>
    <s v="JOSÉ HAÑARI"/>
    <s v="MAÑANA"/>
    <s v="13:20"/>
    <s v="13:50"/>
    <d v="1899-12-30T00:30:00"/>
    <x v="52"/>
    <s v="Area"/>
    <s v="Trabajos menores"/>
    <x v="0"/>
    <x v="0"/>
    <s v="Se lleva materiales de taller a almacén "/>
    <s v=""/>
    <x v="0"/>
    <x v="0"/>
    <s v=""/>
    <s v=""/>
    <s v=""/>
    <x v="0"/>
    <x v="0"/>
    <x v="3"/>
  </r>
  <r>
    <x v="11"/>
    <s v="JOSÉ HAÑARI"/>
    <s v="MAÑANA"/>
    <s v="06:00"/>
    <s v="07:00"/>
    <d v="1899-12-30T01:00:00"/>
    <x v="54"/>
    <s v="Area"/>
    <s v="Ajuste /Calibracion"/>
    <x v="1"/>
    <x v="1"/>
    <s v="Temperadora de hacos 2 columnas sin girar "/>
    <s v="Se tensa faja y se ajusta tensadores de columna "/>
    <x v="0"/>
    <x v="16"/>
    <s v="Columna"/>
    <s v="Temperadora"/>
    <s v=""/>
    <x v="0"/>
    <x v="1"/>
    <x v="3"/>
  </r>
  <r>
    <x v="11"/>
    <s v="JOSÉ HAÑARI"/>
    <s v="MAÑANA"/>
    <s v="07:00"/>
    <s v="07:30"/>
    <d v="1899-12-30T00:30:00"/>
    <x v="50"/>
    <s v="Maquinaria"/>
    <s v="Ajuste /Calibracion"/>
    <x v="1"/>
    <x v="1"/>
    <s v="No calienta bañadora y no enfríaba "/>
    <s v="Se Seva bomba de enfriamiento y se regula en calentador de bañadora "/>
    <x v="0"/>
    <x v="0"/>
    <s v=""/>
    <s v=""/>
    <s v=""/>
    <x v="65"/>
    <x v="0"/>
    <x v="3"/>
  </r>
  <r>
    <x v="11"/>
    <s v="JOSÉ HAÑARI"/>
    <s v="MAÑANA"/>
    <s v="11:00"/>
    <s v="11:20"/>
    <d v="1899-12-30T00:20:00"/>
    <x v="54"/>
    <s v="Area"/>
    <s v="Limpieza"/>
    <x v="1"/>
    <x v="1"/>
    <s v="Desfogue de camara de frio atorado "/>
    <s v="Se realiza limpieza en ducto de camara de frio "/>
    <x v="0"/>
    <x v="7"/>
    <s v="Camara De Temperado"/>
    <s v=""/>
    <s v=""/>
    <x v="66"/>
    <x v="1"/>
    <x v="3"/>
  </r>
  <r>
    <x v="11"/>
    <s v="JOSÉ HAÑARI"/>
    <s v="MAÑANA"/>
    <s v="12:00"/>
    <s v="12:20"/>
    <d v="1899-12-30T00:20:00"/>
    <x v="54"/>
    <s v="Area"/>
    <s v="Limpieza"/>
    <x v="1"/>
    <x v="1"/>
    <s v="Temperadora de hacos 2 chocolate derramado "/>
    <s v="Se realiza limpieza de temperadora de hacos 2"/>
    <x v="0"/>
    <x v="11"/>
    <s v="Temperadora"/>
    <s v=""/>
    <s v=""/>
    <x v="0"/>
    <x v="1"/>
    <x v="3"/>
  </r>
  <r>
    <x v="11"/>
    <s v="Omar Nina"/>
    <s v="TARDE"/>
    <s v="13:20"/>
    <s v="13:41"/>
    <d v="1899-12-30T00:21:00"/>
    <x v="15"/>
    <s v="Maquinaria"/>
    <s v="Inspección"/>
    <x v="0"/>
    <x v="0"/>
    <s v="Inspección funcionamiento de equipo "/>
    <s v=""/>
    <x v="0"/>
    <x v="0"/>
    <s v=""/>
    <s v=""/>
    <s v=""/>
    <x v="0"/>
    <x v="0"/>
    <x v="3"/>
  </r>
  <r>
    <x v="11"/>
    <s v="Omar Nina"/>
    <s v="TARDE"/>
    <s v="13:50"/>
    <s v="14:09"/>
    <d v="1899-12-30T00:19:00"/>
    <x v="45"/>
    <s v="Equipos auxiliares"/>
    <s v="Inspección"/>
    <x v="0"/>
    <x v="0"/>
    <s v="Inspección de equipo y purgas "/>
    <s v=""/>
    <x v="0"/>
    <x v="0"/>
    <s v=""/>
    <s v=""/>
    <s v=""/>
    <x v="0"/>
    <x v="0"/>
    <x v="3"/>
  </r>
  <r>
    <x v="11"/>
    <s v="Omar Nina"/>
    <s v="TARDE"/>
    <s v="15:10"/>
    <s v="15:38"/>
    <d v="1899-12-30T00:28:00"/>
    <x v="3"/>
    <s v="Maquinaria"/>
    <s v="Inspección"/>
    <x v="0"/>
    <x v="0"/>
    <s v="Inspección de funcionamiento de equipo "/>
    <s v=""/>
    <x v="0"/>
    <x v="0"/>
    <s v=""/>
    <s v=""/>
    <s v=""/>
    <x v="0"/>
    <x v="0"/>
    <x v="3"/>
  </r>
  <r>
    <x v="11"/>
    <s v="Omar Nina"/>
    <s v="TARDE"/>
    <s v="14:21"/>
    <s v="14:40"/>
    <d v="1899-12-30T00:19:00"/>
    <x v="26"/>
    <s v="Maquinaria"/>
    <s v="Ajuste /Calibracion"/>
    <x v="1"/>
    <x v="1"/>
    <s v="Revienta el producto y por momentos no lo detecta el sensor "/>
    <s v="Calibración de posición de entrada de producto. Queda operativo "/>
    <x v="0"/>
    <x v="0"/>
    <s v=""/>
    <s v=""/>
    <s v=""/>
    <x v="0"/>
    <x v="0"/>
    <x v="3"/>
  </r>
  <r>
    <x v="11"/>
    <s v="Omar Nina"/>
    <s v="TARDE"/>
    <s v="14:42"/>
    <s v="15:02"/>
    <d v="1899-12-30T00:20:00"/>
    <x v="3"/>
    <s v="Maquinaria"/>
    <s v="Reparacion"/>
    <x v="1"/>
    <x v="1"/>
    <s v="Guía de producto desoldada en plancha de formato milky "/>
    <s v="Se retira pieza y se suelda parte dañada. Queda operativo "/>
    <x v="0"/>
    <x v="0"/>
    <s v=""/>
    <s v=""/>
    <s v=""/>
    <x v="2"/>
    <x v="0"/>
    <x v="3"/>
  </r>
  <r>
    <x v="11"/>
    <s v="Omar Nina"/>
    <s v="TARDE"/>
    <s v="16:35"/>
    <s v="16:59"/>
    <d v="1899-12-30T00:24:00"/>
    <x v="47"/>
    <s v="Maquinaria"/>
    <s v="Ajuste /Calibracion"/>
    <x v="1"/>
    <x v="1"/>
    <s v="Temperadora bloqueada por presión maxima "/>
    <s v="Se calienta tuberías y se deja temperando "/>
    <x v="0"/>
    <x v="11"/>
    <s v="Temperadora"/>
    <s v=""/>
    <s v=""/>
    <x v="67"/>
    <x v="1"/>
    <x v="3"/>
  </r>
  <r>
    <x v="11"/>
    <s v="Omar Nina"/>
    <s v="TARDE"/>
    <s v="18:50"/>
    <s v="20:30"/>
    <d v="1899-12-30T01:40:00"/>
    <x v="47"/>
    <s v="Maquinaria"/>
    <s v="Ajuste /Calibracion"/>
    <x v="1"/>
    <x v="1"/>
    <s v="Reportan ruido en temperadora. Columna no gira, transmisión dañada "/>
    <s v="Se desmonta transmisión de eje y se coloca platinas metálicas para generar mayor presión. Se monta en equipo y se realiza pruebas. Queda temperando"/>
    <x v="0"/>
    <x v="16"/>
    <s v="Columna"/>
    <s v="Temperadora"/>
    <s v=""/>
    <x v="68"/>
    <x v="1"/>
    <x v="3"/>
  </r>
  <r>
    <x v="12"/>
    <s v="Cesar Quiroz"/>
    <s v="NOCHE"/>
    <s v="00:04"/>
    <s v="00:25"/>
    <d v="1899-12-30T00:21:00"/>
    <x v="47"/>
    <s v="Maquinaria"/>
    <s v="Ajuste /Calibracion"/>
    <x v="1"/>
    <x v="1"/>
    <s v="Fuga de chocolate en temperadora 1"/>
    <s v="Se realizó ajuste de estopas de columnas "/>
    <x v="0"/>
    <x v="11"/>
    <s v="Temperadora"/>
    <s v=""/>
    <s v=""/>
    <x v="69"/>
    <x v="1"/>
    <x v="3"/>
  </r>
  <r>
    <x v="12"/>
    <s v="Cesar Quiroz"/>
    <s v="NOCHE"/>
    <s v="22:02"/>
    <s v="22:25"/>
    <d v="1899-12-30T00:23:00"/>
    <x v="3"/>
    <s v="Maquinaria"/>
    <s v="Ajuste /Calibracion"/>
    <x v="1"/>
    <x v="1"/>
    <s v="Regulación de guiadores y velocidad de bandas para reducir expulsión de producto desbordante "/>
    <s v=""/>
    <x v="0"/>
    <x v="0"/>
    <s v=""/>
    <s v=""/>
    <s v=""/>
    <x v="70"/>
    <x v="0"/>
    <x v="3"/>
  </r>
  <r>
    <x v="12"/>
    <s v="Cesar Quiroz"/>
    <s v="NOCHE"/>
    <s v="22:28"/>
    <s v="22:57"/>
    <d v="1899-12-30T00:29:00"/>
    <x v="50"/>
    <s v="Maquinaria"/>
    <s v="Ajuste /Calibracion"/>
    <x v="1"/>
    <x v="1"/>
    <s v="Temperatura de agua no baja en modo temperado"/>
    <s v="Se reviso válvulas y selenoide de intercambiador, se aperturó válvula de retorno de agua fría se regulo posición de válvula y se reviso comportamiento de temperaturas en modo temperado"/>
    <x v="0"/>
    <x v="11"/>
    <s v="Temperadora"/>
    <s v=""/>
    <s v=""/>
    <x v="0"/>
    <x v="1"/>
    <x v="3"/>
  </r>
  <r>
    <x v="12"/>
    <s v="Cesar Quiroz"/>
    <s v="NOCHE"/>
    <s v="22:59"/>
    <s v="23:27"/>
    <d v="1899-12-30T00:28:00"/>
    <x v="34"/>
    <s v="Maquinaria"/>
    <s v="Ajuste /Calibracion"/>
    <x v="1"/>
    <x v="1"/>
    <s v="Papel se va a un costado, se dobla y se atasca en cuchilla"/>
    <s v="Se calibro cuchillas de corte, se regulo altura de polines en zona de freno de bobina, se realizó pruebas"/>
    <x v="0"/>
    <x v="0"/>
    <s v=""/>
    <s v=""/>
    <s v=""/>
    <x v="71"/>
    <x v="0"/>
    <x v="3"/>
  </r>
  <r>
    <x v="12"/>
    <s v="Cesar Quiroz"/>
    <s v="NOCHE"/>
    <s v="23:36"/>
    <s v="23:52"/>
    <d v="1899-12-30T00:16:00"/>
    <x v="26"/>
    <s v="Maquinaria"/>
    <s v="Sustitucion"/>
    <x v="1"/>
    <x v="1"/>
    <s v="Cepillo gastado, empaquetado de bombones sale mal"/>
    <s v="Se retira cepillo y se realiza cambio por uno en buen estado, se realiza pruebas de funcionamiento "/>
    <x v="0"/>
    <x v="0"/>
    <s v=""/>
    <s v=""/>
    <s v=""/>
    <x v="72"/>
    <x v="0"/>
    <x v="3"/>
  </r>
  <r>
    <x v="12"/>
    <s v="Cesar Quiroz"/>
    <s v="NOCHE"/>
    <s v="00:14"/>
    <s v="00:36"/>
    <d v="1899-12-30T00:22:00"/>
    <x v="50"/>
    <s v="Maquinaria"/>
    <s v="Ajuste /Calibracion"/>
    <x v="1"/>
    <x v="1"/>
    <s v="Chocolate se enfría, empieza a sonar agitador interno"/>
    <s v="Se regula válvula de salida de agua fría, se coloca en modo calentamiento, y se revisa temperado "/>
    <x v="0"/>
    <x v="0"/>
    <s v=""/>
    <s v=""/>
    <s v=""/>
    <x v="0"/>
    <x v="0"/>
    <x v="3"/>
  </r>
  <r>
    <x v="12"/>
    <s v="Cesar Quiroz"/>
    <s v="NOCHE"/>
    <s v="00:50"/>
    <s v="01:11"/>
    <d v="1899-12-30T00:21:00"/>
    <x v="29"/>
    <s v="Maquinaria"/>
    <s v="Ajuste /Calibracion"/>
    <x v="1"/>
    <x v="1"/>
    <s v="Goma no dosifica en algunos productos"/>
    <s v="Se regulo presión de trabajo y parámetros de goma"/>
    <x v="0"/>
    <x v="8"/>
    <s v="Dosificador"/>
    <s v=""/>
    <s v=""/>
    <x v="73"/>
    <x v="1"/>
    <x v="3"/>
  </r>
  <r>
    <x v="12"/>
    <s v="Cesar Quiroz"/>
    <s v="NOCHE"/>
    <s v="01:24"/>
    <s v="01:39"/>
    <d v="1899-12-30T00:15:00"/>
    <x v="3"/>
    <s v="Maquinaria"/>
    <s v="Ajuste /Calibracion"/>
    <x v="1"/>
    <x v="1"/>
    <s v="Ruido en banda"/>
    <s v="Se identifico banda que tenía ruido, se regulo presión de rascador de banda"/>
    <x v="0"/>
    <x v="0"/>
    <s v=""/>
    <s v=""/>
    <s v=""/>
    <x v="3"/>
    <x v="0"/>
    <x v="3"/>
  </r>
  <r>
    <x v="12"/>
    <s v="Cesar Quiroz"/>
    <s v="NOCHE"/>
    <s v="03:22"/>
    <s v="03:59"/>
    <d v="1899-12-30T00:37:00"/>
    <x v="29"/>
    <s v="Maquinaria"/>
    <s v="Ajuste /Calibracion"/>
    <x v="1"/>
    <x v="1"/>
    <s v="Goma mancha etiquetas, no sale continuo"/>
    <s v="Se regulo posición de boquilla, se redujo cantidad de goma, se bajó temperatura de goma, se realizó pruebas de funcionamiento "/>
    <x v="0"/>
    <x v="0"/>
    <s v=""/>
    <s v=""/>
    <s v=""/>
    <x v="40"/>
    <x v="0"/>
    <x v="3"/>
  </r>
  <r>
    <x v="12"/>
    <s v="Cesar Quiroz"/>
    <s v="NOCHE"/>
    <s v="21:16"/>
    <s v="21:25"/>
    <d v="1899-12-30T00:09:00"/>
    <x v="64"/>
    <s v="Area"/>
    <s v="Trabajos menores"/>
    <x v="0"/>
    <x v="0"/>
    <s v="Se rompió candado de casillero de operador vestuario local anexo"/>
    <s v=""/>
    <x v="0"/>
    <x v="0"/>
    <s v=""/>
    <s v=""/>
    <s v=""/>
    <x v="24"/>
    <x v="0"/>
    <x v="3"/>
  </r>
  <r>
    <x v="12"/>
    <s v="Cesar Quiroz"/>
    <s v="NOCHE"/>
    <s v="21:29"/>
    <s v="21:46"/>
    <d v="1899-12-30T00:17:00"/>
    <x v="31"/>
    <s v="Equipos auxiliares"/>
    <s v="Inspección"/>
    <x v="0"/>
    <x v="0"/>
    <s v="Revisión de funcionamiento y parámetros de trabajo "/>
    <s v=""/>
    <x v="0"/>
    <x v="0"/>
    <s v=""/>
    <s v=""/>
    <s v=""/>
    <x v="0"/>
    <x v="0"/>
    <x v="3"/>
  </r>
  <r>
    <x v="12"/>
    <s v="Cesar Quiroz"/>
    <s v="NOCHE"/>
    <s v="02:04"/>
    <s v="02:37"/>
    <d v="1899-12-30T00:33:00"/>
    <x v="15"/>
    <s v="Maquinaria"/>
    <s v="SET UP"/>
    <x v="0"/>
    <x v="0"/>
    <s v="Desarmado de formato agregados x100 de mds"/>
    <s v=""/>
    <x v="0"/>
    <x v="1"/>
    <s v="Mds"/>
    <s v=""/>
    <s v=""/>
    <x v="2"/>
    <x v="1"/>
    <x v="3"/>
  </r>
  <r>
    <x v="12"/>
    <s v="Cesar Quiroz"/>
    <s v="NOCHE"/>
    <s v="02:40"/>
    <s v="03:12"/>
    <d v="1899-12-30T00:32:00"/>
    <x v="15"/>
    <s v="Maquinaria"/>
    <s v="SET UP"/>
    <x v="0"/>
    <x v="0"/>
    <s v="Armado de formato agregados x50 en mds"/>
    <s v=""/>
    <x v="0"/>
    <x v="1"/>
    <s v="Mds"/>
    <s v=""/>
    <s v=""/>
    <x v="2"/>
    <x v="1"/>
    <x v="3"/>
  </r>
  <r>
    <x v="12"/>
    <s v="JOSÉ HAÑARI"/>
    <s v="MAÑANA"/>
    <s v="06:15"/>
    <s v="08:00"/>
    <d v="1899-12-30T01:45:00"/>
    <x v="28"/>
    <s v="Maquinaria"/>
    <s v="SET UP"/>
    <x v="0"/>
    <x v="0"/>
    <s v="Cambio de formato a milky "/>
    <s v=""/>
    <x v="0"/>
    <x v="0"/>
    <s v=""/>
    <s v=""/>
    <s v=""/>
    <x v="2"/>
    <x v="0"/>
    <x v="3"/>
  </r>
  <r>
    <x v="12"/>
    <s v="JOSÉ HAÑARI"/>
    <s v="MAÑANA"/>
    <s v="08:30"/>
    <s v="08:50"/>
    <d v="1899-12-30T00:20:00"/>
    <x v="9"/>
    <s v="Area"/>
    <s v="Ajuste /Calibracion"/>
    <x v="0"/>
    <x v="3"/>
    <s v="Se pone abrazaderas a manguera de bañadora de 5 piso "/>
    <s v=""/>
    <x v="29"/>
    <x v="0"/>
    <s v=""/>
    <s v=""/>
    <s v=""/>
    <x v="0"/>
    <x v="1"/>
    <x v="3"/>
  </r>
  <r>
    <x v="12"/>
    <s v="JOSÉ HAÑARI"/>
    <s v="MAÑANA"/>
    <s v="06:43"/>
    <d v="1899-12-30T07:40:00"/>
    <d v="1899-12-30T00:57:00"/>
    <x v="3"/>
    <s v="Maquinaria"/>
    <s v="Ajuste /Calibracion"/>
    <x v="1"/>
    <x v="1"/>
    <s v="Se calibrar fajas de flowpack 2 ingreso de producto "/>
    <s v=""/>
    <x v="0"/>
    <x v="0"/>
    <s v=""/>
    <s v=""/>
    <s v=""/>
    <x v="28"/>
    <x v="0"/>
    <x v="3"/>
  </r>
  <r>
    <x v="12"/>
    <s v="JOSÉ HAÑARI"/>
    <s v="MAÑANA"/>
    <s v="06:44"/>
    <d v="1899-12-30T07:10:00"/>
    <d v="1899-12-30T00:26:00"/>
    <x v="65"/>
    <s v="Maquinaria"/>
    <s v="Limpieza"/>
    <x v="1"/>
    <x v="1"/>
    <s v="Se limpia sensor de molino "/>
    <s v=""/>
    <x v="0"/>
    <x v="0"/>
    <s v=""/>
    <s v=""/>
    <s v=""/>
    <x v="0"/>
    <x v="0"/>
    <x v="3"/>
  </r>
  <r>
    <x v="13"/>
    <s v="Carlos Puma"/>
    <s v="NOCHE"/>
    <d v="1899-12-30T09:30:00"/>
    <d v="1899-12-30T10:00:00"/>
    <d v="1899-12-30T00:30:00"/>
    <x v="29"/>
    <s v="Maquinaria"/>
    <s v="SET UP"/>
    <x v="0"/>
    <x v="0"/>
    <s v="Cambio de formato "/>
    <s v=""/>
    <x v="0"/>
    <x v="0"/>
    <s v=""/>
    <s v=""/>
    <s v=""/>
    <x v="2"/>
    <x v="0"/>
    <x v="4"/>
  </r>
  <r>
    <x v="13"/>
    <s v="Carlos Puma"/>
    <s v="NOCHE"/>
    <d v="1899-12-30T10:05:00"/>
    <d v="1899-12-30T10:25:00"/>
    <d v="1899-12-30T00:20:00"/>
    <x v="15"/>
    <s v="Maquinaria"/>
    <s v="Inspección"/>
    <x v="0"/>
    <x v="0"/>
    <s v="Inspección de temperadora, se aumento agua y se lubrico cadena"/>
    <s v=""/>
    <x v="14"/>
    <x v="11"/>
    <s v="Temperadora"/>
    <s v=""/>
    <s v=""/>
    <x v="44"/>
    <x v="1"/>
    <x v="4"/>
  </r>
  <r>
    <x v="13"/>
    <s v="Carlos Puma"/>
    <s v="NOCHE"/>
    <d v="1899-12-30T10:30:00"/>
    <d v="1899-12-30T11:00:00"/>
    <d v="1899-12-30T00:30:00"/>
    <x v="3"/>
    <s v="Maquinaria"/>
    <s v="SET UP"/>
    <x v="0"/>
    <x v="0"/>
    <s v="Se coloco fajas "/>
    <s v=""/>
    <x v="9"/>
    <x v="0"/>
    <s v=""/>
    <s v=""/>
    <s v=""/>
    <x v="0"/>
    <x v="1"/>
    <x v="4"/>
  </r>
  <r>
    <x v="13"/>
    <s v="Carlos Puma"/>
    <s v="NOCHE"/>
    <d v="1899-12-30T11:30:00"/>
    <d v="1899-12-30T11:40:00"/>
    <d v="1899-12-30T00:10:00"/>
    <x v="29"/>
    <s v="Maquinaria"/>
    <s v="SET UP"/>
    <x v="0"/>
    <x v="0"/>
    <s v="Se coloco fajas y polin tensador"/>
    <s v=""/>
    <x v="30"/>
    <x v="0"/>
    <s v=""/>
    <s v=""/>
    <s v=""/>
    <x v="49"/>
    <x v="1"/>
    <x v="4"/>
  </r>
  <r>
    <x v="13"/>
    <s v="Cesar Quiroz"/>
    <s v="TARDE"/>
    <s v="14:12"/>
    <s v="14:34"/>
    <d v="1899-12-30T00:22:00"/>
    <x v="34"/>
    <s v="Maquinaria"/>
    <s v="Ajuste /Calibracion"/>
    <x v="1"/>
    <x v="1"/>
    <s v="Pieza con asperezas, no permite deslizar bien el papel"/>
    <s v="Se desarmo pieza y se lijo hasta eliminar asperezas"/>
    <x v="0"/>
    <x v="0"/>
    <s v=""/>
    <s v=""/>
    <s v=""/>
    <x v="0"/>
    <x v="0"/>
    <x v="4"/>
  </r>
  <r>
    <x v="13"/>
    <s v="Cesar Quiroz"/>
    <s v="TARDE"/>
    <s v="14:41"/>
    <s v="15:03"/>
    <d v="1899-12-30T00:22:00"/>
    <x v="5"/>
    <s v="Maquinaria"/>
    <s v="Sustitucion"/>
    <x v="1"/>
    <x v="1"/>
    <s v="Cambio de gomas a pinzas de repuesto "/>
    <s v=""/>
    <x v="0"/>
    <x v="0"/>
    <s v=""/>
    <s v=""/>
    <s v=""/>
    <x v="0"/>
    <x v="0"/>
    <x v="4"/>
  </r>
  <r>
    <x v="13"/>
    <s v="Cesar Quiroz"/>
    <s v="TARDE"/>
    <s v="15:06"/>
    <s v="15:24"/>
    <d v="1899-12-30T00:18:00"/>
    <x v="26"/>
    <s v="Maquinaria"/>
    <s v="Ajuste /Calibracion"/>
    <x v="1"/>
    <x v="1"/>
    <s v="Banda de alimentación suelta, perno difícil de desajustar"/>
    <s v="Se acomoda posicion de banda y se tensa, se  apoya en desajuste de pernos de pinzas "/>
    <x v="0"/>
    <x v="0"/>
    <s v=""/>
    <s v=""/>
    <s v=""/>
    <x v="74"/>
    <x v="0"/>
    <x v="4"/>
  </r>
  <r>
    <x v="13"/>
    <s v="Cesar Quiroz"/>
    <s v="TARDE"/>
    <s v="15:29"/>
    <s v="15:44"/>
    <d v="1899-12-30T00:15:00"/>
    <x v="5"/>
    <s v="Maquinaria"/>
    <s v="Limpieza"/>
    <x v="1"/>
    <x v="1"/>
    <s v="Papel se arruga"/>
    <s v="Se realizó limpieza de papel atascado en módulo de corte"/>
    <x v="0"/>
    <x v="0"/>
    <s v=""/>
    <s v=""/>
    <s v=""/>
    <x v="0"/>
    <x v="0"/>
    <x v="4"/>
  </r>
  <r>
    <x v="13"/>
    <s v="Cesar Quiroz"/>
    <s v="TARDE"/>
    <s v="15:56"/>
    <s v="16:11"/>
    <d v="1899-12-30T00:15:00"/>
    <x v="34"/>
    <s v="Maquinaria"/>
    <s v="Ajuste /Calibracion"/>
    <x v="1"/>
    <x v="1"/>
    <s v="Problemas con el papel se mueve"/>
    <s v="Se regulo polin de tensador "/>
    <x v="0"/>
    <x v="0"/>
    <s v=""/>
    <s v=""/>
    <s v=""/>
    <x v="0"/>
    <x v="0"/>
    <x v="4"/>
  </r>
  <r>
    <x v="13"/>
    <s v="Cesar Quiroz"/>
    <s v="TARDE"/>
    <s v="17:25"/>
    <s v="17:53"/>
    <d v="1899-12-30T00:28:00"/>
    <x v="26"/>
    <s v="Maquinaria"/>
    <s v="Ajuste /Calibracion"/>
    <x v="1"/>
    <x v="1"/>
    <s v="Problemas con polin de arrastre, suelta el papel"/>
    <s v="Se reviso y se aumento cinta al polin de arrastre"/>
    <x v="0"/>
    <x v="0"/>
    <s v=""/>
    <s v=""/>
    <s v=""/>
    <x v="49"/>
    <x v="0"/>
    <x v="4"/>
  </r>
  <r>
    <x v="13"/>
    <s v="Cesar Quiroz"/>
    <s v="TARDE"/>
    <s v="12:49"/>
    <s v="13:07"/>
    <d v="1899-12-30T00:18:00"/>
    <x v="31"/>
    <s v="Equipos auxiliares"/>
    <s v="Inspección"/>
    <x v="0"/>
    <x v="0"/>
    <s v="Revisión de funcionamiento de equipos y parámetros de trabajo "/>
    <s v=""/>
    <x v="0"/>
    <x v="0"/>
    <s v=""/>
    <s v=""/>
    <s v=""/>
    <x v="0"/>
    <x v="0"/>
    <x v="4"/>
  </r>
  <r>
    <x v="13"/>
    <s v="Cesar Quiroz"/>
    <s v="TARDE"/>
    <s v="13:16"/>
    <s v="13:39"/>
    <d v="1899-12-30T00:23:00"/>
    <x v="15"/>
    <s v="Maquinaria"/>
    <s v="SET UP"/>
    <x v="0"/>
    <x v="0"/>
    <s v="Apoyo en armado de formato cremas de mds "/>
    <s v=""/>
    <x v="0"/>
    <x v="1"/>
    <s v="Mds"/>
    <s v=""/>
    <s v=""/>
    <x v="2"/>
    <x v="1"/>
    <x v="4"/>
  </r>
  <r>
    <x v="13"/>
    <s v="Cesar Quiroz"/>
    <s v="TARDE"/>
    <s v="13:43"/>
    <s v="13:58"/>
    <d v="1899-12-30T00:15:00"/>
    <x v="19"/>
    <s v="Maquinaria"/>
    <s v="SET UP"/>
    <x v="0"/>
    <x v="0"/>
    <s v="Apoyo en armado de equipo"/>
    <s v=""/>
    <x v="0"/>
    <x v="0"/>
    <s v=""/>
    <s v=""/>
    <s v=""/>
    <x v="0"/>
    <x v="0"/>
    <x v="4"/>
  </r>
  <r>
    <x v="13"/>
    <s v="JOSÉ HAÑARI"/>
    <s v="MAÑANA"/>
    <d v="1899-12-30T05:30:00"/>
    <d v="1899-12-30T06:00:00"/>
    <d v="1899-12-30T00:30:00"/>
    <x v="21"/>
    <s v="Area"/>
    <s v="Encendido / Arranque de linea"/>
    <x v="0"/>
    <x v="0"/>
    <s v="Encendido de planta "/>
    <s v=""/>
    <x v="0"/>
    <x v="0"/>
    <s v=""/>
    <s v=""/>
    <s v=""/>
    <x v="0"/>
    <x v="0"/>
    <x v="4"/>
  </r>
  <r>
    <x v="13"/>
    <s v="JOSÉ HAÑARI"/>
    <s v="MAÑANA"/>
    <d v="1899-12-30T06:40:00"/>
    <d v="1899-12-30T07:00:00"/>
    <d v="1899-12-30T00:20:00"/>
    <x v="23"/>
    <s v="Area"/>
    <s v="SET UP"/>
    <x v="0"/>
    <x v="0"/>
    <s v="Llenado de tanque de agua de chiller "/>
    <s v=""/>
    <x v="0"/>
    <x v="3"/>
    <s v="Tanque"/>
    <s v=""/>
    <s v=""/>
    <x v="0"/>
    <x v="1"/>
    <x v="4"/>
  </r>
  <r>
    <x v="13"/>
    <s v="JOSÉ HAÑARI"/>
    <s v="MAÑANA"/>
    <d v="1899-12-30T07:30:00"/>
    <d v="1899-12-30T08:00:00"/>
    <d v="1899-12-30T00:30:00"/>
    <x v="50"/>
    <s v="Maquinaria"/>
    <s v="SET UP"/>
    <x v="0"/>
    <x v="0"/>
    <s v="Desarmado de polines de bañadora túnel para limpieza "/>
    <s v=""/>
    <x v="3"/>
    <x v="0"/>
    <s v=""/>
    <s v=""/>
    <s v=""/>
    <x v="0"/>
    <x v="1"/>
    <x v="4"/>
  </r>
  <r>
    <x v="13"/>
    <s v="JOSÉ HAÑARI"/>
    <s v="MAÑANA"/>
    <d v="1899-12-30T08:40:00"/>
    <d v="1899-12-30T09:30:00"/>
    <d v="1899-12-30T00:50:00"/>
    <x v="5"/>
    <s v="Maquinaria"/>
    <s v="SET UP"/>
    <x v="0"/>
    <x v="0"/>
    <s v="Se arma EMP SACMI y se rsaliza el encendido "/>
    <s v=""/>
    <x v="0"/>
    <x v="0"/>
    <s v=""/>
    <s v=""/>
    <s v=""/>
    <x v="0"/>
    <x v="0"/>
    <x v="4"/>
  </r>
  <r>
    <x v="13"/>
    <s v="JOSÉ HAÑARI"/>
    <s v="MAÑANA"/>
    <d v="1899-12-30T09:40:00"/>
    <d v="1899-12-30T10:40:00"/>
    <d v="1899-12-30T01:00:00"/>
    <x v="17"/>
    <s v="Maquinaria"/>
    <s v="SET UP"/>
    <x v="0"/>
    <x v="0"/>
    <s v="Se arma barquillera y se enciende equipo "/>
    <s v=""/>
    <x v="0"/>
    <x v="0"/>
    <s v=""/>
    <s v=""/>
    <s v=""/>
    <x v="0"/>
    <x v="0"/>
    <x v="4"/>
  </r>
  <r>
    <x v="13"/>
    <s v="JOSÉ HAÑARI"/>
    <s v="MAÑANA"/>
    <d v="1899-12-30T12:00:00"/>
    <d v="1899-12-30T12:15:00"/>
    <d v="1899-12-30T00:15:00"/>
    <x v="66"/>
    <s v="Maquinaria"/>
    <s v="Limpieza"/>
    <x v="0"/>
    <x v="0"/>
    <s v="Se retira cuchilla para limpieza "/>
    <s v=""/>
    <x v="31"/>
    <x v="0"/>
    <s v=""/>
    <s v=""/>
    <s v=""/>
    <x v="14"/>
    <x v="1"/>
    <x v="4"/>
  </r>
  <r>
    <x v="13"/>
    <s v="JOSÉ HAÑARI"/>
    <s v="MAÑANA"/>
    <d v="1899-12-30T08:00:00"/>
    <d v="1899-12-30T08:20:00"/>
    <d v="1899-12-30T00:20:00"/>
    <x v="61"/>
    <s v="Maquinaria"/>
    <s v="Ajuste /Calibracion"/>
    <x v="1"/>
    <x v="1"/>
    <s v="Puerta descuadrada de camara de frio de figuras huecas "/>
    <s v="Se endereza puerta de figuras huecas "/>
    <x v="0"/>
    <x v="7"/>
    <s v="Camara De Temperado"/>
    <s v=""/>
    <s v=""/>
    <x v="75"/>
    <x v="1"/>
    <x v="4"/>
  </r>
  <r>
    <x v="13"/>
    <s v="JOSÉ HAÑARI"/>
    <s v="MAÑANA"/>
    <d v="1899-12-30T11:45:00"/>
    <d v="1899-12-30T12:40:00"/>
    <d v="1899-12-30T00:55:00"/>
    <x v="54"/>
    <s v="Area"/>
    <s v="Sustitucion"/>
    <x v="1"/>
    <x v="1"/>
    <s v="Pernos rodados de plancha de mds de formato cremas ovaladas "/>
    <s v="Se realiza el cambio de pernos rodados y se lleva a planta para q lo laven "/>
    <x v="0"/>
    <x v="1"/>
    <s v="Mds"/>
    <s v=""/>
    <s v=""/>
    <x v="2"/>
    <x v="1"/>
    <x v="4"/>
  </r>
  <r>
    <x v="14"/>
    <s v="Carlos Puma"/>
    <s v="NOCHE"/>
    <d v="1899-12-30T00:00:00"/>
    <d v="1899-12-30T00:20:00"/>
    <d v="1899-12-30T00:20:00"/>
    <x v="5"/>
    <s v="Maquinaria"/>
    <s v="Ajuste /Calibracion"/>
    <x v="1"/>
    <x v="1"/>
    <s v="Se apoyó en regulacion de fajas para reducir acumulacion en entrada de sacmi"/>
    <s v=""/>
    <x v="0"/>
    <x v="0"/>
    <s v=""/>
    <s v=""/>
    <s v=""/>
    <x v="31"/>
    <x v="0"/>
    <x v="4"/>
  </r>
  <r>
    <x v="14"/>
    <s v="Carlos Puma"/>
    <s v="NOCHE"/>
    <d v="1899-12-30T01:00:00"/>
    <d v="1899-12-30T01:20:00"/>
    <d v="1899-12-30T00:20:00"/>
    <x v="66"/>
    <s v="Maquinaria"/>
    <s v="Ajuste /Calibracion"/>
    <x v="1"/>
    <x v="1"/>
    <s v="Se coloco laina para el correcto tensado/alineación de  banda de transporte de refinadora buhler a conchas "/>
    <s v=""/>
    <x v="0"/>
    <x v="0"/>
    <s v=""/>
    <s v=""/>
    <s v=""/>
    <x v="76"/>
    <x v="0"/>
    <x v="4"/>
  </r>
  <r>
    <x v="14"/>
    <s v="Carlos Puma"/>
    <s v="NOCHE"/>
    <d v="1899-12-30T03:50:00"/>
    <d v="1899-12-30T05:20:00"/>
    <d v="1899-12-30T01:30:00"/>
    <x v="15"/>
    <s v="Maquinaria"/>
    <s v="Inspección"/>
    <x v="1"/>
    <x v="1"/>
    <s v="Temperatura alta en tanque de agua fría de temperadora hacos 1 , compresor protegido"/>
    <s v="Se tomó medidas de presión de gas refrigerante, se hizo pruebas eléctricas , compresor en falla a tierra , se reporto"/>
    <x v="0"/>
    <x v="5"/>
    <s v="Tanque"/>
    <s v="Temperadora"/>
    <s v=""/>
    <x v="77"/>
    <x v="1"/>
    <x v="4"/>
  </r>
  <r>
    <x v="14"/>
    <s v="Carlos Puma"/>
    <s v="NOCHE"/>
    <d v="1899-12-30T09:30:00"/>
    <d v="1899-12-30T10:00:00"/>
    <d v="1899-12-30T00:30:00"/>
    <x v="67"/>
    <s v="Maquinaria"/>
    <s v="Ajuste /Calibracion"/>
    <x v="1"/>
    <x v="1"/>
    <s v="Reportan fuga de lubricante "/>
    <s v="Se reviso equipo, se encontró piñones y cadena desalineadas, se reporto "/>
    <x v="0"/>
    <x v="0"/>
    <s v=""/>
    <s v=""/>
    <s v=""/>
    <x v="78"/>
    <x v="0"/>
    <x v="4"/>
  </r>
  <r>
    <x v="14"/>
    <s v="Carlos Puma"/>
    <s v="NOCHE"/>
    <d v="1899-12-30T11:35:00"/>
    <d v="1899-12-30T11:59:00"/>
    <d v="1899-12-30T00:24:00"/>
    <x v="5"/>
    <s v="Maquinaria"/>
    <s v="Limpieza"/>
    <x v="1"/>
    <x v="1"/>
    <s v="Papel arruga constantemente "/>
    <s v="Se realizó la limpieza de zócalo debajo de cuchilla"/>
    <x v="0"/>
    <x v="0"/>
    <s v=""/>
    <s v=""/>
    <s v=""/>
    <x v="0"/>
    <x v="0"/>
    <x v="4"/>
  </r>
  <r>
    <x v="14"/>
    <s v="Carlos Puma"/>
    <s v="NOCHE"/>
    <d v="1899-12-30T00:03:00"/>
    <d v="1899-12-30T03:15:00"/>
    <d v="1899-12-30T03:12:00"/>
    <x v="35"/>
    <s v="Maquinaria"/>
    <s v="Inspección"/>
    <x v="1"/>
    <x v="1"/>
    <s v="Reportan olor a quemado "/>
    <s v="Se encontró fajas patinando se tomó muestras de temperatura y se apagó equipo, se retiró guardas y se apoyó a ver mecánica en revisión y a enfriar fajas y polines con alta temperatura "/>
    <x v="0"/>
    <x v="0"/>
    <s v=""/>
    <s v=""/>
    <s v=""/>
    <x v="79"/>
    <x v="0"/>
    <x v="4"/>
  </r>
  <r>
    <x v="14"/>
    <s v="Carlos Puma"/>
    <s v="NOCHE"/>
    <d v="1899-12-30T04:15:00"/>
    <d v="1899-12-30T04:50:00"/>
    <d v="1899-12-30T00:35:00"/>
    <x v="35"/>
    <s v="Maquinaria"/>
    <s v="Reparacion"/>
    <x v="1"/>
    <x v="1"/>
    <s v="Se realizó pruebas con carga , se habilito completamente el equipo a las 4:45"/>
    <s v=""/>
    <x v="0"/>
    <x v="0"/>
    <s v=""/>
    <s v=""/>
    <s v=""/>
    <x v="38"/>
    <x v="0"/>
    <x v="4"/>
  </r>
  <r>
    <x v="14"/>
    <s v="Carlos Puma"/>
    <s v="NOCHE"/>
    <d v="1899-12-30T04:55:00"/>
    <d v="1899-12-30T05:05:00"/>
    <d v="1899-12-30T00:10:00"/>
    <x v="15"/>
    <s v="Maquinaria"/>
    <s v="Ajuste /Calibracion"/>
    <x v="1"/>
    <x v="1"/>
    <s v="Falla en sensor capacitivo"/>
    <s v="Se regulo sensor y se hizo pruebas "/>
    <x v="0"/>
    <x v="0"/>
    <s v=""/>
    <s v=""/>
    <s v=""/>
    <x v="0"/>
    <x v="0"/>
    <x v="4"/>
  </r>
  <r>
    <x v="14"/>
    <s v="Carlos Puma"/>
    <s v="NOCHE"/>
    <d v="1899-12-30T01:55:00"/>
    <d v="1899-12-30T02:30:00"/>
    <d v="1899-12-30T00:35:00"/>
    <x v="34"/>
    <s v="Maquinaria"/>
    <s v="Inspección"/>
    <x v="0"/>
    <x v="0"/>
    <s v="Revision de sistema de arrastre y desbobinando "/>
    <s v=""/>
    <x v="32"/>
    <x v="0"/>
    <s v=""/>
    <s v=""/>
    <s v=""/>
    <x v="0"/>
    <x v="1"/>
    <x v="4"/>
  </r>
  <r>
    <x v="14"/>
    <s v="Carlos Puma"/>
    <s v="NOCHE"/>
    <d v="1899-12-30T10:00:00"/>
    <d v="1899-12-30T11:30:00"/>
    <d v="1899-12-30T01:30:00"/>
    <x v="28"/>
    <s v="Maquinaria"/>
    <s v="SET UP"/>
    <x v="0"/>
    <x v="0"/>
    <s v="Cambio de formato de milky a pisco x90"/>
    <s v=""/>
    <x v="0"/>
    <x v="0"/>
    <s v=""/>
    <s v=""/>
    <s v=""/>
    <x v="2"/>
    <x v="0"/>
    <x v="4"/>
  </r>
  <r>
    <x v="14"/>
    <s v="Cesar Quiroz"/>
    <s v="TARDE"/>
    <d v="1899-12-30T13:22:00"/>
    <d v="1899-12-30T13:57:00"/>
    <d v="1899-12-30T00:35:00"/>
    <x v="15"/>
    <s v="Maquinaria"/>
    <s v="SET UP"/>
    <x v="1"/>
    <x v="1"/>
    <s v="Problemas con temperadora"/>
    <s v="Se apoyo en la habilitación de materiales a terceros"/>
    <x v="0"/>
    <x v="11"/>
    <s v="Temperadora"/>
    <s v=""/>
    <s v=""/>
    <x v="0"/>
    <x v="1"/>
    <x v="4"/>
  </r>
  <r>
    <x v="14"/>
    <s v="Cesar Quiroz"/>
    <s v="TARDE"/>
    <d v="1899-12-30T12:42:00"/>
    <d v="1899-12-30T12:57:00"/>
    <d v="1899-12-30T00:15:00"/>
    <x v="31"/>
    <s v="Equipos auxiliares"/>
    <s v="Inspección"/>
    <x v="0"/>
    <x v="0"/>
    <s v="Revisión de funcionamiento y parámetros de trabajo "/>
    <s v=""/>
    <x v="0"/>
    <x v="0"/>
    <s v=""/>
    <s v=""/>
    <s v=""/>
    <x v="0"/>
    <x v="0"/>
    <x v="4"/>
  </r>
  <r>
    <x v="14"/>
    <s v="Cesar Quiroz"/>
    <s v="TARDE"/>
    <d v="1899-12-30T13:01:00"/>
    <d v="1899-12-30T13:16:00"/>
    <d v="1899-12-30T00:15:00"/>
    <x v="54"/>
    <s v="Area"/>
    <s v="Trabajos menores"/>
    <x v="0"/>
    <x v="0"/>
    <s v="Envases de condensado de fancoil llenos"/>
    <s v="Se libero envases de condensado"/>
    <x v="0"/>
    <x v="0"/>
    <s v=""/>
    <s v=""/>
    <s v=""/>
    <x v="0"/>
    <x v="0"/>
    <x v="4"/>
  </r>
  <r>
    <x v="14"/>
    <s v="JOSÉ HAÑARI"/>
    <s v="MAÑANA"/>
    <d v="1899-12-30T08:30:00"/>
    <d v="1899-12-30T08:45:00"/>
    <d v="1899-12-30T00:15:00"/>
    <x v="55"/>
    <s v="Maquinaria"/>
    <s v="Sustitucion"/>
    <x v="0"/>
    <x v="3"/>
    <s v="Se el retiro de soporta filtro de flowpack 1 y se indica al gerencia técnica para el pedido correspondiente "/>
    <s v=""/>
    <x v="33"/>
    <x v="0"/>
    <s v=""/>
    <s v=""/>
    <s v=""/>
    <x v="1"/>
    <x v="1"/>
    <x v="4"/>
  </r>
  <r>
    <x v="14"/>
    <s v="JOSÉ HAÑARI"/>
    <s v="MAÑANA"/>
    <d v="1899-12-30T05:40:00"/>
    <d v="1899-12-30T06:40:00"/>
    <d v="1899-12-30T01:00:00"/>
    <x v="15"/>
    <s v="Maquinaria"/>
    <s v="Inspección"/>
    <x v="1"/>
    <x v="1"/>
    <s v="Se realiza la inspección de compresora de hacos 1"/>
    <s v=""/>
    <x v="0"/>
    <x v="0"/>
    <s v=""/>
    <s v=""/>
    <s v=""/>
    <x v="0"/>
    <x v="0"/>
    <x v="4"/>
  </r>
  <r>
    <x v="14"/>
    <s v="JOSÉ HAÑARI"/>
    <s v="MAÑANA"/>
    <d v="1899-12-30T07:15:00"/>
    <d v="1899-12-30T08:30:00"/>
    <d v="1899-12-30T01:15:00"/>
    <x v="15"/>
    <s v="Maquinaria"/>
    <s v="Trabajos menores"/>
    <x v="1"/>
    <x v="1"/>
    <s v="Se realiza el traslado de compresora de temperadora de hacos 1 "/>
    <s v=""/>
    <x v="0"/>
    <x v="11"/>
    <s v="Temperadora"/>
    <s v=""/>
    <s v=""/>
    <x v="0"/>
    <x v="1"/>
    <x v="4"/>
  </r>
  <r>
    <x v="14"/>
    <s v="Omar Nina"/>
    <s v="MAÑANA"/>
    <d v="1899-12-30T06:40:00"/>
    <d v="1899-12-30T07:00:00"/>
    <d v="1899-12-30T00:20:00"/>
    <x v="26"/>
    <s v="Maquinaria"/>
    <s v="Inspección"/>
    <x v="0"/>
    <x v="0"/>
    <s v="Verificación de funcionamiento de equipo "/>
    <s v=""/>
    <x v="0"/>
    <x v="0"/>
    <s v=""/>
    <s v=""/>
    <s v=""/>
    <x v="0"/>
    <x v="0"/>
    <x v="4"/>
  </r>
  <r>
    <x v="14"/>
    <s v="Omar Nina"/>
    <s v="MAÑANA"/>
    <d v="1899-12-30T10:50:00"/>
    <d v="1899-12-30T11:05:00"/>
    <d v="1899-12-30T00:15:00"/>
    <x v="5"/>
    <s v="Maquinaria"/>
    <s v="Inspección"/>
    <x v="0"/>
    <x v="0"/>
    <s v="Inspección de funcionamiento de equipo "/>
    <s v=""/>
    <x v="0"/>
    <x v="0"/>
    <s v=""/>
    <s v=""/>
    <s v=""/>
    <x v="0"/>
    <x v="0"/>
    <x v="4"/>
  </r>
  <r>
    <x v="14"/>
    <s v="Omar Nina"/>
    <s v="MAÑANA"/>
    <d v="1899-12-30T05:40:00"/>
    <d v="1899-12-30T06:35:00"/>
    <d v="1899-12-30T00:55:00"/>
    <x v="15"/>
    <s v="Maquinaria"/>
    <s v="Inspección"/>
    <x v="1"/>
    <x v="1"/>
    <s v="Se releva a turno anterior con la revisión de compresor de temperadora "/>
    <s v=""/>
    <x v="0"/>
    <x v="11"/>
    <s v="Temperadora"/>
    <s v=""/>
    <s v=""/>
    <x v="0"/>
    <x v="1"/>
    <x v="4"/>
  </r>
  <r>
    <x v="14"/>
    <s v="Omar Nina"/>
    <s v="MAÑANA"/>
    <d v="1899-12-30T07:05:00"/>
    <d v="1899-12-30T08:15:00"/>
    <d v="1899-12-30T01:10:00"/>
    <x v="13"/>
    <s v="Maquinaria"/>
    <s v="Sustitucion"/>
    <x v="1"/>
    <x v="1"/>
    <s v="Cuchilla deja una parte de laminado sin cortar, filo de cuchilla se encuentra dañado"/>
    <s v="Se realiza cambio de cuchillas y se calibra"/>
    <x v="0"/>
    <x v="0"/>
    <s v=""/>
    <s v=""/>
    <s v=""/>
    <x v="80"/>
    <x v="0"/>
    <x v="4"/>
  </r>
  <r>
    <x v="14"/>
    <s v="Omar Nina"/>
    <s v="MAÑANA"/>
    <d v="1899-12-30T08:22:00"/>
    <d v="1899-12-30T09:45:00"/>
    <d v="1899-12-30T01:23:00"/>
    <x v="29"/>
    <s v="Maquinaria"/>
    <s v="Ajuste /Calibracion"/>
    <x v="1"/>
    <x v="1"/>
    <s v="Laminado se arruga, faja rota en la salida de producto empaquetado."/>
    <s v="Se endereza guías de papel aluminio y se reemplaza faja."/>
    <x v="0"/>
    <x v="0"/>
    <s v=""/>
    <s v=""/>
    <s v=""/>
    <x v="81"/>
    <x v="0"/>
    <x v="4"/>
  </r>
  <r>
    <x v="14"/>
    <s v="Omar Nina"/>
    <s v="MAÑANA"/>
    <d v="1899-12-30T10:05:00"/>
    <d v="1899-12-30T10:44:00"/>
    <d v="1899-12-30T00:39:00"/>
    <x v="5"/>
    <s v="Maquinaria"/>
    <s v="Ajuste /Calibracion"/>
    <x v="1"/>
    <x v="1"/>
    <s v="Laminado se arrugó y se acumuló debajo de la cuchilla "/>
    <s v="Se desmonta módulo de corte y se realiza limpieza de virutas de papel aluminio "/>
    <x v="0"/>
    <x v="0"/>
    <s v=""/>
    <s v=""/>
    <s v=""/>
    <x v="50"/>
    <x v="0"/>
    <x v="4"/>
  </r>
  <r>
    <x v="14"/>
    <s v="Omar Nina"/>
    <s v="MAÑANA"/>
    <d v="1899-12-30T11:08:00"/>
    <d v="1899-12-30T11:30:00"/>
    <d v="1899-12-30T00:22:00"/>
    <x v="30"/>
    <s v="Maquinaria"/>
    <s v="Limpieza"/>
    <x v="1"/>
    <x v="1"/>
    <s v="Codificado borroso"/>
    <s v="Se realiza limpieza de cabezal "/>
    <x v="0"/>
    <x v="13"/>
    <s v="Codificador"/>
    <s v=""/>
    <s v=""/>
    <x v="82"/>
    <x v="1"/>
    <x v="4"/>
  </r>
  <r>
    <x v="14"/>
    <s v="Omar Nina"/>
    <s v="MAÑANA"/>
    <d v="1899-12-30T12:29:00"/>
    <d v="1899-12-30T12:41:00"/>
    <d v="1899-12-30T00:12:00"/>
    <x v="44"/>
    <s v="Maquinaria"/>
    <s v="SET UP"/>
    <x v="1"/>
    <x v="2"/>
    <s v="No inicia equipo, "/>
    <s v="No permite confirmar alarmas, se reinicia y se realiza pruebas "/>
    <x v="0"/>
    <x v="0"/>
    <s v=""/>
    <s v=""/>
    <s v=""/>
    <x v="21"/>
    <x v="0"/>
    <x v="4"/>
  </r>
  <r>
    <x v="14"/>
    <s v="Omar Nina"/>
    <s v="MAÑANA"/>
    <d v="1899-12-30T12:50:00"/>
    <d v="1899-12-30T14:00:00"/>
    <d v="1899-12-30T01:10:00"/>
    <x v="15"/>
    <s v="Maquinaria"/>
    <s v="Trabajos menores"/>
    <x v="1"/>
    <x v="1"/>
    <s v="Apoyo a personal tercero en habilitación de nuevo compresor "/>
    <s v=""/>
    <x v="0"/>
    <x v="0"/>
    <s v=""/>
    <s v=""/>
    <s v=""/>
    <x v="0"/>
    <x v="0"/>
    <x v="4"/>
  </r>
  <r>
    <x v="15"/>
    <s v="JOSÉ HAÑARI"/>
    <s v="MAÑANA"/>
    <d v="1899-12-30T08:30:00"/>
    <d v="1899-12-30T10:00:00"/>
    <d v="1899-12-30T01:30:00"/>
    <x v="26"/>
    <s v="Maquinaria"/>
    <s v="Sustitucion"/>
    <x v="1"/>
    <x v="1"/>
    <s v="Dos piezas con pernos rodados y dos pinzas gomas despegados por colocación con contra elevador "/>
    <s v="Se realiza el retiro de pinzas con las respectivas bases de las pinzas y se hace cambio de pernos "/>
    <x v="0"/>
    <x v="0"/>
    <s v=""/>
    <s v=""/>
    <s v=""/>
    <x v="0"/>
    <x v="0"/>
    <x v="4"/>
  </r>
  <r>
    <x v="15"/>
    <s v="JOSÉ HAÑARI"/>
    <s v="MAÑANA"/>
    <d v="1899-12-30T11:40:00"/>
    <d v="1899-12-30T12:15:00"/>
    <d v="1899-12-30T00:35:00"/>
    <x v="68"/>
    <s v="Area"/>
    <s v="Ajuste /Calibracion"/>
    <x v="1"/>
    <x v="1"/>
    <s v="Grasa en cadena e interior de equipo y engranaje desaliniado "/>
    <s v="Se alinea engranaje y se hace la limpieza correspondiente "/>
    <x v="0"/>
    <x v="0"/>
    <s v=""/>
    <s v=""/>
    <s v=""/>
    <x v="8"/>
    <x v="0"/>
    <x v="4"/>
  </r>
  <r>
    <x v="15"/>
    <s v="JOSÉ HAÑARI"/>
    <s v="MAÑANA"/>
    <d v="1899-12-30T06:21:00"/>
    <d v="1899-12-30T06:40:00"/>
    <d v="1899-12-30T00:19:00"/>
    <x v="30"/>
    <s v="Maquinaria"/>
    <s v="Limpieza"/>
    <x v="1"/>
    <x v="1"/>
    <s v="Cabezal de codificadora no codifica bien "/>
    <s v="Se realiza limpieza de cabezal y con los procedimientos de limpieza del equipo "/>
    <x v="0"/>
    <x v="13"/>
    <s v="Codificador"/>
    <s v=""/>
    <s v=""/>
    <x v="83"/>
    <x v="1"/>
    <x v="4"/>
  </r>
  <r>
    <x v="15"/>
    <s v="JOSÉ HAÑARI"/>
    <s v="MAÑANA"/>
    <d v="1899-12-30T06:00:00"/>
    <d v="1899-12-30T06:15:00"/>
    <d v="1899-12-30T00:15:00"/>
    <x v="63"/>
    <s v="Maquinaria"/>
    <s v="SET UP"/>
    <x v="0"/>
    <x v="0"/>
    <s v="Se arma boleadora "/>
    <s v=""/>
    <x v="0"/>
    <x v="0"/>
    <s v=""/>
    <s v=""/>
    <s v=""/>
    <x v="0"/>
    <x v="0"/>
    <x v="4"/>
  </r>
  <r>
    <x v="15"/>
    <s v="Omar Nina"/>
    <s v="MAÑANA"/>
    <d v="1899-12-30T05:50:00"/>
    <d v="1899-12-30T06:10:00"/>
    <d v="1899-12-30T00:20:00"/>
    <x v="35"/>
    <s v="Maquinaria"/>
    <s v="Inspección"/>
    <x v="0"/>
    <x v="0"/>
    <s v="Inspección funcionamiento de equipo "/>
    <s v=""/>
    <x v="0"/>
    <x v="0"/>
    <s v=""/>
    <s v=""/>
    <s v=""/>
    <x v="0"/>
    <x v="0"/>
    <x v="4"/>
  </r>
  <r>
    <x v="15"/>
    <s v="Omar Nina"/>
    <s v="MAÑANA"/>
    <d v="1899-12-30T07:40:00"/>
    <d v="1899-12-30T08:05:00"/>
    <d v="1899-12-30T00:25:00"/>
    <x v="15"/>
    <s v="Maquinaria"/>
    <s v="SET UP"/>
    <x v="0"/>
    <x v="0"/>
    <s v="Desarmado de MDS formato crema "/>
    <s v=""/>
    <x v="0"/>
    <x v="1"/>
    <s v="Mds"/>
    <s v=""/>
    <s v=""/>
    <x v="2"/>
    <x v="1"/>
    <x v="4"/>
  </r>
  <r>
    <x v="15"/>
    <s v="Omar Nina"/>
    <s v="MAÑANA"/>
    <d v="1899-12-30T08:08:00"/>
    <d v="1899-12-30T08:40:00"/>
    <d v="1899-12-30T00:32:00"/>
    <x v="15"/>
    <s v="Maquinaria"/>
    <s v="SET UP"/>
    <x v="0"/>
    <x v="0"/>
    <s v="Armado de MDS para agregados x50 "/>
    <s v=""/>
    <x v="0"/>
    <x v="1"/>
    <s v="Mds"/>
    <s v=""/>
    <s v=""/>
    <x v="0"/>
    <x v="1"/>
    <x v="4"/>
  </r>
  <r>
    <x v="15"/>
    <s v="Omar Nina"/>
    <s v="MAÑANA"/>
    <d v="1899-12-30T08:48:00"/>
    <d v="1899-12-30T09:15:00"/>
    <d v="1899-12-30T00:27:00"/>
    <x v="3"/>
    <s v="Maquinaria"/>
    <s v="SET UP"/>
    <x v="0"/>
    <x v="0"/>
    <s v="Habilitación de equipo para formato milky "/>
    <s v="Colocación de mordaza y planchas segun formato "/>
    <x v="0"/>
    <x v="0"/>
    <s v=""/>
    <s v=""/>
    <s v=""/>
    <x v="2"/>
    <x v="0"/>
    <x v="4"/>
  </r>
  <r>
    <x v="15"/>
    <s v="Omar Nina"/>
    <s v="MAÑANA"/>
    <d v="1899-12-30T09:55:00"/>
    <d v="1899-12-30T10:08:00"/>
    <d v="1899-12-30T00:13:00"/>
    <x v="40"/>
    <s v="Maquinaria"/>
    <s v="Inspección"/>
    <x v="0"/>
    <x v="0"/>
    <s v="Inspección funcionamiento de equipo "/>
    <s v=""/>
    <x v="0"/>
    <x v="0"/>
    <s v=""/>
    <s v=""/>
    <s v=""/>
    <x v="0"/>
    <x v="0"/>
    <x v="4"/>
  </r>
  <r>
    <x v="15"/>
    <s v="Omar Nina"/>
    <s v="MAÑANA"/>
    <d v="1899-12-30T12:15:00"/>
    <d v="1899-12-30T12:45:00"/>
    <d v="1899-12-30T00:30:00"/>
    <x v="3"/>
    <s v="Maquinaria"/>
    <s v="Inspección"/>
    <x v="0"/>
    <x v="0"/>
    <s v="Inspección de equipo "/>
    <s v=""/>
    <x v="0"/>
    <x v="0"/>
    <s v=""/>
    <s v=""/>
    <s v=""/>
    <x v="0"/>
    <x v="0"/>
    <x v="4"/>
  </r>
  <r>
    <x v="15"/>
    <s v="Omar Nina"/>
    <s v="MAÑANA"/>
    <d v="1899-12-30T13:00:00"/>
    <d v="1899-12-30T13:33:00"/>
    <d v="1899-12-30T00:33:00"/>
    <x v="15"/>
    <s v="Maquinaria"/>
    <s v="SET UP"/>
    <x v="0"/>
    <x v="0"/>
    <s v="Cambio de formato de agregados x50 a fondy menta"/>
    <s v=""/>
    <x v="0"/>
    <x v="0"/>
    <s v=""/>
    <s v=""/>
    <s v=""/>
    <x v="2"/>
    <x v="0"/>
    <x v="4"/>
  </r>
  <r>
    <x v="15"/>
    <s v="Omar Nina"/>
    <s v="MAÑANA"/>
    <d v="1899-12-30T06:15:00"/>
    <d v="1899-12-30T06:30:00"/>
    <d v="1899-12-30T00:15:00"/>
    <x v="44"/>
    <s v="Maquinaria"/>
    <s v="Ajuste /Calibracion"/>
    <x v="1"/>
    <x v="1"/>
    <s v="Equipo no inicia "/>
    <s v="Se verifica sensores de seguridad. Se reinició equipo y se confirma errores"/>
    <x v="0"/>
    <x v="0"/>
    <s v=""/>
    <s v=""/>
    <s v=""/>
    <x v="21"/>
    <x v="0"/>
    <x v="4"/>
  </r>
  <r>
    <x v="15"/>
    <s v="Omar Nina"/>
    <s v="MAÑANA"/>
    <d v="1899-12-30T06:35:00"/>
    <d v="1899-12-30T07:05:00"/>
    <d v="1899-12-30T00:30:00"/>
    <x v="61"/>
    <s v="Maquinaria"/>
    <s v="SET UP"/>
    <x v="1"/>
    <x v="1"/>
    <s v="Cae agua de los ventiladores "/>
    <s v="Se revisa empozamiento de agua, se libera drenaje y se revisa funcionamiento "/>
    <x v="0"/>
    <x v="0"/>
    <s v=""/>
    <s v=""/>
    <s v=""/>
    <x v="0"/>
    <x v="0"/>
    <x v="4"/>
  </r>
  <r>
    <x v="15"/>
    <s v="Omar Nina"/>
    <s v="MAÑANA"/>
    <d v="1899-12-30T07:10:00"/>
    <d v="1899-12-30T07:30:00"/>
    <d v="1899-12-30T00:20:00"/>
    <x v="17"/>
    <s v="Maquinaria"/>
    <s v="Ajuste /Calibracion"/>
    <x v="1"/>
    <x v="1"/>
    <s v="Chaqueta de tanque de crema de encuentra fría, mangueras de calefacción desconectadas. No recircula crema."/>
    <s v="Se conecta mangueras y se verifica funcionamiento de calefacción "/>
    <x v="0"/>
    <x v="3"/>
    <s v="Tanque"/>
    <s v=""/>
    <s v=""/>
    <x v="84"/>
    <x v="1"/>
    <x v="4"/>
  </r>
  <r>
    <x v="15"/>
    <s v="Omar Nina"/>
    <s v="MAÑANA"/>
    <d v="1899-12-30T09:18:00"/>
    <d v="1899-12-30T09:50:00"/>
    <d v="1899-12-30T00:32:00"/>
    <x v="15"/>
    <s v="Maquinaria"/>
    <s v="Sustitucion"/>
    <x v="1"/>
    <x v="1"/>
    <s v="Sensor a12 se queda siempre activo. No permite ajustar la sensibilidad "/>
    <s v="Se reemplaza sensor y se verifica funcionamiento "/>
    <x v="0"/>
    <x v="0"/>
    <s v=""/>
    <s v=""/>
    <s v=""/>
    <x v="28"/>
    <x v="0"/>
    <x v="4"/>
  </r>
  <r>
    <x v="15"/>
    <s v="Omar Nina"/>
    <s v="MAÑANA"/>
    <d v="1899-12-30T10:15:00"/>
    <d v="1899-12-30T10:40:00"/>
    <d v="1899-12-30T00:25:00"/>
    <x v="15"/>
    <s v="Maquinaria"/>
    <s v="SET UP"/>
    <x v="1"/>
    <x v="1"/>
    <s v="MDS no calienta, módulo se encuentra frío, manguera estrangulada en el interior de equipo."/>
    <s v="Liberación de mangueras, verificación de funcionamiento de bomba de agua y nivel de agua. ."/>
    <x v="0"/>
    <x v="1"/>
    <s v="Mds"/>
    <s v=""/>
    <s v=""/>
    <x v="65"/>
    <x v="1"/>
    <x v="4"/>
  </r>
  <r>
    <x v="15"/>
    <s v="Omar Nina"/>
    <s v="MAÑANA"/>
    <d v="1899-12-30T10:50:00"/>
    <d v="1899-12-30T11:10:00"/>
    <d v="1899-12-30T00:20:00"/>
    <x v="3"/>
    <s v="Maquinaria"/>
    <s v="Ajuste /Calibracion"/>
    <x v="1"/>
    <x v="1"/>
    <s v="Reportan problemas con la calibración de laminado "/>
    <s v="Se apoya a operador con la calibración de equipo. Queda operativo "/>
    <x v="0"/>
    <x v="0"/>
    <s v=""/>
    <s v=""/>
    <s v=""/>
    <x v="7"/>
    <x v="0"/>
    <x v="4"/>
  </r>
  <r>
    <x v="16"/>
    <s v="Cesar Quiroz"/>
    <s v="MAÑANA"/>
    <s v="07:54"/>
    <s v="08:29"/>
    <d v="1899-12-30T00:35:00"/>
    <x v="62"/>
    <s v="Equipos auxiliares"/>
    <s v="Ajuste /Calibracion"/>
    <x v="1"/>
    <x v="1"/>
    <s v="Agua no calienta "/>
    <s v="Se cerró válvulas y se reviso filtros y regulador de presión, se purgó tubería de condensado"/>
    <x v="0"/>
    <x v="0"/>
    <s v=""/>
    <s v=""/>
    <s v=""/>
    <x v="65"/>
    <x v="0"/>
    <x v="5"/>
  </r>
  <r>
    <x v="16"/>
    <s v="Cesar Quiroz"/>
    <s v="MAÑANA"/>
    <s v="09:11"/>
    <s v="09:29"/>
    <d v="1899-12-30T00:18:00"/>
    <x v="34"/>
    <s v="Maquinaria"/>
    <s v="Ajuste /Calibracion"/>
    <x v="1"/>
    <x v="1"/>
    <s v="Soporte de pinza con desgaste no agarra bien el papel"/>
    <s v="Se retiro soporte y se cambio por perno con diámetro más grande"/>
    <x v="0"/>
    <x v="0"/>
    <s v=""/>
    <s v=""/>
    <s v=""/>
    <x v="72"/>
    <x v="0"/>
    <x v="5"/>
  </r>
  <r>
    <x v="16"/>
    <s v="Cesar Quiroz"/>
    <s v="MAÑANA"/>
    <s v="13:56"/>
    <s v="14:07"/>
    <d v="1899-12-30T00:11:00"/>
    <x v="47"/>
    <s v="Maquinaria"/>
    <s v="Ajuste /Calibracion"/>
    <x v="1"/>
    <x v="1"/>
    <s v="Problemas con a10 y b18"/>
    <s v="Se reviso actuadores, se regulo posición de sensores  y se realizó pruebas"/>
    <x v="0"/>
    <x v="0"/>
    <s v=""/>
    <s v=""/>
    <s v=""/>
    <x v="0"/>
    <x v="0"/>
    <x v="5"/>
  </r>
  <r>
    <x v="16"/>
    <s v="Cesar Quiroz"/>
    <s v="MAÑANA"/>
    <s v="05:34"/>
    <s v="06:31"/>
    <d v="1899-12-30T00:57:00"/>
    <x v="31"/>
    <s v="Equipos auxiliares"/>
    <s v="Encendido / Arranque de linea"/>
    <x v="0"/>
    <x v="0"/>
    <s v="Arranque de planta, Encendido de equipos y revisión de pozos"/>
    <s v=""/>
    <x v="0"/>
    <x v="0"/>
    <s v=""/>
    <s v=""/>
    <s v=""/>
    <x v="0"/>
    <x v="0"/>
    <x v="5"/>
  </r>
  <r>
    <x v="16"/>
    <s v="Cesar Quiroz"/>
    <s v="MAÑANA"/>
    <s v="06:42"/>
    <s v="07:08"/>
    <d v="1899-12-30T00:26:00"/>
    <x v="19"/>
    <s v="Maquinaria"/>
    <s v="SET UP"/>
    <x v="0"/>
    <x v="0"/>
    <s v="Desarmado de equipo para limpieza"/>
    <s v=""/>
    <x v="0"/>
    <x v="0"/>
    <s v=""/>
    <s v=""/>
    <s v=""/>
    <x v="0"/>
    <x v="0"/>
    <x v="5"/>
  </r>
  <r>
    <x v="16"/>
    <s v="Cesar Quiroz"/>
    <s v="MAÑANA"/>
    <s v="07:14"/>
    <s v="07:46"/>
    <d v="1899-12-30T00:32:00"/>
    <x v="5"/>
    <s v="Maquinaria"/>
    <s v="SET UP"/>
    <x v="0"/>
    <x v="0"/>
    <s v="Desarmado de equipo para limpieza semanal "/>
    <s v=""/>
    <x v="0"/>
    <x v="0"/>
    <s v=""/>
    <s v=""/>
    <s v=""/>
    <x v="0"/>
    <x v="0"/>
    <x v="5"/>
  </r>
  <r>
    <x v="16"/>
    <s v="Cesar Quiroz"/>
    <s v="MAÑANA"/>
    <s v="08:38"/>
    <s v="09:04"/>
    <d v="1899-12-30T00:26:00"/>
    <x v="50"/>
    <s v="Maquinaria"/>
    <s v="SET UP"/>
    <x v="0"/>
    <x v="0"/>
    <s v="Desarmado de polines y piezas para limpieza semanal"/>
    <s v=""/>
    <x v="3"/>
    <x v="0"/>
    <s v=""/>
    <s v=""/>
    <s v=""/>
    <x v="0"/>
    <x v="1"/>
    <x v="5"/>
  </r>
  <r>
    <x v="16"/>
    <s v="Cesar Quiroz"/>
    <s v="MAÑANA"/>
    <s v="09:33"/>
    <s v="09:49"/>
    <d v="1899-12-30T00:16:00"/>
    <x v="52"/>
    <s v="Area"/>
    <s v="Limpieza"/>
    <x v="0"/>
    <x v="0"/>
    <s v="Orden de herramientas y pernos "/>
    <s v=""/>
    <x v="34"/>
    <x v="0"/>
    <s v=""/>
    <s v=""/>
    <s v=""/>
    <x v="0"/>
    <x v="1"/>
    <x v="5"/>
  </r>
  <r>
    <x v="16"/>
    <s v="Cesar Quiroz"/>
    <s v="MAÑANA"/>
    <s v="10:46"/>
    <s v="11:19"/>
    <d v="1899-12-30T00:33:00"/>
    <x v="50"/>
    <s v="Maquinaria"/>
    <s v="SET UP"/>
    <x v="0"/>
    <x v="0"/>
    <s v="Armado de equipo y habilitacion"/>
    <s v=""/>
    <x v="0"/>
    <x v="0"/>
    <s v=""/>
    <s v=""/>
    <s v=""/>
    <x v="0"/>
    <x v="0"/>
    <x v="5"/>
  </r>
  <r>
    <x v="16"/>
    <s v="Cesar Quiroz"/>
    <s v="MAÑANA"/>
    <s v="11:21"/>
    <s v="11:38"/>
    <d v="1899-12-30T00:17:00"/>
    <x v="50"/>
    <s v="Maquinaria"/>
    <s v="SET UP"/>
    <x v="0"/>
    <x v="0"/>
    <s v="Retiro y colocación de filtro para procedimiento de limpieza"/>
    <s v=""/>
    <x v="1"/>
    <x v="0"/>
    <s v=""/>
    <s v=""/>
    <s v=""/>
    <x v="1"/>
    <x v="1"/>
    <x v="5"/>
  </r>
  <r>
    <x v="16"/>
    <s v="Cesar Quiroz"/>
    <s v="MAÑANA"/>
    <s v="12:48"/>
    <s v="13:19"/>
    <d v="1899-12-30T00:31:00"/>
    <x v="19"/>
    <s v="Maquinaria"/>
    <s v="SET UP"/>
    <x v="0"/>
    <x v="0"/>
    <s v="Armado de equipo"/>
    <s v=""/>
    <x v="0"/>
    <x v="0"/>
    <s v=""/>
    <s v=""/>
    <s v=""/>
    <x v="0"/>
    <x v="0"/>
    <x v="5"/>
  </r>
  <r>
    <x v="16"/>
    <s v="Cesar Quiroz"/>
    <s v="MAÑANA"/>
    <s v="13:27"/>
    <s v="13:53"/>
    <d v="1899-12-30T00:26:00"/>
    <x v="15"/>
    <s v="Maquinaria"/>
    <s v="SET UP"/>
    <x v="0"/>
    <x v="0"/>
    <s v="Armado de formato agregados x50 en mds"/>
    <s v=""/>
    <x v="0"/>
    <x v="1"/>
    <s v="Mds"/>
    <s v=""/>
    <s v=""/>
    <x v="2"/>
    <x v="1"/>
    <x v="5"/>
  </r>
  <r>
    <x v="16"/>
    <s v="JOSÉ HAÑARI"/>
    <s v="MAÑANA"/>
    <s v="06:24"/>
    <d v="1899-12-30T06:50:00"/>
    <d v="1899-12-30T00:26:00"/>
    <x v="44"/>
    <s v="Maquinaria"/>
    <s v="Encendido / Arranque de linea"/>
    <x v="0"/>
    <x v="0"/>
    <s v="Se realiza el encendido y operatividad de la tostadora "/>
    <s v=""/>
    <x v="0"/>
    <x v="0"/>
    <s v=""/>
    <s v=""/>
    <s v=""/>
    <x v="0"/>
    <x v="0"/>
    <x v="5"/>
  </r>
  <r>
    <x v="16"/>
    <s v="JOSÉ HAÑARI"/>
    <s v="MAÑANA"/>
    <s v="05:40"/>
    <s v="06:10"/>
    <d v="1899-12-30T00:30:00"/>
    <x v="21"/>
    <s v="Area"/>
    <s v="Encendido / Arranque de linea"/>
    <x v="0"/>
    <x v="0"/>
    <s v="Encendido de planta "/>
    <s v=""/>
    <x v="0"/>
    <x v="0"/>
    <s v=""/>
    <s v=""/>
    <s v=""/>
    <x v="0"/>
    <x v="0"/>
    <x v="5"/>
  </r>
  <r>
    <x v="16"/>
    <s v="JOSÉ HAÑARI"/>
    <s v="MAÑANA"/>
    <s v="09:00"/>
    <s v="09:30"/>
    <d v="1899-12-30T00:30:00"/>
    <x v="50"/>
    <s v="Maquinaria"/>
    <s v="SET UP"/>
    <x v="0"/>
    <x v="0"/>
    <s v="Se desarma faja de bañadora para limpieza "/>
    <s v=""/>
    <x v="9"/>
    <x v="0"/>
    <s v=""/>
    <s v=""/>
    <s v=""/>
    <x v="0"/>
    <x v="1"/>
    <x v="5"/>
  </r>
  <r>
    <x v="16"/>
    <s v="JOSÉ HAÑARI"/>
    <s v="MAÑANA"/>
    <s v="11:30"/>
    <s v="12:20"/>
    <d v="1899-12-30T00:50:00"/>
    <x v="50"/>
    <s v="Maquinaria"/>
    <s v="Reparacion"/>
    <x v="0"/>
    <x v="3"/>
    <s v="Puertas de acrílico dañadas "/>
    <s v="Se realiza cortes en puertas de acrílico en zona afectada y se hace entrega "/>
    <x v="35"/>
    <x v="0"/>
    <s v=""/>
    <s v=""/>
    <s v=""/>
    <x v="85"/>
    <x v="1"/>
    <x v="5"/>
  </r>
  <r>
    <x v="16"/>
    <s v="JOSÉ HAÑARI"/>
    <s v="MAÑANA"/>
    <s v="12:30"/>
    <d v="1899-12-30T13:25:00"/>
    <d v="1899-12-30T00:55:00"/>
    <x v="23"/>
    <s v="Area"/>
    <s v="SET UP"/>
    <x v="0"/>
    <x v="0"/>
    <s v="Se desarma quebrantadora para limpieza "/>
    <s v=""/>
    <x v="0"/>
    <x v="0"/>
    <s v=""/>
    <s v=""/>
    <s v=""/>
    <x v="0"/>
    <x v="0"/>
    <x v="5"/>
  </r>
  <r>
    <x v="16"/>
    <s v="JOSÉ HAÑARI"/>
    <s v="MAÑANA"/>
    <s v="13:40"/>
    <s v="14:15"/>
    <d v="1899-12-30T00:35:00"/>
    <x v="54"/>
    <s v="Area"/>
    <s v="SET UP"/>
    <x v="0"/>
    <x v="0"/>
    <s v="Se arma formato de agredos por 50 en MDS "/>
    <s v=""/>
    <x v="0"/>
    <x v="1"/>
    <s v="Mds"/>
    <s v=""/>
    <s v=""/>
    <x v="2"/>
    <x v="1"/>
    <x v="5"/>
  </r>
  <r>
    <x v="16"/>
    <s v="Omar Nina"/>
    <s v="NOCHE"/>
    <s v="21:35"/>
    <s v="22:05"/>
    <d v="1899-12-30T00:30:00"/>
    <x v="15"/>
    <s v="Maquinaria"/>
    <s v="Limpieza"/>
    <x v="0"/>
    <x v="0"/>
    <s v="Se retira husillo para limpieza y se vuelve a colocar. Formato agregados x50 "/>
    <s v=""/>
    <x v="17"/>
    <x v="0"/>
    <s v=""/>
    <s v=""/>
    <s v=""/>
    <x v="39"/>
    <x v="1"/>
    <x v="5"/>
  </r>
  <r>
    <x v="16"/>
    <s v="Omar Nina"/>
    <s v="NOCHE"/>
    <s v="22:08"/>
    <s v="22:20"/>
    <d v="1899-12-30T00:12:00"/>
    <x v="13"/>
    <s v="Maquinaria"/>
    <s v="SET UP"/>
    <x v="0"/>
    <x v="0"/>
    <s v="Colocación de cuchilla fija y verificación de corte de papel"/>
    <s v=""/>
    <x v="31"/>
    <x v="0"/>
    <s v=""/>
    <s v=""/>
    <s v=""/>
    <x v="0"/>
    <x v="1"/>
    <x v="5"/>
  </r>
  <r>
    <x v="16"/>
    <s v="Omar Nina"/>
    <s v="NOCHE"/>
    <s v="22:27"/>
    <s v="22:50"/>
    <d v="1899-12-30T00:23:00"/>
    <x v="18"/>
    <s v="Maquinaria"/>
    <s v="SET UP"/>
    <x v="0"/>
    <x v="0"/>
    <s v="Armado de equipo "/>
    <s v=""/>
    <x v="0"/>
    <x v="0"/>
    <s v=""/>
    <s v=""/>
    <s v=""/>
    <x v="0"/>
    <x v="0"/>
    <x v="5"/>
  </r>
  <r>
    <x v="16"/>
    <s v="Omar Nina"/>
    <s v="NOCHE"/>
    <s v="23:00"/>
    <s v="23:16"/>
    <d v="1899-12-30T00:16:00"/>
    <x v="32"/>
    <s v="Maquinaria"/>
    <s v="SET UP"/>
    <x v="0"/>
    <x v="0"/>
    <s v="Se retira imán "/>
    <s v=""/>
    <x v="0"/>
    <x v="0"/>
    <s v=""/>
    <s v=""/>
    <s v=""/>
    <x v="14"/>
    <x v="0"/>
    <x v="5"/>
  </r>
  <r>
    <x v="16"/>
    <s v="Omar Nina"/>
    <s v="NOCHE"/>
    <s v="23:20"/>
    <s v="23:40"/>
    <d v="1899-12-30T00:20:00"/>
    <x v="44"/>
    <s v="Maquinaria"/>
    <s v="Inspección"/>
    <x v="0"/>
    <x v="0"/>
    <s v="Inspección funcionamiento de equipo "/>
    <s v=""/>
    <x v="0"/>
    <x v="0"/>
    <s v=""/>
    <s v=""/>
    <s v=""/>
    <x v="0"/>
    <x v="0"/>
    <x v="5"/>
  </r>
  <r>
    <x v="16"/>
    <s v="Omar Nina"/>
    <s v="NOCHE"/>
    <s v="23:50"/>
    <s v="00:35"/>
    <d v="1899-12-30T00:45:00"/>
    <x v="28"/>
    <s v="Maquinaria"/>
    <s v="Ajuste /Calibracion"/>
    <x v="0"/>
    <x v="3"/>
    <s v="Plegado de laminado deja dobles en los laterales."/>
    <s v="Calibración de plegadores "/>
    <x v="36"/>
    <x v="0"/>
    <s v=""/>
    <s v=""/>
    <s v=""/>
    <x v="50"/>
    <x v="1"/>
    <x v="5"/>
  </r>
  <r>
    <x v="16"/>
    <s v="Omar Nina"/>
    <s v="NOCHE"/>
    <s v="01:04"/>
    <s v="01:40"/>
    <d v="1899-12-30T00:36:00"/>
    <x v="5"/>
    <s v="Maquinaria"/>
    <s v="Inspección"/>
    <x v="0"/>
    <x v="0"/>
    <s v="Inspección funcionamiento de equipo "/>
    <s v=""/>
    <x v="0"/>
    <x v="0"/>
    <s v=""/>
    <s v=""/>
    <s v=""/>
    <x v="0"/>
    <x v="0"/>
    <x v="5"/>
  </r>
  <r>
    <x v="16"/>
    <s v="Omar Nina"/>
    <s v="NOCHE"/>
    <s v="03:35"/>
    <s v="04:10"/>
    <d v="1899-12-30T00:35:00"/>
    <x v="15"/>
    <s v="Maquinaria"/>
    <s v="SET UP"/>
    <x v="0"/>
    <x v="0"/>
    <s v="Se retira husillo y plancha para limpieza. Cambio de agregados."/>
    <s v=""/>
    <x v="37"/>
    <x v="0"/>
    <s v=""/>
    <s v=""/>
    <s v=""/>
    <x v="14"/>
    <x v="1"/>
    <x v="5"/>
  </r>
  <r>
    <x v="16"/>
    <s v="Omar Nina"/>
    <s v="NOCHE"/>
    <s v="02:15"/>
    <s v="02:25"/>
    <d v="1899-12-30T00:10:00"/>
    <x v="35"/>
    <s v="Maquinaria"/>
    <s v="Sustitucion"/>
    <x v="1"/>
    <x v="1"/>
    <s v="Válvula de descarga tiene el empaque roto"/>
    <s v="Reemplazo de empaque "/>
    <x v="0"/>
    <x v="0"/>
    <s v=""/>
    <s v=""/>
    <s v=""/>
    <x v="86"/>
    <x v="0"/>
    <x v="5"/>
  </r>
  <r>
    <x v="17"/>
    <s v="Carlos Puma"/>
    <s v="TARDE"/>
    <s v="14:20"/>
    <s v="14:40"/>
    <d v="1899-12-30T00:20:00"/>
    <x v="3"/>
    <s v="Maquinaria"/>
    <s v="Ajuste /Calibracion"/>
    <x v="1"/>
    <x v="1"/>
    <s v="Se coloco empujadores y se lubrico cadena , se regulo fajas guias"/>
    <s v=""/>
    <x v="0"/>
    <x v="0"/>
    <s v=""/>
    <s v=""/>
    <s v=""/>
    <x v="44"/>
    <x v="0"/>
    <x v="5"/>
  </r>
  <r>
    <x v="17"/>
    <s v="Carlos Puma"/>
    <s v="TARDE"/>
    <s v="14:43"/>
    <s v="15:00"/>
    <d v="1899-12-30T00:17:00"/>
    <x v="5"/>
    <s v="Maquinaria"/>
    <s v="Limpieza"/>
    <x v="1"/>
    <x v="1"/>
    <s v="Restos de papel atorados en cuchilla"/>
    <s v="Se realizó la limpieza "/>
    <x v="0"/>
    <x v="0"/>
    <s v=""/>
    <s v=""/>
    <s v=""/>
    <x v="87"/>
    <x v="0"/>
    <x v="5"/>
  </r>
  <r>
    <x v="17"/>
    <s v="Carlos Puma"/>
    <s v="TARDE"/>
    <s v="15:51"/>
    <s v="16:10"/>
    <d v="1899-12-30T00:19:00"/>
    <x v="15"/>
    <s v="Maquinaria"/>
    <s v="SET UP"/>
    <x v="1"/>
    <x v="2"/>
    <s v="Reportan flujo bajo en tubería hacia samfill"/>
    <s v="Se modifico parámetros de temperadora, se aumento agua en tanques y se dió seguimiento "/>
    <x v="0"/>
    <x v="12"/>
    <s v="Sammfill"/>
    <s v=""/>
    <s v=""/>
    <x v="0"/>
    <x v="1"/>
    <x v="5"/>
  </r>
  <r>
    <x v="17"/>
    <s v="Carlos Puma"/>
    <s v="TARDE"/>
    <s v="16:45"/>
    <s v="17:05"/>
    <d v="1899-12-30T00:20:00"/>
    <x v="28"/>
    <s v="Maquinaria"/>
    <s v="Ajuste /Calibracion"/>
    <x v="1"/>
    <x v="1"/>
    <s v="Abrefacil sale desalineado"/>
    <s v="Se regulo presión de caja inicial , velocidad de corte , pocision de sellado , se hizo pruebas "/>
    <x v="0"/>
    <x v="0"/>
    <s v=""/>
    <s v=""/>
    <s v=""/>
    <x v="8"/>
    <x v="0"/>
    <x v="5"/>
  </r>
  <r>
    <x v="17"/>
    <s v="Carlos Puma"/>
    <s v="TARDE"/>
    <s v="13:10"/>
    <s v="13:30"/>
    <d v="1899-12-30T00:20:00"/>
    <x v="3"/>
    <s v="Maquinaria"/>
    <s v="SET UP"/>
    <x v="0"/>
    <x v="0"/>
    <s v="Se apoyó y el armado de mordaza y colocación de guardas"/>
    <s v=""/>
    <x v="4"/>
    <x v="0"/>
    <s v=""/>
    <s v=""/>
    <s v=""/>
    <x v="0"/>
    <x v="1"/>
    <x v="5"/>
  </r>
  <r>
    <x v="17"/>
    <s v="Carlos Puma"/>
    <s v="TARDE"/>
    <s v="13:35"/>
    <s v="13:55"/>
    <d v="1899-12-30T00:20:00"/>
    <x v="15"/>
    <s v="Maquinaria"/>
    <s v="SET UP"/>
    <x v="0"/>
    <x v="0"/>
    <s v="Se apoyó en el Desarme de mds"/>
    <s v=""/>
    <x v="0"/>
    <x v="1"/>
    <s v="Mds"/>
    <s v=""/>
    <s v=""/>
    <x v="0"/>
    <x v="1"/>
    <x v="5"/>
  </r>
  <r>
    <x v="17"/>
    <s v="Carlos Puma"/>
    <s v="TARDE"/>
    <s v="14:00"/>
    <s v="14:15"/>
    <d v="1899-12-30T00:15:00"/>
    <x v="28"/>
    <s v="Maquinaria"/>
    <s v="SET UP"/>
    <x v="0"/>
    <x v="0"/>
    <s v="Se apoyó regulando guías de laminado "/>
    <s v=""/>
    <x v="38"/>
    <x v="0"/>
    <s v=""/>
    <s v=""/>
    <s v=""/>
    <x v="50"/>
    <x v="1"/>
    <x v="5"/>
  </r>
  <r>
    <x v="17"/>
    <s v="Carlos Puma"/>
    <s v="TARDE"/>
    <s v="15:15"/>
    <s v="15:50"/>
    <d v="1899-12-30T00:35:00"/>
    <x v="29"/>
    <s v="Maquinaria"/>
    <s v="SET UP"/>
    <x v="0"/>
    <x v="0"/>
    <s v="Cambio de formato de 50g a 40g"/>
    <s v=""/>
    <x v="0"/>
    <x v="0"/>
    <s v=""/>
    <s v=""/>
    <s v=""/>
    <x v="2"/>
    <x v="0"/>
    <x v="5"/>
  </r>
  <r>
    <x v="17"/>
    <s v="Carlos Puma"/>
    <s v="TARDE"/>
    <s v="16:15"/>
    <s v="16:40"/>
    <d v="1899-12-30T00:25:00"/>
    <x v="69"/>
    <s v="Maquinaria"/>
    <s v="SET UP"/>
    <x v="0"/>
    <x v="0"/>
    <s v="Se apoyó a personal tercero a desmontar el quemador "/>
    <s v=""/>
    <x v="39"/>
    <x v="0"/>
    <s v=""/>
    <s v=""/>
    <s v=""/>
    <x v="79"/>
    <x v="1"/>
    <x v="5"/>
  </r>
  <r>
    <x v="17"/>
    <s v="Carlos Puma"/>
    <s v="TARDE"/>
    <s v="17:30"/>
    <s v="17:42"/>
    <d v="1899-12-30T00:12:00"/>
    <x v="18"/>
    <s v="Maquinaria"/>
    <s v="SET UP"/>
    <x v="0"/>
    <x v="0"/>
    <s v="Desarme de equipo "/>
    <s v=""/>
    <x v="0"/>
    <x v="0"/>
    <s v=""/>
    <s v=""/>
    <s v=""/>
    <x v="0"/>
    <x v="0"/>
    <x v="5"/>
  </r>
  <r>
    <x v="17"/>
    <s v="Carlos Puma"/>
    <s v="TARDE"/>
    <s v="17:45"/>
    <s v="18:00"/>
    <d v="1899-12-30T00:15:00"/>
    <x v="69"/>
    <s v="Maquinaria"/>
    <s v="Inspección"/>
    <x v="0"/>
    <x v="0"/>
    <s v="Inspección de equipo durante pruebas"/>
    <s v=""/>
    <x v="0"/>
    <x v="0"/>
    <s v=""/>
    <s v=""/>
    <s v=""/>
    <x v="0"/>
    <x v="0"/>
    <x v="5"/>
  </r>
  <r>
    <x v="17"/>
    <s v="Cesar Quiroz"/>
    <s v="MAÑANA"/>
    <s v="06:16"/>
    <s v="06:38"/>
    <d v="1899-12-30T00:22:00"/>
    <x v="66"/>
    <s v="Maquinaria"/>
    <s v="Ajuste /Calibracion"/>
    <x v="1"/>
    <x v="2"/>
    <s v="Problemas en el inicio "/>
    <s v="Se verifico funcionamiento de sensores de puerta"/>
    <x v="0"/>
    <x v="0"/>
    <s v=""/>
    <s v=""/>
    <s v=""/>
    <x v="0"/>
    <x v="0"/>
    <x v="5"/>
  </r>
  <r>
    <x v="17"/>
    <s v="Cesar Quiroz"/>
    <s v="MAÑANA"/>
    <s v="06:42"/>
    <s v="07:03"/>
    <d v="1899-12-30T00:21:00"/>
    <x v="43"/>
    <s v="Sistema"/>
    <s v="M.General"/>
    <x v="1"/>
    <x v="1"/>
    <s v="Reportan agua turbia en salida de agua potable"/>
    <s v="Se reviso pozo se encontró en nivel bajo se apoyo llenado con potabilización de agua "/>
    <x v="0"/>
    <x v="0"/>
    <s v=""/>
    <s v=""/>
    <s v=""/>
    <x v="0"/>
    <x v="0"/>
    <x v="5"/>
  </r>
  <r>
    <x v="17"/>
    <s v="Cesar Quiroz"/>
    <s v="MAÑANA"/>
    <s v="05:43"/>
    <s v="06:04"/>
    <d v="1899-12-30T00:21:00"/>
    <x v="31"/>
    <s v="Equipos auxiliares"/>
    <s v="SET UP"/>
    <x v="0"/>
    <x v="0"/>
    <s v="Revisión de funcionamiento y parámetros de trabajo "/>
    <s v=""/>
    <x v="0"/>
    <x v="0"/>
    <s v=""/>
    <s v=""/>
    <s v=""/>
    <x v="0"/>
    <x v="0"/>
    <x v="5"/>
  </r>
  <r>
    <x v="17"/>
    <s v="JOSÉ HAÑARI"/>
    <s v="MAÑANA"/>
    <s v="06:10"/>
    <s v="06:30"/>
    <d v="1899-12-30T00:20:00"/>
    <x v="70"/>
    <s v="Maquinaria"/>
    <s v="Ajuste /Calibracion"/>
    <x v="1"/>
    <x v="1"/>
    <s v="Puerta suelta y iman desajustado "/>
    <s v="Se ajusta puerta e iman"/>
    <x v="0"/>
    <x v="0"/>
    <s v=""/>
    <s v=""/>
    <s v=""/>
    <x v="88"/>
    <x v="0"/>
    <x v="5"/>
  </r>
  <r>
    <x v="17"/>
    <s v="JOSÉ HAÑARI"/>
    <s v="MAÑANA"/>
    <s v="05:40"/>
    <s v="06:00"/>
    <d v="1899-12-30T00:20:00"/>
    <x v="66"/>
    <s v="Maquinaria"/>
    <s v="Inspección"/>
    <x v="0"/>
    <x v="0"/>
    <s v="Se hace inspección a sensores de la refinadora buhler"/>
    <s v=""/>
    <x v="40"/>
    <x v="0"/>
    <s v=""/>
    <s v=""/>
    <s v=""/>
    <x v="0"/>
    <x v="1"/>
    <x v="5"/>
  </r>
  <r>
    <x v="18"/>
    <s v="Carlos Puma"/>
    <s v="TARDE"/>
    <d v="1899-12-30T15:10:00"/>
    <d v="1899-12-30T15:30:00"/>
    <d v="1899-12-30T00:20:00"/>
    <x v="27"/>
    <s v="Maquinaria"/>
    <s v="Ajuste /Calibracion"/>
    <x v="1"/>
    <x v="1"/>
    <s v="No jala etiqueta correctamente, bajo succion de válvula de vacio"/>
    <s v="Se retiró válvula de vacio para mantenimiento,se montó válvula en equipo y se hizo pruebas "/>
    <x v="0"/>
    <x v="0"/>
    <s v=""/>
    <s v=""/>
    <s v=""/>
    <x v="43"/>
    <x v="0"/>
    <x v="5"/>
  </r>
  <r>
    <x v="18"/>
    <s v="Carlos Puma"/>
    <s v="TARDE"/>
    <d v="1899-12-30T19:00:00"/>
    <d v="1899-12-30T19:10:00"/>
    <d v="1899-12-30T00:10:00"/>
    <x v="25"/>
    <s v="Maquinaria"/>
    <s v="Encendido / Arranque de linea"/>
    <x v="1"/>
    <x v="2"/>
    <s v="Equipo no enciende "/>
    <s v="Se reviso circuito eléctrico y se habilto"/>
    <x v="0"/>
    <x v="0"/>
    <s v=""/>
    <s v=""/>
    <s v=""/>
    <x v="58"/>
    <x v="0"/>
    <x v="5"/>
  </r>
  <r>
    <x v="18"/>
    <s v="Carlos Puma"/>
    <s v="TARDE"/>
    <d v="1899-12-30T19:15:00"/>
    <d v="1899-12-30T20:00:00"/>
    <d v="1899-12-30T00:45:00"/>
    <x v="71"/>
    <s v="Maquinaria"/>
    <s v="Reparacion"/>
    <x v="1"/>
    <x v="1"/>
    <s v="Polin de desbobinando desprendido "/>
    <s v="Se retiró polin , se reparo en el taller y se montó en el equipo "/>
    <x v="0"/>
    <x v="0"/>
    <s v=""/>
    <s v=""/>
    <s v=""/>
    <x v="0"/>
    <x v="0"/>
    <x v="5"/>
  </r>
  <r>
    <x v="18"/>
    <s v="Carlos Puma"/>
    <s v="TARDE"/>
    <d v="1899-12-30T13:45:00"/>
    <d v="1899-12-30T15:00:00"/>
    <d v="1899-12-30T01:15:00"/>
    <x v="3"/>
    <s v="Maquinaria"/>
    <s v="SET UP"/>
    <x v="0"/>
    <x v="0"/>
    <s v="Cambio de formato para tableta doble 200g, se regulo fajas y guias"/>
    <s v=""/>
    <x v="41"/>
    <x v="0"/>
    <s v=""/>
    <s v=""/>
    <s v=""/>
    <x v="2"/>
    <x v="1"/>
    <x v="5"/>
  </r>
  <r>
    <x v="18"/>
    <s v="Carlos Puma"/>
    <s v="TARDE"/>
    <d v="1899-12-30T15:35:00"/>
    <d v="1899-12-30T17:30:00"/>
    <d v="1899-12-30T01:55:00"/>
    <x v="3"/>
    <s v="Maquinaria"/>
    <s v="SET UP"/>
    <x v="0"/>
    <x v="0"/>
    <s v="Apoyó en máquina durante pruebas  de chocolate doble"/>
    <s v=""/>
    <x v="8"/>
    <x v="0"/>
    <s v=""/>
    <s v=""/>
    <s v=""/>
    <x v="0"/>
    <x v="1"/>
    <x v="5"/>
  </r>
  <r>
    <x v="18"/>
    <s v="Carlos Puma"/>
    <s v="TARDE"/>
    <d v="1899-12-30T20:15:00"/>
    <d v="1899-12-30T21:00:00"/>
    <d v="1899-12-30T00:45:00"/>
    <x v="28"/>
    <s v="Maquinaria"/>
    <s v="SET UP"/>
    <x v="0"/>
    <x v="0"/>
    <s v="Cambio de formato de pisco x18 a milky x10"/>
    <s v="Se cambió piezas "/>
    <x v="0"/>
    <x v="0"/>
    <s v=""/>
    <s v=""/>
    <s v=""/>
    <x v="2"/>
    <x v="0"/>
    <x v="5"/>
  </r>
  <r>
    <x v="18"/>
    <s v="JOSÉ HAÑARI"/>
    <s v="MAÑANA"/>
    <d v="1899-12-30T08:50:00"/>
    <d v="1899-12-30T09:20:00"/>
    <d v="1899-12-30T00:30:00"/>
    <x v="72"/>
    <s v="Maquinaria"/>
    <s v="Ajuste /Calibracion"/>
    <x v="1"/>
    <x v="1"/>
    <s v="Sonido de tanque de figuras huecas "/>
    <s v="Se realiza el ajuste de prisioneros y se lubrica "/>
    <x v="0"/>
    <x v="3"/>
    <s v="Tanque"/>
    <s v=""/>
    <s v=""/>
    <x v="89"/>
    <x v="1"/>
    <x v="5"/>
  </r>
  <r>
    <x v="18"/>
    <s v="JOSÉ HAÑARI"/>
    <s v="MAÑANA"/>
    <d v="1899-12-30T06:07:00"/>
    <d v="1899-12-30T06:40:00"/>
    <d v="1899-12-30T00:33:00"/>
    <x v="7"/>
    <s v="Maquinaria"/>
    <s v="Ajuste /Calibracion"/>
    <x v="1"/>
    <x v="1"/>
    <s v="Raspador de faja con leve sonido y fajas sueltas "/>
    <s v="Se regula y se hace el ajuste respectivo de las fajas "/>
    <x v="0"/>
    <x v="0"/>
    <s v=""/>
    <s v=""/>
    <s v=""/>
    <x v="90"/>
    <x v="0"/>
    <x v="5"/>
  </r>
  <r>
    <x v="18"/>
    <s v="JOSÉ HAÑARI"/>
    <s v="MAÑANA"/>
    <d v="1899-12-30T05:40:00"/>
    <d v="1899-12-30T06:00:00"/>
    <d v="1899-12-30T00:20:00"/>
    <x v="15"/>
    <s v="Maquinaria"/>
    <s v="SET UP"/>
    <x v="0"/>
    <x v="0"/>
    <s v="HMI de mds está en formato agregados "/>
    <s v="Se realiza el cambio a cremas "/>
    <x v="0"/>
    <x v="1"/>
    <s v="Mds"/>
    <s v=""/>
    <s v=""/>
    <x v="2"/>
    <x v="1"/>
    <x v="5"/>
  </r>
  <r>
    <x v="18"/>
    <s v="JOSÉ HAÑARI"/>
    <s v="MAÑANA"/>
    <d v="1899-12-30T06:15:00"/>
    <d v="1899-12-30T06:45:00"/>
    <d v="1899-12-30T00:30:00"/>
    <x v="2"/>
    <s v="Maquinaria"/>
    <s v="SET UP"/>
    <x v="0"/>
    <x v="0"/>
    <s v="Se retira condensado de unidades de calefacción "/>
    <s v=""/>
    <x v="0"/>
    <x v="0"/>
    <s v=""/>
    <s v=""/>
    <s v=""/>
    <x v="14"/>
    <x v="0"/>
    <x v="5"/>
  </r>
  <r>
    <x v="18"/>
    <s v="JOSÉ HAÑARI"/>
    <s v="MAÑANA"/>
    <d v="1899-12-30T07:00:00"/>
    <d v="1899-12-30T07:30:00"/>
    <d v="1899-12-30T00:30:00"/>
    <x v="2"/>
    <s v="Maquinaria"/>
    <s v="Lubricación"/>
    <x v="0"/>
    <x v="0"/>
    <s v="Se realiza lubricacion de rieles de empujador de moldes "/>
    <s v=""/>
    <x v="42"/>
    <x v="0"/>
    <s v=""/>
    <s v=""/>
    <s v=""/>
    <x v="44"/>
    <x v="1"/>
    <x v="5"/>
  </r>
  <r>
    <x v="18"/>
    <s v="JOSÉ HAÑARI"/>
    <s v="MAÑANA"/>
    <d v="1899-12-30T08:00:00"/>
    <d v="1899-12-30T08:20:00"/>
    <d v="1899-12-30T00:20:00"/>
    <x v="54"/>
    <s v="Area"/>
    <s v="Limpieza"/>
    <x v="0"/>
    <x v="0"/>
    <s v="Se realiza limpieza e inspección de camara de frio de segundo piso "/>
    <s v="Tema de condensado de unidad se retira todo el agua "/>
    <x v="0"/>
    <x v="7"/>
    <s v="Camara De Temperado"/>
    <s v=""/>
    <s v=""/>
    <x v="66"/>
    <x v="1"/>
    <x v="5"/>
  </r>
  <r>
    <x v="18"/>
    <s v="JOSÉ HAÑARI"/>
    <s v="MAÑANA"/>
    <d v="1899-12-30T13:00:00"/>
    <d v="1899-12-30T14:00:00"/>
    <d v="1899-12-30T01:00:00"/>
    <x v="3"/>
    <s v="Maquinaria"/>
    <s v="SET UP"/>
    <x v="0"/>
    <x v="0"/>
    <s v="Se realiza avance de formato de flowpack 2 a tabletas "/>
    <s v=""/>
    <x v="8"/>
    <x v="0"/>
    <s v=""/>
    <s v=""/>
    <s v=""/>
    <x v="2"/>
    <x v="1"/>
    <x v="5"/>
  </r>
  <r>
    <x v="18"/>
    <s v="Omar Nina"/>
    <s v="NOCHE"/>
    <d v="1899-12-30T21:15:00"/>
    <d v="1899-12-30T21:40:00"/>
    <d v="1899-12-30T00:25:00"/>
    <x v="3"/>
    <s v="Maquinaria"/>
    <s v="SET UP"/>
    <x v="0"/>
    <x v="0"/>
    <s v="Cambio de formato para milky "/>
    <s v="Se reemplaza empujadores, planchas y se carga receta "/>
    <x v="0"/>
    <x v="0"/>
    <s v=""/>
    <s v=""/>
    <s v=""/>
    <x v="2"/>
    <x v="0"/>
    <x v="5"/>
  </r>
  <r>
    <x v="18"/>
    <s v="Omar Nina"/>
    <s v="NOCHE"/>
    <d v="1899-12-30T23:00:00"/>
    <d v="1899-12-30T23:30:00"/>
    <d v="1899-12-30T00:30:00"/>
    <x v="55"/>
    <s v="Maquinaria"/>
    <s v="Inspección"/>
    <x v="0"/>
    <x v="0"/>
    <s v="Inspección de funcionamiento de equipo "/>
    <s v=""/>
    <x v="0"/>
    <x v="0"/>
    <s v=""/>
    <s v=""/>
    <s v=""/>
    <x v="0"/>
    <x v="0"/>
    <x v="5"/>
  </r>
  <r>
    <x v="18"/>
    <s v="Omar Nina"/>
    <s v="NOCHE"/>
    <d v="1899-12-30T23:40:00"/>
    <d v="1899-12-30T00:08:00"/>
    <d v="1899-12-30T00:28:00"/>
    <x v="15"/>
    <s v="Maquinaria"/>
    <s v="Inspección"/>
    <x v="0"/>
    <x v="0"/>
    <s v="Inspección de equipo "/>
    <s v=""/>
    <x v="0"/>
    <x v="0"/>
    <s v=""/>
    <s v=""/>
    <s v=""/>
    <x v="0"/>
    <x v="0"/>
    <x v="5"/>
  </r>
  <r>
    <x v="18"/>
    <s v="Omar Nina"/>
    <s v="NOCHE"/>
    <d v="1899-12-30T00:40:00"/>
    <d v="1899-12-30T01:00:00"/>
    <d v="1899-12-30T00:20:00"/>
    <x v="26"/>
    <s v="Maquinaria"/>
    <s v="Inspección"/>
    <x v="0"/>
    <x v="0"/>
    <s v="Inspección de funcionamiento de equipo "/>
    <s v=""/>
    <x v="0"/>
    <x v="0"/>
    <s v=""/>
    <s v=""/>
    <s v=""/>
    <x v="0"/>
    <x v="0"/>
    <x v="5"/>
  </r>
  <r>
    <x v="18"/>
    <s v="Omar Nina"/>
    <s v="NOCHE"/>
    <d v="1899-12-30T01:04:00"/>
    <d v="1899-12-30T02:05:00"/>
    <d v="1899-12-30T01:01:00"/>
    <x v="15"/>
    <s v="Maquinaria"/>
    <s v="SET UP"/>
    <x v="0"/>
    <x v="0"/>
    <s v="Se desarma MDS para limpieza y se vuelve armar"/>
    <s v=""/>
    <x v="0"/>
    <x v="1"/>
    <s v="Mds"/>
    <s v=""/>
    <s v=""/>
    <x v="0"/>
    <x v="1"/>
    <x v="5"/>
  </r>
  <r>
    <x v="18"/>
    <s v="Omar Nina"/>
    <s v="NOCHE"/>
    <d v="1899-12-30T03:40:00"/>
    <d v="1899-12-30T04:04:00"/>
    <d v="1899-12-30T00:24:00"/>
    <x v="25"/>
    <s v="Maquinaria"/>
    <s v="Inspección"/>
    <x v="0"/>
    <x v="0"/>
    <s v="Inspección de funcionamiento de equipo "/>
    <s v=""/>
    <x v="0"/>
    <x v="0"/>
    <s v=""/>
    <s v=""/>
    <s v=""/>
    <x v="0"/>
    <x v="0"/>
    <x v="5"/>
  </r>
  <r>
    <x v="18"/>
    <s v="Omar Nina"/>
    <s v="NOCHE"/>
    <d v="1899-12-30T04:15:00"/>
    <d v="1899-12-30T04:40:00"/>
    <d v="1899-12-30T00:25:00"/>
    <x v="3"/>
    <s v="Maquinaria"/>
    <s v="Inspección"/>
    <x v="0"/>
    <x v="0"/>
    <s v="Inspección de funcionamiento de equipo "/>
    <s v=""/>
    <x v="0"/>
    <x v="0"/>
    <s v=""/>
    <s v=""/>
    <s v=""/>
    <x v="0"/>
    <x v="0"/>
    <x v="5"/>
  </r>
  <r>
    <x v="18"/>
    <s v="Omar Nina"/>
    <s v="NOCHE"/>
    <d v="1899-12-30T21:55:00"/>
    <d v="1899-12-30T22:40:00"/>
    <d v="1899-12-30T00:45:00"/>
    <x v="27"/>
    <s v="Maquinaria"/>
    <s v="Ajuste /Calibracion"/>
    <x v="1"/>
    <x v="1"/>
    <s v="Porta etiquetas se encuentra con todos los pernos sueltos "/>
    <s v="Se calibra posición de Porta etiquetas y alineación de laminado "/>
    <x v="0"/>
    <x v="0"/>
    <s v=""/>
    <s v=""/>
    <s v=""/>
    <x v="49"/>
    <x v="0"/>
    <x v="5"/>
  </r>
  <r>
    <x v="18"/>
    <s v="Omar Nina"/>
    <s v="NOCHE"/>
    <d v="1899-12-30T00:15:00"/>
    <d v="1899-12-30T00:31:00"/>
    <d v="1899-12-30T00:16:00"/>
    <x v="27"/>
    <s v="Maquinaria"/>
    <s v="Ajuste /Calibracion"/>
    <x v="1"/>
    <x v="1"/>
    <s v="Producto tiene una pequeña mancha"/>
    <s v="Se sube contraelevador,"/>
    <x v="0"/>
    <x v="0"/>
    <s v=""/>
    <s v=""/>
    <s v=""/>
    <x v="40"/>
    <x v="0"/>
    <x v="5"/>
  </r>
  <r>
    <x v="18"/>
    <s v="Omar Nina"/>
    <s v="NOCHE"/>
    <d v="1899-12-30T03:22:00"/>
    <d v="1899-12-30T03:40:00"/>
    <d v="1899-12-30T00:18:00"/>
    <x v="25"/>
    <s v="Maquinaria"/>
    <s v="SET UP"/>
    <x v="1"/>
    <x v="2"/>
    <s v="Se apagó equipo "/>
    <s v="Se revisa conexiones eléctricas y se restablece termomagnético "/>
    <x v="0"/>
    <x v="0"/>
    <s v=""/>
    <s v=""/>
    <s v=""/>
    <x v="0"/>
    <x v="0"/>
    <x v="5"/>
  </r>
  <r>
    <x v="18"/>
    <s v="Omar Nina"/>
    <s v="NOCHE"/>
    <d v="1899-12-30T04:45:00"/>
    <d v="1899-12-30T05:30:00"/>
    <d v="1899-12-30T00:45:00"/>
    <x v="73"/>
    <s v="Maquinaria"/>
    <s v="Encendido / Arranque de linea"/>
    <x v="1"/>
    <x v="2"/>
    <s v="No enciende equipo "/>
    <s v="Se aisla cable dañado y se verifica funcionamiento "/>
    <x v="0"/>
    <x v="0"/>
    <s v=""/>
    <s v=""/>
    <s v=""/>
    <x v="58"/>
    <x v="0"/>
    <x v="5"/>
  </r>
  <r>
    <x v="19"/>
    <s v="Carlos Puma"/>
    <s v="TARDE"/>
    <d v="1899-12-30T14:10:00"/>
    <d v="1899-12-30T14:20:00"/>
    <d v="1899-12-30T00:10:00"/>
    <x v="16"/>
    <s v="Maquinaria"/>
    <s v="Sustitucion"/>
    <x v="1"/>
    <x v="1"/>
    <s v="Se apoyó con el remplazo de perno y tuerca dañada "/>
    <s v=""/>
    <x v="0"/>
    <x v="0"/>
    <s v=""/>
    <s v=""/>
    <s v=""/>
    <x v="85"/>
    <x v="0"/>
    <x v="5"/>
  </r>
  <r>
    <x v="19"/>
    <s v="Carlos Puma"/>
    <s v="TARDE"/>
    <d v="1899-12-30T15:40:00"/>
    <d v="1899-12-30T17:00:00"/>
    <d v="1899-12-30T01:20:00"/>
    <x v="74"/>
    <s v="Area"/>
    <s v="Reparacion"/>
    <x v="1"/>
    <x v="2"/>
    <s v="Revision y habilitación de fan coil del área de figuras huecas"/>
    <s v="Re reparo tarjeta de termostato "/>
    <x v="0"/>
    <x v="0"/>
    <s v=""/>
    <s v=""/>
    <s v=""/>
    <x v="24"/>
    <x v="0"/>
    <x v="5"/>
  </r>
  <r>
    <x v="19"/>
    <s v="Carlos Puma"/>
    <s v="TARDE"/>
    <d v="1899-12-30T17:05:00"/>
    <d v="1899-12-30T17:25:00"/>
    <d v="1899-12-30T00:20:00"/>
    <x v="73"/>
    <s v="Maquinaria"/>
    <s v="Inspección"/>
    <x v="1"/>
    <x v="2"/>
    <s v="Reportan que equipo se apaga al girar"/>
    <s v="Se reviso parámetros eléctricos y se dió seguimiento al funcionamiento "/>
    <x v="0"/>
    <x v="0"/>
    <s v=""/>
    <s v=""/>
    <s v=""/>
    <x v="91"/>
    <x v="0"/>
    <x v="5"/>
  </r>
  <r>
    <x v="19"/>
    <s v="Carlos Puma"/>
    <s v="TARDE"/>
    <d v="1899-12-30T20:30:00"/>
    <d v="1899-12-30T21:00:00"/>
    <d v="1899-12-30T00:30:00"/>
    <x v="73"/>
    <s v="Maquinaria"/>
    <s v="Ajuste /Calibracion"/>
    <x v="1"/>
    <x v="1"/>
    <s v="Se ajusto presiones de eje de transmisión, se reviso cadena y estado de piñones"/>
    <s v=""/>
    <x v="0"/>
    <x v="0"/>
    <s v=""/>
    <s v=""/>
    <s v=""/>
    <x v="92"/>
    <x v="0"/>
    <x v="5"/>
  </r>
  <r>
    <x v="19"/>
    <s v="Carlos Puma"/>
    <s v="TARDE"/>
    <d v="1899-12-30T12:00:00"/>
    <d v="1899-12-30T13:15:00"/>
    <d v="1899-12-30T01:15:00"/>
    <x v="50"/>
    <s v="Maquinaria"/>
    <s v="Inspección"/>
    <x v="0"/>
    <x v="0"/>
    <s v="Inspección de equipo "/>
    <s v=""/>
    <x v="0"/>
    <x v="0"/>
    <s v=""/>
    <s v=""/>
    <s v=""/>
    <x v="0"/>
    <x v="0"/>
    <x v="5"/>
  </r>
  <r>
    <x v="19"/>
    <s v="Carlos Puma"/>
    <s v="TARDE"/>
    <d v="1899-12-30T14:25:00"/>
    <d v="1899-12-30T15:10:00"/>
    <d v="1899-12-30T00:45:00"/>
    <x v="28"/>
    <s v="Maquinaria"/>
    <s v="SET UP"/>
    <x v="0"/>
    <x v="0"/>
    <s v="Calibración para formato milky x10"/>
    <s v=""/>
    <x v="0"/>
    <x v="0"/>
    <s v=""/>
    <s v=""/>
    <s v=""/>
    <x v="93"/>
    <x v="0"/>
    <x v="5"/>
  </r>
  <r>
    <x v="19"/>
    <s v="Carlos Puma"/>
    <s v="TARDE"/>
    <d v="1899-12-30T15:15:00"/>
    <d v="1899-12-30T15:35:00"/>
    <d v="1899-12-30T00:20:00"/>
    <x v="51"/>
    <s v="Maquinaria"/>
    <s v="Encendido / Arranque de linea"/>
    <x v="0"/>
    <x v="0"/>
    <s v="Armado de equipo y lubricación de guías de mesa movil"/>
    <s v=""/>
    <x v="43"/>
    <x v="0"/>
    <s v=""/>
    <s v=""/>
    <s v=""/>
    <x v="44"/>
    <x v="1"/>
    <x v="5"/>
  </r>
  <r>
    <x v="19"/>
    <s v="Carlos Puma"/>
    <s v="TARDE"/>
    <d v="1899-12-30T18:00:00"/>
    <d v="1899-12-30T19:35:00"/>
    <d v="1899-12-30T01:35:00"/>
    <x v="73"/>
    <s v="Maquinaria"/>
    <s v="Inspección"/>
    <x v="0"/>
    <x v="0"/>
    <s v="Inspección de equipo "/>
    <s v=""/>
    <x v="0"/>
    <x v="0"/>
    <s v=""/>
    <s v=""/>
    <s v=""/>
    <x v="0"/>
    <x v="0"/>
    <x v="5"/>
  </r>
  <r>
    <x v="19"/>
    <s v="Carlos Puma"/>
    <s v="TARDE"/>
    <d v="1899-12-30T19:40:00"/>
    <d v="1899-12-30T20:25:00"/>
    <d v="1899-12-30T00:45:00"/>
    <x v="3"/>
    <s v="Maquinaria"/>
    <s v="SET UP"/>
    <x v="0"/>
    <x v="0"/>
    <s v="Cambio de formato a minimilky , apoyó en regulaviok de fajas guías con producto en linea "/>
    <s v=""/>
    <x v="44"/>
    <x v="0"/>
    <s v=""/>
    <s v=""/>
    <s v=""/>
    <x v="2"/>
    <x v="1"/>
    <x v="5"/>
  </r>
  <r>
    <x v="19"/>
    <s v="Cesar Quiroz"/>
    <s v="MAÑANA"/>
    <d v="1899-12-30T06:11:00"/>
    <d v="1899-12-30T06:27:00"/>
    <d v="1899-12-30T00:16:00"/>
    <x v="26"/>
    <s v="Maquinaria"/>
    <s v="Ajuste /Calibracion"/>
    <x v="1"/>
    <x v="1"/>
    <s v="Problemas con ajuste de pinzas"/>
    <s v="Se apoyo con el ajuste de pinzas"/>
    <x v="0"/>
    <x v="0"/>
    <s v=""/>
    <s v=""/>
    <s v=""/>
    <x v="28"/>
    <x v="0"/>
    <x v="5"/>
  </r>
  <r>
    <x v="19"/>
    <s v="Cesar Quiroz"/>
    <s v="MAÑANA"/>
    <d v="1899-12-30T06:49:00"/>
    <d v="1899-12-30T07:51:00"/>
    <d v="1899-12-30T01:02:00"/>
    <x v="47"/>
    <s v="Maquinaria"/>
    <s v="SET UP"/>
    <x v="1"/>
    <x v="1"/>
    <s v="Sobretorque en torre de subida"/>
    <s v="Se encontró molde atascado en torre de subida, se retiro molde, se colocó en puntos cero y se realizó pruebas de funcionamiento "/>
    <x v="0"/>
    <x v="2"/>
    <s v="Columna"/>
    <s v=""/>
    <s v=""/>
    <x v="94"/>
    <x v="1"/>
    <x v="5"/>
  </r>
  <r>
    <x v="19"/>
    <s v="Cesar Quiroz"/>
    <s v="MAÑANA"/>
    <d v="1899-12-30T05:46:00"/>
    <d v="1899-12-30T06:03:00"/>
    <d v="1899-12-30T00:17:00"/>
    <x v="31"/>
    <s v="Equipos auxiliares"/>
    <s v="Inspección"/>
    <x v="0"/>
    <x v="0"/>
    <s v="Revisión de funcionamiento y parámetros de trabajo "/>
    <s v=""/>
    <x v="0"/>
    <x v="0"/>
    <s v=""/>
    <s v=""/>
    <s v=""/>
    <x v="0"/>
    <x v="0"/>
    <x v="5"/>
  </r>
  <r>
    <x v="20"/>
    <s v="Carlos Puma"/>
    <s v="MAÑANA"/>
    <d v="1899-12-30T13:32:00"/>
    <d v="1899-12-30T14:40:00"/>
    <d v="1899-12-30T01:08:00"/>
    <x v="28"/>
    <s v="Maquinaria"/>
    <s v="SET UP"/>
    <x v="0"/>
    <x v="0"/>
    <s v="Calibración para formato milky x 10"/>
    <s v=""/>
    <x v="0"/>
    <x v="0"/>
    <s v=""/>
    <s v=""/>
    <s v=""/>
    <x v="93"/>
    <x v="0"/>
    <x v="5"/>
  </r>
  <r>
    <x v="20"/>
    <s v="Carlos Puma"/>
    <s v="TARDE"/>
    <d v="1899-12-30T17:00:00"/>
    <d v="1899-12-30T17:30:00"/>
    <d v="1899-12-30T00:30:00"/>
    <x v="73"/>
    <s v="Maquinaria"/>
    <s v="Ajuste /Calibracion"/>
    <x v="1"/>
    <x v="2"/>
    <s v="Reportan que equipo de apaga al encender vibrador, varíador en falla"/>
    <s v="Se reviso estado de cable y de motor , se modifico parámetros de varíador y se dió seguimiento "/>
    <x v="0"/>
    <x v="17"/>
    <s v="Vibradora"/>
    <s v=""/>
    <s v=""/>
    <x v="95"/>
    <x v="1"/>
    <x v="5"/>
  </r>
  <r>
    <x v="20"/>
    <s v="Carlos Puma"/>
    <s v="TARDE"/>
    <d v="1899-12-30T13:50:00"/>
    <d v="1899-12-30T14:15:00"/>
    <d v="1899-12-30T00:25:00"/>
    <x v="15"/>
    <s v="Maquinaria"/>
    <s v="SET UP"/>
    <x v="0"/>
    <x v="0"/>
    <s v="Desarme de mds formato agregados x100"/>
    <s v=""/>
    <x v="0"/>
    <x v="1"/>
    <s v="Mds"/>
    <s v=""/>
    <s v=""/>
    <x v="2"/>
    <x v="1"/>
    <x v="5"/>
  </r>
  <r>
    <x v="20"/>
    <s v="Carlos Puma"/>
    <s v="TARDE"/>
    <d v="1899-12-30T14:20:00"/>
    <d v="1899-12-30T14:40:00"/>
    <d v="1899-12-30T00:20:00"/>
    <x v="15"/>
    <s v="Maquinaria"/>
    <s v="Inspección"/>
    <x v="0"/>
    <x v="0"/>
    <s v="Inspección de temperadora "/>
    <s v=""/>
    <x v="0"/>
    <x v="11"/>
    <s v="Temperadora"/>
    <s v=""/>
    <s v=""/>
    <x v="0"/>
    <x v="1"/>
    <x v="5"/>
  </r>
  <r>
    <x v="20"/>
    <s v="Carlos Puma"/>
    <s v="TARDE"/>
    <d v="1899-12-30T14:45:00"/>
    <d v="1899-12-30T15:10:00"/>
    <d v="1899-12-30T00:25:00"/>
    <x v="15"/>
    <s v="Maquinaria"/>
    <s v="SET UP"/>
    <x v="0"/>
    <x v="0"/>
    <s v="Armado de mds para formato agregados x100"/>
    <s v=""/>
    <x v="0"/>
    <x v="1"/>
    <s v="Mds"/>
    <s v=""/>
    <s v=""/>
    <x v="2"/>
    <x v="1"/>
    <x v="5"/>
  </r>
  <r>
    <x v="21"/>
    <s v="Carlos Puma"/>
    <s v="TARDE"/>
    <d v="1899-12-30T13:10:00"/>
    <d v="1899-12-30T13:30:00"/>
    <d v="1899-12-30T00:20:00"/>
    <x v="75"/>
    <s v="Maquinaria"/>
    <s v="Inspección"/>
    <x v="0"/>
    <x v="0"/>
    <s v="Inspección de equipo "/>
    <s v=""/>
    <x v="0"/>
    <x v="0"/>
    <s v=""/>
    <s v=""/>
    <s v=""/>
    <x v="0"/>
    <x v="0"/>
    <x v="5"/>
  </r>
  <r>
    <x v="22"/>
    <s v="Carlos Puma"/>
    <s v="MAÑANA"/>
    <d v="1899-12-30T09:05:00"/>
    <d v="1899-12-30T10:00:00"/>
    <d v="1899-12-30T00:55:00"/>
    <x v="41"/>
    <s v="Maquinaria"/>
    <s v="SET UP"/>
    <x v="1"/>
    <x v="2"/>
    <s v="No responde táctil de pantalla "/>
    <s v="Se reviso cableado , se habilito equipo "/>
    <x v="0"/>
    <x v="0"/>
    <s v=""/>
    <s v=""/>
    <s v=""/>
    <x v="9"/>
    <x v="0"/>
    <x v="6"/>
  </r>
  <r>
    <x v="22"/>
    <s v="Carlos Puma"/>
    <s v="MAÑANA"/>
    <d v="1899-12-30T13:20:00"/>
    <d v="1899-12-30T14:10:00"/>
    <d v="1899-12-30T00:50:00"/>
    <x v="52"/>
    <s v="Area"/>
    <s v="Limpieza"/>
    <x v="1"/>
    <x v="1"/>
    <s v="Limpieza de ventiladores  de hacos 1 con precencia de moho"/>
    <s v=""/>
    <x v="0"/>
    <x v="0"/>
    <s v=""/>
    <s v=""/>
    <s v=""/>
    <x v="0"/>
    <x v="0"/>
    <x v="6"/>
  </r>
  <r>
    <x v="22"/>
    <s v="Carlos Puma"/>
    <s v="MAÑANA"/>
    <d v="1899-12-30T05:40:00"/>
    <d v="1899-12-30T06:20:00"/>
    <d v="1899-12-30T00:40:00"/>
    <x v="21"/>
    <s v="Area"/>
    <s v="Encendido / Arranque de linea"/>
    <x v="0"/>
    <x v="0"/>
    <s v="Arranque de planta "/>
    <s v=""/>
    <x v="0"/>
    <x v="0"/>
    <s v=""/>
    <s v=""/>
    <s v=""/>
    <x v="0"/>
    <x v="0"/>
    <x v="6"/>
  </r>
  <r>
    <x v="22"/>
    <s v="Carlos Puma"/>
    <s v="MAÑANA"/>
    <d v="1899-12-30T06:30:00"/>
    <d v="1899-12-30T07:00:00"/>
    <d v="1899-12-30T00:30:00"/>
    <x v="5"/>
    <s v="Maquinaria"/>
    <s v="SET UP"/>
    <x v="0"/>
    <x v="0"/>
    <s v="Desarme de equipo por limpieza "/>
    <s v=""/>
    <x v="0"/>
    <x v="0"/>
    <s v=""/>
    <s v=""/>
    <s v=""/>
    <x v="0"/>
    <x v="0"/>
    <x v="6"/>
  </r>
  <r>
    <x v="22"/>
    <s v="Carlos Puma"/>
    <s v="MAÑANA"/>
    <d v="1899-12-30T07:05:00"/>
    <d v="1899-12-30T07:40:00"/>
    <d v="1899-12-30T00:35:00"/>
    <x v="17"/>
    <s v="Maquinaria"/>
    <s v="SET UP"/>
    <x v="0"/>
    <x v="0"/>
    <s v="Armado de equipo "/>
    <s v=""/>
    <x v="0"/>
    <x v="0"/>
    <s v=""/>
    <s v=""/>
    <s v=""/>
    <x v="0"/>
    <x v="0"/>
    <x v="6"/>
  </r>
  <r>
    <x v="22"/>
    <s v="Carlos Puma"/>
    <s v="MAÑANA"/>
    <d v="1899-12-30T08:00:00"/>
    <d v="1899-12-30T08:30:00"/>
    <d v="1899-12-30T00:30:00"/>
    <x v="15"/>
    <s v="Maquinaria"/>
    <s v="SET UP"/>
    <x v="0"/>
    <x v="0"/>
    <s v="Desarme de túnel de pre enfriamiento "/>
    <s v=""/>
    <x v="0"/>
    <x v="18"/>
    <s v="Preenfriamiento"/>
    <s v=""/>
    <s v=""/>
    <x v="96"/>
    <x v="1"/>
    <x v="6"/>
  </r>
  <r>
    <x v="22"/>
    <s v="Carlos Puma"/>
    <s v="MAÑANA"/>
    <d v="1899-12-30T08:40:00"/>
    <d v="1899-12-30T09:00:00"/>
    <d v="1899-12-30T00:20:00"/>
    <x v="15"/>
    <s v="Maquinaria"/>
    <s v="Inspección"/>
    <x v="0"/>
    <x v="0"/>
    <s v="Inspección de temperadora, llenado de agua"/>
    <s v=""/>
    <x v="0"/>
    <x v="11"/>
    <s v="Temperadora"/>
    <s v=""/>
    <s v=""/>
    <x v="0"/>
    <x v="1"/>
    <x v="6"/>
  </r>
  <r>
    <x v="22"/>
    <s v="Carlos Puma"/>
    <s v="MAÑANA"/>
    <d v="1899-12-30T10:05:00"/>
    <d v="1899-12-30T10:30:00"/>
    <d v="1899-12-30T00:25:00"/>
    <x v="5"/>
    <s v="Maquinaria"/>
    <s v="SET UP"/>
    <x v="0"/>
    <x v="0"/>
    <s v="Armado de equipo "/>
    <s v=""/>
    <x v="0"/>
    <x v="0"/>
    <s v=""/>
    <s v=""/>
    <s v=""/>
    <x v="0"/>
    <x v="0"/>
    <x v="6"/>
  </r>
  <r>
    <x v="22"/>
    <s v="Carlos Puma"/>
    <s v="MAÑANA"/>
    <d v="1899-12-30T10:35:00"/>
    <d v="1899-12-30T12:30:00"/>
    <d v="1899-12-30T01:55:00"/>
    <x v="15"/>
    <s v="Maquinaria"/>
    <s v="SET UP"/>
    <x v="0"/>
    <x v="0"/>
    <s v="Apoyó en Desarme de componentes del túnel de enfriamiento para limpieza y desinfección "/>
    <s v="Se retiró tapas, guardas , bandejas, tuberías y ventiladores "/>
    <x v="0"/>
    <x v="0"/>
    <s v=""/>
    <s v=""/>
    <s v=""/>
    <x v="96"/>
    <x v="0"/>
    <x v="6"/>
  </r>
  <r>
    <x v="22"/>
    <s v="JOSÉ HAÑARI"/>
    <s v="MAÑANA"/>
    <d v="1899-12-30T05:40:00"/>
    <d v="1899-12-30T06:20:00"/>
    <d v="1899-12-30T00:40:00"/>
    <x v="21"/>
    <s v="Area"/>
    <s v="Encendido / Arranque de linea"/>
    <x v="0"/>
    <x v="0"/>
    <s v="Encendido de planta "/>
    <s v=""/>
    <x v="0"/>
    <x v="0"/>
    <s v=""/>
    <s v=""/>
    <s v=""/>
    <x v="0"/>
    <x v="0"/>
    <x v="6"/>
  </r>
  <r>
    <x v="22"/>
    <s v="JOSÉ HAÑARI"/>
    <s v="MAÑANA"/>
    <d v="1899-12-30T06:40:00"/>
    <d v="1899-12-30T07:10:00"/>
    <d v="1899-12-30T00:30:00"/>
    <x v="50"/>
    <s v="Maquinaria"/>
    <s v="SET UP"/>
    <x v="0"/>
    <x v="0"/>
    <s v="Se retira polines de bañadora para limpieza "/>
    <s v=""/>
    <x v="3"/>
    <x v="0"/>
    <s v=""/>
    <s v=""/>
    <s v=""/>
    <x v="14"/>
    <x v="1"/>
    <x v="6"/>
  </r>
  <r>
    <x v="22"/>
    <s v="JOSÉ HAÑARI"/>
    <s v="MAÑANA"/>
    <d v="1899-12-30T07:10:00"/>
    <d v="1899-12-30T07:20:00"/>
    <d v="1899-12-30T00:10:00"/>
    <x v="50"/>
    <s v="Maquinaria"/>
    <s v="SET UP"/>
    <x v="0"/>
    <x v="0"/>
    <s v="Se retira filtro de bañadora para limpieza "/>
    <s v=""/>
    <x v="1"/>
    <x v="0"/>
    <s v=""/>
    <s v=""/>
    <s v=""/>
    <x v="1"/>
    <x v="1"/>
    <x v="6"/>
  </r>
  <r>
    <x v="22"/>
    <s v="JOSÉ HAÑARI"/>
    <s v="MAÑANA"/>
    <d v="1899-12-30T07:50:00"/>
    <d v="1899-12-30T08:20:00"/>
    <d v="1899-12-30T00:30:00"/>
    <x v="15"/>
    <s v="Maquinaria"/>
    <s v="SET UP"/>
    <x v="0"/>
    <x v="0"/>
    <s v="Se llena agua al sistema de agua fría de temperadora "/>
    <s v=""/>
    <x v="0"/>
    <x v="11"/>
    <s v="Temperadora"/>
    <s v=""/>
    <s v=""/>
    <x v="0"/>
    <x v="1"/>
    <x v="6"/>
  </r>
  <r>
    <x v="23"/>
    <s v="Carlos Puma"/>
    <s v="MAÑANA"/>
    <d v="1899-12-30T05:50:00"/>
    <d v="1899-12-30T06:08:00"/>
    <d v="1899-12-30T00:18:00"/>
    <x v="50"/>
    <s v="Maquinaria"/>
    <s v="Ajuste /Calibracion"/>
    <x v="1"/>
    <x v="1"/>
    <s v="Faja desalineada, polin tensador amarrado"/>
    <s v="Se desarmo faja y se corrigió pocision del polin , se armó equipo y se hizo pruebas "/>
    <x v="0"/>
    <x v="0"/>
    <s v=""/>
    <s v=""/>
    <s v=""/>
    <x v="97"/>
    <x v="0"/>
    <x v="6"/>
  </r>
  <r>
    <x v="23"/>
    <s v="Carlos Puma"/>
    <s v="MAÑANA"/>
    <d v="1899-12-30T06:30:00"/>
    <d v="1899-12-30T11:35:00"/>
    <d v="1899-12-30T05:05:00"/>
    <x v="15"/>
    <s v="Maquinaria"/>
    <s v="SET UP"/>
    <x v="1"/>
    <x v="2"/>
    <s v="Armado de equipo y apoyó en fallas durante el arranque de linea"/>
    <s v="Se coloco tapas guardas , se armó túnel de preenfriamiento, se reviso circuito eléctrico por falla en paradas de emergencia y ssr4 de extensión, se reviso temperadora se purgó y cebo bombas de recirculación de agua"/>
    <x v="0"/>
    <x v="0"/>
    <s v=""/>
    <s v=""/>
    <s v=""/>
    <x v="0"/>
    <x v="0"/>
    <x v="6"/>
  </r>
  <r>
    <x v="23"/>
    <s v="Carlos Puma"/>
    <s v="MAÑANA"/>
    <d v="1899-12-30T11:40:00"/>
    <d v="1899-12-30T11:53:00"/>
    <d v="1899-12-30T00:13:00"/>
    <x v="50"/>
    <s v="Maquinaria"/>
    <s v="Inspección"/>
    <x v="0"/>
    <x v="0"/>
    <s v="Levantamiento de observaciones "/>
    <s v=""/>
    <x v="0"/>
    <x v="0"/>
    <s v=""/>
    <s v=""/>
    <s v=""/>
    <x v="0"/>
    <x v="0"/>
    <x v="6"/>
  </r>
  <r>
    <x v="23"/>
    <s v="Carlos Puma"/>
    <s v="MAÑANA"/>
    <d v="1899-12-30T12:50:00"/>
    <d v="1899-12-30T13:30:00"/>
    <d v="1899-12-30T00:40:00"/>
    <x v="3"/>
    <s v="Maquinaria"/>
    <s v="SET UP"/>
    <x v="0"/>
    <x v="0"/>
    <s v="Apoyó a técnico de tarde en regulación de discos y pruebas "/>
    <s v=""/>
    <x v="45"/>
    <x v="0"/>
    <s v=""/>
    <s v=""/>
    <s v=""/>
    <x v="0"/>
    <x v="1"/>
    <x v="6"/>
  </r>
  <r>
    <x v="23"/>
    <s v="Carlos Puma"/>
    <s v="MAÑANA"/>
    <d v="1899-12-30T13:45:00"/>
    <d v="1899-12-30T14:05:00"/>
    <d v="1899-12-30T00:20:00"/>
    <x v="28"/>
    <s v="Maquinaria"/>
    <s v="SET UP"/>
    <x v="0"/>
    <x v="0"/>
    <s v="Apoyó y calibración del punto de sellado y abrefacil "/>
    <s v=""/>
    <x v="46"/>
    <x v="0"/>
    <s v=""/>
    <s v=""/>
    <s v=""/>
    <x v="98"/>
    <x v="1"/>
    <x v="6"/>
  </r>
  <r>
    <x v="23"/>
    <s v="CARLOS TAPIA"/>
    <s v="TARDE"/>
    <d v="1899-12-30T14:20:00"/>
    <d v="1899-12-30T14:40:00"/>
    <d v="1899-12-30T00:20:00"/>
    <x v="3"/>
    <s v="Maquinaria"/>
    <s v="Ajuste /Calibracion"/>
    <x v="1"/>
    <x v="1"/>
    <s v="Calibración de disco de sellado."/>
    <s v="Se calibró sellado de producto."/>
    <x v="0"/>
    <x v="0"/>
    <s v=""/>
    <s v=""/>
    <s v=""/>
    <x v="98"/>
    <x v="0"/>
    <x v="6"/>
  </r>
  <r>
    <x v="23"/>
    <s v="CARLOS TAPIA"/>
    <s v="TARDE"/>
    <d v="1899-12-30T15:40:00"/>
    <d v="1899-12-30T16:00:00"/>
    <d v="1899-12-30T00:20:00"/>
    <x v="28"/>
    <s v="Maquinaria"/>
    <s v="Ajuste /Calibracion"/>
    <x v="1"/>
    <x v="1"/>
    <s v="Caja de productos se amontonan."/>
    <s v="Se revisó y calibró sellado y apertura de mesa."/>
    <x v="0"/>
    <x v="0"/>
    <s v=""/>
    <s v=""/>
    <s v=""/>
    <x v="0"/>
    <x v="0"/>
    <x v="6"/>
  </r>
  <r>
    <x v="23"/>
    <s v="CARLOS TAPIA"/>
    <s v="TARDE"/>
    <d v="1899-12-30T16:40:00"/>
    <d v="1899-12-30T16:55:00"/>
    <d v="1899-12-30T00:15:00"/>
    <x v="66"/>
    <s v="Maquinaria"/>
    <s v="Sustitucion"/>
    <x v="1"/>
    <x v="1"/>
    <s v="Perno dañado no permite ajustar de manera correcta guarda."/>
    <s v="Se reemplazo perno y tuerca de guarda."/>
    <x v="0"/>
    <x v="0"/>
    <s v=""/>
    <s v=""/>
    <s v=""/>
    <x v="99"/>
    <x v="0"/>
    <x v="6"/>
  </r>
  <r>
    <x v="23"/>
    <s v="CARLOS TAPIA"/>
    <s v="TARDE"/>
    <d v="1899-12-30T13:00:00"/>
    <d v="1899-12-30T13:30:00"/>
    <d v="1899-12-30T00:30:00"/>
    <x v="21"/>
    <s v="Area"/>
    <s v="Inspección"/>
    <x v="0"/>
    <x v="0"/>
    <s v="Inspección de máquina en funcionamiento "/>
    <s v="Se dió seguimiento al funcionamiento de máquinas"/>
    <x v="0"/>
    <x v="0"/>
    <s v=""/>
    <s v=""/>
    <s v=""/>
    <x v="0"/>
    <x v="0"/>
    <x v="6"/>
  </r>
  <r>
    <x v="23"/>
    <s v="CARLOS TAPIA"/>
    <s v="TARDE"/>
    <d v="1899-12-30T15:10:00"/>
    <d v="1899-12-30T15:30:00"/>
    <d v="1899-12-30T00:20:00"/>
    <x v="47"/>
    <s v="Maquinaria"/>
    <s v="SET UP"/>
    <x v="0"/>
    <x v="0"/>
    <s v="Sobre torque en torre de bajada."/>
    <s v="Se revisó y retiró moldes atrapados y se colocó punto cero."/>
    <x v="0"/>
    <x v="2"/>
    <s v="Columna"/>
    <s v=""/>
    <s v=""/>
    <x v="0"/>
    <x v="1"/>
    <x v="6"/>
  </r>
  <r>
    <x v="23"/>
    <s v="Cesar Quiroz"/>
    <s v="NOCHE"/>
    <d v="1899-12-30T22:12:00"/>
    <d v="1899-12-30T22:30:00"/>
    <d v="1899-12-30T00:18:00"/>
    <x v="47"/>
    <s v="Maquinaria"/>
    <s v="SET UP"/>
    <x v="1"/>
    <x v="2"/>
    <s v="Temperadora con error en pantalla, no permite temperar, error en térmico de columna "/>
    <s v="Se habilita llave protegida, se revisa consumo de corriente, se pone a temperar, se hace seguimiento a funcionamiento "/>
    <x v="0"/>
    <x v="16"/>
    <s v="Columna"/>
    <s v="Temperadora"/>
    <s v=""/>
    <x v="6"/>
    <x v="1"/>
    <x v="6"/>
  </r>
  <r>
    <x v="23"/>
    <s v="Cesar Quiroz"/>
    <s v="NOCHE"/>
    <d v="1899-12-30T22:41:00"/>
    <d v="1899-12-30T22:58:00"/>
    <d v="1899-12-30T00:17:00"/>
    <x v="15"/>
    <s v="Maquinaria"/>
    <s v="SET UP"/>
    <x v="1"/>
    <x v="2"/>
    <s v="Equipo se apagó "/>
    <s v="Se reviso tablero de equipo y se encontró guarda motor y llave abajo, se habilitó y se reviso funcionamiento de la zona"/>
    <x v="0"/>
    <x v="0"/>
    <s v=""/>
    <s v=""/>
    <s v=""/>
    <x v="0"/>
    <x v="0"/>
    <x v="6"/>
  </r>
  <r>
    <x v="23"/>
    <s v="Cesar Quiroz"/>
    <s v="NOCHE"/>
    <d v="1899-12-30T23:14:00"/>
    <d v="1899-12-30T23:25:00"/>
    <d v="1899-12-30T00:11:00"/>
    <x v="3"/>
    <s v="Maquinaria"/>
    <s v="Ajuste /Calibracion"/>
    <x v="1"/>
    <x v="1"/>
    <s v="Apoyo en ajuste y regulación de guiadores "/>
    <s v=""/>
    <x v="0"/>
    <x v="0"/>
    <s v=""/>
    <s v=""/>
    <s v=""/>
    <x v="28"/>
    <x v="0"/>
    <x v="6"/>
  </r>
  <r>
    <x v="23"/>
    <s v="Cesar Quiroz"/>
    <s v="NOCHE"/>
    <d v="1899-12-30T23:28:00"/>
    <d v="1899-12-30T23:59:00"/>
    <d v="1899-12-30T00:31:00"/>
    <x v="15"/>
    <s v="Maquinaria"/>
    <s v="SET UP"/>
    <x v="1"/>
    <x v="2"/>
    <s v="Equipo se apaga nuevamente, se encontró llaves protegidas"/>
    <s v="Se identifico zona a la que pertenece llaves, se reviso uno por uno ventiladores de túnel, se encontró conectores sueltos y algunos desconectados, se corrigió, se habilitó llaves y se hizo pruebas, se deja equipo habilitado"/>
    <x v="0"/>
    <x v="0"/>
    <s v=""/>
    <s v=""/>
    <s v=""/>
    <x v="100"/>
    <x v="0"/>
    <x v="6"/>
  </r>
  <r>
    <x v="23"/>
    <s v="Cesar Quiroz"/>
    <s v="NOCHE"/>
    <d v="1899-12-30T00:41:00"/>
    <d v="1899-12-30T00:56:00"/>
    <d v="1899-12-30T00:15:00"/>
    <x v="26"/>
    <s v="Maquinaria"/>
    <s v="Ajuste /Calibracion"/>
    <x v="1"/>
    <x v="1"/>
    <s v="Contraelevador inclinado hacia la izquierda "/>
    <s v="Se enderezó contraelevador y se reviso distancias con pinzas, se probó en modo manual "/>
    <x v="0"/>
    <x v="15"/>
    <s v="Contraelevador"/>
    <s v=""/>
    <s v=""/>
    <x v="0"/>
    <x v="1"/>
    <x v="6"/>
  </r>
  <r>
    <x v="23"/>
    <s v="Cesar Quiroz"/>
    <s v="NOCHE"/>
    <d v="1899-12-30T21:18:00"/>
    <d v="1899-12-30T21:23:00"/>
    <d v="1899-12-30T00:05:00"/>
    <x v="64"/>
    <s v="Area"/>
    <s v="Trabajos menores"/>
    <x v="0"/>
    <x v="0"/>
    <s v="Se rompió candado por perdida de llave en el vestuario damas"/>
    <s v=""/>
    <x v="47"/>
    <x v="0"/>
    <s v=""/>
    <s v=""/>
    <s v=""/>
    <x v="24"/>
    <x v="1"/>
    <x v="6"/>
  </r>
  <r>
    <x v="23"/>
    <s v="Cesar Quiroz"/>
    <s v="NOCHE"/>
    <d v="1899-12-30T21:24:00"/>
    <d v="1899-12-30T21:43:00"/>
    <d v="1899-12-30T00:19:00"/>
    <x v="31"/>
    <s v="Equipos auxiliares"/>
    <s v="Inspección"/>
    <x v="0"/>
    <x v="0"/>
    <s v="Revisión de funcionamiento y parámetros de trabajo "/>
    <s v=""/>
    <x v="0"/>
    <x v="0"/>
    <s v=""/>
    <s v=""/>
    <s v=""/>
    <x v="0"/>
    <x v="0"/>
    <x v="6"/>
  </r>
  <r>
    <x v="23"/>
    <s v="Cesar Quiroz"/>
    <s v="NOCHE"/>
    <d v="1899-12-30T21:54:00"/>
    <d v="1899-12-30T22:05:00"/>
    <d v="1899-12-30T00:11:00"/>
    <x v="35"/>
    <s v="Maquinaria"/>
    <s v="Inspección"/>
    <x v="0"/>
    <x v="0"/>
    <s v="Revisión de funcionamiento"/>
    <s v=""/>
    <x v="0"/>
    <x v="0"/>
    <s v=""/>
    <s v=""/>
    <s v=""/>
    <x v="0"/>
    <x v="0"/>
    <x v="6"/>
  </r>
  <r>
    <x v="23"/>
    <s v="Cesar Quiroz"/>
    <s v="NOCHE"/>
    <d v="1899-12-30T00:04:00"/>
    <d v="1899-12-30T00:31:00"/>
    <d v="1899-12-30T00:27:00"/>
    <x v="15"/>
    <s v="Maquinaria"/>
    <s v="SET UP"/>
    <x v="0"/>
    <x v="0"/>
    <s v="Armado de formato agregados x100 en mds"/>
    <s v=""/>
    <x v="0"/>
    <x v="1"/>
    <s v="Mds"/>
    <s v=""/>
    <s v=""/>
    <x v="2"/>
    <x v="1"/>
    <x v="6"/>
  </r>
  <r>
    <x v="23"/>
    <s v="JOSÉ HAÑARI"/>
    <s v="MAÑANA"/>
    <d v="1899-12-30T09:15:00"/>
    <d v="1899-12-30T09:40:00"/>
    <d v="1899-12-30T00:25:00"/>
    <x v="15"/>
    <s v="Maquinaria"/>
    <s v="Ajuste /Calibracion"/>
    <x v="1"/>
    <x v="1"/>
    <s v="Piston de ingreso de molde a túnel en fuera de tiempo "/>
    <s v="Se regula ingreso de aire y se librica correderas de pistón "/>
    <x v="0"/>
    <x v="0"/>
    <s v=""/>
    <s v=""/>
    <s v=""/>
    <x v="101"/>
    <x v="0"/>
    <x v="6"/>
  </r>
  <r>
    <x v="23"/>
    <s v="JOSÉ HAÑARI"/>
    <s v="MAÑANA"/>
    <d v="1899-12-30T07:30:00"/>
    <d v="1899-12-30T07:55:00"/>
    <d v="1899-12-30T00:25:00"/>
    <x v="26"/>
    <s v="Maquinaria"/>
    <s v="Ajuste /Calibracion"/>
    <x v="1"/>
    <x v="1"/>
    <s v="Rompe producto"/>
    <s v="Se retira goma de elevador "/>
    <x v="0"/>
    <x v="0"/>
    <s v=""/>
    <s v=""/>
    <s v=""/>
    <x v="24"/>
    <x v="0"/>
    <x v="6"/>
  </r>
  <r>
    <x v="23"/>
    <s v="JOSÉ HAÑARI"/>
    <s v="MAÑANA"/>
    <d v="1899-12-30T08:40:00"/>
    <d v="1899-12-30T09:20:00"/>
    <d v="1899-12-30T00:40:00"/>
    <x v="3"/>
    <s v="Maquinaria"/>
    <s v="Ajuste /Calibracion"/>
    <x v="1"/>
    <x v="1"/>
    <s v="Rompe envoltorio en mordaza "/>
    <s v="Se eleva cabezales de mordaza de 160 a 130"/>
    <x v="0"/>
    <x v="0"/>
    <s v=""/>
    <s v=""/>
    <s v=""/>
    <x v="24"/>
    <x v="0"/>
    <x v="6"/>
  </r>
  <r>
    <x v="23"/>
    <s v="JOSÉ HAÑARI"/>
    <s v="MAÑANA"/>
    <d v="1899-12-30T06:51:00"/>
    <d v="1899-12-30T07:45:00"/>
    <d v="1899-12-30T00:54:00"/>
    <x v="2"/>
    <s v="Maquinaria"/>
    <s v="SET UP"/>
    <x v="1"/>
    <x v="1"/>
    <s v="No calienta la temperadora de hacos 1 "/>
    <s v="Se realiza el llenado de agua al sistema de agua caliente "/>
    <x v="0"/>
    <x v="11"/>
    <s v="Temperadora"/>
    <s v=""/>
    <s v=""/>
    <x v="65"/>
    <x v="1"/>
    <x v="6"/>
  </r>
  <r>
    <x v="23"/>
    <s v="JOSÉ HAÑARI"/>
    <s v="MAÑANA"/>
    <d v="1899-12-30T11:35:00"/>
    <d v="1899-12-30T12:00:00"/>
    <d v="1899-12-30T00:25:00"/>
    <x v="22"/>
    <s v="Maquinaria"/>
    <s v="Ajuste /Calibracion"/>
    <x v="1"/>
    <x v="2"/>
    <s v="Sensor no detecta producto "/>
    <s v="Se calibrar sensor  y se hace pruebas respectivas "/>
    <x v="0"/>
    <x v="0"/>
    <s v=""/>
    <s v=""/>
    <s v=""/>
    <x v="0"/>
    <x v="0"/>
    <x v="6"/>
  </r>
  <r>
    <x v="23"/>
    <s v="JOSÉ HAÑARI"/>
    <s v="MAÑANA"/>
    <d v="1899-12-30T07:06:00"/>
    <d v="1899-12-30T07:56:00"/>
    <d v="1899-12-30T00:50:00"/>
    <x v="7"/>
    <s v="Maquinaria"/>
    <s v="Ajuste /Calibracion"/>
    <x v="1"/>
    <x v="1"/>
    <s v="Válvula neumática no apertura ingreso de vapor "/>
    <s v="Se realiza purga de válvula "/>
    <x v="0"/>
    <x v="0"/>
    <s v=""/>
    <s v=""/>
    <s v=""/>
    <x v="0"/>
    <x v="0"/>
    <x v="6"/>
  </r>
  <r>
    <x v="23"/>
    <s v="JOSÉ HAÑARI"/>
    <s v="MAÑANA"/>
    <d v="1899-12-30T05:40:00"/>
    <d v="1899-12-30T06:30:00"/>
    <d v="1899-12-30T00:50:00"/>
    <x v="15"/>
    <s v="Maquinaria"/>
    <s v="SET UP"/>
    <x v="0"/>
    <x v="0"/>
    <s v="Se apoya en el armando de hacos 1 "/>
    <s v=""/>
    <x v="0"/>
    <x v="0"/>
    <s v=""/>
    <s v=""/>
    <s v=""/>
    <x v="0"/>
    <x v="0"/>
    <x v="6"/>
  </r>
  <r>
    <x v="23"/>
    <s v="JOSÉ HAÑARI"/>
    <s v="MAÑANA"/>
    <d v="1899-12-30T08:00:00"/>
    <d v="1899-12-30T08:15:00"/>
    <d v="1899-12-30T00:15:00"/>
    <x v="76"/>
    <s v="Maquinaria"/>
    <s v="SET UP"/>
    <x v="0"/>
    <x v="0"/>
    <s v="Se desarma bañadora para limpieza del 5 piso "/>
    <s v=""/>
    <x v="0"/>
    <x v="0"/>
    <s v=""/>
    <s v=""/>
    <s v=""/>
    <x v="0"/>
    <x v="0"/>
    <x v="6"/>
  </r>
  <r>
    <x v="23"/>
    <s v="JOSÉ HAÑARI"/>
    <s v="MAÑANA"/>
    <d v="1899-12-30T06:56:00"/>
    <d v="1899-12-30T08:10:00"/>
    <d v="1899-12-30T01:14:00"/>
    <x v="77"/>
    <s v="Maquinaria"/>
    <s v="SET UP"/>
    <x v="0"/>
    <x v="0"/>
    <s v="Se realiza cambio de formato en encelofanadora x9 "/>
    <s v=""/>
    <x v="0"/>
    <x v="0"/>
    <s v=""/>
    <s v=""/>
    <s v=""/>
    <x v="2"/>
    <x v="0"/>
    <x v="6"/>
  </r>
  <r>
    <x v="24"/>
    <s v="Carlos Puma"/>
    <s v="MAÑANA"/>
    <d v="1899-12-30T06:15:00"/>
    <d v="1899-12-30T06:25:00"/>
    <d v="1899-12-30T00:10:00"/>
    <x v="39"/>
    <s v="Maquinaria"/>
    <s v="SET UP"/>
    <x v="0"/>
    <x v="0"/>
    <s v="Colocación de tubería flexible de alimentación de azucar"/>
    <s v=""/>
    <x v="48"/>
    <x v="0"/>
    <s v=""/>
    <s v=""/>
    <s v=""/>
    <x v="102"/>
    <x v="1"/>
    <x v="6"/>
  </r>
  <r>
    <x v="24"/>
    <s v="Carlos Puma"/>
    <s v="MAÑANA"/>
    <d v="1899-12-30T06:30:00"/>
    <d v="1899-12-30T06:40:00"/>
    <d v="1899-12-30T00:10:00"/>
    <x v="56"/>
    <s v="Maquinaria"/>
    <s v="SET UP"/>
    <x v="0"/>
    <x v="0"/>
    <s v="Armado de equipo "/>
    <s v=""/>
    <x v="0"/>
    <x v="0"/>
    <s v=""/>
    <s v=""/>
    <s v=""/>
    <x v="0"/>
    <x v="0"/>
    <x v="6"/>
  </r>
  <r>
    <x v="24"/>
    <s v="Carlos Puma"/>
    <s v="MAÑANA"/>
    <d v="1899-12-30T06:45:00"/>
    <d v="1899-12-30T07:00:00"/>
    <d v="1899-12-30T00:15:00"/>
    <x v="44"/>
    <s v="Maquinaria"/>
    <s v="Inspección"/>
    <x v="0"/>
    <x v="0"/>
    <s v="Inspección de equipo "/>
    <s v=""/>
    <x v="0"/>
    <x v="0"/>
    <s v=""/>
    <s v=""/>
    <s v=""/>
    <x v="0"/>
    <x v="0"/>
    <x v="6"/>
  </r>
  <r>
    <x v="24"/>
    <s v="Carlos Puma"/>
    <s v="MAÑANA"/>
    <d v="1899-12-30T07:15:00"/>
    <d v="1899-12-30T07:40:00"/>
    <d v="1899-12-30T00:25:00"/>
    <x v="5"/>
    <s v="Maquinaria"/>
    <s v="SET UP"/>
    <x v="0"/>
    <x v="0"/>
    <s v="Se dió seguimiento y se apoyó en regulación de velocidades de fajas durante arranque de linea"/>
    <s v=""/>
    <x v="9"/>
    <x v="0"/>
    <s v=""/>
    <s v=""/>
    <s v=""/>
    <x v="103"/>
    <x v="1"/>
    <x v="6"/>
  </r>
  <r>
    <x v="24"/>
    <s v="Carlos Puma"/>
    <s v="MAÑANA"/>
    <d v="1899-12-30T07:50:00"/>
    <d v="1899-12-30T08:10:00"/>
    <d v="1899-12-30T00:20:00"/>
    <x v="52"/>
    <s v="Area"/>
    <s v="Limpieza"/>
    <x v="0"/>
    <x v="0"/>
    <s v="Orden y limpieza "/>
    <s v=""/>
    <x v="0"/>
    <x v="0"/>
    <s v=""/>
    <s v=""/>
    <s v=""/>
    <x v="0"/>
    <x v="0"/>
    <x v="6"/>
  </r>
  <r>
    <x v="24"/>
    <s v="Carlos Puma"/>
    <s v="MAÑANA"/>
    <d v="1899-12-30T08:15:00"/>
    <d v="1899-12-30T09:35:00"/>
    <d v="1899-12-30T01:20:00"/>
    <x v="28"/>
    <s v="Maquinaria"/>
    <s v="Ajuste /Calibracion"/>
    <x v="1"/>
    <x v="1"/>
    <s v="Abrefacil desalineado"/>
    <s v="Se regulo pocision de guías de aire , se hizo pruebas "/>
    <x v="0"/>
    <x v="0"/>
    <s v=""/>
    <s v=""/>
    <s v=""/>
    <x v="8"/>
    <x v="0"/>
    <x v="6"/>
  </r>
  <r>
    <x v="24"/>
    <s v="Carlos Puma"/>
    <s v="MAÑANA"/>
    <d v="1899-12-30T10:00:00"/>
    <d v="1899-12-30T10:28:00"/>
    <d v="1899-12-30T00:28:00"/>
    <x v="44"/>
    <s v="Maquinaria"/>
    <s v="Sustitucion"/>
    <x v="0"/>
    <x v="3"/>
    <s v="Cambio de interruptor principal "/>
    <s v=""/>
    <x v="49"/>
    <x v="0"/>
    <s v=""/>
    <s v=""/>
    <s v=""/>
    <x v="0"/>
    <x v="1"/>
    <x v="6"/>
  </r>
  <r>
    <x v="24"/>
    <s v="Carlos Puma"/>
    <s v="MAÑANA"/>
    <d v="1899-12-30T10:35:00"/>
    <d v="1899-12-30T11:00:00"/>
    <d v="1899-12-30T00:25:00"/>
    <x v="78"/>
    <s v="Maquinaria"/>
    <s v="SET UP"/>
    <x v="1"/>
    <x v="2"/>
    <s v="Reportan que demora en calentar "/>
    <s v="Se reviso parámetros eléctricos, se requinto pernos de bormeras eléctricas"/>
    <x v="0"/>
    <x v="0"/>
    <s v=""/>
    <s v=""/>
    <s v=""/>
    <x v="104"/>
    <x v="0"/>
    <x v="6"/>
  </r>
  <r>
    <x v="24"/>
    <s v="Carlos Puma"/>
    <s v="MAÑANA"/>
    <d v="1899-12-30T11:05:00"/>
    <d v="1899-12-30T11:50:00"/>
    <d v="1899-12-30T00:45:00"/>
    <x v="15"/>
    <s v="Maquinaria"/>
    <s v="SET UP"/>
    <x v="0"/>
    <x v="0"/>
    <s v="Cambio de formato de Mds de agregados x100 a agregados x50"/>
    <s v=""/>
    <x v="0"/>
    <x v="1"/>
    <s v="Mds"/>
    <s v=""/>
    <s v=""/>
    <x v="2"/>
    <x v="1"/>
    <x v="6"/>
  </r>
  <r>
    <x v="24"/>
    <s v="Carlos Puma"/>
    <s v="MAÑANA"/>
    <d v="1899-12-30T12:10:00"/>
    <d v="1899-12-30T13:30:00"/>
    <d v="1899-12-30T01:20:00"/>
    <x v="28"/>
    <s v="Maquinaria"/>
    <s v="SET UP"/>
    <x v="0"/>
    <x v="0"/>
    <s v="Cambio de formato de pisco x9 a milky x10"/>
    <s v="Se cambió piezas y se apoyó en la calibración "/>
    <x v="0"/>
    <x v="0"/>
    <s v=""/>
    <s v=""/>
    <s v=""/>
    <x v="2"/>
    <x v="0"/>
    <x v="6"/>
  </r>
  <r>
    <x v="24"/>
    <s v="Carlos Puma"/>
    <s v="MAÑANA"/>
    <d v="1899-12-30T13:35:00"/>
    <d v="1899-12-30T14:00:00"/>
    <d v="1899-12-30T00:25:00"/>
    <x v="3"/>
    <s v="Maquinaria"/>
    <s v="SET UP"/>
    <x v="0"/>
    <x v="0"/>
    <s v="Cambio de formato de minimilky a bite size "/>
    <s v="Se apoyó cambiando la mordaza"/>
    <x v="0"/>
    <x v="0"/>
    <s v=""/>
    <s v=""/>
    <s v=""/>
    <x v="2"/>
    <x v="0"/>
    <x v="6"/>
  </r>
  <r>
    <x v="24"/>
    <s v="Cesar Quiroz"/>
    <s v="NOCHE"/>
    <d v="1899-12-30T00:04:00"/>
    <d v="1899-12-30T00:31:00"/>
    <d v="1899-12-30T00:27:00"/>
    <x v="15"/>
    <s v="Maquinaria"/>
    <s v="SET UP"/>
    <x v="0"/>
    <x v="0"/>
    <s v="Armado de formato agregados x100 en mds"/>
    <s v=""/>
    <x v="0"/>
    <x v="1"/>
    <s v="Mds"/>
    <s v=""/>
    <s v=""/>
    <x v="2"/>
    <x v="1"/>
    <x v="6"/>
  </r>
  <r>
    <x v="24"/>
    <s v="Cesar Quiroz"/>
    <s v="NOCHE"/>
    <d v="1899-12-30T00:41:00"/>
    <d v="1899-12-30T00:56:00"/>
    <d v="1899-12-30T00:15:00"/>
    <x v="26"/>
    <s v="Maquinaria"/>
    <s v="Ajuste /Calibracion"/>
    <x v="1"/>
    <x v="1"/>
    <s v="Contraelevador inclinado hacia la izquierda "/>
    <s v="Se enderezó contraelevador y se reviso distancias con pinzas, se probó en modo manual "/>
    <x v="0"/>
    <x v="15"/>
    <s v="Contraelevador"/>
    <s v=""/>
    <s v=""/>
    <x v="0"/>
    <x v="1"/>
    <x v="6"/>
  </r>
  <r>
    <x v="24"/>
    <s v="Cesar Quiroz"/>
    <s v="NOCHE"/>
    <d v="1899-12-30T21:13:00"/>
    <d v="1899-12-30T21:29:00"/>
    <d v="1899-12-30T00:16:00"/>
    <x v="31"/>
    <s v="Equipos auxiliares"/>
    <s v="Inspección"/>
    <x v="0"/>
    <x v="0"/>
    <s v="Revisión de funcionamiento y parámetros de trabajo "/>
    <s v=""/>
    <x v="0"/>
    <x v="0"/>
    <s v=""/>
    <s v=""/>
    <s v=""/>
    <x v="0"/>
    <x v="0"/>
    <x v="6"/>
  </r>
  <r>
    <x v="24"/>
    <s v="Cesar Quiroz"/>
    <s v="NOCHE"/>
    <d v="1899-12-30T21:38:00"/>
    <d v="1899-12-30T22:10:00"/>
    <d v="1899-12-30T00:32:00"/>
    <x v="15"/>
    <s v="Maquinaria"/>
    <s v="SET UP"/>
    <x v="1"/>
    <x v="2"/>
    <s v="Samfill fría, no calienta"/>
    <s v="Se reviso conexiones de manguera, se reviso sistema eléctrico de calentamiento de agua, se corrigió estado de conector rápido, se verifico calentamiento de samfill, se deja operativo "/>
    <x v="0"/>
    <x v="0"/>
    <s v=""/>
    <s v=""/>
    <s v=""/>
    <x v="65"/>
    <x v="0"/>
    <x v="6"/>
  </r>
  <r>
    <x v="24"/>
    <s v="Cesar Quiroz"/>
    <s v="NOCHE"/>
    <d v="1899-12-30T22:24:00"/>
    <d v="1899-12-30T22:49:00"/>
    <d v="1899-12-30T00:25:00"/>
    <x v="34"/>
    <s v="Maquinaria"/>
    <s v="Ajuste /Calibracion"/>
    <x v="1"/>
    <x v="1"/>
    <s v="Papel aluminio se mueve a cun costado, plegado sale mal"/>
    <s v="Se corrige posición de polin de tensador, se regula altura de plegador final, se realiza pruebas"/>
    <x v="0"/>
    <x v="0"/>
    <s v=""/>
    <s v=""/>
    <s v=""/>
    <x v="0"/>
    <x v="0"/>
    <x v="6"/>
  </r>
  <r>
    <x v="24"/>
    <s v="Cesar Quiroz"/>
    <s v="NOCHE"/>
    <d v="1899-12-30T22:53:00"/>
    <d v="1899-12-30T23:31:00"/>
    <d v="1899-12-30T00:38:00"/>
    <x v="26"/>
    <s v="Maquinaria"/>
    <s v="Ajuste /Calibracion"/>
    <x v="1"/>
    <x v="1"/>
    <s v="Papel se arruga constantemente, empujador daña producto en entrada"/>
    <s v="Se desarmo módulo de corte, se regulo corte de cuchilla, se regulo brazo de transmisión de corte, se regulo sensibilidad de sensor de entrada"/>
    <x v="0"/>
    <x v="0"/>
    <s v=""/>
    <s v=""/>
    <s v=""/>
    <x v="0"/>
    <x v="0"/>
    <x v="6"/>
  </r>
  <r>
    <x v="24"/>
    <s v="Cesar Quiroz"/>
    <s v="NOCHE"/>
    <d v="1899-12-30T23:36:00"/>
    <d v="1899-12-30T23:58:00"/>
    <d v="1899-12-30T00:22:00"/>
    <x v="47"/>
    <s v="Maquinaria"/>
    <s v="Limpieza"/>
    <x v="1"/>
    <x v="1"/>
    <s v="Moldes se juntan en salida de torre de bajada"/>
    <s v="Se realizó limpieza de rascadores, se regulo tensión, se limpio chocolate seco en paredes de guias"/>
    <x v="0"/>
    <x v="2"/>
    <s v="Columna"/>
    <s v=""/>
    <s v=""/>
    <x v="32"/>
    <x v="1"/>
    <x v="6"/>
  </r>
  <r>
    <x v="24"/>
    <s v="Cesar Quiroz"/>
    <s v="NOCHE"/>
    <d v="1899-12-30T00:09:00"/>
    <d v="1899-12-30T00:28:00"/>
    <d v="1899-12-30T00:19:00"/>
    <x v="3"/>
    <s v="Maquinaria"/>
    <s v="Ajuste /Calibracion"/>
    <x v="1"/>
    <x v="1"/>
    <s v="Apoyo en regulación de guiadores para reducir producto expulsado en zona de expulsión de producto desbordante"/>
    <s v=""/>
    <x v="0"/>
    <x v="0"/>
    <s v=""/>
    <s v=""/>
    <s v=""/>
    <x v="105"/>
    <x v="0"/>
    <x v="6"/>
  </r>
  <r>
    <x v="24"/>
    <s v="Cesar Quiroz"/>
    <s v="NOCHE"/>
    <d v="1899-12-30T00:40:00"/>
    <d v="1899-12-30T00:55:00"/>
    <d v="1899-12-30T00:15:00"/>
    <x v="3"/>
    <s v="Maquinaria"/>
    <s v="Ajuste /Calibracion"/>
    <x v="1"/>
    <x v="2"/>
    <s v="Producto llegan volteados, muchos espacios vacios"/>
    <s v="Se regulo descarga de producto de robot desmoldador de hacos 2, se regulo velocidad de bandas y guiadores"/>
    <x v="0"/>
    <x v="0"/>
    <s v=""/>
    <s v=""/>
    <s v=""/>
    <x v="106"/>
    <x v="0"/>
    <x v="6"/>
  </r>
  <r>
    <x v="24"/>
    <s v="Cesar Quiroz"/>
    <s v="NOCHE"/>
    <d v="1899-12-30T01:02:00"/>
    <d v="1899-12-30T01:12:00"/>
    <d v="1899-12-30T00:10:00"/>
    <x v="15"/>
    <s v="Maquinaria"/>
    <s v="Ajuste /Calibracion"/>
    <x v="1"/>
    <x v="2"/>
    <s v="Descarga de relleno mal centrado, módulo se movió de posicion"/>
    <s v="Se corrigió posición de módulo de mds"/>
    <x v="0"/>
    <x v="0"/>
    <s v=""/>
    <s v=""/>
    <s v=""/>
    <x v="107"/>
    <x v="0"/>
    <x v="6"/>
  </r>
  <r>
    <x v="24"/>
    <s v="Cesar Quiroz"/>
    <s v="NOCHE"/>
    <d v="1899-12-30T01:16:00"/>
    <d v="1899-12-30T01:35:00"/>
    <d v="1899-12-30T00:19:00"/>
    <x v="15"/>
    <s v="Maquinaria"/>
    <s v="Inspección"/>
    <x v="0"/>
    <x v="0"/>
    <s v="Revisión de funcionamiento de temperadora, nivel de agua de tanques "/>
    <s v=""/>
    <x v="0"/>
    <x v="5"/>
    <s v="Tanque"/>
    <s v="Temperadora"/>
    <s v=""/>
    <x v="16"/>
    <x v="1"/>
    <x v="6"/>
  </r>
  <r>
    <x v="25"/>
    <s v="CARLOS TAPIA"/>
    <s v="TARDE"/>
    <s v="13:00"/>
    <s v="13:30"/>
    <d v="1899-12-30T00:30:00"/>
    <x v="15"/>
    <s v="Maquinaria"/>
    <s v="SET UP"/>
    <x v="0"/>
    <x v="0"/>
    <s v="Armado de módulo MDS "/>
    <s v="Se armó módulo MDS "/>
    <x v="0"/>
    <x v="1"/>
    <s v="Mds"/>
    <s v=""/>
    <s v=""/>
    <x v="0"/>
    <x v="1"/>
    <x v="6"/>
  </r>
  <r>
    <x v="25"/>
    <s v="CARLOS TAPIA"/>
    <s v="TARDE"/>
    <s v="14:00"/>
    <s v="14:20"/>
    <d v="1899-12-30T00:20:00"/>
    <x v="47"/>
    <s v="Maquinaria"/>
    <s v="Inspección"/>
    <x v="0"/>
    <x v="0"/>
    <s v="Inspección de máquina en funcionamiento "/>
    <s v="Se dió seguimiento al funcionamiento de máquina "/>
    <x v="0"/>
    <x v="0"/>
    <s v=""/>
    <s v=""/>
    <s v=""/>
    <x v="0"/>
    <x v="0"/>
    <x v="6"/>
  </r>
  <r>
    <x v="25"/>
    <s v="CARLOS TAPIA"/>
    <s v="TARDE"/>
    <s v="15:15"/>
    <s v="15:35"/>
    <d v="1899-12-30T00:20:00"/>
    <x v="28"/>
    <s v="Maquinaria"/>
    <s v="Inspección"/>
    <x v="0"/>
    <x v="0"/>
    <s v="Inspección de máquina "/>
    <s v="Se dió seguimiento al funcionamiento de máquina "/>
    <x v="0"/>
    <x v="0"/>
    <s v=""/>
    <s v=""/>
    <s v=""/>
    <x v="0"/>
    <x v="0"/>
    <x v="6"/>
  </r>
  <r>
    <x v="25"/>
    <s v="CARLOS TAPIA"/>
    <s v="TARDE"/>
    <s v="18:00"/>
    <s v="18:20"/>
    <d v="1899-12-30T00:20:00"/>
    <x v="55"/>
    <s v="Maquinaria"/>
    <s v="Ajuste /Calibracion"/>
    <x v="1"/>
    <x v="1"/>
    <s v="Regular presión de discos "/>
    <s v="Se regulo presión de disco de arrastre"/>
    <x v="0"/>
    <x v="0"/>
    <s v=""/>
    <s v=""/>
    <s v=""/>
    <x v="108"/>
    <x v="0"/>
    <x v="6"/>
  </r>
  <r>
    <x v="25"/>
    <s v="CARLOS TAPIA"/>
    <s v="TARDE"/>
    <s v="19:45"/>
    <s v="20:00"/>
    <d v="1899-12-30T00:15:00"/>
    <x v="28"/>
    <s v="Maquinaria"/>
    <s v="Ajuste /Calibracion"/>
    <x v="1"/>
    <x v="1"/>
    <s v="Cajas se atascan al momento de empaquetar "/>
    <s v="Se revisó y abrió mesa de sellado"/>
    <x v="0"/>
    <x v="0"/>
    <s v=""/>
    <s v=""/>
    <s v=""/>
    <x v="54"/>
    <x v="0"/>
    <x v="6"/>
  </r>
  <r>
    <x v="25"/>
    <s v="Cesar Quiroz"/>
    <s v="NOCHE"/>
    <s v="21:18"/>
    <s v="21:37"/>
    <d v="1899-12-30T00:19:00"/>
    <x v="31"/>
    <s v="Equipos auxiliares"/>
    <s v="Inspección"/>
    <x v="0"/>
    <x v="0"/>
    <s v="Revisión de funcionamiento y parámetros de trabajo "/>
    <s v=""/>
    <x v="0"/>
    <x v="0"/>
    <s v=""/>
    <s v=""/>
    <s v=""/>
    <x v="0"/>
    <x v="0"/>
    <x v="6"/>
  </r>
  <r>
    <x v="25"/>
    <s v="Cesar Quiroz"/>
    <s v="NOCHE"/>
    <s v="21:42"/>
    <s v="21:54"/>
    <d v="1899-12-30T00:12:00"/>
    <x v="13"/>
    <s v="Maquinaria"/>
    <s v="Inspección"/>
    <x v="0"/>
    <x v="0"/>
    <s v="Revisión de funcionamiento, verificación de posición de lanzador"/>
    <s v=""/>
    <x v="0"/>
    <x v="0"/>
    <s v=""/>
    <s v=""/>
    <s v=""/>
    <x v="0"/>
    <x v="0"/>
    <x v="6"/>
  </r>
  <r>
    <x v="25"/>
    <s v="Cesar Quiroz"/>
    <s v="NOCHE"/>
    <s v="22:04"/>
    <s v="22:27"/>
    <d v="1899-12-30T00:23:00"/>
    <x v="58"/>
    <s v="Maquinaria"/>
    <s v="Limpieza"/>
    <x v="1"/>
    <x v="1"/>
    <s v="Error en pantalla de codificadora, no permite iniciar impresion"/>
    <s v="Se realizó limpieza de cabezal y regulación de puntos de ruptura, se borró error, se inicializo impresión "/>
    <x v="0"/>
    <x v="13"/>
    <s v="Codificador"/>
    <s v=""/>
    <s v=""/>
    <x v="109"/>
    <x v="1"/>
    <x v="6"/>
  </r>
  <r>
    <x v="25"/>
    <s v="Cesar Quiroz"/>
    <s v="NOCHE"/>
    <s v="22:39"/>
    <s v="22:59"/>
    <d v="1899-12-30T00:20:00"/>
    <x v="3"/>
    <s v="Maquinaria"/>
    <s v="Ajuste /Calibracion"/>
    <x v="1"/>
    <x v="1"/>
    <s v="Error en mordaza, no confirma error "/>
    <s v="Se reviso mordaza, se subió un poco se probó en manual, se realizó limpieza de mordaza, se dejó operativa"/>
    <x v="0"/>
    <x v="0"/>
    <s v=""/>
    <s v=""/>
    <s v=""/>
    <x v="6"/>
    <x v="0"/>
    <x v="6"/>
  </r>
  <r>
    <x v="25"/>
    <s v="Cesar Quiroz"/>
    <s v="NOCHE"/>
    <s v="23:12"/>
    <s v="23:28"/>
    <d v="1899-12-30T00:16:00"/>
    <x v="3"/>
    <s v="Maquinaria"/>
    <s v="Ajuste /Calibracion"/>
    <x v="1"/>
    <x v="1"/>
    <s v="Sellado sale abierto"/>
    <s v="Se regulo altura de mordaza, se apoyo en regulación de temperaturas, se realizó pruebas"/>
    <x v="0"/>
    <x v="0"/>
    <s v=""/>
    <s v=""/>
    <s v=""/>
    <x v="110"/>
    <x v="0"/>
    <x v="6"/>
  </r>
  <r>
    <x v="25"/>
    <s v="Cesar Quiroz"/>
    <s v="NOCHE"/>
    <s v="23:39"/>
    <s v="23:55"/>
    <d v="1899-12-30T00:16:00"/>
    <x v="26"/>
    <s v="Maquinaria"/>
    <s v="Limpieza"/>
    <x v="1"/>
    <x v="1"/>
    <s v="Problemas con el papel, se arruga constantemente "/>
    <s v="Se retiro polin de arrastre, se realizó limpieza y se cambió cintas, se regulo brazo de movimiento de cuchilla"/>
    <x v="0"/>
    <x v="0"/>
    <s v=""/>
    <s v=""/>
    <s v=""/>
    <x v="0"/>
    <x v="0"/>
    <x v="6"/>
  </r>
  <r>
    <x v="26"/>
    <s v="CARLOS TAPIA"/>
    <s v="TARDE"/>
    <s v="13:00"/>
    <s v="14:00"/>
    <d v="1899-12-30T01:00:00"/>
    <x v="3"/>
    <s v="Maquinaria"/>
    <s v="SET UP"/>
    <x v="0"/>
    <x v="0"/>
    <s v="Cambio de formato "/>
    <s v="Se realizó el cambio de formato en máquina "/>
    <x v="0"/>
    <x v="0"/>
    <s v=""/>
    <s v=""/>
    <s v=""/>
    <x v="2"/>
    <x v="0"/>
    <x v="6"/>
  </r>
  <r>
    <x v="26"/>
    <s v="CARLOS TAPIA"/>
    <s v="TARDE"/>
    <s v="14:00"/>
    <s v="14:30"/>
    <d v="1899-12-30T00:30:00"/>
    <x v="47"/>
    <s v="Maquinaria"/>
    <s v="SET UP"/>
    <x v="0"/>
    <x v="0"/>
    <s v="Desarmar módulo MDS "/>
    <s v="Se retiró módulo MDS para su limpieza "/>
    <x v="0"/>
    <x v="1"/>
    <s v="Mds"/>
    <s v=""/>
    <s v=""/>
    <x v="0"/>
    <x v="1"/>
    <x v="6"/>
  </r>
  <r>
    <x v="26"/>
    <s v="CARLOS TAPIA"/>
    <s v="TARDE"/>
    <s v="15:00"/>
    <s v="15:20"/>
    <d v="1899-12-30T00:20:00"/>
    <x v="18"/>
    <s v="Maquinaria"/>
    <s v="SET UP"/>
    <x v="0"/>
    <x v="0"/>
    <s v="Armar y habilitar máquina "/>
    <s v="Se colocó piezas en posición y se habilitó máquina "/>
    <x v="0"/>
    <x v="0"/>
    <s v=""/>
    <s v=""/>
    <s v=""/>
    <x v="0"/>
    <x v="0"/>
    <x v="6"/>
  </r>
  <r>
    <x v="26"/>
    <s v="CARLOS TAPIA"/>
    <s v="TARDE"/>
    <s v="16:00"/>
    <s v="16:18"/>
    <d v="1899-12-30T00:18:00"/>
    <x v="39"/>
    <s v="Maquinaria"/>
    <s v="Ajuste /Calibracion"/>
    <x v="1"/>
    <x v="1"/>
    <s v="Fuga de vapor por válvula de seguridad "/>
    <s v="Se revisó y regulo presión de vapor "/>
    <x v="0"/>
    <x v="0"/>
    <s v=""/>
    <s v=""/>
    <s v=""/>
    <x v="18"/>
    <x v="0"/>
    <x v="6"/>
  </r>
  <r>
    <x v="27"/>
    <s v="Cesar Quiroz"/>
    <s v="NOCHE"/>
    <s v="21:19"/>
    <s v="21:37"/>
    <d v="1899-12-30T00:18:00"/>
    <x v="31"/>
    <s v="Equipos auxiliares"/>
    <s v="Inspección"/>
    <x v="0"/>
    <x v="0"/>
    <s v="Revisión de funcionamiento y parámetros de trabajo "/>
    <s v=""/>
    <x v="0"/>
    <x v="0"/>
    <s v=""/>
    <s v=""/>
    <s v=""/>
    <x v="0"/>
    <x v="0"/>
    <x v="6"/>
  </r>
  <r>
    <x v="27"/>
    <s v="Cesar Quiroz"/>
    <s v="NOCHE"/>
    <s v="21:56"/>
    <s v="22:14"/>
    <d v="1899-12-30T00:18:00"/>
    <x v="34"/>
    <s v="Maquinaria"/>
    <s v="Ajuste /Calibracion"/>
    <x v="1"/>
    <x v="1"/>
    <s v="Mal agarre de pinzas"/>
    <s v="Se apoyo en regulacion de pinzas "/>
    <x v="0"/>
    <x v="0"/>
    <s v=""/>
    <s v=""/>
    <s v=""/>
    <x v="0"/>
    <x v="0"/>
    <x v="6"/>
  </r>
  <r>
    <x v="27"/>
    <s v="Cesar Quiroz"/>
    <s v="NOCHE"/>
    <s v="22:22"/>
    <s v="23:03"/>
    <d v="1899-12-30T00:41:00"/>
    <x v="15"/>
    <s v="Maquinaria"/>
    <s v="Ajuste /Calibracion"/>
    <x v="0"/>
    <x v="3"/>
    <s v="Preventivo semanal temperadora hacos 1"/>
    <s v="Se realizó limpieza, lubricacion y ajuste de acuerdo a formato"/>
    <x v="0"/>
    <x v="11"/>
    <s v="Temperadora"/>
    <s v=""/>
    <s v=""/>
    <x v="0"/>
    <x v="1"/>
    <x v="6"/>
  </r>
  <r>
    <x v="27"/>
    <s v="Cesar Quiroz"/>
    <s v="NOCHE"/>
    <s v="23:04"/>
    <s v="23:58"/>
    <d v="1899-12-30T00:54:00"/>
    <x v="15"/>
    <s v="Maquinaria"/>
    <s v="Inspección"/>
    <x v="0"/>
    <x v="0"/>
    <s v="Preventivo semanal programado a linea moldeadora"/>
    <s v=""/>
    <x v="50"/>
    <x v="0"/>
    <s v=""/>
    <s v=""/>
    <s v=""/>
    <x v="0"/>
    <x v="1"/>
    <x v="6"/>
  </r>
  <r>
    <x v="27"/>
    <s v="Cesar Quiroz"/>
    <s v="NOCHE"/>
    <s v="00:01"/>
    <s v="00:25"/>
    <d v="1899-12-30T00:24:00"/>
    <x v="15"/>
    <s v="Maquinaria"/>
    <s v="Ajuste /Calibracion"/>
    <x v="1"/>
    <x v="1"/>
    <s v="Sensores de actuadores sueltos"/>
    <s v="Se deshabillito aire, se marcó posición correcta de sensores y se aseguro posición con Loctite "/>
    <x v="0"/>
    <x v="0"/>
    <s v=""/>
    <s v=""/>
    <s v=""/>
    <x v="49"/>
    <x v="0"/>
    <x v="6"/>
  </r>
  <r>
    <x v="28"/>
    <s v="Cesar Quiroz"/>
    <s v="NOCHE"/>
    <s v="00:35"/>
    <s v="00:51"/>
    <d v="1899-12-30T00:16:00"/>
    <x v="44"/>
    <s v="Maquinaria"/>
    <s v="Inspección"/>
    <x v="0"/>
    <x v="0"/>
    <s v="Revisión de funcionamiento de equipo"/>
    <s v=""/>
    <x v="0"/>
    <x v="0"/>
    <s v=""/>
    <s v=""/>
    <s v=""/>
    <x v="0"/>
    <x v="0"/>
    <x v="7"/>
  </r>
  <r>
    <x v="28"/>
    <s v="Cesar Quiroz"/>
    <s v="NOCHE"/>
    <s v="01:04"/>
    <s v="01:37"/>
    <d v="1899-12-30T00:33:00"/>
    <x v="3"/>
    <s v="Maquinaria"/>
    <s v="SET UP"/>
    <x v="0"/>
    <x v="0"/>
    <s v="Desarmado y retiro de piezas para limpieza semanal"/>
    <s v=""/>
    <x v="0"/>
    <x v="0"/>
    <s v=""/>
    <s v=""/>
    <s v=""/>
    <x v="14"/>
    <x v="0"/>
    <x v="7"/>
  </r>
  <r>
    <x v="28"/>
    <s v="Cesar Quiroz"/>
    <s v="NOCHE"/>
    <s v="01:54"/>
    <s v="02:33"/>
    <d v="1899-12-30T00:39:00"/>
    <x v="5"/>
    <s v="Maquinaria"/>
    <s v="SET UP"/>
    <x v="0"/>
    <x v="0"/>
    <s v="Desarmado de equipo, retiro de bandas y desajuste de rascadores para limpieza semanal"/>
    <s v=""/>
    <x v="23"/>
    <x v="0"/>
    <s v=""/>
    <s v=""/>
    <s v=""/>
    <x v="111"/>
    <x v="1"/>
    <x v="7"/>
  </r>
  <r>
    <x v="29"/>
    <s v="Carlos Puma"/>
    <s v="NOCHE"/>
    <s v="21:40"/>
    <s v="22:00"/>
    <d v="1899-12-30T00:20:00"/>
    <x v="32"/>
    <s v="Maquinaria"/>
    <s v="SET UP"/>
    <x v="0"/>
    <x v="0"/>
    <s v="Armado del iman de criba del molino de billas"/>
    <s v=""/>
    <x v="51"/>
    <x v="0"/>
    <s v=""/>
    <s v=""/>
    <s v=""/>
    <x v="0"/>
    <x v="1"/>
    <x v="7"/>
  </r>
  <r>
    <x v="29"/>
    <s v="CARLOS TAPIA"/>
    <s v="MAÑANA"/>
    <s v="05:30"/>
    <s v="06:30"/>
    <d v="1899-12-30T01:00:00"/>
    <x v="21"/>
    <s v="Area"/>
    <s v="Encendido / Arranque de linea"/>
    <x v="0"/>
    <x v="0"/>
    <s v="Arranque de planta."/>
    <s v="Se encendió equipos y líneas de vapor, agua y aire "/>
    <x v="0"/>
    <x v="0"/>
    <s v=""/>
    <s v=""/>
    <s v=""/>
    <x v="0"/>
    <x v="0"/>
    <x v="7"/>
  </r>
  <r>
    <x v="29"/>
    <s v="CARLOS TAPIA"/>
    <s v="MAÑANA"/>
    <s v="06:40"/>
    <s v="07:00"/>
    <d v="1899-12-30T00:20:00"/>
    <x v="19"/>
    <s v="Maquinaria"/>
    <s v="SET UP"/>
    <x v="0"/>
    <x v="0"/>
    <s v="Desarmar máquina."/>
    <s v="Se retiró piezas para su limpieza "/>
    <x v="0"/>
    <x v="0"/>
    <s v=""/>
    <s v=""/>
    <s v=""/>
    <x v="0"/>
    <x v="0"/>
    <x v="7"/>
  </r>
  <r>
    <x v="29"/>
    <s v="CARLOS TAPIA"/>
    <s v="MAÑANA"/>
    <s v="07:10"/>
    <s v="07:20"/>
    <d v="1899-12-30T00:10:00"/>
    <x v="76"/>
    <s v="Maquinaria"/>
    <s v="SET UP"/>
    <x v="0"/>
    <x v="0"/>
    <s v="Desarmar máquina para su limpieza."/>
    <s v="Se retiró piezas para su limpieza "/>
    <x v="0"/>
    <x v="0"/>
    <s v=""/>
    <s v=""/>
    <s v=""/>
    <x v="0"/>
    <x v="0"/>
    <x v="7"/>
  </r>
  <r>
    <x v="29"/>
    <s v="CARLOS TAPIA"/>
    <s v="MAÑANA"/>
    <s v="10:00"/>
    <s v="10:20"/>
    <d v="1899-12-30T00:20:00"/>
    <x v="18"/>
    <s v="Maquinaria"/>
    <s v="SET UP"/>
    <x v="0"/>
    <x v="0"/>
    <s v="Desarmar máquina para su limpieza "/>
    <s v="Se retiró piezas para su limpieza "/>
    <x v="0"/>
    <x v="0"/>
    <s v=""/>
    <s v=""/>
    <s v=""/>
    <x v="0"/>
    <x v="0"/>
    <x v="7"/>
  </r>
  <r>
    <x v="29"/>
    <s v="CARLOS TAPIA"/>
    <s v="MAÑANA"/>
    <s v="10:30"/>
    <s v="11:15"/>
    <d v="1899-12-30T00:45:00"/>
    <x v="5"/>
    <s v="Maquinaria"/>
    <s v="SET UP"/>
    <x v="0"/>
    <x v="0"/>
    <s v="Armado de máquina y habilitar líneas (bandas)"/>
    <s v="Se colocó piezas en posición y se encendió bandas "/>
    <x v="9"/>
    <x v="0"/>
    <s v=""/>
    <s v=""/>
    <s v=""/>
    <x v="0"/>
    <x v="1"/>
    <x v="7"/>
  </r>
  <r>
    <x v="29"/>
    <s v="CARLOS TAPIA"/>
    <s v="MAÑANA"/>
    <s v="13:00"/>
    <s v="13:30"/>
    <d v="1899-12-30T00:30:00"/>
    <x v="15"/>
    <s v="Maquinaria"/>
    <s v="SET UP"/>
    <x v="0"/>
    <x v="0"/>
    <s v="Armado de módulo MDS formato agregados x 50"/>
    <s v="Se armó módulo de MDS para agregados"/>
    <x v="0"/>
    <x v="1"/>
    <s v="Mds"/>
    <s v=""/>
    <s v=""/>
    <x v="2"/>
    <x v="1"/>
    <x v="7"/>
  </r>
  <r>
    <x v="29"/>
    <s v="Cesar Quiroz"/>
    <s v="TARDE"/>
    <s v="12:49"/>
    <s v="13:06"/>
    <d v="1899-12-30T00:17:00"/>
    <x v="31"/>
    <s v="Equipos auxiliares"/>
    <s v="Inspección"/>
    <x v="0"/>
    <x v="0"/>
    <s v="Revisión de funcionamiento y parámetros de trabajo "/>
    <s v=""/>
    <x v="0"/>
    <x v="0"/>
    <s v=""/>
    <s v=""/>
    <s v=""/>
    <x v="0"/>
    <x v="0"/>
    <x v="7"/>
  </r>
  <r>
    <x v="29"/>
    <s v="Cesar Quiroz"/>
    <s v="TARDE"/>
    <s v="13:09"/>
    <s v="13:26"/>
    <d v="1899-12-30T00:17:00"/>
    <x v="71"/>
    <s v="Maquinaria"/>
    <s v="Seguimiento / Pruebas"/>
    <x v="0"/>
    <x v="0"/>
    <s v="Prueba de funcionamiento de movimiento de cadena "/>
    <s v=""/>
    <x v="14"/>
    <x v="0"/>
    <s v=""/>
    <s v=""/>
    <s v=""/>
    <x v="0"/>
    <x v="1"/>
    <x v="7"/>
  </r>
  <r>
    <x v="29"/>
    <s v="Cesar Quiroz"/>
    <s v="TARDE"/>
    <s v="13:28"/>
    <s v="13:51"/>
    <d v="1899-12-30T00:23:00"/>
    <x v="5"/>
    <s v="Maquinaria"/>
    <s v="Limpieza"/>
    <x v="0"/>
    <x v="0"/>
    <s v="Limpieza de polin de arrastre y módulo de corte para inicio de empaquetado "/>
    <s v=""/>
    <x v="52"/>
    <x v="0"/>
    <s v=""/>
    <s v=""/>
    <s v=""/>
    <x v="0"/>
    <x v="1"/>
    <x v="7"/>
  </r>
  <r>
    <x v="29"/>
    <s v="Cesar Quiroz"/>
    <s v="TARDE"/>
    <s v="13:54"/>
    <s v="14:22"/>
    <d v="1899-12-30T00:28:00"/>
    <x v="50"/>
    <s v="Maquinaria"/>
    <s v="SET UP"/>
    <x v="0"/>
    <x v="0"/>
    <s v="Desarmado y retiro de polines para limpieza  semanal "/>
    <s v=""/>
    <x v="3"/>
    <x v="0"/>
    <s v=""/>
    <s v=""/>
    <s v=""/>
    <x v="14"/>
    <x v="1"/>
    <x v="7"/>
  </r>
  <r>
    <x v="29"/>
    <s v="JOSÉ HAÑARI"/>
    <s v="MAÑANA"/>
    <s v="06:50"/>
    <s v="13:00"/>
    <d v="1899-12-30T06:10:00"/>
    <x v="15"/>
    <s v="Maquinaria"/>
    <s v="SET UP"/>
    <x v="0"/>
    <x v="0"/>
    <s v="Desarmado de hacos 1 para limpieza profunda "/>
    <s v=""/>
    <x v="0"/>
    <x v="0"/>
    <s v=""/>
    <s v=""/>
    <s v=""/>
    <x v="0"/>
    <x v="0"/>
    <x v="7"/>
  </r>
  <r>
    <x v="29"/>
    <s v="JOSÉ HAÑARI"/>
    <s v="MAÑANA"/>
    <s v="07:20"/>
    <s v="07:30"/>
    <d v="1899-12-30T00:10:00"/>
    <x v="79"/>
    <s v="Maquinaria"/>
    <s v="Limpieza"/>
    <x v="0"/>
    <x v="0"/>
    <s v="Se retira manguera flexible para limpieza "/>
    <s v=""/>
    <x v="53"/>
    <x v="0"/>
    <s v=""/>
    <s v=""/>
    <s v=""/>
    <x v="14"/>
    <x v="1"/>
    <x v="7"/>
  </r>
  <r>
    <x v="29"/>
    <s v="JOSÉ HAÑARI"/>
    <s v="MAÑANA"/>
    <s v="08:00"/>
    <s v="08:15"/>
    <d v="1899-12-30T00:15:00"/>
    <x v="19"/>
    <s v="Maquinaria"/>
    <s v="Inspección"/>
    <x v="0"/>
    <x v="0"/>
    <s v="Se realiza inspección equipo desarmado "/>
    <s v=""/>
    <x v="0"/>
    <x v="0"/>
    <s v=""/>
    <s v=""/>
    <s v=""/>
    <x v="0"/>
    <x v="0"/>
    <x v="7"/>
  </r>
  <r>
    <x v="29"/>
    <s v="JOSÉ HAÑARI"/>
    <s v="MAÑANA"/>
    <s v="13:30"/>
    <s v="14:00"/>
    <d v="1899-12-30T00:30:00"/>
    <x v="49"/>
    <s v="Maquinaria"/>
    <s v="SET UP"/>
    <x v="0"/>
    <x v="0"/>
    <s v="Se retira polines para limpieza de la faja transporta de bañadora "/>
    <s v=""/>
    <x v="54"/>
    <x v="0"/>
    <s v=""/>
    <s v=""/>
    <s v=""/>
    <x v="14"/>
    <x v="1"/>
    <x v="7"/>
  </r>
  <r>
    <x v="30"/>
    <s v="Carlos Puma"/>
    <s v="NOCHE"/>
    <d v="1899-12-30T00:00:00"/>
    <d v="1899-12-30T00:40:00"/>
    <d v="1899-12-30T00:40:00"/>
    <x v="26"/>
    <s v="Maquinaria"/>
    <s v="Ajuste /Calibracion"/>
    <x v="1"/>
    <x v="1"/>
    <s v="Apoyó en alineación de fajas y calibración de piezas , se dió seguimiento "/>
    <s v=""/>
    <x v="0"/>
    <x v="0"/>
    <s v=""/>
    <s v=""/>
    <s v=""/>
    <x v="112"/>
    <x v="0"/>
    <x v="7"/>
  </r>
  <r>
    <x v="30"/>
    <s v="Carlos Puma"/>
    <s v="NOCHE"/>
    <d v="1899-12-30T01:00:00"/>
    <d v="1899-12-30T01:20:00"/>
    <d v="1899-12-30T00:20:00"/>
    <x v="80"/>
    <s v="Maquinaria"/>
    <s v="M.General"/>
    <x v="0"/>
    <x v="0"/>
    <s v="Se llenó agua en tanques de equipo cr150"/>
    <s v=""/>
    <x v="0"/>
    <x v="3"/>
    <s v="Tanque"/>
    <s v=""/>
    <s v=""/>
    <x v="0"/>
    <x v="1"/>
    <x v="7"/>
  </r>
  <r>
    <x v="30"/>
    <s v="Carlos Puma"/>
    <s v="NOCHE"/>
    <d v="1899-12-30T01:25:00"/>
    <d v="1899-12-30T01:40:00"/>
    <d v="1899-12-30T00:15:00"/>
    <x v="19"/>
    <s v="Maquinaria"/>
    <s v="Limpieza"/>
    <x v="1"/>
    <x v="1"/>
    <s v="Reportan % alto de cascarilla en nibs"/>
    <s v="Limpieza de ductos del ciclón jaffinox"/>
    <x v="0"/>
    <x v="0"/>
    <s v=""/>
    <s v=""/>
    <s v=""/>
    <x v="0"/>
    <x v="0"/>
    <x v="7"/>
  </r>
  <r>
    <x v="30"/>
    <s v="Carlos Puma"/>
    <s v="NOCHE"/>
    <d v="1899-12-30T02:00:00"/>
    <d v="1899-12-30T02:20:00"/>
    <d v="1899-12-30T00:20:00"/>
    <x v="71"/>
    <s v="Maquinaria"/>
    <s v="Inspección"/>
    <x v="0"/>
    <x v="0"/>
    <s v="Inspección de equipo "/>
    <s v=""/>
    <x v="0"/>
    <x v="0"/>
    <s v=""/>
    <s v=""/>
    <s v=""/>
    <x v="0"/>
    <x v="0"/>
    <x v="7"/>
  </r>
  <r>
    <x v="30"/>
    <s v="Carlos Puma"/>
    <s v="NOCHE"/>
    <d v="1899-12-30T03:05:00"/>
    <d v="1899-12-30T03:25:00"/>
    <d v="1899-12-30T00:20:00"/>
    <x v="15"/>
    <s v="Maquinaria"/>
    <s v="SET UP"/>
    <x v="0"/>
    <x v="0"/>
    <s v="Retiró y colocación de husillo de Mds por limpieza "/>
    <s v=""/>
    <x v="17"/>
    <x v="1"/>
    <s v="Mds"/>
    <s v=""/>
    <s v=""/>
    <x v="14"/>
    <x v="1"/>
    <x v="7"/>
  </r>
  <r>
    <x v="30"/>
    <s v="Carlos Puma"/>
    <s v="NOCHE"/>
    <d v="1899-12-30T21:30:00"/>
    <d v="1899-12-30T21:55:00"/>
    <d v="1899-12-30T00:25:00"/>
    <x v="7"/>
    <s v="Maquinaria"/>
    <s v="Inspección"/>
    <x v="0"/>
    <x v="0"/>
    <s v="Inspección de equipos en uso"/>
    <s v=""/>
    <x v="0"/>
    <x v="0"/>
    <s v=""/>
    <s v=""/>
    <s v=""/>
    <x v="0"/>
    <x v="0"/>
    <x v="7"/>
  </r>
  <r>
    <x v="30"/>
    <s v="Carlos Puma"/>
    <s v="NOCHE"/>
    <d v="1899-12-30T22:05:00"/>
    <d v="1899-12-30T22:15:00"/>
    <d v="1899-12-30T00:10:00"/>
    <x v="26"/>
    <s v="Maquinaria"/>
    <s v="Ajuste /Calibracion"/>
    <x v="1"/>
    <x v="1"/>
    <s v="Problemas con módulo de arrastre , suelta el laminado "/>
    <s v="Se compenso diferencia de presión entre rodillos con cinta ,se hizo pruebas "/>
    <x v="0"/>
    <x v="0"/>
    <s v=""/>
    <s v=""/>
    <s v=""/>
    <x v="113"/>
    <x v="0"/>
    <x v="7"/>
  </r>
  <r>
    <x v="30"/>
    <s v="Carlos Puma"/>
    <s v="NOCHE"/>
    <d v="1899-12-30T22:25:00"/>
    <d v="1899-12-30T22:50:00"/>
    <d v="1899-12-30T00:25:00"/>
    <x v="3"/>
    <s v="Maquinaria"/>
    <s v="Ajuste /Calibracion"/>
    <x v="1"/>
    <x v="1"/>
    <s v="Se apoyó en alineación de fajas guías , se acompañó en inicio de empaquetado, se modifo parámetros de robot en hacos 2"/>
    <s v=""/>
    <x v="0"/>
    <x v="9"/>
    <s v="Robot"/>
    <s v=""/>
    <s v=""/>
    <x v="8"/>
    <x v="1"/>
    <x v="7"/>
  </r>
  <r>
    <x v="30"/>
    <s v="Carlos Puma"/>
    <s v="NOCHE"/>
    <d v="1899-12-30T23:00:00"/>
    <d v="1899-12-30T23:10:00"/>
    <d v="1899-12-30T00:10:00"/>
    <x v="63"/>
    <s v="Maquinaria"/>
    <s v="SET UP"/>
    <x v="0"/>
    <x v="0"/>
    <s v="Armado de equipo"/>
    <s v=""/>
    <x v="0"/>
    <x v="0"/>
    <s v=""/>
    <s v=""/>
    <s v=""/>
    <x v="0"/>
    <x v="0"/>
    <x v="7"/>
  </r>
  <r>
    <x v="30"/>
    <s v="Carlos Puma"/>
    <s v="NOCHE"/>
    <d v="1899-12-30T23:15:00"/>
    <d v="1899-12-30T23:35:00"/>
    <d v="1899-12-30T00:20:00"/>
    <x v="28"/>
    <s v="Maquinaria"/>
    <s v="Ajuste /Calibracion"/>
    <x v="1"/>
    <x v="1"/>
    <s v="Golpe en actuador neumático, válvula reguladora dañada"/>
    <s v="Se regulo provisionalmente para evitar el golpe"/>
    <x v="0"/>
    <x v="0"/>
    <s v=""/>
    <s v=""/>
    <s v=""/>
    <x v="114"/>
    <x v="0"/>
    <x v="7"/>
  </r>
  <r>
    <x v="30"/>
    <s v="Carlos Puma"/>
    <s v="NOCHE"/>
    <d v="1899-12-30T23:40:00"/>
    <d v="1899-12-30T23:55:00"/>
    <d v="1899-12-30T00:15:00"/>
    <x v="3"/>
    <s v="Maquinaria"/>
    <s v="Ajuste /Calibracion"/>
    <x v="1"/>
    <x v="1"/>
    <s v="No codifica , polin no se mueve libremente "/>
    <s v="Se libero presión en polin , se verifico moviento del polin y del encoder , se hizo pruebas "/>
    <x v="0"/>
    <x v="13"/>
    <s v="Codificador"/>
    <s v=""/>
    <s v=""/>
    <x v="83"/>
    <x v="1"/>
    <x v="7"/>
  </r>
  <r>
    <x v="30"/>
    <s v="Carlos Puma"/>
    <s v="NOCHE"/>
    <d v="1899-12-30T00:40:00"/>
    <d v="1899-12-30T01:10:00"/>
    <d v="1899-12-30T00:30:00"/>
    <x v="28"/>
    <s v="Maquinaria"/>
    <s v="Sustitucion"/>
    <x v="1"/>
    <x v="1"/>
    <s v="Se remplazo válvula reguladora del actuador neumático, se regulo movimiento, se calibro laminado y se apoyó en operación "/>
    <s v=""/>
    <x v="0"/>
    <x v="0"/>
    <s v=""/>
    <s v=""/>
    <s v=""/>
    <x v="7"/>
    <x v="0"/>
    <x v="7"/>
  </r>
  <r>
    <x v="30"/>
    <s v="Carlos Puma"/>
    <s v="NOCHE"/>
    <d v="1899-12-30T01:20:00"/>
    <d v="1899-12-30T02:00:00"/>
    <d v="1899-12-30T00:40:00"/>
    <x v="17"/>
    <s v="Maquinaria"/>
    <s v="SET UP"/>
    <x v="0"/>
    <x v="0"/>
    <s v="Armado de equipo "/>
    <s v=""/>
    <x v="0"/>
    <x v="0"/>
    <s v=""/>
    <s v=""/>
    <s v=""/>
    <x v="0"/>
    <x v="0"/>
    <x v="7"/>
  </r>
  <r>
    <x v="30"/>
    <s v="Carlos Puma"/>
    <s v="NOCHE"/>
    <d v="1899-12-30T02:10:00"/>
    <d v="1899-12-30T03:00:00"/>
    <d v="1899-12-30T00:50:00"/>
    <x v="3"/>
    <s v="Maquinaria"/>
    <s v="SET UP"/>
    <x v="1"/>
    <x v="1"/>
    <s v="Reportan que el laminado se sale de los discos"/>
    <s v="Se indicó probar con otro laminado, se apoyó en  calibración se hizo pruebas se verifico que el sellado este correcto ,y se apoyó en operación "/>
    <x v="0"/>
    <x v="0"/>
    <s v=""/>
    <s v=""/>
    <s v=""/>
    <x v="50"/>
    <x v="0"/>
    <x v="7"/>
  </r>
  <r>
    <x v="30"/>
    <s v="Carlos Puma"/>
    <s v="NOCHE"/>
    <d v="1899-12-30T04:30:00"/>
    <d v="1899-12-30T04:45:00"/>
    <d v="1899-12-30T00:15:00"/>
    <x v="81"/>
    <s v="Maquinaria"/>
    <s v="Ajuste /Calibracion"/>
    <x v="1"/>
    <x v="1"/>
    <s v="Reportan fuga de agua de temperadora de bañadora"/>
    <s v="Se reviso funcionamiento circuito de retorno al chiler"/>
    <x v="0"/>
    <x v="11"/>
    <s v="Temperadora"/>
    <s v=""/>
    <s v=""/>
    <x v="115"/>
    <x v="1"/>
    <x v="7"/>
  </r>
  <r>
    <x v="30"/>
    <s v="CARLOS TAPIA"/>
    <s v="MAÑANA"/>
    <d v="1899-12-30T06:00:00"/>
    <d v="1899-12-30T06:20:00"/>
    <d v="1899-12-30T00:20:00"/>
    <x v="15"/>
    <s v="Maquinaria"/>
    <s v="Limpieza"/>
    <x v="0"/>
    <x v="0"/>
    <s v="Retirar husillo para su limpieza y posterior colocación."/>
    <s v="Se retiró para su limpieza y luego se colocó en posición."/>
    <x v="17"/>
    <x v="0"/>
    <s v=""/>
    <s v=""/>
    <s v=""/>
    <x v="14"/>
    <x v="1"/>
    <x v="7"/>
  </r>
  <r>
    <x v="30"/>
    <s v="CARLOS TAPIA"/>
    <s v="MAÑANA"/>
    <d v="1899-12-30T06:30:00"/>
    <d v="1899-12-30T07:00:00"/>
    <d v="1899-12-30T00:30:00"/>
    <x v="47"/>
    <s v="Maquinaria"/>
    <s v="Inspección"/>
    <x v="0"/>
    <x v="0"/>
    <s v="Inspección de máquina "/>
    <s v="Se dió seguimiento al funcionamiento de máquina.Se reguló velocidades en bandas de transporte."/>
    <x v="0"/>
    <x v="0"/>
    <s v=""/>
    <s v=""/>
    <s v=""/>
    <x v="0"/>
    <x v="0"/>
    <x v="7"/>
  </r>
  <r>
    <x v="30"/>
    <s v="CARLOS TAPIA"/>
    <s v="MAÑANA"/>
    <d v="1899-12-30T07:45:00"/>
    <d v="1899-12-30T08:00:00"/>
    <d v="1899-12-30T00:15:00"/>
    <x v="28"/>
    <s v="Maquinaria"/>
    <s v="Inspección"/>
    <x v="0"/>
    <x v="0"/>
    <s v="Dar seguimiento al funcionamiento de máquina, revisar sellado de cajas."/>
    <s v="Se abrió la distancia de la mesa y se aumentó temperatura en los selladores."/>
    <x v="55"/>
    <x v="0"/>
    <s v=""/>
    <s v=""/>
    <s v=""/>
    <x v="62"/>
    <x v="1"/>
    <x v="7"/>
  </r>
  <r>
    <x v="30"/>
    <s v="CARLOS TAPIA"/>
    <s v="MAÑANA"/>
    <d v="1899-12-30T08:10:00"/>
    <d v="1899-12-30T08:25:00"/>
    <d v="1899-12-30T00:15:00"/>
    <x v="66"/>
    <s v="Maquinaria"/>
    <s v="Sustitucion"/>
    <x v="1"/>
    <x v="1"/>
    <s v="Cuchilla desgastada."/>
    <s v="Se retiró cuchilla para su reemplazo. Se reemplazo y habilitó máquina "/>
    <x v="0"/>
    <x v="0"/>
    <s v=""/>
    <s v=""/>
    <s v=""/>
    <x v="116"/>
    <x v="0"/>
    <x v="7"/>
  </r>
  <r>
    <x v="30"/>
    <s v="CARLOS TAPIA"/>
    <s v="MAÑANA"/>
    <d v="1899-12-30T10:00:00"/>
    <d v="1899-12-30T10:20:00"/>
    <d v="1899-12-30T00:20:00"/>
    <x v="25"/>
    <s v="Maquinaria"/>
    <s v="Sustitucion"/>
    <x v="1"/>
    <x v="1"/>
    <s v="Polines con rodamientos atascados."/>
    <s v="Se retiró polín para su limpieza y lubricación."/>
    <x v="0"/>
    <x v="0"/>
    <s v=""/>
    <s v=""/>
    <s v=""/>
    <x v="54"/>
    <x v="0"/>
    <x v="7"/>
  </r>
  <r>
    <x v="30"/>
    <s v="CARLOS TAPIA"/>
    <s v="MAÑANA"/>
    <d v="1899-12-30T10:50:00"/>
    <d v="1899-12-30T11:00:00"/>
    <d v="1899-12-30T00:10:00"/>
    <x v="47"/>
    <s v="Maquinaria"/>
    <s v="Ajuste /Calibracion"/>
    <x v="1"/>
    <x v="1"/>
    <s v="Fuga de chocolate por temperadora."/>
    <s v="Se revisó y ajustó prensaestopa de columna."/>
    <x v="0"/>
    <x v="11"/>
    <s v="Temperadora"/>
    <s v=""/>
    <s v=""/>
    <x v="69"/>
    <x v="1"/>
    <x v="7"/>
  </r>
  <r>
    <x v="30"/>
    <s v="CARLOS TAPIA"/>
    <s v="MAÑANA"/>
    <d v="1899-12-30T12:10:00"/>
    <d v="1899-12-30T13:30:00"/>
    <d v="1899-12-30T01:20:00"/>
    <x v="15"/>
    <s v="Maquinaria"/>
    <s v="Ajuste /Calibracion"/>
    <x v="1"/>
    <x v="1"/>
    <s v="No baja la temperatura en el túnel de enfriamiento. Temperaturas de mantienen en 17 grados."/>
    <s v="Se revisó y aumentó refrigerante a compresor. Se reguló válvulas de expansión.Se informó a jefe de mantenimiento el estado del compresor y el problema de temperatura en dicho túnel."/>
    <x v="0"/>
    <x v="0"/>
    <s v=""/>
    <s v=""/>
    <s v=""/>
    <x v="96"/>
    <x v="0"/>
    <x v="7"/>
  </r>
  <r>
    <x v="30"/>
    <s v="Cesar Quiroz"/>
    <s v="TARDE"/>
    <d v="1899-12-30T12:44:00"/>
    <d v="1899-12-30T12:59:00"/>
    <d v="1899-12-30T00:15:00"/>
    <x v="31"/>
    <s v="Equipos auxiliares"/>
    <s v="Inspección"/>
    <x v="0"/>
    <x v="0"/>
    <s v="Revisión de funcionamiento y parámetros de trabajo "/>
    <s v=""/>
    <x v="0"/>
    <x v="0"/>
    <s v=""/>
    <s v=""/>
    <s v=""/>
    <x v="0"/>
    <x v="0"/>
    <x v="7"/>
  </r>
  <r>
    <x v="30"/>
    <s v="Cesar Quiroz"/>
    <s v="TARDE"/>
    <d v="1899-12-30T13:04:00"/>
    <d v="1899-12-30T14:53:00"/>
    <d v="1899-12-30T01:49:00"/>
    <x v="15"/>
    <s v="Maquinaria"/>
    <s v="SET UP"/>
    <x v="1"/>
    <x v="1"/>
    <s v="Problemas con el enfriamiento de sección 1 de túnel "/>
    <s v="Se apoyo en la revisión de parámetros de compresor, llenado de refrigerante"/>
    <x v="0"/>
    <x v="0"/>
    <s v=""/>
    <s v=""/>
    <s v=""/>
    <x v="117"/>
    <x v="0"/>
    <x v="7"/>
  </r>
  <r>
    <x v="30"/>
    <s v="Cesar Quiroz"/>
    <s v="TARDE"/>
    <d v="1899-12-30T14:58:00"/>
    <d v="1899-12-30T15:17:00"/>
    <d v="1899-12-30T00:19:00"/>
    <x v="3"/>
    <s v="Maquinaria"/>
    <s v="Ajuste /Calibracion"/>
    <x v="1"/>
    <x v="1"/>
    <s v="Problemas con sensor de alimentación de producto, equipo no se detiene en modo automatico"/>
    <s v="Se reviso y se ajusto sensibilidad de sensor, se realizó pruebas "/>
    <x v="0"/>
    <x v="0"/>
    <s v=""/>
    <s v=""/>
    <s v=""/>
    <x v="118"/>
    <x v="0"/>
    <x v="7"/>
  </r>
  <r>
    <x v="30"/>
    <s v="Cesar Quiroz"/>
    <s v="TARDE"/>
    <d v="1899-12-30T15:20:00"/>
    <d v="1899-12-30T15:31:00"/>
    <d v="1899-12-30T00:11:00"/>
    <x v="47"/>
    <s v="Maquinaria"/>
    <s v="Ajuste /Calibracion"/>
    <x v="1"/>
    <x v="2"/>
    <s v="Revisión de temperadora, ajuste de parámetros de alarma de nivel de tanque de almacenamiento "/>
    <s v=""/>
    <x v="0"/>
    <x v="5"/>
    <s v="Tanque"/>
    <s v="Temperadora"/>
    <s v=""/>
    <x v="119"/>
    <x v="1"/>
    <x v="7"/>
  </r>
  <r>
    <x v="30"/>
    <s v="Cesar Quiroz"/>
    <s v="TARDE"/>
    <d v="1899-12-30T15:32:00"/>
    <d v="1899-12-30T15:43:00"/>
    <d v="1899-12-30T00:11:00"/>
    <x v="26"/>
    <s v="Maquinaria"/>
    <s v="Ajuste /Calibracion"/>
    <x v="1"/>
    <x v="1"/>
    <s v="Pernos muy ajustados, no permiten calibrar"/>
    <s v="Se apoyo en el desajuste de pernos sin dañarlos"/>
    <x v="0"/>
    <x v="0"/>
    <s v=""/>
    <s v=""/>
    <s v=""/>
    <x v="120"/>
    <x v="0"/>
    <x v="7"/>
  </r>
  <r>
    <x v="30"/>
    <s v="Cesar Quiroz"/>
    <s v="TARDE"/>
    <d v="1899-12-30T15:45:00"/>
    <d v="1899-12-30T15:57:00"/>
    <d v="1899-12-30T00:12:00"/>
    <x v="3"/>
    <s v="Maquinaria"/>
    <s v="Ajuste /Calibracion"/>
    <x v="1"/>
    <x v="1"/>
    <s v="Ruido en bandas"/>
    <s v="Se paró equipo y se reviso estado de bandas se encontró dos bandas mal colocadas, se retiro y se corrigio"/>
    <x v="0"/>
    <x v="0"/>
    <s v=""/>
    <s v=""/>
    <s v=""/>
    <x v="3"/>
    <x v="0"/>
    <x v="7"/>
  </r>
  <r>
    <x v="30"/>
    <s v="Cesar Quiroz"/>
    <s v="TARDE"/>
    <d v="1899-12-30T15:58:00"/>
    <d v="1899-12-30T16:52:00"/>
    <d v="1899-12-30T00:54:00"/>
    <x v="26"/>
    <s v="Maquinaria"/>
    <s v="Ajuste /Calibracion"/>
    <x v="1"/>
    <x v="1"/>
    <s v="Pinza colisiona, se encuentra pinza rota, contraelevador torcido"/>
    <s v="Se enderezó contraelevador, se ajusto piezas mal asustadas, se hizo fabricar pinza con personal tercero y se habilitó equipo"/>
    <x v="0"/>
    <x v="15"/>
    <s v="Contraelevador"/>
    <s v=""/>
    <s v=""/>
    <x v="121"/>
    <x v="1"/>
    <x v="7"/>
  </r>
  <r>
    <x v="30"/>
    <s v="Cesar Quiroz"/>
    <s v="TARDE"/>
    <d v="1899-12-30T18:06:00"/>
    <d v="1899-12-30T18:32:00"/>
    <d v="1899-12-30T00:26:00"/>
    <x v="15"/>
    <s v="Maquinaria"/>
    <s v="SET UP"/>
    <x v="0"/>
    <x v="0"/>
    <s v="Desarmado de formato agregados x50"/>
    <s v=""/>
    <x v="0"/>
    <x v="0"/>
    <s v=""/>
    <s v=""/>
    <s v=""/>
    <x v="2"/>
    <x v="0"/>
    <x v="7"/>
  </r>
  <r>
    <x v="30"/>
    <s v="Cesar Quiroz"/>
    <s v="TARDE"/>
    <d v="1899-12-30T18:32:00"/>
    <d v="1899-12-30T18:56:00"/>
    <d v="1899-12-30T00:24:00"/>
    <x v="15"/>
    <s v="Maquinaria"/>
    <s v="SET UP"/>
    <x v="0"/>
    <x v="0"/>
    <s v="Armado de formato agregados x100 en mds"/>
    <s v=""/>
    <x v="0"/>
    <x v="1"/>
    <s v="Mds"/>
    <s v=""/>
    <s v=""/>
    <x v="2"/>
    <x v="1"/>
    <x v="7"/>
  </r>
  <r>
    <x v="31"/>
    <s v="CARLOS TAPIA"/>
    <s v="MAÑANA"/>
    <s v="06:00"/>
    <s v="06:15"/>
    <d v="1899-12-30T00:15:00"/>
    <x v="15"/>
    <s v="Maquinaria"/>
    <s v="Limpieza"/>
    <x v="0"/>
    <x v="0"/>
    <s v="Retirar husillo para limpieza y posterior colocación "/>
    <s v="Se retiró husillo para su limpieza y luego se colocó en posición."/>
    <x v="17"/>
    <x v="0"/>
    <s v=""/>
    <s v=""/>
    <s v=""/>
    <x v="14"/>
    <x v="1"/>
    <x v="7"/>
  </r>
  <r>
    <x v="31"/>
    <s v="CARLOS TAPIA"/>
    <s v="MAÑANA"/>
    <s v="06:40"/>
    <s v="07:00"/>
    <d v="1899-12-30T00:20:00"/>
    <x v="3"/>
    <s v="Maquinaria"/>
    <s v="Ajuste /Calibracion"/>
    <x v="1"/>
    <x v="1"/>
    <s v="Sellado de envoltura sale mal y no sella."/>
    <s v="Se revisó y se indico que cambien de laminado.Se probó con otro laminado y el problema desapareció."/>
    <x v="0"/>
    <x v="0"/>
    <s v=""/>
    <s v=""/>
    <s v=""/>
    <x v="122"/>
    <x v="0"/>
    <x v="7"/>
  </r>
  <r>
    <x v="31"/>
    <s v="CARLOS TAPIA"/>
    <s v="MAÑANA"/>
    <s v="07:10"/>
    <s v="07:45"/>
    <d v="1899-12-30T00:35:00"/>
    <x v="52"/>
    <s v="Area"/>
    <s v="Limpieza"/>
    <x v="0"/>
    <x v="0"/>
    <s v="Orden y limpieza de taller "/>
    <s v="Se ordenó y limpio taller y mesa de trabajo "/>
    <x v="0"/>
    <x v="0"/>
    <s v=""/>
    <s v=""/>
    <s v=""/>
    <x v="0"/>
    <x v="0"/>
    <x v="7"/>
  </r>
  <r>
    <x v="31"/>
    <s v="CARLOS TAPIA"/>
    <s v="MAÑANA"/>
    <s v="08:00"/>
    <s v="09:00"/>
    <d v="1899-12-30T01:00:00"/>
    <x v="15"/>
    <s v="Maquinaria"/>
    <s v="Inspección"/>
    <x v="1"/>
    <x v="1"/>
    <s v="Sistema de enfriamiento de temperadora no funciona correctamente. Columna 2 se enfría demasiado y no controla temperatura."/>
    <s v="Se revisó compresor de temperadora se llenó tanques de agua y se informó a jefe de mantenimiento la autorización para agregar refrigerante a compresor."/>
    <x v="0"/>
    <x v="16"/>
    <s v="Columna"/>
    <s v="Temperadora"/>
    <s v=""/>
    <x v="96"/>
    <x v="1"/>
    <x v="7"/>
  </r>
  <r>
    <x v="31"/>
    <s v="CARLOS TAPIA"/>
    <s v="MAÑANA"/>
    <s v="10:00"/>
    <s v="10:20"/>
    <d v="1899-12-30T00:20:00"/>
    <x v="47"/>
    <s v="Maquinaria"/>
    <s v="Inspección"/>
    <x v="0"/>
    <x v="0"/>
    <s v="Inspección de máquina en funcionamiento "/>
    <s v="Se dió seguimiento al funcionamiento de máquina."/>
    <x v="0"/>
    <x v="0"/>
    <s v=""/>
    <s v=""/>
    <s v=""/>
    <x v="0"/>
    <x v="0"/>
    <x v="7"/>
  </r>
  <r>
    <x v="31"/>
    <s v="CARLOS TAPIA"/>
    <s v="MAÑANA"/>
    <s v="11:00"/>
    <s v="11:45"/>
    <d v="1899-12-30T00:45:00"/>
    <x v="21"/>
    <s v="Area"/>
    <s v="Coordinacion"/>
    <x v="0"/>
    <x v="0"/>
    <s v="Ingreso de personal tercero para tomar medidas de pinzas y boquillas de máquinas( v-pack y napolitana)."/>
    <s v="Se acompaño a personal tercero a planta para la toma de medidas de piezas para su fabricación."/>
    <x v="56"/>
    <x v="0"/>
    <s v=""/>
    <s v=""/>
    <s v=""/>
    <x v="0"/>
    <x v="1"/>
    <x v="7"/>
  </r>
  <r>
    <x v="31"/>
    <s v="Cesar Quiroz"/>
    <s v="MAÑANA"/>
    <s v="15:01"/>
    <s v="15:19"/>
    <d v="1899-12-30T00:18:00"/>
    <x v="15"/>
    <s v="Maquinaria"/>
    <s v="Inspección"/>
    <x v="0"/>
    <x v="0"/>
    <s v="Revisión de funcionamiento de temperadora, revisión de niveles de agua"/>
    <s v=""/>
    <x v="0"/>
    <x v="11"/>
    <s v="Temperadora"/>
    <s v=""/>
    <s v=""/>
    <x v="16"/>
    <x v="1"/>
    <x v="7"/>
  </r>
  <r>
    <x v="31"/>
    <s v="Cesar Quiroz"/>
    <s v="TARDE"/>
    <s v="12:49"/>
    <s v="13:12"/>
    <d v="1899-12-30T00:23:00"/>
    <x v="31"/>
    <s v="Equipos auxiliares"/>
    <s v="Inspección"/>
    <x v="0"/>
    <x v="0"/>
    <s v="Revisión de funcionamiento y parámetros de trabajo "/>
    <s v=""/>
    <x v="0"/>
    <x v="0"/>
    <s v=""/>
    <s v=""/>
    <s v=""/>
    <x v="0"/>
    <x v="0"/>
    <x v="7"/>
  </r>
  <r>
    <x v="31"/>
    <s v="Cesar Quiroz"/>
    <s v="TARDE"/>
    <s v="13:21"/>
    <s v="13:43"/>
    <d v="1899-12-30T00:22:00"/>
    <x v="74"/>
    <s v="Area"/>
    <s v="SET UP"/>
    <x v="1"/>
    <x v="2"/>
    <s v="Tablero sin energía, agitadores de ollas no encienden"/>
    <s v="Se revisa tablero, se activa llaves y se prueba funcionamiento de equipos "/>
    <x v="0"/>
    <x v="0"/>
    <s v=""/>
    <s v=""/>
    <s v=""/>
    <x v="58"/>
    <x v="0"/>
    <x v="7"/>
  </r>
  <r>
    <x v="31"/>
    <s v="Cesar Quiroz"/>
    <s v="TARDE"/>
    <s v="14:05"/>
    <s v="14:21"/>
    <d v="1899-12-30T00:16:00"/>
    <x v="34"/>
    <s v="Maquinaria"/>
    <s v="Ajuste /Calibracion"/>
    <x v="1"/>
    <x v="1"/>
    <s v="Pinza no jala bien el papel"/>
    <s v="Se regula posición de pinzas y se realiza pruebas"/>
    <x v="0"/>
    <x v="0"/>
    <s v=""/>
    <s v=""/>
    <s v=""/>
    <x v="43"/>
    <x v="0"/>
    <x v="7"/>
  </r>
  <r>
    <x v="31"/>
    <s v="Cesar Quiroz"/>
    <s v="TARDE"/>
    <s v="14:32"/>
    <s v="14:41"/>
    <d v="1899-12-30T00:09:00"/>
    <x v="50"/>
    <s v="Maquinaria"/>
    <s v="Ajuste /Calibracion"/>
    <x v="1"/>
    <x v="1"/>
    <s v="Sale agua de temperadora"/>
    <s v="Se reviso mangueras, se estranguló entrada de agua fría, se encontró manguera de salida afuera, se colocó dentro de recipiente"/>
    <x v="0"/>
    <x v="11"/>
    <s v="Temperadora"/>
    <s v=""/>
    <s v=""/>
    <x v="0"/>
    <x v="1"/>
    <x v="7"/>
  </r>
  <r>
    <x v="31"/>
    <s v="Cesar Quiroz"/>
    <s v="TARDE"/>
    <s v="15:26"/>
    <s v="16:28"/>
    <d v="1899-12-30T01:02:00"/>
    <x v="3"/>
    <s v="Maquinaria"/>
    <s v="Ajuste /Calibracion"/>
    <x v="1"/>
    <x v="1"/>
    <s v="Sellado de los discos no sella bien, sella con arruga y líneas no están bien marcadas"/>
    <s v="Se coordina con supervisor y se realiza regulación de discos y pruebas con operador, se deja con mejor sellado"/>
    <x v="0"/>
    <x v="0"/>
    <s v=""/>
    <s v=""/>
    <s v=""/>
    <x v="122"/>
    <x v="0"/>
    <x v="7"/>
  </r>
  <r>
    <x v="31"/>
    <s v="Cesar Quiroz"/>
    <s v="TARDE"/>
    <s v="16:38"/>
    <s v="16:55"/>
    <d v="1899-12-30T00:17:00"/>
    <x v="3"/>
    <s v="Maquinaria"/>
    <s v="Ajuste /Calibracion"/>
    <x v="1"/>
    <x v="1"/>
    <s v="Apoyo en regulación de posición de guiadores y bandas para mejorar ingreso de producto"/>
    <s v=""/>
    <x v="0"/>
    <x v="0"/>
    <s v=""/>
    <s v=""/>
    <s v=""/>
    <x v="0"/>
    <x v="0"/>
    <x v="7"/>
  </r>
  <r>
    <x v="31"/>
    <s v="JOSÉ HAÑARI"/>
    <s v="MAÑANA"/>
    <s v="05:50"/>
    <s v="06:10"/>
    <d v="1899-12-30T00:20:00"/>
    <x v="82"/>
    <s v="Equipos"/>
    <s v="Sustitucion"/>
    <x v="1"/>
    <x v="2"/>
    <s v="Switch de balanza de elevador de cacao malogrado "/>
    <s v="Se realiza el cambio de switch y se deja operativo "/>
    <x v="0"/>
    <x v="0"/>
    <s v=""/>
    <s v=""/>
    <s v=""/>
    <x v="0"/>
    <x v="0"/>
    <x v="7"/>
  </r>
  <r>
    <x v="31"/>
    <s v="JOSÉ HAÑARI"/>
    <s v="MAÑANA"/>
    <s v="06:30"/>
    <s v="06:50"/>
    <d v="1899-12-30T00:20:00"/>
    <x v="83"/>
    <s v="Sistema"/>
    <s v="M.General"/>
    <x v="0"/>
    <x v="0"/>
    <s v="Se realiza llenado de pozo de chiller con agua blanda "/>
    <s v=""/>
    <x v="0"/>
    <x v="0"/>
    <s v=""/>
    <s v=""/>
    <s v=""/>
    <x v="0"/>
    <x v="0"/>
    <x v="7"/>
  </r>
  <r>
    <x v="31"/>
    <s v="JOSÉ HAÑARI"/>
    <s v="MAÑANA"/>
    <s v="07:10"/>
    <s v="07:30"/>
    <d v="1899-12-30T00:20:00"/>
    <x v="44"/>
    <s v="Maquinaria"/>
    <s v="Inspección"/>
    <x v="0"/>
    <x v="0"/>
    <s v="Se realiza inspección con el operario por alarmas de equipo "/>
    <s v=""/>
    <x v="0"/>
    <x v="0"/>
    <s v=""/>
    <s v=""/>
    <s v=""/>
    <x v="10"/>
    <x v="0"/>
    <x v="7"/>
  </r>
  <r>
    <x v="31"/>
    <s v="JOSÉ HAÑARI"/>
    <s v="MAÑANA"/>
    <s v="07:45"/>
    <s v="08:20"/>
    <d v="1899-12-30T00:35:00"/>
    <x v="3"/>
    <s v="Maquinaria"/>
    <s v="SET UP"/>
    <x v="0"/>
    <x v="0"/>
    <s v="Se realiza cambio de formato a flowpack 2 a milky"/>
    <s v=""/>
    <x v="0"/>
    <x v="0"/>
    <s v=""/>
    <s v=""/>
    <s v=""/>
    <x v="2"/>
    <x v="0"/>
    <x v="7"/>
  </r>
  <r>
    <x v="31"/>
    <s v="JOSÉ HAÑARI"/>
    <s v="MAÑANA"/>
    <s v="08:50"/>
    <s v="09:30"/>
    <d v="1899-12-30T00:40:00"/>
    <x v="15"/>
    <s v="Maquinaria"/>
    <s v="SET UP"/>
    <x v="0"/>
    <x v="0"/>
    <s v="Se desarma MODULOS DE MDS para limpieza "/>
    <s v=""/>
    <x v="0"/>
    <x v="1"/>
    <s v="Mds"/>
    <s v=""/>
    <s v=""/>
    <x v="0"/>
    <x v="1"/>
    <x v="7"/>
  </r>
  <r>
    <x v="31"/>
    <s v="JOSÉ HAÑARI"/>
    <s v="MAÑANA"/>
    <s v="09:30"/>
    <s v="10:20"/>
    <d v="1899-12-30T00:50:00"/>
    <x v="15"/>
    <s v="Maquinaria"/>
    <s v="SET UP"/>
    <x v="1"/>
    <x v="1"/>
    <s v="Equipo no tempera adecuadamente "/>
    <s v="Se realiza seguimiento y se llena el tanque de agua de sistema de frio y se hace seguimiento en la compresora "/>
    <x v="0"/>
    <x v="0"/>
    <s v=""/>
    <s v=""/>
    <s v=""/>
    <x v="123"/>
    <x v="0"/>
    <x v="7"/>
  </r>
  <r>
    <x v="32"/>
    <s v="Carlos Puma"/>
    <s v="NOCHE"/>
    <s v="00:20"/>
    <s v="01:00"/>
    <d v="1899-12-30T00:40:00"/>
    <x v="17"/>
    <s v="Maquinaria"/>
    <s v="Ajuste /Calibracion"/>
    <x v="0"/>
    <x v="3"/>
    <s v="Barquillos no salen completamente rectos"/>
    <s v="Se apoyó en regulacion de guías y velocidad de rodillo y mandril "/>
    <x v="0"/>
    <x v="0"/>
    <s v=""/>
    <s v=""/>
    <s v=""/>
    <x v="0"/>
    <x v="0"/>
    <x v="7"/>
  </r>
  <r>
    <x v="32"/>
    <s v="Carlos Puma"/>
    <s v="NOCHE"/>
    <s v="01:20"/>
    <s v="01:50"/>
    <d v="1899-12-30T00:30:00"/>
    <x v="3"/>
    <s v="Maquinaria"/>
    <s v="Inspección"/>
    <x v="0"/>
    <x v="0"/>
    <s v="Inspección de equipo "/>
    <s v=""/>
    <x v="0"/>
    <x v="0"/>
    <s v=""/>
    <s v=""/>
    <s v=""/>
    <x v="0"/>
    <x v="0"/>
    <x v="7"/>
  </r>
  <r>
    <x v="32"/>
    <s v="Carlos Puma"/>
    <s v="NOCHE"/>
    <s v="21:45"/>
    <s v="22:10"/>
    <d v="1899-12-30T00:25:00"/>
    <x v="26"/>
    <s v="Maquinaria"/>
    <s v="Ajuste /Calibracion"/>
    <x v="1"/>
    <x v="1"/>
    <s v="Cuchilla no corta papel aluminio "/>
    <s v="Se regulo recorrido de cuchilla , se hizo pruebas de corte , se aumento cinta en rodillo de desbobinando para mejorar el arrastre "/>
    <x v="0"/>
    <x v="0"/>
    <s v=""/>
    <s v=""/>
    <s v=""/>
    <x v="12"/>
    <x v="0"/>
    <x v="7"/>
  </r>
  <r>
    <x v="32"/>
    <s v="Carlos Puma"/>
    <s v="NOCHE"/>
    <s v="22:30"/>
    <s v="23:00"/>
    <d v="1899-12-30T00:30:00"/>
    <x v="32"/>
    <s v="Maquinaria"/>
    <s v="SET UP"/>
    <x v="1"/>
    <x v="2"/>
    <s v="Reportan que equipo se detiene"/>
    <s v="Se reviso alarmas , temperatura de equipo y de producto"/>
    <x v="0"/>
    <x v="0"/>
    <s v=""/>
    <s v=""/>
    <s v=""/>
    <x v="124"/>
    <x v="0"/>
    <x v="7"/>
  </r>
  <r>
    <x v="32"/>
    <s v="Carlos Puma"/>
    <s v="NOCHE"/>
    <s v="23:05"/>
    <s v="23:59"/>
    <d v="1899-12-30T00:54:00"/>
    <x v="3"/>
    <s v="Maquinaria"/>
    <s v="Ajuste /Calibracion"/>
    <x v="0"/>
    <x v="3"/>
    <s v="Apoyó en máquina "/>
    <s v="Se apoyó regulando velocidad de fajas de hacos 2 , velocidad de fajas de transporte y velocidades de fajas guías , se dió seguimient"/>
    <x v="0"/>
    <x v="0"/>
    <s v=""/>
    <s v=""/>
    <s v=""/>
    <x v="0"/>
    <x v="0"/>
    <x v="7"/>
  </r>
  <r>
    <x v="32"/>
    <s v="Carlos Puma"/>
    <s v="NOCHE"/>
    <s v="00:10"/>
    <s v="00:30"/>
    <d v="1899-12-30T00:20:00"/>
    <x v="80"/>
    <s v="Maquinaria"/>
    <s v="SET UP"/>
    <x v="0"/>
    <x v="0"/>
    <s v="Se aumento agua blanda en equipo cr150"/>
    <s v=""/>
    <x v="0"/>
    <x v="0"/>
    <s v=""/>
    <s v=""/>
    <s v=""/>
    <x v="0"/>
    <x v="0"/>
    <x v="7"/>
  </r>
  <r>
    <x v="32"/>
    <s v="Carlos Puma"/>
    <s v="NOCHE"/>
    <s v="00:40"/>
    <s v="01:50"/>
    <d v="1899-12-30T01:10:00"/>
    <x v="32"/>
    <s v="Maquinaria"/>
    <s v="SET UP"/>
    <x v="1"/>
    <x v="3"/>
    <s v="Equipo de detiene por alarma de temperatura baja de producto "/>
    <s v="Se reviso niveles de agua en pozo de chiler y estación termica, se reviso estado de válvulas neumaticas , se cambió a compresor 1 en chiler"/>
    <x v="0"/>
    <x v="0"/>
    <s v=""/>
    <s v=""/>
    <s v=""/>
    <x v="125"/>
    <x v="0"/>
    <x v="7"/>
  </r>
  <r>
    <x v="32"/>
    <s v="Carlos Puma"/>
    <s v="NOCHE"/>
    <s v="02:50"/>
    <s v="03:15"/>
    <d v="1899-12-30T00:25:00"/>
    <x v="32"/>
    <s v="Maquinaria"/>
    <s v="Inspección"/>
    <x v="0"/>
    <x v="0"/>
    <s v="Inspección de equipo "/>
    <s v=""/>
    <x v="0"/>
    <x v="0"/>
    <s v=""/>
    <s v=""/>
    <s v=""/>
    <x v="0"/>
    <x v="0"/>
    <x v="7"/>
  </r>
  <r>
    <x v="32"/>
    <s v="CARLOS TAPIA"/>
    <s v="MAÑANA"/>
    <s v="06:00"/>
    <s v="06:30"/>
    <d v="1899-12-30T00:30:00"/>
    <x v="15"/>
    <s v="Maquinaria"/>
    <s v="SET UP"/>
    <x v="0"/>
    <x v="0"/>
    <s v="Desarmar máquina para su limpieza."/>
    <s v="Se retiró módulo de MDS y piezas del formato armado."/>
    <x v="0"/>
    <x v="0"/>
    <s v=""/>
    <s v=""/>
    <s v=""/>
    <x v="0"/>
    <x v="0"/>
    <x v="7"/>
  </r>
  <r>
    <x v="32"/>
    <s v="CARLOS TAPIA"/>
    <s v="MAÑANA"/>
    <s v="07:00"/>
    <s v="07:30"/>
    <d v="1899-12-30T00:30:00"/>
    <x v="29"/>
    <s v="Maquinaria"/>
    <s v="Reparacion"/>
    <x v="0"/>
    <x v="3"/>
    <s v="Tapa de guarda presenta golpe y daños."/>
    <s v="Se enderezó y soldó parte dañada de tapa."/>
    <x v="57"/>
    <x v="0"/>
    <s v=""/>
    <s v=""/>
    <s v=""/>
    <x v="126"/>
    <x v="1"/>
    <x v="7"/>
  </r>
  <r>
    <x v="32"/>
    <s v="CARLOS TAPIA"/>
    <s v="MAÑANA"/>
    <s v="07:40"/>
    <s v="08:00"/>
    <d v="1899-12-30T00:20:00"/>
    <x v="28"/>
    <s v="Maquinaria"/>
    <s v="Inspección"/>
    <x v="0"/>
    <x v="0"/>
    <s v="Inspección de máquina en funcionamiento."/>
    <s v="Se dió seguimiento al sellado y plegado de laminado en cajas de milky."/>
    <x v="0"/>
    <x v="0"/>
    <s v=""/>
    <s v=""/>
    <s v=""/>
    <x v="0"/>
    <x v="0"/>
    <x v="7"/>
  </r>
  <r>
    <x v="32"/>
    <s v="CARLOS TAPIA"/>
    <s v="MAÑANA"/>
    <s v="10:30"/>
    <s v="11:30"/>
    <d v="1899-12-30T01:00:00"/>
    <x v="52"/>
    <s v="Area"/>
    <s v="M.General"/>
    <x v="0"/>
    <x v="0"/>
    <s v="Coches con ruedas dañadas."/>
    <s v="Se reemplazo ruedas y rodamientos en coches portabandejas."/>
    <x v="0"/>
    <x v="0"/>
    <s v=""/>
    <s v=""/>
    <s v=""/>
    <x v="85"/>
    <x v="0"/>
    <x v="7"/>
  </r>
  <r>
    <x v="32"/>
    <s v="CARLOS TAPIA"/>
    <s v="MAÑANA"/>
    <s v="12:10"/>
    <s v="12:30"/>
    <d v="1899-12-30T00:20:00"/>
    <x v="21"/>
    <s v="Area"/>
    <s v="Lubricación"/>
    <x v="0"/>
    <x v="0"/>
    <s v="Lubricación a cadena ."/>
    <s v="Se lubricó y limpio cadena de máquina."/>
    <x v="14"/>
    <x v="0"/>
    <s v=""/>
    <s v=""/>
    <s v=""/>
    <x v="44"/>
    <x v="1"/>
    <x v="7"/>
  </r>
  <r>
    <x v="33"/>
    <s v="Cesar Quiroz"/>
    <s v="TARDE"/>
    <d v="1899-12-30T12:39:00"/>
    <d v="1899-12-30T12:52:00"/>
    <d v="1899-12-30T00:13:00"/>
    <x v="31"/>
    <s v="Equipos auxiliares"/>
    <s v="Inspección"/>
    <x v="0"/>
    <x v="0"/>
    <s v="Revisión de funcionamiento y parámetros de trabajo "/>
    <s v=""/>
    <x v="0"/>
    <x v="0"/>
    <s v=""/>
    <s v=""/>
    <s v=""/>
    <x v="0"/>
    <x v="0"/>
    <x v="7"/>
  </r>
  <r>
    <x v="33"/>
    <s v="Cesar Quiroz"/>
    <s v="TARDE"/>
    <d v="1899-12-30T13:02:00"/>
    <d v="1899-12-30T14:13:00"/>
    <d v="1899-12-30T01:11:00"/>
    <x v="28"/>
    <s v="Maquinaria"/>
    <s v="Seguimiento / Pruebas"/>
    <x v="0"/>
    <x v="0"/>
    <s v="Apoyo en pruebas realizadas por producción, regulación de temperaturas y altura de plancha para mejora de sellado "/>
    <s v=""/>
    <x v="13"/>
    <x v="0"/>
    <s v=""/>
    <s v=""/>
    <s v=""/>
    <x v="127"/>
    <x v="1"/>
    <x v="7"/>
  </r>
  <r>
    <x v="33"/>
    <s v="Cesar Quiroz"/>
    <s v="TARDE"/>
    <d v="1899-12-30T14:27:00"/>
    <d v="1899-12-30T14:48:00"/>
    <d v="1899-12-30T00:21:00"/>
    <x v="22"/>
    <s v="Maquinaria"/>
    <s v="SET UP"/>
    <x v="1"/>
    <x v="1"/>
    <s v="No sé puede habilitar polin de arrastre, no jala bolsa"/>
    <s v="Se retiro tapa del costado y se regulo posición de sensor para habilitación de polin de arrastre"/>
    <x v="0"/>
    <x v="0"/>
    <s v=""/>
    <s v=""/>
    <s v=""/>
    <x v="43"/>
    <x v="0"/>
    <x v="7"/>
  </r>
  <r>
    <x v="33"/>
    <s v="Cesar Quiroz"/>
    <s v="TARDE"/>
    <d v="1899-12-30T14:55:00"/>
    <d v="1899-12-30T16:20:00"/>
    <d v="1899-12-30T01:25:00"/>
    <x v="28"/>
    <s v="Maquinaria"/>
    <s v="SET UP"/>
    <x v="0"/>
    <x v="0"/>
    <s v="Cambio de formato de pisco x18 a milky x10"/>
    <s v=""/>
    <x v="0"/>
    <x v="0"/>
    <s v=""/>
    <s v=""/>
    <s v=""/>
    <x v="2"/>
    <x v="0"/>
    <x v="7"/>
  </r>
  <r>
    <x v="34"/>
    <s v="Carlos Puma"/>
    <s v="TARDE"/>
    <d v="1899-12-30T13:00:00"/>
    <d v="1899-12-30T13:15:00"/>
    <d v="1899-12-30T00:15:00"/>
    <x v="55"/>
    <s v="Maquinaria"/>
    <s v="Lubricación"/>
    <x v="0"/>
    <x v="0"/>
    <s v="Lubricación y colocación de guardas "/>
    <s v=""/>
    <x v="0"/>
    <x v="0"/>
    <s v=""/>
    <s v=""/>
    <s v=""/>
    <x v="44"/>
    <x v="0"/>
    <x v="8"/>
  </r>
  <r>
    <x v="34"/>
    <s v="Carlos Puma"/>
    <s v="TARDE"/>
    <d v="1899-12-30T13:20:00"/>
    <d v="1899-12-30T13:50:00"/>
    <d v="1899-12-30T00:30:00"/>
    <x v="15"/>
    <s v="Maquinaria"/>
    <s v="Inspección"/>
    <x v="0"/>
    <x v="0"/>
    <s v="Inspección de equipo "/>
    <s v=""/>
    <x v="0"/>
    <x v="0"/>
    <s v=""/>
    <s v=""/>
    <s v=""/>
    <x v="0"/>
    <x v="0"/>
    <x v="8"/>
  </r>
  <r>
    <x v="34"/>
    <s v="Carlos Puma"/>
    <s v="TARDE"/>
    <d v="1899-12-30T14:00:00"/>
    <d v="1899-12-30T14:45:00"/>
    <d v="1899-12-30T00:45:00"/>
    <x v="50"/>
    <s v="Maquinaria"/>
    <s v="SET UP"/>
    <x v="0"/>
    <x v="0"/>
    <s v="Armado de piezas en cabina de bañadora. Se apoyó en el cocido de malla transportadora"/>
    <s v=""/>
    <x v="58"/>
    <x v="0"/>
    <s v=""/>
    <s v=""/>
    <s v=""/>
    <x v="0"/>
    <x v="1"/>
    <x v="8"/>
  </r>
  <r>
    <x v="34"/>
    <s v="Carlos Puma"/>
    <s v="TARDE"/>
    <d v="1899-12-30T14:50:00"/>
    <d v="1899-12-30T15:15:00"/>
    <d v="1899-12-30T00:25:00"/>
    <x v="19"/>
    <s v="Maquinaria"/>
    <s v="SET UP"/>
    <x v="0"/>
    <x v="0"/>
    <s v="Armado de equipo "/>
    <s v=""/>
    <x v="0"/>
    <x v="0"/>
    <s v=""/>
    <s v=""/>
    <s v=""/>
    <x v="0"/>
    <x v="0"/>
    <x v="8"/>
  </r>
  <r>
    <x v="34"/>
    <s v="Carlos Puma"/>
    <s v="TARDE"/>
    <d v="1899-12-30T15:20:00"/>
    <d v="1899-12-30T15:50:00"/>
    <d v="1899-12-30T00:30:00"/>
    <x v="15"/>
    <s v="Maquinaria"/>
    <s v="Ajuste /Calibracion"/>
    <x v="1"/>
    <x v="1"/>
    <s v="Temperaturas de agua incorrectas en temperadora , no calienta"/>
    <s v="Se reviso circuito de agua caliente , se reviso válvulas checks , se purgó bombas, se dejó temperando"/>
    <x v="0"/>
    <x v="11"/>
    <s v="Temperadora"/>
    <s v=""/>
    <s v=""/>
    <x v="128"/>
    <x v="1"/>
    <x v="8"/>
  </r>
  <r>
    <x v="34"/>
    <s v="Carlos Puma"/>
    <s v="TARDE"/>
    <d v="1899-12-30T16:00:00"/>
    <d v="1899-12-30T16:30:00"/>
    <d v="1899-12-30T00:30:00"/>
    <x v="30"/>
    <s v="Maquinaria"/>
    <s v="Limpieza"/>
    <x v="1"/>
    <x v="1"/>
    <s v="Error de fase de gota"/>
    <s v="Se realizó la limpieza de cabezal y se ejecuto programa de mantenimiento "/>
    <x v="0"/>
    <x v="0"/>
    <s v=""/>
    <s v=""/>
    <s v=""/>
    <x v="6"/>
    <x v="0"/>
    <x v="8"/>
  </r>
  <r>
    <x v="34"/>
    <s v="Carlos Puma"/>
    <s v="TARDE"/>
    <d v="1899-12-30T16:35:00"/>
    <d v="1899-12-30T17:00:00"/>
    <d v="1899-12-30T00:25:00"/>
    <x v="15"/>
    <s v="Maquinaria"/>
    <s v="SET UP"/>
    <x v="1"/>
    <x v="1"/>
    <s v="Reportan que temperatura de agua fría en temperadora demora en bajar"/>
    <s v="Se cargó gas refrigerante, se midio consumo del compresor y se dió seguimiento"/>
    <x v="0"/>
    <x v="11"/>
    <s v="Temperadora"/>
    <s v=""/>
    <s v=""/>
    <x v="129"/>
    <x v="1"/>
    <x v="8"/>
  </r>
  <r>
    <x v="34"/>
    <s v="Carlos Puma"/>
    <s v="TARDE"/>
    <d v="1899-12-30T17:05:00"/>
    <d v="1899-12-30T18:00:00"/>
    <d v="1899-12-30T00:55:00"/>
    <x v="50"/>
    <s v="Maquinaria"/>
    <s v="SET UP"/>
    <x v="0"/>
    <x v="0"/>
    <s v="Se armó partes del túnel de enfriamiento, se coloco polines y guardas , se subsanó observaciones de cabina de bañado"/>
    <s v=""/>
    <x v="3"/>
    <x v="0"/>
    <s v=""/>
    <s v=""/>
    <s v=""/>
    <x v="96"/>
    <x v="1"/>
    <x v="8"/>
  </r>
  <r>
    <x v="34"/>
    <s v="Carlos Puma"/>
    <s v="TARDE"/>
    <d v="1899-12-30T18:10:00"/>
    <d v="1899-12-30T18:20:00"/>
    <d v="1899-12-30T00:10:00"/>
    <x v="18"/>
    <s v="Maquinaria"/>
    <s v="SET UP"/>
    <x v="0"/>
    <x v="0"/>
    <s v="Armado de equipo "/>
    <s v=""/>
    <x v="0"/>
    <x v="0"/>
    <s v=""/>
    <s v=""/>
    <s v=""/>
    <x v="0"/>
    <x v="0"/>
    <x v="8"/>
  </r>
  <r>
    <x v="34"/>
    <s v="Carlos Puma"/>
    <s v="TARDE"/>
    <d v="1899-12-30T19:30:00"/>
    <d v="1899-12-30T19:45:00"/>
    <d v="1899-12-30T00:15:00"/>
    <x v="26"/>
    <s v="Maquinaria"/>
    <s v="SET UP"/>
    <x v="0"/>
    <x v="0"/>
    <s v="Armado de equipo "/>
    <s v=""/>
    <x v="0"/>
    <x v="0"/>
    <s v=""/>
    <s v=""/>
    <s v=""/>
    <x v="0"/>
    <x v="0"/>
    <x v="8"/>
  </r>
  <r>
    <x v="34"/>
    <s v="Carlos Puma"/>
    <s v="TARDE"/>
    <d v="1899-12-30T19:50:00"/>
    <d v="1899-12-30T20:00:00"/>
    <d v="1899-12-30T00:10:00"/>
    <x v="18"/>
    <s v="Maquinaria"/>
    <s v="SET UP"/>
    <x v="0"/>
    <x v="0"/>
    <s v="Desarme de equipo "/>
    <s v=""/>
    <x v="0"/>
    <x v="0"/>
    <s v=""/>
    <s v=""/>
    <s v=""/>
    <x v="0"/>
    <x v="0"/>
    <x v="8"/>
  </r>
  <r>
    <x v="34"/>
    <s v="Carlos Puma"/>
    <s v="TARDE"/>
    <d v="1899-12-30T20:10:00"/>
    <d v="1899-12-30T20:40:00"/>
    <d v="1899-12-30T00:30:00"/>
    <x v="84"/>
    <s v="Area"/>
    <s v="SET UP"/>
    <x v="0"/>
    <x v="0"/>
    <s v="Apoyó en Desarme y armado de equipo "/>
    <s v=""/>
    <x v="0"/>
    <x v="0"/>
    <s v=""/>
    <s v=""/>
    <s v=""/>
    <x v="0"/>
    <x v="0"/>
    <x v="8"/>
  </r>
  <r>
    <x v="34"/>
    <s v="CARLOS TAPIA"/>
    <s v="NOCHE"/>
    <d v="1899-12-30T21:30:00"/>
    <d v="1899-12-30T22:00:00"/>
    <d v="1899-12-30T00:30:00"/>
    <x v="15"/>
    <s v="Maquinaria"/>
    <s v="Limpieza"/>
    <x v="0"/>
    <x v="0"/>
    <s v="Retirar husillo para limpieza."/>
    <s v="Se retiró husillo para su limpieza."/>
    <x v="17"/>
    <x v="0"/>
    <s v=""/>
    <s v=""/>
    <s v=""/>
    <x v="14"/>
    <x v="1"/>
    <x v="8"/>
  </r>
  <r>
    <x v="34"/>
    <s v="CARLOS TAPIA"/>
    <s v="NOCHE"/>
    <d v="1899-12-30T22:30:00"/>
    <d v="1899-12-30T23:00:00"/>
    <d v="1899-12-30T00:30:00"/>
    <x v="44"/>
    <s v="Maquinaria"/>
    <s v="Sustitucion"/>
    <x v="1"/>
    <x v="1"/>
    <s v="Volante de compuerta se salió."/>
    <s v="Se revisó y se reemplazo pasador que sujeta dicho volante"/>
    <x v="0"/>
    <x v="0"/>
    <s v=""/>
    <s v=""/>
    <s v=""/>
    <x v="0"/>
    <x v="0"/>
    <x v="8"/>
  </r>
  <r>
    <x v="34"/>
    <s v="Cesar Quiroz"/>
    <s v="MAÑANA"/>
    <d v="1899-12-30T05:36:00"/>
    <d v="1899-12-30T06:12:00"/>
    <d v="1899-12-30T00:36:00"/>
    <x v="31"/>
    <s v="Equipos auxiliares"/>
    <s v="Encendido / Arranque de linea"/>
    <x v="0"/>
    <x v="0"/>
    <s v="Arranque y verificación de funcionamiento de equipos de planta"/>
    <s v=""/>
    <x v="0"/>
    <x v="0"/>
    <s v=""/>
    <s v=""/>
    <s v=""/>
    <x v="0"/>
    <x v="0"/>
    <x v="8"/>
  </r>
  <r>
    <x v="34"/>
    <s v="Cesar Quiroz"/>
    <s v="MAÑANA"/>
    <d v="1899-12-30T06:47:00"/>
    <d v="1899-12-30T07:13:00"/>
    <d v="1899-12-30T00:26:00"/>
    <x v="19"/>
    <s v="Maquinaria"/>
    <s v="SET UP"/>
    <x v="0"/>
    <x v="0"/>
    <s v="Desarmado de equipo para limpieza "/>
    <s v=""/>
    <x v="0"/>
    <x v="0"/>
    <s v=""/>
    <s v=""/>
    <s v=""/>
    <x v="0"/>
    <x v="0"/>
    <x v="8"/>
  </r>
  <r>
    <x v="34"/>
    <s v="Cesar Quiroz"/>
    <s v="MAÑANA"/>
    <d v="1899-12-30T07:16:00"/>
    <d v="1899-12-30T07:39:00"/>
    <d v="1899-12-30T00:23:00"/>
    <x v="3"/>
    <s v="Maquinaria"/>
    <s v="SET UP"/>
    <x v="0"/>
    <x v="0"/>
    <s v="Desarmado de equipo para limpieza semanal"/>
    <s v=""/>
    <x v="0"/>
    <x v="0"/>
    <s v=""/>
    <s v=""/>
    <s v=""/>
    <x v="0"/>
    <x v="0"/>
    <x v="8"/>
  </r>
  <r>
    <x v="34"/>
    <s v="Cesar Quiroz"/>
    <s v="MAÑANA"/>
    <d v="1899-12-30T07:44:00"/>
    <d v="1899-12-30T08:10:00"/>
    <d v="1899-12-30T00:26:00"/>
    <x v="50"/>
    <s v="Maquinaria"/>
    <s v="SET UP"/>
    <x v="0"/>
    <x v="0"/>
    <s v="Retiro de polines y tapas de túnel para limpieza"/>
    <s v=""/>
    <x v="59"/>
    <x v="0"/>
    <s v=""/>
    <s v=""/>
    <s v=""/>
    <x v="14"/>
    <x v="1"/>
    <x v="8"/>
  </r>
  <r>
    <x v="34"/>
    <s v="Cesar Quiroz"/>
    <s v="MAÑANA"/>
    <d v="1899-12-30T08:15:00"/>
    <d v="1899-12-30T08:31:00"/>
    <d v="1899-12-30T00:16:00"/>
    <x v="49"/>
    <s v="Maquinaria"/>
    <s v="SET UP"/>
    <x v="0"/>
    <x v="0"/>
    <s v="Retiro de tapas y destensado de banda"/>
    <s v=""/>
    <x v="60"/>
    <x v="0"/>
    <s v=""/>
    <s v=""/>
    <s v=""/>
    <x v="130"/>
    <x v="1"/>
    <x v="8"/>
  </r>
  <r>
    <x v="34"/>
    <s v="Cesar Quiroz"/>
    <s v="MAÑANA"/>
    <d v="1899-12-30T08:37:00"/>
    <d v="1899-12-30T08:56:00"/>
    <d v="1899-12-30T00:19:00"/>
    <x v="40"/>
    <s v="Maquinaria"/>
    <s v="SET UP"/>
    <x v="1"/>
    <x v="1"/>
    <s v="Chocolate seco en tina, equipo apagado"/>
    <s v="Se coloco equipo en modo calentamiento, se verifico que resistencias empiezen a calentar tina"/>
    <x v="0"/>
    <x v="0"/>
    <s v=""/>
    <s v=""/>
    <s v=""/>
    <x v="131"/>
    <x v="0"/>
    <x v="8"/>
  </r>
  <r>
    <x v="34"/>
    <s v="Cesar Quiroz"/>
    <s v="MAÑANA"/>
    <d v="1899-12-30T09:09:00"/>
    <d v="1899-12-30T09:24:00"/>
    <d v="1899-12-30T00:15:00"/>
    <x v="3"/>
    <s v="Maquinaria"/>
    <s v="SET UP"/>
    <x v="0"/>
    <x v="0"/>
    <s v="Retiro de cadena para lavado "/>
    <s v=""/>
    <x v="14"/>
    <x v="0"/>
    <s v=""/>
    <s v=""/>
    <s v=""/>
    <x v="14"/>
    <x v="1"/>
    <x v="8"/>
  </r>
  <r>
    <x v="34"/>
    <s v="Cesar Quiroz"/>
    <s v="MAÑANA"/>
    <d v="1899-12-30T09:36:00"/>
    <d v="1899-12-30T10:15:00"/>
    <d v="1899-12-30T00:39:00"/>
    <x v="66"/>
    <s v="Maquinaria"/>
    <s v="SET UP"/>
    <x v="0"/>
    <x v="0"/>
    <s v="Cambio de bordes de pieza para descarga"/>
    <s v=""/>
    <x v="0"/>
    <x v="0"/>
    <s v=""/>
    <s v=""/>
    <s v=""/>
    <x v="38"/>
    <x v="0"/>
    <x v="8"/>
  </r>
  <r>
    <x v="34"/>
    <s v="JOSÉ HAÑARI"/>
    <s v="MAÑANA"/>
    <d v="1899-12-30T05:40:00"/>
    <d v="1899-12-30T06:20:00"/>
    <d v="1899-12-30T00:40:00"/>
    <x v="21"/>
    <s v="Area"/>
    <s v="Encendido / Arranque de linea"/>
    <x v="0"/>
    <x v="0"/>
    <s v="Encendido de planta "/>
    <s v=""/>
    <x v="0"/>
    <x v="0"/>
    <s v=""/>
    <s v=""/>
    <s v=""/>
    <x v="0"/>
    <x v="0"/>
    <x v="8"/>
  </r>
  <r>
    <x v="34"/>
    <s v="JOSÉ HAÑARI"/>
    <s v="MAÑANA"/>
    <d v="1899-12-30T06:15:00"/>
    <d v="1899-12-30T06:40:00"/>
    <d v="1899-12-30T00:25:00"/>
    <x v="23"/>
    <s v="Area"/>
    <s v="M.General"/>
    <x v="1"/>
    <x v="0"/>
    <s v="No hay iluminación producto terminado,aduanas y pasadisos "/>
    <s v="Se reviso tablero, se encontró circuito nuevo con llaves en falla, se habilitar iluminación "/>
    <x v="0"/>
    <x v="0"/>
    <s v=""/>
    <s v=""/>
    <s v=""/>
    <x v="0"/>
    <x v="0"/>
    <x v="8"/>
  </r>
  <r>
    <x v="34"/>
    <s v="JOSÉ HAÑARI"/>
    <s v="MAÑANA"/>
    <d v="1899-12-30T06:50:00"/>
    <d v="1899-12-30T07:20:00"/>
    <d v="1899-12-30T00:30:00"/>
    <x v="19"/>
    <s v="Maquinaria"/>
    <s v="SET UP"/>
    <x v="0"/>
    <x v="0"/>
    <s v="se realiza desarmado de equipo  para limpieza "/>
    <s v=""/>
    <x v="0"/>
    <x v="0"/>
    <s v=""/>
    <s v=""/>
    <s v=""/>
    <x v="0"/>
    <x v="0"/>
    <x v="8"/>
  </r>
  <r>
    <x v="34"/>
    <s v="JOSÉ HAÑARI"/>
    <s v="MAÑANA"/>
    <d v="1899-12-30T07:40:00"/>
    <d v="1899-12-30T08:10:00"/>
    <d v="1899-12-30T00:30:00"/>
    <x v="47"/>
    <s v="Maquinaria"/>
    <s v="SET UP"/>
    <x v="0"/>
    <x v="0"/>
    <s v="Desarmado de guardas de hacos 2 para limpieza "/>
    <s v=""/>
    <x v="0"/>
    <x v="0"/>
    <s v=""/>
    <s v=""/>
    <s v=""/>
    <x v="0"/>
    <x v="0"/>
    <x v="8"/>
  </r>
  <r>
    <x v="34"/>
    <s v="JOSÉ HAÑARI"/>
    <s v="MAÑANA"/>
    <d v="1899-12-30T08:20:00"/>
    <d v="1899-12-30T08:40:00"/>
    <d v="1899-12-30T00:20:00"/>
    <x v="50"/>
    <s v="Maquinaria"/>
    <s v="SET UP"/>
    <x v="0"/>
    <x v="0"/>
    <s v="Desarmado de polines y rascadores para limpieza "/>
    <s v=""/>
    <x v="61"/>
    <x v="0"/>
    <s v=""/>
    <s v=""/>
    <s v=""/>
    <x v="0"/>
    <x v="1"/>
    <x v="8"/>
  </r>
  <r>
    <x v="34"/>
    <s v="JOSÉ HAÑARI"/>
    <s v="MAÑANA"/>
    <d v="1899-12-30T09:00:00"/>
    <d v="1899-12-30T10:00:00"/>
    <d v="1899-12-30T01:00:00"/>
    <x v="5"/>
    <s v="Maquinaria"/>
    <s v="Ajuste /Calibracion"/>
    <x v="0"/>
    <x v="3"/>
    <s v="SACMI caja de disco sin calibrar "/>
    <s v="Se calibrar punto cero y se arma equipo "/>
    <x v="62"/>
    <x v="0"/>
    <s v=""/>
    <s v=""/>
    <s v=""/>
    <x v="28"/>
    <x v="1"/>
    <x v="8"/>
  </r>
  <r>
    <x v="34"/>
    <s v="JOSÉ HAÑARI"/>
    <s v="MAÑANA"/>
    <d v="1899-12-30T10:10:00"/>
    <d v="1899-12-30T10:25:00"/>
    <d v="1899-12-30T00:15:00"/>
    <x v="49"/>
    <s v="Maquinaria"/>
    <s v="SET UP"/>
    <x v="0"/>
    <x v="0"/>
    <s v="Se destensa faja de bañadora 2 "/>
    <s v=""/>
    <x v="9"/>
    <x v="0"/>
    <s v=""/>
    <s v=""/>
    <s v=""/>
    <x v="0"/>
    <x v="1"/>
    <x v="8"/>
  </r>
  <r>
    <x v="35"/>
    <s v="Carlos Puma"/>
    <s v="TARDE"/>
    <d v="1899-12-30T13:00:00"/>
    <d v="1899-12-30T14:00:00"/>
    <d v="1899-12-30T01:00:00"/>
    <x v="52"/>
    <s v="Area"/>
    <s v="SET UP"/>
    <x v="0"/>
    <x v="0"/>
    <s v="Apoyó en revisión/habilitación  de samfill "/>
    <s v=""/>
    <x v="0"/>
    <x v="12"/>
    <s v="Sammfill"/>
    <s v=""/>
    <s v=""/>
    <x v="0"/>
    <x v="1"/>
    <x v="8"/>
  </r>
  <r>
    <x v="35"/>
    <s v="Carlos Puma"/>
    <s v="TARDE"/>
    <d v="1899-12-30T14:05:00"/>
    <d v="1899-12-30T14:23:00"/>
    <d v="1899-12-30T00:18:00"/>
    <x v="50"/>
    <s v="Maquinaria"/>
    <s v="Limpieza"/>
    <x v="1"/>
    <x v="1"/>
    <s v="Reportan problemas con manija de regulación de soplador"/>
    <s v="Se reviso manija se realla limpieza y lubricación "/>
    <x v="0"/>
    <x v="0"/>
    <s v=""/>
    <s v=""/>
    <s v=""/>
    <x v="0"/>
    <x v="0"/>
    <x v="8"/>
  </r>
  <r>
    <x v="35"/>
    <s v="Carlos Puma"/>
    <s v="TARDE"/>
    <d v="1899-12-30T14:29:00"/>
    <d v="1899-12-30T15:00:00"/>
    <d v="1899-12-30T00:31:00"/>
    <x v="5"/>
    <s v="Maquinaria"/>
    <s v="Sustitucion"/>
    <x v="0"/>
    <x v="3"/>
    <s v="Se remplazo juego de pinzas y se apoyó en regulación de velocidades de fajas , se dió seguimiento "/>
    <s v=""/>
    <x v="63"/>
    <x v="0"/>
    <s v=""/>
    <s v=""/>
    <s v=""/>
    <x v="103"/>
    <x v="1"/>
    <x v="8"/>
  </r>
  <r>
    <x v="35"/>
    <s v="Carlos Puma"/>
    <s v="TARDE"/>
    <d v="1899-12-30T15:10:00"/>
    <d v="1899-12-30T16:50:00"/>
    <d v="1899-12-30T01:40:00"/>
    <x v="27"/>
    <s v="Maquinaria"/>
    <s v="Ajuste /Calibracion"/>
    <x v="1"/>
    <x v="1"/>
    <s v="Reportan que equipo se apagó."/>
    <s v="Se habilito equipo ,se apoyó en regulación de faja y surtidor"/>
    <x v="0"/>
    <x v="0"/>
    <s v=""/>
    <s v=""/>
    <s v=""/>
    <x v="0"/>
    <x v="0"/>
    <x v="8"/>
  </r>
  <r>
    <x v="35"/>
    <s v="Carlos Puma"/>
    <s v="TARDE"/>
    <d v="1899-12-30T16:10:00"/>
    <d v="1899-12-30T17:30:00"/>
    <d v="1899-12-30T01:20:00"/>
    <x v="3"/>
    <s v="Maquinaria"/>
    <s v="SET UP"/>
    <x v="0"/>
    <x v="0"/>
    <s v="Habilitacion de linea flowpack 2"/>
    <s v="Se cambió formato para minimilky , se armó y alineó fajas guías , se habilito codificadora y se cambió cartuchos de aditivo y de tinta"/>
    <x v="0"/>
    <x v="0"/>
    <s v=""/>
    <s v=""/>
    <s v=""/>
    <x v="0"/>
    <x v="0"/>
    <x v="8"/>
  </r>
  <r>
    <x v="35"/>
    <s v="Carlos Puma"/>
    <s v="TARDE"/>
    <d v="1899-12-30T17:40:00"/>
    <d v="1899-12-30T17:50:00"/>
    <d v="1899-12-30T00:10:00"/>
    <x v="18"/>
    <s v="Maquinaria"/>
    <s v="SET UP"/>
    <x v="0"/>
    <x v="0"/>
    <s v="Armado de equipo "/>
    <s v=""/>
    <x v="0"/>
    <x v="0"/>
    <s v=""/>
    <s v=""/>
    <s v=""/>
    <x v="0"/>
    <x v="0"/>
    <x v="8"/>
  </r>
  <r>
    <x v="35"/>
    <s v="Carlos Puma"/>
    <s v="TARDE"/>
    <d v="1899-12-30T19:00:00"/>
    <d v="1899-12-30T20:00:00"/>
    <d v="1899-12-30T01:00:00"/>
    <x v="36"/>
    <s v="Maquinaria"/>
    <s v="Sustitucion"/>
    <x v="0"/>
    <x v="3"/>
    <s v="Habilitacion de extractor de aire "/>
    <s v="Se remplazo parada de emergencia y contactos de selector de encendido-apagado"/>
    <x v="64"/>
    <x v="0"/>
    <s v=""/>
    <s v=""/>
    <s v=""/>
    <x v="0"/>
    <x v="1"/>
    <x v="8"/>
  </r>
  <r>
    <x v="35"/>
    <s v="CARLOS TAPIA"/>
    <s v="NOCHE"/>
    <d v="1899-12-30T01:00:00"/>
    <d v="1899-12-30T01:30:00"/>
    <d v="1899-12-30T00:30:00"/>
    <x v="47"/>
    <s v="Maquinaria"/>
    <s v="Inspección"/>
    <x v="0"/>
    <x v="0"/>
    <s v="Inspección de máquina en funcionamiento "/>
    <s v="Se dió seguimiento al funcionamiento de máquina "/>
    <x v="0"/>
    <x v="0"/>
    <s v=""/>
    <s v=""/>
    <s v=""/>
    <x v="0"/>
    <x v="0"/>
    <x v="8"/>
  </r>
  <r>
    <x v="35"/>
    <s v="CARLOS TAPIA"/>
    <s v="NOCHE"/>
    <d v="1899-12-30T02:00:00"/>
    <d v="1899-12-30T02:20:00"/>
    <d v="1899-12-30T00:20:00"/>
    <x v="39"/>
    <s v="Maquinaria"/>
    <s v="Inspección"/>
    <x v="0"/>
    <x v="0"/>
    <s v="Inspección de máquina en funcionamiento "/>
    <s v="Se dió seguimiento al funcionamiento de máquina "/>
    <x v="0"/>
    <x v="0"/>
    <s v=""/>
    <s v=""/>
    <s v=""/>
    <x v="0"/>
    <x v="0"/>
    <x v="8"/>
  </r>
  <r>
    <x v="35"/>
    <s v="CARLOS TAPIA"/>
    <s v="NOCHE"/>
    <d v="1899-12-30T21:30:00"/>
    <d v="1899-12-30T22:00:00"/>
    <d v="1899-12-30T00:30:00"/>
    <x v="50"/>
    <s v="Maquinaria"/>
    <s v="Inspección"/>
    <x v="0"/>
    <x v="0"/>
    <s v="Inspección de máquina en funcionamiento "/>
    <s v="Se dió seguimiento al funcionamiento de máquina "/>
    <x v="0"/>
    <x v="0"/>
    <s v=""/>
    <s v=""/>
    <s v=""/>
    <x v="0"/>
    <x v="0"/>
    <x v="8"/>
  </r>
  <r>
    <x v="35"/>
    <s v="CARLOS TAPIA"/>
    <s v="NOCHE"/>
    <d v="1899-12-30T22:30:00"/>
    <d v="1899-12-30T23:00:00"/>
    <d v="1899-12-30T00:30:00"/>
    <x v="3"/>
    <s v="Maquinaria"/>
    <s v="SET UP"/>
    <x v="0"/>
    <x v="0"/>
    <s v="Cambio de formato de minimilky a milky."/>
    <s v="Se retiró pines y se limpio sensores . Se habilitó bandas y planchas."/>
    <x v="0"/>
    <x v="0"/>
    <s v=""/>
    <s v=""/>
    <s v=""/>
    <x v="2"/>
    <x v="0"/>
    <x v="8"/>
  </r>
  <r>
    <x v="35"/>
    <s v="CARLOS TAPIA"/>
    <s v="NOCHE"/>
    <d v="1899-12-30T22:50:00"/>
    <d v="1899-12-30T23:20:00"/>
    <d v="1899-12-30T00:30:00"/>
    <x v="28"/>
    <s v="Maquinaria"/>
    <s v="SET UP"/>
    <x v="0"/>
    <x v="0"/>
    <s v="Borneras de sensor (fin de carrera) se encuentran expuestos."/>
    <s v="Se colocó una guarda de plastico"/>
    <x v="65"/>
    <x v="0"/>
    <s v=""/>
    <s v=""/>
    <s v=""/>
    <x v="132"/>
    <x v="1"/>
    <x v="8"/>
  </r>
  <r>
    <x v="35"/>
    <s v="JOSÉ HAÑARI"/>
    <s v="MAÑANA"/>
    <d v="1899-12-30T12:50:00"/>
    <d v="1899-12-30T14:10:00"/>
    <d v="1899-12-30T01:20:00"/>
    <x v="52"/>
    <s v="Area"/>
    <s v="M.General"/>
    <x v="0"/>
    <x v="0"/>
    <s v="Se realiza fabricación de chaveta de samfil "/>
    <s v=""/>
    <x v="0"/>
    <x v="12"/>
    <s v="Sammfill"/>
    <s v=""/>
    <s v=""/>
    <x v="0"/>
    <x v="1"/>
    <x v="8"/>
  </r>
  <r>
    <x v="36"/>
    <s v="CARLOS TAPIA"/>
    <s v="NOCHE"/>
    <d v="1899-12-30T01:00:00"/>
    <d v="1899-12-30T02:00:00"/>
    <d v="1899-12-30T01:00:00"/>
    <x v="15"/>
    <s v="Maquinaria"/>
    <s v="Inspección"/>
    <x v="1"/>
    <x v="1"/>
    <s v="Columna 1 de la temperadora se enfría demasiado y bloquea el equipo."/>
    <s v="Se revisó niveles de agua, y se calentó columna"/>
    <x v="0"/>
    <x v="16"/>
    <s v="Columna"/>
    <s v="Temperadora"/>
    <s v=""/>
    <x v="25"/>
    <x v="1"/>
    <x v="8"/>
  </r>
  <r>
    <x v="36"/>
    <s v="CARLOS TAPIA"/>
    <s v="NOCHE"/>
    <d v="1899-12-30T02:50:00"/>
    <d v="1899-12-30T03:00:00"/>
    <d v="1899-12-30T00:10:00"/>
    <x v="29"/>
    <s v="Maquinaria"/>
    <s v="Ajuste /Calibracion"/>
    <x v="1"/>
    <x v="1"/>
    <s v="Guarda principal se cae, pistones no logran soportar el peso de la guarda."/>
    <s v="Se colocó pistones de apoyo para levantar guarda."/>
    <x v="0"/>
    <x v="0"/>
    <s v=""/>
    <s v=""/>
    <s v=""/>
    <x v="133"/>
    <x v="0"/>
    <x v="8"/>
  </r>
  <r>
    <x v="36"/>
    <s v="CARLOS TAPIA"/>
    <s v="NOCHE"/>
    <d v="1899-12-30T21:00:00"/>
    <d v="1899-12-30T22:00:00"/>
    <d v="1899-12-30T01:00:00"/>
    <x v="15"/>
    <s v="Maquinaria"/>
    <s v="Sustitucion"/>
    <x v="1"/>
    <x v="1"/>
    <s v="Columnas de temperado se bloquean."/>
    <s v="Se apoyo con el cambio de válvula selenoide de columna 1, ya que se encuentra dañada (tiene pase).Se llena agua a tanques y se realizó purgas.Se activa modo calentamiento y se le dió seguimiento."/>
    <x v="0"/>
    <x v="16"/>
    <s v="Columna"/>
    <s v="Temperadora"/>
    <s v=""/>
    <x v="25"/>
    <x v="1"/>
    <x v="8"/>
  </r>
  <r>
    <x v="36"/>
    <s v="CARLOS TAPIA"/>
    <s v="NOCHE"/>
    <d v="1899-12-30T22:30:00"/>
    <d v="1899-12-30T23:00:00"/>
    <d v="1899-12-30T00:30:00"/>
    <x v="71"/>
    <s v="Maquinaria"/>
    <s v="SET UP"/>
    <x v="1"/>
    <x v="1"/>
    <s v="Mordaza y cuchilla sellaron accidentalmente el producto."/>
    <s v="Se revisó y retiró cuchilla para su limpieza. Se limpió canal de mordazas y se colocó en posición la cuchilla."/>
    <x v="0"/>
    <x v="0"/>
    <s v=""/>
    <s v=""/>
    <s v=""/>
    <x v="0"/>
    <x v="0"/>
    <x v="8"/>
  </r>
  <r>
    <x v="36"/>
    <s v="CARLOS TAPIA"/>
    <s v="NOCHE"/>
    <d v="1899-12-30T23:15:00"/>
    <d v="1899-12-30T23:50:00"/>
    <d v="1899-12-30T00:35:00"/>
    <x v="28"/>
    <s v="Maquinaria"/>
    <s v="SET UP"/>
    <x v="0"/>
    <x v="0"/>
    <s v="Calibración de máquina. Formato milky x10."/>
    <s v="Se calibró el plegado y sellado de laminado. Se ajusto el corte de laminado y la apertura de la mesa."/>
    <x v="0"/>
    <x v="0"/>
    <s v=""/>
    <s v=""/>
    <s v=""/>
    <x v="93"/>
    <x v="0"/>
    <x v="8"/>
  </r>
  <r>
    <x v="36"/>
    <s v="Cesar Quiroz"/>
    <s v="MAÑANA"/>
    <d v="1899-12-30T05:40:00"/>
    <d v="1899-12-30T06:01:00"/>
    <d v="1899-12-30T00:21:00"/>
    <x v="31"/>
    <s v="Equipos auxiliares"/>
    <s v="Inspección"/>
    <x v="0"/>
    <x v="0"/>
    <s v="Revisión de funcionamiento y parámetros de trabajo "/>
    <s v=""/>
    <x v="0"/>
    <x v="0"/>
    <s v=""/>
    <s v=""/>
    <s v=""/>
    <x v="0"/>
    <x v="0"/>
    <x v="8"/>
  </r>
  <r>
    <x v="36"/>
    <s v="Cesar Quiroz"/>
    <s v="MAÑANA"/>
    <d v="1899-12-30T06:14:00"/>
    <d v="1899-12-30T06:36:00"/>
    <d v="1899-12-30T00:22:00"/>
    <x v="39"/>
    <s v="Maquinaria"/>
    <s v="Inspección"/>
    <x v="0"/>
    <x v="0"/>
    <s v="Revisión de funcionamiento de equipo"/>
    <s v=""/>
    <x v="0"/>
    <x v="0"/>
    <s v=""/>
    <s v=""/>
    <s v=""/>
    <x v="0"/>
    <x v="0"/>
    <x v="8"/>
  </r>
  <r>
    <x v="36"/>
    <s v="Cesar Quiroz"/>
    <s v="MAÑANA"/>
    <d v="1899-12-30T06:45:00"/>
    <d v="1899-12-30T07:03:00"/>
    <d v="1899-12-30T00:18:00"/>
    <x v="34"/>
    <s v="Maquinaria"/>
    <s v="Ajuste /Calibracion"/>
    <x v="1"/>
    <x v="1"/>
    <s v="Tubería de aire con soporte suelto"/>
    <s v="Se completó perno faltante en abrazadera de tubería de aire"/>
    <x v="0"/>
    <x v="0"/>
    <s v=""/>
    <s v=""/>
    <s v=""/>
    <x v="49"/>
    <x v="0"/>
    <x v="8"/>
  </r>
  <r>
    <x v="36"/>
    <s v="Cesar Quiroz"/>
    <s v="MAÑANA"/>
    <d v="1899-12-30T07:12:00"/>
    <d v="1899-12-30T07:58:00"/>
    <d v="1899-12-30T00:46:00"/>
    <x v="28"/>
    <s v="Maquinaria"/>
    <s v="Ajuste /Calibracion"/>
    <x v="1"/>
    <x v="1"/>
    <s v="Plegador fuera de posición, guia de riel se salio"/>
    <s v="Se coloco en posición y se ajusto , se regulo distancia de plegador y se realizó pruebas de funcionamiento "/>
    <x v="0"/>
    <x v="0"/>
    <s v=""/>
    <s v=""/>
    <s v=""/>
    <x v="26"/>
    <x v="0"/>
    <x v="8"/>
  </r>
  <r>
    <x v="36"/>
    <s v="Cesar Quiroz"/>
    <s v="MAÑANA"/>
    <d v="1899-12-30T08:06:00"/>
    <d v="1899-12-30T08:19:00"/>
    <d v="1899-12-30T00:13:00"/>
    <x v="27"/>
    <s v="Maquinaria"/>
    <s v="Trabajos menores"/>
    <x v="0"/>
    <x v="0"/>
    <s v="Retiro de boquillas para toma de medidas de tercero"/>
    <s v=""/>
    <x v="66"/>
    <x v="0"/>
    <s v=""/>
    <s v=""/>
    <s v=""/>
    <x v="14"/>
    <x v="1"/>
    <x v="8"/>
  </r>
  <r>
    <x v="36"/>
    <s v="Cesar Quiroz"/>
    <s v="MAÑANA"/>
    <d v="1899-12-30T08:29:00"/>
    <d v="1899-12-30T09:02:00"/>
    <d v="1899-12-30T00:33:00"/>
    <x v="9"/>
    <s v="Area"/>
    <s v="Trabajos menores"/>
    <x v="0"/>
    <x v="0"/>
    <s v="Microondas no funciona correctamente"/>
    <s v="Se reviso funcionamiento, equipo no calienta, se desarmo y se verifico fusibles de alto voltaje y condensador, se identifico magnetron en mal estado, se informo de problema a supervisor "/>
    <x v="0"/>
    <x v="0"/>
    <s v=""/>
    <s v=""/>
    <s v=""/>
    <x v="0"/>
    <x v="0"/>
    <x v="8"/>
  </r>
  <r>
    <x v="36"/>
    <s v="Cesar Quiroz"/>
    <s v="MAÑANA"/>
    <d v="1899-12-30T09:13:00"/>
    <d v="1899-12-30T10:01:00"/>
    <d v="1899-12-30T00:48:00"/>
    <x v="17"/>
    <s v="Maquinaria"/>
    <s v="SET UP"/>
    <x v="0"/>
    <x v="0"/>
    <s v="Armado de equipo"/>
    <s v=""/>
    <x v="0"/>
    <x v="0"/>
    <s v=""/>
    <s v=""/>
    <s v=""/>
    <x v="0"/>
    <x v="0"/>
    <x v="8"/>
  </r>
  <r>
    <x v="36"/>
    <s v="Cesar Quiroz"/>
    <s v="MAÑANA"/>
    <d v="1899-12-30T10:12:00"/>
    <d v="1899-12-30T10:58:00"/>
    <d v="1899-12-30T00:46:00"/>
    <x v="52"/>
    <s v="Area"/>
    <s v="SET UP"/>
    <x v="0"/>
    <x v="0"/>
    <s v="Montaje y limpieza de cadena de transmisión de bomba de samfill de extension"/>
    <s v=""/>
    <x v="67"/>
    <x v="19"/>
    <s v="Sammfill"/>
    <s v="Extension"/>
    <s v=""/>
    <x v="134"/>
    <x v="1"/>
    <x v="8"/>
  </r>
  <r>
    <x v="36"/>
    <s v="JOSÉ HAÑARI"/>
    <s v="MAÑANA"/>
    <d v="1899-12-30T08:10:00"/>
    <d v="1899-12-30T08:20:00"/>
    <d v="1899-12-30T00:10:00"/>
    <x v="68"/>
    <s v="Area"/>
    <s v="Seguimiento / Pruebas"/>
    <x v="0"/>
    <x v="0"/>
    <s v="Patrones en rayos x no reconoce "/>
    <s v="Se realiza pruebas para reconocimiento de patrones "/>
    <x v="68"/>
    <x v="0"/>
    <s v=""/>
    <s v=""/>
    <s v=""/>
    <x v="0"/>
    <x v="1"/>
    <x v="8"/>
  </r>
  <r>
    <x v="36"/>
    <s v="JOSÉ HAÑARI"/>
    <s v="MAÑANA"/>
    <d v="1899-12-30T08:30:00"/>
    <d v="1899-12-30T09:00:00"/>
    <d v="1899-12-30T00:30:00"/>
    <x v="9"/>
    <s v="Area"/>
    <s v="Ajuste /Calibracion"/>
    <x v="1"/>
    <x v="2"/>
    <s v="Microondas de chocolate no calienta producto "/>
    <s v="Se realizo verificación de fusibles y cables "/>
    <x v="0"/>
    <x v="0"/>
    <s v=""/>
    <s v=""/>
    <s v=""/>
    <x v="65"/>
    <x v="0"/>
    <x v="8"/>
  </r>
  <r>
    <x v="36"/>
    <s v="JOSÉ HAÑARI"/>
    <s v="MAÑANA"/>
    <d v="1899-12-30T09:30:00"/>
    <d v="1899-12-30T10:10:00"/>
    <d v="1899-12-30T00:40:00"/>
    <x v="17"/>
    <s v="Maquinaria"/>
    <s v="SET UP"/>
    <x v="0"/>
    <x v="0"/>
    <s v="Se arma barquillera parar inicio de producto "/>
    <s v=""/>
    <x v="8"/>
    <x v="0"/>
    <s v=""/>
    <s v=""/>
    <s v=""/>
    <x v="0"/>
    <x v="1"/>
    <x v="8"/>
  </r>
  <r>
    <x v="36"/>
    <s v="JOSÉ HAÑARI"/>
    <s v="MAÑANA"/>
    <d v="1899-12-30T10:15:00"/>
    <d v="1899-12-30T10:40:00"/>
    <d v="1899-12-30T00:25:00"/>
    <x v="52"/>
    <s v="Area"/>
    <s v="SET UP"/>
    <x v="0"/>
    <x v="0"/>
    <s v="Se arma sanfil;se conecta transmisión de equipo y se realiza limpieza correspondiente "/>
    <s v=""/>
    <x v="69"/>
    <x v="0"/>
    <s v=""/>
    <s v=""/>
    <s v=""/>
    <x v="0"/>
    <x v="1"/>
    <x v="8"/>
  </r>
  <r>
    <x v="36"/>
    <s v="JOSÉ HAÑARI"/>
    <s v="MAÑANA"/>
    <d v="1899-12-30T12:30:00"/>
    <d v="1899-12-30T13:00:00"/>
    <d v="1899-12-30T00:30:00"/>
    <x v="18"/>
    <s v="Maquinaria"/>
    <s v="SET UP"/>
    <x v="0"/>
    <x v="0"/>
    <s v="Se arma netzsch para pase de producto "/>
    <s v=""/>
    <x v="8"/>
    <x v="0"/>
    <s v=""/>
    <s v=""/>
    <s v=""/>
    <x v="0"/>
    <x v="1"/>
    <x v="8"/>
  </r>
  <r>
    <x v="36"/>
    <s v="JOSÉ HAÑARI"/>
    <s v="MAÑANA"/>
    <d v="1899-12-30T13:20:00"/>
    <d v="1899-12-30T13:50:00"/>
    <d v="1899-12-30T00:30:00"/>
    <x v="18"/>
    <s v="Maquinaria"/>
    <s v="SET UP"/>
    <x v="0"/>
    <x v="0"/>
    <s v="Se desarma la netzsch para limpieza "/>
    <s v=""/>
    <x v="0"/>
    <x v="0"/>
    <s v=""/>
    <s v=""/>
    <s v=""/>
    <x v="0"/>
    <x v="0"/>
    <x v="8"/>
  </r>
  <r>
    <x v="37"/>
    <s v="Carlos Puma"/>
    <s v="TARDE"/>
    <d v="1899-12-30T13:40:00"/>
    <d v="1899-12-30T13:50:00"/>
    <d v="1899-12-30T00:10:00"/>
    <x v="59"/>
    <s v="Maquinaria"/>
    <s v="SET UP"/>
    <x v="0"/>
    <x v="0"/>
    <s v="Apoyó en modificación de parámetros de fecha y lote"/>
    <s v=""/>
    <x v="70"/>
    <x v="0"/>
    <s v=""/>
    <s v=""/>
    <s v=""/>
    <x v="0"/>
    <x v="1"/>
    <x v="8"/>
  </r>
  <r>
    <x v="37"/>
    <s v="Carlos Puma"/>
    <s v="TARDE"/>
    <d v="1899-12-30T13:55:00"/>
    <d v="1899-12-30T14:05:00"/>
    <d v="1899-12-30T00:10:00"/>
    <x v="18"/>
    <s v="Maquinaria"/>
    <s v="SET UP"/>
    <x v="0"/>
    <x v="0"/>
    <s v="Desarme de equipo "/>
    <s v=""/>
    <x v="0"/>
    <x v="0"/>
    <s v=""/>
    <s v=""/>
    <s v=""/>
    <x v="0"/>
    <x v="0"/>
    <x v="8"/>
  </r>
  <r>
    <x v="37"/>
    <s v="Carlos Puma"/>
    <s v="TARDE"/>
    <d v="1899-12-30T14:08:00"/>
    <d v="1899-12-30T15:45:00"/>
    <d v="1899-12-30T01:37:00"/>
    <x v="15"/>
    <s v="Maquinaria"/>
    <s v="Sustitucion"/>
    <x v="1"/>
    <x v="1"/>
    <s v="Problemas en temperadora de hacos 1 temperatura de columnas altas"/>
    <s v="Se reemplazo bomba de sistema de agua caliente se deio seguimiento al calentamiento, se activo el temperatura a las 15:00horas , se dió seguimiento al temperado y se verico constantemente niveles de agua en columnas"/>
    <x v="0"/>
    <x v="16"/>
    <s v="Columna"/>
    <s v="Temperadora"/>
    <s v=""/>
    <x v="0"/>
    <x v="1"/>
    <x v="8"/>
  </r>
  <r>
    <x v="37"/>
    <s v="Carlos Puma"/>
    <s v="TARDE"/>
    <d v="1899-12-30T15:50:00"/>
    <d v="1899-12-30T16:05:00"/>
    <d v="1899-12-30T00:15:00"/>
    <x v="26"/>
    <s v="Maquinaria"/>
    <s v="Ajuste /Calibracion"/>
    <x v="1"/>
    <x v="1"/>
    <s v="Ruido en máquina "/>
    <s v="Se reviso equipo en vacío , se regulo presiónn de polin inducido de arrastre "/>
    <x v="0"/>
    <x v="0"/>
    <s v=""/>
    <s v=""/>
    <s v=""/>
    <x v="3"/>
    <x v="0"/>
    <x v="8"/>
  </r>
  <r>
    <x v="37"/>
    <s v="Carlos Puma"/>
    <s v="TARDE"/>
    <d v="1899-12-30T16:10:00"/>
    <d v="1899-12-30T16:20:00"/>
    <d v="1899-12-30T00:10:00"/>
    <x v="51"/>
    <s v="Maquinaria"/>
    <s v="SET UP"/>
    <x v="0"/>
    <x v="0"/>
    <s v="Armado de equipo "/>
    <s v=""/>
    <x v="0"/>
    <x v="0"/>
    <s v=""/>
    <s v=""/>
    <s v=""/>
    <x v="0"/>
    <x v="0"/>
    <x v="8"/>
  </r>
  <r>
    <x v="37"/>
    <s v="Carlos Puma"/>
    <s v="TARDE"/>
    <d v="1899-12-30T16:35:00"/>
    <d v="1899-12-30T17:00:00"/>
    <d v="1899-12-30T00:25:00"/>
    <x v="15"/>
    <s v="Maquinaria"/>
    <s v="Inspección"/>
    <x v="0"/>
    <x v="0"/>
    <s v="Se dió seguimiento al funcionamiento de temperadora , se lubrico cadena de transmisión "/>
    <s v=""/>
    <x v="71"/>
    <x v="11"/>
    <s v="Temperadora"/>
    <s v=""/>
    <s v=""/>
    <x v="44"/>
    <x v="1"/>
    <x v="8"/>
  </r>
  <r>
    <x v="37"/>
    <s v="Carlos Puma"/>
    <s v="TARDE"/>
    <d v="1899-12-30T17:10:00"/>
    <d v="1899-12-30T17:20:00"/>
    <d v="1899-12-30T00:10:00"/>
    <x v="15"/>
    <s v="Maquinaria"/>
    <s v="Inspección"/>
    <x v="0"/>
    <x v="0"/>
    <s v="Se reviso presión de refrigerante y consumo de corriente en comprésor de temperadora"/>
    <s v=""/>
    <x v="0"/>
    <x v="11"/>
    <s v="Temperadora"/>
    <s v=""/>
    <s v=""/>
    <x v="108"/>
    <x v="1"/>
    <x v="8"/>
  </r>
  <r>
    <x v="37"/>
    <s v="Carlos Puma"/>
    <s v="TARDE"/>
    <d v="1899-12-30T17:25:00"/>
    <d v="1899-12-30T18:40:00"/>
    <d v="1899-12-30T01:15:00"/>
    <x v="43"/>
    <s v="Sistema"/>
    <s v="Trabajos menores"/>
    <x v="1"/>
    <x v="0"/>
    <s v="Reportan nivel bajo de cloro en agua potable "/>
    <s v="Se verifico que sistema dosificador de cloro funciona correctamente "/>
    <x v="0"/>
    <x v="0"/>
    <s v=""/>
    <s v=""/>
    <s v=""/>
    <x v="135"/>
    <x v="0"/>
    <x v="8"/>
  </r>
  <r>
    <x v="37"/>
    <s v="Carlos Puma"/>
    <s v="TARDE"/>
    <d v="1899-12-30T18:40:00"/>
    <d v="1899-12-30T18:55:00"/>
    <d v="1899-12-30T00:15:00"/>
    <x v="85"/>
    <s v="Maquinaria"/>
    <s v="Ajuste /Calibracion"/>
    <x v="1"/>
    <x v="1"/>
    <s v="Reportan que sellado no sale marcado, un regulador se encuentra atorado"/>
    <s v="Se libero perdón de regulador y se apoyó en la calibración de presión de sellado y temperatura "/>
    <x v="0"/>
    <x v="0"/>
    <s v=""/>
    <s v=""/>
    <s v=""/>
    <x v="62"/>
    <x v="0"/>
    <x v="8"/>
  </r>
  <r>
    <x v="37"/>
    <s v="Carlos Puma"/>
    <s v="TARDE"/>
    <d v="1899-12-30T19:15:00"/>
    <d v="1899-12-30T20:00:00"/>
    <d v="1899-12-30T00:45:00"/>
    <x v="15"/>
    <s v="Maquinaria"/>
    <s v="SET UP"/>
    <x v="0"/>
    <x v="0"/>
    <s v="Se desarmo Mds y se volvió a armar luego de su limpieza "/>
    <s v=""/>
    <x v="0"/>
    <x v="1"/>
    <s v="Mds"/>
    <s v=""/>
    <s v=""/>
    <x v="0"/>
    <x v="1"/>
    <x v="8"/>
  </r>
  <r>
    <x v="37"/>
    <s v="Carlos Puma"/>
    <s v="TARDE"/>
    <d v="1899-12-30T20:05:00"/>
    <d v="1899-12-30T20:50:00"/>
    <d v="1899-12-30T00:45:00"/>
    <x v="50"/>
    <s v="Maquinaria"/>
    <s v="Trabajos menores"/>
    <x v="0"/>
    <x v="0"/>
    <s v="Se apoyó a personal tercero en levantamiento de observaciones "/>
    <s v=""/>
    <x v="0"/>
    <x v="0"/>
    <s v=""/>
    <s v=""/>
    <s v=""/>
    <x v="0"/>
    <x v="0"/>
    <x v="8"/>
  </r>
  <r>
    <x v="37"/>
    <s v="CARLOS TAPIA"/>
    <s v="NOCHE"/>
    <d v="1899-12-30T00:45:00"/>
    <d v="1899-12-30T01:45:00"/>
    <d v="1899-12-30T01:00:00"/>
    <x v="15"/>
    <s v="Maquinaria"/>
    <s v="Ajuste /Calibracion"/>
    <x v="1"/>
    <x v="1"/>
    <s v="Columnas se bloquean. Tanque de agua caliente se queda vacía. Temperadora inoperativa."/>
    <s v="Se estrangula válvulas de retorno de tanque de agua fría.Se revisó niveles de.agua.  se revisó retorno de producto a tanque. Se habilitó máquina."/>
    <x v="0"/>
    <x v="20"/>
    <s v="Columna"/>
    <s v="Tanque"/>
    <s v="Temperadora"/>
    <x v="136"/>
    <x v="1"/>
    <x v="8"/>
  </r>
  <r>
    <x v="37"/>
    <s v="CARLOS TAPIA"/>
    <s v="NOCHE"/>
    <d v="1899-12-30T02:30:00"/>
    <d v="1899-12-30T02:45:00"/>
    <d v="1899-12-30T00:15:00"/>
    <x v="28"/>
    <s v="Maquinaria"/>
    <s v="Ajuste /Calibracion"/>
    <x v="1"/>
    <x v="1"/>
    <s v="Apoyo en máquina, para reducir el corte de laminado."/>
    <s v="Se regulo la bobina de laminado, se revisó corte de lamina y sellado."/>
    <x v="0"/>
    <x v="0"/>
    <s v=""/>
    <s v=""/>
    <s v=""/>
    <x v="50"/>
    <x v="0"/>
    <x v="8"/>
  </r>
  <r>
    <x v="38"/>
    <s v="Cesar Quiroz"/>
    <s v="MAÑANA"/>
    <d v="1899-12-30T05:46:00"/>
    <d v="1899-12-30T06:05:00"/>
    <d v="1899-12-30T00:19:00"/>
    <x v="31"/>
    <s v="Equipos auxiliares"/>
    <s v="Inspección"/>
    <x v="0"/>
    <x v="0"/>
    <s v="Revisión de funcionamiento y parámetros de trabajo "/>
    <s v=""/>
    <x v="0"/>
    <x v="0"/>
    <s v=""/>
    <s v=""/>
    <s v=""/>
    <x v="0"/>
    <x v="0"/>
    <x v="8"/>
  </r>
  <r>
    <x v="38"/>
    <s v="Cesar Quiroz"/>
    <s v="MAÑANA"/>
    <d v="1899-12-30T06:26:00"/>
    <d v="1899-12-30T06:48:00"/>
    <d v="1899-12-30T00:22:00"/>
    <x v="13"/>
    <s v="Maquinaria"/>
    <s v="Lubricación"/>
    <x v="0"/>
    <x v="0"/>
    <s v="Lubricacion de equipo"/>
    <s v=""/>
    <x v="0"/>
    <x v="0"/>
    <s v=""/>
    <s v=""/>
    <s v=""/>
    <x v="44"/>
    <x v="0"/>
    <x v="8"/>
  </r>
  <r>
    <x v="38"/>
    <s v="Cesar Quiroz"/>
    <s v="MAÑANA"/>
    <d v="1899-12-30T06:56:00"/>
    <d v="1899-12-30T07:22:00"/>
    <d v="1899-12-30T00:26:00"/>
    <x v="86"/>
    <s v="Vehiculos"/>
    <s v="Coordinacion"/>
    <x v="0"/>
    <x v="0"/>
    <s v="Apilador en mal estado, se detiene"/>
    <s v="Se coordino con supervisora de área, se retiro apilador y se dejó en parte externa de taller"/>
    <x v="15"/>
    <x v="0"/>
    <s v=""/>
    <s v=""/>
    <s v=""/>
    <x v="124"/>
    <x v="1"/>
    <x v="8"/>
  </r>
  <r>
    <x v="38"/>
    <s v="Cesar Quiroz"/>
    <s v="MAÑANA"/>
    <d v="1899-12-30T07:34:00"/>
    <d v="1899-12-30T08:07:00"/>
    <d v="1899-12-30T00:33:00"/>
    <x v="26"/>
    <s v="Maquinaria"/>
    <s v="Ajuste /Calibracion"/>
    <x v="1"/>
    <x v="1"/>
    <s v="Contraelevador fuera de posición, no retorna a posición "/>
    <s v="Se regulo y enderezó contraelevador, se lubrica eje y se realizó pruebas "/>
    <x v="0"/>
    <x v="15"/>
    <s v="Contraelevador"/>
    <s v=""/>
    <s v=""/>
    <x v="137"/>
    <x v="1"/>
    <x v="8"/>
  </r>
  <r>
    <x v="38"/>
    <s v="Cesar Quiroz"/>
    <s v="MAÑANA"/>
    <d v="1899-12-30T08:27:00"/>
    <d v="1899-12-30T09:08:00"/>
    <d v="1899-12-30T00:41:00"/>
    <x v="55"/>
    <s v="Maquinaria"/>
    <s v="Ajuste /Calibracion"/>
    <x v="1"/>
    <x v="1"/>
    <s v="Sensor sin botón"/>
    <s v="Se busco material y se moldeo para pegarlo y trabaje de botón, se fijó y se reviso estado"/>
    <x v="0"/>
    <x v="0"/>
    <s v=""/>
    <s v=""/>
    <s v=""/>
    <x v="0"/>
    <x v="0"/>
    <x v="8"/>
  </r>
  <r>
    <x v="38"/>
    <s v="Cesar Quiroz"/>
    <s v="MAÑANA"/>
    <d v="1899-12-30T09:16:00"/>
    <d v="1899-12-30T09:38:00"/>
    <d v="1899-12-30T00:22:00"/>
    <x v="55"/>
    <s v="Maquinaria"/>
    <s v="SET UP"/>
    <x v="1"/>
    <x v="2"/>
    <s v="Cambio de cableado e instalación de sensor, pruebas de funcionamiento de sensor"/>
    <s v=""/>
    <x v="0"/>
    <x v="0"/>
    <s v=""/>
    <s v=""/>
    <s v=""/>
    <x v="0"/>
    <x v="0"/>
    <x v="8"/>
  </r>
  <r>
    <x v="38"/>
    <s v="Cesar Quiroz"/>
    <s v="MAÑANA"/>
    <d v="1899-12-30T09:49:00"/>
    <d v="1899-12-30T10:07:00"/>
    <d v="1899-12-30T00:18:00"/>
    <x v="25"/>
    <s v="Maquinaria"/>
    <s v="Inspección"/>
    <x v="0"/>
    <x v="0"/>
    <s v="Revisión de sensibilidad en ciertos productos "/>
    <s v=""/>
    <x v="72"/>
    <x v="0"/>
    <s v=""/>
    <s v=""/>
    <s v=""/>
    <x v="0"/>
    <x v="1"/>
    <x v="8"/>
  </r>
  <r>
    <x v="38"/>
    <s v="Cesar Quiroz"/>
    <s v="MAÑANA"/>
    <d v="1899-12-30T11:05:00"/>
    <d v="1899-12-30T11:49:00"/>
    <d v="1899-12-30T00:44:00"/>
    <x v="32"/>
    <s v="Maquinaria"/>
    <s v="SET UP"/>
    <x v="0"/>
    <x v="0"/>
    <s v="Preventivo semanal "/>
    <s v=""/>
    <x v="0"/>
    <x v="0"/>
    <s v=""/>
    <s v=""/>
    <s v=""/>
    <x v="0"/>
    <x v="0"/>
    <x v="8"/>
  </r>
  <r>
    <x v="38"/>
    <s v="Cesar Quiroz"/>
    <s v="MAÑANA"/>
    <d v="1899-12-30T11:58:00"/>
    <d v="1899-12-30T12:25:00"/>
    <d v="1899-12-30T00:27:00"/>
    <x v="23"/>
    <s v="Area"/>
    <s v="Lubricación"/>
    <x v="0"/>
    <x v="0"/>
    <s v="Lubricacion semanal"/>
    <s v=""/>
    <x v="0"/>
    <x v="0"/>
    <s v=""/>
    <s v=""/>
    <s v=""/>
    <x v="44"/>
    <x v="0"/>
    <x v="8"/>
  </r>
  <r>
    <x v="38"/>
    <s v="Cesar Quiroz"/>
    <s v="MAÑANA"/>
    <d v="1899-12-30T12:48:00"/>
    <d v="1899-12-30T13:08:00"/>
    <d v="1899-12-30T00:20:00"/>
    <x v="55"/>
    <s v="Maquinaria"/>
    <s v="Limpieza"/>
    <x v="1"/>
    <x v="1"/>
    <s v="Temperatura de mordaza superior varia"/>
    <s v="Se realizó limpieza de carbones y colector "/>
    <x v="0"/>
    <x v="0"/>
    <s v=""/>
    <s v=""/>
    <s v=""/>
    <x v="0"/>
    <x v="0"/>
    <x v="8"/>
  </r>
  <r>
    <x v="39"/>
    <s v="Carlos Puma"/>
    <s v="MAÑANA"/>
    <d v="1899-12-30T05:40:00"/>
    <d v="1899-12-30T06:30:00"/>
    <d v="1899-12-30T00:50:00"/>
    <x v="21"/>
    <s v="Area"/>
    <s v="Encendido / Arranque de linea"/>
    <x v="0"/>
    <x v="0"/>
    <s v="Arranque de planta "/>
    <s v=""/>
    <x v="0"/>
    <x v="0"/>
    <s v=""/>
    <s v=""/>
    <s v=""/>
    <x v="0"/>
    <x v="0"/>
    <x v="9"/>
  </r>
  <r>
    <x v="39"/>
    <s v="Carlos Puma"/>
    <s v="MAÑANA"/>
    <d v="1899-12-30T06:40:00"/>
    <d v="1899-12-30T10:10:00"/>
    <d v="1899-12-30T03:30:00"/>
    <x v="7"/>
    <s v="Maquinaria"/>
    <s v="SET UP"/>
    <x v="0"/>
    <x v="0"/>
    <s v="Desarme de equipos por limpieza "/>
    <s v="Se desarmo polines de bañadora , v pack , sacmi , quebrantadora , hacos 1, cortadora de turrón, barquillera"/>
    <x v="0"/>
    <x v="0"/>
    <s v=""/>
    <s v=""/>
    <s v=""/>
    <x v="0"/>
    <x v="0"/>
    <x v="9"/>
  </r>
  <r>
    <x v="39"/>
    <s v="Carlos Puma"/>
    <s v="MAÑANA"/>
    <d v="1899-12-30T10:10:00"/>
    <d v="1899-12-30T13:40:00"/>
    <d v="1899-12-30T03:30:00"/>
    <x v="7"/>
    <s v="Maquinaria"/>
    <s v="SET UP"/>
    <x v="0"/>
    <x v="0"/>
    <s v="Armado de equipos sacmi, bañadora ,v pack , bañadora 5to piso , barquillera "/>
    <s v=""/>
    <x v="0"/>
    <x v="0"/>
    <s v=""/>
    <s v=""/>
    <s v=""/>
    <x v="0"/>
    <x v="0"/>
    <x v="9"/>
  </r>
  <r>
    <x v="39"/>
    <s v="Carlos Puma"/>
    <s v="MAÑANA"/>
    <d v="1899-12-30T13:45:00"/>
    <d v="1899-12-30T14:05:00"/>
    <d v="1899-12-30T00:20:00"/>
    <x v="28"/>
    <s v="Maquinaria"/>
    <s v="Ajuste /Calibracion"/>
    <x v="1"/>
    <x v="1"/>
    <s v="Error en el sellado lateral"/>
    <s v="Se regulo laminado, ancho de mesa y presión de caja inicial "/>
    <x v="0"/>
    <x v="0"/>
    <s v=""/>
    <s v=""/>
    <s v=""/>
    <x v="138"/>
    <x v="0"/>
    <x v="9"/>
  </r>
  <r>
    <x v="39"/>
    <s v="CARLOS TAPIA"/>
    <s v="MAÑANA"/>
    <d v="1899-12-30T05:30:00"/>
    <d v="1899-12-30T06:30:00"/>
    <d v="1899-12-30T01:00:00"/>
    <x v="21"/>
    <s v="Area"/>
    <s v="Encendido / Arranque de linea"/>
    <x v="0"/>
    <x v="0"/>
    <s v="Arranque de planta."/>
    <s v="Se encendió equipos y líneas de vapor agua y aire "/>
    <x v="0"/>
    <x v="0"/>
    <s v=""/>
    <s v=""/>
    <s v=""/>
    <x v="0"/>
    <x v="0"/>
    <x v="9"/>
  </r>
  <r>
    <x v="39"/>
    <s v="CARLOS TAPIA"/>
    <s v="MAÑANA"/>
    <d v="1899-12-30T06:30:00"/>
    <d v="1899-12-30T11:00:00"/>
    <d v="1899-12-30T04:30:00"/>
    <x v="7"/>
    <s v="Maquinaria"/>
    <s v="SET UP"/>
    <x v="0"/>
    <x v="0"/>
    <s v="Desarmar  máquinas de los diferentes pisos para su limpieza."/>
    <s v="Se desarmó SACMI, FLOW PACK2, CORTADORA DE TURRON, NETZCH, HACOS 1, BAÑADORA 1ER PISO, BAÑADORA 5TO PISO, Y QUEBRANTADORA"/>
    <x v="0"/>
    <x v="0"/>
    <s v=""/>
    <s v=""/>
    <s v=""/>
    <x v="0"/>
    <x v="0"/>
    <x v="9"/>
  </r>
  <r>
    <x v="39"/>
    <s v="Cesar Quiroz"/>
    <s v="NOCHE"/>
    <d v="1899-12-30T21:18:00"/>
    <d v="1899-12-30T21:39:00"/>
    <d v="1899-12-30T00:21:00"/>
    <x v="31"/>
    <s v="Equipos auxiliares"/>
    <s v="Inspección"/>
    <x v="0"/>
    <x v="0"/>
    <s v="Revisión de funcionamiento y parámetros de trabajo "/>
    <s v=""/>
    <x v="0"/>
    <x v="0"/>
    <s v=""/>
    <s v=""/>
    <s v=""/>
    <x v="0"/>
    <x v="0"/>
    <x v="9"/>
  </r>
  <r>
    <x v="39"/>
    <s v="Cesar Quiroz"/>
    <s v="NOCHE"/>
    <d v="1899-12-30T21:47:00"/>
    <d v="1899-12-30T22:02:00"/>
    <d v="1899-12-30T00:15:00"/>
    <x v="83"/>
    <s v="Sistema"/>
    <s v="SET UP"/>
    <x v="1"/>
    <x v="1"/>
    <s v="Nivel bajo de agua"/>
    <s v="Se aperturó válvulas y sistema de agua blanda para llenado de pozo"/>
    <x v="0"/>
    <x v="0"/>
    <s v=""/>
    <s v=""/>
    <s v=""/>
    <x v="135"/>
    <x v="0"/>
    <x v="9"/>
  </r>
  <r>
    <x v="39"/>
    <s v="Cesar Quiroz"/>
    <s v="NOCHE"/>
    <d v="1899-12-30T22:21:00"/>
    <d v="1899-12-30T22:45:00"/>
    <d v="1899-12-30T00:24:00"/>
    <x v="5"/>
    <s v="Maquinaria"/>
    <s v="SET UP"/>
    <x v="1"/>
    <x v="2"/>
    <s v="Error inversor de cintas"/>
    <s v="Se encontró variador en falla, se reseteo falla y se dió marcha, se reviso comportamiento de variador en marcha"/>
    <x v="0"/>
    <x v="0"/>
    <s v=""/>
    <s v=""/>
    <s v=""/>
    <x v="6"/>
    <x v="0"/>
    <x v="9"/>
  </r>
  <r>
    <x v="39"/>
    <s v="Cesar Quiroz"/>
    <s v="NOCHE"/>
    <d v="1899-12-30T22:41:00"/>
    <d v="1899-12-30T23:10:00"/>
    <d v="1899-12-30T00:29:00"/>
    <x v="26"/>
    <s v="Maquinaria"/>
    <s v="SET UP"/>
    <x v="1"/>
    <x v="2"/>
    <s v="Máquina alimenta en vacío, problemas con sensor"/>
    <s v="Se reviso funcionamiento de sensor, se encontró cable con conexión dañada, se cortó cable y se corrigio conexión, se realizó pruebas de funcionamiento "/>
    <x v="0"/>
    <x v="0"/>
    <s v=""/>
    <s v=""/>
    <s v=""/>
    <x v="102"/>
    <x v="0"/>
    <x v="9"/>
  </r>
  <r>
    <x v="39"/>
    <s v="Cesar Quiroz"/>
    <s v="NOCHE"/>
    <d v="1899-12-30T23:13:00"/>
    <d v="1899-12-30T23:30:00"/>
    <d v="1899-12-30T00:17:00"/>
    <x v="17"/>
    <s v="Maquinaria"/>
    <s v="SET UP"/>
    <x v="0"/>
    <x v="3"/>
    <s v="Falta armar piezas, tuberías mal ajustadas"/>
    <s v="Se terminó de armar tuberías de drenaje, se ajusto tuberias"/>
    <x v="48"/>
    <x v="0"/>
    <s v=""/>
    <s v=""/>
    <s v=""/>
    <x v="28"/>
    <x v="1"/>
    <x v="9"/>
  </r>
  <r>
    <x v="39"/>
    <s v="Cesar Quiroz"/>
    <s v="NOCHE"/>
    <d v="1899-12-30T23:35:00"/>
    <d v="1899-12-30T23:52:00"/>
    <d v="1899-12-30T00:17:00"/>
    <x v="87"/>
    <s v="Maquinaria"/>
    <s v="Inspección"/>
    <x v="0"/>
    <x v="0"/>
    <s v="Revisión de funcionamiento, y comportamiento de piedras"/>
    <s v=""/>
    <x v="0"/>
    <x v="0"/>
    <s v=""/>
    <s v=""/>
    <s v=""/>
    <x v="0"/>
    <x v="0"/>
    <x v="9"/>
  </r>
  <r>
    <x v="40"/>
    <s v="CARLOS TAPIA"/>
    <s v="MAÑANA"/>
    <d v="1899-12-30T06:00:00"/>
    <d v="1899-12-30T07:00:00"/>
    <d v="1899-12-30T01:00:00"/>
    <x v="87"/>
    <s v="Maquinaria"/>
    <s v="Ajuste /Calibracion"/>
    <x v="1"/>
    <x v="1"/>
    <s v="Equipo atascado/amarrado no permite el giro de la rueda de piedra."/>
    <s v="Se retiró rueda de piedra para su intervención. Se desarmó piezas en taller y se habilitó máquina."/>
    <x v="0"/>
    <x v="0"/>
    <s v=""/>
    <s v=""/>
    <s v=""/>
    <x v="139"/>
    <x v="0"/>
    <x v="9"/>
  </r>
  <r>
    <x v="40"/>
    <s v="CARLOS TAPIA"/>
    <s v="MAÑANA"/>
    <d v="1899-12-30T07:00:00"/>
    <d v="1899-12-30T07:15:00"/>
    <d v="1899-12-30T00:15:00"/>
    <x v="15"/>
    <s v="Maquinaria"/>
    <s v="SET UP"/>
    <x v="0"/>
    <x v="0"/>
    <s v="Retirar husillo para su limpieza y posterior colocación."/>
    <s v="Se retiró husillo para su limpieza y luego se colocó en posición."/>
    <x v="17"/>
    <x v="0"/>
    <s v=""/>
    <s v=""/>
    <s v=""/>
    <x v="14"/>
    <x v="1"/>
    <x v="9"/>
  </r>
  <r>
    <x v="40"/>
    <s v="CARLOS TAPIA"/>
    <s v="MAÑANA"/>
    <d v="1899-12-30T07:30:00"/>
    <d v="1899-12-30T08:30:00"/>
    <d v="1899-12-30T01:00:00"/>
    <x v="15"/>
    <s v="Maquinaria"/>
    <s v="Ajuste /Calibracion"/>
    <x v="1"/>
    <x v="2"/>
    <s v="Equipo de calefacción no enciende."/>
    <s v="Se revisó equipo, y se detectó conexión meneke en mal estado.Se retiró meneke para su reemplazo."/>
    <x v="0"/>
    <x v="0"/>
    <s v=""/>
    <s v=""/>
    <s v=""/>
    <x v="58"/>
    <x v="0"/>
    <x v="9"/>
  </r>
  <r>
    <x v="40"/>
    <s v="CARLOS TAPIA"/>
    <s v="MAÑANA"/>
    <d v="1899-12-30T08:45:00"/>
    <d v="1899-12-30T09:45:00"/>
    <d v="1899-12-30T01:00:00"/>
    <x v="73"/>
    <s v="Maquinaria"/>
    <s v="SET UP"/>
    <x v="1"/>
    <x v="2"/>
    <s v="Máquina se apaga constantemente."/>
    <s v="Se revisó máquina y se apoyo con el cambio de conexiones eléctricas."/>
    <x v="0"/>
    <x v="0"/>
    <s v=""/>
    <s v=""/>
    <s v=""/>
    <x v="91"/>
    <x v="0"/>
    <x v="9"/>
  </r>
  <r>
    <x v="40"/>
    <s v="CARLOS TAPIA"/>
    <s v="MAÑANA"/>
    <d v="1899-12-30T10:00:00"/>
    <d v="1899-12-30T10:30:00"/>
    <d v="1899-12-30T00:30:00"/>
    <x v="47"/>
    <s v="Maquinaria"/>
    <s v="Inspección"/>
    <x v="0"/>
    <x v="0"/>
    <s v="Inspección de máquina en funcionamiento."/>
    <s v="Se dió seguimiento al funcionamiento de máquina con carga "/>
    <x v="0"/>
    <x v="0"/>
    <s v=""/>
    <s v=""/>
    <s v=""/>
    <x v="0"/>
    <x v="0"/>
    <x v="9"/>
  </r>
  <r>
    <x v="40"/>
    <s v="CARLOS TAPIA"/>
    <s v="MAÑANA"/>
    <d v="1899-12-30T10:45:00"/>
    <d v="1899-12-30T11:15:00"/>
    <d v="1899-12-30T00:30:00"/>
    <x v="52"/>
    <s v="Area"/>
    <s v="Limpieza"/>
    <x v="0"/>
    <x v="0"/>
    <s v="Orden y limpieza de taller de mantenimiento "/>
    <s v="Se ordenó mesas de trabajo y herramientas."/>
    <x v="0"/>
    <x v="0"/>
    <s v=""/>
    <s v=""/>
    <s v=""/>
    <x v="0"/>
    <x v="0"/>
    <x v="9"/>
  </r>
  <r>
    <x v="40"/>
    <s v="CARLOS TAPIA"/>
    <s v="MAÑANA"/>
    <d v="1899-12-30T12:45:00"/>
    <d v="1899-12-30T13:10:00"/>
    <d v="1899-12-30T00:25:00"/>
    <x v="84"/>
    <s v="Area"/>
    <s v="Capacitacion"/>
    <x v="0"/>
    <x v="0"/>
    <s v="Capacitación del correcto lavado de manos."/>
    <s v="Se asistió a dicha capacitación. "/>
    <x v="0"/>
    <x v="0"/>
    <s v=""/>
    <s v=""/>
    <s v=""/>
    <x v="0"/>
    <x v="0"/>
    <x v="9"/>
  </r>
  <r>
    <x v="40"/>
    <s v="CARLOS TAPIA"/>
    <s v="MAÑANA"/>
    <d v="1899-12-30T13:45:00"/>
    <d v="1899-12-30T14:00:00"/>
    <d v="1899-12-30T00:15:00"/>
    <x v="21"/>
    <s v="Area"/>
    <s v="Trabajos menores"/>
    <x v="0"/>
    <x v="0"/>
    <s v="Atender observaciones de planta."/>
    <s v="Se corrigió observaciones solicitadas."/>
    <x v="0"/>
    <x v="0"/>
    <s v=""/>
    <s v=""/>
    <s v=""/>
    <x v="0"/>
    <x v="0"/>
    <x v="9"/>
  </r>
  <r>
    <x v="40"/>
    <s v="Cesar Quiroz"/>
    <s v="NOCHE"/>
    <d v="1899-12-30T21:16:00"/>
    <d v="1899-12-30T21:36:00"/>
    <d v="1899-12-30T00:20:00"/>
    <x v="31"/>
    <s v="Equipos auxiliares"/>
    <s v="Inspección"/>
    <x v="0"/>
    <x v="0"/>
    <s v="Revisión de funcionamiento y parámetros de trabajo "/>
    <s v=""/>
    <x v="0"/>
    <x v="0"/>
    <s v=""/>
    <s v=""/>
    <s v=""/>
    <x v="0"/>
    <x v="0"/>
    <x v="9"/>
  </r>
  <r>
    <x v="40"/>
    <s v="Cesar Quiroz"/>
    <s v="NOCHE"/>
    <d v="1899-12-30T21:41:00"/>
    <d v="1899-12-30T21:52:00"/>
    <d v="1899-12-30T00:11:00"/>
    <x v="43"/>
    <s v="Sistema"/>
    <s v="Trabajos menores"/>
    <x v="0"/>
    <x v="0"/>
    <s v="Llenado de pozo, apertura de ingreso de agua de sedapar a pozo alterno, activación de sistema de potabilización"/>
    <s v=""/>
    <x v="0"/>
    <x v="0"/>
    <s v=""/>
    <s v=""/>
    <s v=""/>
    <x v="0"/>
    <x v="0"/>
    <x v="9"/>
  </r>
  <r>
    <x v="40"/>
    <s v="Cesar Quiroz"/>
    <s v="NOCHE"/>
    <d v="1899-12-30T22:02:00"/>
    <d v="1899-12-30T22:17:00"/>
    <d v="1899-12-30T00:15:00"/>
    <x v="74"/>
    <s v="Area"/>
    <s v="Trabajos menores"/>
    <x v="0"/>
    <x v="0"/>
    <s v="Recipientes de agua condensada llenos de fancoil"/>
    <s v="Se libero recipientes y se limpio área "/>
    <x v="0"/>
    <x v="0"/>
    <s v=""/>
    <s v=""/>
    <s v=""/>
    <x v="0"/>
    <x v="0"/>
    <x v="9"/>
  </r>
  <r>
    <x v="40"/>
    <s v="Cesar Quiroz"/>
    <s v="NOCHE"/>
    <d v="1899-12-30T22:21:00"/>
    <d v="1899-12-30T23:13:00"/>
    <d v="1899-12-30T00:52:00"/>
    <x v="17"/>
    <s v="Maquinaria"/>
    <s v="SET UP"/>
    <x v="0"/>
    <x v="0"/>
    <s v="Desarmado de equipo para limpieza"/>
    <s v=""/>
    <x v="0"/>
    <x v="0"/>
    <s v=""/>
    <s v=""/>
    <s v=""/>
    <x v="0"/>
    <x v="0"/>
    <x v="9"/>
  </r>
  <r>
    <x v="40"/>
    <s v="Cesar Quiroz"/>
    <s v="NOCHE"/>
    <d v="1899-12-30T23:16:00"/>
    <d v="1899-12-30T23:37:00"/>
    <d v="1899-12-30T00:21:00"/>
    <x v="50"/>
    <s v="Maquinaria"/>
    <s v="Ajuste /Calibracion"/>
    <x v="1"/>
    <x v="1"/>
    <s v="Ruido en cabina, agitador salta"/>
    <s v="Se reviso transmisión, se encontró cadena mal prensada, se paró equipo y se corrigió posición de tensador de cadena, se lubrica partes moviles"/>
    <x v="0"/>
    <x v="0"/>
    <s v=""/>
    <s v=""/>
    <s v=""/>
    <x v="3"/>
    <x v="0"/>
    <x v="9"/>
  </r>
  <r>
    <x v="40"/>
    <s v="Cesar Quiroz"/>
    <s v="NOCHE"/>
    <d v="1899-12-30T23:42:00"/>
    <d v="1899-12-30T23:55:00"/>
    <d v="1899-12-30T00:13:00"/>
    <x v="18"/>
    <s v="Maquinaria"/>
    <s v="SET UP"/>
    <x v="0"/>
    <x v="0"/>
    <s v="Desarmado de equipo para limpieza"/>
    <s v=""/>
    <x v="0"/>
    <x v="0"/>
    <s v=""/>
    <s v=""/>
    <s v=""/>
    <x v="0"/>
    <x v="0"/>
    <x v="9"/>
  </r>
  <r>
    <x v="40"/>
    <s v="Cesar Quiroz"/>
    <s v="NOCHE"/>
    <d v="1899-12-30T00:03:00"/>
    <d v="1899-12-30T00:18:00"/>
    <d v="1899-12-30T00:15:00"/>
    <x v="88"/>
    <s v=""/>
    <s v="SET UP"/>
    <x v="1"/>
    <x v="2"/>
    <s v="Selector caído, no se puede encender equipo"/>
    <s v="Se abre tablero y se revisa selector, se salió de posición por golpe , se colocó selector y se probó funcionamiento "/>
    <x v="0"/>
    <x v="0"/>
    <s v=""/>
    <s v=""/>
    <s v=""/>
    <x v="0"/>
    <x v="0"/>
    <x v="9"/>
  </r>
  <r>
    <x v="40"/>
    <s v="Cesar Quiroz"/>
    <s v="NOCHE"/>
    <d v="1899-12-30T00:22:00"/>
    <d v="1899-12-30T00:38:00"/>
    <d v="1899-12-30T00:16:00"/>
    <x v="26"/>
    <s v="Maquinaria"/>
    <s v="Inspección"/>
    <x v="0"/>
    <x v="0"/>
    <s v="Revisión de funcionamiento de equipo, ajuste de posición de sensor"/>
    <s v=""/>
    <x v="40"/>
    <x v="0"/>
    <s v=""/>
    <s v=""/>
    <s v=""/>
    <x v="28"/>
    <x v="1"/>
    <x v="9"/>
  </r>
  <r>
    <x v="40"/>
    <s v="Cesar Quiroz"/>
    <s v="NOCHE"/>
    <d v="1899-12-30T00:49:00"/>
    <d v="1899-12-30T01:15:00"/>
    <d v="1899-12-30T00:26:00"/>
    <x v="5"/>
    <s v="Maquinaria"/>
    <s v="Ajuste /Calibracion"/>
    <x v="1"/>
    <x v="1"/>
    <s v="Papel se arruga constantemente "/>
    <s v="Cinta de rodillo de arrastre en mal estado, se retira cinta y se limpia , se envuelve con una capa de cinta y se realizan pruebas"/>
    <x v="0"/>
    <x v="0"/>
    <s v=""/>
    <s v=""/>
    <s v=""/>
    <x v="0"/>
    <x v="0"/>
    <x v="9"/>
  </r>
  <r>
    <x v="40"/>
    <s v="Cesar Quiroz"/>
    <s v="NOCHE"/>
    <d v="1899-12-30T01:19:00"/>
    <d v="1899-12-30T02:04:00"/>
    <d v="1899-12-30T00:45:00"/>
    <x v="3"/>
    <s v="Maquinaria"/>
    <s v="SET UP"/>
    <x v="0"/>
    <x v="0"/>
    <s v="Armado de equipo, colocación de bandas y rascadores, colocación de mordaza y guardas, retiro de pines y cambio de planchas, habilitación de equipo"/>
    <s v=""/>
    <x v="73"/>
    <x v="0"/>
    <s v=""/>
    <s v=""/>
    <s v=""/>
    <x v="14"/>
    <x v="1"/>
    <x v="9"/>
  </r>
  <r>
    <x v="40"/>
    <s v="Cesar Quiroz"/>
    <s v="NOCHE"/>
    <d v="1899-12-30T02:14:00"/>
    <d v="1899-12-30T02:35:00"/>
    <d v="1899-12-30T00:21:00"/>
    <x v="39"/>
    <s v="Maquinaria"/>
    <s v="Inspección"/>
    <x v="0"/>
    <x v="0"/>
    <s v="Revisión de funcionamiento de equipo"/>
    <s v=""/>
    <x v="0"/>
    <x v="0"/>
    <s v=""/>
    <s v=""/>
    <s v=""/>
    <x v="0"/>
    <x v="0"/>
    <x v="9"/>
  </r>
  <r>
    <x v="41"/>
    <s v="Cesar Quiroz"/>
    <s v="NOCHE"/>
    <s v="21:17"/>
    <s v="21:35"/>
    <d v="1899-12-30T00:18:00"/>
    <x v="31"/>
    <s v="Equipos auxiliares"/>
    <s v="Inspección"/>
    <x v="0"/>
    <x v="0"/>
    <s v="Revisión de funcionamiento y parámetros de trabajo "/>
    <s v=""/>
    <x v="0"/>
    <x v="0"/>
    <s v=""/>
    <s v=""/>
    <s v=""/>
    <x v="0"/>
    <x v="0"/>
    <x v="9"/>
  </r>
  <r>
    <x v="41"/>
    <s v="Cesar Quiroz"/>
    <s v="NOCHE"/>
    <s v="21:41"/>
    <s v="21:58"/>
    <d v="1899-12-30T00:17:00"/>
    <x v="82"/>
    <s v="Equipos"/>
    <s v="SET UP"/>
    <x v="1"/>
    <x v="2"/>
    <s v="Variación de peso"/>
    <s v="Se reviso funcionamiento, se realizó limpieza de caja de conexiones , se acomodo gomas de patas, se realizó pruebas"/>
    <x v="0"/>
    <x v="0"/>
    <s v=""/>
    <s v=""/>
    <s v=""/>
    <x v="0"/>
    <x v="0"/>
    <x v="9"/>
  </r>
  <r>
    <x v="41"/>
    <s v="Cesar Quiroz"/>
    <s v="NOCHE"/>
    <s v="22:04"/>
    <s v="22:19"/>
    <d v="1899-12-30T00:15:00"/>
    <x v="15"/>
    <s v="Maquinaria"/>
    <s v="Ajuste /Calibracion"/>
    <x v="0"/>
    <x v="3"/>
    <s v="Corrección de posición de dosificador de cremas mds"/>
    <s v=""/>
    <x v="0"/>
    <x v="14"/>
    <s v="Dosificador"/>
    <s v="Mds"/>
    <s v=""/>
    <x v="0"/>
    <x v="1"/>
    <x v="9"/>
  </r>
  <r>
    <x v="41"/>
    <s v="Cesar Quiroz"/>
    <s v="NOCHE"/>
    <s v="22:23"/>
    <s v="22:39"/>
    <d v="1899-12-30T00:16:00"/>
    <x v="18"/>
    <s v="Maquinaria"/>
    <s v="SET UP"/>
    <x v="0"/>
    <x v="0"/>
    <s v="Armado de equipo "/>
    <s v=""/>
    <x v="0"/>
    <x v="0"/>
    <s v=""/>
    <s v=""/>
    <s v=""/>
    <x v="0"/>
    <x v="0"/>
    <x v="9"/>
  </r>
  <r>
    <x v="41"/>
    <s v="Cesar Quiroz"/>
    <s v="NOCHE"/>
    <s v="22:42"/>
    <s v="23:01"/>
    <d v="1899-12-30T00:19:00"/>
    <x v="89"/>
    <s v="Maquinaria"/>
    <s v="Sustitucion"/>
    <x v="1"/>
    <x v="1"/>
    <s v="Cuchilla de de corte de plástico no corta bien, cuchilla principal no corta una esquina"/>
    <s v="Se realizó cambio de  cuchilla, se regulo cuchilla principal, se realizó pruebas"/>
    <x v="0"/>
    <x v="0"/>
    <s v=""/>
    <s v=""/>
    <s v=""/>
    <x v="12"/>
    <x v="0"/>
    <x v="9"/>
  </r>
  <r>
    <x v="41"/>
    <s v="Cesar Quiroz"/>
    <s v="NOCHE"/>
    <s v="23:04"/>
    <s v="23:32"/>
    <d v="1899-12-30T00:28:00"/>
    <x v="22"/>
    <s v="Maquinaria"/>
    <s v="Ajuste /Calibracion"/>
    <x v="1"/>
    <x v="1"/>
    <s v="Problemas con el sensor, daña producto"/>
    <s v="Se reviso funcionamiento de sensores, se regulo posición, se modifico parámetros de trabajo y se realizó pruebas"/>
    <x v="0"/>
    <x v="0"/>
    <s v=""/>
    <s v=""/>
    <s v=""/>
    <x v="0"/>
    <x v="0"/>
    <x v="9"/>
  </r>
  <r>
    <x v="41"/>
    <s v="Cesar Quiroz"/>
    <s v="NOCHE"/>
    <s v="23:34"/>
    <s v="23:59"/>
    <d v="1899-12-30T00:25:00"/>
    <x v="15"/>
    <s v="Maquinaria"/>
    <s v="SET UP"/>
    <x v="0"/>
    <x v="0"/>
    <s v="Desarmado de formato cremas de mds para limpieza "/>
    <s v=""/>
    <x v="0"/>
    <x v="1"/>
    <s v="Mds"/>
    <s v=""/>
    <s v=""/>
    <x v="2"/>
    <x v="1"/>
    <x v="9"/>
  </r>
  <r>
    <x v="41"/>
    <s v="Cesar Quiroz"/>
    <s v="NOCHE"/>
    <s v="00:02"/>
    <s v="00:16"/>
    <d v="1899-12-30T00:14:00"/>
    <x v="18"/>
    <s v="Maquinaria"/>
    <s v="SET UP"/>
    <x v="0"/>
    <x v="0"/>
    <s v="Desarmado de equipo para limpieza"/>
    <s v=""/>
    <x v="0"/>
    <x v="0"/>
    <s v=""/>
    <s v=""/>
    <s v=""/>
    <x v="0"/>
    <x v="0"/>
    <x v="9"/>
  </r>
  <r>
    <x v="41"/>
    <s v="Cesar Quiroz"/>
    <s v="NOCHE"/>
    <s v="00:18"/>
    <s v="00:50"/>
    <d v="1899-12-30T00:32:00"/>
    <x v="18"/>
    <s v="Maquinaria"/>
    <s v="Limpieza"/>
    <x v="1"/>
    <x v="1"/>
    <s v="Operadora indica que durante el uso salía agua de la base"/>
    <s v="Se retiro guarda para revisar , se encontró acumulación de producto , sensor fuera de posición y pieza de salida de producto suelta, se realizó limpieza y ajuste de sensor y pieza de salida"/>
    <x v="0"/>
    <x v="0"/>
    <s v=""/>
    <s v=""/>
    <s v=""/>
    <x v="0"/>
    <x v="0"/>
    <x v="9"/>
  </r>
  <r>
    <x v="41"/>
    <s v="Cesar Quiroz"/>
    <s v="NOCHE"/>
    <s v="00:58"/>
    <s v="01:11"/>
    <d v="1899-12-30T00:13:00"/>
    <x v="39"/>
    <s v="Maquinaria"/>
    <s v="Inspección"/>
    <x v="1"/>
    <x v="1"/>
    <s v="Tubería no expulsa agua de limpieza"/>
    <s v="Se desajusto unión y se limpio producto atascado, se aumento velocidad de bomba de masa para ayudar a limpieza "/>
    <x v="0"/>
    <x v="0"/>
    <s v=""/>
    <s v=""/>
    <s v=""/>
    <x v="0"/>
    <x v="0"/>
    <x v="9"/>
  </r>
  <r>
    <x v="41"/>
    <s v="Cesar Quiroz"/>
    <s v="NOCHE"/>
    <s v="01:14"/>
    <s v="01:43"/>
    <d v="1899-12-30T00:29:00"/>
    <x v="15"/>
    <s v="Maquinaria"/>
    <s v="SET UP"/>
    <x v="0"/>
    <x v="0"/>
    <s v="Armado de formato cremas ovaladas en mds"/>
    <s v=""/>
    <x v="0"/>
    <x v="1"/>
    <s v="Mds"/>
    <s v=""/>
    <s v=""/>
    <x v="2"/>
    <x v="1"/>
    <x v="9"/>
  </r>
  <r>
    <x v="41"/>
    <s v="Cesar Quiroz"/>
    <s v="NOCHE"/>
    <s v="01:45"/>
    <s v="01:59"/>
    <d v="1899-12-30T00:14:00"/>
    <x v="3"/>
    <s v="Maquinaria"/>
    <s v="Ajuste /Calibracion"/>
    <x v="1"/>
    <x v="1"/>
    <s v="Aumento de pines a cadena para formato mini milky"/>
    <s v=""/>
    <x v="0"/>
    <x v="0"/>
    <s v=""/>
    <s v=""/>
    <s v=""/>
    <x v="2"/>
    <x v="0"/>
    <x v="9"/>
  </r>
  <r>
    <x v="41"/>
    <s v="Cesar Quiroz"/>
    <s v="NOCHE"/>
    <s v="02:09"/>
    <s v="02:28"/>
    <d v="1899-12-30T00:19:00"/>
    <x v="3"/>
    <s v="Maquinaria"/>
    <s v="Ajuste /Calibracion"/>
    <x v="0"/>
    <x v="3"/>
    <s v="Apoyo en regulación de guiadores y velocidad de bandas para reducir expulsión de producto"/>
    <s v=""/>
    <x v="41"/>
    <x v="0"/>
    <s v=""/>
    <s v=""/>
    <s v=""/>
    <x v="70"/>
    <x v="1"/>
    <x v="9"/>
  </r>
  <r>
    <x v="41"/>
    <s v="JOSÉ HAÑARI"/>
    <s v="TARDE"/>
    <s v="13:00"/>
    <s v="14:00"/>
    <d v="1899-12-30T01:00:00"/>
    <x v="84"/>
    <s v="Area"/>
    <s v="Trabajos menores"/>
    <x v="0"/>
    <x v="0"/>
    <s v="Se corta bobina para laboratorio "/>
    <s v=""/>
    <x v="32"/>
    <x v="0"/>
    <s v=""/>
    <s v=""/>
    <s v=""/>
    <x v="0"/>
    <x v="1"/>
    <x v="9"/>
  </r>
  <r>
    <x v="41"/>
    <s v="JOSÉ HAÑARI"/>
    <s v="TARDE"/>
    <s v="14:10"/>
    <s v="14:30"/>
    <d v="1899-12-30T00:20:00"/>
    <x v="13"/>
    <s v="Maquinaria"/>
    <s v="Reparacion"/>
    <x v="1"/>
    <x v="1"/>
    <s v="Borde de faja de producto despintado "/>
    <s v="Se pone un cinta provisional para que no se descascare la pintura "/>
    <x v="0"/>
    <x v="0"/>
    <s v=""/>
    <s v=""/>
    <s v=""/>
    <x v="0"/>
    <x v="0"/>
    <x v="9"/>
  </r>
  <r>
    <x v="41"/>
    <s v="JOSÉ HAÑARI"/>
    <s v="TARDE"/>
    <s v="15:00"/>
    <s v="15:30"/>
    <d v="1899-12-30T00:30:00"/>
    <x v="15"/>
    <s v="Maquinaria"/>
    <s v="SET UP"/>
    <x v="0"/>
    <x v="0"/>
    <s v="Se cambia formato a mds a cremas ovaladas "/>
    <s v=""/>
    <x v="0"/>
    <x v="1"/>
    <s v="Mds"/>
    <s v=""/>
    <s v=""/>
    <x v="2"/>
    <x v="1"/>
    <x v="9"/>
  </r>
  <r>
    <x v="41"/>
    <s v="JOSÉ HAÑARI"/>
    <s v="TARDE"/>
    <s v="15:40"/>
    <s v="16:15"/>
    <d v="1899-12-30T00:35:00"/>
    <x v="29"/>
    <s v="Maquinaria"/>
    <s v="Ajuste /Calibracion"/>
    <x v="1"/>
    <x v="1"/>
    <s v="Dosificador de goma embarra etiqueta; sensores no detecta contra elevador "/>
    <s v="Se calibra goma y se regula sensor para que detecte contra elevador "/>
    <x v="0"/>
    <x v="8"/>
    <s v="Dosificador"/>
    <s v=""/>
    <s v=""/>
    <x v="0"/>
    <x v="1"/>
    <x v="9"/>
  </r>
  <r>
    <x v="41"/>
    <s v="JOSÉ HAÑARI"/>
    <s v="TARDE"/>
    <s v="16:30"/>
    <s v="17:00"/>
    <d v="1899-12-30T00:30:00"/>
    <x v="27"/>
    <s v="Maquinaria"/>
    <s v="Sustitucion"/>
    <x v="1"/>
    <x v="1"/>
    <s v="Seguros de rodamientos rotos "/>
    <s v="Se realiza la puesta de nuevos seguros y se realizó pruebas "/>
    <x v="0"/>
    <x v="0"/>
    <s v=""/>
    <s v=""/>
    <s v=""/>
    <x v="24"/>
    <x v="0"/>
    <x v="9"/>
  </r>
  <r>
    <x v="41"/>
    <s v="JOSÉ HAÑARI"/>
    <s v="TARDE"/>
    <s v="17:10"/>
    <s v="17:30"/>
    <d v="1899-12-30T00:20:00"/>
    <x v="90"/>
    <s v="Maquinaria"/>
    <s v="SET UP"/>
    <x v="1"/>
    <x v="2"/>
    <s v="Aire acondicionado no enfría "/>
    <s v="Se realiza verificación y se cambia de modo de caliente a frio "/>
    <x v="0"/>
    <x v="0"/>
    <s v=""/>
    <s v=""/>
    <s v=""/>
    <x v="0"/>
    <x v="0"/>
    <x v="9"/>
  </r>
  <r>
    <x v="41"/>
    <s v="JOSÉ HAÑARI"/>
    <s v="TARDE"/>
    <s v="18:50"/>
    <s v="19:35"/>
    <d v="1899-12-30T00:45:00"/>
    <x v="27"/>
    <s v="Maquinaria"/>
    <s v="Ajuste /Calibracion"/>
    <x v="1"/>
    <x v="1"/>
    <s v="Corte de envoltorio muy largo "/>
    <s v="Se recorre el jalador de empaquetadota para reducir el corte "/>
    <x v="0"/>
    <x v="0"/>
    <s v=""/>
    <s v=""/>
    <s v=""/>
    <x v="0"/>
    <x v="0"/>
    <x v="9"/>
  </r>
  <r>
    <x v="41"/>
    <s v="JOSÉ HAÑARI"/>
    <s v="TARDE"/>
    <s v="19:40"/>
    <s v="20:10"/>
    <d v="1899-12-30T00:30:00"/>
    <x v="15"/>
    <s v="Maquinaria"/>
    <s v="SET UP"/>
    <x v="0"/>
    <x v="0"/>
    <s v="Se desarma MDS para limpieza "/>
    <s v=""/>
    <x v="0"/>
    <x v="1"/>
    <s v="Mds"/>
    <s v=""/>
    <s v=""/>
    <x v="0"/>
    <x v="1"/>
    <x v="9"/>
  </r>
  <r>
    <x v="41"/>
    <s v="JOSÉ HAÑARI"/>
    <s v="TARDE"/>
    <s v="20:45"/>
    <s v="21:10"/>
    <d v="1899-12-30T00:25:00"/>
    <x v="15"/>
    <s v="Maquinaria"/>
    <s v="SET UP"/>
    <x v="0"/>
    <x v="0"/>
    <s v="Se realiza el armado de mds cremas ovaladas "/>
    <s v=""/>
    <x v="0"/>
    <x v="1"/>
    <s v="Mds"/>
    <s v=""/>
    <s v=""/>
    <x v="0"/>
    <x v="1"/>
    <x v="9"/>
  </r>
  <r>
    <x v="42"/>
    <s v="Carlos Puma"/>
    <s v="MAÑANA"/>
    <s v="06:05"/>
    <s v="08:00"/>
    <d v="1899-12-30T01:55:00"/>
    <x v="15"/>
    <s v="Maquinaria"/>
    <s v="SET UP"/>
    <x v="1"/>
    <x v="1"/>
    <s v="Temperadora bloqueada "/>
    <s v="Se llenó agua en tanques , se puso a calentar , no se ve retorno, se reviso filtro y libre caída de chocolate, se calentó tuberías sin chaqueta , cintas calefactoras no están funcionando , se reviso circuito eléctrico "/>
    <x v="0"/>
    <x v="11"/>
    <s v="Temperadora"/>
    <s v=""/>
    <s v=""/>
    <x v="25"/>
    <x v="1"/>
    <x v="9"/>
  </r>
  <r>
    <x v="42"/>
    <s v="Carlos Puma"/>
    <s v="MAÑANA"/>
    <s v="08:10"/>
    <s v="08:25"/>
    <d v="1899-12-30T00:15:00"/>
    <x v="27"/>
    <s v="Maquinaria"/>
    <s v="Inspección"/>
    <x v="0"/>
    <x v="0"/>
    <s v="Inspección de equipo "/>
    <s v=""/>
    <x v="0"/>
    <x v="0"/>
    <s v=""/>
    <s v=""/>
    <s v=""/>
    <x v="0"/>
    <x v="0"/>
    <x v="9"/>
  </r>
  <r>
    <x v="42"/>
    <s v="Carlos Puma"/>
    <s v="MAÑANA"/>
    <s v="08:30"/>
    <s v="08:45"/>
    <d v="1899-12-30T00:15:00"/>
    <x v="3"/>
    <s v="Maquinaria"/>
    <s v="Inspección"/>
    <x v="0"/>
    <x v="0"/>
    <s v="Inspección de equipo "/>
    <s v="Se verifico temperatura de discos y el sellado del producto final"/>
    <x v="0"/>
    <x v="0"/>
    <s v=""/>
    <s v=""/>
    <s v=""/>
    <x v="0"/>
    <x v="0"/>
    <x v="9"/>
  </r>
  <r>
    <x v="42"/>
    <s v="Carlos Puma"/>
    <s v="MAÑANA"/>
    <s v="08:50"/>
    <s v="09:00"/>
    <d v="1899-12-30T00:10:00"/>
    <x v="22"/>
    <s v="Maquinaria"/>
    <s v="SET UP"/>
    <x v="0"/>
    <x v="0"/>
    <s v="Apoyó en máquina "/>
    <s v="Se apoyó en seteo de pocision y tiempos de retardo para activación de cuchilla"/>
    <x v="0"/>
    <x v="0"/>
    <s v=""/>
    <s v=""/>
    <s v=""/>
    <x v="0"/>
    <x v="0"/>
    <x v="9"/>
  </r>
  <r>
    <x v="42"/>
    <s v="Carlos Puma"/>
    <s v="MAÑANA"/>
    <s v="09:05"/>
    <s v="10:40"/>
    <d v="1899-12-30T01:35:00"/>
    <x v="28"/>
    <s v="Maquinaria"/>
    <s v="SET UP"/>
    <x v="0"/>
    <x v="0"/>
    <s v="Cambio de formato de milky x10 a pisco x9"/>
    <s v="Se cambió piezas y se calibro "/>
    <x v="0"/>
    <x v="0"/>
    <s v=""/>
    <s v=""/>
    <s v=""/>
    <x v="2"/>
    <x v="0"/>
    <x v="9"/>
  </r>
  <r>
    <x v="42"/>
    <s v="Carlos Puma"/>
    <s v="MAÑANA"/>
    <s v="11:45"/>
    <s v="12:00"/>
    <d v="1899-12-30T00:15:00"/>
    <x v="27"/>
    <s v="Maquinaria"/>
    <s v="Ajuste /Calibracion"/>
    <x v="1"/>
    <x v="1"/>
    <s v="Reportan que no funciona faja de alimentación "/>
    <s v="Se habilito faja"/>
    <x v="0"/>
    <x v="0"/>
    <s v=""/>
    <s v=""/>
    <s v=""/>
    <x v="102"/>
    <x v="0"/>
    <x v="9"/>
  </r>
  <r>
    <x v="42"/>
    <s v="CARLOS TAPIA"/>
    <s v="MAÑANA"/>
    <s v="06:45"/>
    <s v="07:30"/>
    <d v="1899-12-30T00:45:00"/>
    <x v="3"/>
    <s v="Maquinaria"/>
    <s v="Ajuste /Calibracion"/>
    <x v="1"/>
    <x v="1"/>
    <s v="Variación constante en discos de sellado."/>
    <s v="Se revisó máquina, se reseteo módulo de temperatura y se calibró en modo automático las temperaturas de sellado."/>
    <x v="0"/>
    <x v="0"/>
    <s v=""/>
    <s v=""/>
    <s v=""/>
    <x v="62"/>
    <x v="0"/>
    <x v="9"/>
  </r>
  <r>
    <x v="42"/>
    <s v="CARLOS TAPIA"/>
    <s v="MAÑANA"/>
    <s v="07:40"/>
    <s v="08:10"/>
    <d v="1899-12-30T00:30:00"/>
    <x v="27"/>
    <s v="Maquinaria"/>
    <s v="Ajuste /Calibracion"/>
    <x v="1"/>
    <x v="1"/>
    <s v="Boquilla de succión no baja/jala etiqueta al momento de empaquetar."/>
    <s v="Se retiró válvula de vacío para su limpieza y se calibró altura de boquilla."/>
    <x v="0"/>
    <x v="0"/>
    <s v=""/>
    <s v=""/>
    <s v=""/>
    <x v="0"/>
    <x v="0"/>
    <x v="9"/>
  </r>
  <r>
    <x v="42"/>
    <s v="CARLOS TAPIA"/>
    <s v="MAÑANA"/>
    <s v="12:00"/>
    <s v="12:15"/>
    <d v="1899-12-30T00:15:00"/>
    <x v="3"/>
    <s v="Maquinaria"/>
    <s v="Limpieza"/>
    <x v="1"/>
    <x v="1"/>
    <s v="Sensores de las  bandas de alineación no registran el sensado de producto."/>
    <s v="Se revisó y limpio sensores. También se alineó posición y sensibilidad de los mismos."/>
    <x v="0"/>
    <x v="0"/>
    <s v=""/>
    <s v=""/>
    <s v=""/>
    <x v="8"/>
    <x v="0"/>
    <x v="9"/>
  </r>
  <r>
    <x v="42"/>
    <s v="Cesar Quiroz"/>
    <s v="NOCHE"/>
    <s v="21:18"/>
    <s v="21:42"/>
    <d v="1899-12-30T00:24:00"/>
    <x v="31"/>
    <s v="Equipos auxiliares"/>
    <s v="Inspección"/>
    <x v="0"/>
    <x v="0"/>
    <s v="Revisión de funcionamiento y parámetros de trabajo "/>
    <s v=""/>
    <x v="0"/>
    <x v="0"/>
    <s v=""/>
    <s v=""/>
    <s v=""/>
    <x v="0"/>
    <x v="0"/>
    <x v="9"/>
  </r>
  <r>
    <x v="42"/>
    <s v="Cesar Quiroz"/>
    <s v="NOCHE"/>
    <s v="21:51"/>
    <s v="22:33"/>
    <d v="1899-12-30T00:42:00"/>
    <x v="43"/>
    <s v="Sistema"/>
    <s v="Limpieza"/>
    <x v="0"/>
    <x v="0"/>
    <s v="Limpieza programada de pozo"/>
    <s v="Se realizó juego de válvulas para dejar vacío pozo con limpieza programada"/>
    <x v="0"/>
    <x v="0"/>
    <s v=""/>
    <s v=""/>
    <s v=""/>
    <x v="0"/>
    <x v="0"/>
    <x v="9"/>
  </r>
  <r>
    <x v="42"/>
    <s v="Cesar Quiroz"/>
    <s v="NOCHE"/>
    <s v="22:44"/>
    <s v="23:15"/>
    <d v="1899-12-30T00:31:00"/>
    <x v="15"/>
    <s v="Maquinaria"/>
    <s v="SET UP"/>
    <x v="0"/>
    <x v="0"/>
    <s v="Desarmado de formato cremas de mds"/>
    <s v=""/>
    <x v="0"/>
    <x v="1"/>
    <s v="Mds"/>
    <s v=""/>
    <s v=""/>
    <x v="2"/>
    <x v="1"/>
    <x v="9"/>
  </r>
  <r>
    <x v="42"/>
    <s v="Cesar Quiroz"/>
    <s v="NOCHE"/>
    <s v="23:21"/>
    <s v="23:42"/>
    <d v="1899-12-30T00:21:00"/>
    <x v="3"/>
    <s v="Maquinaria"/>
    <s v="Ajuste /Calibracion"/>
    <x v="1"/>
    <x v="1"/>
    <s v="Apoyo en regulación de guiadores, ajuste de posición de sensor"/>
    <s v=""/>
    <x v="0"/>
    <x v="0"/>
    <s v=""/>
    <s v=""/>
    <s v=""/>
    <x v="28"/>
    <x v="0"/>
    <x v="9"/>
  </r>
  <r>
    <x v="42"/>
    <s v="Cesar Quiroz"/>
    <s v="NOCHE"/>
    <s v="00:07"/>
    <s v="00:55"/>
    <d v="1899-12-30T00:48:00"/>
    <x v="26"/>
    <s v="Maquinaria"/>
    <s v="Ajuste /Calibracion"/>
    <x v="1"/>
    <x v="1"/>
    <s v="Choque de contraelevador con pinzas, se doblo contraelevador, pinzas se descalibraron y se salieron sus gomas"/>
    <s v="Se retiro pinzas y contraelevador, se enderezó contraelevador y se pego gomas de pinzas , se coloca en máquina y se deja calibrando a operadora"/>
    <x v="0"/>
    <x v="15"/>
    <s v="Contraelevador"/>
    <s v=""/>
    <s v=""/>
    <x v="140"/>
    <x v="1"/>
    <x v="9"/>
  </r>
  <r>
    <x v="42"/>
    <s v="Cesar Quiroz"/>
    <s v="NOCHE"/>
    <s v="01:01"/>
    <s v="01:34"/>
    <d v="1899-12-30T00:33:00"/>
    <x v="15"/>
    <s v="Maquinaria"/>
    <s v="SET UP"/>
    <x v="0"/>
    <x v="0"/>
    <s v="Armado de formato cremas en mds"/>
    <s v=""/>
    <x v="0"/>
    <x v="1"/>
    <s v="Mds"/>
    <s v=""/>
    <s v=""/>
    <x v="2"/>
    <x v="1"/>
    <x v="9"/>
  </r>
  <r>
    <x v="42"/>
    <s v="Cesar Quiroz"/>
    <s v="NOCHE"/>
    <s v="01:38"/>
    <s v="02:17"/>
    <d v="1899-12-30T00:39:00"/>
    <x v="26"/>
    <s v="Maquinaria"/>
    <s v="Sustitucion"/>
    <x v="1"/>
    <x v="1"/>
    <s v="Contraelevador tiene rose con pinzas, pernos rodados"/>
    <s v="Se cambia pernos de pieza, se endereza contraelevador en máquina y se realiza pruebas de funcionamiento en manual y automatico"/>
    <x v="0"/>
    <x v="15"/>
    <s v="Contraelevador"/>
    <s v=""/>
    <s v=""/>
    <x v="0"/>
    <x v="1"/>
    <x v="9"/>
  </r>
  <r>
    <x v="42"/>
    <s v="Cesar Quiroz"/>
    <s v="NOCHE"/>
    <s v="02:21"/>
    <s v="02:39"/>
    <d v="1899-12-30T00:18:00"/>
    <x v="3"/>
    <s v="Maquinaria"/>
    <s v="Ajuste /Calibracion"/>
    <x v="1"/>
    <x v="1"/>
    <s v="Soplador de empaques vacíos se mueve "/>
    <s v="Se retiro soplador, se colocó teflón en uniones, se ajusto posición "/>
    <x v="0"/>
    <x v="0"/>
    <s v=""/>
    <s v=""/>
    <s v=""/>
    <x v="0"/>
    <x v="0"/>
    <x v="9"/>
  </r>
  <r>
    <x v="42"/>
    <s v="Cesar Quiroz"/>
    <s v="NOCHE"/>
    <s v="02:46"/>
    <s v="03:05"/>
    <d v="1899-12-30T00:19:00"/>
    <x v="15"/>
    <s v="Maquinaria"/>
    <s v="SET UP"/>
    <x v="0"/>
    <x v="0"/>
    <s v="Revisión de funcionamiento de módulo mds, centrado de dosificador"/>
    <s v=""/>
    <x v="0"/>
    <x v="14"/>
    <s v="Dosificador"/>
    <s v="Mds"/>
    <s v=""/>
    <x v="8"/>
    <x v="1"/>
    <x v="9"/>
  </r>
  <r>
    <x v="42"/>
    <s v="Cesar Quiroz"/>
    <s v="NOCHE"/>
    <s v="03:10"/>
    <s v="03:32"/>
    <d v="1899-12-30T00:22:00"/>
    <x v="26"/>
    <s v="Maquinaria"/>
    <s v="Reparacion"/>
    <x v="1"/>
    <x v="1"/>
    <s v="Pinza rosa con plegador, goma se sale"/>
    <s v="Se retira pinza, se lima bordes, se pega goma , se prueba en equipo y se realiza ajuste de pinzas y se realiza pruebas"/>
    <x v="0"/>
    <x v="0"/>
    <s v=""/>
    <s v=""/>
    <s v=""/>
    <x v="0"/>
    <x v="0"/>
    <x v="9"/>
  </r>
  <r>
    <x v="43"/>
    <s v="Carlos Puma"/>
    <s v="NOCHE"/>
    <s v="09:30"/>
    <s v="10:00"/>
    <d v="1899-12-30T00:30:00"/>
    <x v="7"/>
    <s v="Maquinaria"/>
    <s v="Inspección"/>
    <x v="0"/>
    <x v="0"/>
    <s v="Inspección de equipos a usarse en el turno "/>
    <s v=""/>
    <x v="0"/>
    <x v="0"/>
    <s v=""/>
    <s v=""/>
    <s v=""/>
    <x v="0"/>
    <x v="0"/>
    <x v="10"/>
  </r>
  <r>
    <x v="43"/>
    <s v="Carlos Puma"/>
    <s v="NOCHE"/>
    <s v="10:10"/>
    <s v="11:05"/>
    <d v="1899-12-30T00:55:00"/>
    <x v="50"/>
    <s v="Maquinaria"/>
    <s v="Sustitucion"/>
    <x v="1"/>
    <x v="1"/>
    <s v="Encontraron malla de bañadora en mala estado"/>
    <s v="Se remplazo sección rota , se cocio malla y se acomodo partes dobladas en todo el recorrido"/>
    <x v="0"/>
    <x v="0"/>
    <s v=""/>
    <s v=""/>
    <s v=""/>
    <x v="0"/>
    <x v="0"/>
    <x v="10"/>
  </r>
  <r>
    <x v="43"/>
    <s v="Carlos Puma"/>
    <s v="NOCHE"/>
    <s v="11:20"/>
    <s v="11:55"/>
    <d v="1899-12-30T00:35:00"/>
    <x v="91"/>
    <s v="Equipos auxiliares"/>
    <s v="Ajuste /Calibracion"/>
    <x v="1"/>
    <x v="1"/>
    <s v="Reportan que cocina electrica pequeña de grajeadora no funciona "/>
    <s v="Se hizo su revisión en taller de mantenimiento, se habilito y se entregó a producción "/>
    <x v="0"/>
    <x v="0"/>
    <s v=""/>
    <s v=""/>
    <s v=""/>
    <x v="0"/>
    <x v="0"/>
    <x v="10"/>
  </r>
  <r>
    <x v="43"/>
    <s v="Carlos Puma"/>
    <s v="NOCHE"/>
    <s v="00:10"/>
    <s v="01:00"/>
    <d v="1899-12-30T00:50:00"/>
    <x v="3"/>
    <s v="Maquinaria"/>
    <s v="Inspección"/>
    <x v="0"/>
    <x v="0"/>
    <s v="Inspección de equipo "/>
    <s v="Se reviso estado de bandas transportadoras "/>
    <x v="0"/>
    <x v="0"/>
    <s v=""/>
    <s v=""/>
    <s v=""/>
    <x v="0"/>
    <x v="0"/>
    <x v="10"/>
  </r>
  <r>
    <x v="43"/>
    <s v="Carlos Puma"/>
    <s v="NOCHE"/>
    <s v="01:10"/>
    <s v="01:30"/>
    <d v="1899-12-30T00:20:00"/>
    <x v="15"/>
    <s v="Maquinaria"/>
    <s v="Inspección"/>
    <x v="0"/>
    <x v="0"/>
    <s v="Inspección de temperadora "/>
    <s v=""/>
    <x v="0"/>
    <x v="11"/>
    <s v="Temperadora"/>
    <s v=""/>
    <s v=""/>
    <x v="0"/>
    <x v="1"/>
    <x v="10"/>
  </r>
  <r>
    <x v="43"/>
    <s v="Carlos Puma"/>
    <s v="NOCHE"/>
    <s v="01:55"/>
    <s v="02:20"/>
    <d v="1899-12-30T00:25:00"/>
    <x v="39"/>
    <s v="Maquinaria"/>
    <s v="Inspección"/>
    <x v="0"/>
    <x v="0"/>
    <s v="Inspección de equipo "/>
    <s v="Se dió seguimiento ala premezcla y se reviso historial de cocciones anteriores de toffe castaña"/>
    <x v="0"/>
    <x v="0"/>
    <s v=""/>
    <s v=""/>
    <s v=""/>
    <x v="0"/>
    <x v="0"/>
    <x v="10"/>
  </r>
  <r>
    <x v="43"/>
    <s v="CARLOS TAPIA"/>
    <s v="MAÑANA"/>
    <s v="05:30"/>
    <s v="06:30"/>
    <d v="1899-12-30T01:00:00"/>
    <x v="21"/>
    <s v="Area"/>
    <s v="Encendido / Arranque de linea"/>
    <x v="0"/>
    <x v="0"/>
    <s v="Arranque de planta."/>
    <s v="Se encendió equipos y líneas de vapor agua y aire "/>
    <x v="0"/>
    <x v="0"/>
    <s v=""/>
    <s v=""/>
    <s v=""/>
    <x v="0"/>
    <x v="0"/>
    <x v="10"/>
  </r>
  <r>
    <x v="43"/>
    <s v="CARLOS TAPIA"/>
    <s v="MAÑANA"/>
    <s v="06:30"/>
    <s v="07:00"/>
    <d v="1899-12-30T00:30:00"/>
    <x v="17"/>
    <s v="Maquinaria"/>
    <s v="SET UP"/>
    <x v="0"/>
    <x v="0"/>
    <s v="Armado de máquina."/>
    <s v="Se inició con el armado de máquina."/>
    <x v="0"/>
    <x v="0"/>
    <s v=""/>
    <s v=""/>
    <s v=""/>
    <x v="0"/>
    <x v="0"/>
    <x v="10"/>
  </r>
  <r>
    <x v="43"/>
    <s v="CARLOS TAPIA"/>
    <s v="MAÑANA"/>
    <s v="07:05"/>
    <s v="07:40"/>
    <d v="1899-12-30T00:35:00"/>
    <x v="15"/>
    <s v="Maquinaria"/>
    <s v="SET UP"/>
    <x v="0"/>
    <x v="0"/>
    <s v="Armado de módulo MDS formato cremas."/>
    <s v="Se habilitó máquina y se armó el módulo MDS formato cremas ovaladas."/>
    <x v="0"/>
    <x v="1"/>
    <s v="Mds"/>
    <s v=""/>
    <s v=""/>
    <x v="2"/>
    <x v="1"/>
    <x v="10"/>
  </r>
  <r>
    <x v="43"/>
    <s v="CARLOS TAPIA"/>
    <s v="MAÑANA"/>
    <s v="07:45"/>
    <s v="08:00"/>
    <d v="1899-12-30T00:15:00"/>
    <x v="39"/>
    <s v="Maquinaria"/>
    <s v="SET UP"/>
    <x v="0"/>
    <x v="0"/>
    <s v="Apoyo en máquina, báscula de máquina no pesa correctamente los ingredientes."/>
    <s v="Se revisó y se reseteo receta. Se habilitó máquina "/>
    <x v="74"/>
    <x v="0"/>
    <s v=""/>
    <s v=""/>
    <s v=""/>
    <x v="0"/>
    <x v="1"/>
    <x v="10"/>
  </r>
  <r>
    <x v="43"/>
    <s v="Cesar Quiroz"/>
    <s v="TARDE"/>
    <s v="12:37"/>
    <s v="12:54"/>
    <d v="1899-12-30T00:17:00"/>
    <x v="31"/>
    <s v="Equipos auxiliares"/>
    <s v="Inspección"/>
    <x v="0"/>
    <x v="0"/>
    <s v="Revisión de funcionamiento y parámetros de trabajo "/>
    <s v=""/>
    <x v="0"/>
    <x v="0"/>
    <s v=""/>
    <s v=""/>
    <s v=""/>
    <x v="0"/>
    <x v="0"/>
    <x v="10"/>
  </r>
  <r>
    <x v="43"/>
    <s v="Cesar Quiroz"/>
    <s v="TARDE"/>
    <s v="13:04"/>
    <s v="13:23"/>
    <d v="1899-12-30T00:19:00"/>
    <x v="50"/>
    <s v="Maquinaria"/>
    <s v="SET UP"/>
    <x v="0"/>
    <x v="0"/>
    <s v="Poca caída de chocolate en bañado"/>
    <s v="Se retiro filtro para limpieza, se espero y se volvió a colocar"/>
    <x v="8"/>
    <x v="0"/>
    <s v=""/>
    <s v=""/>
    <s v=""/>
    <x v="0"/>
    <x v="1"/>
    <x v="10"/>
  </r>
  <r>
    <x v="43"/>
    <s v="Cesar Quiroz"/>
    <s v="TARDE"/>
    <s v="13:27"/>
    <s v="13:48"/>
    <d v="1899-12-30T00:21:00"/>
    <x v="29"/>
    <s v="Maquinaria"/>
    <s v="SET UP"/>
    <x v="0"/>
    <x v="0"/>
    <s v="Se apoyo en cambio de formato a tabletas x40"/>
    <s v=""/>
    <x v="8"/>
    <x v="0"/>
    <s v=""/>
    <s v=""/>
    <s v=""/>
    <x v="2"/>
    <x v="1"/>
    <x v="10"/>
  </r>
  <r>
    <x v="43"/>
    <s v="Cesar Quiroz"/>
    <s v="TARDE"/>
    <s v="13:56"/>
    <s v="15:37"/>
    <d v="1899-12-30T01:41:00"/>
    <x v="39"/>
    <s v="Maquinaria"/>
    <s v="SET UP"/>
    <x v="1"/>
    <x v="2"/>
    <s v="Problemas con la dosificación de ingredientes en bascula"/>
    <s v="Se realizó pruebas con recetas diferentes, se creo nueva receta y se acompaño en proceso de receta, quedó habilitado"/>
    <x v="0"/>
    <x v="8"/>
    <s v="Dosificador"/>
    <s v=""/>
    <s v=""/>
    <x v="0"/>
    <x v="1"/>
    <x v="10"/>
  </r>
  <r>
    <x v="43"/>
    <s v="Cesar Quiroz"/>
    <s v="TARDE"/>
    <s v="15:44"/>
    <s v="16:16"/>
    <d v="1899-12-30T00:32:00"/>
    <x v="92"/>
    <s v="Maquinaria"/>
    <s v="Ajuste /Calibracion"/>
    <x v="1"/>
    <x v="1"/>
    <s v="Empaquetado sale mal, problemas en sellado y aguja, bolsa se sale de posición "/>
    <s v="Se ajusto ruedas de guia de bolsa, se cambio aguja y se regulo altura de aguja con cinta, se modifico valores de temperatura y se realizó pruebas, se dejó pasando"/>
    <x v="0"/>
    <x v="0"/>
    <s v=""/>
    <s v=""/>
    <s v=""/>
    <x v="62"/>
    <x v="0"/>
    <x v="10"/>
  </r>
  <r>
    <x v="43"/>
    <s v="JOSÉ HAÑARI"/>
    <s v="MAÑANA"/>
    <s v="16:20"/>
    <s v="16:40"/>
    <d v="1899-12-30T00:20:00"/>
    <x v="29"/>
    <s v="Maquinaria"/>
    <s v="Ajuste /Calibracion"/>
    <x v="1"/>
    <x v="1"/>
    <s v="Hilo rodado en pieza de sapal "/>
    <s v="Se corrige pieza se le forma hilo y se le pone nuevos pernos "/>
    <x v="0"/>
    <x v="0"/>
    <s v=""/>
    <s v=""/>
    <s v=""/>
    <x v="0"/>
    <x v="0"/>
    <x v="10"/>
  </r>
  <r>
    <x v="43"/>
    <s v="JOSÉ HAÑARI"/>
    <s v="MAÑANA"/>
    <s v="17:00"/>
    <s v="17:20"/>
    <d v="1899-12-30T00:20:00"/>
    <x v="47"/>
    <s v="Maquinaria"/>
    <s v="SET UP"/>
    <x v="1"/>
    <x v="2"/>
    <s v="Moldes fuera de sintonía de empujadores de línea "/>
    <s v="Se corrige sincronía de moldes en modo manual en hacos 2 "/>
    <x v="0"/>
    <x v="0"/>
    <s v=""/>
    <s v=""/>
    <s v=""/>
    <x v="33"/>
    <x v="0"/>
    <x v="10"/>
  </r>
  <r>
    <x v="43"/>
    <s v="JOSÉ HAÑARI"/>
    <s v="TARDE"/>
    <s v="15:40"/>
    <s v="16:15"/>
    <d v="1899-12-30T00:35:00"/>
    <x v="15"/>
    <s v="Maquinaria"/>
    <s v="SET UP"/>
    <x v="0"/>
    <x v="0"/>
    <s v="Se desarma MDS para limpieza por prueba de producción "/>
    <s v=""/>
    <x v="0"/>
    <x v="1"/>
    <s v="Mds"/>
    <s v=""/>
    <s v=""/>
    <x v="0"/>
    <x v="1"/>
    <x v="10"/>
  </r>
  <r>
    <x v="43"/>
    <s v="JOSÉ HAÑARI"/>
    <s v="TARDE"/>
    <s v="17:30"/>
    <s v="18:10"/>
    <d v="1899-12-30T00:40:00"/>
    <x v="93"/>
    <s v=""/>
    <s v="Trabajos menores"/>
    <x v="0"/>
    <x v="0"/>
    <s v="Se apoya con el retiro de químicos de almacén para supervisión "/>
    <s v=""/>
    <x v="0"/>
    <x v="0"/>
    <s v=""/>
    <s v=""/>
    <s v=""/>
    <x v="14"/>
    <x v="0"/>
    <x v="10"/>
  </r>
  <r>
    <x v="44"/>
    <s v="Carlos Puma"/>
    <s v="NOCHE"/>
    <s v="09:35"/>
    <s v="10:20"/>
    <d v="1899-12-30T00:45:00"/>
    <x v="17"/>
    <s v="Maquinaria"/>
    <s v="SET UP"/>
    <x v="0"/>
    <x v="0"/>
    <s v="Desarme de equipo para limpieza "/>
    <s v=""/>
    <x v="0"/>
    <x v="0"/>
    <s v=""/>
    <s v=""/>
    <s v=""/>
    <x v="0"/>
    <x v="0"/>
    <x v="10"/>
  </r>
  <r>
    <x v="44"/>
    <s v="Carlos Puma"/>
    <s v="NOCHE"/>
    <s v="10:30"/>
    <s v="11:10"/>
    <d v="1899-12-30T00:40:00"/>
    <x v="7"/>
    <s v="Maquinaria"/>
    <s v="Inspección"/>
    <x v="0"/>
    <x v="0"/>
    <s v="Inspección de equipos en uso"/>
    <s v=""/>
    <x v="0"/>
    <x v="0"/>
    <s v=""/>
    <s v=""/>
    <s v=""/>
    <x v="0"/>
    <x v="0"/>
    <x v="10"/>
  </r>
  <r>
    <x v="44"/>
    <s v="Carlos Puma"/>
    <s v="NOCHE"/>
    <s v="11:30"/>
    <s v="11:45"/>
    <d v="1899-12-30T00:15:00"/>
    <x v="50"/>
    <s v="Maquinaria"/>
    <s v="SET UP"/>
    <x v="0"/>
    <x v="0"/>
    <s v="Apoyó en retiró y colocación de filtro de chocolate "/>
    <s v=""/>
    <x v="75"/>
    <x v="0"/>
    <s v=""/>
    <s v=""/>
    <s v=""/>
    <x v="1"/>
    <x v="1"/>
    <x v="10"/>
  </r>
  <r>
    <x v="44"/>
    <s v="CARLOS TAPIA"/>
    <s v="MAÑANA"/>
    <s v="06:00"/>
    <s v="06:30"/>
    <d v="1899-12-30T00:30:00"/>
    <x v="39"/>
    <s v="Maquinaria"/>
    <s v="Inspección"/>
    <x v="0"/>
    <x v="0"/>
    <s v="Dar seguimiento al funcionamiento de máquina con carga."/>
    <s v="Se dió seguimiento a la cocción y arranque en Hansel."/>
    <x v="0"/>
    <x v="0"/>
    <s v=""/>
    <s v=""/>
    <s v=""/>
    <x v="38"/>
    <x v="0"/>
    <x v="10"/>
  </r>
  <r>
    <x v="44"/>
    <s v="CARLOS TAPIA"/>
    <s v="MAÑANA"/>
    <s v="07:00"/>
    <s v="08:00"/>
    <d v="1899-12-30T01:00:00"/>
    <x v="52"/>
    <s v="Area"/>
    <s v="Limpieza"/>
    <x v="0"/>
    <x v="0"/>
    <s v="Orden y limpieza en taller y almacén de mantenimiento."/>
    <s v="Se ordenó y limpio zonas de trabajo."/>
    <x v="0"/>
    <x v="0"/>
    <s v=""/>
    <s v=""/>
    <s v=""/>
    <x v="0"/>
    <x v="0"/>
    <x v="10"/>
  </r>
  <r>
    <x v="44"/>
    <s v="CARLOS TAPIA"/>
    <s v="MAÑANA"/>
    <s v="08:30"/>
    <s v="09:45"/>
    <d v="1899-12-30T01:15:00"/>
    <x v="94"/>
    <s v="Sistema"/>
    <s v="M.General"/>
    <x v="0"/>
    <x v="0"/>
    <s v="Vaciar el pozo #3 de agua potable, para su limpieza."/>
    <s v="Con ayuda de una bomba sumergible se logro vaciar por completo y se dejó el pozo listo para su intervención."/>
    <x v="0"/>
    <x v="0"/>
    <s v=""/>
    <s v=""/>
    <s v=""/>
    <x v="0"/>
    <x v="0"/>
    <x v="10"/>
  </r>
  <r>
    <x v="44"/>
    <s v="CARLOS TAPIA"/>
    <s v="MAÑANA"/>
    <s v="10:00"/>
    <s v="12:00"/>
    <d v="1899-12-30T02:00:00"/>
    <x v="66"/>
    <s v="Maquinaria"/>
    <s v="SET UP"/>
    <x v="0"/>
    <x v="0"/>
    <s v="Habilitar una ventana o compuerta para el acceso de la faja de transmisión."/>
    <s v="Se retiró guarda para habilitar una ventana o compuerta."/>
    <x v="76"/>
    <x v="0"/>
    <s v=""/>
    <s v=""/>
    <s v=""/>
    <x v="0"/>
    <x v="1"/>
    <x v="10"/>
  </r>
  <r>
    <x v="45"/>
    <s v="Carlos Puma"/>
    <s v="NOCHE"/>
    <s v="00:10"/>
    <s v="01:20"/>
    <d v="1899-12-30T01:10:00"/>
    <x v="15"/>
    <s v="Maquinaria"/>
    <s v="SET UP"/>
    <x v="1"/>
    <x v="2"/>
    <s v="Falla en ssr4 extensión "/>
    <s v="Se reviso circuito eléctrico y estado de resistencia, se habilito circuito de calentamiento de tina extensión se hizo pruebas al 50% y 100%"/>
    <x v="0"/>
    <x v="4"/>
    <s v="Extension"/>
    <s v=""/>
    <s v=""/>
    <x v="0"/>
    <x v="1"/>
    <x v="10"/>
  </r>
  <r>
    <x v="46"/>
    <s v="CARLOS TAPIA"/>
    <s v="MAÑANA"/>
    <s v="05:30"/>
    <s v="06:30"/>
    <d v="1899-12-30T01:00:00"/>
    <x v="21"/>
    <s v="Area"/>
    <s v="Encendido / Arranque de linea"/>
    <x v="0"/>
    <x v="0"/>
    <s v="Arranque de planta "/>
    <s v="Se encendió equipos y líneas de vapor agua y aire "/>
    <x v="0"/>
    <x v="0"/>
    <s v=""/>
    <s v=""/>
    <s v=""/>
    <x v="0"/>
    <x v="0"/>
    <x v="11"/>
  </r>
  <r>
    <x v="46"/>
    <s v="CARLOS TAPIA"/>
    <s v="MAÑANA"/>
    <s v="06:40"/>
    <s v="07:00"/>
    <d v="1899-12-30T00:20:00"/>
    <x v="51"/>
    <s v="Maquinaria"/>
    <s v="SET UP"/>
    <x v="0"/>
    <x v="0"/>
    <s v="Desarmar máquina para su limpieza "/>
    <s v="Se retiró piezas para su limpieza "/>
    <x v="0"/>
    <x v="0"/>
    <s v=""/>
    <s v=""/>
    <s v=""/>
    <x v="0"/>
    <x v="0"/>
    <x v="11"/>
  </r>
  <r>
    <x v="46"/>
    <s v="CARLOS TAPIA"/>
    <s v="MAÑANA"/>
    <s v="07:10"/>
    <s v="07:40"/>
    <d v="1899-12-30T00:30:00"/>
    <x v="50"/>
    <s v="Maquinaria"/>
    <s v="SET UP"/>
    <x v="0"/>
    <x v="0"/>
    <s v="Desarmar máquina para su limpieza "/>
    <s v="Se retiró piezas de máquina para su limpieza "/>
    <x v="0"/>
    <x v="0"/>
    <s v=""/>
    <s v=""/>
    <s v=""/>
    <x v="0"/>
    <x v="0"/>
    <x v="11"/>
  </r>
  <r>
    <x v="46"/>
    <s v="CARLOS TAPIA"/>
    <s v="MAÑANA"/>
    <s v="08:00"/>
    <s v="08:30"/>
    <d v="1899-12-30T00:30:00"/>
    <x v="19"/>
    <s v="Maquinaria"/>
    <s v="SET UP"/>
    <x v="0"/>
    <x v="0"/>
    <s v="Desarmar máquina para su limpieza "/>
    <s v="Se retiró piezas de máquina "/>
    <x v="0"/>
    <x v="0"/>
    <s v=""/>
    <s v=""/>
    <s v=""/>
    <x v="0"/>
    <x v="0"/>
    <x v="11"/>
  </r>
  <r>
    <x v="46"/>
    <s v="CARLOS TAPIA"/>
    <s v="MAÑANA"/>
    <s v="08:45"/>
    <s v="09:00"/>
    <d v="1899-12-30T00:15:00"/>
    <x v="68"/>
    <s v="Area"/>
    <s v="SET UP"/>
    <x v="0"/>
    <x v="0"/>
    <s v="Producción solicitada el retiro de ventilador empotrado del cuarto piso."/>
    <s v="Se retiró ventilador para su limpieza "/>
    <x v="77"/>
    <x v="0"/>
    <s v=""/>
    <s v=""/>
    <s v=""/>
    <x v="14"/>
    <x v="1"/>
    <x v="11"/>
  </r>
  <r>
    <x v="46"/>
    <s v="CARLOS TAPIA"/>
    <s v="MAÑANA"/>
    <s v="09:10"/>
    <s v="10:10"/>
    <d v="1899-12-30T01:00:00"/>
    <x v="17"/>
    <s v="Maquinaria"/>
    <s v="SET UP"/>
    <x v="0"/>
    <x v="0"/>
    <s v="Armado de máquina "/>
    <s v="Se colocó piezas en posición y se habilitó máquina "/>
    <x v="0"/>
    <x v="0"/>
    <s v=""/>
    <s v=""/>
    <s v=""/>
    <x v="0"/>
    <x v="0"/>
    <x v="11"/>
  </r>
  <r>
    <x v="46"/>
    <s v="CARLOS TAPIA"/>
    <s v="MAÑANA"/>
    <s v="10:15"/>
    <s v="10:30"/>
    <d v="1899-12-30T00:15:00"/>
    <x v="62"/>
    <s v="Equipos auxiliares"/>
    <s v="Limpieza"/>
    <x v="1"/>
    <x v="1"/>
    <s v="El agua no llega a calentar, debido a una obstrucción en la tuberías."/>
    <s v="Se revisó las tuberías de retorno y se libero presión de agua "/>
    <x v="0"/>
    <x v="0"/>
    <s v=""/>
    <s v=""/>
    <s v=""/>
    <x v="141"/>
    <x v="0"/>
    <x v="11"/>
  </r>
  <r>
    <x v="46"/>
    <s v="CARLOS TAPIA"/>
    <s v="MAÑANA"/>
    <s v="10:30"/>
    <s v="11:15"/>
    <d v="1899-12-30T00:45:00"/>
    <x v="5"/>
    <s v="Maquinaria"/>
    <s v="SET UP"/>
    <x v="0"/>
    <x v="0"/>
    <s v="Armado de máquina "/>
    <s v="Se colocó piezas en posición, se colocó bandas y se habilitó máquina "/>
    <x v="0"/>
    <x v="0"/>
    <s v=""/>
    <s v=""/>
    <s v=""/>
    <x v="0"/>
    <x v="0"/>
    <x v="11"/>
  </r>
  <r>
    <x v="46"/>
    <s v="CARLOS TAPIA"/>
    <s v="MAÑANA"/>
    <s v="12:40"/>
    <s v="13:00"/>
    <d v="1899-12-30T00:20:00"/>
    <x v="66"/>
    <s v="Maquinaria"/>
    <s v="Mejora"/>
    <x v="0"/>
    <x v="0"/>
    <s v="Colocar visor de faja en máquina "/>
    <s v="Se colocó un visor en la guarda de la faja "/>
    <x v="9"/>
    <x v="0"/>
    <s v=""/>
    <s v=""/>
    <s v=""/>
    <x v="0"/>
    <x v="1"/>
    <x v="11"/>
  </r>
  <r>
    <x v="46"/>
    <s v="Cesar Quiroz"/>
    <s v="MAÑANA"/>
    <s v="05:35"/>
    <s v="06:41"/>
    <d v="1899-12-30T01:06:00"/>
    <x v="31"/>
    <s v="Equipos auxiliares"/>
    <s v="Encendido / Arranque de linea"/>
    <x v="0"/>
    <x v="0"/>
    <s v="Arranque de planta, encendido de equipos"/>
    <s v=""/>
    <x v="0"/>
    <x v="0"/>
    <s v=""/>
    <s v=""/>
    <s v=""/>
    <x v="0"/>
    <x v="0"/>
    <x v="11"/>
  </r>
  <r>
    <x v="46"/>
    <s v="Cesar Quiroz"/>
    <s v="MAÑANA"/>
    <s v="06:45"/>
    <s v="06:57"/>
    <d v="1899-12-30T00:12:00"/>
    <x v="40"/>
    <s v="Maquinaria"/>
    <s v="SET UP"/>
    <x v="1"/>
    <x v="2"/>
    <s v="Equipo con producto seco y apagado"/>
    <s v="Se encendió equipo y se colocó en modo calentamiento "/>
    <x v="0"/>
    <x v="0"/>
    <s v=""/>
    <s v=""/>
    <s v=""/>
    <x v="131"/>
    <x v="0"/>
    <x v="11"/>
  </r>
  <r>
    <x v="46"/>
    <s v="Cesar Quiroz"/>
    <s v="MAÑANA"/>
    <s v="07:06"/>
    <s v="07:18"/>
    <d v="1899-12-30T00:12:00"/>
    <x v="26"/>
    <s v="Maquinaria"/>
    <s v="SET UP"/>
    <x v="0"/>
    <x v="0"/>
    <s v="Retiro de tapas y guardas para limpieza"/>
    <s v=""/>
    <x v="78"/>
    <x v="0"/>
    <s v=""/>
    <s v=""/>
    <s v=""/>
    <x v="14"/>
    <x v="1"/>
    <x v="11"/>
  </r>
  <r>
    <x v="46"/>
    <s v="Cesar Quiroz"/>
    <s v="MAÑANA"/>
    <s v="08:33"/>
    <s v="08:40"/>
    <d v="1899-12-30T00:07:00"/>
    <x v="95"/>
    <s v="Maquinaria"/>
    <s v="SET UP"/>
    <x v="1"/>
    <x v="2"/>
    <s v="Pantalla no enciende de equipo"/>
    <s v="Se reviso tablero y se habilitó UPS , se verifico correcto encendido "/>
    <x v="0"/>
    <x v="0"/>
    <s v=""/>
    <s v=""/>
    <s v=""/>
    <x v="58"/>
    <x v="0"/>
    <x v="11"/>
  </r>
  <r>
    <x v="46"/>
    <s v="Cesar Quiroz"/>
    <s v="MAÑANA"/>
    <s v="08:59"/>
    <s v="09:20"/>
    <d v="1899-12-30T00:21:00"/>
    <x v="43"/>
    <s v="Sistema"/>
    <s v="M.General"/>
    <x v="1"/>
    <x v="1"/>
    <s v="Drenaje tapado, sale agua en zona de pozos"/>
    <s v="Se utilizo manguera y agua a presión para destapar drenaje, se realizó limpieza de area"/>
    <x v="0"/>
    <x v="0"/>
    <s v=""/>
    <s v=""/>
    <s v=""/>
    <x v="142"/>
    <x v="0"/>
    <x v="11"/>
  </r>
  <r>
    <x v="46"/>
    <s v="Cesar Quiroz"/>
    <s v="MAÑANA"/>
    <s v="10:05"/>
    <s v="10:30"/>
    <d v="1899-12-30T00:25:00"/>
    <x v="50"/>
    <s v="Maquinaria"/>
    <s v="SET UP"/>
    <x v="0"/>
    <x v="0"/>
    <s v="Armado de equipo, colocación de polines y retiro de filtro para limpieza"/>
    <s v=""/>
    <x v="79"/>
    <x v="0"/>
    <s v=""/>
    <s v=""/>
    <s v=""/>
    <x v="1"/>
    <x v="1"/>
    <x v="11"/>
  </r>
  <r>
    <x v="46"/>
    <s v="Cesar Quiroz"/>
    <s v="MAÑANA"/>
    <s v="11:32"/>
    <s v="11:52"/>
    <d v="1899-12-30T00:20:00"/>
    <x v="83"/>
    <s v="Sistema"/>
    <s v="M.General"/>
    <x v="0"/>
    <x v="0"/>
    <s v="Bajo nivel de agua en pozo"/>
    <s v="Se realizó llenado con agua blanda"/>
    <x v="0"/>
    <x v="0"/>
    <s v=""/>
    <s v=""/>
    <s v=""/>
    <x v="135"/>
    <x v="0"/>
    <x v="11"/>
  </r>
  <r>
    <x v="46"/>
    <s v="Cesar Quiroz"/>
    <s v="MAÑANA"/>
    <s v="11:59"/>
    <s v="12:48"/>
    <d v="1899-12-30T00:49:00"/>
    <x v="39"/>
    <s v="Maquinaria"/>
    <s v="Seguimiento / Pruebas"/>
    <x v="0"/>
    <x v="0"/>
    <s v="Solicitud para creación de receta para reproceso de producto"/>
    <s v="Se creo receta y se acompaño en proceso de cocción "/>
    <x v="8"/>
    <x v="0"/>
    <s v=""/>
    <s v=""/>
    <s v=""/>
    <x v="0"/>
    <x v="1"/>
    <x v="11"/>
  </r>
  <r>
    <x v="46"/>
    <s v="Omar Nina"/>
    <s v="NOCHE"/>
    <s v="21:28"/>
    <s v="21:30"/>
    <d v="1899-12-30T00:02:00"/>
    <x v="96"/>
    <s v="Equipos auxiliares"/>
    <s v="SET UP"/>
    <x v="1"/>
    <x v="2"/>
    <s v="Ascensor en falla"/>
    <s v="Se desenergiza equipo y se verifica correcto apagado "/>
    <x v="0"/>
    <x v="0"/>
    <s v=""/>
    <s v=""/>
    <s v=""/>
    <x v="0"/>
    <x v="0"/>
    <x v="11"/>
  </r>
  <r>
    <x v="46"/>
    <s v="Omar Nina"/>
    <s v="NOCHE"/>
    <s v="21:50"/>
    <s v="22:06"/>
    <d v="1899-12-30T00:16:00"/>
    <x v="55"/>
    <s v="Maquinaria"/>
    <s v="Lubricación"/>
    <x v="0"/>
    <x v="0"/>
    <s v="Lubricación de cadena"/>
    <s v=""/>
    <x v="14"/>
    <x v="0"/>
    <s v=""/>
    <s v=""/>
    <s v=""/>
    <x v="44"/>
    <x v="1"/>
    <x v="11"/>
  </r>
  <r>
    <x v="46"/>
    <s v="Omar Nina"/>
    <s v="NOCHE"/>
    <s v="22:10"/>
    <s v="22:30"/>
    <d v="1899-12-30T00:20:00"/>
    <x v="55"/>
    <s v="Maquinaria"/>
    <s v="Sustitucion"/>
    <x v="1"/>
    <x v="1"/>
    <s v="Perno no ajusta plancha de enfriamiento "/>
    <s v="Se reemplaza perno por uno de mayor diámetro "/>
    <x v="0"/>
    <x v="0"/>
    <s v=""/>
    <s v=""/>
    <s v=""/>
    <x v="143"/>
    <x v="0"/>
    <x v="11"/>
  </r>
  <r>
    <x v="46"/>
    <s v="Omar Nina"/>
    <s v="NOCHE"/>
    <s v="22:40"/>
    <s v="23:10"/>
    <d v="1899-12-30T00:30:00"/>
    <x v="55"/>
    <s v="Maquinaria"/>
    <s v="Inspección"/>
    <x v="0"/>
    <x v="0"/>
    <s v="Inspección funcionamiento de equipo "/>
    <s v=""/>
    <x v="0"/>
    <x v="0"/>
    <s v=""/>
    <s v=""/>
    <s v=""/>
    <x v="0"/>
    <x v="0"/>
    <x v="11"/>
  </r>
  <r>
    <x v="46"/>
    <s v="Omar Nina"/>
    <s v="NOCHE"/>
    <s v="23:30"/>
    <s v="23:51"/>
    <d v="1899-12-30T00:21:00"/>
    <x v="40"/>
    <s v="Maquinaria"/>
    <s v="Inspección"/>
    <x v="0"/>
    <x v="0"/>
    <s v="Verificación funcionamiento de equipo "/>
    <s v=""/>
    <x v="0"/>
    <x v="0"/>
    <s v=""/>
    <s v=""/>
    <s v=""/>
    <x v="0"/>
    <x v="0"/>
    <x v="11"/>
  </r>
  <r>
    <x v="46"/>
    <s v="Omar Nina"/>
    <s v="NOCHE"/>
    <s v="00:07"/>
    <s v="00:36"/>
    <d v="1899-12-30T00:29:00"/>
    <x v="5"/>
    <s v="Maquinaria"/>
    <s v="Inspección"/>
    <x v="0"/>
    <x v="0"/>
    <s v="Inspección funcionamiento de equipo "/>
    <s v=""/>
    <x v="0"/>
    <x v="0"/>
    <s v=""/>
    <s v=""/>
    <s v=""/>
    <x v="0"/>
    <x v="0"/>
    <x v="11"/>
  </r>
  <r>
    <x v="46"/>
    <s v="Omar Nina"/>
    <s v="NOCHE"/>
    <s v="01:00"/>
    <s v="01:30"/>
    <d v="1899-12-30T00:30:00"/>
    <x v="47"/>
    <s v="Maquinaria"/>
    <s v="Inspección"/>
    <x v="0"/>
    <x v="0"/>
    <s v="Inspección de equipo. Revisión de temperadora "/>
    <s v=""/>
    <x v="0"/>
    <x v="11"/>
    <s v="Temperadora"/>
    <s v=""/>
    <s v=""/>
    <x v="0"/>
    <x v="1"/>
    <x v="11"/>
  </r>
  <r>
    <x v="46"/>
    <s v="Omar Nina"/>
    <s v="NOCHE"/>
    <s v="01:45"/>
    <s v="01:57"/>
    <d v="1899-12-30T00:12:00"/>
    <x v="43"/>
    <s v="Sistema"/>
    <s v="Inspección"/>
    <x v="0"/>
    <x v="0"/>
    <s v="Verificación de nivel de agua "/>
    <s v=""/>
    <x v="0"/>
    <x v="0"/>
    <s v=""/>
    <s v=""/>
    <s v=""/>
    <x v="16"/>
    <x v="0"/>
    <x v="11"/>
  </r>
  <r>
    <x v="46"/>
    <s v="Omar Nina"/>
    <s v="NOCHE"/>
    <s v="03:18"/>
    <s v="03:28"/>
    <d v="1899-12-30T00:10:00"/>
    <x v="5"/>
    <s v="Maquinaria"/>
    <s v="SET UP"/>
    <x v="1"/>
    <x v="2"/>
    <s v="Pastillas se juntan en las fajas de alimentación "/>
    <s v="Se configura parámetros de velocidad de fajas"/>
    <x v="0"/>
    <x v="0"/>
    <s v=""/>
    <s v=""/>
    <s v=""/>
    <x v="144"/>
    <x v="0"/>
    <x v="11"/>
  </r>
  <r>
    <x v="46"/>
    <s v="Omar Nina"/>
    <s v="NOCHE"/>
    <s v="03:35"/>
    <s v="04:17"/>
    <d v="1899-12-30T00:42:00"/>
    <x v="15"/>
    <s v="Maquinaria"/>
    <s v="SET UP"/>
    <x v="0"/>
    <x v="0"/>
    <s v="Armado de MDS para agregados x50 "/>
    <s v=""/>
    <x v="0"/>
    <x v="1"/>
    <s v="Mds"/>
    <s v=""/>
    <s v=""/>
    <x v="0"/>
    <x v="1"/>
    <x v="11"/>
  </r>
  <r>
    <x v="46"/>
    <s v="Omar Nina"/>
    <s v="NOCHE"/>
    <s v="04:20"/>
    <s v="05:22"/>
    <d v="1899-12-30T01:02:00"/>
    <x v="28"/>
    <s v="Maquinaria"/>
    <s v="SET UP"/>
    <x v="0"/>
    <x v="0"/>
    <s v="Cambio de formato de milky a pisco x18"/>
    <s v="Cambio de piezas y calibración de equipo "/>
    <x v="0"/>
    <x v="0"/>
    <s v=""/>
    <s v=""/>
    <s v=""/>
    <x v="2"/>
    <x v="0"/>
    <x v="11"/>
  </r>
  <r>
    <x v="46"/>
    <s v="Omar Nina"/>
    <s v="NOCHE"/>
    <s v="05:25"/>
    <s v="05:35"/>
    <d v="1899-12-30T00:10:00"/>
    <x v="97"/>
    <s v="Maquinaria"/>
    <s v="Inspección"/>
    <x v="1"/>
    <x v="1"/>
    <s v="Reportan ruido extraño"/>
    <s v="Se coordina con supervisor para retirar chocolate de la tina y poder revisar el interior. Queda pendiente para siguiente turno "/>
    <x v="0"/>
    <x v="0"/>
    <s v=""/>
    <s v=""/>
    <s v=""/>
    <x v="3"/>
    <x v="0"/>
    <x v="11"/>
  </r>
  <r>
    <x v="47"/>
    <s v="CARLOS TAPIA"/>
    <s v="MAÑANA"/>
    <s v="10:00"/>
    <s v="12:00"/>
    <d v="1899-12-30T02:00:00"/>
    <x v="50"/>
    <s v="Maquinaria"/>
    <s v="Sustitucion"/>
    <x v="1"/>
    <x v="1"/>
    <s v="Utensilio se atascó en la malla de máquina; malla se encuentra dañada."/>
    <s v="Se apagó la transmisión de la malla y se informó a producción sobre lo sucedido. Se procedió a reemplazar parte dañada de malla."/>
    <x v="0"/>
    <x v="0"/>
    <s v=""/>
    <s v=""/>
    <s v=""/>
    <x v="36"/>
    <x v="0"/>
    <x v="11"/>
  </r>
  <r>
    <x v="47"/>
    <s v="CARLOS TAPIA"/>
    <s v="MAÑANA"/>
    <s v="09:00"/>
    <s v="10:00"/>
    <d v="1899-12-30T01:00:00"/>
    <x v="68"/>
    <s v="Area"/>
    <s v="M.General"/>
    <x v="0"/>
    <x v="0"/>
    <s v="Producción solicita la colocación de ventilador y anclaje de andamio."/>
    <s v="Se colocó ventilador empotrado en pared y se ancló estante."/>
    <x v="77"/>
    <x v="0"/>
    <s v=""/>
    <s v=""/>
    <s v=""/>
    <x v="0"/>
    <x v="1"/>
    <x v="11"/>
  </r>
  <r>
    <x v="47"/>
    <s v="CARLOS TAPIA"/>
    <s v="MAÑANA"/>
    <s v="08:00"/>
    <s v="08:15"/>
    <d v="1899-12-30T00:15:00"/>
    <x v="5"/>
    <s v="Maquinaria"/>
    <s v="Sustitucion"/>
    <x v="1"/>
    <x v="1"/>
    <s v="Pinzas gastadas en máquina."/>
    <s v="Se reemplazo todas las pinzas."/>
    <x v="0"/>
    <x v="0"/>
    <s v=""/>
    <s v=""/>
    <s v=""/>
    <x v="72"/>
    <x v="0"/>
    <x v="11"/>
  </r>
  <r>
    <x v="47"/>
    <s v="Cesar Quiroz"/>
    <s v="MAÑANA"/>
    <s v="05:41"/>
    <s v="06:04"/>
    <d v="1899-12-30T00:23:00"/>
    <x v="31"/>
    <s v="Equipos auxiliares"/>
    <s v="Inspección"/>
    <x v="0"/>
    <x v="0"/>
    <s v="Revisión de funcionamiento y parámetros de trabajo "/>
    <s v=""/>
    <x v="0"/>
    <x v="0"/>
    <s v=""/>
    <s v=""/>
    <s v=""/>
    <x v="0"/>
    <x v="0"/>
    <x v="11"/>
  </r>
  <r>
    <x v="47"/>
    <s v="Cesar Quiroz"/>
    <s v="MAÑANA"/>
    <s v="06:20"/>
    <s v="06:44"/>
    <d v="1899-12-30T00:24:00"/>
    <x v="5"/>
    <s v="Maquinaria"/>
    <s v="Sustitucion"/>
    <x v="1"/>
    <x v="1"/>
    <s v="Cambio de gomas a pinzas de repuesto"/>
    <s v=""/>
    <x v="0"/>
    <x v="0"/>
    <s v=""/>
    <s v=""/>
    <s v=""/>
    <x v="0"/>
    <x v="0"/>
    <x v="11"/>
  </r>
  <r>
    <x v="47"/>
    <s v="Cesar Quiroz"/>
    <s v="MAÑANA"/>
    <s v="06:56"/>
    <s v="07:15"/>
    <d v="1899-12-30T00:19:00"/>
    <x v="43"/>
    <s v="Sistema"/>
    <s v="M.General"/>
    <x v="0"/>
    <x v="0"/>
    <s v="Bajo nivel de agua en pozo de agua potable"/>
    <s v="Se realizó juego de válvulas para llenado con potabilización "/>
    <x v="0"/>
    <x v="0"/>
    <s v=""/>
    <s v=""/>
    <s v=""/>
    <x v="135"/>
    <x v="0"/>
    <x v="11"/>
  </r>
  <r>
    <x v="47"/>
    <s v="Cesar Quiroz"/>
    <s v="MAÑANA"/>
    <s v="07:28"/>
    <s v="07:46"/>
    <d v="1899-12-30T00:18:00"/>
    <x v="34"/>
    <s v="Maquinaria"/>
    <s v="Ajuste /Calibracion"/>
    <x v="1"/>
    <x v="1"/>
    <s v="Dobles sale mal de empaquetado"/>
    <s v="Se regulo altura de plegador y posición de pinzas"/>
    <x v="0"/>
    <x v="0"/>
    <s v=""/>
    <s v=""/>
    <s v=""/>
    <x v="0"/>
    <x v="0"/>
    <x v="11"/>
  </r>
  <r>
    <x v="47"/>
    <s v="Omar Nina"/>
    <s v="NOCHE"/>
    <s v="21:30"/>
    <s v="21:45"/>
    <d v="1899-12-30T00:15:00"/>
    <x v="65"/>
    <s v="Maquinaria"/>
    <s v="Reparacion"/>
    <x v="1"/>
    <x v="2"/>
    <s v="Equipo en reparación "/>
    <s v="Se bloquea tablero eléctrico con candado de seguridad "/>
    <x v="0"/>
    <x v="0"/>
    <s v=""/>
    <s v=""/>
    <s v=""/>
    <x v="0"/>
    <x v="0"/>
    <x v="11"/>
  </r>
  <r>
    <x v="47"/>
    <s v="Omar Nina"/>
    <s v="NOCHE"/>
    <s v="22:05"/>
    <s v="22:30"/>
    <d v="1899-12-30T00:25:00"/>
    <x v="47"/>
    <s v="Maquinaria"/>
    <s v="Inspección"/>
    <x v="0"/>
    <x v="0"/>
    <s v="Inspección funcionamiento de equipo "/>
    <s v=""/>
    <x v="0"/>
    <x v="0"/>
    <s v=""/>
    <s v=""/>
    <s v=""/>
    <x v="0"/>
    <x v="0"/>
    <x v="11"/>
  </r>
  <r>
    <x v="47"/>
    <s v="Omar Nina"/>
    <s v="NOCHE"/>
    <s v="22:38"/>
    <s v="23:05"/>
    <d v="1899-12-30T00:27:00"/>
    <x v="40"/>
    <s v="Maquinaria"/>
    <s v="SET UP"/>
    <x v="1"/>
    <x v="2"/>
    <s v="Inspección de equipo."/>
    <s v="Se configura parámetros de temperado. Operadora reporta variación de temperatura "/>
    <x v="0"/>
    <x v="0"/>
    <s v=""/>
    <s v=""/>
    <s v=""/>
    <x v="0"/>
    <x v="0"/>
    <x v="11"/>
  </r>
  <r>
    <x v="47"/>
    <s v="Omar Nina"/>
    <s v="NOCHE"/>
    <s v="23:15"/>
    <s v="23:40"/>
    <d v="1899-12-30T00:25:00"/>
    <x v="17"/>
    <s v="Maquinaria"/>
    <s v="Inspección"/>
    <x v="0"/>
    <x v="0"/>
    <s v="Inspección de equipo "/>
    <s v=""/>
    <x v="0"/>
    <x v="0"/>
    <s v=""/>
    <s v=""/>
    <s v=""/>
    <x v="0"/>
    <x v="0"/>
    <x v="11"/>
  </r>
  <r>
    <x v="47"/>
    <s v="Omar Nina"/>
    <s v="NOCHE"/>
    <s v="00:30"/>
    <s v="01:03"/>
    <d v="1899-12-30T00:33:00"/>
    <x v="15"/>
    <s v="Maquinaria"/>
    <s v="SET UP"/>
    <x v="0"/>
    <x v="0"/>
    <s v="Desarmado de MDS formato agregados x50 "/>
    <s v=""/>
    <x v="0"/>
    <x v="1"/>
    <s v="Mds"/>
    <s v=""/>
    <s v=""/>
    <x v="2"/>
    <x v="1"/>
    <x v="11"/>
  </r>
  <r>
    <x v="47"/>
    <s v="Omar Nina"/>
    <s v="NOCHE"/>
    <s v="01:05"/>
    <s v="01:38"/>
    <d v="1899-12-30T00:33:00"/>
    <x v="15"/>
    <s v="Maquinaria"/>
    <s v="SET UP"/>
    <x v="0"/>
    <x v="0"/>
    <s v="Armado de MDS para milky frambuesa "/>
    <s v=""/>
    <x v="0"/>
    <x v="1"/>
    <s v="Mds"/>
    <s v=""/>
    <s v=""/>
    <x v="0"/>
    <x v="1"/>
    <x v="11"/>
  </r>
  <r>
    <x v="47"/>
    <s v="Omar Nina"/>
    <s v="NOCHE"/>
    <s v="01:50"/>
    <s v="02:20"/>
    <d v="1899-12-30T00:30:00"/>
    <x v="3"/>
    <s v="Maquinaria"/>
    <s v="Inspección"/>
    <x v="0"/>
    <x v="0"/>
    <s v="Inspección funcionamiento de equipo "/>
    <s v=""/>
    <x v="0"/>
    <x v="0"/>
    <s v=""/>
    <s v=""/>
    <s v=""/>
    <x v="0"/>
    <x v="0"/>
    <x v="11"/>
  </r>
  <r>
    <x v="47"/>
    <s v="Omar Nina"/>
    <s v="NOCHE"/>
    <s v="03:40"/>
    <s v="04:00"/>
    <d v="1899-12-30T00:20:00"/>
    <x v="41"/>
    <s v="Maquinaria"/>
    <s v="Inspección"/>
    <x v="0"/>
    <x v="0"/>
    <s v="Verificación de parámetros de trabajo "/>
    <s v=""/>
    <x v="0"/>
    <x v="0"/>
    <s v=""/>
    <s v=""/>
    <s v=""/>
    <x v="0"/>
    <x v="0"/>
    <x v="11"/>
  </r>
  <r>
    <x v="48"/>
    <s v="JOSÉ HAÑARI"/>
    <s v="TARDE"/>
    <s v="13:30"/>
    <s v="14:00"/>
    <d v="1899-12-30T00:30:00"/>
    <x v="68"/>
    <s v="Area"/>
    <s v="Seguimiento / Pruebas"/>
    <x v="0"/>
    <x v="0"/>
    <s v="Pruebas con recetas en rayos x del 4 piso "/>
    <s v=""/>
    <x v="0"/>
    <x v="0"/>
    <s v=""/>
    <s v=""/>
    <s v=""/>
    <x v="0"/>
    <x v="0"/>
    <x v="11"/>
  </r>
  <r>
    <x v="48"/>
    <s v="JOSÉ HAÑARI"/>
    <s v="TARDE"/>
    <s v="14:15"/>
    <s v="14:25"/>
    <d v="1899-12-30T00:10:00"/>
    <x v="23"/>
    <s v="Area"/>
    <s v="SET UP"/>
    <x v="0"/>
    <x v="0"/>
    <s v="Se realiza el cebado de bomba de presión constante "/>
    <m/>
    <x v="80"/>
    <x v="0"/>
    <s v=""/>
    <s v=""/>
    <s v=""/>
    <x v="108"/>
    <x v="1"/>
    <x v="11"/>
  </r>
  <r>
    <x v="48"/>
    <s v="JOSÉ HAÑARI"/>
    <s v="TARDE"/>
    <s v="14:55"/>
    <s v="15:35"/>
    <d v="1899-12-30T00:40:00"/>
    <x v="29"/>
    <s v="Maquinaria"/>
    <s v="SET UP"/>
    <x v="0"/>
    <x v="0"/>
    <s v="Cambio de formato en salpa de 40 a 50 "/>
    <s v=""/>
    <x v="0"/>
    <x v="0"/>
    <s v=""/>
    <s v=""/>
    <s v=""/>
    <x v="2"/>
    <x v="0"/>
    <x v="11"/>
  </r>
  <r>
    <x v="48"/>
    <s v="JOSÉ HAÑARI"/>
    <s v="TARDE"/>
    <s v="15:55"/>
    <s v="16:34"/>
    <d v="1899-12-30T00:39:00"/>
    <x v="68"/>
    <s v="Area"/>
    <s v="Seguimiento / Pruebas"/>
    <x v="0"/>
    <x v="0"/>
    <s v="Se realiza creación de receta de rayos x del 4 piso"/>
    <s v=""/>
    <x v="0"/>
    <x v="0"/>
    <s v=""/>
    <s v=""/>
    <s v=""/>
    <x v="0"/>
    <x v="0"/>
    <x v="11"/>
  </r>
  <r>
    <x v="48"/>
    <s v="JOSÉ HAÑARI"/>
    <s v="TARDE"/>
    <s v="16:50"/>
    <s v="17:10"/>
    <d v="1899-12-30T00:20:00"/>
    <x v="29"/>
    <s v="Maquinaria"/>
    <s v="Sustitucion"/>
    <x v="1"/>
    <x v="1"/>
    <s v="Abrazaderas de sapal malogrados en sapal "/>
    <s v="Se realiza cambio de abrazaderas en sapal "/>
    <x v="0"/>
    <x v="0"/>
    <s v=""/>
    <s v=""/>
    <s v=""/>
    <x v="0"/>
    <x v="0"/>
    <x v="11"/>
  </r>
  <r>
    <x v="48"/>
    <s v="JOSÉ HAÑARI"/>
    <s v="TARDE"/>
    <s v="06:13"/>
    <s v="06:35"/>
    <d v="1899-12-30T00:22:00"/>
    <x v="28"/>
    <s v="Maquinaria"/>
    <s v="Ajuste /Calibracion"/>
    <x v="1"/>
    <x v="1"/>
    <s v="No sella producto "/>
    <s v="Se calibrar sellado de producto "/>
    <x v="0"/>
    <x v="0"/>
    <s v=""/>
    <s v=""/>
    <s v=""/>
    <x v="29"/>
    <x v="0"/>
    <x v="11"/>
  </r>
  <r>
    <x v="48"/>
    <s v="JOSÉ HAÑARI"/>
    <s v="TARDE"/>
    <s v="06:15"/>
    <s v="06:50"/>
    <d v="1899-12-30T00:35:00"/>
    <x v="18"/>
    <s v="Maquinaria"/>
    <s v="SET UP"/>
    <x v="0"/>
    <x v="0"/>
    <s v="Se desarma netzsch para limpieza "/>
    <s v=""/>
    <x v="0"/>
    <x v="0"/>
    <s v=""/>
    <s v=""/>
    <s v=""/>
    <x v="0"/>
    <x v="0"/>
    <x v="11"/>
  </r>
  <r>
    <x v="48"/>
    <s v="JOSÉ HAÑARI"/>
    <s v="TARDE"/>
    <s v="19:30"/>
    <s v="20:00"/>
    <d v="1899-12-30T00:30:00"/>
    <x v="47"/>
    <s v="Maquinaria"/>
    <s v="Ajuste /Calibracion"/>
    <x v="0"/>
    <x v="3"/>
    <s v="Se calibra robot para desmoldeo manual "/>
    <s v=""/>
    <x v="50"/>
    <x v="9"/>
    <s v="Robot"/>
    <s v=""/>
    <s v=""/>
    <x v="145"/>
    <x v="1"/>
    <x v="11"/>
  </r>
  <r>
    <x v="48"/>
    <s v="JOSÉ HAÑARI"/>
    <s v="TARDE"/>
    <s v="20:15"/>
    <s v="20:40"/>
    <d v="1899-12-30T00:25:00"/>
    <x v="84"/>
    <s v="Area"/>
    <s v="SET UP"/>
    <x v="0"/>
    <x v="0"/>
    <s v="Se arma imán en laboratorio "/>
    <s v=""/>
    <x v="0"/>
    <x v="0"/>
    <s v=""/>
    <s v=""/>
    <s v=""/>
    <x v="0"/>
    <x v="0"/>
    <x v="11"/>
  </r>
  <r>
    <x v="48"/>
    <s v="JOSÉ HAÑARI"/>
    <s v="TARDE"/>
    <s v="20:50"/>
    <s v="21:00"/>
    <d v="1899-12-30T00:10:00"/>
    <x v="50"/>
    <s v="Maquinaria"/>
    <s v="SET UP"/>
    <x v="0"/>
    <x v="0"/>
    <s v="Se habilita faja para limpieza "/>
    <s v=""/>
    <x v="9"/>
    <x v="0"/>
    <s v=""/>
    <s v=""/>
    <s v=""/>
    <x v="0"/>
    <x v="1"/>
    <x v="11"/>
  </r>
  <r>
    <x v="48"/>
    <s v="Omar Nina"/>
    <s v="NOCHE"/>
    <s v="21:25"/>
    <s v="21:35"/>
    <d v="1899-12-30T00:10:00"/>
    <x v="97"/>
    <s v="Maquinaria"/>
    <s v="SET UP"/>
    <x v="1"/>
    <x v="2"/>
    <s v="No circula chocolate "/>
    <s v="Se restablece variador de columna y se deja temperando "/>
    <x v="0"/>
    <x v="0"/>
    <s v=""/>
    <s v=""/>
    <s v=""/>
    <x v="0"/>
    <x v="0"/>
    <x v="11"/>
  </r>
  <r>
    <x v="48"/>
    <s v="Omar Nina"/>
    <s v="NOCHE"/>
    <s v="21:43"/>
    <s v="21:56"/>
    <d v="1899-12-30T00:13:00"/>
    <x v="96"/>
    <s v="Equipos auxiliares"/>
    <s v="SET UP"/>
    <x v="1"/>
    <x v="2"/>
    <s v="Ascensor pequeño se quedó atascado en el 3er piso con personal en su interior "/>
    <s v="Se reinicia ascensor se retira personal "/>
    <x v="0"/>
    <x v="0"/>
    <s v=""/>
    <s v=""/>
    <s v=""/>
    <x v="54"/>
    <x v="0"/>
    <x v="11"/>
  </r>
  <r>
    <x v="48"/>
    <s v="Omar Nina"/>
    <s v="NOCHE"/>
    <s v="22:05"/>
    <s v="22:35"/>
    <d v="1899-12-30T00:30:00"/>
    <x v="3"/>
    <s v="Maquinaria"/>
    <s v="SET UP"/>
    <x v="0"/>
    <x v="0"/>
    <s v="Cambio de formato a mini milky y calibración de altura de planchas respecto a discos de sellado"/>
    <s v=""/>
    <x v="81"/>
    <x v="0"/>
    <s v=""/>
    <s v=""/>
    <s v=""/>
    <x v="146"/>
    <x v="1"/>
    <x v="11"/>
  </r>
  <r>
    <x v="48"/>
    <s v="Omar Nina"/>
    <s v="NOCHE"/>
    <s v="22:50"/>
    <s v="23:10"/>
    <d v="1899-12-30T00:20:00"/>
    <x v="47"/>
    <s v="Maquinaria"/>
    <s v="Inspección"/>
    <x v="0"/>
    <x v="0"/>
    <s v="Inspección funcionamiento de equipo "/>
    <s v="Robot suelta producto, se reemplaza 3 ventosas dañadas "/>
    <x v="0"/>
    <x v="0"/>
    <s v=""/>
    <s v=""/>
    <s v=""/>
    <x v="0"/>
    <x v="0"/>
    <x v="11"/>
  </r>
  <r>
    <x v="48"/>
    <s v="Omar Nina"/>
    <s v="NOCHE"/>
    <s v="23:25"/>
    <s v="23:45"/>
    <d v="1899-12-30T00:20:00"/>
    <x v="15"/>
    <s v="Maquinaria"/>
    <s v="Inspección"/>
    <x v="0"/>
    <x v="0"/>
    <s v="Inspección de equipo "/>
    <s v=""/>
    <x v="0"/>
    <x v="0"/>
    <s v=""/>
    <s v=""/>
    <s v=""/>
    <x v="0"/>
    <x v="0"/>
    <x v="11"/>
  </r>
  <r>
    <x v="48"/>
    <s v="Omar Nina"/>
    <s v="NOCHE"/>
    <s v="00:05"/>
    <s v="00:20"/>
    <d v="1899-12-30T00:15:00"/>
    <x v="71"/>
    <s v="Maquinaria"/>
    <s v="Inspección"/>
    <x v="0"/>
    <x v="0"/>
    <s v="Inspección de equipo "/>
    <s v=""/>
    <x v="0"/>
    <x v="0"/>
    <s v=""/>
    <s v=""/>
    <s v=""/>
    <x v="0"/>
    <x v="0"/>
    <x v="11"/>
  </r>
  <r>
    <x v="48"/>
    <s v="Omar Nina"/>
    <s v="NOCHE"/>
    <s v="00:51"/>
    <s v="01:18"/>
    <d v="1899-12-30T00:27:00"/>
    <x v="30"/>
    <s v="Maquinaria"/>
    <s v="Inspección"/>
    <x v="0"/>
    <x v="0"/>
    <s v="Inspección funcionamiento de equipo "/>
    <s v=""/>
    <x v="0"/>
    <x v="0"/>
    <s v=""/>
    <s v=""/>
    <s v=""/>
    <x v="0"/>
    <x v="0"/>
    <x v="11"/>
  </r>
  <r>
    <x v="48"/>
    <s v="Omar Nina"/>
    <s v="NOCHE"/>
    <s v="01:30"/>
    <s v="01:42"/>
    <d v="1899-12-30T00:12:00"/>
    <x v="41"/>
    <s v="Maquinaria"/>
    <s v="Seguimiento / Pruebas"/>
    <x v="0"/>
    <x v="0"/>
    <s v="No detecta patrones"/>
    <s v="Se crea receta para mini milky "/>
    <x v="68"/>
    <x v="0"/>
    <s v=""/>
    <s v=""/>
    <s v=""/>
    <x v="0"/>
    <x v="1"/>
    <x v="11"/>
  </r>
  <r>
    <x v="48"/>
    <s v="Omar Nina"/>
    <s v="NOCHE"/>
    <s v="03:40"/>
    <s v="04:00"/>
    <d v="1899-12-30T00:20:00"/>
    <x v="3"/>
    <s v="Maquinaria"/>
    <s v="Inspección"/>
    <x v="0"/>
    <x v="0"/>
    <s v="Inspección funcionamiento de equipo "/>
    <s v=""/>
    <x v="0"/>
    <x v="0"/>
    <s v=""/>
    <s v=""/>
    <s v=""/>
    <x v="0"/>
    <x v="0"/>
    <x v="11"/>
  </r>
  <r>
    <x v="48"/>
    <s v="Omar Nina"/>
    <s v="NOCHE"/>
    <s v="04:15"/>
    <s v="04:50"/>
    <d v="1899-12-30T00:35:00"/>
    <x v="15"/>
    <s v="Maquinaria"/>
    <s v="SET UP"/>
    <x v="0"/>
    <x v="0"/>
    <s v="Desarmado de MDS para limpieza "/>
    <s v=""/>
    <x v="0"/>
    <x v="1"/>
    <s v="Mds"/>
    <s v=""/>
    <s v=""/>
    <x v="0"/>
    <x v="1"/>
    <x v="11"/>
  </r>
  <r>
    <x v="49"/>
    <s v="CARLOS TAPIA"/>
    <s v="MAÑANA"/>
    <d v="1899-12-30T05:45:00"/>
    <d v="1899-12-30T06:15:00"/>
    <d v="1899-12-30T00:30:00"/>
    <x v="47"/>
    <s v="Maquinaria"/>
    <s v="Inspección"/>
    <x v="0"/>
    <x v="0"/>
    <s v="Inspección de máquina "/>
    <s v="Se dió seguimiento al funcionamiento de máquina "/>
    <x v="0"/>
    <x v="0"/>
    <s v=""/>
    <s v=""/>
    <s v=""/>
    <x v="0"/>
    <x v="0"/>
    <x v="11"/>
  </r>
  <r>
    <x v="49"/>
    <s v="CARLOS TAPIA"/>
    <s v="MAÑANA"/>
    <d v="1899-12-30T06:30:00"/>
    <d v="1899-12-30T07:00:00"/>
    <d v="1899-12-30T00:30:00"/>
    <x v="47"/>
    <s v="Maquinaria"/>
    <s v="Ajuste /Calibracion"/>
    <x v="1"/>
    <x v="1"/>
    <s v="Sammffill no tempera. "/>
    <s v="Se revisó máquina. Se libero agua caliente y se revisó el flujo de agua helada chiller "/>
    <x v="0"/>
    <x v="0"/>
    <s v=""/>
    <s v=""/>
    <s v=""/>
    <x v="123"/>
    <x v="0"/>
    <x v="11"/>
  </r>
  <r>
    <x v="49"/>
    <s v="CARLOS TAPIA"/>
    <s v="MAÑANA"/>
    <d v="1899-12-30T07:40:00"/>
    <d v="1899-12-30T08:50:00"/>
    <d v="1899-12-30T01:10:00"/>
    <x v="5"/>
    <s v="Maquinaria"/>
    <s v="SET UP"/>
    <x v="0"/>
    <x v="0"/>
    <s v="Fabricación de guía para pastillas."/>
    <s v="Se pulió guía y se colocó en máquina "/>
    <x v="82"/>
    <x v="0"/>
    <s v=""/>
    <s v=""/>
    <s v=""/>
    <x v="0"/>
    <x v="1"/>
    <x v="11"/>
  </r>
  <r>
    <x v="49"/>
    <s v="CARLOS TAPIA"/>
    <s v="MAÑANA"/>
    <d v="1899-12-30T09:00:00"/>
    <d v="1899-12-30T10:30:00"/>
    <d v="1899-12-30T01:30:00"/>
    <x v="41"/>
    <s v="Maquinaria"/>
    <s v="Seguimiento / Pruebas"/>
    <x v="0"/>
    <x v="0"/>
    <s v="Calidad solicitada la revisión de la calibración del formato minimilky en rayos x del segundo piso."/>
    <s v="Se revisó y se aumentó sensibilidad, se informó a jefe de mantenimiento y se dió seguimiento a la operación y  funcionamiento del equipo "/>
    <x v="0"/>
    <x v="0"/>
    <s v=""/>
    <s v=""/>
    <s v=""/>
    <x v="93"/>
    <x v="0"/>
    <x v="11"/>
  </r>
  <r>
    <x v="49"/>
    <s v="CARLOS TAPIA"/>
    <s v="MAÑANA"/>
    <d v="1899-12-30T11:00:00"/>
    <d v="1899-12-30T11:15:00"/>
    <d v="1899-12-30T00:15:00"/>
    <x v="50"/>
    <s v="Maquinaria"/>
    <s v="Ajuste /Calibracion"/>
    <x v="0"/>
    <x v="3"/>
    <s v="Fuga de agua por mangueras y tubería."/>
    <s v="Se revisó y colocó manguera en posición. También se ajusto abrazaderas."/>
    <x v="83"/>
    <x v="0"/>
    <s v=""/>
    <s v=""/>
    <s v=""/>
    <x v="115"/>
    <x v="1"/>
    <x v="11"/>
  </r>
  <r>
    <x v="49"/>
    <s v="Cesar Quiroz"/>
    <s v="MAÑANA"/>
    <d v="1899-12-30T05:48:00"/>
    <d v="1899-12-30T06:11:00"/>
    <d v="1899-12-30T00:23:00"/>
    <x v="31"/>
    <s v="Equipos auxiliares"/>
    <s v="Inspección"/>
    <x v="0"/>
    <x v="0"/>
    <s v="Revisión de funcionamiento y parámetros de trabajo "/>
    <s v=""/>
    <x v="0"/>
    <x v="0"/>
    <s v=""/>
    <s v=""/>
    <s v=""/>
    <x v="0"/>
    <x v="0"/>
    <x v="11"/>
  </r>
  <r>
    <x v="49"/>
    <s v="Cesar Quiroz"/>
    <s v="MAÑANA"/>
    <d v="1899-12-30T06:22:00"/>
    <d v="1899-12-30T06:55:00"/>
    <d v="1899-12-30T00:33:00"/>
    <x v="47"/>
    <s v="Maquinaria"/>
    <s v="Ajuste /Calibracion"/>
    <x v="1"/>
    <x v="1"/>
    <s v="Problemas con temperado de samfill"/>
    <s v="Se reviso sistema de mangueras y tuberías, se reviso funcionamiento de chiller, se probó funcionamiento de válvulas, se libero presión , se dejó operativa "/>
    <x v="0"/>
    <x v="21"/>
    <s v="Sammfill"/>
    <s v="Temperadora"/>
    <s v=""/>
    <x v="0"/>
    <x v="1"/>
    <x v="11"/>
  </r>
  <r>
    <x v="49"/>
    <s v="Cesar Quiroz"/>
    <s v="MAÑANA"/>
    <d v="1899-12-30T07:09:00"/>
    <d v="1899-12-30T07:41:00"/>
    <d v="1899-12-30T00:32:00"/>
    <x v="15"/>
    <s v="Maquinaria"/>
    <s v="SET UP"/>
    <x v="0"/>
    <x v="0"/>
    <s v="Armado de formato cremas en mds"/>
    <s v=""/>
    <x v="0"/>
    <x v="1"/>
    <s v="Mds"/>
    <s v=""/>
    <s v=""/>
    <x v="2"/>
    <x v="1"/>
    <x v="11"/>
  </r>
  <r>
    <x v="49"/>
    <s v="Cesar Quiroz"/>
    <s v="MAÑANA"/>
    <d v="1899-12-30T07:52:00"/>
    <d v="1899-12-30T08:57:00"/>
    <d v="1899-12-30T01:05:00"/>
    <x v="25"/>
    <s v="Maquinaria"/>
    <s v="SET UP"/>
    <x v="1"/>
    <x v="2"/>
    <s v="Rayos x de cuarto piso no reconoce patrones en productos"/>
    <s v="Se realizó regulación de sensibilidad y pruebas "/>
    <x v="0"/>
    <x v="0"/>
    <s v=""/>
    <s v=""/>
    <s v=""/>
    <x v="0"/>
    <x v="0"/>
    <x v="11"/>
  </r>
  <r>
    <x v="49"/>
    <s v="Cesar Quiroz"/>
    <s v="MAÑANA"/>
    <d v="1899-12-30T08:59:00"/>
    <d v="1899-12-30T09:48:00"/>
    <d v="1899-12-30T00:49:00"/>
    <x v="41"/>
    <s v="Maquinaria"/>
    <s v="SET UP"/>
    <x v="1"/>
    <x v="2"/>
    <s v="No reconoce alambre en receta de mini milky"/>
    <s v="Se realizó modificaciones en sensibilidad y pruebas de funcionamiento en máquina, se cambio receta y se dejó probando equipo"/>
    <x v="0"/>
    <x v="0"/>
    <s v=""/>
    <s v=""/>
    <s v=""/>
    <x v="0"/>
    <x v="0"/>
    <x v="11"/>
  </r>
  <r>
    <x v="49"/>
    <s v="Cesar Quiroz"/>
    <s v="MAÑANA"/>
    <d v="1899-12-30T09:57:00"/>
    <d v="1899-12-30T11:55:00"/>
    <d v="1899-12-30T01:58:00"/>
    <x v="44"/>
    <s v="Maquinaria"/>
    <s v="Capacitacion"/>
    <x v="0"/>
    <x v="0"/>
    <s v="Capacitación de uso de equipo"/>
    <s v=""/>
    <x v="0"/>
    <x v="0"/>
    <s v=""/>
    <s v=""/>
    <s v=""/>
    <x v="0"/>
    <x v="0"/>
    <x v="11"/>
  </r>
  <r>
    <x v="50"/>
    <s v="Omar Nina"/>
    <s v="NOCHE"/>
    <d v="1899-12-30T21:20:00"/>
    <d v="1899-12-30T21:35:00"/>
    <d v="1899-12-30T00:15:00"/>
    <x v="45"/>
    <s v="Equipos auxiliares"/>
    <s v="Inspección"/>
    <x v="0"/>
    <x v="0"/>
    <s v="Inspección de equipo."/>
    <s v="Se realiza purgas"/>
    <x v="0"/>
    <x v="0"/>
    <s v=""/>
    <s v=""/>
    <s v=""/>
    <x v="0"/>
    <x v="0"/>
    <x v="11"/>
  </r>
  <r>
    <x v="50"/>
    <s v="Omar Nina"/>
    <s v="NOCHE"/>
    <d v="1899-12-30T21:42:00"/>
    <d v="1899-12-30T22:35:00"/>
    <d v="1899-12-30T00:53:00"/>
    <x v="41"/>
    <s v="Maquinaria"/>
    <s v="Seguimiento / Pruebas"/>
    <x v="0"/>
    <x v="0"/>
    <s v="Solicitan crear receta para bite size "/>
    <s v="No permite crear una receta adecuada, da demasiados falsos y no detecta el patrón de alambre. Se indica que pasen el producto en rayos x del 4to piso"/>
    <x v="0"/>
    <x v="0"/>
    <s v=""/>
    <s v=""/>
    <s v=""/>
    <x v="0"/>
    <x v="0"/>
    <x v="11"/>
  </r>
  <r>
    <x v="50"/>
    <s v="Omar Nina"/>
    <s v="NOCHE"/>
    <d v="1899-12-30T22:38:00"/>
    <d v="1899-12-30T22:50:00"/>
    <d v="1899-12-30T00:12:00"/>
    <x v="26"/>
    <s v="Maquinaria"/>
    <s v="Ajuste /Calibracion"/>
    <x v="1"/>
    <x v="1"/>
    <s v="Se salió la goma de una pinza"/>
    <s v="Se pega goma y se coloca en equipo "/>
    <x v="0"/>
    <x v="0"/>
    <s v=""/>
    <s v=""/>
    <s v=""/>
    <x v="0"/>
    <x v="0"/>
    <x v="11"/>
  </r>
  <r>
    <x v="50"/>
    <s v="Omar Nina"/>
    <s v="NOCHE"/>
    <d v="1899-12-30T22:55:00"/>
    <d v="1899-12-30T23:15:00"/>
    <d v="1899-12-30T00:20:00"/>
    <x v="39"/>
    <s v="Maquinaria"/>
    <s v="SET UP"/>
    <x v="1"/>
    <x v="2"/>
    <s v="Se excede 20 litros de agua en la receta de crema de leche"/>
    <s v="Se crea una nueva receta con los mismos parámetros y se inicia ciclo automático. Queda operativo "/>
    <x v="0"/>
    <x v="0"/>
    <s v=""/>
    <s v=""/>
    <s v=""/>
    <x v="0"/>
    <x v="0"/>
    <x v="11"/>
  </r>
  <r>
    <x v="50"/>
    <s v="Omar Nina"/>
    <s v="NOCHE"/>
    <d v="1899-12-30T23:30:00"/>
    <d v="1899-12-30T00:10:00"/>
    <d v="1899-12-30T00:40:00"/>
    <x v="15"/>
    <s v="Maquinaria"/>
    <s v="Ajuste /Calibracion"/>
    <x v="1"/>
    <x v="1"/>
    <s v="Columnas se bloquearon, reportan variación de temperatura de 5 grados en columna 2"/>
    <s v="Llenado de tanques de agua y calentamiento de tuberías.  Verificación de correcto retorno a tanque. Queda temperando"/>
    <x v="0"/>
    <x v="2"/>
    <s v="Columna"/>
    <s v=""/>
    <s v=""/>
    <x v="25"/>
    <x v="1"/>
    <x v="11"/>
  </r>
  <r>
    <x v="50"/>
    <s v="Omar Nina"/>
    <s v="NOCHE"/>
    <d v="1899-12-30T00:14:00"/>
    <d v="1899-12-30T00:35:00"/>
    <d v="1899-12-30T00:21:00"/>
    <x v="71"/>
    <s v="Maquinaria"/>
    <s v="Ajuste /Calibracion"/>
    <x v="1"/>
    <x v="1"/>
    <s v="Corte y sellado lo realiza sobre los octogonos "/>
    <s v="Se calibra posición de mácula y se verifica corte de laminado correcto"/>
    <x v="0"/>
    <x v="0"/>
    <s v=""/>
    <s v=""/>
    <s v=""/>
    <x v="62"/>
    <x v="0"/>
    <x v="11"/>
  </r>
  <r>
    <x v="50"/>
    <s v="Omar Nina"/>
    <s v="NOCHE"/>
    <d v="1899-12-30T00:40:00"/>
    <d v="1899-12-30T01:30:00"/>
    <d v="1899-12-30T00:50:00"/>
    <x v="28"/>
    <s v="Maquinaria"/>
    <s v="Ajuste /Calibracion"/>
    <x v="1"/>
    <x v="1"/>
    <s v="No sella y sale mal plegado los laterales "/>
    <s v="Se calibra plegadores, presión inicial y se realiza pruebas "/>
    <x v="0"/>
    <x v="0"/>
    <s v=""/>
    <s v=""/>
    <s v=""/>
    <x v="147"/>
    <x v="0"/>
    <x v="11"/>
  </r>
  <r>
    <x v="50"/>
    <s v="Omar Nina"/>
    <s v="NOCHE"/>
    <d v="1899-12-30T01:40:00"/>
    <d v="1899-12-30T02:15:00"/>
    <d v="1899-12-30T00:35:00"/>
    <x v="28"/>
    <s v="Maquinaria"/>
    <s v="Sustitucion"/>
    <x v="0"/>
    <x v="3"/>
    <s v="Cambio de bobina y verificación de funcionamiento "/>
    <s v=""/>
    <x v="32"/>
    <x v="0"/>
    <s v=""/>
    <s v=""/>
    <s v=""/>
    <x v="0"/>
    <x v="1"/>
    <x v="11"/>
  </r>
  <r>
    <x v="50"/>
    <s v="Omar Nina"/>
    <s v="NOCHE"/>
    <d v="1899-12-30T03:35:00"/>
    <d v="1899-12-30T04:00:00"/>
    <d v="1899-12-30T00:25:00"/>
    <x v="15"/>
    <s v="Maquinaria"/>
    <s v="Inspección"/>
    <x v="0"/>
    <x v="0"/>
    <s v="Inspección funcionamiento de equipo "/>
    <s v=""/>
    <x v="0"/>
    <x v="0"/>
    <s v=""/>
    <s v=""/>
    <s v=""/>
    <x v="0"/>
    <x v="0"/>
    <x v="11"/>
  </r>
  <r>
    <x v="50"/>
    <s v="Omar Nina"/>
    <s v="NOCHE"/>
    <d v="1899-12-30T04:10:00"/>
    <d v="1899-12-30T04:30:00"/>
    <d v="1899-12-30T00:20:00"/>
    <x v="39"/>
    <s v="Maquinaria"/>
    <s v="Inspección"/>
    <x v="0"/>
    <x v="0"/>
    <s v="Revisión de parámetros de receta "/>
    <s v=""/>
    <x v="0"/>
    <x v="0"/>
    <s v=""/>
    <s v=""/>
    <s v=""/>
    <x v="0"/>
    <x v="0"/>
    <x v="11"/>
  </r>
  <r>
    <x v="51"/>
    <s v="Cesar Quiroz"/>
    <s v="MAÑANA"/>
    <d v="1899-12-30T05:46:00"/>
    <d v="1899-12-30T06:07:00"/>
    <d v="1899-12-30T00:21:00"/>
    <x v="31"/>
    <s v="Equipos auxiliares"/>
    <s v="Inspección"/>
    <x v="0"/>
    <x v="0"/>
    <s v="Revisión de funcionamiento y parámetros de trabajo "/>
    <s v=""/>
    <x v="0"/>
    <x v="0"/>
    <s v=""/>
    <s v=""/>
    <s v=""/>
    <x v="0"/>
    <x v="0"/>
    <x v="11"/>
  </r>
  <r>
    <x v="51"/>
    <s v="Cesar Quiroz"/>
    <s v="MAÑANA"/>
    <d v="1899-12-30T06:16:00"/>
    <d v="1899-12-30T06:27:00"/>
    <d v="1899-12-30T00:11:00"/>
    <x v="23"/>
    <s v="Area"/>
    <s v="Inspección"/>
    <x v="0"/>
    <x v="0"/>
    <s v="Habilitación de tablero de control de tanques"/>
    <s v=""/>
    <x v="0"/>
    <x v="3"/>
    <s v="Tanque"/>
    <s v=""/>
    <s v=""/>
    <x v="0"/>
    <x v="1"/>
    <x v="11"/>
  </r>
  <r>
    <x v="51"/>
    <s v="Cesar Quiroz"/>
    <s v="MAÑANA"/>
    <d v="1899-12-30T06:39:00"/>
    <d v="1899-12-30T07:11:00"/>
    <d v="1899-12-30T00:32:00"/>
    <x v="15"/>
    <s v="Maquinaria"/>
    <s v="SET UP"/>
    <x v="0"/>
    <x v="0"/>
    <s v="Desarmado de formato cremas de mds"/>
    <s v=""/>
    <x v="0"/>
    <x v="1"/>
    <s v="Mds"/>
    <s v=""/>
    <s v=""/>
    <x v="2"/>
    <x v="1"/>
    <x v="11"/>
  </r>
  <r>
    <x v="51"/>
    <s v="Cesar Quiroz"/>
    <s v="MAÑANA"/>
    <d v="1899-12-30T07:14:00"/>
    <d v="1899-12-30T07:48:00"/>
    <d v="1899-12-30T00:34:00"/>
    <x v="15"/>
    <s v="Maquinaria"/>
    <s v="SET UP"/>
    <x v="0"/>
    <x v="0"/>
    <s v="Armado de formato agregados x100 en mds"/>
    <s v=""/>
    <x v="0"/>
    <x v="1"/>
    <s v="Mds"/>
    <s v=""/>
    <s v=""/>
    <x v="2"/>
    <x v="1"/>
    <x v="11"/>
  </r>
  <r>
    <x v="51"/>
    <s v="Cesar Quiroz"/>
    <s v="MAÑANA"/>
    <d v="1899-12-30T07:56:00"/>
    <d v="1899-12-30T08:20:00"/>
    <d v="1899-12-30T00:24:00"/>
    <x v="26"/>
    <s v="Maquinaria"/>
    <s v="Ajuste /Calibracion"/>
    <x v="1"/>
    <x v="1"/>
    <s v="Contraelevador un poco torcido"/>
    <s v="Se enderezó contraelevador y se realizó pruebas"/>
    <x v="0"/>
    <x v="15"/>
    <s v="Contraelevador"/>
    <s v=""/>
    <s v=""/>
    <x v="0"/>
    <x v="1"/>
    <x v="11"/>
  </r>
  <r>
    <x v="51"/>
    <s v="Cesar Quiroz"/>
    <s v="MAÑANA"/>
    <d v="1899-12-30T08:23:00"/>
    <d v="1899-12-30T08:48:00"/>
    <d v="1899-12-30T00:25:00"/>
    <x v="26"/>
    <s v="Maquinaria"/>
    <s v="Trabajos menores"/>
    <x v="0"/>
    <x v="0"/>
    <s v="Marcación de herramientas de trabajo"/>
    <s v=""/>
    <x v="0"/>
    <x v="0"/>
    <s v=""/>
    <s v=""/>
    <s v=""/>
    <x v="0"/>
    <x v="0"/>
    <x v="11"/>
  </r>
  <r>
    <x v="52"/>
    <s v="CARLOS TAPIA"/>
    <s v="MAÑANA"/>
    <d v="1899-12-30T05:30:00"/>
    <d v="1899-12-30T06:30:00"/>
    <d v="1899-12-30T01:00:00"/>
    <x v="21"/>
    <s v="Area"/>
    <s v="Encendido / Arranque de linea"/>
    <x v="0"/>
    <x v="0"/>
    <s v="Arranque de planta "/>
    <s v="Se encendió equipos y líneas de vapor agua y aire "/>
    <x v="0"/>
    <x v="0"/>
    <s v=""/>
    <s v=""/>
    <s v=""/>
    <x v="0"/>
    <x v="0"/>
    <x v="12"/>
  </r>
  <r>
    <x v="52"/>
    <s v="CARLOS TAPIA"/>
    <s v="MAÑANA"/>
    <d v="1899-12-30T06:30:00"/>
    <d v="1899-12-30T07:00:00"/>
    <d v="1899-12-30T00:30:00"/>
    <x v="50"/>
    <s v="Maquinaria"/>
    <s v="SET UP"/>
    <x v="0"/>
    <x v="0"/>
    <s v="Desarmar máquina para su limpieza "/>
    <s v="Desarmar máquina para su limpieza "/>
    <x v="0"/>
    <x v="0"/>
    <s v=""/>
    <s v=""/>
    <s v=""/>
    <x v="0"/>
    <x v="0"/>
    <x v="12"/>
  </r>
  <r>
    <x v="52"/>
    <s v="CARLOS TAPIA"/>
    <s v="MAÑANA"/>
    <d v="1899-12-30T07:10:00"/>
    <d v="1899-12-30T07:40:00"/>
    <d v="1899-12-30T00:30:00"/>
    <x v="19"/>
    <s v="Maquinaria"/>
    <s v="SET UP"/>
    <x v="0"/>
    <x v="0"/>
    <s v="Desarmar máquina para su limpieza "/>
    <s v="Se retiró piezas para su limpieza "/>
    <x v="0"/>
    <x v="0"/>
    <s v=""/>
    <s v=""/>
    <s v=""/>
    <x v="0"/>
    <x v="0"/>
    <x v="12"/>
  </r>
  <r>
    <x v="52"/>
    <s v="CARLOS TAPIA"/>
    <s v="MAÑANA"/>
    <d v="1899-12-30T08:00:00"/>
    <d v="1899-12-30T08:30:00"/>
    <d v="1899-12-30T00:30:00"/>
    <x v="66"/>
    <s v="Maquinaria"/>
    <s v="SET UP"/>
    <x v="0"/>
    <x v="0"/>
    <s v="Desarmar máquina para su limpieza "/>
    <s v="Se retiró piezas para su limpieza "/>
    <x v="0"/>
    <x v="0"/>
    <s v=""/>
    <s v=""/>
    <s v=""/>
    <x v="0"/>
    <x v="0"/>
    <x v="12"/>
  </r>
  <r>
    <x v="52"/>
    <s v="CARLOS TAPIA"/>
    <s v="MAÑANA"/>
    <d v="1899-12-30T08:30:00"/>
    <d v="1899-12-30T09:45:00"/>
    <d v="1899-12-30T01:15:00"/>
    <x v="3"/>
    <s v="Maquinaria"/>
    <s v="SET UP"/>
    <x v="0"/>
    <x v="0"/>
    <s v="Cambio de formato a barra por 50 gramos."/>
    <s v="Se cambió mordazas y piezas de máquina para dicho formato "/>
    <x v="0"/>
    <x v="0"/>
    <s v=""/>
    <s v=""/>
    <s v=""/>
    <x v="2"/>
    <x v="0"/>
    <x v="12"/>
  </r>
  <r>
    <x v="52"/>
    <s v="CARLOS TAPIA"/>
    <s v="MAÑANA"/>
    <d v="1899-12-30T11:00:00"/>
    <d v="1899-12-30T11:15:00"/>
    <d v="1899-12-30T00:15:00"/>
    <x v="98"/>
    <s v="Sistema"/>
    <s v="Ajuste /Calibracion"/>
    <x v="1"/>
    <x v="1"/>
    <s v="Se revisó gabinete #1 de manguera en la zona de oficinas administrativas."/>
    <s v="Se verifico que la manguera tenía presión. Se comunicó a encargado de seguridad y a jefe de mantenimiento "/>
    <x v="0"/>
    <x v="0"/>
    <s v=""/>
    <s v=""/>
    <s v=""/>
    <x v="0"/>
    <x v="0"/>
    <x v="12"/>
  </r>
  <r>
    <x v="52"/>
    <s v="Cesar Quiroz"/>
    <s v="NOCHE"/>
    <d v="1899-12-30T21:19:00"/>
    <d v="1899-12-30T21:26:00"/>
    <d v="1899-12-30T00:07:00"/>
    <x v="64"/>
    <s v="Area"/>
    <s v="Trabajos menores"/>
    <x v="0"/>
    <x v="0"/>
    <s v="Se rompió candado de personal de producción por perdida de llave en vestuario local anexotuarioa"/>
    <s v=""/>
    <x v="47"/>
    <x v="0"/>
    <s v=""/>
    <s v=""/>
    <s v=""/>
    <x v="24"/>
    <x v="1"/>
    <x v="12"/>
  </r>
  <r>
    <x v="52"/>
    <s v="Cesar Quiroz"/>
    <s v="NOCHE"/>
    <d v="1899-12-30T21:29:00"/>
    <d v="1899-12-30T21:47:00"/>
    <d v="1899-12-30T00:18:00"/>
    <x v="31"/>
    <s v="Equipos auxiliares"/>
    <s v="Inspección"/>
    <x v="0"/>
    <x v="0"/>
    <s v="Revisión de funcionamiento y parámetros de trabajo"/>
    <s v=""/>
    <x v="0"/>
    <x v="0"/>
    <s v=""/>
    <s v=""/>
    <s v=""/>
    <x v="0"/>
    <x v="0"/>
    <x v="12"/>
  </r>
  <r>
    <x v="52"/>
    <s v="Cesar Quiroz"/>
    <s v="NOCHE"/>
    <d v="1899-12-30T21:58:00"/>
    <d v="1899-12-30T22:21:00"/>
    <d v="1899-12-30T00:23:00"/>
    <x v="34"/>
    <s v="Maquinaria"/>
    <s v="Ajuste /Calibracion"/>
    <x v="1"/>
    <x v="1"/>
    <s v="Mal plegado en empaquetado de productos"/>
    <s v="Se reguló altura de plegador de envoltura y se ajustó pinzas"/>
    <x v="0"/>
    <x v="0"/>
    <s v=""/>
    <s v=""/>
    <s v=""/>
    <x v="148"/>
    <x v="0"/>
    <x v="12"/>
  </r>
  <r>
    <x v="52"/>
    <s v="Cesar Quiroz"/>
    <s v="NOCHE"/>
    <d v="1899-12-30T22:28:00"/>
    <d v="1899-12-30T23:35:00"/>
    <d v="1899-12-30T01:07:00"/>
    <x v="28"/>
    <s v="Maquinaria"/>
    <s v="Ajuste /Calibracion"/>
    <x v="1"/>
    <x v="1"/>
    <s v="Plástico sale movido, no sella bien, caja se pegan"/>
    <s v="Sea justo posición de sujetador de plástico, se regulo plegadores, se realizó pruebas de funcionamiento, se pasó muestras"/>
    <x v="0"/>
    <x v="0"/>
    <s v=""/>
    <s v=""/>
    <s v=""/>
    <x v="149"/>
    <x v="0"/>
    <x v="12"/>
  </r>
  <r>
    <x v="52"/>
    <s v="Cesar Quiroz"/>
    <s v="NOCHE"/>
    <d v="1899-12-30T23:43:00"/>
    <d v="1899-12-30T23:56:00"/>
    <d v="1899-12-30T00:13:00"/>
    <x v="18"/>
    <s v="Maquinaria"/>
    <s v="SET UP"/>
    <x v="0"/>
    <x v="0"/>
    <s v="Armado de equipo para producción"/>
    <s v=""/>
    <x v="0"/>
    <x v="0"/>
    <s v=""/>
    <s v=""/>
    <s v=""/>
    <x v="0"/>
    <x v="0"/>
    <x v="12"/>
  </r>
  <r>
    <x v="52"/>
    <s v="JOSÉ HAÑARI"/>
    <s v="MAÑANA"/>
    <d v="1899-12-30T05:40:00"/>
    <d v="1899-12-30T06:10:00"/>
    <d v="1899-12-30T00:30:00"/>
    <x v="21"/>
    <s v="Area"/>
    <s v="Encendido / Arranque de linea"/>
    <x v="0"/>
    <x v="0"/>
    <s v="Encendido de planta "/>
    <s v=""/>
    <x v="0"/>
    <x v="0"/>
    <s v=""/>
    <s v=""/>
    <s v=""/>
    <x v="0"/>
    <x v="0"/>
    <x v="12"/>
  </r>
  <r>
    <x v="53"/>
    <s v="CARLOS TAPIA"/>
    <s v="MAÑANA"/>
    <d v="1899-12-30T06:00:00"/>
    <d v="1899-12-30T06:45:00"/>
    <d v="1899-12-30T00:45:00"/>
    <x v="47"/>
    <s v="Maquinaria"/>
    <s v="Ajuste /Calibracion"/>
    <x v="1"/>
    <x v="1"/>
    <s v="Reportan golpes en el intercambiador de moldes."/>
    <s v="Se revisó y alineó A510, se realizó pruebas de posición. Se dejó habilitada la máquina "/>
    <x v="0"/>
    <x v="10"/>
    <s v="Intercambiador De Moldes"/>
    <s v=""/>
    <s v=""/>
    <x v="126"/>
    <x v="1"/>
    <x v="12"/>
  </r>
  <r>
    <x v="53"/>
    <s v="CARLOS TAPIA"/>
    <s v="MAÑANA"/>
    <d v="1899-12-30T07:00:00"/>
    <d v="1899-12-30T07:25:00"/>
    <d v="1899-12-30T00:25:00"/>
    <x v="15"/>
    <s v="Maquinaria"/>
    <s v="SET UP"/>
    <x v="0"/>
    <x v="0"/>
    <s v="Armado de módulo MDS formato agregados x 50 gr"/>
    <s v="Se colocó piezas en posición y se armó módulo de MDS "/>
    <x v="0"/>
    <x v="1"/>
    <s v="Mds"/>
    <s v=""/>
    <s v=""/>
    <x v="2"/>
    <x v="1"/>
    <x v="12"/>
  </r>
  <r>
    <x v="53"/>
    <s v="CARLOS TAPIA"/>
    <s v="MAÑANA"/>
    <d v="1899-12-30T08:00:00"/>
    <d v="1899-12-30T08:30:00"/>
    <d v="1899-12-30T00:30:00"/>
    <x v="5"/>
    <s v="Maquinaria"/>
    <s v="SET UP"/>
    <x v="0"/>
    <x v="0"/>
    <s v="Armado de máquina "/>
    <s v="Se armó máquina y se colocó bandas."/>
    <x v="0"/>
    <x v="0"/>
    <s v=""/>
    <s v=""/>
    <s v=""/>
    <x v="0"/>
    <x v="0"/>
    <x v="12"/>
  </r>
  <r>
    <x v="53"/>
    <s v="CARLOS TAPIA"/>
    <s v="MAÑANA"/>
    <d v="1899-12-30T10:00:00"/>
    <d v="1899-12-30T10:30:00"/>
    <d v="1899-12-30T00:30:00"/>
    <x v="52"/>
    <s v="Area"/>
    <s v="Trabajos menores"/>
    <x v="0"/>
    <x v="0"/>
    <s v="Personal de Laboratorio - Calidad, solicitan el corte de material para obtener particulas para pruebas."/>
    <s v="Se cortó y limo pedazos de material, para obtener muestras."/>
    <x v="0"/>
    <x v="0"/>
    <s v=""/>
    <s v=""/>
    <s v=""/>
    <x v="0"/>
    <x v="0"/>
    <x v="12"/>
  </r>
  <r>
    <x v="53"/>
    <s v="CARLOS TAPIA"/>
    <s v="MAÑANA"/>
    <d v="1899-12-30T11:00:00"/>
    <d v="1899-12-30T11:15:00"/>
    <d v="1899-12-30T00:15:00"/>
    <x v="5"/>
    <s v="Maquinaria"/>
    <s v="Inspección"/>
    <x v="0"/>
    <x v="0"/>
    <s v="Se dió seguimiento al funcionamiento de máquina."/>
    <s v="Se revisó y reseteo variador de banda con alarma."/>
    <x v="0"/>
    <x v="0"/>
    <s v=""/>
    <s v=""/>
    <s v=""/>
    <x v="0"/>
    <x v="0"/>
    <x v="12"/>
  </r>
  <r>
    <x v="53"/>
    <s v="Cesar Quiroz"/>
    <s v="NOCHE"/>
    <d v="1899-12-30T21:19:00"/>
    <d v="1899-12-30T21:36:00"/>
    <d v="1899-12-30T00:17:00"/>
    <x v="31"/>
    <s v="Equipos auxiliares"/>
    <s v="Inspección"/>
    <x v="0"/>
    <x v="0"/>
    <s v="Revisión de funcionamiento y parámetros de trabajo "/>
    <s v=""/>
    <x v="0"/>
    <x v="0"/>
    <s v=""/>
    <s v=""/>
    <s v=""/>
    <x v="0"/>
    <x v="0"/>
    <x v="12"/>
  </r>
  <r>
    <x v="53"/>
    <s v="Cesar Quiroz"/>
    <s v="NOCHE"/>
    <d v="1899-12-30T21:43:00"/>
    <d v="1899-12-30T21:56:00"/>
    <d v="1899-12-30T00:13:00"/>
    <x v="39"/>
    <s v="Maquinaria"/>
    <s v="Inspección"/>
    <x v="0"/>
    <x v="0"/>
    <s v="Revisión de funcionamiento, revisión de estado de empaques "/>
    <s v=""/>
    <x v="84"/>
    <x v="0"/>
    <s v=""/>
    <s v=""/>
    <s v=""/>
    <x v="0"/>
    <x v="1"/>
    <x v="12"/>
  </r>
  <r>
    <x v="53"/>
    <s v="Cesar Quiroz"/>
    <s v="NOCHE"/>
    <d v="1899-12-30T22:06:00"/>
    <d v="1899-12-30T23:25:00"/>
    <d v="1899-12-30T01:19:00"/>
    <x v="5"/>
    <s v="Maquinaria"/>
    <s v="Ajuste /Calibracion"/>
    <x v="1"/>
    <x v="1"/>
    <s v="Papel se arruga constantemente "/>
    <s v="Se reviso módulo de corte, se realizó pruebas de corte de papel, no cortaba esquina, se desarmo módulo de corte , se realizó limpieza y calibración de módulo de corte, equipo queda habilitado "/>
    <x v="0"/>
    <x v="0"/>
    <s v=""/>
    <s v=""/>
    <s v=""/>
    <x v="0"/>
    <x v="0"/>
    <x v="12"/>
  </r>
  <r>
    <x v="53"/>
    <s v="Cesar Quiroz"/>
    <s v="NOCHE"/>
    <d v="1899-12-30T23:32:00"/>
    <d v="1899-12-30T23:45:00"/>
    <d v="1899-12-30T00:13:00"/>
    <x v="29"/>
    <s v="Maquinaria"/>
    <s v="Ajuste /Calibracion"/>
    <x v="1"/>
    <x v="1"/>
    <s v="Pieza fuera de posición "/>
    <s v="Se desajusto pieza y se regulo posición "/>
    <x v="0"/>
    <x v="0"/>
    <s v=""/>
    <s v=""/>
    <s v=""/>
    <x v="33"/>
    <x v="0"/>
    <x v="12"/>
  </r>
  <r>
    <x v="53"/>
    <s v="Cesar Quiroz"/>
    <s v="NOCHE"/>
    <d v="1899-12-30T23:48:00"/>
    <d v="1899-12-30T23:59:00"/>
    <d v="1899-12-30T00:11:00"/>
    <x v="15"/>
    <s v="Maquinaria"/>
    <s v="Inspección"/>
    <x v="0"/>
    <x v="0"/>
    <s v="Revision de funcionamiento y temperaturas de tunel"/>
    <s v=""/>
    <x v="0"/>
    <x v="6"/>
    <s v="Tunel De Enfriamiento"/>
    <s v=""/>
    <s v=""/>
    <x v="0"/>
    <x v="1"/>
    <x v="12"/>
  </r>
  <r>
    <x v="53"/>
    <s v="Cesar Quiroz"/>
    <s v="NOCHE"/>
    <d v="1899-12-30T00:06:00"/>
    <d v="1899-12-30T00:21:00"/>
    <d v="1899-12-30T00:15:00"/>
    <x v="29"/>
    <s v="Maquinaria"/>
    <s v="Ajuste /Calibracion"/>
    <x v="1"/>
    <x v="1"/>
    <s v="Goma no sale bien, mancha etiquetas"/>
    <s v="Se regulo posición de boquilla de goma, se modifico parámetros de distancia y cantidad de goma "/>
    <x v="0"/>
    <x v="0"/>
    <s v=""/>
    <s v=""/>
    <s v=""/>
    <x v="40"/>
    <x v="0"/>
    <x v="12"/>
  </r>
  <r>
    <x v="53"/>
    <s v="Cesar Quiroz"/>
    <s v="NOCHE"/>
    <d v="1899-12-30T00:48:00"/>
    <d v="1899-12-30T01:17:00"/>
    <d v="1899-12-30T00:29:00"/>
    <x v="5"/>
    <s v="Maquinaria"/>
    <s v="Sustitucion"/>
    <x v="1"/>
    <x v="1"/>
    <s v="Banda número 4 se rompió "/>
    <s v="Se retiro banda rota, se cambio por banda nueva, se regulo tensador, estaba muy tensada, se realizó pruebas de funcionamiento "/>
    <x v="0"/>
    <x v="0"/>
    <s v=""/>
    <s v=""/>
    <s v=""/>
    <x v="24"/>
    <x v="0"/>
    <x v="12"/>
  </r>
  <r>
    <x v="53"/>
    <s v="Cesar Quiroz"/>
    <s v="NOCHE"/>
    <d v="1899-12-30T01:22:00"/>
    <d v="1899-12-30T01:44:00"/>
    <d v="1899-12-30T00:22:00"/>
    <x v="19"/>
    <s v="Maquinaria"/>
    <s v="Ajuste /Calibracion"/>
    <x v="0"/>
    <x v="3"/>
    <s v="Faltan pernos en tapas, aspirador bota mucho polvillo"/>
    <s v="Se completó pernos, se ajusto tapas, en salida de aspirador falta jebe, se busco jebe no se encontró, se reporto "/>
    <x v="85"/>
    <x v="0"/>
    <s v=""/>
    <s v=""/>
    <s v=""/>
    <x v="0"/>
    <x v="1"/>
    <x v="12"/>
  </r>
  <r>
    <x v="53"/>
    <s v="Cesar Quiroz"/>
    <s v="NOCHE"/>
    <d v="1899-12-30T01:57:00"/>
    <d v="1899-12-30T02:12:00"/>
    <d v="1899-12-30T00:15:00"/>
    <x v="47"/>
    <s v="Maquinaria"/>
    <s v="Ajuste /Calibracion"/>
    <x v="1"/>
    <x v="1"/>
    <s v="Banda se va a un costado "/>
    <s v="Se encontró sensor suelto, se colocó en posición y se ajusto"/>
    <x v="0"/>
    <x v="0"/>
    <s v=""/>
    <s v=""/>
    <s v=""/>
    <x v="8"/>
    <x v="0"/>
    <x v="12"/>
  </r>
  <r>
    <x v="53"/>
    <s v="Cesar Quiroz"/>
    <s v="NOCHE"/>
    <d v="1899-12-30T02:24:00"/>
    <d v="1899-12-30T02:51:00"/>
    <d v="1899-12-30T00:27:00"/>
    <x v="94"/>
    <s v="Sistema"/>
    <s v="Ajuste /Calibracion"/>
    <x v="1"/>
    <x v="1"/>
    <s v="No hay presión de agua potable, bomba desebada"/>
    <s v="Se reviso niveles de pozo, se encontraba bien, se cebo tuberías y se encendió equipo, se dejó operativo"/>
    <x v="0"/>
    <x v="0"/>
    <s v=""/>
    <s v=""/>
    <s v=""/>
    <x v="108"/>
    <x v="0"/>
    <x v="12"/>
  </r>
  <r>
    <x v="53"/>
    <s v="JOSÉ HAÑARI"/>
    <s v="MAÑANA"/>
    <d v="1899-12-30T06:55:00"/>
    <d v="1899-12-30T07:15:00"/>
    <d v="1899-12-30T00:20:00"/>
    <x v="26"/>
    <s v="Maquinaria"/>
    <s v="Ajuste /Calibracion"/>
    <x v="1"/>
    <x v="1"/>
    <s v="Reportan ruido en empaquetadora 2"/>
    <s v="Se regula cuchilla de empaquetadora 2 "/>
    <x v="0"/>
    <x v="0"/>
    <s v=""/>
    <s v=""/>
    <s v=""/>
    <x v="3"/>
    <x v="0"/>
    <x v="12"/>
  </r>
  <r>
    <x v="53"/>
    <s v="JOSÉ HAÑARI"/>
    <s v="MAÑANA"/>
    <d v="1899-12-30T07:20:00"/>
    <d v="1899-12-30T07:25:00"/>
    <d v="1899-12-30T00:05:00"/>
    <x v="15"/>
    <s v="Maquinaria"/>
    <s v="SET UP"/>
    <x v="1"/>
    <x v="2"/>
    <s v="Sammfil no disifica chocolate "/>
    <s v="Conectore de señal desconectado.se corrige "/>
    <x v="0"/>
    <x v="12"/>
    <s v="Sammfill"/>
    <s v=""/>
    <s v=""/>
    <x v="0"/>
    <x v="1"/>
    <x v="12"/>
  </r>
  <r>
    <x v="53"/>
    <s v="JOSÉ HAÑARI"/>
    <s v="MAÑANA"/>
    <d v="1899-12-30T08:30:00"/>
    <d v="1899-12-30T09:00:00"/>
    <d v="1899-12-30T00:30:00"/>
    <x v="99"/>
    <s v="Maquinaria"/>
    <s v="SET UP"/>
    <x v="0"/>
    <x v="0"/>
    <s v="Se arma cortadora de masa "/>
    <s v=""/>
    <x v="8"/>
    <x v="0"/>
    <s v=""/>
    <s v=""/>
    <s v=""/>
    <x v="0"/>
    <x v="1"/>
    <x v="12"/>
  </r>
  <r>
    <x v="53"/>
    <s v="JOSÉ HAÑARI"/>
    <s v="MAÑANA"/>
    <d v="1899-12-30T09:10:00"/>
    <d v="1899-12-30T09:30:00"/>
    <d v="1899-12-30T00:20:00"/>
    <x v="17"/>
    <s v="Maquinaria"/>
    <s v="Limpieza"/>
    <x v="0"/>
    <x v="0"/>
    <s v="Se limpia ductos de desfogue en barquillera "/>
    <s v=""/>
    <x v="86"/>
    <x v="0"/>
    <s v=""/>
    <s v=""/>
    <s v=""/>
    <x v="0"/>
    <x v="1"/>
    <x v="12"/>
  </r>
  <r>
    <x v="53"/>
    <s v="JOSÉ HAÑARI"/>
    <s v="MAÑANA"/>
    <d v="1899-12-30T09:40:00"/>
    <d v="1899-12-30T09:55:00"/>
    <d v="1899-12-30T00:15:00"/>
    <x v="27"/>
    <s v="Maquinaria"/>
    <s v="SET UP"/>
    <x v="0"/>
    <x v="0"/>
    <s v="Se arma piezas de napolitana para su uso "/>
    <s v=""/>
    <x v="0"/>
    <x v="0"/>
    <s v=""/>
    <s v=""/>
    <s v=""/>
    <x v="0"/>
    <x v="0"/>
    <x v="12"/>
  </r>
  <r>
    <x v="53"/>
    <s v="JOSÉ HAÑARI"/>
    <s v="MAÑANA"/>
    <d v="1899-12-30T11:15:00"/>
    <d v="1899-12-30T11:30:00"/>
    <d v="1899-12-30T00:15:00"/>
    <x v="100"/>
    <s v="Maquinaria"/>
    <s v="Inspección"/>
    <x v="0"/>
    <x v="0"/>
    <s v="Se verifica funcionamiento de olla fundidora de figuras huecas ( se verifica que el agitador está funcionando, resistente este a su temperatura seteada ) "/>
    <s v=""/>
    <x v="87"/>
    <x v="0"/>
    <s v=""/>
    <s v=""/>
    <s v=""/>
    <x v="24"/>
    <x v="1"/>
    <x v="12"/>
  </r>
  <r>
    <x v="53"/>
    <s v="JOSÉ HAÑARI"/>
    <s v="MAÑANA"/>
    <d v="1899-12-30T12:00:00"/>
    <d v="1899-12-30T12:45:00"/>
    <d v="1899-12-30T00:45:00"/>
    <x v="27"/>
    <s v="Maquinaria"/>
    <s v="Ajuste /Calibracion"/>
    <x v="0"/>
    <x v="3"/>
    <s v=" Se Apoya a calibración de la napolitana "/>
    <s v=""/>
    <x v="0"/>
    <x v="0"/>
    <s v=""/>
    <s v=""/>
    <s v=""/>
    <x v="28"/>
    <x v="0"/>
    <x v="12"/>
  </r>
  <r>
    <x v="54"/>
    <s v="Cesar Quiroz"/>
    <s v="NOCHE"/>
    <d v="1899-12-30T21:13:00"/>
    <d v="1899-12-30T21:27:00"/>
    <d v="1899-12-30T00:14:00"/>
    <x v="31"/>
    <s v="Equipos auxiliares"/>
    <s v="Inspección"/>
    <x v="0"/>
    <x v="0"/>
    <s v="Revisión de funcionamiento y parámetros de trabajo "/>
    <s v=""/>
    <x v="0"/>
    <x v="0"/>
    <s v=""/>
    <s v=""/>
    <s v=""/>
    <x v="0"/>
    <x v="0"/>
    <x v="12"/>
  </r>
  <r>
    <x v="54"/>
    <s v="Cesar Quiroz"/>
    <s v="NOCHE"/>
    <d v="1899-12-30T21:44:00"/>
    <d v="1899-12-30T22:39:00"/>
    <d v="1899-12-30T00:55:00"/>
    <x v="96"/>
    <s v="Equipos auxiliares"/>
    <s v="Coordinacion"/>
    <x v="1"/>
    <x v="2"/>
    <s v="Personal de producción atrapado en ascensor"/>
    <s v="Se realizó rescate de personal aperturando puerta de ascensor de manera manual"/>
    <x v="0"/>
    <x v="0"/>
    <s v=""/>
    <s v=""/>
    <s v=""/>
    <x v="150"/>
    <x v="0"/>
    <x v="12"/>
  </r>
  <r>
    <x v="54"/>
    <s v="Cesar Quiroz"/>
    <s v="NOCHE"/>
    <d v="1899-12-30T22:42:00"/>
    <d v="1899-12-30T23:08:00"/>
    <d v="1899-12-30T00:26:00"/>
    <x v="34"/>
    <s v="Maquinaria"/>
    <s v="Ajuste /Calibracion"/>
    <x v="1"/>
    <x v="1"/>
    <s v="Pinza no jala bien el papel"/>
    <s v="Se regulo posición de pinzas, se realizó pruebas"/>
    <x v="0"/>
    <x v="0"/>
    <s v=""/>
    <s v=""/>
    <s v=""/>
    <x v="43"/>
    <x v="0"/>
    <x v="12"/>
  </r>
  <r>
    <x v="54"/>
    <s v="Cesar Quiroz"/>
    <s v="NOCHE"/>
    <d v="1899-12-30T23:17:00"/>
    <d v="1899-12-30T23:28:00"/>
    <d v="1899-12-30T00:11:00"/>
    <x v="55"/>
    <s v="Maquinaria"/>
    <s v="Limpieza"/>
    <x v="1"/>
    <x v="1"/>
    <s v="Temperatura varia en mordaza"/>
    <s v="Se realizó limpieza de colector y carbones, se probó funcionamiento "/>
    <x v="0"/>
    <x v="0"/>
    <s v=""/>
    <s v=""/>
    <s v=""/>
    <x v="0"/>
    <x v="0"/>
    <x v="12"/>
  </r>
  <r>
    <x v="54"/>
    <s v="Cesar Quiroz"/>
    <s v="NOCHE"/>
    <d v="1899-12-30T23:39:00"/>
    <d v="1899-12-30T23:57:00"/>
    <d v="1899-12-30T00:18:00"/>
    <x v="15"/>
    <s v="Maquinaria"/>
    <s v="SET UP"/>
    <x v="1"/>
    <x v="1"/>
    <s v="Temperadora se bloquea"/>
    <s v="Se habilitó guarda motor, se reviso filtro, se habilitó equipo"/>
    <x v="0"/>
    <x v="11"/>
    <s v="Temperadora"/>
    <s v=""/>
    <s v=""/>
    <x v="25"/>
    <x v="1"/>
    <x v="12"/>
  </r>
  <r>
    <x v="54"/>
    <s v="JOSÉ HAÑARI"/>
    <s v="MAÑANA"/>
    <d v="1899-12-30T06:00:00"/>
    <d v="1899-12-30T06:30:00"/>
    <d v="1899-12-30T00:30:00"/>
    <x v="15"/>
    <s v="Maquinaria"/>
    <s v="SET UP"/>
    <x v="0"/>
    <x v="0"/>
    <s v="Se desarma mds para limpieza "/>
    <s v=""/>
    <x v="0"/>
    <x v="1"/>
    <s v="Mds"/>
    <s v=""/>
    <s v=""/>
    <x v="0"/>
    <x v="1"/>
    <x v="12"/>
  </r>
  <r>
    <x v="54"/>
    <s v="JOSÉ HAÑARI"/>
    <s v="MAÑANA"/>
    <d v="1899-12-30T06:40:00"/>
    <d v="1899-12-30T07:10:00"/>
    <d v="1899-12-30T00:30:00"/>
    <x v="15"/>
    <s v="Maquinaria"/>
    <s v="SET UP"/>
    <x v="0"/>
    <x v="0"/>
    <s v="Se arma MDS para agregados x100"/>
    <s v=""/>
    <x v="0"/>
    <x v="1"/>
    <s v="Mds"/>
    <s v=""/>
    <s v=""/>
    <x v="0"/>
    <x v="1"/>
    <x v="12"/>
  </r>
  <r>
    <x v="54"/>
    <s v="Omar Nina"/>
    <s v="TARDE"/>
    <d v="1899-12-30T13:31:00"/>
    <d v="1899-12-30T14:00:00"/>
    <d v="1899-12-30T00:29:00"/>
    <x v="47"/>
    <s v="Maquinaria"/>
    <s v="Inspección"/>
    <x v="0"/>
    <x v="0"/>
    <s v="Inspección funcionamiento de equipo "/>
    <s v=""/>
    <x v="0"/>
    <x v="0"/>
    <s v=""/>
    <s v=""/>
    <s v=""/>
    <x v="0"/>
    <x v="0"/>
    <x v="12"/>
  </r>
  <r>
    <x v="54"/>
    <s v="Omar Nina"/>
    <s v="TARDE"/>
    <d v="1899-12-30T14:05:00"/>
    <d v="1899-12-30T14:37:00"/>
    <d v="1899-12-30T00:32:00"/>
    <x v="15"/>
    <s v="Maquinaria"/>
    <s v="SET UP"/>
    <x v="0"/>
    <x v="0"/>
    <s v="Armado de MDS para agregados x100"/>
    <s v=""/>
    <x v="0"/>
    <x v="1"/>
    <s v="Mds"/>
    <s v=""/>
    <s v=""/>
    <x v="0"/>
    <x v="1"/>
    <x v="12"/>
  </r>
  <r>
    <x v="55"/>
    <s v="Cesar Quiroz"/>
    <s v="NOCHE"/>
    <d v="1899-12-30T00:04:00"/>
    <d v="1899-12-30T00:26:00"/>
    <d v="1899-12-30T00:22:00"/>
    <x v="67"/>
    <s v="Maquinaria"/>
    <s v="Limpieza"/>
    <x v="1"/>
    <x v="1"/>
    <s v="Sellado sale mal, no corta un costado"/>
    <s v="Se realiza limpieza de cuchilla, se cambio cinta de base y se realizó pruebas"/>
    <x v="0"/>
    <x v="0"/>
    <s v=""/>
    <s v=""/>
    <s v=""/>
    <x v="151"/>
    <x v="0"/>
    <x v="12"/>
  </r>
  <r>
    <x v="55"/>
    <s v="Cesar Quiroz"/>
    <s v="NOCHE"/>
    <d v="1899-12-30T00:42:00"/>
    <d v="1899-12-30T01:18:00"/>
    <d v="1899-12-30T00:36:00"/>
    <x v="25"/>
    <s v="Maquinaria"/>
    <s v="SET UP"/>
    <x v="1"/>
    <x v="2"/>
    <s v="Equipo no enciende, llaves protegidas"/>
    <s v="Se restableció llaves, equipo se protege por corto, se reviso circuito, se retiro carga de estabilizador y se conecto directo, se deja equipo habilitado"/>
    <x v="0"/>
    <x v="0"/>
    <s v=""/>
    <s v=""/>
    <s v=""/>
    <x v="152"/>
    <x v="0"/>
    <x v="12"/>
  </r>
  <r>
    <x v="56"/>
    <s v="CARLOS TAPIA"/>
    <s v="MAÑANA"/>
    <s v="05:30"/>
    <s v="06:30"/>
    <d v="1899-12-30T01:00:00"/>
    <x v="21"/>
    <s v="Area"/>
    <s v="Encendido / Arranque de linea"/>
    <x v="0"/>
    <x v="0"/>
    <s v="Arranque de planta "/>
    <s v="Se encendió equipos y líneas de vapor agua y aire "/>
    <x v="0"/>
    <x v="0"/>
    <s v=""/>
    <s v=""/>
    <s v=""/>
    <x v="0"/>
    <x v="0"/>
    <x v="13"/>
  </r>
  <r>
    <x v="56"/>
    <s v="CARLOS TAPIA"/>
    <s v="MAÑANA"/>
    <s v="06:30"/>
    <s v="07:00"/>
    <d v="1899-12-30T00:30:00"/>
    <x v="19"/>
    <s v="Maquinaria"/>
    <s v="SET UP"/>
    <x v="0"/>
    <x v="0"/>
    <s v="Desarmar máquina para su limpieza "/>
    <s v="Se retiró piezas para su limpieza "/>
    <x v="0"/>
    <x v="0"/>
    <s v=""/>
    <s v=""/>
    <s v=""/>
    <x v="0"/>
    <x v="0"/>
    <x v="13"/>
  </r>
  <r>
    <x v="56"/>
    <s v="CARLOS TAPIA"/>
    <s v="MAÑANA"/>
    <s v="07:15"/>
    <s v="08:00"/>
    <d v="1899-12-30T00:45:00"/>
    <x v="47"/>
    <s v="Maquinaria"/>
    <s v="SET UP"/>
    <x v="0"/>
    <x v="0"/>
    <s v="Armado de máquina y colocación de guardas"/>
    <s v="Se colocó piezas en posición, se colocó guardas y polines de bandas."/>
    <x v="0"/>
    <x v="0"/>
    <s v=""/>
    <s v=""/>
    <s v=""/>
    <x v="0"/>
    <x v="0"/>
    <x v="13"/>
  </r>
  <r>
    <x v="56"/>
    <s v="CARLOS TAPIA"/>
    <s v="MAÑANA"/>
    <s v="08:15"/>
    <s v="09:00"/>
    <d v="1899-12-30T00:45:00"/>
    <x v="17"/>
    <s v="Maquinaria"/>
    <s v="SET UP"/>
    <x v="0"/>
    <x v="0"/>
    <s v="Armado de máquina "/>
    <s v="Se colocó bombas y piezas en posición "/>
    <x v="0"/>
    <x v="0"/>
    <s v=""/>
    <s v=""/>
    <s v=""/>
    <x v="0"/>
    <x v="0"/>
    <x v="13"/>
  </r>
  <r>
    <x v="56"/>
    <s v="CARLOS TAPIA"/>
    <s v="MAÑANA"/>
    <s v="10:00"/>
    <s v="10:15"/>
    <d v="1899-12-30T00:15:00"/>
    <x v="76"/>
    <s v="Maquinaria"/>
    <s v="SET UP"/>
    <x v="0"/>
    <x v="0"/>
    <s v="Retirar husillo y piezas para su limpieza "/>
    <s v="Se retiró piezas solicitadas para su limpieza "/>
    <x v="17"/>
    <x v="0"/>
    <s v=""/>
    <s v=""/>
    <s v=""/>
    <x v="14"/>
    <x v="1"/>
    <x v="13"/>
  </r>
  <r>
    <x v="56"/>
    <s v="CARLOS TAPIA"/>
    <s v="MAÑANA"/>
    <s v="12:40"/>
    <s v="13:15"/>
    <d v="1899-12-30T00:35:00"/>
    <x v="73"/>
    <s v="Maquinaria"/>
    <s v="Sustitucion"/>
    <x v="1"/>
    <x v="2"/>
    <s v="Máquina se apaga repentinamente y botón de emergencia no funciona."/>
    <s v="Se revisó y se reemplazo botón de emergencia. Se cambió cable de pulsador."/>
    <x v="0"/>
    <x v="0"/>
    <s v=""/>
    <s v=""/>
    <s v=""/>
    <x v="91"/>
    <x v="0"/>
    <x v="13"/>
  </r>
  <r>
    <x v="56"/>
    <s v="Cesar Quiroz"/>
    <s v="TARDE"/>
    <s v="12:37"/>
    <s v="12:52"/>
    <d v="1899-12-30T00:15:00"/>
    <x v="31"/>
    <s v="Equipos auxiliares"/>
    <s v="Inspección"/>
    <x v="0"/>
    <x v="0"/>
    <s v="Revisión de funcionamiento y parámetros de trabajo"/>
    <s v=""/>
    <x v="0"/>
    <x v="0"/>
    <s v=""/>
    <s v=""/>
    <s v=""/>
    <x v="0"/>
    <x v="0"/>
    <x v="13"/>
  </r>
  <r>
    <x v="56"/>
    <s v="Cesar Quiroz"/>
    <s v="TARDE"/>
    <s v="12:55"/>
    <s v="13:14"/>
    <d v="1899-12-30T00:19:00"/>
    <x v="43"/>
    <s v="Sistema"/>
    <s v="Coordinacion"/>
    <x v="0"/>
    <x v="0"/>
    <s v="Tanque de cloro vacio"/>
    <s v="Se busco cloro en almacén, se informo de falta de insumos, se dejó bomba de dosificación apagada"/>
    <x v="0"/>
    <x v="3"/>
    <s v="Tanque"/>
    <s v=""/>
    <s v=""/>
    <x v="0"/>
    <x v="1"/>
    <x v="13"/>
  </r>
  <r>
    <x v="56"/>
    <s v="Cesar Quiroz"/>
    <s v="TARDE"/>
    <s v="13:21"/>
    <s v="13:49"/>
    <d v="1899-12-30T00:28:00"/>
    <x v="50"/>
    <s v="Maquinaria"/>
    <s v="SET UP"/>
    <x v="0"/>
    <x v="0"/>
    <s v="Desarmado y retiro de polines para limpieza semanal"/>
    <s v=""/>
    <x v="3"/>
    <x v="0"/>
    <s v=""/>
    <s v=""/>
    <s v=""/>
    <x v="14"/>
    <x v="1"/>
    <x v="13"/>
  </r>
  <r>
    <x v="56"/>
    <s v="Cesar Quiroz"/>
    <s v="TARDE"/>
    <s v="14:03"/>
    <s v="14:18"/>
    <d v="1899-12-30T00:15:00"/>
    <x v="18"/>
    <s v="Maquinaria"/>
    <s v="SET UP"/>
    <x v="0"/>
    <x v="0"/>
    <s v="Armado de equipo"/>
    <s v=""/>
    <x v="0"/>
    <x v="0"/>
    <s v=""/>
    <s v=""/>
    <s v=""/>
    <x v="0"/>
    <x v="0"/>
    <x v="13"/>
  </r>
  <r>
    <x v="56"/>
    <s v="Cesar Quiroz"/>
    <s v="TARDE"/>
    <s v="14:21"/>
    <s v="14:58"/>
    <d v="1899-12-30T00:37:00"/>
    <x v="53"/>
    <s v="Maquinaria"/>
    <s v="SET UP"/>
    <x v="1"/>
    <x v="2"/>
    <s v="Falla de chiller por flujo de agua"/>
    <s v="Se reviso bombas y pozo, se encontró bomba primaria 1 con llave protegida, se cambio a bomba primaria 2 y se restableció sistema de chiller"/>
    <x v="0"/>
    <x v="0"/>
    <s v=""/>
    <s v=""/>
    <s v=""/>
    <x v="0"/>
    <x v="0"/>
    <x v="13"/>
  </r>
  <r>
    <x v="56"/>
    <s v="Cesar Quiroz"/>
    <s v="TARDE"/>
    <s v="15:03"/>
    <s v="15:19"/>
    <d v="1899-12-30T00:16:00"/>
    <x v="17"/>
    <s v="Maquinaria"/>
    <s v="SET UP"/>
    <x v="0"/>
    <x v="0"/>
    <s v="Sistema de drenaje desarmado "/>
    <s v="Se armó sistema de tuberías de drenaje"/>
    <x v="0"/>
    <x v="0"/>
    <s v=""/>
    <s v=""/>
    <s v=""/>
    <x v="0"/>
    <x v="0"/>
    <x v="13"/>
  </r>
  <r>
    <x v="56"/>
    <s v="Cesar Quiroz"/>
    <s v="TARDE"/>
    <s v="15:23"/>
    <s v="15:36"/>
    <d v="1899-12-30T00:13:00"/>
    <x v="63"/>
    <s v="Maquinaria"/>
    <s v="SET UP"/>
    <x v="0"/>
    <x v="0"/>
    <s v="Armado de equipo"/>
    <s v=""/>
    <x v="0"/>
    <x v="0"/>
    <s v=""/>
    <s v=""/>
    <s v=""/>
    <x v="0"/>
    <x v="0"/>
    <x v="13"/>
  </r>
  <r>
    <x v="56"/>
    <s v="Cesar Quiroz"/>
    <s v="TARDE"/>
    <s v="15:42"/>
    <s v="16:16"/>
    <d v="1899-12-30T00:34:00"/>
    <x v="3"/>
    <s v="Maquinaria"/>
    <s v="Ajuste /Calibracion"/>
    <x v="0"/>
    <x v="3"/>
    <s v="Apoyo en alineación de bandas y ajuste de guiadores"/>
    <s v=""/>
    <x v="88"/>
    <x v="0"/>
    <s v=""/>
    <s v=""/>
    <s v=""/>
    <x v="112"/>
    <x v="1"/>
    <x v="13"/>
  </r>
  <r>
    <x v="56"/>
    <s v="Cesar Quiroz"/>
    <s v="TARDE"/>
    <s v="17:18"/>
    <s v="17:37"/>
    <d v="1899-12-30T00:19:00"/>
    <x v="83"/>
    <s v="Sistema"/>
    <s v="M.General"/>
    <x v="0"/>
    <x v="0"/>
    <s v="Pozo con nivel bajo "/>
    <s v="Se llenó pozo de chiller con agua blanda"/>
    <x v="0"/>
    <x v="0"/>
    <s v=""/>
    <s v=""/>
    <s v=""/>
    <x v="135"/>
    <x v="0"/>
    <x v="13"/>
  </r>
  <r>
    <x v="56"/>
    <s v="Cesar Quiroz"/>
    <s v="TARDE"/>
    <s v="17:40"/>
    <s v="18:02"/>
    <d v="1899-12-30T00:22:00"/>
    <x v="84"/>
    <s v="Area"/>
    <s v="SET UP"/>
    <x v="0"/>
    <x v="0"/>
    <s v="Desarmado de iman"/>
    <s v=""/>
    <x v="89"/>
    <x v="0"/>
    <s v=""/>
    <s v=""/>
    <s v=""/>
    <x v="0"/>
    <x v="1"/>
    <x v="13"/>
  </r>
  <r>
    <x v="56"/>
    <s v="Cesar Quiroz"/>
    <s v="TARDE"/>
    <s v="18:06"/>
    <s v="18:38"/>
    <d v="1899-12-30T00:32:00"/>
    <x v="49"/>
    <s v="Maquinaria"/>
    <s v="SET UP"/>
    <x v="0"/>
    <x v="0"/>
    <s v="Armado de equipo, colocación de polines, retiro de filtro para limpieza"/>
    <s v=""/>
    <x v="79"/>
    <x v="0"/>
    <s v=""/>
    <s v=""/>
    <s v=""/>
    <x v="1"/>
    <x v="1"/>
    <x v="13"/>
  </r>
  <r>
    <x v="56"/>
    <s v="Cesar Quiroz"/>
    <s v="TARDE"/>
    <s v="18:41"/>
    <s v="19:17"/>
    <d v="1899-12-30T00:36:00"/>
    <x v="29"/>
    <s v="Maquinaria"/>
    <s v="Ajuste /Calibracion"/>
    <x v="1"/>
    <x v="1"/>
    <s v="Problemas con la cuchilla, no corta bien"/>
    <s v="Se regulo cuchilla, se enderezó piezas de escobilla, se realizó pruebas"/>
    <x v="0"/>
    <x v="0"/>
    <s v=""/>
    <s v=""/>
    <s v=""/>
    <x v="12"/>
    <x v="0"/>
    <x v="13"/>
  </r>
  <r>
    <x v="56"/>
    <s v="Cesar Quiroz"/>
    <s v="TARDE"/>
    <s v="19:22"/>
    <s v="19:35"/>
    <d v="1899-12-30T00:13:00"/>
    <x v="18"/>
    <s v="Maquinaria"/>
    <s v="SET UP"/>
    <x v="0"/>
    <x v="0"/>
    <s v="Desarmado para limpieza"/>
    <s v=""/>
    <x v="0"/>
    <x v="0"/>
    <s v=""/>
    <s v=""/>
    <s v=""/>
    <x v="0"/>
    <x v="0"/>
    <x v="13"/>
  </r>
  <r>
    <x v="56"/>
    <s v="Cesar Quiroz"/>
    <s v="TARDE"/>
    <s v="19:39"/>
    <s v="20:05"/>
    <d v="1899-12-30T00:26:00"/>
    <x v="15"/>
    <s v="Maquinaria"/>
    <s v="SET UP"/>
    <x v="0"/>
    <x v="0"/>
    <s v="Armado de formato cremas en mds"/>
    <s v=""/>
    <x v="0"/>
    <x v="1"/>
    <s v="Mds"/>
    <s v=""/>
    <s v=""/>
    <x v="2"/>
    <x v="1"/>
    <x v="13"/>
  </r>
  <r>
    <x v="56"/>
    <s v="Cesar Quiroz"/>
    <s v="TARDE"/>
    <s v="20:12"/>
    <s v="20:24"/>
    <d v="1899-12-30T00:12:00"/>
    <x v="18"/>
    <s v="Maquinaria"/>
    <s v="SET UP"/>
    <x v="0"/>
    <x v="0"/>
    <s v="Armado de equipo"/>
    <s v=""/>
    <x v="0"/>
    <x v="0"/>
    <s v=""/>
    <s v=""/>
    <s v=""/>
    <x v="0"/>
    <x v="0"/>
    <x v="13"/>
  </r>
  <r>
    <x v="56"/>
    <s v="JOSÉ HAÑARI"/>
    <s v="NOCHE"/>
    <s v="21:58"/>
    <s v="00:00"/>
    <d v="1899-12-30T02:02:00"/>
    <x v="26"/>
    <s v="Maquinaria"/>
    <s v="SET UP"/>
    <x v="0"/>
    <x v="0"/>
    <s v="Se realiza entrega contra elevador de vpack nueva "/>
    <s v=""/>
    <x v="90"/>
    <x v="0"/>
    <s v=""/>
    <s v=""/>
    <s v=""/>
    <x v="0"/>
    <x v="1"/>
    <x v="13"/>
  </r>
  <r>
    <x v="56"/>
    <s v="JOSÉ HAÑARI"/>
    <s v="NOCHE"/>
    <s v="22:12"/>
    <s v="00:00"/>
    <d v="1899-12-30T01:48:00"/>
    <x v="29"/>
    <s v="Maquinaria"/>
    <s v="Ajuste /Calibracion"/>
    <x v="1"/>
    <x v="1"/>
    <s v="Error 52"/>
    <s v="Se calibrar sensor"/>
    <x v="0"/>
    <x v="0"/>
    <s v=""/>
    <s v=""/>
    <s v=""/>
    <x v="6"/>
    <x v="0"/>
    <x v="13"/>
  </r>
  <r>
    <x v="56"/>
    <s v="JOSÉ HAÑARI"/>
    <s v="NOCHE"/>
    <s v="22:14"/>
    <s v="22:30"/>
    <d v="1899-12-30T00:16:00"/>
    <x v="2"/>
    <s v="Maquinaria"/>
    <s v="Ajuste /Calibracion"/>
    <x v="0"/>
    <x v="3"/>
    <s v="Se calibrar dosificacion de mds "/>
    <s v=""/>
    <x v="0"/>
    <x v="14"/>
    <s v="Dosificador"/>
    <s v="Mds"/>
    <s v=""/>
    <x v="28"/>
    <x v="1"/>
    <x v="13"/>
  </r>
  <r>
    <x v="56"/>
    <s v="JOSÉ HAÑARI"/>
    <s v="NOCHE"/>
    <s v="22:35"/>
    <s v="22:45"/>
    <d v="1899-12-30T00:10:00"/>
    <x v="66"/>
    <s v="Maquinaria"/>
    <s v="SET UP"/>
    <x v="0"/>
    <x v="0"/>
    <s v="Se pone sensor electromagnético en la refinadora buhler"/>
    <s v=""/>
    <x v="40"/>
    <x v="0"/>
    <s v=""/>
    <s v=""/>
    <s v=""/>
    <x v="0"/>
    <x v="1"/>
    <x v="13"/>
  </r>
  <r>
    <x v="56"/>
    <s v="JOSÉ HAÑARI"/>
    <s v="NOCHE"/>
    <s v="23:30"/>
    <s v="00:00"/>
    <d v="1899-12-30T00:30:00"/>
    <x v="7"/>
    <s v="Maquinaria"/>
    <s v="Ajuste /Calibracion"/>
    <x v="1"/>
    <x v="1"/>
    <s v="No jala laminado; no empuja producto adecuadamente "/>
    <s v="Se calibrar laminado;se regula empujador de producto y se hace pruebas correspondientes "/>
    <x v="0"/>
    <x v="0"/>
    <s v=""/>
    <s v=""/>
    <s v=""/>
    <x v="153"/>
    <x v="0"/>
    <x v="13"/>
  </r>
  <r>
    <x v="56"/>
    <s v="JOSÉ HAÑARI"/>
    <s v="MAÑANA"/>
    <d v="1899-12-31T00:00:00"/>
    <d v="1899-12-31T00:30:00"/>
    <d v="1899-12-30T00:30:00"/>
    <x v="23"/>
    <s v="Area"/>
    <s v="SET UP"/>
    <x v="1"/>
    <x v="1"/>
    <s v="Tuberías de chocolate obstruidas "/>
    <s v="Se hace seguimiento y se realiza el calentado correspondiente "/>
    <x v="0"/>
    <x v="0"/>
    <s v=""/>
    <s v=""/>
    <s v=""/>
    <x v="17"/>
    <x v="0"/>
    <x v="13"/>
  </r>
  <r>
    <x v="56"/>
    <s v="JOSÉ HAÑARI"/>
    <s v="NOCHE"/>
    <s v="01:00"/>
    <s v="01:20"/>
    <d v="1899-12-30T00:20:00"/>
    <x v="50"/>
    <s v="Maquinaria"/>
    <s v="Ajuste /Calibracion"/>
    <x v="1"/>
    <x v="1"/>
    <s v="No dosifica chocolate a bañadora "/>
    <s v="Se verifica motor de temperadora de chocolate y se restablece el flujo de chocolate "/>
    <x v="0"/>
    <x v="8"/>
    <s v="Dosificador"/>
    <s v=""/>
    <s v=""/>
    <x v="73"/>
    <x v="1"/>
    <x v="13"/>
  </r>
  <r>
    <x v="56"/>
    <s v="JOSÉ HAÑARI"/>
    <s v="NOCHE"/>
    <s v="03:10"/>
    <s v="03:35"/>
    <d v="1899-12-30T00:25:00"/>
    <x v="89"/>
    <s v="Maquinaria"/>
    <s v="Ajuste /Calibracion"/>
    <x v="1"/>
    <x v="1"/>
    <s v="No corta la cortadora de miniflex"/>
    <s v="Se realiza ajuste en cortadora en miniflex"/>
    <x v="0"/>
    <x v="0"/>
    <s v=""/>
    <s v=""/>
    <s v=""/>
    <x v="12"/>
    <x v="0"/>
    <x v="13"/>
  </r>
  <r>
    <x v="56"/>
    <s v="JOSÉ HAÑARI"/>
    <s v="NOCHE"/>
    <s v="04:00"/>
    <s v="04:30"/>
    <d v="1899-12-30T00:30:00"/>
    <x v="84"/>
    <s v="Area"/>
    <s v="SET UP"/>
    <x v="0"/>
    <x v="0"/>
    <s v="Se realiza armado de iman "/>
    <s v=""/>
    <x v="89"/>
    <x v="0"/>
    <s v=""/>
    <s v=""/>
    <s v=""/>
    <x v="0"/>
    <x v="1"/>
    <x v="13"/>
  </r>
  <r>
    <x v="56"/>
    <s v="Omar Nina"/>
    <s v="MAÑANA"/>
    <s v="07:00"/>
    <s v="07:30"/>
    <d v="1899-12-30T00:30:00"/>
    <x v="3"/>
    <s v="Maquinaria"/>
    <s v="SET UP"/>
    <x v="0"/>
    <x v="0"/>
    <s v="Colocación de mordaza y guardas"/>
    <s v=""/>
    <x v="4"/>
    <x v="0"/>
    <s v=""/>
    <s v=""/>
    <s v=""/>
    <x v="0"/>
    <x v="1"/>
    <x v="13"/>
  </r>
  <r>
    <x v="56"/>
    <s v="Omar Nina"/>
    <s v="MAÑANA"/>
    <s v="08:00"/>
    <s v="08:20"/>
    <d v="1899-12-30T00:20:00"/>
    <x v="26"/>
    <s v="Maquinaria"/>
    <s v="SET UP"/>
    <x v="0"/>
    <x v="0"/>
    <s v="Retiró de guardas y fajas para limpieza semanal "/>
    <s v=""/>
    <x v="9"/>
    <x v="0"/>
    <s v=""/>
    <s v=""/>
    <s v=""/>
    <x v="14"/>
    <x v="1"/>
    <x v="13"/>
  </r>
  <r>
    <x v="56"/>
    <s v="Omar Nina"/>
    <s v="MAÑANA"/>
    <s v="09:30"/>
    <s v="10:00"/>
    <d v="1899-12-30T00:30:00"/>
    <x v="19"/>
    <s v="Maquinaria"/>
    <s v="SET UP"/>
    <x v="0"/>
    <x v="0"/>
    <s v="Armado de equipo "/>
    <s v=""/>
    <x v="0"/>
    <x v="0"/>
    <s v=""/>
    <s v=""/>
    <s v=""/>
    <x v="0"/>
    <x v="0"/>
    <x v="13"/>
  </r>
  <r>
    <x v="56"/>
    <s v="Omar Nina"/>
    <s v="MAÑANA"/>
    <s v="13:25"/>
    <s v="14:04"/>
    <d v="1899-12-30T00:39:00"/>
    <x v="26"/>
    <s v="Maquinaria"/>
    <s v="SET UP"/>
    <x v="0"/>
    <x v="0"/>
    <s v="Colocación de guardas y fajas"/>
    <s v=""/>
    <x v="9"/>
    <x v="0"/>
    <s v=""/>
    <s v=""/>
    <s v=""/>
    <x v="0"/>
    <x v="1"/>
    <x v="13"/>
  </r>
  <r>
    <x v="57"/>
    <s v="CARLOS TAPIA"/>
    <s v="MAÑANA"/>
    <d v="1899-12-30T06:00:00"/>
    <d v="1899-12-30T07:00:00"/>
    <d v="1899-12-30T01:00:00"/>
    <x v="19"/>
    <s v="Maquinaria"/>
    <s v="SET UP"/>
    <x v="0"/>
    <x v="0"/>
    <s v="Tornillo sinfín atascado y con exceso de grasa sucia."/>
    <s v="Se desmontó piezas para su limpieza y reparación en su acople. Se revisó y reparó acople de sinfín."/>
    <x v="0"/>
    <x v="0"/>
    <s v=""/>
    <s v=""/>
    <s v=""/>
    <x v="154"/>
    <x v="0"/>
    <x v="13"/>
  </r>
  <r>
    <x v="57"/>
    <s v="CARLOS TAPIA"/>
    <s v="MAÑANA"/>
    <d v="1899-12-30T07:10:00"/>
    <d v="1899-12-30T07:25:00"/>
    <d v="1899-12-30T00:15:00"/>
    <x v="63"/>
    <s v="Maquinaria"/>
    <s v="Lubricación"/>
    <x v="0"/>
    <x v="0"/>
    <s v="Lubricación de partes moviles."/>
    <s v="Se lubricó con interfón engranajes."/>
    <x v="0"/>
    <x v="0"/>
    <s v=""/>
    <s v=""/>
    <s v=""/>
    <x v="44"/>
    <x v="0"/>
    <x v="13"/>
  </r>
  <r>
    <x v="57"/>
    <s v="CARLOS TAPIA"/>
    <s v="MAÑANA"/>
    <d v="1899-12-30T07:30:00"/>
    <d v="1899-12-30T08:00:00"/>
    <d v="1899-12-30T00:30:00"/>
    <x v="3"/>
    <s v="Maquinaria"/>
    <s v="Inspección"/>
    <x v="0"/>
    <x v="0"/>
    <s v="Inspección de máquina en funcionamiento."/>
    <s v="Se dió seguimiento al funcionamiento de máquina con rayos x."/>
    <x v="0"/>
    <x v="0"/>
    <s v=""/>
    <s v=""/>
    <s v=""/>
    <x v="0"/>
    <x v="0"/>
    <x v="13"/>
  </r>
  <r>
    <x v="57"/>
    <s v="CARLOS TAPIA"/>
    <s v="MAÑANA"/>
    <d v="1899-12-30T08:15:00"/>
    <d v="1899-12-30T08:45:00"/>
    <d v="1899-12-30T00:30:00"/>
    <x v="47"/>
    <s v="Maquinaria"/>
    <s v="Inspección"/>
    <x v="0"/>
    <x v="0"/>
    <s v="Inspección de máquina en funcionamiento "/>
    <s v="Se dió seguimiento al funcionamiento de máquina en línea "/>
    <x v="0"/>
    <x v="0"/>
    <s v=""/>
    <s v=""/>
    <s v=""/>
    <x v="0"/>
    <x v="0"/>
    <x v="13"/>
  </r>
  <r>
    <x v="57"/>
    <s v="CARLOS TAPIA"/>
    <s v="MAÑANA"/>
    <d v="1899-12-30T11:30:00"/>
    <d v="1899-12-30T12:00:00"/>
    <d v="1899-12-30T00:30:00"/>
    <x v="52"/>
    <s v="Area"/>
    <s v="Limpieza"/>
    <x v="0"/>
    <x v="0"/>
    <s v="Orden y limpieza de taller."/>
    <s v="Se ordenó y limpio taller y mesas de trabajo."/>
    <x v="0"/>
    <x v="0"/>
    <s v=""/>
    <s v=""/>
    <s v=""/>
    <x v="0"/>
    <x v="0"/>
    <x v="13"/>
  </r>
  <r>
    <x v="57"/>
    <s v="CARLOS TAPIA"/>
    <s v="MAÑANA"/>
    <d v="1899-12-30T12:30:00"/>
    <d v="1899-12-30T13:45:00"/>
    <d v="1899-12-30T01:15:00"/>
    <x v="44"/>
    <s v="Maquinaria"/>
    <s v="Limpieza"/>
    <x v="0"/>
    <x v="0"/>
    <s v="Limpiar zona de carga y mejorar la caída de producto en volva inicial de carga."/>
    <s v="Se sacó guardas para su limpieza. Se modifico volva de inicio de carga.  Nota: La máquina no estaban usando debido a que ya terminaron de tostar e ingresaba el turno siguiente."/>
    <x v="8"/>
    <x v="0"/>
    <s v=""/>
    <s v=""/>
    <s v=""/>
    <x v="38"/>
    <x v="1"/>
    <x v="13"/>
  </r>
  <r>
    <x v="57"/>
    <s v="JOSÉ HAÑARI"/>
    <s v="MAÑANA"/>
    <d v="1899-12-30T05:21:00"/>
    <d v="1899-12-30T05:50:00"/>
    <d v="1899-12-30T00:29:00"/>
    <x v="23"/>
    <s v="Area"/>
    <s v="Ajuste /Calibracion"/>
    <x v="1"/>
    <x v="1"/>
    <s v="Tuberías de chocolate obstruidas "/>
    <s v="Se hace seguimiento y se realiza el calentado correspondiente "/>
    <x v="0"/>
    <x v="0"/>
    <s v=""/>
    <s v=""/>
    <s v=""/>
    <x v="17"/>
    <x v="0"/>
    <x v="13"/>
  </r>
  <r>
    <x v="57"/>
    <s v="JOSÉ HAÑARI"/>
    <s v="TARDE"/>
    <d v="1899-12-30T12:50:00"/>
    <d v="1899-12-30T13:10:00"/>
    <d v="1899-12-30T00:20:00"/>
    <x v="27"/>
    <s v="Maquinaria"/>
    <s v="SET UP"/>
    <x v="0"/>
    <x v="0"/>
    <s v="Le falta goma "/>
    <s v="Se lleva envase nuevo con goma adicional "/>
    <x v="12"/>
    <x v="0"/>
    <s v=""/>
    <s v=""/>
    <s v=""/>
    <x v="0"/>
    <x v="1"/>
    <x v="13"/>
  </r>
  <r>
    <x v="57"/>
    <s v="JOSÉ HAÑARI"/>
    <s v="TARDE"/>
    <d v="1899-12-30T13:20:00"/>
    <d v="1899-12-30T13:50:00"/>
    <d v="1899-12-30T00:30:00"/>
    <x v="15"/>
    <s v="Maquinaria"/>
    <s v="SET UP"/>
    <x v="0"/>
    <x v="0"/>
    <s v="Se desarma a mds para limpieza "/>
    <s v=""/>
    <x v="0"/>
    <x v="1"/>
    <s v="Mds"/>
    <s v=""/>
    <s v=""/>
    <x v="0"/>
    <x v="1"/>
    <x v="13"/>
  </r>
  <r>
    <x v="57"/>
    <s v="JOSÉ HAÑARI"/>
    <s v="MAÑANA"/>
    <d v="1899-12-30T14:00:00"/>
    <d v="1899-12-30T14:15:00"/>
    <d v="1899-12-30T00:15:00"/>
    <x v="26"/>
    <s v="Maquinaria"/>
    <s v="Ajuste /Calibracion"/>
    <x v="1"/>
    <x v="1"/>
    <s v="Faja de ingreso de producto movidos "/>
    <s v="Se verifica fajas y se dejó operativo "/>
    <x v="0"/>
    <x v="0"/>
    <s v=""/>
    <s v=""/>
    <s v=""/>
    <x v="0"/>
    <x v="0"/>
    <x v="13"/>
  </r>
  <r>
    <x v="57"/>
    <s v="Omar Nina"/>
    <s v="MAÑANA"/>
    <d v="1899-12-30T05:50:00"/>
    <d v="1899-12-30T06:00:00"/>
    <d v="1899-12-30T00:10:00"/>
    <x v="44"/>
    <s v="Maquinaria"/>
    <s v="SET UP"/>
    <x v="1"/>
    <x v="2"/>
    <s v="No inicia faja de carga de cacao"/>
    <s v="Se inicia sesión en hmi y se da inicio a carga"/>
    <x v="0"/>
    <x v="0"/>
    <s v=""/>
    <s v=""/>
    <s v=""/>
    <x v="155"/>
    <x v="0"/>
    <x v="13"/>
  </r>
  <r>
    <x v="57"/>
    <s v="Omar Nina"/>
    <s v="MAÑANA"/>
    <d v="1899-12-30T06:10:00"/>
    <d v="1899-12-30T07:00:00"/>
    <d v="1899-12-30T00:50:00"/>
    <x v="19"/>
    <s v="Maquinaria"/>
    <s v="Ajuste /Calibracion"/>
    <x v="1"/>
    <x v="1"/>
    <s v="Sin fin de extracción de cascarilla en el ciclon se encuentra amarrado, se protege guardamotor."/>
    <s v="Se retira motor caja y sinfín para limpieza y verificación en taller de mantenimiento "/>
    <x v="0"/>
    <x v="0"/>
    <s v=""/>
    <s v=""/>
    <s v=""/>
    <x v="156"/>
    <x v="0"/>
    <x v="13"/>
  </r>
  <r>
    <x v="57"/>
    <s v="Omar Nina"/>
    <s v="MAÑANA"/>
    <d v="1899-12-30T07:10:00"/>
    <d v="1899-12-30T07:22:00"/>
    <d v="1899-12-30T00:12:00"/>
    <x v="76"/>
    <s v="Maquinaria"/>
    <s v="M.General"/>
    <x v="0"/>
    <x v="0"/>
    <s v="Se completa tuerca faltante "/>
    <s v=""/>
    <x v="91"/>
    <x v="0"/>
    <s v=""/>
    <s v=""/>
    <s v=""/>
    <x v="0"/>
    <x v="1"/>
    <x v="13"/>
  </r>
  <r>
    <x v="57"/>
    <s v="Omar Nina"/>
    <s v="MAÑANA"/>
    <d v="1899-12-30T07:40:00"/>
    <d v="1899-12-30T08:00:00"/>
    <d v="1899-12-30T00:20:00"/>
    <x v="41"/>
    <s v="Maquinaria"/>
    <s v="Inspección"/>
    <x v="0"/>
    <x v="0"/>
    <s v="Verificación de parámetros de trabajo "/>
    <s v=""/>
    <x v="0"/>
    <x v="0"/>
    <s v=""/>
    <s v=""/>
    <s v=""/>
    <x v="0"/>
    <x v="0"/>
    <x v="13"/>
  </r>
  <r>
    <x v="57"/>
    <s v="Omar Nina"/>
    <s v="MAÑANA"/>
    <d v="1899-12-30T08:20:00"/>
    <d v="1899-12-30T08:30:00"/>
    <d v="1899-12-30T00:10:00"/>
    <x v="101"/>
    <s v="Maquinaria"/>
    <s v="SET UP"/>
    <x v="0"/>
    <x v="0"/>
    <s v="Colocación de sello de tapa y cuchilla "/>
    <s v=""/>
    <x v="92"/>
    <x v="0"/>
    <s v=""/>
    <s v=""/>
    <s v=""/>
    <x v="0"/>
    <x v="1"/>
    <x v="13"/>
  </r>
  <r>
    <x v="57"/>
    <s v="Omar Nina"/>
    <s v="MAÑANA"/>
    <d v="1899-12-30T08:40:00"/>
    <d v="1899-12-30T09:00:00"/>
    <d v="1899-12-30T00:20:00"/>
    <x v="15"/>
    <s v="Maquinaria"/>
    <s v="Inspección"/>
    <x v="0"/>
    <x v="0"/>
    <s v="Inspección funcionamiento de temperadora "/>
    <s v=""/>
    <x v="0"/>
    <x v="11"/>
    <s v="Temperadora"/>
    <s v=""/>
    <s v=""/>
    <x v="0"/>
    <x v="1"/>
    <x v="13"/>
  </r>
  <r>
    <x v="57"/>
    <s v="Omar Nina"/>
    <s v="MAÑANA"/>
    <d v="1899-12-30T10:00:00"/>
    <d v="1899-12-30T10:15:00"/>
    <d v="1899-12-30T00:15:00"/>
    <x v="3"/>
    <s v="Maquinaria"/>
    <s v="Coordinacion"/>
    <x v="0"/>
    <x v="0"/>
    <s v="Se acabó cinta de doble contacto "/>
    <s v="Se busca cinta y se entrega a operador de equipo "/>
    <x v="0"/>
    <x v="0"/>
    <s v=""/>
    <s v=""/>
    <s v=""/>
    <x v="0"/>
    <x v="0"/>
    <x v="13"/>
  </r>
  <r>
    <x v="57"/>
    <s v="Omar Nina"/>
    <s v="MAÑANA"/>
    <d v="1899-12-30T10:25:00"/>
    <d v="1899-12-30T10:40:00"/>
    <d v="1899-12-30T00:15:00"/>
    <x v="41"/>
    <s v="Maquinaria"/>
    <s v="Encendido / Arranque de linea"/>
    <x v="0"/>
    <x v="0"/>
    <s v="Se enciende rayos x del 4to piso para pruebas de calidad "/>
    <s v=""/>
    <x v="0"/>
    <x v="0"/>
    <s v=""/>
    <s v=""/>
    <s v=""/>
    <x v="0"/>
    <x v="0"/>
    <x v="13"/>
  </r>
  <r>
    <x v="57"/>
    <s v="Omar Nina"/>
    <s v="MAÑANA"/>
    <d v="1899-12-30T10:46:00"/>
    <d v="1899-12-30T10:56:00"/>
    <d v="1899-12-30T00:10:00"/>
    <x v="13"/>
    <s v="Maquinaria"/>
    <s v="SET UP"/>
    <x v="1"/>
    <x v="2"/>
    <s v="Sensor de masa en falla, detiene el arrastre del cordón de masa y no restablece "/>
    <s v="Se retira sensor y se realiza limpieza de contactos en su conector "/>
    <x v="0"/>
    <x v="0"/>
    <s v=""/>
    <s v=""/>
    <s v=""/>
    <x v="87"/>
    <x v="0"/>
    <x v="13"/>
  </r>
  <r>
    <x v="57"/>
    <s v="Omar Nina"/>
    <s v="MAÑANA"/>
    <d v="1899-12-30T11:26:00"/>
    <d v="1899-12-30T12:11:00"/>
    <d v="1899-12-30T00:45:00"/>
    <x v="41"/>
    <s v="Maquinaria"/>
    <s v="Seguimiento / Pruebas"/>
    <x v="0"/>
    <x v="0"/>
    <s v="Se apoya a calidad en rayos x del 4to piso "/>
    <s v=""/>
    <x v="0"/>
    <x v="0"/>
    <s v=""/>
    <s v=""/>
    <s v=""/>
    <x v="0"/>
    <x v="0"/>
    <x v="13"/>
  </r>
  <r>
    <x v="58"/>
    <s v="CARLOS TAPIA"/>
    <s v="MAÑANA"/>
    <d v="1899-12-30T05:45:00"/>
    <d v="1899-12-30T06:15:00"/>
    <d v="1899-12-30T00:30:00"/>
    <x v="15"/>
    <s v="Maquinaria"/>
    <s v="SET UP"/>
    <x v="0"/>
    <x v="0"/>
    <s v="Desarmar módulo MDS para su limpieza "/>
    <s v="Se retiró piezas para su limpieza "/>
    <x v="0"/>
    <x v="1"/>
    <s v="Mds"/>
    <s v=""/>
    <s v=""/>
    <x v="0"/>
    <x v="1"/>
    <x v="13"/>
  </r>
  <r>
    <x v="58"/>
    <s v="CARLOS TAPIA"/>
    <s v="MAÑANA"/>
    <d v="1899-12-30T12:30:00"/>
    <d v="1899-12-30T12:55:00"/>
    <d v="1899-12-30T00:25:00"/>
    <x v="87"/>
    <s v="Maquinaria"/>
    <s v="Ajuste /Calibracion"/>
    <x v="1"/>
    <x v="1"/>
    <s v="Se evidencia oscilaciones en la olla al momento de girar."/>
    <s v="Se revisó y se alineó base de olla."/>
    <x v="0"/>
    <x v="0"/>
    <s v=""/>
    <s v=""/>
    <s v=""/>
    <x v="0"/>
    <x v="0"/>
    <x v="13"/>
  </r>
  <r>
    <x v="58"/>
    <s v="CARLOS TAPIA"/>
    <s v="MAÑANA"/>
    <d v="1899-12-30T06:30:00"/>
    <d v="1899-12-30T07:30:00"/>
    <d v="1899-12-30T01:00:00"/>
    <x v="17"/>
    <s v="Maquinaria"/>
    <s v="SET UP"/>
    <x v="0"/>
    <x v="0"/>
    <s v="Desarmar máquina para su limpieza "/>
    <s v="Se retiró bombas y mangueras para su limpieza "/>
    <x v="0"/>
    <x v="0"/>
    <s v=""/>
    <s v=""/>
    <s v=""/>
    <x v="0"/>
    <x v="0"/>
    <x v="13"/>
  </r>
  <r>
    <x v="58"/>
    <s v="CARLOS TAPIA"/>
    <s v="MAÑANA"/>
    <d v="1899-12-30T08:00:00"/>
    <d v="1899-12-30T08:20:00"/>
    <d v="1899-12-30T00:20:00"/>
    <x v="29"/>
    <s v="Maquinaria"/>
    <s v="SET UP"/>
    <x v="0"/>
    <x v="0"/>
    <s v="Apoyo en máquina "/>
    <s v="Se reguló medidas para mejorar el empaquetado del producto. Se dió seguimiento al funcionamiento de máquina "/>
    <x v="0"/>
    <x v="0"/>
    <s v=""/>
    <s v=""/>
    <s v=""/>
    <x v="0"/>
    <x v="0"/>
    <x v="13"/>
  </r>
  <r>
    <x v="58"/>
    <s v="CARLOS TAPIA"/>
    <s v="MAÑANA"/>
    <d v="1899-12-30T08:40:00"/>
    <d v="1899-12-30T09:00:00"/>
    <d v="1899-12-30T00:20:00"/>
    <x v="55"/>
    <s v="Maquinaria"/>
    <s v="Sustitucion"/>
    <x v="1"/>
    <x v="1"/>
    <s v="Sistema de desbobinado dañado."/>
    <s v="Se desmontó piezas dañadas, se reemplazo pernos y se limpio piezas "/>
    <x v="0"/>
    <x v="0"/>
    <s v=""/>
    <s v=""/>
    <s v=""/>
    <x v="85"/>
    <x v="0"/>
    <x v="13"/>
  </r>
  <r>
    <x v="58"/>
    <s v="CARLOS TAPIA"/>
    <s v="MAÑANA"/>
    <d v="1899-12-30T09:45:00"/>
    <d v="1899-12-30T10:00:00"/>
    <d v="1899-12-30T00:15:00"/>
    <x v="102"/>
    <s v="Maquinaria"/>
    <s v="Lubricación"/>
    <x v="1"/>
    <x v="1"/>
    <s v="Ruido excesivo en máquina."/>
    <s v="Se revisó, se limpio y lubricó partes moviles."/>
    <x v="0"/>
    <x v="0"/>
    <s v=""/>
    <s v=""/>
    <s v=""/>
    <x v="3"/>
    <x v="0"/>
    <x v="13"/>
  </r>
  <r>
    <x v="58"/>
    <s v="Cesar Quiroz"/>
    <s v="TARDE"/>
    <d v="1899-12-30T12:47:00"/>
    <d v="1899-12-30T13:01:00"/>
    <d v="1899-12-30T00:14:00"/>
    <x v="31"/>
    <s v="Equipos auxiliares"/>
    <s v="Inspección"/>
    <x v="0"/>
    <x v="0"/>
    <s v="Revisión de funcionamiento y parámetros de trabajo"/>
    <s v=""/>
    <x v="0"/>
    <x v="0"/>
    <s v=""/>
    <s v=""/>
    <s v=""/>
    <x v="0"/>
    <x v="0"/>
    <x v="13"/>
  </r>
  <r>
    <x v="58"/>
    <s v="Cesar Quiroz"/>
    <s v="TARDE"/>
    <d v="1899-12-30T13:05:00"/>
    <d v="1899-12-30T13:23:00"/>
    <d v="1899-12-30T00:18:00"/>
    <x v="87"/>
    <s v="Maquinaria"/>
    <s v="SET UP"/>
    <x v="0"/>
    <x v="0"/>
    <s v="Apoyo en regulación de posición de olla "/>
    <s v=""/>
    <x v="0"/>
    <x v="0"/>
    <s v=""/>
    <s v=""/>
    <s v=""/>
    <x v="0"/>
    <x v="0"/>
    <x v="13"/>
  </r>
  <r>
    <x v="58"/>
    <s v="Cesar Quiroz"/>
    <s v="TARDE"/>
    <d v="1899-12-30T13:27:00"/>
    <d v="1899-12-30T13:41:00"/>
    <d v="1899-12-30T00:14:00"/>
    <x v="103"/>
    <s v="Maquinaria"/>
    <s v="SET UP"/>
    <x v="1"/>
    <x v="2"/>
    <s v="Sentido de giro inverso al de quebrantadora 1"/>
    <s v="Se realizó modificación de sentido de giro"/>
    <x v="0"/>
    <x v="0"/>
    <s v=""/>
    <s v=""/>
    <s v=""/>
    <x v="0"/>
    <x v="0"/>
    <x v="13"/>
  </r>
  <r>
    <x v="58"/>
    <s v="Cesar Quiroz"/>
    <s v="TARDE"/>
    <d v="1899-12-30T13:55:00"/>
    <d v="1899-12-30T14:15:00"/>
    <d v="1899-12-30T00:20:00"/>
    <x v="15"/>
    <s v="Maquinaria"/>
    <s v="Sustitucion"/>
    <x v="1"/>
    <x v="2"/>
    <s v="Contactor dañado, no manda una fase"/>
    <s v="Se realizó cambio de contactor y prueba de funcionamiento "/>
    <x v="0"/>
    <x v="0"/>
    <s v=""/>
    <s v=""/>
    <s v=""/>
    <x v="85"/>
    <x v="0"/>
    <x v="13"/>
  </r>
  <r>
    <x v="58"/>
    <s v="Cesar Quiroz"/>
    <s v="TARDE"/>
    <d v="1899-12-30T14:24:00"/>
    <d v="1899-12-30T14:47:00"/>
    <d v="1899-12-30T00:23:00"/>
    <x v="15"/>
    <s v="Maquinaria"/>
    <s v="SET UP"/>
    <x v="0"/>
    <x v="0"/>
    <s v="Desarmado de formato agregados en mds"/>
    <s v=""/>
    <x v="0"/>
    <x v="1"/>
    <s v="Mds"/>
    <s v=""/>
    <s v=""/>
    <x v="2"/>
    <x v="1"/>
    <x v="13"/>
  </r>
  <r>
    <x v="58"/>
    <s v="Cesar Quiroz"/>
    <s v="TARDE"/>
    <d v="1899-12-30T14:48:00"/>
    <d v="1899-12-30T15:04:00"/>
    <d v="1899-12-30T00:16:00"/>
    <x v="15"/>
    <s v="Maquinaria"/>
    <s v="SET UP"/>
    <x v="0"/>
    <x v="0"/>
    <s v="Armado de formato cremas en mds "/>
    <s v=""/>
    <x v="0"/>
    <x v="1"/>
    <s v="Mds"/>
    <s v=""/>
    <s v=""/>
    <x v="2"/>
    <x v="1"/>
    <x v="13"/>
  </r>
  <r>
    <x v="58"/>
    <s v="Cesar Quiroz"/>
    <s v="TARDE"/>
    <d v="1899-12-30T15:05:00"/>
    <d v="1899-12-30T15:40:00"/>
    <d v="1899-12-30T00:35:00"/>
    <x v="3"/>
    <s v="Maquinaria"/>
    <s v="SET UP"/>
    <x v="0"/>
    <x v="0"/>
    <s v="Cambio de formato a bite size"/>
    <s v=""/>
    <x v="0"/>
    <x v="0"/>
    <s v=""/>
    <s v=""/>
    <s v=""/>
    <x v="2"/>
    <x v="0"/>
    <x v="13"/>
  </r>
  <r>
    <x v="58"/>
    <s v="Cesar Quiroz"/>
    <s v="TARDE"/>
    <d v="1899-12-30T15:44:00"/>
    <d v="1899-12-30T16:11:00"/>
    <d v="1899-12-30T00:27:00"/>
    <x v="3"/>
    <s v="Maquinaria"/>
    <s v="Ajuste /Calibracion"/>
    <x v="0"/>
    <x v="3"/>
    <s v="Apoyo en regulación de bandas y guiadores"/>
    <s v=""/>
    <x v="88"/>
    <x v="0"/>
    <s v=""/>
    <s v=""/>
    <s v=""/>
    <x v="0"/>
    <x v="1"/>
    <x v="13"/>
  </r>
  <r>
    <x v="59"/>
    <s v="Carlos Puma"/>
    <s v="NOCHE"/>
    <s v="00:00"/>
    <s v="00:40"/>
    <d v="1899-12-30T00:40:00"/>
    <x v="3"/>
    <s v="Maquinaria"/>
    <s v="Ajuste /Calibracion"/>
    <x v="1"/>
    <x v="1"/>
    <s v="Producto se acumula en fajas ,faseador no da la separación corrcta"/>
    <s v="Se calibro sensores de faseador, se regulo velocidad de fajas "/>
    <x v="0"/>
    <x v="0"/>
    <s v=""/>
    <s v=""/>
    <s v=""/>
    <x v="0"/>
    <x v="0"/>
    <x v="13"/>
  </r>
  <r>
    <x v="59"/>
    <s v="Carlos Puma"/>
    <s v="NOCHE"/>
    <s v="00:50"/>
    <s v="03:00"/>
    <d v="1899-12-30T02:10:00"/>
    <x v="104"/>
    <s v="Sistema"/>
    <s v="Inspección"/>
    <x v="0"/>
    <x v="0"/>
    <s v="Se apoyó a 3ros en Revisión de circuito de tuberías hacos 1 y 2"/>
    <s v=""/>
    <x v="48"/>
    <x v="0"/>
    <s v=""/>
    <s v=""/>
    <s v=""/>
    <x v="0"/>
    <x v="1"/>
    <x v="13"/>
  </r>
  <r>
    <x v="59"/>
    <s v="Carlos Puma"/>
    <s v="NOCHE"/>
    <s v="03:05"/>
    <s v="03:30"/>
    <d v="1899-12-30T00:25:00"/>
    <x v="65"/>
    <s v="Maquinaria"/>
    <s v="Ajuste /Calibracion"/>
    <x v="1"/>
    <x v="1"/>
    <s v="Alarma por nivel alto"/>
    <s v="Se calentó tuberías y se realizó la limpieza de sensor , se limpio pasta acumulada en paradas de embudo"/>
    <x v="0"/>
    <x v="0"/>
    <s v=""/>
    <s v=""/>
    <s v=""/>
    <x v="157"/>
    <x v="0"/>
    <x v="13"/>
  </r>
  <r>
    <x v="59"/>
    <s v="Carlos Puma"/>
    <s v="NOCHE"/>
    <s v="03:35"/>
    <s v="04:30"/>
    <d v="1899-12-30T00:55:00"/>
    <x v="3"/>
    <s v="Maquinaria"/>
    <s v="SET UP"/>
    <x v="0"/>
    <x v="0"/>
    <s v="Cambio de formato de bite size a chocolate a la taza , regulación de velocidadd y altura de fajas para chocolate a la taza"/>
    <s v=""/>
    <x v="44"/>
    <x v="0"/>
    <s v=""/>
    <s v=""/>
    <s v=""/>
    <x v="158"/>
    <x v="1"/>
    <x v="13"/>
  </r>
  <r>
    <x v="59"/>
    <s v="CARLOS TAPIA"/>
    <s v="MAÑANA"/>
    <s v="05:45"/>
    <s v="06:00"/>
    <d v="1899-12-30T00:15:00"/>
    <x v="62"/>
    <s v="Equipos auxiliares"/>
    <s v="Inspección"/>
    <x v="0"/>
    <x v="0"/>
    <s v="Inspección de equipo."/>
    <s v="Se revisó retorno de agua y se revisó temperaturas en tuberías."/>
    <x v="0"/>
    <x v="0"/>
    <s v=""/>
    <s v=""/>
    <s v=""/>
    <x v="0"/>
    <x v="0"/>
    <x v="13"/>
  </r>
  <r>
    <x v="59"/>
    <s v="CARLOS TAPIA"/>
    <s v="MAÑANA"/>
    <s v="07:00"/>
    <s v="11:00"/>
    <d v="1899-12-30T04:00:00"/>
    <x v="62"/>
    <s v="Equipos auxiliares"/>
    <s v="Ajuste /Calibracion"/>
    <x v="1"/>
    <x v="1"/>
    <s v="Tuberías frías en zona de HACOS 1 y 2, no permite bombear chocolate de tanque de almacenamiento hacías las máquinas en el segundo piso."/>
    <s v="Se revisó tuberías, se revisó estación térmica y se acondicionó el ingreso de agua caliente de estación térmica hacia tuberías. Se dió seguimiento y se informó a jefe de mantenimiento."/>
    <x v="0"/>
    <x v="3"/>
    <s v="Tanque"/>
    <s v=""/>
    <s v=""/>
    <x v="0"/>
    <x v="1"/>
    <x v="13"/>
  </r>
  <r>
    <x v="59"/>
    <s v="CARLOS TAPIA"/>
    <s v="MAÑANA"/>
    <s v="11:10"/>
    <s v="11:20"/>
    <d v="1899-12-30T00:10:00"/>
    <x v="81"/>
    <s v="Maquinaria"/>
    <s v="SET UP"/>
    <x v="0"/>
    <x v="0"/>
    <s v="Probar el encendido de bomba reemplazada y verificar el sentido de giro."/>
    <s v="Se revisó el sentido de giro y se encendió el boma de chocolate."/>
    <x v="80"/>
    <x v="0"/>
    <s v=""/>
    <s v=""/>
    <s v=""/>
    <x v="14"/>
    <x v="1"/>
    <x v="13"/>
  </r>
  <r>
    <x v="59"/>
    <s v="Cesar Quiroz"/>
    <s v="TARDE"/>
    <s v="12:37"/>
    <s v="12:53"/>
    <d v="1899-12-30T00:16:00"/>
    <x v="31"/>
    <s v="Equipos auxiliares"/>
    <s v="Inspección"/>
    <x v="0"/>
    <x v="0"/>
    <s v="Revisión de funcionamiento y parámetros de trabajo"/>
    <s v=""/>
    <x v="0"/>
    <x v="0"/>
    <s v=""/>
    <s v=""/>
    <s v=""/>
    <x v="0"/>
    <x v="0"/>
    <x v="13"/>
  </r>
  <r>
    <x v="59"/>
    <s v="JOSÉ HAÑARI"/>
    <s v="TARDE"/>
    <s v="12:40"/>
    <s v="13:00"/>
    <d v="1899-12-30T00:20:00"/>
    <x v="26"/>
    <s v="Maquinaria"/>
    <s v="Inspección"/>
    <x v="0"/>
    <x v="0"/>
    <s v="Inspección de contra elevador de vpack "/>
    <s v=""/>
    <x v="90"/>
    <x v="0"/>
    <s v=""/>
    <s v=""/>
    <s v=""/>
    <x v="0"/>
    <x v="1"/>
    <x v="13"/>
  </r>
  <r>
    <x v="59"/>
    <s v="JOSÉ HAÑARI"/>
    <s v="TARDE"/>
    <s v="13:10"/>
    <s v="13:50"/>
    <d v="1899-12-30T00:40:00"/>
    <x v="9"/>
    <s v="Area"/>
    <s v="Inspección"/>
    <x v="0"/>
    <x v="0"/>
    <s v="Inspección de proveedor de tk elevadores para parámetros de ascensor nuevo "/>
    <s v=""/>
    <x v="90"/>
    <x v="0"/>
    <s v=""/>
    <s v=""/>
    <s v=""/>
    <x v="0"/>
    <x v="1"/>
    <x v="13"/>
  </r>
  <r>
    <x v="59"/>
    <s v="JOSÉ HAÑARI"/>
    <s v="MAÑANA"/>
    <s v="15:00"/>
    <s v="16:30"/>
    <d v="1899-12-30T01:30:00"/>
    <x v="71"/>
    <s v="Maquinaria"/>
    <s v="Ajuste /Calibracion"/>
    <x v="1"/>
    <x v="1"/>
    <s v="Cinta codificadora se rompe "/>
    <s v="Se regula presión y se ajusta plancha "/>
    <x v="0"/>
    <x v="13"/>
    <s v="Codificador"/>
    <s v=""/>
    <s v=""/>
    <x v="24"/>
    <x v="1"/>
    <x v="13"/>
  </r>
  <r>
    <x v="59"/>
    <s v="JOSÉ HAÑARI"/>
    <s v="MAÑANA"/>
    <s v="16:40"/>
    <s v="17:10"/>
    <d v="1899-12-30T00:30:00"/>
    <x v="15"/>
    <s v="Maquinaria"/>
    <s v="SET UP"/>
    <x v="0"/>
    <x v="0"/>
    <s v="Se arma formato MDS para cremas ovaladas "/>
    <s v=""/>
    <x v="0"/>
    <x v="1"/>
    <s v="Mds"/>
    <s v=""/>
    <s v=""/>
    <x v="2"/>
    <x v="1"/>
    <x v="13"/>
  </r>
  <r>
    <x v="59"/>
    <s v="JOSÉ HAÑARI"/>
    <s v="TARDE"/>
    <s v="17:30"/>
    <s v="18:00"/>
    <d v="1899-12-30T00:30:00"/>
    <x v="18"/>
    <s v="Maquinaria"/>
    <s v="Reparacion"/>
    <x v="1"/>
    <x v="1"/>
    <s v="Fuga de producto "/>
    <s v="Se fabrica un empaque provicional "/>
    <x v="0"/>
    <x v="0"/>
    <s v=""/>
    <s v=""/>
    <s v=""/>
    <x v="18"/>
    <x v="0"/>
    <x v="13"/>
  </r>
  <r>
    <x v="59"/>
    <s v="JOSÉ HAÑARI"/>
    <s v="TARDE"/>
    <s v="20:10"/>
    <s v="20:40"/>
    <d v="1899-12-30T00:30:00"/>
    <x v="17"/>
    <s v="Maquinaria"/>
    <s v="SET UP"/>
    <x v="0"/>
    <x v="0"/>
    <s v="Se desarma para limpieza "/>
    <s v=""/>
    <x v="0"/>
    <x v="0"/>
    <s v=""/>
    <s v=""/>
    <s v=""/>
    <x v="0"/>
    <x v="0"/>
    <x v="13"/>
  </r>
  <r>
    <x v="59"/>
    <s v="Omar Nina"/>
    <s v="MAÑANA"/>
    <s v="05:50"/>
    <s v="06:04"/>
    <d v="1899-12-30T00:14:00"/>
    <x v="15"/>
    <s v="Maquinaria"/>
    <s v="SET UP"/>
    <x v="0"/>
    <x v="0"/>
    <s v="Retiró de husillo, plancha y pistones para limpieza."/>
    <s v=""/>
    <x v="93"/>
    <x v="0"/>
    <s v=""/>
    <s v=""/>
    <s v=""/>
    <x v="14"/>
    <x v="1"/>
    <x v="13"/>
  </r>
  <r>
    <x v="59"/>
    <s v="Omar Nina"/>
    <s v="MAÑANA"/>
    <s v="06:06"/>
    <s v="06:28"/>
    <d v="1899-12-30T00:22:00"/>
    <x v="3"/>
    <s v="Maquinaria"/>
    <s v="Ajuste /Calibracion"/>
    <x v="1"/>
    <x v="1"/>
    <s v="Mordaza no corta laminado de chocolate a la taza. Tabletas se acumulan en fajas de alimentación."/>
    <s v="Se regula presión de mordaza y temperatura. Se configura velocidades de fajas de alimentación y se alinea."/>
    <x v="0"/>
    <x v="0"/>
    <s v=""/>
    <s v=""/>
    <s v=""/>
    <x v="159"/>
    <x v="0"/>
    <x v="13"/>
  </r>
  <r>
    <x v="59"/>
    <s v="Omar Nina"/>
    <s v="MAÑANA"/>
    <s v="06:30"/>
    <s v="06:58"/>
    <d v="1899-12-30T00:28:00"/>
    <x v="15"/>
    <s v="Maquinaria"/>
    <s v="SET UP"/>
    <x v="0"/>
    <x v="0"/>
    <s v="Colocación de husillo, plancha y pistones "/>
    <s v=""/>
    <x v="93"/>
    <x v="0"/>
    <s v=""/>
    <s v=""/>
    <s v=""/>
    <x v="0"/>
    <x v="1"/>
    <x v="13"/>
  </r>
  <r>
    <x v="59"/>
    <s v="Omar Nina"/>
    <s v="MAÑANA"/>
    <s v="07:00"/>
    <s v="07:30"/>
    <d v="1899-12-30T00:30:00"/>
    <x v="41"/>
    <s v="Maquinaria"/>
    <s v="SET UP"/>
    <x v="0"/>
    <x v="0"/>
    <s v="Creaciones de receta para chocolate a la taza"/>
    <s v=""/>
    <x v="8"/>
    <x v="0"/>
    <s v=""/>
    <s v=""/>
    <s v=""/>
    <x v="0"/>
    <x v="1"/>
    <x v="13"/>
  </r>
  <r>
    <x v="59"/>
    <s v="Omar Nina"/>
    <s v="MAÑANA"/>
    <s v="07:35"/>
    <s v="08:15"/>
    <d v="1899-12-30T00:40:00"/>
    <x v="17"/>
    <s v="Maquinaria"/>
    <s v="SET UP"/>
    <x v="0"/>
    <x v="0"/>
    <s v="Armado de equipo "/>
    <s v=""/>
    <x v="0"/>
    <x v="0"/>
    <s v=""/>
    <s v=""/>
    <s v=""/>
    <x v="0"/>
    <x v="0"/>
    <x v="13"/>
  </r>
  <r>
    <x v="59"/>
    <s v="Omar Nina"/>
    <s v="MAÑANA"/>
    <s v="08:25"/>
    <s v="09:10"/>
    <d v="1899-12-30T00:45:00"/>
    <x v="5"/>
    <s v="Maquinaria"/>
    <s v="SET UP"/>
    <x v="0"/>
    <x v="0"/>
    <s v="Armado de equipo "/>
    <s v="Colocación de fajas, guardas y piezas de formato "/>
    <x v="0"/>
    <x v="0"/>
    <s v=""/>
    <s v=""/>
    <s v=""/>
    <x v="0"/>
    <x v="0"/>
    <x v="13"/>
  </r>
  <r>
    <x v="59"/>
    <s v="Omar Nina"/>
    <s v="MAÑANA"/>
    <s v="09:18"/>
    <s v="09:50"/>
    <d v="1899-12-30T00:32:00"/>
    <x v="26"/>
    <s v="Maquinaria"/>
    <s v="Reparacion"/>
    <x v="1"/>
    <x v="2"/>
    <s v="Contraelevador doblado, pinza choca con media luna"/>
    <s v="Se enderza contraelevador y se lima pinza. "/>
    <x v="0"/>
    <x v="15"/>
    <s v="Contraelevador"/>
    <s v=""/>
    <s v=""/>
    <x v="160"/>
    <x v="1"/>
    <x v="13"/>
  </r>
  <r>
    <x v="59"/>
    <s v="Omar Nina"/>
    <s v="MAÑANA"/>
    <s v="10:00"/>
    <s v="10:15"/>
    <d v="1899-12-30T00:15:00"/>
    <x v="15"/>
    <s v="Maquinaria"/>
    <s v="Inspección"/>
    <x v="0"/>
    <x v="0"/>
    <s v="Verificación de temperadora "/>
    <s v=""/>
    <x v="0"/>
    <x v="11"/>
    <s v="Temperadora"/>
    <s v=""/>
    <s v=""/>
    <x v="0"/>
    <x v="1"/>
    <x v="13"/>
  </r>
  <r>
    <x v="59"/>
    <s v="Omar Nina"/>
    <s v="MAÑANA"/>
    <s v="11:15"/>
    <s v="11:35"/>
    <d v="1899-12-30T00:20:00"/>
    <x v="70"/>
    <s v="Maquinaria"/>
    <s v="Limpieza"/>
    <x v="0"/>
    <x v="0"/>
    <s v="Se realiza limpieza de polines en faja de elevación de cacao petroncini"/>
    <s v=""/>
    <x v="54"/>
    <x v="0"/>
    <s v=""/>
    <s v=""/>
    <s v=""/>
    <x v="0"/>
    <x v="1"/>
    <x v="13"/>
  </r>
  <r>
    <x v="59"/>
    <s v="Omar Nina"/>
    <s v="MAÑANA"/>
    <s v="12:15"/>
    <s v="13:00"/>
    <d v="1899-12-30T00:45:00"/>
    <x v="15"/>
    <s v="Maquinaria"/>
    <s v="Ajuste /Calibracion"/>
    <x v="1"/>
    <x v="1"/>
    <s v="Robot deja bombones rotos al desmoldar"/>
    <s v="Se regula flujo de aire en robot y ángulo de giro"/>
    <x v="0"/>
    <x v="9"/>
    <s v="Robot"/>
    <s v=""/>
    <s v=""/>
    <x v="161"/>
    <x v="1"/>
    <x v="13"/>
  </r>
  <r>
    <x v="60"/>
    <s v="Carlos Puma"/>
    <s v="TARDE"/>
    <s v="13:15"/>
    <s v="13:30"/>
    <d v="1899-12-30T00:15:00"/>
    <x v="95"/>
    <s v="Maquinaria"/>
    <s v="Inspección"/>
    <x v="0"/>
    <x v="0"/>
    <s v="Inspección de equipo "/>
    <s v="Se apoyó en la revision rejillas "/>
    <x v="0"/>
    <x v="0"/>
    <s v=""/>
    <s v=""/>
    <s v=""/>
    <x v="0"/>
    <x v="0"/>
    <x v="14"/>
  </r>
  <r>
    <x v="60"/>
    <s v="Carlos Puma"/>
    <s v="TARDE"/>
    <s v="13:35"/>
    <s v="14:05"/>
    <d v="1899-12-30T00:30:00"/>
    <x v="19"/>
    <s v="Maquinaria"/>
    <s v="SET UP"/>
    <x v="0"/>
    <x v="0"/>
    <s v="Armado de equipo "/>
    <s v=""/>
    <x v="0"/>
    <x v="0"/>
    <s v=""/>
    <s v=""/>
    <s v=""/>
    <x v="0"/>
    <x v="0"/>
    <x v="14"/>
  </r>
  <r>
    <x v="60"/>
    <s v="Carlos Puma"/>
    <s v="TARDE"/>
    <s v="14:20"/>
    <s v="14:50"/>
    <d v="1899-12-30T00:30:00"/>
    <x v="7"/>
    <s v="Maquinaria"/>
    <s v="Inspección"/>
    <x v="0"/>
    <x v="0"/>
    <s v="Inspección de equipos en uso"/>
    <s v=""/>
    <x v="0"/>
    <x v="0"/>
    <s v=""/>
    <s v=""/>
    <s v=""/>
    <x v="0"/>
    <x v="0"/>
    <x v="14"/>
  </r>
  <r>
    <x v="60"/>
    <s v="Carlos Puma"/>
    <s v="TARDE"/>
    <s v="16:10"/>
    <s v="16:30"/>
    <d v="1899-12-30T00:20:00"/>
    <x v="70"/>
    <s v="Maquinaria"/>
    <s v="Inspección"/>
    <x v="0"/>
    <x v="0"/>
    <s v="Inspección de equipo "/>
    <s v="Se recibe capacitación de uso de equipo "/>
    <x v="0"/>
    <x v="0"/>
    <s v=""/>
    <s v=""/>
    <s v=""/>
    <x v="0"/>
    <x v="0"/>
    <x v="14"/>
  </r>
  <r>
    <x v="60"/>
    <s v="Carlos Puma"/>
    <s v="TARDE"/>
    <s v="16:35"/>
    <s v="17:30"/>
    <d v="1899-12-30T00:55:00"/>
    <x v="28"/>
    <s v="Maquinaria"/>
    <s v="SET UP"/>
    <x v="0"/>
    <x v="0"/>
    <s v="Cambio de formato de milky a pisco x 18"/>
    <s v="Se cambió piezas y se calibro"/>
    <x v="0"/>
    <x v="0"/>
    <s v=""/>
    <s v=""/>
    <s v=""/>
    <x v="2"/>
    <x v="0"/>
    <x v="14"/>
  </r>
  <r>
    <x v="60"/>
    <s v="Carlos Puma"/>
    <s v="TARDE"/>
    <s v="17:40"/>
    <s v="18:15"/>
    <d v="1899-12-30T00:35:00"/>
    <x v="15"/>
    <s v="Maquinaria"/>
    <s v="SET UP"/>
    <x v="0"/>
    <x v="0"/>
    <s v="Armado de Mds para formato de agregados x50"/>
    <s v=""/>
    <x v="0"/>
    <x v="1"/>
    <s v="Mds"/>
    <s v=""/>
    <s v=""/>
    <x v="2"/>
    <x v="1"/>
    <x v="14"/>
  </r>
  <r>
    <x v="60"/>
    <s v="Carlos Puma"/>
    <s v="TARDE"/>
    <s v="18:30"/>
    <s v="18:45"/>
    <d v="1899-12-30T00:15:00"/>
    <x v="15"/>
    <s v="Maquinaria"/>
    <s v="Inspección"/>
    <x v="0"/>
    <x v="0"/>
    <s v="Revision de válvula neumática deslizante"/>
    <s v="Se reporta para la compra válvulas neumática deslizante de 1/8"/>
    <x v="0"/>
    <x v="0"/>
    <s v=""/>
    <s v=""/>
    <s v=""/>
    <x v="0"/>
    <x v="0"/>
    <x v="14"/>
  </r>
  <r>
    <x v="60"/>
    <s v="Carlos Puma"/>
    <s v="TARDE"/>
    <s v="19:20"/>
    <s v="20:20"/>
    <d v="1899-12-30T01:00:00"/>
    <x v="15"/>
    <s v="Maquinaria"/>
    <s v="Inspección"/>
    <x v="1"/>
    <x v="1"/>
    <s v="Temperaturas no llegan a su setpoint"/>
    <s v="Se reviso y llenó agua en tanques , se verifico que válvulas checks funcionen correctamente , tempero completamente a las 8pm , se da seguimiento "/>
    <x v="0"/>
    <x v="0"/>
    <s v=""/>
    <s v=""/>
    <s v=""/>
    <x v="0"/>
    <x v="0"/>
    <x v="14"/>
  </r>
  <r>
    <x v="60"/>
    <s v="CARLOS TAPIA"/>
    <s v="MAÑANA"/>
    <s v="05:30"/>
    <s v="06:30"/>
    <d v="1899-12-30T01:00:00"/>
    <x v="21"/>
    <s v="Area"/>
    <s v="Encendido / Arranque de linea"/>
    <x v="0"/>
    <x v="0"/>
    <s v="Arranque de planta "/>
    <s v="Se encendió equipos y líneas de vapor agua y aire "/>
    <x v="0"/>
    <x v="0"/>
    <s v=""/>
    <s v=""/>
    <s v=""/>
    <x v="0"/>
    <x v="0"/>
    <x v="14"/>
  </r>
  <r>
    <x v="60"/>
    <s v="CARLOS TAPIA"/>
    <s v="MAÑANA"/>
    <s v="06:30"/>
    <s v="07:00"/>
    <d v="1899-12-30T00:30:00"/>
    <x v="19"/>
    <s v="Maquinaria"/>
    <s v="SET UP"/>
    <x v="0"/>
    <x v="0"/>
    <s v="Desarmar máquina para su limpieza "/>
    <s v="Se retiró piezas para su limpieza "/>
    <x v="0"/>
    <x v="0"/>
    <s v=""/>
    <s v=""/>
    <s v=""/>
    <x v="0"/>
    <x v="0"/>
    <x v="14"/>
  </r>
  <r>
    <x v="60"/>
    <s v="CARLOS TAPIA"/>
    <s v="MAÑANA"/>
    <s v="07:30"/>
    <s v="08:00"/>
    <d v="1899-12-30T00:30:00"/>
    <x v="50"/>
    <s v="Maquinaria"/>
    <s v="SET UP"/>
    <x v="0"/>
    <x v="0"/>
    <s v="Desarmar máquina para su limpieza "/>
    <s v="Se retiró polines guardas y cuchilla para su limpieza "/>
    <x v="0"/>
    <x v="0"/>
    <s v=""/>
    <s v=""/>
    <s v=""/>
    <x v="0"/>
    <x v="0"/>
    <x v="14"/>
  </r>
  <r>
    <x v="60"/>
    <s v="CARLOS TAPIA"/>
    <s v="MAÑANA"/>
    <s v="08:10"/>
    <s v="08:30"/>
    <d v="1899-12-30T00:20:00"/>
    <x v="76"/>
    <s v="Maquinaria"/>
    <s v="SET UP"/>
    <x v="0"/>
    <x v="0"/>
    <s v="Armado de máquina "/>
    <s v="Se colocó piezas en posición "/>
    <x v="0"/>
    <x v="0"/>
    <s v=""/>
    <s v=""/>
    <s v=""/>
    <x v="0"/>
    <x v="0"/>
    <x v="14"/>
  </r>
  <r>
    <x v="60"/>
    <s v="CARLOS TAPIA"/>
    <s v="MAÑANA"/>
    <s v="09:00"/>
    <s v="09:30"/>
    <d v="1899-12-30T00:30:00"/>
    <x v="26"/>
    <s v="Maquinaria"/>
    <s v="SET UP"/>
    <x v="0"/>
    <x v="0"/>
    <s v="Desarmar máquina para su limpieza "/>
    <s v="Se retiró piezas para su limpieza "/>
    <x v="0"/>
    <x v="0"/>
    <s v=""/>
    <s v=""/>
    <s v=""/>
    <x v="0"/>
    <x v="0"/>
    <x v="14"/>
  </r>
  <r>
    <x v="60"/>
    <s v="CARLOS TAPIA"/>
    <s v="MAÑANA"/>
    <s v="09:45"/>
    <s v="10:20"/>
    <d v="1899-12-30T00:35:00"/>
    <x v="52"/>
    <s v="Area"/>
    <s v="Reparacion"/>
    <x v="1"/>
    <x v="2"/>
    <s v="Piezas desoldada/rota de la compuerta en concha ELK BUHLER."/>
    <s v="Se retiró pieza para su reparación con soldadura."/>
    <x v="0"/>
    <x v="0"/>
    <s v=""/>
    <s v=""/>
    <s v=""/>
    <x v="24"/>
    <x v="0"/>
    <x v="14"/>
  </r>
  <r>
    <x v="60"/>
    <s v="CARLOS TAPIA"/>
    <s v="MAÑANA"/>
    <s v="10:30"/>
    <s v="11:50"/>
    <d v="1899-12-30T01:20:00"/>
    <x v="17"/>
    <s v="Maquinaria"/>
    <s v="SET UP"/>
    <x v="0"/>
    <x v="0"/>
    <s v="Armado de máquina y habilitar máquina "/>
    <s v="Se colocó piezas en posición se colocó bombas y se encendió máquina "/>
    <x v="0"/>
    <x v="0"/>
    <s v=""/>
    <s v=""/>
    <s v=""/>
    <x v="0"/>
    <x v="0"/>
    <x v="14"/>
  </r>
  <r>
    <x v="60"/>
    <s v="Cesar Quiroz"/>
    <s v="MAÑANA"/>
    <s v="07:06"/>
    <s v="07:21"/>
    <d v="1899-12-30T00:15:00"/>
    <x v="5"/>
    <s v="Maquinaria"/>
    <s v="SET UP"/>
    <x v="0"/>
    <x v="0"/>
    <s v="Armado de equipo"/>
    <s v=""/>
    <x v="0"/>
    <x v="0"/>
    <s v=""/>
    <s v=""/>
    <s v=""/>
    <x v="0"/>
    <x v="0"/>
    <x v="14"/>
  </r>
  <r>
    <x v="60"/>
    <s v="Cesar Quiroz"/>
    <s v="MAÑANA"/>
    <s v="07:24"/>
    <s v="07:59"/>
    <d v="1899-12-30T00:35:00"/>
    <x v="15"/>
    <s v="Maquinaria"/>
    <s v="SET UP"/>
    <x v="1"/>
    <x v="2"/>
    <s v="Equipo se apagó y no enciende"/>
    <s v="Se reviso tablero y se detecto corto en ventiladores, se reviso uno por uno y se corrigió conexión de ventilador, se habilitó llaves y se encendió equipo"/>
    <x v="0"/>
    <x v="0"/>
    <s v=""/>
    <s v=""/>
    <s v=""/>
    <x v="58"/>
    <x v="0"/>
    <x v="14"/>
  </r>
  <r>
    <x v="60"/>
    <s v="Cesar Quiroz"/>
    <s v="MAÑANA"/>
    <s v="08:04"/>
    <s v="08:20"/>
    <d v="1899-12-30T00:16:00"/>
    <x v="15"/>
    <s v="Maquinaria"/>
    <s v="SET UP"/>
    <x v="1"/>
    <x v="2"/>
    <s v="Máquina no inicia, indica puerta o parada accionada"/>
    <s v="Se reviso puertas y paradas, se encontró módulo de comunicación con falla, se reporto a supervisor para la atención por terceros"/>
    <x v="0"/>
    <x v="0"/>
    <s v=""/>
    <s v=""/>
    <s v=""/>
    <x v="21"/>
    <x v="0"/>
    <x v="14"/>
  </r>
  <r>
    <x v="60"/>
    <s v="Cesar Quiroz"/>
    <s v="MAÑANA"/>
    <s v="08:20"/>
    <s v="08:42"/>
    <d v="1899-12-30T00:22:00"/>
    <x v="5"/>
    <s v="Maquinaria"/>
    <s v="SET UP"/>
    <x v="0"/>
    <x v="0"/>
    <s v="Colocación de bandas y habilitación de equipo"/>
    <s v=""/>
    <x v="9"/>
    <x v="0"/>
    <s v=""/>
    <s v=""/>
    <s v=""/>
    <x v="0"/>
    <x v="1"/>
    <x v="14"/>
  </r>
  <r>
    <x v="60"/>
    <s v="Cesar Quiroz"/>
    <s v="MAÑANA"/>
    <s v="08:51"/>
    <s v="09:22"/>
    <d v="1899-12-30T00:31:00"/>
    <x v="28"/>
    <s v="Maquinaria"/>
    <s v="SET UP"/>
    <x v="0"/>
    <x v="0"/>
    <s v="Avance de cambio de piezas para cambio de formato a milky x10"/>
    <s v=""/>
    <x v="0"/>
    <x v="0"/>
    <s v=""/>
    <s v=""/>
    <s v=""/>
    <x v="2"/>
    <x v="0"/>
    <x v="14"/>
  </r>
  <r>
    <x v="60"/>
    <s v="Cesar Quiroz"/>
    <s v="MAÑANA"/>
    <s v="09:35"/>
    <s v="10:04"/>
    <d v="1899-12-30T00:29:00"/>
    <x v="50"/>
    <s v="Maquinaria"/>
    <s v="SET UP"/>
    <x v="0"/>
    <x v="0"/>
    <s v="Colocación de filtro, armado de equipo, colocación de polines "/>
    <s v=""/>
    <x v="79"/>
    <x v="0"/>
    <s v=""/>
    <s v=""/>
    <s v=""/>
    <x v="162"/>
    <x v="1"/>
    <x v="14"/>
  </r>
  <r>
    <x v="60"/>
    <s v="Cesar Quiroz"/>
    <s v="MAÑANA"/>
    <s v="11:36"/>
    <s v="12:01"/>
    <d v="1899-12-30T00:25:00"/>
    <x v="15"/>
    <s v="Maquinaria"/>
    <s v="Seguimiento / Pruebas"/>
    <x v="0"/>
    <x v="0"/>
    <s v="Prueba de funcionamiento de equipo junto con operadores"/>
    <s v=""/>
    <x v="0"/>
    <x v="0"/>
    <s v=""/>
    <s v=""/>
    <s v=""/>
    <x v="32"/>
    <x v="0"/>
    <x v="14"/>
  </r>
  <r>
    <x v="60"/>
    <s v="Cesar Quiroz"/>
    <s v="MAÑANA"/>
    <s v="12:08"/>
    <s v="12:23"/>
    <d v="1899-12-30T00:15:00"/>
    <x v="55"/>
    <s v="Maquinaria"/>
    <s v="Lubricación"/>
    <x v="0"/>
    <x v="0"/>
    <s v="Lubricacion de cadena y ajuste de tension"/>
    <s v=""/>
    <x v="14"/>
    <x v="0"/>
    <s v=""/>
    <s v=""/>
    <s v=""/>
    <x v="163"/>
    <x v="1"/>
    <x v="14"/>
  </r>
  <r>
    <x v="60"/>
    <s v="Cesar Quiroz"/>
    <s v="MAÑANA"/>
    <d v="1899-12-30T12:27:00"/>
    <d v="1899-12-30T12:41:00"/>
    <d v="1899-12-30T00:14:00"/>
    <x v="15"/>
    <s v="Maquinaria"/>
    <s v="Ajuste /Calibracion"/>
    <x v="1"/>
    <x v="1"/>
    <s v="Problemas con actuador A12, muy lento"/>
    <s v="Se reviso funcionamiento, se encontró sensor de posición suelto, se colocó en posición y se ajusto"/>
    <x v="0"/>
    <x v="0"/>
    <s v=""/>
    <s v=""/>
    <s v=""/>
    <x v="164"/>
    <x v="0"/>
    <x v="14"/>
  </r>
  <r>
    <x v="60"/>
    <s v="JOSÉ HAÑARI"/>
    <s v="TARDE"/>
    <d v="1899-12-30T12:40:00"/>
    <d v="1899-12-30T13:30:00"/>
    <d v="1899-12-30T00:50:00"/>
    <x v="26"/>
    <s v="Maquinaria"/>
    <s v="Ajuste /Calibracion"/>
    <x v="1"/>
    <x v="1"/>
    <s v="Pernos sobresalientes;armado de fajas "/>
    <s v="Se realiza cortado y montaje de fajas en empaquetadora vpack "/>
    <x v="0"/>
    <x v="0"/>
    <s v=""/>
    <s v=""/>
    <s v=""/>
    <x v="0"/>
    <x v="0"/>
    <x v="14"/>
  </r>
  <r>
    <x v="60"/>
    <s v="JOSÉ HAÑARI"/>
    <s v="TARDE"/>
    <d v="1899-12-30T14:00:00"/>
    <d v="1899-12-30T14:30:00"/>
    <d v="1899-12-30T00:30:00"/>
    <x v="13"/>
    <s v="Maquinaria"/>
    <s v="Sustitucion"/>
    <x v="1"/>
    <x v="1"/>
    <s v="Accesorio de la emp amp rose hilos rodados "/>
    <s v="Se realiza cambio de perno a unos de inoxidable y se realiza nuevo hilo"/>
    <x v="0"/>
    <x v="0"/>
    <s v=""/>
    <s v=""/>
    <s v=""/>
    <x v="0"/>
    <x v="0"/>
    <x v="14"/>
  </r>
  <r>
    <x v="60"/>
    <s v="JOSÉ HAÑARI"/>
    <s v="TARDE"/>
    <d v="1899-12-30T14:45:00"/>
    <d v="1899-12-30T15:00:00"/>
    <d v="1899-12-30T00:15:00"/>
    <x v="66"/>
    <s v="Maquinaria"/>
    <s v="Ajuste /Calibracion"/>
    <x v="1"/>
    <x v="1"/>
    <s v="Sensor electromagnético no detecta la guarda( rejillas)"/>
    <s v="Se ajusta sensor y se calibrar para q lo detecte "/>
    <x v="0"/>
    <x v="0"/>
    <s v=""/>
    <s v=""/>
    <s v=""/>
    <x v="0"/>
    <x v="0"/>
    <x v="14"/>
  </r>
  <r>
    <x v="60"/>
    <s v="JOSÉ HAÑARI"/>
    <s v="MAÑANA"/>
    <d v="1899-12-30T15:40:00"/>
    <d v="1899-12-30T16:00:00"/>
    <d v="1899-12-30T00:20:00"/>
    <x v="18"/>
    <s v="Maquinaria"/>
    <s v="SET UP"/>
    <x v="0"/>
    <x v="0"/>
    <s v="Se desarma netzsch para su limpieza "/>
    <s v=""/>
    <x v="0"/>
    <x v="0"/>
    <s v=""/>
    <s v=""/>
    <s v=""/>
    <x v="0"/>
    <x v="0"/>
    <x v="14"/>
  </r>
  <r>
    <x v="60"/>
    <s v="JOSÉ HAÑARI"/>
    <s v="MAÑANA"/>
    <d v="1899-12-30T20:47:00"/>
    <d v="1899-12-30T21:50:00"/>
    <d v="1899-12-30T01:03:00"/>
    <x v="18"/>
    <s v="Maquinaria"/>
    <s v="SET UP"/>
    <x v="0"/>
    <x v="0"/>
    <s v="Se desarma netzsch para su limpieza "/>
    <s v=""/>
    <x v="0"/>
    <x v="0"/>
    <s v=""/>
    <s v=""/>
    <s v=""/>
    <x v="0"/>
    <x v="0"/>
    <x v="14"/>
  </r>
  <r>
    <x v="60"/>
    <s v="Omar Nina"/>
    <s v="NOCHE"/>
    <d v="1899-12-30T21:20:00"/>
    <d v="1899-12-30T21:40:00"/>
    <d v="1899-12-30T00:20:00"/>
    <x v="45"/>
    <s v="Equipos auxiliares"/>
    <s v="Inspección"/>
    <x v="0"/>
    <x v="0"/>
    <s v="Inspección de funcionamiento de equipo."/>
    <s v=""/>
    <x v="0"/>
    <x v="0"/>
    <s v=""/>
    <s v=""/>
    <s v=""/>
    <x v="0"/>
    <x v="0"/>
    <x v="14"/>
  </r>
  <r>
    <x v="60"/>
    <s v="Omar Nina"/>
    <s v="NOCHE"/>
    <d v="1899-12-30T21:58:00"/>
    <d v="1899-12-30T22:25:00"/>
    <d v="1899-12-30T00:27:00"/>
    <x v="44"/>
    <s v="Maquinaria"/>
    <s v="Inspección"/>
    <x v="0"/>
    <x v="0"/>
    <s v="Inspección de funcionamiento. Verificación de fajas de transporte de cacao"/>
    <s v=""/>
    <x v="9"/>
    <x v="0"/>
    <s v=""/>
    <s v=""/>
    <s v=""/>
    <x v="0"/>
    <x v="1"/>
    <x v="14"/>
  </r>
  <r>
    <x v="60"/>
    <s v="Omar Nina"/>
    <s v="NOCHE"/>
    <d v="1899-12-30T22:30:00"/>
    <d v="1899-12-30T22:45:00"/>
    <d v="1899-12-30T00:15:00"/>
    <x v="67"/>
    <s v="Maquinaria"/>
    <s v="Ajuste /Calibracion"/>
    <x v="1"/>
    <x v="1"/>
    <s v="Muerde producto "/>
    <s v="Calibración de sensores de producto. Queda operativo "/>
    <x v="0"/>
    <x v="0"/>
    <s v=""/>
    <s v=""/>
    <s v=""/>
    <x v="0"/>
    <x v="0"/>
    <x v="14"/>
  </r>
  <r>
    <x v="60"/>
    <s v="Omar Nina"/>
    <s v="NOCHE"/>
    <d v="1899-12-30T22:55:00"/>
    <d v="1899-12-30T23:15:00"/>
    <d v="1899-12-30T00:20:00"/>
    <x v="30"/>
    <s v="Maquinaria"/>
    <s v="Inspección"/>
    <x v="0"/>
    <x v="0"/>
    <s v="Verificación de correcto funcionamiento de equipo "/>
    <s v=""/>
    <x v="0"/>
    <x v="0"/>
    <s v=""/>
    <s v=""/>
    <s v=""/>
    <x v="0"/>
    <x v="0"/>
    <x v="14"/>
  </r>
  <r>
    <x v="60"/>
    <s v="Omar Nina"/>
    <s v="NOCHE"/>
    <d v="1899-12-30T23:20:00"/>
    <d v="1899-12-30T23:50:00"/>
    <d v="1899-12-30T00:30:00"/>
    <x v="15"/>
    <s v="Maquinaria"/>
    <s v="Inspección"/>
    <x v="0"/>
    <x v="0"/>
    <s v="Inspección de temperadora."/>
    <s v=""/>
    <x v="0"/>
    <x v="11"/>
    <s v="Temperadora"/>
    <s v=""/>
    <s v=""/>
    <x v="0"/>
    <x v="1"/>
    <x v="14"/>
  </r>
  <r>
    <x v="60"/>
    <s v="Omar Nina"/>
    <s v="NOCHE"/>
    <d v="1899-12-30T00:10:00"/>
    <d v="1899-12-30T00:35:00"/>
    <d v="1899-12-30T00:25:00"/>
    <x v="5"/>
    <s v="Maquinaria"/>
    <s v="Inspección"/>
    <x v="0"/>
    <x v="0"/>
    <s v="Verificación de equipo. "/>
    <s v=""/>
    <x v="0"/>
    <x v="0"/>
    <s v=""/>
    <s v=""/>
    <s v=""/>
    <x v="0"/>
    <x v="0"/>
    <x v="14"/>
  </r>
  <r>
    <x v="60"/>
    <s v="Omar Nina"/>
    <s v="NOCHE"/>
    <d v="1899-12-30T00:50:00"/>
    <d v="1899-12-30T01:21:00"/>
    <d v="1899-12-30T00:31:00"/>
    <x v="23"/>
    <s v="Area"/>
    <s v="Ajuste /Calibracion"/>
    <x v="1"/>
    <x v="1"/>
    <s v="Manguera de de agua caliente se soltó, lavatorio de 1er piso."/>
    <s v="Conexión y ajuste de manguera."/>
    <x v="0"/>
    <x v="0"/>
    <s v=""/>
    <s v=""/>
    <s v=""/>
    <x v="96"/>
    <x v="0"/>
    <x v="14"/>
  </r>
  <r>
    <x v="60"/>
    <s v="Omar Nina"/>
    <s v="NOCHE"/>
    <d v="1899-12-30T01:30:00"/>
    <d v="1899-12-30T01:50:00"/>
    <d v="1899-12-30T00:20:00"/>
    <x v="90"/>
    <s v="Maquinaria"/>
    <s v="Inspección"/>
    <x v="0"/>
    <x v="0"/>
    <s v="Inspección funcionamiento de equipo "/>
    <s v=""/>
    <x v="0"/>
    <x v="0"/>
    <s v=""/>
    <s v=""/>
    <s v=""/>
    <x v="0"/>
    <x v="0"/>
    <x v="14"/>
  </r>
  <r>
    <x v="60"/>
    <s v="Omar Nina"/>
    <s v="NOCHE"/>
    <d v="1899-12-30T02:10:00"/>
    <d v="1899-12-30T02:22:00"/>
    <d v="1899-12-30T00:12:00"/>
    <x v="63"/>
    <s v="Maquinaria"/>
    <s v="SET UP"/>
    <x v="0"/>
    <x v="0"/>
    <s v="Colocación de polines"/>
    <s v=""/>
    <x v="3"/>
    <x v="0"/>
    <s v=""/>
    <s v=""/>
    <s v=""/>
    <x v="0"/>
    <x v="1"/>
    <x v="14"/>
  </r>
  <r>
    <x v="60"/>
    <s v="Omar Nina"/>
    <s v="NOCHE"/>
    <d v="1899-12-30T03:18:00"/>
    <d v="1899-12-30T03:34:00"/>
    <d v="1899-12-30T00:16:00"/>
    <x v="13"/>
    <s v="Maquinaria"/>
    <s v="SET UP"/>
    <x v="0"/>
    <x v="0"/>
    <s v="Colocación de cuchilla de corte te laminado. "/>
    <s v=""/>
    <x v="94"/>
    <x v="0"/>
    <s v=""/>
    <s v=""/>
    <s v=""/>
    <x v="50"/>
    <x v="1"/>
    <x v="14"/>
  </r>
  <r>
    <x v="60"/>
    <s v="Omar Nina"/>
    <s v="NOCHE"/>
    <d v="1899-12-30T03:50:00"/>
    <d v="1899-12-30T04:10:00"/>
    <d v="1899-12-30T00:20:00"/>
    <x v="67"/>
    <s v="Maquinaria"/>
    <s v="SET UP"/>
    <x v="0"/>
    <x v="0"/>
    <s v="Cuchilla realiza corte al instante de detecta producto, muerda las cajas."/>
    <s v="Se enseña a operadora configuración de parámetros de corte en la pantalla táctil."/>
    <x v="95"/>
    <x v="0"/>
    <s v=""/>
    <s v=""/>
    <s v=""/>
    <x v="0"/>
    <x v="1"/>
    <x v="14"/>
  </r>
  <r>
    <x v="60"/>
    <s v="Omar Nina"/>
    <s v="NOCHE"/>
    <d v="1899-12-30T04:20:00"/>
    <d v="1899-12-30T04:45:00"/>
    <d v="1899-12-30T00:25:00"/>
    <x v="41"/>
    <s v="Maquinaria"/>
    <s v="Inspección"/>
    <x v="0"/>
    <x v="0"/>
    <s v="Inspección de parámetros de trabajo "/>
    <s v=""/>
    <x v="0"/>
    <x v="0"/>
    <s v=""/>
    <s v=""/>
    <s v=""/>
    <x v="0"/>
    <x v="0"/>
    <x v="14"/>
  </r>
  <r>
    <x v="61"/>
    <s v="Carlos Puma"/>
    <s v="TARDE"/>
    <s v="11:10"/>
    <s v="14:30"/>
    <d v="1899-12-30T03:20:00"/>
    <x v="45"/>
    <s v="Equipos auxiliares"/>
    <s v="Capacitacion"/>
    <x v="0"/>
    <x v="0"/>
    <s v="Capacitación de calderas "/>
    <s v=""/>
    <x v="0"/>
    <x v="0"/>
    <s v=""/>
    <s v=""/>
    <s v=""/>
    <x v="0"/>
    <x v="0"/>
    <x v="14"/>
  </r>
  <r>
    <x v="61"/>
    <s v="Carlos Puma"/>
    <s v="TARDE"/>
    <s v="14:45"/>
    <s v="15:15"/>
    <d v="1899-12-30T00:30:00"/>
    <x v="27"/>
    <s v="Maquinaria"/>
    <s v="SET UP"/>
    <x v="0"/>
    <x v="0"/>
    <s v="Habilitación de sistema de dosificación de goma"/>
    <s v=""/>
    <x v="12"/>
    <x v="8"/>
    <s v="Dosificador"/>
    <s v=""/>
    <s v=""/>
    <x v="0"/>
    <x v="1"/>
    <x v="14"/>
  </r>
  <r>
    <x v="61"/>
    <s v="Carlos Puma"/>
    <s v="TARDE"/>
    <s v="15:20"/>
    <s v="16:00"/>
    <d v="1899-12-30T00:40:00"/>
    <x v="15"/>
    <s v="Maquinaria"/>
    <s v="SET UP"/>
    <x v="0"/>
    <x v="0"/>
    <s v="Cambio de formato Mds , se desarmo a formato de agregados x100 y se armó formato de cremas ovaladas"/>
    <s v=""/>
    <x v="0"/>
    <x v="1"/>
    <s v="Mds"/>
    <s v=""/>
    <s v=""/>
    <x v="2"/>
    <x v="1"/>
    <x v="14"/>
  </r>
  <r>
    <x v="61"/>
    <s v="Carlos Puma"/>
    <s v="TARDE"/>
    <s v="16:05"/>
    <s v="17:25"/>
    <d v="1899-12-30T01:20:00"/>
    <x v="15"/>
    <s v="Maquinaria"/>
    <s v="Ajuste /Calibracion"/>
    <x v="1"/>
    <x v="1"/>
    <s v="Fallas en temperadora , no baja temperatura de agua fria"/>
    <s v="Se recargo gas refrigerante y se dió seguimiento al sistema de enfriamiento se coloca en modo calentamiento, una vez alcanzado los setpointd de agua fría y caliente se pone a temperatura , se da seguimiento durante todo el proceso "/>
    <x v="0"/>
    <x v="11"/>
    <s v="Temperadora"/>
    <s v=""/>
    <s v=""/>
    <x v="165"/>
    <x v="1"/>
    <x v="14"/>
  </r>
  <r>
    <x v="61"/>
    <s v="Carlos Puma"/>
    <s v="TARDE"/>
    <s v="18:40"/>
    <s v="19:00"/>
    <d v="1899-12-30T00:20:00"/>
    <x v="27"/>
    <s v="Maquinaria"/>
    <s v="SET UP"/>
    <x v="0"/>
    <x v="0"/>
    <s v="Armado de equipo "/>
    <s v=""/>
    <x v="0"/>
    <x v="0"/>
    <s v=""/>
    <s v=""/>
    <s v=""/>
    <x v="0"/>
    <x v="0"/>
    <x v="14"/>
  </r>
  <r>
    <x v="61"/>
    <s v="Carlos Puma"/>
    <s v="TARDE"/>
    <s v="19:05"/>
    <s v="19:25"/>
    <d v="1899-12-30T00:20:00"/>
    <x v="25"/>
    <s v="Maquinaria"/>
    <s v="Seguimiento / Pruebas"/>
    <x v="0"/>
    <x v="0"/>
    <s v="Se acompañó a calidad en validación de recetas"/>
    <s v=""/>
    <x v="0"/>
    <x v="0"/>
    <s v=""/>
    <s v=""/>
    <s v=""/>
    <x v="0"/>
    <x v="0"/>
    <x v="14"/>
  </r>
  <r>
    <x v="61"/>
    <s v="Carlos Puma"/>
    <s v="TARDE"/>
    <s v="19:30"/>
    <s v="19:50"/>
    <d v="1899-12-30T00:20:00"/>
    <x v="18"/>
    <s v="Maquinaria"/>
    <s v="Reparacion"/>
    <x v="1"/>
    <x v="1"/>
    <s v="Manija de válvula de mariposas desprendida"/>
    <s v="Se reparo en taller y se montó en equipo "/>
    <x v="0"/>
    <x v="0"/>
    <s v=""/>
    <s v=""/>
    <s v=""/>
    <x v="0"/>
    <x v="0"/>
    <x v="14"/>
  </r>
  <r>
    <x v="61"/>
    <s v="Carlos Puma"/>
    <s v="TARDE"/>
    <s v="19:55"/>
    <s v="21:05"/>
    <d v="1899-12-30T01:10:00"/>
    <x v="28"/>
    <s v="Maquinaria"/>
    <s v="SET UP"/>
    <x v="0"/>
    <x v="0"/>
    <s v="Pruebas de forrado con formato dulce armonía "/>
    <s v=""/>
    <x v="0"/>
    <x v="0"/>
    <s v=""/>
    <s v=""/>
    <s v=""/>
    <x v="2"/>
    <x v="0"/>
    <x v="14"/>
  </r>
  <r>
    <x v="61"/>
    <s v="CARLOS TAPIA"/>
    <s v="MAÑANA"/>
    <d v="1899-12-30T05:45:00"/>
    <d v="1899-12-30T06:15:00"/>
    <d v="1899-12-30T00:30:00"/>
    <x v="43"/>
    <s v="Sistema"/>
    <s v="M.General"/>
    <x v="0"/>
    <x v="0"/>
    <s v="Revisar niveles de agua en pozos. Llenar pozos auxiliares de agua potable para su uso, debido a corte de suministro de agua."/>
    <s v="Se dió seguimiento y se revisó todos los pozos en planta."/>
    <x v="0"/>
    <x v="0"/>
    <s v=""/>
    <s v=""/>
    <s v=""/>
    <x v="16"/>
    <x v="0"/>
    <x v="14"/>
  </r>
  <r>
    <x v="61"/>
    <s v="CARLOS TAPIA"/>
    <s v="MAÑANA"/>
    <d v="1899-12-30T12:00:00"/>
    <d v="1899-12-30T14:05:00"/>
    <d v="1899-12-30T02:05:00"/>
    <x v="52"/>
    <s v="Area"/>
    <s v="Capacitacion"/>
    <x v="0"/>
    <x v="0"/>
    <s v="Capacitación anual de calderos."/>
    <s v="Se asistió a capacitación de calderos."/>
    <x v="0"/>
    <x v="0"/>
    <s v=""/>
    <s v=""/>
    <s v=""/>
    <x v="0"/>
    <x v="0"/>
    <x v="14"/>
  </r>
  <r>
    <x v="61"/>
    <s v="Cesar Quiroz"/>
    <s v="MAÑANA"/>
    <d v="1899-12-30T05:38:00"/>
    <d v="1899-12-30T05:52:00"/>
    <d v="1899-12-30T00:14:00"/>
    <x v="31"/>
    <s v="Equipos auxiliares"/>
    <s v="Inspección"/>
    <x v="0"/>
    <x v="0"/>
    <s v="Revisión de funcionamiento y parámetros de trabajo "/>
    <s v=""/>
    <x v="0"/>
    <x v="0"/>
    <s v=""/>
    <s v=""/>
    <s v=""/>
    <x v="0"/>
    <x v="0"/>
    <x v="14"/>
  </r>
  <r>
    <x v="61"/>
    <s v="Cesar Quiroz"/>
    <s v="MAÑANA"/>
    <d v="1899-12-30T06:32:00"/>
    <d v="1899-12-30T07:38:00"/>
    <d v="1899-12-30T01:06:00"/>
    <x v="3"/>
    <s v="Maquinaria"/>
    <s v="SET UP"/>
    <x v="0"/>
    <x v="0"/>
    <s v="Armado y habilitación de equipo en formato mini milky"/>
    <s v=""/>
    <x v="0"/>
    <x v="0"/>
    <s v=""/>
    <s v=""/>
    <s v=""/>
    <x v="2"/>
    <x v="0"/>
    <x v="14"/>
  </r>
  <r>
    <x v="61"/>
    <s v="Cesar Quiroz"/>
    <s v="MAÑANA"/>
    <d v="1899-12-30T07:39:00"/>
    <d v="1899-12-30T07:58:00"/>
    <d v="1899-12-30T00:19:00"/>
    <x v="26"/>
    <s v="Maquinaria"/>
    <s v="Ajuste /Calibracion"/>
    <x v="1"/>
    <x v="1"/>
    <s v="Ruido en máquina, pinza tiene rose con pieza fija de pliegue "/>
    <s v="Se retiro pinza se limo base y zona de goma, se probó en equipo, queda habilitado "/>
    <x v="0"/>
    <x v="0"/>
    <s v=""/>
    <s v=""/>
    <s v=""/>
    <x v="3"/>
    <x v="0"/>
    <x v="14"/>
  </r>
  <r>
    <x v="61"/>
    <s v="Cesar Quiroz"/>
    <s v="MAÑANA"/>
    <d v="1899-12-30T08:14:00"/>
    <d v="1899-12-30T08:37:00"/>
    <d v="1899-12-30T00:23:00"/>
    <x v="15"/>
    <s v="Maquinaria"/>
    <s v="Inspección"/>
    <x v="0"/>
    <x v="0"/>
    <s v="Revisión de funcionamiento de equipo, ajuste de salida de aire de actuador b6"/>
    <s v=""/>
    <x v="96"/>
    <x v="0"/>
    <s v=""/>
    <s v=""/>
    <s v=""/>
    <x v="28"/>
    <x v="1"/>
    <x v="14"/>
  </r>
  <r>
    <x v="61"/>
    <s v="Cesar Quiroz"/>
    <s v="MAÑANA"/>
    <d v="1899-12-30T08:48:00"/>
    <d v="1899-12-30T09:41:00"/>
    <d v="1899-12-30T00:53:00"/>
    <x v="28"/>
    <s v="Maquinaria"/>
    <s v="SET UP"/>
    <x v="0"/>
    <x v="0"/>
    <s v="Pruebas de formatos en equipo"/>
    <s v="Se realizó cambio de piezas y calibración para probar empaquetado de producto"/>
    <x v="0"/>
    <x v="0"/>
    <s v=""/>
    <s v=""/>
    <s v=""/>
    <x v="2"/>
    <x v="0"/>
    <x v="14"/>
  </r>
  <r>
    <x v="61"/>
    <s v="JOSÉ HAÑARI"/>
    <s v="TARDE"/>
    <s v="12:10"/>
    <s v="14:30"/>
    <d v="1899-12-30T02:20:00"/>
    <x v="21"/>
    <s v="Area"/>
    <s v="Capacitacion"/>
    <x v="0"/>
    <x v="0"/>
    <s v="Se realiza capacitación de calderas "/>
    <s v=""/>
    <x v="0"/>
    <x v="0"/>
    <s v=""/>
    <s v=""/>
    <s v=""/>
    <x v="0"/>
    <x v="0"/>
    <x v="14"/>
  </r>
  <r>
    <x v="61"/>
    <s v="JOSÉ HAÑARI"/>
    <s v="TARDE"/>
    <s v="14:45"/>
    <s v="15:10"/>
    <d v="1899-12-30T00:25:00"/>
    <x v="27"/>
    <s v="Maquinaria"/>
    <s v="SET UP"/>
    <x v="0"/>
    <x v="0"/>
    <s v="Se apoya con la habilitación de dosificacion de goma en napolitana "/>
    <s v=""/>
    <x v="12"/>
    <x v="8"/>
    <s v="Dosificador"/>
    <s v=""/>
    <s v=""/>
    <x v="0"/>
    <x v="1"/>
    <x v="14"/>
  </r>
  <r>
    <x v="61"/>
    <s v="Omar Nina"/>
    <s v="NOCHE"/>
    <d v="1899-12-30T21:40:00"/>
    <d v="1899-12-30T22:00:00"/>
    <d v="1899-12-30T00:20:00"/>
    <x v="43"/>
    <s v="Sistema"/>
    <s v="Inspección"/>
    <x v="0"/>
    <x v="0"/>
    <s v="Verificación de pozos de agua potable."/>
    <s v="Encendido de bomba de local anexo y seguimiento de llenado de pozos."/>
    <x v="0"/>
    <x v="0"/>
    <s v=""/>
    <s v=""/>
    <s v=""/>
    <x v="0"/>
    <x v="0"/>
    <x v="14"/>
  </r>
  <r>
    <x v="61"/>
    <s v="Omar Nina"/>
    <s v="NOCHE"/>
    <d v="1899-12-30T22:12:00"/>
    <d v="1899-12-30T22:50:00"/>
    <d v="1899-12-30T00:38:00"/>
    <x v="27"/>
    <s v="Maquinaria"/>
    <s v="Ajuste /Calibracion"/>
    <x v="1"/>
    <x v="1"/>
    <s v="No sale goma, tableta se quiebra en el elevador."/>
    <s v="Calibración altura de boquillas de goma y altura de contraelevador "/>
    <x v="0"/>
    <x v="0"/>
    <s v=""/>
    <s v=""/>
    <s v=""/>
    <x v="24"/>
    <x v="0"/>
    <x v="14"/>
  </r>
  <r>
    <x v="61"/>
    <s v="Omar Nina"/>
    <s v="NOCHE"/>
    <d v="1899-12-30T23:20:00"/>
    <d v="1899-12-30T23:45:00"/>
    <d v="1899-12-30T00:25:00"/>
    <x v="17"/>
    <s v="Maquinaria"/>
    <s v="Ajuste /Calibracion"/>
    <x v="1"/>
    <x v="1"/>
    <s v="Error &quot;monitoreo accionamiento&quot; no deja prender motor principal."/>
    <s v="Sensor de verificación de funcionamiento de cinta de cocción se mantiene siempre activo, eje no gira. Por exceso de temperatura no se puede desmontar pieza, se deja enfriar."/>
    <x v="0"/>
    <x v="0"/>
    <s v=""/>
    <s v=""/>
    <s v=""/>
    <x v="6"/>
    <x v="0"/>
    <x v="14"/>
  </r>
  <r>
    <x v="61"/>
    <s v="Omar Nina"/>
    <s v="NOCHE"/>
    <d v="1899-12-30T23:50:00"/>
    <d v="1899-12-30T00:10:00"/>
    <d v="1899-12-30T00:20:00"/>
    <x v="43"/>
    <s v="Sistema"/>
    <s v="M.General"/>
    <x v="0"/>
    <x v="0"/>
    <s v="Pozos de potabilización con nivel bajo."/>
    <s v="Activación de bomba de local anexo y seguimiento de llenado de pozo"/>
    <x v="0"/>
    <x v="0"/>
    <s v=""/>
    <s v=""/>
    <s v=""/>
    <x v="135"/>
    <x v="0"/>
    <x v="14"/>
  </r>
  <r>
    <x v="61"/>
    <s v="Omar Nina"/>
    <s v="NOCHE"/>
    <d v="1899-12-30T00:15:00"/>
    <d v="1899-12-30T01:35:00"/>
    <d v="1899-12-30T01:20:00"/>
    <x v="17"/>
    <s v="Maquinaria"/>
    <s v="SET UP"/>
    <x v="0"/>
    <x v="0"/>
    <s v="Desmontaje de eje, limpieza y lubricación de chumaceras en taller de mantenimiento "/>
    <s v="Colocación de eje en equipo y verificación de funcionamiento. Queda operativo "/>
    <x v="0"/>
    <x v="0"/>
    <s v=""/>
    <s v=""/>
    <s v=""/>
    <x v="166"/>
    <x v="0"/>
    <x v="14"/>
  </r>
  <r>
    <x v="61"/>
    <s v="Omar Nina"/>
    <s v="NOCHE"/>
    <d v="1899-12-30T01:48:00"/>
    <d v="1899-12-30T02:33:00"/>
    <d v="1899-12-30T00:45:00"/>
    <x v="27"/>
    <s v="Maquinaria"/>
    <s v="Ajuste /Calibracion"/>
    <x v="1"/>
    <x v="1"/>
    <s v="Tabletas se rompen, papel aluminio sale roto en un costado de la tableta "/>
    <s v="Calibración de guías de entra de producto, calibración de plegadores y topes de fierrocel. Ajuste de escobillas en la salida de empaquetado. Queda operativo "/>
    <x v="0"/>
    <x v="0"/>
    <s v=""/>
    <s v=""/>
    <s v=""/>
    <x v="167"/>
    <x v="0"/>
    <x v="14"/>
  </r>
  <r>
    <x v="61"/>
    <s v="Omar Nina"/>
    <s v="NOCHE"/>
    <d v="1899-12-30T03:35:00"/>
    <d v="1899-12-30T03:51:00"/>
    <d v="1899-12-30T00:16:00"/>
    <x v="41"/>
    <s v="Maquinaria"/>
    <s v="Inspección"/>
    <x v="0"/>
    <x v="0"/>
    <s v="Verificación de funcionamiento de equipo "/>
    <s v=""/>
    <x v="0"/>
    <x v="0"/>
    <s v=""/>
    <s v=""/>
    <s v=""/>
    <x v="0"/>
    <x v="0"/>
    <x v="14"/>
  </r>
  <r>
    <x v="61"/>
    <s v="Omar Nina"/>
    <s v="NOCHE"/>
    <d v="1899-12-30T03:58:00"/>
    <d v="1899-12-30T04:15:00"/>
    <d v="1899-12-30T00:17:00"/>
    <x v="67"/>
    <s v="Maquinaria"/>
    <s v="Inspección"/>
    <x v="0"/>
    <x v="0"/>
    <s v="Inspección funcionamiento de equipo "/>
    <s v=""/>
    <x v="0"/>
    <x v="0"/>
    <s v=""/>
    <s v=""/>
    <s v=""/>
    <x v="0"/>
    <x v="0"/>
    <x v="14"/>
  </r>
  <r>
    <x v="61"/>
    <s v="Omar Nina"/>
    <s v="NOCHE"/>
    <d v="1899-12-30T04:20:00"/>
    <d v="1899-12-30T04:40:00"/>
    <d v="1899-12-30T00:20:00"/>
    <x v="3"/>
    <s v="Maquinaria"/>
    <s v="Inspección"/>
    <x v="0"/>
    <x v="0"/>
    <s v="Inspección de equipo "/>
    <s v=""/>
    <x v="0"/>
    <x v="0"/>
    <s v=""/>
    <s v=""/>
    <s v=""/>
    <x v="0"/>
    <x v="0"/>
    <x v="14"/>
  </r>
  <r>
    <x v="62"/>
    <s v="CARLOS TAPIA"/>
    <s v="MAÑANA"/>
    <s v="06:00"/>
    <s v="06:30"/>
    <d v="1899-12-30T00:30:00"/>
    <x v="32"/>
    <s v="Maquinaria"/>
    <s v="Limpieza"/>
    <x v="0"/>
    <x v="0"/>
    <s v="Acople de tubería con producto seco."/>
    <s v="Se retiró acople para su limpieza. Se colocó pieza en posición."/>
    <x v="97"/>
    <x v="0"/>
    <s v=""/>
    <s v=""/>
    <s v=""/>
    <x v="168"/>
    <x v="1"/>
    <x v="14"/>
  </r>
  <r>
    <x v="62"/>
    <s v="CARLOS TAPIA"/>
    <s v="MAÑANA"/>
    <s v="07:00"/>
    <s v="07:20"/>
    <d v="1899-12-30T00:20:00"/>
    <x v="90"/>
    <s v="Maquinaria"/>
    <s v="Lubricación"/>
    <x v="0"/>
    <x v="0"/>
    <s v="Ruido en máquina."/>
    <s v="Se revisó y se lubricó cadena. Se ajusto prisioneros de tambor."/>
    <x v="0"/>
    <x v="0"/>
    <s v=""/>
    <s v=""/>
    <s v=""/>
    <x v="3"/>
    <x v="0"/>
    <x v="14"/>
  </r>
  <r>
    <x v="62"/>
    <s v="CARLOS TAPIA"/>
    <s v="MAÑANA"/>
    <s v="08:00"/>
    <s v="08:45"/>
    <d v="1899-12-30T00:45:00"/>
    <x v="52"/>
    <s v="Area"/>
    <s v="Limpieza"/>
    <x v="0"/>
    <x v="0"/>
    <s v="Orden y limpieza en taller de mantenimiento."/>
    <s v="Se retiró papeles sucios piezas a desechas. Se ordenó estantes y se limpio mesas."/>
    <x v="0"/>
    <x v="0"/>
    <s v=""/>
    <s v=""/>
    <s v=""/>
    <x v="0"/>
    <x v="0"/>
    <x v="14"/>
  </r>
  <r>
    <x v="62"/>
    <s v="CARLOS TAPIA"/>
    <s v="MAÑANA"/>
    <s v="08:45"/>
    <s v="09:15"/>
    <d v="1899-12-30T00:30:00"/>
    <x v="84"/>
    <s v="Area"/>
    <s v="Trabajos menores"/>
    <x v="0"/>
    <x v="0"/>
    <s v="Apoyo en laboratorio, con el pegado y ajuste de piezas de baner."/>
    <s v="Se ajusto tornillos y se pego con Loctite baner."/>
    <x v="0"/>
    <x v="0"/>
    <s v=""/>
    <s v=""/>
    <s v=""/>
    <x v="28"/>
    <x v="0"/>
    <x v="14"/>
  </r>
  <r>
    <x v="62"/>
    <s v="CARLOS TAPIA"/>
    <s v="MAÑANA"/>
    <s v="10:45"/>
    <s v="11:45"/>
    <d v="1899-12-30T01:00:00"/>
    <x v="52"/>
    <s v="Area"/>
    <s v="SET UP"/>
    <x v="0"/>
    <x v="0"/>
    <s v="Husillo de mds agregados x 50 se encuentra atascado/amarrado en  el módulo."/>
    <s v="Se llevó módulo MDS a taller de mantenimiento para intervenir e intentar retirar husillo atascado."/>
    <x v="17"/>
    <x v="1"/>
    <s v="Mds"/>
    <s v=""/>
    <s v=""/>
    <x v="139"/>
    <x v="1"/>
    <x v="14"/>
  </r>
  <r>
    <x v="62"/>
    <s v="CARLOS TAPIA"/>
    <s v="MAÑANA"/>
    <s v="12:15"/>
    <s v="12:30"/>
    <d v="1899-12-30T00:15:00"/>
    <x v="89"/>
    <s v="Maquinaria"/>
    <s v="SET UP"/>
    <x v="1"/>
    <x v="1"/>
    <s v="Cuchilla de corte (laminado) no sube y no permite el desbobinado."/>
    <s v="Se apoyo a técnico de turno con la intervención de la máquina y el ajusto de resorte de dicha cuchilla."/>
    <x v="0"/>
    <x v="0"/>
    <s v=""/>
    <s v=""/>
    <s v=""/>
    <x v="169"/>
    <x v="0"/>
    <x v="14"/>
  </r>
  <r>
    <x v="62"/>
    <s v="JOSÉ HAÑARI"/>
    <s v="TARDE"/>
    <s v="12:50"/>
    <s v="13:30"/>
    <d v="1899-12-30T00:40:00"/>
    <x v="15"/>
    <s v="Maquinaria"/>
    <s v="SET UP"/>
    <x v="0"/>
    <x v="0"/>
    <s v="Se arma mds para cremas ovaladas "/>
    <s v=""/>
    <x v="0"/>
    <x v="1"/>
    <s v="Mds"/>
    <s v=""/>
    <s v=""/>
    <x v="0"/>
    <x v="1"/>
    <x v="14"/>
  </r>
  <r>
    <x v="62"/>
    <s v="JOSÉ HAÑARI"/>
    <s v="TARDE"/>
    <s v="13:40"/>
    <s v="13:50"/>
    <d v="1899-12-30T00:10:00"/>
    <x v="74"/>
    <s v="Area"/>
    <s v="Inspección"/>
    <x v="0"/>
    <x v="0"/>
    <s v="Inspección de válvulas de lavamanos de tercer piso "/>
    <s v=""/>
    <x v="0"/>
    <x v="0"/>
    <s v=""/>
    <s v=""/>
    <s v=""/>
    <x v="0"/>
    <x v="0"/>
    <x v="14"/>
  </r>
  <r>
    <x v="62"/>
    <s v="JOSÉ HAÑARI"/>
    <s v="MAÑANA"/>
    <s v="14:10"/>
    <s v="14:40"/>
    <d v="1899-12-30T00:30:00"/>
    <x v="74"/>
    <s v="Area"/>
    <s v="Reparacion"/>
    <x v="1"/>
    <x v="1"/>
    <s v="Faja de extractor de ollas de tercer piso roto"/>
    <s v="Se realizo la coordinación para el pedido de nuevas fajas por falta de stock "/>
    <x v="0"/>
    <x v="0"/>
    <s v=""/>
    <s v=""/>
    <s v=""/>
    <x v="24"/>
    <x v="0"/>
    <x v="14"/>
  </r>
  <r>
    <x v="62"/>
    <s v="JOSÉ HAÑARI"/>
    <s v="TARDE"/>
    <s v="15:00"/>
    <s v="16:20"/>
    <d v="1899-12-30T01:20:00"/>
    <x v="28"/>
    <s v="Maquinaria"/>
    <s v="SET UP"/>
    <x v="0"/>
    <x v="0"/>
    <s v="Se realiza cambio de formato a milky x10 "/>
    <s v=""/>
    <x v="0"/>
    <x v="0"/>
    <s v=""/>
    <s v=""/>
    <s v=""/>
    <x v="2"/>
    <x v="0"/>
    <x v="14"/>
  </r>
  <r>
    <x v="62"/>
    <s v="JOSÉ HAÑARI"/>
    <s v="TARDE"/>
    <s v="16:40"/>
    <s v="17:00"/>
    <d v="1899-12-30T00:20:00"/>
    <x v="81"/>
    <s v="Maquinaria"/>
    <s v="SET UP"/>
    <x v="1"/>
    <x v="2"/>
    <s v="Bomba de recirculación de chocolate en falla en variador "/>
    <s v="Se informó de sobre consumo q realiza al ingeniero y re recepciono al tercero para q realize la inspección necesaria "/>
    <x v="0"/>
    <x v="0"/>
    <s v=""/>
    <s v=""/>
    <s v=""/>
    <x v="0"/>
    <x v="0"/>
    <x v="14"/>
  </r>
  <r>
    <x v="62"/>
    <s v="Omar Nina"/>
    <s v="NOCHE"/>
    <s v="21:25"/>
    <s v="21:40"/>
    <d v="1899-12-30T00:15:00"/>
    <x v="45"/>
    <s v="Equipos auxiliares"/>
    <s v="Inspección"/>
    <x v="0"/>
    <x v="0"/>
    <s v="Revisión funcionamiento de equipo "/>
    <s v=""/>
    <x v="0"/>
    <x v="0"/>
    <s v=""/>
    <s v=""/>
    <s v=""/>
    <x v="0"/>
    <x v="0"/>
    <x v="14"/>
  </r>
  <r>
    <x v="62"/>
    <s v="Omar Nina"/>
    <s v="NOCHE"/>
    <s v="22:00"/>
    <s v="22:20"/>
    <d v="1899-12-30T00:20:00"/>
    <x v="105"/>
    <s v="Maquinaria"/>
    <s v="M.General"/>
    <x v="0"/>
    <x v="0"/>
    <s v="Solicitan bajar toma colgante que se encuentra sobre mesas."/>
    <s v="Se lleva escalera y se habilita toma colgante "/>
    <x v="43"/>
    <x v="0"/>
    <s v=""/>
    <s v=""/>
    <s v=""/>
    <x v="0"/>
    <x v="1"/>
    <x v="14"/>
  </r>
  <r>
    <x v="62"/>
    <s v="Omar Nina"/>
    <s v="NOCHE"/>
    <s v="22:35"/>
    <s v="22:50"/>
    <d v="1899-12-30T00:15:00"/>
    <x v="15"/>
    <s v="Maquinaria"/>
    <s v="Ajuste /Calibracion"/>
    <x v="1"/>
    <x v="2"/>
    <s v="Bomba de tina 1 siempre se mantiene encendida."/>
    <s v="Verificación de sensor de nivel de chocolate requiere cambio, no permite calibrar sensibilidad. Queda pendiente su reemplazo "/>
    <x v="0"/>
    <x v="0"/>
    <s v=""/>
    <s v=""/>
    <s v=""/>
    <x v="0"/>
    <x v="0"/>
    <x v="14"/>
  </r>
  <r>
    <x v="62"/>
    <s v="Omar Nina"/>
    <s v="NOCHE"/>
    <s v="23:00"/>
    <s v="23:30"/>
    <d v="1899-12-30T00:30:00"/>
    <x v="3"/>
    <s v="Maquinaria"/>
    <s v="Inspección"/>
    <x v="0"/>
    <x v="0"/>
    <s v="Inspección de funcionamiento de equipo "/>
    <s v=""/>
    <x v="0"/>
    <x v="0"/>
    <s v=""/>
    <s v=""/>
    <s v=""/>
    <x v="0"/>
    <x v="0"/>
    <x v="14"/>
  </r>
  <r>
    <x v="62"/>
    <s v="Omar Nina"/>
    <s v="NOCHE"/>
    <s v="23:40"/>
    <s v="23:59"/>
    <d v="1899-12-30T00:19:00"/>
    <x v="71"/>
    <s v="Maquinaria"/>
    <s v="Inspección"/>
    <x v="0"/>
    <x v="0"/>
    <s v="Verificación de correcto funcionamiento de equipo "/>
    <s v=""/>
    <x v="0"/>
    <x v="0"/>
    <s v=""/>
    <s v=""/>
    <s v=""/>
    <x v="0"/>
    <x v="0"/>
    <x v="14"/>
  </r>
  <r>
    <x v="62"/>
    <s v="Omar Nina"/>
    <s v="NOCHE"/>
    <s v="00:07"/>
    <s v="00:40"/>
    <d v="1899-12-30T00:33:00"/>
    <x v="22"/>
    <s v="Maquinaria"/>
    <s v="Ajuste /Calibracion"/>
    <x v="1"/>
    <x v="1"/>
    <s v="Cuchilla deja huecos en el sellado."/>
    <s v="Se calibra altura de cuchillas y tensión de laminado "/>
    <x v="0"/>
    <x v="0"/>
    <s v=""/>
    <s v=""/>
    <s v=""/>
    <x v="170"/>
    <x v="0"/>
    <x v="14"/>
  </r>
  <r>
    <x v="62"/>
    <s v="Omar Nina"/>
    <s v="NOCHE"/>
    <s v="00:50"/>
    <s v="01:11"/>
    <d v="1899-12-30T00:21:00"/>
    <x v="15"/>
    <s v="Maquinaria"/>
    <s v="SET UP"/>
    <x v="0"/>
    <x v="0"/>
    <s v="Desarmado de MDS para limpieza "/>
    <s v=""/>
    <x v="0"/>
    <x v="1"/>
    <s v="Mds"/>
    <s v=""/>
    <s v=""/>
    <x v="0"/>
    <x v="1"/>
    <x v="14"/>
  </r>
  <r>
    <x v="62"/>
    <s v="Omar Nina"/>
    <s v="NOCHE"/>
    <s v="01:35"/>
    <s v="02:00"/>
    <d v="1899-12-30T00:25:00"/>
    <x v="15"/>
    <s v="Maquinaria"/>
    <s v="SET UP"/>
    <x v="0"/>
    <x v="0"/>
    <s v="Armado de MDS para crema ovalada "/>
    <s v=""/>
    <x v="0"/>
    <x v="1"/>
    <s v="Mds"/>
    <s v=""/>
    <s v=""/>
    <x v="0"/>
    <x v="1"/>
    <x v="14"/>
  </r>
  <r>
    <x v="62"/>
    <s v="Omar Nina"/>
    <s v="NOCHE"/>
    <s v="02:10"/>
    <s v="02:25"/>
    <d v="1899-12-30T00:15:00"/>
    <x v="71"/>
    <s v="Maquinaria"/>
    <s v="Ajuste /Calibracion"/>
    <x v="1"/>
    <x v="1"/>
    <s v="Codificado sale borroso."/>
    <s v="Se regula presión de aire de codificado."/>
    <x v="0"/>
    <x v="13"/>
    <s v="Codificador"/>
    <s v=""/>
    <s v=""/>
    <x v="82"/>
    <x v="1"/>
    <x v="14"/>
  </r>
  <r>
    <x v="62"/>
    <s v="Omar Nina"/>
    <s v="NOCHE"/>
    <s v="03:20"/>
    <s v="03:40"/>
    <d v="1899-12-30T00:20:00"/>
    <x v="47"/>
    <s v="Maquinaria"/>
    <s v="Inspección"/>
    <x v="0"/>
    <x v="0"/>
    <s v="Reportan ruido en temperadora "/>
    <s v="Revision de correas de transmisión "/>
    <x v="0"/>
    <x v="11"/>
    <s v="Temperadora"/>
    <s v=""/>
    <s v=""/>
    <x v="3"/>
    <x v="1"/>
    <x v="14"/>
  </r>
  <r>
    <x v="62"/>
    <s v="Omar Nina"/>
    <s v="NOCHE"/>
    <s v="03:42"/>
    <s v="03:55"/>
    <d v="1899-12-30T00:13:00"/>
    <x v="3"/>
    <s v="Maquinaria"/>
    <s v="SET UP"/>
    <x v="0"/>
    <x v="0"/>
    <s v="Cambio de formato de milky a chocolate a la taza."/>
    <s v="Cambio de planchas y calibración de fajas de alineación de producto "/>
    <x v="8"/>
    <x v="0"/>
    <s v=""/>
    <s v=""/>
    <s v=""/>
    <x v="2"/>
    <x v="1"/>
    <x v="14"/>
  </r>
  <r>
    <x v="62"/>
    <s v="Omar Nina"/>
    <s v="NOCHE"/>
    <s v="04:00"/>
    <s v="04:30"/>
    <d v="1899-12-30T00:30:00"/>
    <x v="3"/>
    <s v="Maquinaria"/>
    <s v="Inspección"/>
    <x v="0"/>
    <x v="0"/>
    <s v="Verificación de funcionamiento de equipo "/>
    <s v=""/>
    <x v="0"/>
    <x v="0"/>
    <s v=""/>
    <s v=""/>
    <s v=""/>
    <x v="0"/>
    <x v="0"/>
    <x v="14"/>
  </r>
  <r>
    <x v="63"/>
    <s v="Carlos Puma"/>
    <s v="TARDE"/>
    <s v="13:00"/>
    <s v="13:30"/>
    <d v="1899-12-30T00:30:00"/>
    <x v="15"/>
    <s v="Maquinaria"/>
    <s v="SET UP"/>
    <x v="0"/>
    <x v="0"/>
    <s v="Apoyó en el armado de mds"/>
    <s v=""/>
    <x v="0"/>
    <x v="1"/>
    <s v="Mds"/>
    <s v=""/>
    <s v=""/>
    <x v="0"/>
    <x v="1"/>
    <x v="14"/>
  </r>
  <r>
    <x v="63"/>
    <s v="Carlos Puma"/>
    <s v="TARDE"/>
    <s v="11:40"/>
    <s v="14:00"/>
    <d v="1899-12-30T02:20:00"/>
    <x v="79"/>
    <s v="Maquinaria"/>
    <s v="Limpieza"/>
    <x v="1"/>
    <x v="1"/>
    <s v="Pulsador atorado"/>
    <s v="Se retiró pulsador para limpieza, se coloco pulsador y se hizo pruebas "/>
    <x v="0"/>
    <x v="0"/>
    <s v=""/>
    <s v=""/>
    <s v=""/>
    <x v="0"/>
    <x v="0"/>
    <x v="14"/>
  </r>
  <r>
    <x v="63"/>
    <s v="Carlos Puma"/>
    <s v="TARDE"/>
    <s v="14:40"/>
    <s v="15:00"/>
    <d v="1899-12-30T00:20:00"/>
    <x v="15"/>
    <s v="Maquinaria"/>
    <s v="Inspección"/>
    <x v="0"/>
    <x v="0"/>
    <s v="Inspección de temperadora "/>
    <s v=""/>
    <x v="0"/>
    <x v="11"/>
    <s v="Temperadora"/>
    <s v=""/>
    <s v=""/>
    <x v="0"/>
    <x v="1"/>
    <x v="14"/>
  </r>
  <r>
    <x v="63"/>
    <s v="Carlos Puma"/>
    <s v="TARDE"/>
    <s v="15:05"/>
    <s v="15:20"/>
    <d v="1899-12-30T00:15:00"/>
    <x v="70"/>
    <s v="Maquinaria"/>
    <s v="Inspección"/>
    <x v="0"/>
    <x v="0"/>
    <s v="Reconocimiento de circuito alimentador de elevador de cacao para toma de cargas"/>
    <s v=""/>
    <x v="90"/>
    <x v="0"/>
    <s v=""/>
    <s v=""/>
    <s v=""/>
    <x v="171"/>
    <x v="1"/>
    <x v="14"/>
  </r>
  <r>
    <x v="63"/>
    <s v="Carlos Puma"/>
    <s v="TARDE"/>
    <s v="15:35"/>
    <s v="16:05"/>
    <d v="1899-12-30T00:30:00"/>
    <x v="79"/>
    <s v="Maquinaria"/>
    <s v="Sustitucion"/>
    <x v="0"/>
    <x v="3"/>
    <s v="Pulsador atorado"/>
    <s v="Se remplazo pulsador y contactos"/>
    <x v="0"/>
    <x v="0"/>
    <s v=""/>
    <s v=""/>
    <s v=""/>
    <x v="0"/>
    <x v="0"/>
    <x v="14"/>
  </r>
  <r>
    <x v="63"/>
    <s v="Carlos Puma"/>
    <s v="TARDE"/>
    <s v="16:15"/>
    <s v="16:45"/>
    <d v="1899-12-30T00:30:00"/>
    <x v="15"/>
    <s v="Maquinaria"/>
    <s v="Inspección"/>
    <x v="0"/>
    <x v="0"/>
    <s v="Revision de robot de desmolde "/>
    <s v=""/>
    <x v="50"/>
    <x v="9"/>
    <s v="Robot"/>
    <s v=""/>
    <s v=""/>
    <x v="34"/>
    <x v="1"/>
    <x v="14"/>
  </r>
  <r>
    <x v="63"/>
    <s v="Carlos Puma"/>
    <s v="TARDE"/>
    <s v="17:00"/>
    <s v="18:30"/>
    <d v="1899-12-30T01:30:00"/>
    <x v="28"/>
    <s v="Maquinaria"/>
    <s v="Ajuste /Calibracion"/>
    <x v="1"/>
    <x v="1"/>
    <s v="Reportan de que laminado sale holgado"/>
    <s v="Se regulo laminado y se calibro el sellado"/>
    <x v="0"/>
    <x v="0"/>
    <s v=""/>
    <s v=""/>
    <s v=""/>
    <x v="50"/>
    <x v="0"/>
    <x v="14"/>
  </r>
  <r>
    <x v="63"/>
    <s v="Carlos Puma"/>
    <s v="TARDE"/>
    <s v="20:00"/>
    <s v="20:30"/>
    <d v="1899-12-30T00:30:00"/>
    <x v="15"/>
    <s v="Maquinaria"/>
    <s v="SET UP"/>
    <x v="0"/>
    <x v="0"/>
    <s v="Desarme de mds para limpieza "/>
    <s v=""/>
    <x v="0"/>
    <x v="1"/>
    <s v="Mds"/>
    <s v=""/>
    <s v=""/>
    <x v="0"/>
    <x v="1"/>
    <x v="14"/>
  </r>
  <r>
    <x v="63"/>
    <s v="CARLOS TAPIA"/>
    <s v="MAÑANA"/>
    <s v="06:15"/>
    <s v="06:30"/>
    <d v="1899-12-30T00:15:00"/>
    <x v="81"/>
    <s v="Maquinaria"/>
    <s v="SET UP"/>
    <x v="1"/>
    <x v="2"/>
    <s v="Apoyo en máquina, no sale chocolate."/>
    <s v="Se encontró con falla el variador y se comunicó a jefe de mantenimiento."/>
    <x v="0"/>
    <x v="0"/>
    <s v=""/>
    <s v=""/>
    <s v=""/>
    <x v="0"/>
    <x v="0"/>
    <x v="14"/>
  </r>
  <r>
    <x v="63"/>
    <s v="CARLOS TAPIA"/>
    <s v="MAÑANA"/>
    <s v="07:30"/>
    <s v="08:30"/>
    <d v="1899-12-30T01:00:00"/>
    <x v="47"/>
    <s v="Maquinaria"/>
    <s v="Sustitucion"/>
    <x v="1"/>
    <x v="1"/>
    <s v="Correa suelta en columna. Tensador suelto debido a pernos rotos."/>
    <s v="Se reemplazo pernos y se tensó correa. Se habilitó máquina y se comunicó a producción "/>
    <x v="0"/>
    <x v="2"/>
    <s v="Columna"/>
    <s v=""/>
    <s v=""/>
    <x v="172"/>
    <x v="1"/>
    <x v="14"/>
  </r>
  <r>
    <x v="63"/>
    <s v="CARLOS TAPIA"/>
    <s v="MAÑANA"/>
    <s v="08:40"/>
    <s v="09:00"/>
    <d v="1899-12-30T00:20:00"/>
    <x v="55"/>
    <s v="Maquinaria"/>
    <s v="Limpieza"/>
    <x v="1"/>
    <x v="2"/>
    <s v="Variación de temperatura constante en mordazas."/>
    <s v="Se revisó y se limpio carboncillos. Se seco y se dejó habilitado."/>
    <x v="0"/>
    <x v="0"/>
    <s v=""/>
    <s v=""/>
    <s v=""/>
    <x v="0"/>
    <x v="0"/>
    <x v="14"/>
  </r>
  <r>
    <x v="63"/>
    <s v="CARLOS TAPIA"/>
    <s v="MAÑANA"/>
    <s v="10:15"/>
    <s v="11:00"/>
    <d v="1899-12-30T00:45:00"/>
    <x v="52"/>
    <s v="Area"/>
    <s v="Limpieza"/>
    <x v="0"/>
    <x v="0"/>
    <s v="Orden y limpieza "/>
    <s v="Orden y limpieza "/>
    <x v="0"/>
    <x v="0"/>
    <s v=""/>
    <s v=""/>
    <s v=""/>
    <x v="0"/>
    <x v="0"/>
    <x v="14"/>
  </r>
  <r>
    <x v="63"/>
    <s v="Cesar Quiroz"/>
    <s v="MAÑANA"/>
    <s v="05:39"/>
    <s v="06:05"/>
    <d v="1899-12-30T00:26:00"/>
    <x v="31"/>
    <s v="Equipos auxiliares"/>
    <s v="Inspección"/>
    <x v="0"/>
    <x v="0"/>
    <s v="Revisión de funcionamiento y parámetros de trabajo "/>
    <s v=""/>
    <x v="0"/>
    <x v="0"/>
    <s v=""/>
    <s v=""/>
    <s v=""/>
    <x v="0"/>
    <x v="0"/>
    <x v="14"/>
  </r>
  <r>
    <x v="63"/>
    <s v="Cesar Quiroz"/>
    <s v="MAÑANA"/>
    <s v="06:14"/>
    <s v="06:35"/>
    <d v="1899-12-30T00:21:00"/>
    <x v="81"/>
    <s v="Maquinaria"/>
    <s v="SET UP"/>
    <x v="1"/>
    <x v="2"/>
    <s v="No cae chocolate"/>
    <s v="Se encontró variador con falla y motor caliente, se colocó a calentar y se probó funcionamiento de bomba"/>
    <x v="0"/>
    <x v="0"/>
    <s v=""/>
    <s v=""/>
    <s v=""/>
    <x v="52"/>
    <x v="0"/>
    <x v="14"/>
  </r>
  <r>
    <x v="63"/>
    <s v="Cesar Quiroz"/>
    <s v="MAÑANA"/>
    <s v="07:32"/>
    <s v="08:35"/>
    <d v="1899-12-30T01:03:00"/>
    <x v="47"/>
    <s v="Maquinaria"/>
    <s v="Ajuste /Calibracion"/>
    <x v="1"/>
    <x v="1"/>
    <s v="Ruido en temperadora, correa de columna suelta, tensador se movió "/>
    <s v="Se desajusta tensador, se encuentra perno roto, se realiza cambio de perno, se tensa correa y se ajusta tensador"/>
    <x v="0"/>
    <x v="16"/>
    <s v="Columna"/>
    <s v="Temperadora"/>
    <s v=""/>
    <x v="173"/>
    <x v="1"/>
    <x v="14"/>
  </r>
  <r>
    <x v="63"/>
    <s v="Cesar Quiroz"/>
    <s v="MAÑANA"/>
    <s v="07:14"/>
    <s v="07:29"/>
    <d v="1899-12-30T00:15:00"/>
    <x v="26"/>
    <s v="Maquinaria"/>
    <s v="Ajuste /Calibracion"/>
    <x v="1"/>
    <x v="1"/>
    <s v="Cuchilla no corta bien"/>
    <s v="Se encontró brazo de cuchilla descalibrado, cuchilla no cerraba por completo, se regulo y se realizó pruebas"/>
    <x v="0"/>
    <x v="0"/>
    <s v=""/>
    <s v=""/>
    <s v=""/>
    <x v="12"/>
    <x v="0"/>
    <x v="14"/>
  </r>
  <r>
    <x v="63"/>
    <s v="Cesar Quiroz"/>
    <s v="MAÑANA"/>
    <s v="08:41"/>
    <s v="08:58"/>
    <d v="1899-12-30T00:17:00"/>
    <x v="55"/>
    <s v="Maquinaria"/>
    <s v="Limpieza"/>
    <x v="1"/>
    <x v="1"/>
    <s v="Temperatura varia en mordaza"/>
    <s v="Se realizó limpieza de carboncillos y colector"/>
    <x v="0"/>
    <x v="0"/>
    <s v=""/>
    <s v=""/>
    <s v=""/>
    <x v="0"/>
    <x v="0"/>
    <x v="14"/>
  </r>
  <r>
    <x v="63"/>
    <s v="Cesar Quiroz"/>
    <s v="MAÑANA"/>
    <s v="09:02"/>
    <s v="10:16"/>
    <d v="1899-12-30T01:14:00"/>
    <x v="106"/>
    <s v="Maquinaria"/>
    <s v="Seguimiento / Pruebas"/>
    <x v="0"/>
    <x v="0"/>
    <s v="Creación y validación de recetas"/>
    <s v=""/>
    <x v="0"/>
    <x v="0"/>
    <s v=""/>
    <s v=""/>
    <s v=""/>
    <x v="0"/>
    <x v="0"/>
    <x v="14"/>
  </r>
  <r>
    <x v="63"/>
    <s v="Cesar Quiroz"/>
    <s v="MAÑANA"/>
    <s v="10:18"/>
    <s v="10:43"/>
    <d v="1899-12-30T00:25:00"/>
    <x v="15"/>
    <s v="Maquinaria"/>
    <s v="Ajuste /Calibracion"/>
    <x v="1"/>
    <x v="1"/>
    <s v="Problemas al desmoldar, robot no sujeta todo el producto "/>
    <s v="Se reviso robot y planchas con chupones, se modifico para otros y se realizó pruebas"/>
    <x v="0"/>
    <x v="9"/>
    <s v="Robot"/>
    <s v=""/>
    <s v=""/>
    <x v="34"/>
    <x v="1"/>
    <x v="14"/>
  </r>
  <r>
    <x v="63"/>
    <s v="Cesar Quiroz"/>
    <s v="MAÑANA"/>
    <s v="10:44"/>
    <s v="11:12"/>
    <d v="1899-12-30T00:28:00"/>
    <x v="15"/>
    <s v="Maquinaria"/>
    <s v="SET UP"/>
    <x v="0"/>
    <x v="0"/>
    <s v="Desarmado de formato mds cremas para lavado de piezas"/>
    <s v=""/>
    <x v="0"/>
    <x v="1"/>
    <s v="Mds"/>
    <s v=""/>
    <s v=""/>
    <x v="2"/>
    <x v="1"/>
    <x v="14"/>
  </r>
  <r>
    <x v="63"/>
    <s v="Cesar Quiroz"/>
    <s v="MAÑANA"/>
    <s v="12:17"/>
    <s v="12:50"/>
    <d v="1899-12-30T00:33:00"/>
    <x v="15"/>
    <s v="Maquinaria"/>
    <s v="SET UP"/>
    <x v="0"/>
    <x v="0"/>
    <s v="Armado de formato cremas en mds"/>
    <s v=""/>
    <x v="0"/>
    <x v="1"/>
    <s v="Mds"/>
    <s v=""/>
    <s v=""/>
    <x v="2"/>
    <x v="1"/>
    <x v="14"/>
  </r>
  <r>
    <x v="63"/>
    <s v="Cesar Quiroz"/>
    <s v="MAÑANA"/>
    <s v="12:58"/>
    <s v="13:15"/>
    <d v="1899-12-30T00:17:00"/>
    <x v="5"/>
    <s v="Maquinaria"/>
    <s v="Ajuste /Calibracion"/>
    <x v="1"/>
    <x v="1"/>
    <s v="Papel se arruga constantemente, cinta gasta de polin de arrastre "/>
    <s v="Se retiro polin de arrastre, se realizó limpieza y se colocó una vuelta de cinta, se probó equipo"/>
    <x v="0"/>
    <x v="0"/>
    <s v=""/>
    <s v=""/>
    <s v=""/>
    <x v="0"/>
    <x v="0"/>
    <x v="14"/>
  </r>
  <r>
    <x v="64"/>
    <s v="Cesar Quiroz"/>
    <s v="MAÑANA"/>
    <s v="05:35"/>
    <s v="06:20"/>
    <d v="1899-12-30T00:45:00"/>
    <x v="21"/>
    <s v="Area"/>
    <s v="Encendido / Arranque de linea"/>
    <x v="0"/>
    <x v="0"/>
    <s v="Encendido de equipo de planta, habilitación de aire, vapor, agua potable"/>
    <s v=""/>
    <x v="0"/>
    <x v="0"/>
    <s v=""/>
    <s v=""/>
    <s v=""/>
    <x v="0"/>
    <x v="0"/>
    <x v="14"/>
  </r>
  <r>
    <x v="64"/>
    <s v="Cesar Quiroz"/>
    <s v="MAÑANA"/>
    <s v="06:35"/>
    <s v="07:02"/>
    <d v="1899-12-30T00:27:00"/>
    <x v="26"/>
    <s v="Maquinaria"/>
    <s v="Ajuste /Calibracion"/>
    <x v="1"/>
    <x v="1"/>
    <s v="Banda se mueve a un costado"/>
    <s v="Se destenso banda, se cambio de posición, se regulo posición de polin tensador, se realizó pruebas"/>
    <x v="0"/>
    <x v="0"/>
    <s v=""/>
    <s v=""/>
    <s v=""/>
    <x v="0"/>
    <x v="0"/>
    <x v="14"/>
  </r>
  <r>
    <x v="64"/>
    <s v="Cesar Quiroz"/>
    <s v="MAÑANA"/>
    <s v="07:05"/>
    <s v="07:32"/>
    <d v="1899-12-30T00:27:00"/>
    <x v="106"/>
    <s v="Maquinaria"/>
    <s v="Seguimiento / Pruebas"/>
    <x v="0"/>
    <x v="0"/>
    <s v="Creación de receta junto con inspector "/>
    <s v=""/>
    <x v="0"/>
    <x v="0"/>
    <s v=""/>
    <s v=""/>
    <s v=""/>
    <x v="32"/>
    <x v="0"/>
    <x v="14"/>
  </r>
  <r>
    <x v="64"/>
    <s v="Cesar Quiroz"/>
    <s v="MAÑANA"/>
    <s v="07:37"/>
    <s v="07:57"/>
    <d v="1899-12-30T00:20:00"/>
    <x v="55"/>
    <s v="Maquinaria"/>
    <s v="Limpieza"/>
    <x v="1"/>
    <x v="1"/>
    <s v="Variación de temperatura de mordaza"/>
    <s v="Se realizó limpieza de carboncillos y colectores"/>
    <x v="0"/>
    <x v="0"/>
    <s v=""/>
    <s v=""/>
    <s v=""/>
    <x v="0"/>
    <x v="0"/>
    <x v="14"/>
  </r>
  <r>
    <x v="64"/>
    <s v="Cesar Quiroz"/>
    <s v="MAÑANA"/>
    <s v="08:05"/>
    <s v="08:21"/>
    <d v="1899-12-30T00:16:00"/>
    <x v="28"/>
    <s v="Maquinaria"/>
    <s v="SET UP"/>
    <x v="0"/>
    <x v="0"/>
    <s v="Apoyo en cambio de bobina"/>
    <s v=""/>
    <x v="32"/>
    <x v="0"/>
    <s v=""/>
    <s v=""/>
    <s v=""/>
    <x v="0"/>
    <x v="1"/>
    <x v="14"/>
  </r>
  <r>
    <x v="64"/>
    <s v="Cesar Quiroz"/>
    <s v="MAÑANA"/>
    <s v="08:29"/>
    <s v="08:43"/>
    <d v="1899-12-30T00:14:00"/>
    <x v="96"/>
    <s v="Equipos auxiliares"/>
    <s v="Inspección"/>
    <x v="1"/>
    <x v="1"/>
    <s v="Reportan pieza caída en ascensor nuevo"/>
    <s v="Se revisa y se retira piezas y se busca tornillo, se deja pieza en taller y se reporta a supervisor"/>
    <x v="0"/>
    <x v="0"/>
    <s v=""/>
    <s v=""/>
    <s v=""/>
    <x v="0"/>
    <x v="0"/>
    <x v="14"/>
  </r>
  <r>
    <x v="65"/>
    <s v="Carlos Puma"/>
    <s v="MAÑANA"/>
    <d v="1899-12-30T06:40:00"/>
    <d v="1899-12-30T09:10:00"/>
    <d v="1899-12-30T02:30:00"/>
    <x v="7"/>
    <s v="Maquinaria"/>
    <s v="SET UP"/>
    <x v="0"/>
    <x v="0"/>
    <s v="Desarme de equipos para limpieza "/>
    <s v="Se apoyó en el Desarme de cortadora de turrón , bañadora 1 y 3 v pack , hacos 1 y 2 "/>
    <x v="0"/>
    <x v="0"/>
    <s v=""/>
    <s v=""/>
    <s v=""/>
    <x v="0"/>
    <x v="0"/>
    <x v="15"/>
  </r>
  <r>
    <x v="65"/>
    <s v="Carlos Puma"/>
    <s v="MAÑANA"/>
    <d v="1899-12-30T11:10:00"/>
    <d v="1899-12-30T11:25:00"/>
    <d v="1899-12-30T00:15:00"/>
    <x v="50"/>
    <s v="Maquinaria"/>
    <s v="Ajuste /Calibracion"/>
    <x v="1"/>
    <x v="1"/>
    <s v="No tempera , temperatura se mantiene alta"/>
    <s v="Se reviso circuito de ingreso y retorno de agua fría , se aperturó y regulo válvula de salida, se dió seguimiento al temperado "/>
    <x v="0"/>
    <x v="0"/>
    <s v=""/>
    <s v=""/>
    <s v=""/>
    <x v="123"/>
    <x v="0"/>
    <x v="15"/>
  </r>
  <r>
    <x v="65"/>
    <s v="Carlos Puma"/>
    <s v="MAÑANA"/>
    <d v="1899-12-30T11:30:00"/>
    <d v="1899-12-30T11:40:00"/>
    <d v="1899-12-30T00:10:00"/>
    <x v="20"/>
    <s v="Maquinaria"/>
    <s v="Limpieza"/>
    <x v="1"/>
    <x v="1"/>
    <s v="Codificado desalineado "/>
    <s v="Se realizó una limpieza rápido de cabezal, se hizo pruebas de impresión "/>
    <x v="0"/>
    <x v="13"/>
    <s v="Codificador"/>
    <s v=""/>
    <s v=""/>
    <x v="8"/>
    <x v="1"/>
    <x v="15"/>
  </r>
  <r>
    <x v="65"/>
    <s v="Carlos Puma"/>
    <s v="MAÑANA"/>
    <d v="1899-12-30T11:50:00"/>
    <d v="1899-12-30T12:30:00"/>
    <d v="1899-12-30T00:40:00"/>
    <x v="26"/>
    <s v="Maquinaria"/>
    <s v="SET UP"/>
    <x v="0"/>
    <x v="0"/>
    <s v="Armado de equipo "/>
    <s v=""/>
    <x v="0"/>
    <x v="0"/>
    <s v=""/>
    <s v=""/>
    <s v=""/>
    <x v="0"/>
    <x v="0"/>
    <x v="15"/>
  </r>
  <r>
    <x v="65"/>
    <s v="Carlos Puma"/>
    <s v="MAÑANA"/>
    <d v="1899-12-30T01:25:00"/>
    <d v="1899-12-30T01:57:00"/>
    <d v="1899-12-30T00:32:00"/>
    <x v="50"/>
    <s v="Maquinaria"/>
    <s v="Sustitucion"/>
    <x v="1"/>
    <x v="1"/>
    <s v="Problemas en la transmisión de malla, engranaje de teflón dañado"/>
    <s v="Se apoyó en el desmontaje de transmisión y remplazo de engranaje "/>
    <x v="0"/>
    <x v="0"/>
    <s v=""/>
    <s v=""/>
    <s v=""/>
    <x v="85"/>
    <x v="0"/>
    <x v="15"/>
  </r>
  <r>
    <x v="65"/>
    <s v="CARLOS TAPIA"/>
    <s v="MAÑANA"/>
    <d v="1899-12-30T05:30:00"/>
    <d v="1899-12-30T06:30:00"/>
    <d v="1899-12-30T01:00:00"/>
    <x v="21"/>
    <s v="Area"/>
    <s v="Encendido / Arranque de linea"/>
    <x v="0"/>
    <x v="0"/>
    <s v="Arranque de planta "/>
    <s v="Se encendió equipos de aire agua y vapor."/>
    <x v="0"/>
    <x v="0"/>
    <s v=""/>
    <s v=""/>
    <s v=""/>
    <x v="0"/>
    <x v="0"/>
    <x v="15"/>
  </r>
  <r>
    <x v="65"/>
    <s v="CARLOS TAPIA"/>
    <s v="MAÑANA"/>
    <d v="1899-12-30T06:30:00"/>
    <d v="1899-12-30T07:00:00"/>
    <d v="1899-12-30T00:30:00"/>
    <x v="50"/>
    <s v="Maquinaria"/>
    <s v="SET UP"/>
    <x v="0"/>
    <x v="0"/>
    <s v="Desarmar máquina para su limpieza "/>
    <s v="Se retiró piezas para su limpieza "/>
    <x v="0"/>
    <x v="0"/>
    <s v=""/>
    <s v=""/>
    <s v=""/>
    <x v="0"/>
    <x v="0"/>
    <x v="15"/>
  </r>
  <r>
    <x v="65"/>
    <s v="CARLOS TAPIA"/>
    <s v="MAÑANA"/>
    <d v="1899-12-30T07:10:00"/>
    <d v="1899-12-30T07:40:00"/>
    <d v="1899-12-30T00:30:00"/>
    <x v="26"/>
    <s v="Maquinaria"/>
    <s v="SET UP"/>
    <x v="0"/>
    <x v="0"/>
    <s v="Desarmar máquina para su limpieza profunda "/>
    <s v="Se retiró piezas para su limpieza incluyendo guardas"/>
    <x v="0"/>
    <x v="0"/>
    <s v=""/>
    <s v=""/>
    <s v=""/>
    <x v="0"/>
    <x v="0"/>
    <x v="15"/>
  </r>
  <r>
    <x v="65"/>
    <s v="CARLOS TAPIA"/>
    <s v="MAÑANA"/>
    <d v="1899-12-30T09:00:00"/>
    <d v="1899-12-30T10:00:00"/>
    <d v="1899-12-30T01:00:00"/>
    <x v="17"/>
    <s v="Maquinaria"/>
    <s v="SET UP"/>
    <x v="0"/>
    <x v="0"/>
    <s v="Armar y habilitar máquina para el uso con el turno tarde."/>
    <s v="Se colocó piezas en posición y se comunicó a supervisor de producción la habilitación de la máquina "/>
    <x v="0"/>
    <x v="0"/>
    <s v=""/>
    <s v=""/>
    <s v=""/>
    <x v="0"/>
    <x v="0"/>
    <x v="15"/>
  </r>
  <r>
    <x v="65"/>
    <s v="CARLOS TAPIA"/>
    <s v="MAÑANA"/>
    <d v="1899-12-30T10:00:00"/>
    <d v="1899-12-30T10:30:00"/>
    <d v="1899-12-30T00:30:00"/>
    <x v="5"/>
    <s v="Maquinaria"/>
    <s v="SET UP"/>
    <x v="0"/>
    <x v="0"/>
    <s v="Desarmar máquina para su limpieza "/>
    <s v="Se desarmó cabina y se retiró bandas.de máquina."/>
    <x v="0"/>
    <x v="0"/>
    <s v=""/>
    <s v=""/>
    <s v=""/>
    <x v="0"/>
    <x v="0"/>
    <x v="15"/>
  </r>
  <r>
    <x v="65"/>
    <s v="CARLOS TAPIA"/>
    <s v="MAÑANA"/>
    <d v="1899-12-30T10:30:00"/>
    <d v="1899-12-30T11:00:00"/>
    <d v="1899-12-30T00:30:00"/>
    <x v="50"/>
    <s v="Maquinaria"/>
    <s v="SET UP"/>
    <x v="0"/>
    <x v="0"/>
    <s v="Armado de máquina "/>
    <s v="Se colocó piezas en posición "/>
    <x v="0"/>
    <x v="0"/>
    <s v=""/>
    <s v=""/>
    <s v=""/>
    <x v="0"/>
    <x v="0"/>
    <x v="15"/>
  </r>
  <r>
    <x v="65"/>
    <s v="CARLOS TAPIA"/>
    <s v="MAÑANA"/>
    <d v="1899-12-30T06:12:00"/>
    <d v="1899-12-30T07:00:00"/>
    <d v="1899-12-30T00:48:00"/>
    <x v="3"/>
    <s v="Maquinaria"/>
    <s v="SET UP"/>
    <x v="0"/>
    <x v="0"/>
    <s v="Armado de máquina."/>
    <s v="Se colocó mordazas en posición y se armó toda la cabina de la máquina "/>
    <x v="0"/>
    <x v="0"/>
    <s v=""/>
    <s v=""/>
    <s v=""/>
    <x v="0"/>
    <x v="0"/>
    <x v="15"/>
  </r>
  <r>
    <x v="65"/>
    <s v="Cesar Quiroz"/>
    <s v="NOCHE"/>
    <d v="1899-12-30T21:17:00"/>
    <d v="1899-12-30T21:33:00"/>
    <d v="1899-12-30T00:16:00"/>
    <x v="31"/>
    <s v="Equipos auxiliares"/>
    <s v="Inspección"/>
    <x v="0"/>
    <x v="0"/>
    <s v="Revisión de funcionamiento y parámetros de trabajo"/>
    <s v=""/>
    <x v="0"/>
    <x v="0"/>
    <s v=""/>
    <s v=""/>
    <s v=""/>
    <x v="0"/>
    <x v="0"/>
    <x v="15"/>
  </r>
  <r>
    <x v="65"/>
    <s v="Cesar Quiroz"/>
    <s v="NOCHE"/>
    <d v="1899-12-30T21:37:00"/>
    <d v="1899-12-30T21:51:00"/>
    <d v="1899-12-30T00:14:00"/>
    <x v="15"/>
    <s v="Maquinaria"/>
    <s v="SET UP"/>
    <x v="0"/>
    <x v="0"/>
    <s v="Retiro de usillo para limpieza"/>
    <s v=""/>
    <x v="98"/>
    <x v="0"/>
    <s v=""/>
    <s v=""/>
    <s v=""/>
    <x v="14"/>
    <x v="1"/>
    <x v="15"/>
  </r>
  <r>
    <x v="65"/>
    <s v="Cesar Quiroz"/>
    <s v="NOCHE"/>
    <d v="1899-12-30T22:03:00"/>
    <d v="1899-12-30T22:30:00"/>
    <d v="1899-12-30T00:27:00"/>
    <x v="26"/>
    <s v="Maquinaria"/>
    <s v="Ajuste /Calibracion"/>
    <x v="1"/>
    <x v="1"/>
    <s v="Banda se va a un costado, estante suelto y torcido"/>
    <s v="Se enderezó posición de estante y se ajusto soportes, se regulo posición de banda, se tenso y se regulo polin "/>
    <x v="0"/>
    <x v="0"/>
    <s v=""/>
    <s v=""/>
    <s v=""/>
    <x v="76"/>
    <x v="0"/>
    <x v="15"/>
  </r>
  <r>
    <x v="65"/>
    <s v="Cesar Quiroz"/>
    <s v="NOCHE"/>
    <d v="1899-12-30T22:38:00"/>
    <d v="1899-12-30T22:55:00"/>
    <d v="1899-12-30T00:17:00"/>
    <x v="15"/>
    <s v="Maquinaria"/>
    <s v="Lubricación"/>
    <x v="0"/>
    <x v="0"/>
    <s v="Lubricacion, colocación de usillo y habilitación de mds formato agregados x50"/>
    <s v=""/>
    <x v="98"/>
    <x v="1"/>
    <s v="Mds"/>
    <s v=""/>
    <s v=""/>
    <x v="174"/>
    <x v="1"/>
    <x v="15"/>
  </r>
  <r>
    <x v="65"/>
    <s v="Cesar Quiroz"/>
    <s v="NOCHE"/>
    <d v="1899-12-30T23:06:00"/>
    <d v="1899-12-30T23:58:00"/>
    <d v="1899-12-30T00:52:00"/>
    <x v="3"/>
    <s v="Maquinaria"/>
    <s v="Ajuste /Calibracion"/>
    <x v="1"/>
    <x v="1"/>
    <s v="Laminado se sale, sellado de discos no sale bien, laminado se mueve "/>
    <s v="Se apoyo en regulación de tensión de bobina, modificación de parámetros de temperatura y velocidad "/>
    <x v="0"/>
    <x v="0"/>
    <s v=""/>
    <s v=""/>
    <s v=""/>
    <x v="175"/>
    <x v="0"/>
    <x v="15"/>
  </r>
  <r>
    <x v="65"/>
    <s v="Cesar Quiroz"/>
    <s v="NOCHE"/>
    <d v="1899-12-30T00:03:00"/>
    <d v="1899-12-30T00:24:00"/>
    <d v="1899-12-30T00:21:00"/>
    <x v="39"/>
    <s v="Maquinaria"/>
    <s v="Inspección"/>
    <x v="0"/>
    <x v="0"/>
    <s v="Revisión de funcionamiento de equipo"/>
    <s v=""/>
    <x v="0"/>
    <x v="0"/>
    <s v=""/>
    <s v=""/>
    <s v=""/>
    <x v="0"/>
    <x v="0"/>
    <x v="15"/>
  </r>
  <r>
    <x v="65"/>
    <s v="Cesar Quiroz"/>
    <s v="NOCHE"/>
    <d v="1899-12-30T00:49:00"/>
    <d v="1899-12-30T01:18:00"/>
    <d v="1899-12-30T00:29:00"/>
    <x v="66"/>
    <s v="Maquinaria"/>
    <s v="SET UP"/>
    <x v="0"/>
    <x v="0"/>
    <s v="Sensor retirado para limpieza"/>
    <s v="Se colocó sensor , se regulo posición y se habilitó equipo"/>
    <x v="40"/>
    <x v="0"/>
    <s v=""/>
    <s v=""/>
    <s v=""/>
    <x v="14"/>
    <x v="1"/>
    <x v="15"/>
  </r>
  <r>
    <x v="65"/>
    <s v="Cesar Quiroz"/>
    <s v="NOCHE"/>
    <d v="1899-12-30T01:31:00"/>
    <d v="1899-12-30T01:56:00"/>
    <d v="1899-12-30T00:25:00"/>
    <x v="3"/>
    <s v="Maquinaria"/>
    <s v="Ajuste /Calibracion"/>
    <x v="1"/>
    <x v="2"/>
    <s v="Acumulación de producto en entrada"/>
    <s v="Se regulo velocidad de bandas, se regulo posición de guiadores, se ajusto sensor"/>
    <x v="0"/>
    <x v="0"/>
    <s v=""/>
    <s v=""/>
    <s v=""/>
    <x v="31"/>
    <x v="0"/>
    <x v="15"/>
  </r>
  <r>
    <x v="65"/>
    <s v="Cesar Quiroz"/>
    <s v="NOCHE"/>
    <d v="1899-12-30T02:08:00"/>
    <d v="1899-12-30T02:26:00"/>
    <d v="1899-12-30T00:18:00"/>
    <x v="26"/>
    <s v="Maquinaria"/>
    <s v="Ajuste /Calibracion"/>
    <x v="1"/>
    <x v="1"/>
    <s v="Expulsión de papel sin producto"/>
    <s v="Se regulo posición de sensor, se realizó pruebas"/>
    <x v="0"/>
    <x v="0"/>
    <s v=""/>
    <s v=""/>
    <s v=""/>
    <x v="105"/>
    <x v="0"/>
    <x v="15"/>
  </r>
  <r>
    <x v="65"/>
    <s v="Cesar Quiroz"/>
    <s v="NOCHE"/>
    <d v="1899-12-30T02:49:00"/>
    <d v="1899-12-30T03:16:00"/>
    <d v="1899-12-30T00:27:00"/>
    <x v="17"/>
    <s v="Maquinaria"/>
    <s v="Ajuste /Calibracion"/>
    <x v="0"/>
    <x v="3"/>
    <s v="Revisión de funcionamiento y ajuste de guías en salida de producto "/>
    <s v=""/>
    <x v="8"/>
    <x v="0"/>
    <s v=""/>
    <s v=""/>
    <s v=""/>
    <x v="28"/>
    <x v="1"/>
    <x v="15"/>
  </r>
  <r>
    <x v="65"/>
    <s v="Cesar Quiroz"/>
    <s v="NOCHE"/>
    <d v="1899-12-30T04:16:00"/>
    <d v="1899-12-30T04:50:00"/>
    <d v="1899-12-30T00:34:00"/>
    <x v="15"/>
    <s v="Maquinaria"/>
    <s v="SET UP"/>
    <x v="0"/>
    <x v="0"/>
    <s v="Desarmado de formato agregados x50 en mds"/>
    <s v=""/>
    <x v="0"/>
    <x v="1"/>
    <s v="Mds"/>
    <s v=""/>
    <s v=""/>
    <x v="2"/>
    <x v="1"/>
    <x v="15"/>
  </r>
  <r>
    <x v="65"/>
    <s v="Cesar Quiroz"/>
    <s v="NOCHE"/>
    <d v="1899-12-30T04:52:00"/>
    <d v="1899-12-30T05:32:00"/>
    <d v="1899-12-30T00:40:00"/>
    <x v="15"/>
    <s v="Maquinaria"/>
    <s v="SET UP"/>
    <x v="0"/>
    <x v="0"/>
    <s v="Armado de formato cremas en mds"/>
    <s v=""/>
    <x v="0"/>
    <x v="1"/>
    <s v="Mds"/>
    <s v=""/>
    <s v=""/>
    <x v="2"/>
    <x v="1"/>
    <x v="15"/>
  </r>
  <r>
    <x v="65"/>
    <s v="JOSÉ HAÑARI"/>
    <s v="TARDE"/>
    <d v="1899-12-30T12:50:00"/>
    <d v="1899-12-30T13:30:00"/>
    <d v="1899-12-30T00:40:00"/>
    <x v="3"/>
    <s v="Maquinaria"/>
    <s v="Reparacion"/>
    <x v="1"/>
    <x v="1"/>
    <s v="Se completa pernos faltantes y se arma limpiezadores de polines "/>
    <s v=""/>
    <x v="0"/>
    <x v="0"/>
    <s v=""/>
    <s v=""/>
    <s v=""/>
    <x v="0"/>
    <x v="0"/>
    <x v="15"/>
  </r>
  <r>
    <x v="65"/>
    <s v="JOSÉ HAÑARI"/>
    <s v="TARDE"/>
    <d v="1899-12-30T13:40:00"/>
    <d v="1899-12-30T13:50:00"/>
    <d v="1899-12-30T00:10:00"/>
    <x v="66"/>
    <s v="Maquinaria"/>
    <s v="SET UP"/>
    <x v="0"/>
    <x v="3"/>
    <s v="Se retira cuchilla para limpieza "/>
    <s v=""/>
    <x v="31"/>
    <x v="0"/>
    <s v=""/>
    <s v=""/>
    <s v=""/>
    <x v="14"/>
    <x v="1"/>
    <x v="15"/>
  </r>
  <r>
    <x v="65"/>
    <s v="JOSÉ HAÑARI"/>
    <s v="TARDE"/>
    <d v="1899-12-30T14:15:00"/>
    <d v="1899-12-30T14:30:00"/>
    <d v="1899-12-30T00:15:00"/>
    <x v="101"/>
    <s v="Maquinaria"/>
    <s v="Reparacion"/>
    <x v="1"/>
    <x v="1"/>
    <s v="Se pone empaque a la olla stephan"/>
    <s v=""/>
    <x v="0"/>
    <x v="0"/>
    <s v=""/>
    <s v=""/>
    <s v=""/>
    <x v="0"/>
    <x v="0"/>
    <x v="15"/>
  </r>
  <r>
    <x v="65"/>
    <s v="JOSÉ HAÑARI"/>
    <s v="TARDE"/>
    <d v="1899-12-30T15:00:00"/>
    <d v="1899-12-30T15:30:00"/>
    <d v="1899-12-30T00:30:00"/>
    <x v="32"/>
    <s v="Maquinaria"/>
    <s v="Limpieza"/>
    <x v="1"/>
    <x v="1"/>
    <s v="Codobde molino de villas con chocolate seco "/>
    <s v="Se realiza el retiro de chocolate secos y se limpia "/>
    <x v="0"/>
    <x v="0"/>
    <s v=""/>
    <s v=""/>
    <s v=""/>
    <x v="168"/>
    <x v="0"/>
    <x v="15"/>
  </r>
  <r>
    <x v="65"/>
    <s v="JOSÉ HAÑARI"/>
    <s v="TARDE"/>
    <d v="1899-12-30T15:40:00"/>
    <d v="1899-12-30T16:00:00"/>
    <d v="1899-12-30T00:20:00"/>
    <x v="66"/>
    <s v="Maquinaria"/>
    <s v="Ajuste /Calibracion"/>
    <x v="1"/>
    <x v="2"/>
    <s v="Sensor de regilla no detecta "/>
    <s v="Se regula sensor de regilla de refinadora para q pasen chocolate blanco "/>
    <x v="0"/>
    <x v="0"/>
    <s v=""/>
    <s v=""/>
    <s v=""/>
    <x v="0"/>
    <x v="0"/>
    <x v="15"/>
  </r>
  <r>
    <x v="65"/>
    <s v="JOSÉ HAÑARI"/>
    <s v="MAÑANA"/>
    <d v="1899-12-30T12:47:00"/>
    <d v="1899-12-30T13:00:00"/>
    <d v="1899-12-30T00:13:00"/>
    <x v="7"/>
    <s v="Maquinaria"/>
    <s v="Limpieza"/>
    <x v="1"/>
    <x v="1"/>
    <s v="Cuchilla no realiza corte "/>
    <s v="Se atoro con producto se realizo limpieza "/>
    <x v="0"/>
    <x v="0"/>
    <s v=""/>
    <s v=""/>
    <s v=""/>
    <x v="0"/>
    <x v="0"/>
    <x v="15"/>
  </r>
  <r>
    <x v="65"/>
    <s v="JOSÉ HAÑARI"/>
    <s v="TARDE"/>
    <d v="1899-12-30T17:48:00"/>
    <d v="1899-12-30T18:30:00"/>
    <d v="1899-12-30T00:42:00"/>
    <x v="2"/>
    <s v="Maquinaria"/>
    <s v="Coordinacion"/>
    <x v="0"/>
    <x v="3"/>
    <s v="Se realiza traslado de piezas de hacos a almacén "/>
    <s v=""/>
    <x v="0"/>
    <x v="0"/>
    <s v=""/>
    <s v=""/>
    <s v=""/>
    <x v="0"/>
    <x v="0"/>
    <x v="15"/>
  </r>
  <r>
    <x v="65"/>
    <s v="JOSÉ HAÑARI"/>
    <s v="TARDE"/>
    <d v="1899-12-30T20:00:00"/>
    <d v="1899-12-30T20:30:00"/>
    <d v="1899-12-30T00:30:00"/>
    <x v="84"/>
    <s v="Area"/>
    <s v="SET UP"/>
    <x v="0"/>
    <x v="3"/>
    <s v="Se arma imán en laboratorio "/>
    <s v=""/>
    <x v="0"/>
    <x v="0"/>
    <s v=""/>
    <s v=""/>
    <s v=""/>
    <x v="0"/>
    <x v="0"/>
    <x v="15"/>
  </r>
  <r>
    <x v="65"/>
    <s v="Omar Nina"/>
    <s v="TARDE"/>
    <d v="1899-12-30T13:00:00"/>
    <d v="1899-12-30T15:15:00"/>
    <d v="1899-12-30T02:15:00"/>
    <x v="45"/>
    <s v="Equipos auxiliares"/>
    <s v="Inspección"/>
    <x v="0"/>
    <x v="0"/>
    <s v="Verificación de funcionamiento de equipo "/>
    <s v=""/>
    <x v="0"/>
    <x v="0"/>
    <s v=""/>
    <s v=""/>
    <s v=""/>
    <x v="0"/>
    <x v="0"/>
    <x v="15"/>
  </r>
  <r>
    <x v="65"/>
    <s v="Omar Nina"/>
    <s v="TARDE"/>
    <d v="1899-12-30T13:30:00"/>
    <d v="1899-12-30T14:08:00"/>
    <d v="1899-12-30T00:38:00"/>
    <x v="50"/>
    <s v="Maquinaria"/>
    <s v="Sustitucion"/>
    <x v="1"/>
    <x v="1"/>
    <s v="Malla se detiene por momentos. Piñón de teflón le faltan 2 dientes."/>
    <s v="Sustitución de piñón y verificación de funcionamiento "/>
    <x v="0"/>
    <x v="0"/>
    <s v=""/>
    <s v=""/>
    <s v=""/>
    <x v="124"/>
    <x v="0"/>
    <x v="15"/>
  </r>
  <r>
    <x v="65"/>
    <s v="Omar Nina"/>
    <s v="TARDE"/>
    <d v="1899-12-30T14:14:00"/>
    <d v="1899-12-30T14:25:00"/>
    <d v="1899-12-30T00:11:00"/>
    <x v="26"/>
    <s v="Maquinaria"/>
    <s v="Ajuste /Calibracion"/>
    <x v="1"/>
    <x v="2"/>
    <s v="Sensores de producto no se activa."/>
    <s v="Calibración de posición y sensibilidad de sensor de producto."/>
    <x v="0"/>
    <x v="0"/>
    <s v=""/>
    <s v=""/>
    <s v=""/>
    <x v="0"/>
    <x v="0"/>
    <x v="15"/>
  </r>
  <r>
    <x v="65"/>
    <s v="Omar Nina"/>
    <s v="TARDE"/>
    <d v="1899-12-30T14:30:00"/>
    <d v="1899-12-30T15:00:00"/>
    <d v="1899-12-30T00:30:00"/>
    <x v="15"/>
    <s v="Maquinaria"/>
    <s v="SET UP"/>
    <x v="0"/>
    <x v="0"/>
    <s v="Armado de equipo para agregados x50."/>
    <s v="Apoyo en armado de equipo "/>
    <x v="0"/>
    <x v="0"/>
    <s v=""/>
    <s v=""/>
    <s v=""/>
    <x v="0"/>
    <x v="0"/>
    <x v="15"/>
  </r>
  <r>
    <x v="65"/>
    <s v="Omar Nina"/>
    <s v="TARDE"/>
    <d v="1899-12-30T15:02:00"/>
    <d v="1899-12-30T15:20:00"/>
    <d v="1899-12-30T00:18:00"/>
    <x v="15"/>
    <s v="Maquinaria"/>
    <s v="SET UP"/>
    <x v="1"/>
    <x v="1"/>
    <s v="Temperatura de agua fría en temperadora no baja de 27°"/>
    <s v="Verificación de presión y aumento de refrigerante en compresor de temperadora."/>
    <x v="0"/>
    <x v="11"/>
    <s v="Temperadora"/>
    <s v=""/>
    <s v=""/>
    <x v="0"/>
    <x v="1"/>
    <x v="15"/>
  </r>
  <r>
    <x v="65"/>
    <s v="Omar Nina"/>
    <s v="TARDE"/>
    <d v="1899-12-30T15:30:00"/>
    <d v="1899-12-30T15:44:00"/>
    <d v="1899-12-30T00:14:00"/>
    <x v="47"/>
    <s v="Maquinaria"/>
    <s v="SET UP"/>
    <x v="1"/>
    <x v="2"/>
    <s v="Robot de descarga suelta productos anticipadamente."/>
    <s v="Configuración de parámetros de robot. Queda operativo "/>
    <x v="0"/>
    <x v="9"/>
    <s v="Robot"/>
    <s v=""/>
    <s v=""/>
    <x v="176"/>
    <x v="1"/>
    <x v="15"/>
  </r>
  <r>
    <x v="65"/>
    <s v="Omar Nina"/>
    <s v="TARDE"/>
    <d v="1899-12-30T15:45:00"/>
    <d v="1899-12-30T16:05:00"/>
    <d v="1899-12-30T00:20:00"/>
    <x v="15"/>
    <s v="Maquinaria"/>
    <s v="Inspección"/>
    <x v="0"/>
    <x v="0"/>
    <s v="Verificación de correcto funcionamiento de desmolde de producto."/>
    <s v=""/>
    <x v="99"/>
    <x v="0"/>
    <s v=""/>
    <s v=""/>
    <s v=""/>
    <x v="34"/>
    <x v="1"/>
    <x v="15"/>
  </r>
  <r>
    <x v="65"/>
    <s v="Omar Nina"/>
    <s v="TARDE"/>
    <d v="1899-12-30T16:12:00"/>
    <d v="1899-12-30T16:30:00"/>
    <d v="1899-12-30T00:18:00"/>
    <x v="49"/>
    <s v="Maquinaria"/>
    <s v="Capacitacion"/>
    <x v="0"/>
    <x v="0"/>
    <s v="Producción requiere poner a temperar extensión de bañadora"/>
    <s v="Capacitación de procedimiento para poner a temperar equipo."/>
    <x v="0"/>
    <x v="4"/>
    <s v="Extension"/>
    <s v=""/>
    <s v=""/>
    <x v="0"/>
    <x v="1"/>
    <x v="15"/>
  </r>
  <r>
    <x v="65"/>
    <s v="Omar Nina"/>
    <s v="TARDE"/>
    <d v="1899-12-30T16:35:00"/>
    <d v="1899-12-30T16:48:00"/>
    <d v="1899-12-30T00:13:00"/>
    <x v="15"/>
    <s v="Maquinaria"/>
    <s v="SET UP"/>
    <x v="1"/>
    <x v="2"/>
    <s v="Temperatura de calefactor de moldes no calienta lo suficiente."/>
    <s v="Se configura setpoin de calefactor y se verifica funcionamiento."/>
    <x v="0"/>
    <x v="0"/>
    <s v=""/>
    <s v=""/>
    <s v=""/>
    <x v="65"/>
    <x v="0"/>
    <x v="15"/>
  </r>
  <r>
    <x v="65"/>
    <s v="Omar Nina"/>
    <s v="TARDE"/>
    <d v="1899-12-30T17:00:00"/>
    <d v="1899-12-30T17:35:00"/>
    <d v="1899-12-30T00:35:00"/>
    <x v="44"/>
    <s v="Maquinaria"/>
    <s v="SET UP"/>
    <x v="1"/>
    <x v="2"/>
    <s v="Producto no cae de la tolva, fajas de transporte se quedan en falla."/>
    <s v="Se reinicia tablero de fajas y se vuelve a cargar receta "/>
    <x v="0"/>
    <x v="0"/>
    <s v=""/>
    <s v=""/>
    <s v=""/>
    <x v="52"/>
    <x v="0"/>
    <x v="15"/>
  </r>
  <r>
    <x v="65"/>
    <s v="Omar Nina"/>
    <s v="TARDE"/>
    <d v="1899-12-30T17:43:00"/>
    <d v="1899-12-30T18:20:00"/>
    <d v="1899-12-30T00:37:00"/>
    <x v="26"/>
    <s v="Maquinaria"/>
    <s v="SET UP"/>
    <x v="1"/>
    <x v="1"/>
    <s v="Contraelevador se mueve y choca con las pinzas"/>
    <s v="Se retira contraelevador y se ajusta piezas."/>
    <x v="0"/>
    <x v="15"/>
    <s v="Contraelevador"/>
    <s v=""/>
    <s v=""/>
    <x v="177"/>
    <x v="1"/>
    <x v="15"/>
  </r>
  <r>
    <x v="66"/>
    <s v="Carlos Puma"/>
    <s v="MAÑANA"/>
    <s v="07:45"/>
    <s v="08:30"/>
    <d v="1899-12-30T00:45:00"/>
    <x v="3"/>
    <s v="Maquinaria"/>
    <s v="Ajuste /Calibracion"/>
    <x v="1"/>
    <x v="1"/>
    <s v="Regulación de fajas guías "/>
    <s v="Se regulo pocision y velocidad de fajas guías y de fajas de transporte "/>
    <x v="0"/>
    <x v="0"/>
    <s v=""/>
    <s v=""/>
    <s v=""/>
    <x v="0"/>
    <x v="0"/>
    <x v="15"/>
  </r>
  <r>
    <x v="66"/>
    <s v="Carlos Puma"/>
    <s v="MAÑANA"/>
    <s v="08:35"/>
    <s v="09:00"/>
    <d v="1899-12-30T00:25:00"/>
    <x v="70"/>
    <s v="Maquinaria"/>
    <s v="Seguimiento / Pruebas"/>
    <x v="1"/>
    <x v="1"/>
    <s v="No transporta de tolva de almacenamiento a tolva de tostador"/>
    <s v="Se apoyó en revisión , se  operó canciones manualmente "/>
    <x v="0"/>
    <x v="0"/>
    <s v=""/>
    <s v=""/>
    <s v=""/>
    <x v="0"/>
    <x v="0"/>
    <x v="15"/>
  </r>
  <r>
    <x v="66"/>
    <s v="Carlos Puma"/>
    <s v="MAÑANA"/>
    <s v="09:20"/>
    <s v="09:40"/>
    <d v="1899-12-30T00:20:00"/>
    <x v="3"/>
    <s v="Maquinaria"/>
    <s v="Seguimiento / Pruebas"/>
    <x v="0"/>
    <x v="0"/>
    <s v="Se dió seguimiento al transporte y empaquetado"/>
    <s v=""/>
    <x v="84"/>
    <x v="0"/>
    <s v=""/>
    <s v=""/>
    <s v=""/>
    <x v="0"/>
    <x v="1"/>
    <x v="15"/>
  </r>
  <r>
    <x v="66"/>
    <s v="Carlos Puma"/>
    <s v="MAÑANA"/>
    <s v="09:50"/>
    <s v="10:20"/>
    <d v="1899-12-30T00:30:00"/>
    <x v="70"/>
    <s v="Maquinaria"/>
    <s v="Capacitacion"/>
    <x v="0"/>
    <x v="0"/>
    <s v="Capacitación de uso de equipo "/>
    <s v=""/>
    <x v="0"/>
    <x v="0"/>
    <s v=""/>
    <s v=""/>
    <s v=""/>
    <x v="0"/>
    <x v="0"/>
    <x v="15"/>
  </r>
  <r>
    <x v="66"/>
    <s v="Carlos Puma"/>
    <s v="MAÑANA"/>
    <s v="11:30"/>
    <s v="12:10"/>
    <d v="1899-12-30T00:40:00"/>
    <x v="28"/>
    <s v="Maquinaria"/>
    <s v="SET UP"/>
    <x v="0"/>
    <x v="0"/>
    <s v="Apoyó en pruebas de formato pastillas x300"/>
    <s v=""/>
    <x v="82"/>
    <x v="0"/>
    <s v=""/>
    <s v=""/>
    <s v=""/>
    <x v="2"/>
    <x v="1"/>
    <x v="15"/>
  </r>
  <r>
    <x v="66"/>
    <s v="Carlos Puma"/>
    <s v="MAÑANA"/>
    <s v="12:15"/>
    <s v="12:40"/>
    <d v="1899-12-30T00:25:00"/>
    <x v="43"/>
    <s v="Sistema"/>
    <s v="Reparacion"/>
    <x v="1"/>
    <x v="1"/>
    <s v="Bomba de agua potable desebada"/>
    <s v="Se hizo el cambio de pozo y se sebo bomba"/>
    <x v="0"/>
    <x v="0"/>
    <s v=""/>
    <s v=""/>
    <s v=""/>
    <x v="0"/>
    <x v="0"/>
    <x v="15"/>
  </r>
  <r>
    <x v="66"/>
    <s v="Carlos Puma"/>
    <s v="MAÑANA"/>
    <s v="13:15"/>
    <s v="14:00"/>
    <d v="1899-12-30T00:45:00"/>
    <x v="28"/>
    <s v="Maquinaria"/>
    <s v="SET UP"/>
    <x v="0"/>
    <x v="0"/>
    <s v="Apoyó en pruebas de formato pastillas x300"/>
    <s v=""/>
    <x v="82"/>
    <x v="0"/>
    <s v=""/>
    <s v=""/>
    <s v=""/>
    <x v="2"/>
    <x v="1"/>
    <x v="15"/>
  </r>
  <r>
    <x v="66"/>
    <s v="CARLOS TAPIA"/>
    <s v="MAÑANA"/>
    <s v="06:00"/>
    <s v="07:40"/>
    <d v="1899-12-30T01:40:00"/>
    <x v="28"/>
    <s v="Maquinaria"/>
    <s v="SET UP"/>
    <x v="0"/>
    <x v="0"/>
    <s v="Cambio de formato para pastillas de 300gramos."/>
    <s v="Se realizó el cambio de piezas para pastillas por 300gr."/>
    <x v="82"/>
    <x v="0"/>
    <s v=""/>
    <s v=""/>
    <s v=""/>
    <x v="2"/>
    <x v="1"/>
    <x v="15"/>
  </r>
  <r>
    <x v="66"/>
    <s v="CARLOS TAPIA"/>
    <s v="MAÑANA"/>
    <s v="07:40"/>
    <s v="08:00"/>
    <d v="1899-12-30T00:20:00"/>
    <x v="70"/>
    <s v="Maquinaria"/>
    <s v="SET UP"/>
    <x v="0"/>
    <x v="0"/>
    <s v="Apoyo en el elevador de cacao de Petroncini, con falla (time maximo de carga)."/>
    <s v="Se revisó y se restableció máquina."/>
    <x v="90"/>
    <x v="0"/>
    <s v=""/>
    <s v=""/>
    <s v=""/>
    <x v="38"/>
    <x v="1"/>
    <x v="15"/>
  </r>
  <r>
    <x v="66"/>
    <s v="Cesar Quiroz"/>
    <s v="NOCHE"/>
    <s v="21:32"/>
    <s v="21:49"/>
    <d v="1899-12-30T00:17:00"/>
    <x v="31"/>
    <s v="Equipos auxiliares"/>
    <s v="Inspección"/>
    <x v="0"/>
    <x v="0"/>
    <s v="Revisión de funcionamiento y parámetros de trabajo "/>
    <s v=""/>
    <x v="0"/>
    <x v="0"/>
    <s v=""/>
    <s v=""/>
    <s v=""/>
    <x v="0"/>
    <x v="0"/>
    <x v="15"/>
  </r>
  <r>
    <x v="66"/>
    <s v="Cesar Quiroz"/>
    <s v="NOCHE"/>
    <s v="21:53"/>
    <s v="22:25"/>
    <d v="1899-12-30T00:32:00"/>
    <x v="39"/>
    <s v="Maquinaria"/>
    <s v="Inspección"/>
    <x v="0"/>
    <x v="0"/>
    <s v="Revisión de funcionamiento de equipo, revisión de sensores y parámetros de equipo"/>
    <s v=""/>
    <x v="40"/>
    <x v="0"/>
    <s v=""/>
    <s v=""/>
    <s v=""/>
    <x v="0"/>
    <x v="1"/>
    <x v="15"/>
  </r>
  <r>
    <x v="66"/>
    <s v="Cesar Quiroz"/>
    <s v="NOCHE"/>
    <s v="22:38"/>
    <s v="23:13"/>
    <d v="1899-12-30T00:35:00"/>
    <x v="94"/>
    <s v="Sistema"/>
    <s v="Reparacion"/>
    <x v="1"/>
    <x v="1"/>
    <s v="No hay presión de agua, bomba desebada"/>
    <s v="Se realizó cambio de uso de pozo, se sebo bomba, se hizo juego de valvulas"/>
    <x v="0"/>
    <x v="0"/>
    <s v=""/>
    <s v=""/>
    <s v=""/>
    <x v="108"/>
    <x v="0"/>
    <x v="15"/>
  </r>
  <r>
    <x v="66"/>
    <s v="Cesar Quiroz"/>
    <s v="NOCHE"/>
    <s v="23:17"/>
    <s v="23:36"/>
    <d v="1899-12-30T00:19:00"/>
    <x v="18"/>
    <s v="Maquinaria"/>
    <s v="SET UP"/>
    <x v="0"/>
    <x v="0"/>
    <s v="Armado de equipo"/>
    <s v=""/>
    <x v="0"/>
    <x v="0"/>
    <s v=""/>
    <s v=""/>
    <s v=""/>
    <x v="0"/>
    <x v="0"/>
    <x v="15"/>
  </r>
  <r>
    <x v="66"/>
    <s v="Cesar Quiroz"/>
    <s v="NOCHE"/>
    <s v="00:02"/>
    <s v="00:24"/>
    <d v="1899-12-30T00:22:00"/>
    <x v="35"/>
    <s v="Maquinaria"/>
    <s v="Ajuste /Calibracion"/>
    <x v="1"/>
    <x v="1"/>
    <s v="Salida de concha falta ajustar, falta tuerca"/>
    <s v="Se consiguió tuerca y se colocó tapas y empaques, "/>
    <x v="0"/>
    <x v="0"/>
    <s v=""/>
    <s v=""/>
    <s v=""/>
    <x v="28"/>
    <x v="0"/>
    <x v="15"/>
  </r>
  <r>
    <x v="66"/>
    <s v="JOSÉ HAÑARI"/>
    <s v="TARDE"/>
    <d v="1899-12-30T13:00:00"/>
    <d v="1899-12-30T13:30:00"/>
    <d v="1899-12-30T00:30:00"/>
    <x v="55"/>
    <s v="Maquinaria"/>
    <s v="Sustitucion"/>
    <x v="1"/>
    <x v="1"/>
    <s v="Empujador de producto de cadena roto"/>
    <s v="Se realiza el remplazo de empujadores "/>
    <x v="0"/>
    <x v="0"/>
    <s v=""/>
    <s v=""/>
    <s v=""/>
    <x v="24"/>
    <x v="0"/>
    <x v="15"/>
  </r>
  <r>
    <x v="66"/>
    <s v="JOSÉ HAÑARI"/>
    <s v="TARDE"/>
    <d v="1899-12-30T13:50:00"/>
    <d v="1899-12-30T14:30:00"/>
    <d v="1899-12-30T00:40:00"/>
    <x v="62"/>
    <s v="Equipos auxiliares"/>
    <s v="Reparacion"/>
    <x v="1"/>
    <x v="1"/>
    <s v="No hay agua caliente en los pisos "/>
    <s v="Se verifica la estación térmica y se deja operativo "/>
    <x v="0"/>
    <x v="0"/>
    <s v=""/>
    <s v=""/>
    <s v=""/>
    <x v="96"/>
    <x v="0"/>
    <x v="15"/>
  </r>
  <r>
    <x v="66"/>
    <s v="JOSÉ HAÑARI"/>
    <s v="TARDE"/>
    <d v="1899-12-30T15:15:00"/>
    <d v="1899-12-30T16:00:00"/>
    <d v="1899-12-30T00:45:00"/>
    <x v="21"/>
    <s v="Area"/>
    <s v="Capacitacion"/>
    <x v="0"/>
    <x v="3"/>
    <s v="Se realiza capacitación de equipo en local anexo ( almacén)"/>
    <s v=""/>
    <x v="0"/>
    <x v="0"/>
    <s v=""/>
    <s v=""/>
    <s v=""/>
    <x v="0"/>
    <x v="0"/>
    <x v="15"/>
  </r>
  <r>
    <x v="66"/>
    <s v="JOSÉ HAÑARI"/>
    <s v="TARDE"/>
    <d v="1899-12-30T16:15:00"/>
    <d v="1899-12-30T17:44:00"/>
    <d v="1899-12-30T01:29:00"/>
    <x v="71"/>
    <s v="Maquinaria"/>
    <s v="Reparacion"/>
    <x v="1"/>
    <x v="1"/>
    <s v="No realiza el sellado adecuadamente "/>
    <s v="Se realiza el seguimiento y pruebas,se cambia fajas de arrastre y se notifica rodamito dañados en equipo "/>
    <x v="0"/>
    <x v="0"/>
    <s v=""/>
    <s v=""/>
    <s v=""/>
    <x v="62"/>
    <x v="0"/>
    <x v="15"/>
  </r>
  <r>
    <x v="66"/>
    <s v="JOSÉ HAÑARI"/>
    <s v="TARDE"/>
    <d v="1899-12-30T17:50:00"/>
    <d v="1899-12-30T18:45:00"/>
    <d v="1899-12-30T00:55:00"/>
    <x v="3"/>
    <s v="Maquinaria"/>
    <s v="SET UP"/>
    <x v="0"/>
    <x v="3"/>
    <s v="Se cambia formato para barra por 50 "/>
    <s v=""/>
    <x v="0"/>
    <x v="0"/>
    <s v=""/>
    <s v=""/>
    <s v=""/>
    <x v="2"/>
    <x v="0"/>
    <x v="15"/>
  </r>
  <r>
    <x v="66"/>
    <s v="JOSÉ HAÑARI"/>
    <s v="TARDE"/>
    <d v="1899-12-30T20:00:00"/>
    <d v="1899-12-30T20:50:00"/>
    <d v="1899-12-30T00:50:00"/>
    <x v="71"/>
    <s v="Maquinaria"/>
    <s v="Seguimiento / Pruebas"/>
    <x v="0"/>
    <x v="3"/>
    <s v="Se realizó pruebas con laminado y producto queda operativa "/>
    <s v=""/>
    <x v="100"/>
    <x v="0"/>
    <s v=""/>
    <s v=""/>
    <s v=""/>
    <x v="50"/>
    <x v="1"/>
    <x v="15"/>
  </r>
  <r>
    <x v="66"/>
    <s v="Omar Nina"/>
    <s v="TARDE"/>
    <s v="13:04"/>
    <s v="13:25"/>
    <d v="1899-12-30T00:21:00"/>
    <x v="45"/>
    <s v="Equipos auxiliares"/>
    <s v="Inspección"/>
    <x v="0"/>
    <x v="0"/>
    <s v="Inspección de equipo "/>
    <s v=""/>
    <x v="0"/>
    <x v="0"/>
    <s v=""/>
    <s v=""/>
    <s v=""/>
    <x v="0"/>
    <x v="0"/>
    <x v="15"/>
  </r>
  <r>
    <x v="66"/>
    <s v="Omar Nina"/>
    <s v="TARDE"/>
    <s v="13:32"/>
    <s v="14:15"/>
    <d v="1899-12-30T00:43:00"/>
    <x v="27"/>
    <s v="Maquinaria"/>
    <s v="Ajuste /Calibracion"/>
    <x v="1"/>
    <x v="1"/>
    <s v="Tabletas se quiebran, producto se cae antes de llegar a las escobillas "/>
    <s v="Calibracion de posición de escobillas y guías de producto. Calibración de plegadores y altura de elevador "/>
    <x v="0"/>
    <x v="0"/>
    <s v=""/>
    <s v=""/>
    <s v=""/>
    <x v="178"/>
    <x v="0"/>
    <x v="15"/>
  </r>
  <r>
    <x v="66"/>
    <s v="Omar Nina"/>
    <s v="TARDE"/>
    <s v="14:22"/>
    <s v="14:46"/>
    <d v="1899-12-30T00:24:00"/>
    <x v="15"/>
    <s v="Maquinaria"/>
    <s v="Seguimiento / Pruebas"/>
    <x v="0"/>
    <x v="0"/>
    <s v="Supervisor de turno reporta fallas de sensores."/>
    <s v="Se da seguimiento a equipo, no presenta ningún problema."/>
    <x v="40"/>
    <x v="0"/>
    <s v=""/>
    <s v=""/>
    <s v=""/>
    <x v="0"/>
    <x v="1"/>
    <x v="15"/>
  </r>
  <r>
    <x v="66"/>
    <s v="Omar Nina"/>
    <s v="TARDE"/>
    <s v="14:55"/>
    <s v="15:15"/>
    <d v="1899-12-30T00:20:00"/>
    <x v="107"/>
    <s v="Maquinaria"/>
    <s v="SET UP"/>
    <x v="1"/>
    <x v="2"/>
    <s v="Producto no cae de la tolva."/>
    <s v="Se reinicia tablero de fajas y se inicia proceso "/>
    <x v="0"/>
    <x v="0"/>
    <s v=""/>
    <s v=""/>
    <s v=""/>
    <x v="52"/>
    <x v="0"/>
    <x v="15"/>
  </r>
  <r>
    <x v="66"/>
    <s v="Omar Nina"/>
    <s v="TARDE"/>
    <s v="15:25"/>
    <s v="16:00"/>
    <d v="1899-12-30T00:35:00"/>
    <x v="40"/>
    <s v="Maquinaria"/>
    <s v="Ajuste /Calibracion"/>
    <x v="1"/>
    <x v="1"/>
    <s v="No cae chocolate, columna demasiado fría."/>
    <s v="Calentado de tuberías y columna, configuración de parámetros de temperado."/>
    <x v="0"/>
    <x v="2"/>
    <s v="Columna"/>
    <s v=""/>
    <s v=""/>
    <x v="52"/>
    <x v="1"/>
    <x v="15"/>
  </r>
  <r>
    <x v="66"/>
    <s v="Omar Nina"/>
    <s v="TARDE"/>
    <s v="16:10"/>
    <s v="16:35"/>
    <d v="1899-12-30T00:25:00"/>
    <x v="15"/>
    <s v="Maquinaria"/>
    <s v="SET UP"/>
    <x v="0"/>
    <x v="0"/>
    <s v="Desarmado de MDS para limpieza, formato frambuesa "/>
    <s v=""/>
    <x v="0"/>
    <x v="1"/>
    <s v="Mds"/>
    <s v=""/>
    <s v=""/>
    <x v="2"/>
    <x v="1"/>
    <x v="15"/>
  </r>
  <r>
    <x v="66"/>
    <s v="Omar Nina"/>
    <s v="TARDE"/>
    <s v="16:42"/>
    <s v="17:10"/>
    <d v="1899-12-30T00:28:00"/>
    <x v="3"/>
    <s v="Maquinaria"/>
    <s v="Ajuste /Calibracion"/>
    <x v="1"/>
    <x v="1"/>
    <s v="Inspección de equipo, faja de alimentación tiene sonido "/>
    <s v="Regulación de presión de rascador respecto a las fajas."/>
    <x v="0"/>
    <x v="0"/>
    <s v=""/>
    <s v=""/>
    <s v=""/>
    <x v="179"/>
    <x v="0"/>
    <x v="15"/>
  </r>
  <r>
    <x v="66"/>
    <s v="Omar Nina"/>
    <s v="TARDE"/>
    <s v="17:13"/>
    <s v="17:40"/>
    <d v="1899-12-30T00:27:00"/>
    <x v="15"/>
    <s v="Maquinaria"/>
    <s v="SET UP"/>
    <x v="0"/>
    <x v="0"/>
    <s v="Armado de MDS para fondy menta"/>
    <s v=""/>
    <x v="0"/>
    <x v="1"/>
    <s v="Mds"/>
    <s v=""/>
    <s v=""/>
    <x v="0"/>
    <x v="1"/>
    <x v="15"/>
  </r>
  <r>
    <x v="66"/>
    <s v="Omar Nina"/>
    <s v="TARDE"/>
    <s v="18:30"/>
    <s v="19:00"/>
    <d v="1899-12-30T00:30:00"/>
    <x v="27"/>
    <s v="Maquinaria"/>
    <s v="Sustitucion"/>
    <x v="1"/>
    <x v="1"/>
    <s v="Contraelevador se desacopla, pernos dañados "/>
    <s v="Retiro de piezas y reemplazo de pernos dañados en taller de mantenimiento "/>
    <x v="0"/>
    <x v="15"/>
    <s v="Contraelevador"/>
    <s v=""/>
    <s v=""/>
    <x v="85"/>
    <x v="1"/>
    <x v="15"/>
  </r>
  <r>
    <x v="66"/>
    <s v="Omar Nina"/>
    <s v="TARDE"/>
    <s v="19:06"/>
    <s v="19:20"/>
    <d v="1899-12-30T00:14:00"/>
    <x v="3"/>
    <s v="Maquinaria"/>
    <s v="SET UP"/>
    <x v="0"/>
    <x v="0"/>
    <s v="Apoyo en habilitación de equipo para milky"/>
    <s v=""/>
    <x v="0"/>
    <x v="0"/>
    <s v=""/>
    <s v=""/>
    <s v=""/>
    <x v="0"/>
    <x v="0"/>
    <x v="15"/>
  </r>
  <r>
    <x v="66"/>
    <s v="Omar Nina"/>
    <s v="TARDE"/>
    <s v="19:20"/>
    <s v="19:30"/>
    <d v="1899-12-30T00:10:00"/>
    <x v="39"/>
    <s v="Maquinaria"/>
    <s v="Ajuste /Calibracion"/>
    <x v="1"/>
    <x v="1"/>
    <s v="Unibach no descargar producto, alarma de nivel maximo en unidad de descarga no borra ."/>
    <s v="Se fuerza apertura de de válvula de descarga y se espera vaciado de producto para revisar "/>
    <x v="0"/>
    <x v="0"/>
    <s v=""/>
    <s v=""/>
    <s v=""/>
    <x v="180"/>
    <x v="0"/>
    <x v="15"/>
  </r>
  <r>
    <x v="66"/>
    <s v="Omar Nina"/>
    <s v="TARDE"/>
    <s v="19:45"/>
    <s v="20:45"/>
    <d v="1899-12-30T01:00:00"/>
    <x v="39"/>
    <s v="Maquinaria"/>
    <s v="SET UP"/>
    <x v="0"/>
    <x v="0"/>
    <s v="Se retira sensor de nivel de producto y se realiza limpieza. "/>
    <s v="Instalación y calibración de sensor."/>
    <x v="72"/>
    <x v="0"/>
    <s v=""/>
    <s v=""/>
    <s v=""/>
    <x v="181"/>
    <x v="1"/>
    <x v="15"/>
  </r>
  <r>
    <x v="67"/>
    <s v="Carlos Puma"/>
    <s v="MAÑANA"/>
    <s v="06:00"/>
    <s v="06:10"/>
    <d v="1899-12-30T00:10:00"/>
    <x v="79"/>
    <s v="Maquinaria"/>
    <s v="SET UP"/>
    <x v="0"/>
    <x v="1"/>
    <s v="Se coloco iman guarda y rejillas de tolva de molino de azucar"/>
    <s v=""/>
    <x v="101"/>
    <x v="0"/>
    <s v=""/>
    <s v=""/>
    <s v=""/>
    <x v="0"/>
    <x v="1"/>
    <x v="15"/>
  </r>
  <r>
    <x v="67"/>
    <s v="Carlos Puma"/>
    <s v="MAÑANA"/>
    <s v="08:00"/>
    <s v="09:00"/>
    <d v="1899-12-30T01:00:00"/>
    <x v="28"/>
    <s v="Maquinaria"/>
    <s v="Sustitución"/>
    <x v="0"/>
    <x v="3"/>
    <s v="Se remplazo conector/regulador de aire y se continúa con pruebas de pastillas "/>
    <s v=""/>
    <x v="102"/>
    <x v="0"/>
    <s v=""/>
    <s v=""/>
    <s v=""/>
    <x v="0"/>
    <x v="1"/>
    <x v="15"/>
  </r>
  <r>
    <x v="67"/>
    <s v="Carlos Puma"/>
    <s v="MAÑANA"/>
    <s v="09:10"/>
    <s v="09:20"/>
    <d v="1899-12-30T00:10:00"/>
    <x v="76"/>
    <s v="Maquinaria"/>
    <s v="Ajuste / Calibración"/>
    <x v="0"/>
    <x v="3"/>
    <s v="Apoyó en el ajuste y regulación de quitacola"/>
    <s v=""/>
    <x v="0"/>
    <x v="0"/>
    <s v=""/>
    <s v=""/>
    <s v=""/>
    <x v="28"/>
    <x v="0"/>
    <x v="15"/>
  </r>
  <r>
    <x v="67"/>
    <s v="Carlos Puma"/>
    <s v="MAÑANA"/>
    <s v="09:30"/>
    <s v="09:50"/>
    <d v="1899-12-30T00:20:00"/>
    <x v="85"/>
    <s v="Maquinaria"/>
    <s v="Seguimiento / Pruebas"/>
    <x v="0"/>
    <x v="3"/>
    <s v="Se habilito equipo se apoyó en regulación de temperatura y se hizo pruebas "/>
    <s v=""/>
    <x v="0"/>
    <x v="0"/>
    <s v=""/>
    <s v=""/>
    <s v=""/>
    <x v="0"/>
    <x v="0"/>
    <x v="15"/>
  </r>
  <r>
    <x v="67"/>
    <s v="Carlos Puma"/>
    <s v="MAÑANA"/>
    <s v="09:55"/>
    <s v="10:45"/>
    <d v="1899-12-30T00:50:00"/>
    <x v="29"/>
    <s v="Maquinaria"/>
    <s v="Sustitución"/>
    <x v="1"/>
    <x v="1"/>
    <s v="Se remplazo cuchilla fija y apoyó en la regulación de puntos de goma"/>
    <s v=""/>
    <x v="0"/>
    <x v="0"/>
    <s v=""/>
    <s v=""/>
    <s v=""/>
    <x v="0"/>
    <x v="0"/>
    <x v="15"/>
  </r>
  <r>
    <x v="67"/>
    <s v="CARLOS TAPIA"/>
    <s v="MAÑANA"/>
    <s v="06:10"/>
    <s v="06:25"/>
    <d v="1899-12-30T00:15:00"/>
    <x v="15"/>
    <s v="Maquinaria"/>
    <s v="SET UP"/>
    <x v="0"/>
    <x v="3"/>
    <s v="Desarmar módulo MDS para su limpieza "/>
    <s v="Se retiró piezas para su limpieza "/>
    <x v="0"/>
    <x v="1"/>
    <s v="Mds"/>
    <s v=""/>
    <s v=""/>
    <x v="0"/>
    <x v="1"/>
    <x v="15"/>
  </r>
  <r>
    <x v="67"/>
    <s v="CARLOS TAPIA"/>
    <s v="MAÑANA"/>
    <s v="06:40"/>
    <s v="07:00"/>
    <d v="1899-12-30T00:20:00"/>
    <x v="15"/>
    <s v="Maquinaria"/>
    <s v="SET UP"/>
    <x v="0"/>
    <x v="3"/>
    <s v="Armado de módulo MDS formato cremas ovaladas "/>
    <s v="Se colocó piezas en posición y se habilitó mds"/>
    <x v="0"/>
    <x v="1"/>
    <s v="Mds"/>
    <s v=""/>
    <s v=""/>
    <x v="2"/>
    <x v="1"/>
    <x v="15"/>
  </r>
  <r>
    <x v="67"/>
    <s v="CARLOS TAPIA"/>
    <s v="MAÑANA"/>
    <s v="07:30"/>
    <s v="08:00"/>
    <d v="1899-12-30T00:30:00"/>
    <x v="52"/>
    <s v="Area"/>
    <s v="Limpieza"/>
    <x v="0"/>
    <x v="3"/>
    <s v="Orden y limpieza "/>
    <s v="Se realizó la limpieza de taller de mantenimiento "/>
    <x v="0"/>
    <x v="0"/>
    <s v=""/>
    <s v=""/>
    <s v=""/>
    <x v="0"/>
    <x v="0"/>
    <x v="15"/>
  </r>
  <r>
    <x v="67"/>
    <s v="CARLOS TAPIA"/>
    <s v="MAÑANA"/>
    <s v="10:00"/>
    <s v="10:30"/>
    <d v="1899-12-30T00:30:00"/>
    <x v="85"/>
    <s v="Maquinaria"/>
    <s v="Ajuste / Calibración"/>
    <x v="0"/>
    <x v="3"/>
    <s v="Apoyo en máquina "/>
    <s v="Se calibró máquina para el sellado de bolsas con producto de exportación "/>
    <x v="0"/>
    <x v="0"/>
    <s v=""/>
    <s v=""/>
    <s v=""/>
    <x v="0"/>
    <x v="0"/>
    <x v="15"/>
  </r>
  <r>
    <x v="67"/>
    <s v="CARLOS TAPIA"/>
    <s v="MAÑANA"/>
    <s v="10:45"/>
    <s v="11:00"/>
    <d v="1899-12-30T00:15:00"/>
    <x v="15"/>
    <s v="Maquinaria"/>
    <s v="Ajuste / Calibración"/>
    <x v="1"/>
    <x v="1"/>
    <s v="Pistón B6 tiene un empuje fuerte."/>
    <s v="Se revisó y se reguló el flujo de aire en pistón B6"/>
    <x v="0"/>
    <x v="0"/>
    <s v=""/>
    <s v=""/>
    <s v=""/>
    <x v="0"/>
    <x v="0"/>
    <x v="15"/>
  </r>
  <r>
    <x v="67"/>
    <s v="CARLOS TAPIA"/>
    <s v="MAÑANA"/>
    <s v="11:30"/>
    <s v="13:30"/>
    <d v="1899-12-30T02:00:00"/>
    <x v="28"/>
    <s v="Maquinaria"/>
    <s v="Seguimiento / Pruebas"/>
    <x v="0"/>
    <x v="3"/>
    <s v="Pruebas para pasar producto minimilky en máquina."/>
    <s v="Se creó receta y se cambió piezas para su calibración en máquina."/>
    <x v="8"/>
    <x v="0"/>
    <s v=""/>
    <s v=""/>
    <s v=""/>
    <x v="0"/>
    <x v="1"/>
    <x v="15"/>
  </r>
  <r>
    <x v="67"/>
    <s v="Cesar Quiroz"/>
    <s v="NOCHE"/>
    <s v="21:16"/>
    <s v="21:33"/>
    <d v="1899-12-30T00:17:00"/>
    <x v="31"/>
    <s v="Equipos auxiliares"/>
    <s v="Inspección"/>
    <x v="0"/>
    <x v="3"/>
    <s v="Revisión de funcionamiento y parámetros de trabajo"/>
    <s v=""/>
    <x v="0"/>
    <x v="0"/>
    <s v=""/>
    <s v=""/>
    <s v=""/>
    <x v="0"/>
    <x v="0"/>
    <x v="15"/>
  </r>
  <r>
    <x v="67"/>
    <s v="Cesar Quiroz"/>
    <s v="NOCHE"/>
    <s v="21:40"/>
    <s v="22:06"/>
    <d v="1899-12-30T00:26:00"/>
    <x v="3"/>
    <s v="Maquinaria"/>
    <s v="Ajuste / Calibración"/>
    <x v="1"/>
    <x v="1"/>
    <s v="Producto muy separado, muchos espacios vacios"/>
    <s v="Se regulo velocidad de salida de hacos 2, velocidad de bandas "/>
    <x v="0"/>
    <x v="0"/>
    <s v=""/>
    <s v=""/>
    <s v=""/>
    <x v="0"/>
    <x v="0"/>
    <x v="15"/>
  </r>
  <r>
    <x v="67"/>
    <s v="Cesar Quiroz"/>
    <s v="NOCHE"/>
    <s v="22:12"/>
    <s v="22:29"/>
    <d v="1899-12-30T00:17:00"/>
    <x v="18"/>
    <s v="Maquinaria"/>
    <s v="SET UP"/>
    <x v="0"/>
    <x v="3"/>
    <s v="Armado de equipo"/>
    <s v=""/>
    <x v="0"/>
    <x v="0"/>
    <s v=""/>
    <s v=""/>
    <s v=""/>
    <x v="0"/>
    <x v="0"/>
    <x v="15"/>
  </r>
  <r>
    <x v="67"/>
    <s v="Cesar Quiroz"/>
    <s v="NOCHE"/>
    <s v="22:39"/>
    <s v="22:55"/>
    <d v="1899-12-30T00:16:00"/>
    <x v="47"/>
    <s v="Maquinaria"/>
    <s v="Ajuste / Calibración"/>
    <x v="1"/>
    <x v="1"/>
    <s v="Moldes se juntaron"/>
    <s v="Se bajó empujadores, se ordenó moldes, se limpio zona de torsión y se regulo presión de rascadores"/>
    <x v="0"/>
    <x v="0"/>
    <s v=""/>
    <s v=""/>
    <s v=""/>
    <x v="32"/>
    <x v="0"/>
    <x v="15"/>
  </r>
  <r>
    <x v="67"/>
    <s v="Cesar Quiroz"/>
    <s v="NOCHE"/>
    <s v="23:06"/>
    <s v="23:59"/>
    <d v="1899-12-30T00:53:00"/>
    <x v="17"/>
    <s v="Maquinaria"/>
    <s v="SET UP"/>
    <x v="0"/>
    <x v="3"/>
    <s v="Desarmado de equipo para limpieza y lavados de piezas"/>
    <s v=""/>
    <x v="0"/>
    <x v="0"/>
    <s v=""/>
    <s v=""/>
    <s v=""/>
    <x v="0"/>
    <x v="0"/>
    <x v="15"/>
  </r>
  <r>
    <x v="67"/>
    <s v="Cesar Quiroz"/>
    <s v="NOCHE"/>
    <s v="00:05"/>
    <s v="00:21"/>
    <d v="1899-12-30T00:16:00"/>
    <x v="39"/>
    <s v="Maquinaria"/>
    <s v="Seguimiento / Pruebas"/>
    <x v="0"/>
    <x v="3"/>
    <s v="Revisión de funcionamiento de equipo"/>
    <s v=""/>
    <x v="0"/>
    <x v="0"/>
    <s v=""/>
    <s v=""/>
    <s v=""/>
    <x v="0"/>
    <x v="0"/>
    <x v="15"/>
  </r>
  <r>
    <x v="67"/>
    <s v="Cesar Quiroz"/>
    <s v="NOCHE"/>
    <s v="00:32"/>
    <s v="01:25"/>
    <d v="1899-12-30T00:53:00"/>
    <x v="47"/>
    <s v="Maquinaria"/>
    <s v="Ajuste / Calibración"/>
    <x v="1"/>
    <x v="1"/>
    <s v="Moldes se juntaron, intercambiador de moldes desalineado, velocidad real de equipo con mucha diferencia de velocidad seteada"/>
    <s v="Se reinicio sistema de equipo , se regulo presión de rascador, se alineó intercambiador de moldes, se realizó pruebas"/>
    <x v="0"/>
    <x v="10"/>
    <s v="Intercambiador De Moldes"/>
    <s v=""/>
    <s v=""/>
    <x v="182"/>
    <x v="1"/>
    <x v="15"/>
  </r>
  <r>
    <x v="67"/>
    <s v="Cesar Quiroz"/>
    <s v="NOCHE"/>
    <s v="01:26"/>
    <s v="01:54"/>
    <d v="1899-12-30T00:28:00"/>
    <x v="47"/>
    <s v="Maquinaria"/>
    <s v="Inspección"/>
    <x v="0"/>
    <x v="1"/>
    <s v="Revisión de funcionamiento de intercambiador, y rascador de moldes"/>
    <s v=""/>
    <x v="103"/>
    <x v="0"/>
    <s v=""/>
    <s v=""/>
    <s v=""/>
    <x v="0"/>
    <x v="1"/>
    <x v="15"/>
  </r>
  <r>
    <x v="67"/>
    <s v="Cesar Quiroz"/>
    <s v="NOCHE"/>
    <s v="02:12"/>
    <s v="02:26"/>
    <d v="1899-12-30T00:14:00"/>
    <x v="3"/>
    <s v="Maquinaria"/>
    <s v="Limpieza"/>
    <x v="1"/>
    <x v="1"/>
    <s v="Ruido en bandas"/>
    <s v="Se retiro rascadores y se realizó limpieza, se volvió a colocar"/>
    <x v="0"/>
    <x v="0"/>
    <s v=""/>
    <s v=""/>
    <s v=""/>
    <x v="3"/>
    <x v="0"/>
    <x v="15"/>
  </r>
  <r>
    <x v="67"/>
    <s v="Cesar Quiroz"/>
    <s v="NOCHE"/>
    <s v="02:49"/>
    <s v="03:05"/>
    <d v="1899-12-30T00:16:00"/>
    <x v="18"/>
    <s v="Maquinaria"/>
    <s v="SET UP"/>
    <x v="0"/>
    <x v="3"/>
    <s v="Desarmado de equipo para limpieza "/>
    <s v=""/>
    <x v="0"/>
    <x v="0"/>
    <s v=""/>
    <s v=""/>
    <s v=""/>
    <x v="0"/>
    <x v="0"/>
    <x v="15"/>
  </r>
  <r>
    <x v="67"/>
    <s v="JOSÉ HAÑARI"/>
    <s v="TARDE"/>
    <d v="1899-12-30T13:00:00"/>
    <d v="1899-12-30T14:10:00"/>
    <d v="1899-12-30T01:10:00"/>
    <x v="28"/>
    <s v="Maquinaria"/>
    <s v="Inspección"/>
    <x v="0"/>
    <x v="3"/>
    <s v="Se realiza inspección de equipo por prueba de producto "/>
    <s v=""/>
    <x v="8"/>
    <x v="0"/>
    <s v=""/>
    <s v=""/>
    <s v=""/>
    <x v="0"/>
    <x v="1"/>
    <x v="15"/>
  </r>
  <r>
    <x v="67"/>
    <s v="JOSÉ HAÑARI"/>
    <s v="MAÑANA"/>
    <d v="1899-12-30T14:30:00"/>
    <d v="1899-12-30T15:00:00"/>
    <d v="1899-12-30T00:30:00"/>
    <x v="15"/>
    <s v="Maquinaria"/>
    <s v="Seguimiento / Pruebas"/>
    <x v="1"/>
    <x v="1"/>
    <s v="Temperatura de temperadora osila demasiado "/>
    <s v="Se realiza el llenado de agua en tanques de agua caliente y fría y se realiza seguimiento "/>
    <x v="0"/>
    <x v="11"/>
    <s v="Temperadora"/>
    <s v=""/>
    <s v=""/>
    <x v="0"/>
    <x v="1"/>
    <x v="15"/>
  </r>
  <r>
    <x v="67"/>
    <s v="JOSÉ HAÑARI"/>
    <s v="TARDE"/>
    <d v="1899-12-30T16:00:00"/>
    <d v="1899-12-30T16:20:00"/>
    <d v="1899-12-30T00:20:00"/>
    <x v="3"/>
    <s v="Maquinaria"/>
    <s v="SET UP"/>
    <x v="0"/>
    <x v="3"/>
    <s v="Se cambia formato a mini milky "/>
    <s v=""/>
    <x v="0"/>
    <x v="0"/>
    <s v=""/>
    <s v=""/>
    <s v=""/>
    <x v="2"/>
    <x v="0"/>
    <x v="15"/>
  </r>
  <r>
    <x v="67"/>
    <s v="JOSÉ HAÑARI"/>
    <s v="TARDE"/>
    <d v="1899-12-30T16:40:00"/>
    <d v="1899-12-30T17:00:00"/>
    <d v="1899-12-30T00:20:00"/>
    <x v="44"/>
    <s v="Maquinaria"/>
    <s v="Lubricación"/>
    <x v="0"/>
    <x v="3"/>
    <s v="Se realiza avance de preventivo y engrado"/>
    <s v=""/>
    <x v="0"/>
    <x v="0"/>
    <s v=""/>
    <s v=""/>
    <s v=""/>
    <x v="0"/>
    <x v="0"/>
    <x v="15"/>
  </r>
  <r>
    <x v="67"/>
    <s v="JOSÉ HAÑARI"/>
    <s v="TARDE"/>
    <d v="1899-12-30T17:15:00"/>
    <d v="1899-12-30T18:00:00"/>
    <d v="1899-12-30T00:45:00"/>
    <x v="52"/>
    <s v="Area"/>
    <s v="Coordinacion"/>
    <x v="0"/>
    <x v="3"/>
    <s v="Se lleva equipos a almacén "/>
    <s v=""/>
    <x v="0"/>
    <x v="0"/>
    <s v=""/>
    <s v=""/>
    <s v=""/>
    <x v="0"/>
    <x v="0"/>
    <x v="15"/>
  </r>
  <r>
    <x v="67"/>
    <s v="JOSÉ HAÑARI"/>
    <s v="MAÑANA"/>
    <d v="1899-12-30T19:00:00"/>
    <d v="1899-12-30T19:20:00"/>
    <d v="1899-12-30T00:20:00"/>
    <x v="26"/>
    <s v="Maquinaria"/>
    <s v="Ajuste /Calibracion"/>
    <x v="1"/>
    <x v="1"/>
    <s v="Empujador de vpack rompe producto "/>
    <s v="Se realiza calibración de empujador y sostenedore de producto "/>
    <x v="0"/>
    <x v="0"/>
    <s v=""/>
    <s v=""/>
    <s v=""/>
    <x v="24"/>
    <x v="0"/>
    <x v="15"/>
  </r>
  <r>
    <x v="67"/>
    <s v="Omar Nina"/>
    <s v="TARDE"/>
    <s v="13:10"/>
    <s v="13:55"/>
    <d v="1899-12-30T00:45:00"/>
    <x v="28"/>
    <s v="Maquinaria"/>
    <s v="Ajuste / Calibración"/>
    <x v="0"/>
    <x v="3"/>
    <s v="Apoyo calibración de equipo "/>
    <s v=""/>
    <x v="0"/>
    <x v="0"/>
    <s v=""/>
    <s v=""/>
    <s v=""/>
    <x v="28"/>
    <x v="0"/>
    <x v="15"/>
  </r>
  <r>
    <x v="67"/>
    <s v="Omar Nina"/>
    <s v="TARDE"/>
    <s v="13:58"/>
    <s v="14:15"/>
    <d v="1899-12-30T00:17:00"/>
    <x v="55"/>
    <s v="Maquinaria"/>
    <s v="Inspección"/>
    <x v="0"/>
    <x v="3"/>
    <s v="Inspección de funcionamiento de equipo "/>
    <s v=""/>
    <x v="0"/>
    <x v="0"/>
    <s v=""/>
    <s v=""/>
    <s v=""/>
    <x v="0"/>
    <x v="0"/>
    <x v="15"/>
  </r>
  <r>
    <x v="67"/>
    <s v="Omar Nina"/>
    <s v="TARDE"/>
    <s v="14:20"/>
    <s v="14:40"/>
    <d v="1899-12-30T00:20:00"/>
    <x v="71"/>
    <s v="Maquinaria"/>
    <s v="Seguimiento / Pruebas"/>
    <x v="0"/>
    <x v="3"/>
    <s v="Verificación de funcionamiento de equipo "/>
    <s v=""/>
    <x v="0"/>
    <x v="0"/>
    <s v=""/>
    <s v=""/>
    <s v=""/>
    <x v="0"/>
    <x v="0"/>
    <x v="15"/>
  </r>
  <r>
    <x v="67"/>
    <s v="Omar Nina"/>
    <s v="TARDE"/>
    <s v="14:45"/>
    <s v="14:57"/>
    <d v="1899-12-30T00:12:00"/>
    <x v="26"/>
    <s v="Maquinaria"/>
    <s v="SET UP"/>
    <x v="1"/>
    <x v="1"/>
    <s v="Cambio de formato, operadora solicita verificación de correcto corte de laminado."/>
    <s v="Se regula tirante de cuchilla móvil.  Se requiere reemplazar tirantes de cuchilla de diferentes formatos. Tienen desgaste que dificulta calibración."/>
    <x v="0"/>
    <x v="0"/>
    <s v=""/>
    <s v=""/>
    <s v=""/>
    <x v="183"/>
    <x v="0"/>
    <x v="15"/>
  </r>
  <r>
    <x v="67"/>
    <s v="Omar Nina"/>
    <s v="TARDE"/>
    <s v="15:05"/>
    <s v="15:20"/>
    <d v="1899-12-30T00:15:00"/>
    <x v="15"/>
    <s v="Maquinaria"/>
    <s v="Inspección"/>
    <x v="0"/>
    <x v="3"/>
    <s v="Inspección de temperadora "/>
    <s v=""/>
    <x v="0"/>
    <x v="11"/>
    <s v="Temperadora"/>
    <s v=""/>
    <s v=""/>
    <x v="0"/>
    <x v="1"/>
    <x v="15"/>
  </r>
  <r>
    <x v="67"/>
    <s v="Omar Nina"/>
    <s v="TARDE"/>
    <s v="15:33"/>
    <s v="16:00"/>
    <d v="1899-12-30T00:27:00"/>
    <x v="3"/>
    <s v="Maquinaria"/>
    <s v="Inspección"/>
    <x v="0"/>
    <x v="3"/>
    <s v="Inspección funcionamiento de equipo "/>
    <s v="Apoyo en calibración de expulsión de paquetes vacíos "/>
    <x v="0"/>
    <x v="0"/>
    <s v=""/>
    <s v=""/>
    <s v=""/>
    <x v="0"/>
    <x v="0"/>
    <x v="15"/>
  </r>
  <r>
    <x v="67"/>
    <s v="Omar Nina"/>
    <s v="TARDE"/>
    <d v="1899-12-30T16:15:00"/>
    <d v="1899-12-30T16:40:00"/>
    <d v="1899-12-30T00:25:00"/>
    <x v="52"/>
    <s v="Area"/>
    <s v="Sustitución"/>
    <x v="0"/>
    <x v="3"/>
    <s v="Se reemplaza gomas de pinzas de vpack. Formato que no se está usando."/>
    <s v=""/>
    <x v="104"/>
    <x v="0"/>
    <s v=""/>
    <s v=""/>
    <s v=""/>
    <x v="39"/>
    <x v="1"/>
    <x v="15"/>
  </r>
  <r>
    <x v="67"/>
    <s v="Omar Nina"/>
    <s v="TARDE"/>
    <d v="1899-12-30T17:00:00"/>
    <d v="1899-12-30T17:45:00"/>
    <d v="1899-12-30T00:45:00"/>
    <x v="108"/>
    <s v="Area"/>
    <m/>
    <x v="2"/>
    <x v="3"/>
    <s v="Receso"/>
    <s v=""/>
    <x v="0"/>
    <x v="0"/>
    <s v=""/>
    <s v=""/>
    <s v=""/>
    <x v="0"/>
    <x v="0"/>
    <x v="15"/>
  </r>
  <r>
    <x v="67"/>
    <s v="Omar Nina"/>
    <s v="TARDE"/>
    <d v="1899-12-30T17:55:00"/>
    <d v="1899-12-30T18:30:00"/>
    <d v="1899-12-30T00:35:00"/>
    <x v="26"/>
    <s v="Maquinaria"/>
    <s v="Ajuste / Calibración"/>
    <x v="1"/>
    <x v="2"/>
    <s v="Producto se revienta al ingreso de plato. Sensor de producto se activa por momentos en vacío. "/>
    <s v="Calibración de guías de producto, calibración de posición y sensibilidad de sensor."/>
    <x v="0"/>
    <x v="0"/>
    <s v=""/>
    <s v=""/>
    <s v=""/>
    <x v="0"/>
    <x v="0"/>
    <x v="15"/>
  </r>
  <r>
    <x v="67"/>
    <s v="Omar Nina"/>
    <s v="TARDE"/>
    <d v="1899-12-30T18:40:00"/>
    <d v="1899-12-30T19:31:00"/>
    <d v="1899-12-30T00:51:00"/>
    <x v="106"/>
    <s v="Maquinaria"/>
    <s v="Ajuste / Calibración"/>
    <x v="0"/>
    <x v="3"/>
    <s v="Apoyo a Calidad en la calibración de sensibilidad para diferentes recetas"/>
    <s v=""/>
    <x v="40"/>
    <x v="0"/>
    <s v=""/>
    <s v=""/>
    <s v=""/>
    <x v="28"/>
    <x v="1"/>
    <x v="15"/>
  </r>
  <r>
    <x v="67"/>
    <s v="Omar Nina"/>
    <s v="TARDE"/>
    <d v="1899-12-30T19:40:00"/>
    <d v="1899-12-30T20:20:00"/>
    <d v="1899-12-30T00:40:00"/>
    <x v="26"/>
    <s v="Maquinaria"/>
    <s v="Inspección"/>
    <x v="0"/>
    <x v="3"/>
    <s v="Inspección de correcto funcionamiento de equipo "/>
    <s v=""/>
    <x v="0"/>
    <x v="0"/>
    <s v=""/>
    <s v=""/>
    <s v=""/>
    <x v="0"/>
    <x v="0"/>
    <x v="15"/>
  </r>
  <r>
    <x v="67"/>
    <s v="Omar Nina"/>
    <s v="TARDE"/>
    <d v="1899-12-30T20:30:00"/>
    <d v="1899-12-30T20:45:00"/>
    <d v="1899-12-30T00:15:00"/>
    <x v="15"/>
    <s v="Maquinaria"/>
    <s v="Inspección"/>
    <x v="0"/>
    <x v="3"/>
    <s v="Inspección de robot de desmolde "/>
    <s v=""/>
    <x v="50"/>
    <x v="9"/>
    <s v="Robot"/>
    <s v=""/>
    <s v=""/>
    <x v="34"/>
    <x v="1"/>
    <x v="15"/>
  </r>
  <r>
    <x v="68"/>
    <s v="Carlos Puma"/>
    <s v="MAÑANA"/>
    <s v="06:10"/>
    <s v="06:45"/>
    <d v="1899-12-30T00:35:00"/>
    <x v="15"/>
    <s v="Maquinaria"/>
    <s v="SET UP"/>
    <x v="0"/>
    <x v="3"/>
    <s v="Se desarmo Mds para limpieza  y se armó y inicio equipo "/>
    <s v=""/>
    <x v="0"/>
    <x v="1"/>
    <s v="Mds"/>
    <s v=""/>
    <s v=""/>
    <x v="0"/>
    <x v="1"/>
    <x v="15"/>
  </r>
  <r>
    <x v="68"/>
    <s v="Carlos Puma"/>
    <s v="MAÑANA"/>
    <s v="07:00"/>
    <s v="08:00"/>
    <d v="1899-12-30T01:00:00"/>
    <x v="28"/>
    <s v="Maquinaria"/>
    <s v="SET UP"/>
    <x v="0"/>
    <x v="3"/>
    <s v="Apoyó en cambio de formato a pisco x18"/>
    <s v=""/>
    <x v="0"/>
    <x v="0"/>
    <s v=""/>
    <s v=""/>
    <s v=""/>
    <x v="2"/>
    <x v="0"/>
    <x v="15"/>
  </r>
  <r>
    <x v="68"/>
    <s v="Carlos Puma"/>
    <s v="MAÑANA"/>
    <s v="08:10"/>
    <s v="08:30"/>
    <d v="1899-12-30T00:20:00"/>
    <x v="15"/>
    <s v="Maquinaria"/>
    <s v="SET UP"/>
    <x v="0"/>
    <x v="3"/>
    <s v="Desarme de mds para limpieza "/>
    <s v=""/>
    <x v="0"/>
    <x v="1"/>
    <s v="Mds"/>
    <s v=""/>
    <s v=""/>
    <x v="0"/>
    <x v="1"/>
    <x v="15"/>
  </r>
  <r>
    <x v="68"/>
    <s v="Carlos Puma"/>
    <s v="MAÑANA"/>
    <s v="08:32"/>
    <s v="08:42"/>
    <d v="1899-12-30T00:10:00"/>
    <x v="18"/>
    <s v="Maquinaria"/>
    <s v="SET UP"/>
    <x v="0"/>
    <x v="3"/>
    <s v="Armado de equipo "/>
    <s v=""/>
    <x v="0"/>
    <x v="0"/>
    <s v=""/>
    <s v=""/>
    <s v=""/>
    <x v="0"/>
    <x v="0"/>
    <x v="15"/>
  </r>
  <r>
    <x v="68"/>
    <s v="Carlos Puma"/>
    <s v="MAÑANA"/>
    <s v="08:45"/>
    <s v="09:10"/>
    <d v="1899-12-30T00:25:00"/>
    <x v="15"/>
    <s v="Maquinaria"/>
    <s v="SET UP"/>
    <x v="0"/>
    <x v="3"/>
    <s v="Armado de mds"/>
    <s v=""/>
    <x v="0"/>
    <x v="1"/>
    <s v="Mds"/>
    <s v=""/>
    <s v=""/>
    <x v="0"/>
    <x v="1"/>
    <x v="15"/>
  </r>
  <r>
    <x v="68"/>
    <s v="Carlos Puma"/>
    <s v="MAÑANA"/>
    <s v="10:25"/>
    <s v="10:50"/>
    <d v="1899-12-30T00:25:00"/>
    <x v="43"/>
    <s v="Sistema"/>
    <s v="Reparacion"/>
    <x v="1"/>
    <x v="1"/>
    <s v="Bomba desebada,"/>
    <s v="Se cebó bomba, se verifico presión de agua en diferentes puntos en planta "/>
    <x v="0"/>
    <x v="0"/>
    <s v=""/>
    <s v=""/>
    <s v=""/>
    <x v="0"/>
    <x v="0"/>
    <x v="15"/>
  </r>
  <r>
    <x v="68"/>
    <s v="Carlos Puma"/>
    <s v="MAÑANA"/>
    <s v="11:20"/>
    <s v="11:40"/>
    <d v="1899-12-30T00:20:00"/>
    <x v="5"/>
    <s v="Maquinaria"/>
    <s v="Ajuste /Calibracion"/>
    <x v="1"/>
    <x v="1"/>
    <s v="Arruga papel constantemente, se acumula producto "/>
    <s v="Se remplazo cinta de rodillo de arrastre se regulo sensores y velocidad de fajas "/>
    <x v="0"/>
    <x v="0"/>
    <s v=""/>
    <s v=""/>
    <s v=""/>
    <x v="0"/>
    <x v="0"/>
    <x v="15"/>
  </r>
  <r>
    <x v="68"/>
    <s v="Carlos Puma"/>
    <s v="MAÑANA"/>
    <s v="11:45"/>
    <s v="12:00"/>
    <d v="1899-12-30T00:15:00"/>
    <x v="15"/>
    <s v="Maquinaria"/>
    <s v="SET UP"/>
    <x v="0"/>
    <x v="3"/>
    <s v="Se cambió plancha y pistones de mds"/>
    <s v=""/>
    <x v="105"/>
    <x v="1"/>
    <s v="Mds"/>
    <s v=""/>
    <s v=""/>
    <x v="0"/>
    <x v="1"/>
    <x v="15"/>
  </r>
  <r>
    <x v="68"/>
    <s v="Carlos Puma"/>
    <s v="MAÑANA"/>
    <s v="12:05"/>
    <s v="12:15"/>
    <d v="1899-12-30T00:10:00"/>
    <x v="18"/>
    <s v="Maquinaria"/>
    <s v="SET UP"/>
    <x v="0"/>
    <x v="3"/>
    <s v="Desarme de equipo "/>
    <s v=""/>
    <x v="0"/>
    <x v="0"/>
    <s v=""/>
    <s v=""/>
    <s v=""/>
    <x v="0"/>
    <x v="0"/>
    <x v="15"/>
  </r>
  <r>
    <x v="68"/>
    <s v="Carlos Puma"/>
    <s v="MAÑANA"/>
    <s v="12:20"/>
    <s v="13:40"/>
    <d v="1899-12-30T01:20:00"/>
    <x v="28"/>
    <s v="Maquinaria"/>
    <s v="SET UP"/>
    <x v="0"/>
    <x v="3"/>
    <s v="Cambio de formato de pisco x 18 a pisco x9 , y calibración "/>
    <s v=""/>
    <x v="0"/>
    <x v="0"/>
    <s v=""/>
    <s v=""/>
    <s v=""/>
    <x v="93"/>
    <x v="0"/>
    <x v="15"/>
  </r>
  <r>
    <x v="68"/>
    <s v="Cesar Quiroz"/>
    <s v="NOCHE"/>
    <s v="21:17"/>
    <s v="21:31"/>
    <d v="1899-12-30T00:14:00"/>
    <x v="31"/>
    <s v="Equipos auxiliares"/>
    <s v="Inspección"/>
    <x v="0"/>
    <x v="3"/>
    <s v="Revisión de funcionamiento y parámetros de trabajo"/>
    <s v=""/>
    <x v="0"/>
    <x v="0"/>
    <s v=""/>
    <s v=""/>
    <s v=""/>
    <x v="0"/>
    <x v="0"/>
    <x v="15"/>
  </r>
  <r>
    <x v="68"/>
    <s v="Cesar Quiroz"/>
    <s v="NOCHE"/>
    <s v="21:33"/>
    <s v="21:49"/>
    <d v="1899-12-30T00:16:00"/>
    <x v="94"/>
    <s v="Sistema"/>
    <s v="Reparación"/>
    <x v="1"/>
    <x v="1"/>
    <s v="Baja presión en sistema de agua potable"/>
    <s v="Se realiza el cambio de foto y se realiza cebado de bomba"/>
    <x v="0"/>
    <x v="0"/>
    <s v=""/>
    <s v=""/>
    <s v=""/>
    <x v="108"/>
    <x v="0"/>
    <x v="15"/>
  </r>
  <r>
    <x v="68"/>
    <s v="Cesar Quiroz"/>
    <s v="NOCHE"/>
    <s v="21:52"/>
    <s v="22:24"/>
    <d v="1899-12-30T00:32:00"/>
    <x v="5"/>
    <s v="Maquinaria"/>
    <s v="Sustitución"/>
    <x v="1"/>
    <x v="1"/>
    <s v="Papel aluminio se arruga mucho"/>
    <s v="Se encuentra cinta dañada en polín de arrastre, se retira cinta y se coloca cinta nueva, se realiza pruebas de funcionamiento"/>
    <x v="0"/>
    <x v="0"/>
    <s v=""/>
    <s v=""/>
    <s v=""/>
    <x v="0"/>
    <x v="0"/>
    <x v="15"/>
  </r>
  <r>
    <x v="68"/>
    <s v="Cesar Quiroz"/>
    <s v="NOCHE"/>
    <s v="22:41"/>
    <s v="23:28"/>
    <d v="1899-12-30T00:47:00"/>
    <x v="22"/>
    <s v="Maquinaria"/>
    <s v="Reparación"/>
    <x v="1"/>
    <x v="1"/>
    <s v="Plástico atascado en transmisión de arrastre de bolsa"/>
    <s v="Se desmonta motor y se retira, se libera plástico atascado, se realiza limpieza, y se vuelva a armar, se prueba funcionamiento "/>
    <x v="0"/>
    <x v="0"/>
    <s v=""/>
    <s v=""/>
    <s v=""/>
    <x v="54"/>
    <x v="0"/>
    <x v="15"/>
  </r>
  <r>
    <x v="68"/>
    <s v="Cesar Quiroz"/>
    <s v="NOCHE"/>
    <s v="23:31"/>
    <s v="23:59"/>
    <d v="1899-12-30T00:28:00"/>
    <x v="28"/>
    <s v="Maquinaria"/>
    <s v="Ajuste / Calibración"/>
    <x v="1"/>
    <x v="1"/>
    <s v="Abre fácil fuera de posición, corte a un costado, cajas se pegan"/>
    <s v="Se regulo posición de cuchilla de abre fácil, se regulo presión de cajas, se realizó pruebas de funcionamiento "/>
    <x v="0"/>
    <x v="0"/>
    <s v=""/>
    <s v=""/>
    <s v=""/>
    <x v="184"/>
    <x v="0"/>
    <x v="15"/>
  </r>
  <r>
    <x v="68"/>
    <s v="Cesar Quiroz"/>
    <s v="NOCHE"/>
    <s v="00:13"/>
    <s v="00:29"/>
    <d v="1899-12-30T00:16:00"/>
    <x v="28"/>
    <s v="Maquinaria"/>
    <s v="SET UP"/>
    <x v="0"/>
    <x v="3"/>
    <s v="Apoyo en cambio de bobina"/>
    <s v=""/>
    <x v="32"/>
    <x v="0"/>
    <s v=""/>
    <s v=""/>
    <s v=""/>
    <x v="0"/>
    <x v="1"/>
    <x v="15"/>
  </r>
  <r>
    <x v="68"/>
    <s v="Cesar Quiroz"/>
    <s v="NOCHE"/>
    <s v="00:48"/>
    <s v="01:17"/>
    <d v="1899-12-30T00:29:00"/>
    <x v="66"/>
    <s v="Maquinaria"/>
    <s v="Seguimiento / Pruebas"/>
    <x v="1"/>
    <x v="1"/>
    <s v="Rodillo 3 se calentó, sale alarma"/>
    <s v="Se reviso funcionamiento de chiller, se aplicó ingreso de agua fría en modo manual para enfriamiento, se realizó seguimiento a funcionamiento"/>
    <x v="0"/>
    <x v="0"/>
    <s v=""/>
    <s v=""/>
    <s v=""/>
    <x v="185"/>
    <x v="0"/>
    <x v="15"/>
  </r>
  <r>
    <x v="68"/>
    <s v="Cesar Quiroz"/>
    <s v="NOCHE"/>
    <s v="01:25"/>
    <s v="02:57"/>
    <d v="1899-12-30T01:32:00"/>
    <x v="28"/>
    <s v="Maquinaria"/>
    <s v="SET UP"/>
    <x v="0"/>
    <x v="3"/>
    <s v="Cambio de formato de pisco x9 a milky x10"/>
    <s v=""/>
    <x v="0"/>
    <x v="0"/>
    <s v=""/>
    <s v=""/>
    <s v=""/>
    <x v="2"/>
    <x v="0"/>
    <x v="15"/>
  </r>
  <r>
    <x v="69"/>
    <s v="CARLOS TAPIA"/>
    <s v="MAÑANA"/>
    <d v="1899-12-30T05:30:00"/>
    <d v="1899-12-30T06:30:00"/>
    <d v="1899-12-30T01:00:00"/>
    <x v="21"/>
    <s v="Area"/>
    <s v="Encendido / Arranque de linea"/>
    <x v="0"/>
    <x v="3"/>
    <s v="Arranque de planta "/>
    <s v="Se encendió equipos y habilitó líneas de vapor aire y agua."/>
    <x v="0"/>
    <x v="0"/>
    <s v=""/>
    <s v=""/>
    <s v=""/>
    <x v="0"/>
    <x v="0"/>
    <x v="16"/>
  </r>
  <r>
    <x v="69"/>
    <s v="CARLOS TAPIA"/>
    <s v="MAÑANA"/>
    <d v="1899-12-30T06:35:00"/>
    <d v="1899-12-30T07:00:00"/>
    <d v="1899-12-30T00:25:00"/>
    <x v="19"/>
    <s v="Maquinaria"/>
    <s v="SET UP"/>
    <x v="0"/>
    <x v="3"/>
    <s v="Desarmar máquina para su limpieza "/>
    <s v="Se retiró piezas para su limpieza."/>
    <x v="0"/>
    <x v="0"/>
    <s v=""/>
    <s v=""/>
    <s v=""/>
    <x v="0"/>
    <x v="0"/>
    <x v="16"/>
  </r>
  <r>
    <x v="69"/>
    <s v="CARLOS TAPIA"/>
    <s v="MAÑANA"/>
    <d v="1899-12-30T07:00:00"/>
    <d v="1899-12-30T07:25:00"/>
    <d v="1899-12-30T00:25:00"/>
    <x v="50"/>
    <s v="Maquinaria"/>
    <s v="SET UP"/>
    <x v="0"/>
    <x v="3"/>
    <s v="Desarmar máquina para su limpieza "/>
    <s v="Se retiró piezas para su limpieza "/>
    <x v="0"/>
    <x v="0"/>
    <s v=""/>
    <s v=""/>
    <s v=""/>
    <x v="0"/>
    <x v="0"/>
    <x v="16"/>
  </r>
  <r>
    <x v="69"/>
    <s v="CARLOS TAPIA"/>
    <s v="MAÑANA"/>
    <d v="1899-12-30T07:30:00"/>
    <d v="1899-12-30T07:45:00"/>
    <d v="1899-12-30T00:15:00"/>
    <x v="51"/>
    <s v="Maquinaria"/>
    <s v="SET UP"/>
    <x v="0"/>
    <x v="3"/>
    <s v="Desarmar máquina "/>
    <s v="Se retiró piezas para su limpieza."/>
    <x v="0"/>
    <x v="0"/>
    <s v=""/>
    <s v=""/>
    <s v=""/>
    <x v="0"/>
    <x v="0"/>
    <x v="16"/>
  </r>
  <r>
    <x v="69"/>
    <s v="CARLOS TAPIA"/>
    <s v="MAÑANA"/>
    <d v="1899-12-30T08:00:00"/>
    <d v="1899-12-30T09:15:00"/>
    <d v="1899-12-30T01:15:00"/>
    <x v="56"/>
    <s v="Maquinaria"/>
    <s v="Reparacion"/>
    <x v="1"/>
    <x v="1"/>
    <s v="Máquina con ruido y desprendimientos de piezas por romperse."/>
    <s v="Se retiró polín para su reparación. Se cambió rodamientos y se modifico el alojamiento de los mismos rodamientos. Se habilitó máquina."/>
    <x v="0"/>
    <x v="0"/>
    <s v=""/>
    <s v=""/>
    <s v=""/>
    <x v="89"/>
    <x v="0"/>
    <x v="16"/>
  </r>
  <r>
    <x v="69"/>
    <s v="CARLOS TAPIA"/>
    <s v="MAÑANA"/>
    <d v="1899-12-30T11:30:00"/>
    <d v="1899-12-30T13:00:00"/>
    <d v="1899-12-30T01:30:00"/>
    <x v="27"/>
    <s v="Maquinaria"/>
    <s v="Ajuste /Calibracion"/>
    <x v="1"/>
    <x v="1"/>
    <s v="Máquina rompe producto, laminado (aluminio) no se alineó correctamente.Maquina con ruido de golpe en la trasmisión."/>
    <s v="Se revisó y se calibró máquina. Se realizó pruebas y se dejó habilitada."/>
    <x v="0"/>
    <x v="0"/>
    <s v=""/>
    <s v=""/>
    <s v=""/>
    <x v="186"/>
    <x v="0"/>
    <x v="16"/>
  </r>
  <r>
    <x v="69"/>
    <s v="JOSÉ HAÑARI"/>
    <s v="TARDE"/>
    <d v="1899-12-30T14:50:00"/>
    <d v="1899-12-30T15:00:00"/>
    <d v="1899-12-30T00:10:00"/>
    <x v="76"/>
    <s v="Maquinaria"/>
    <s v="Reparacion"/>
    <x v="1"/>
    <x v="1"/>
    <s v="Manguera flexile rota "/>
    <s v="Se realiza un corte en la manguera y se pone conector "/>
    <x v="0"/>
    <x v="0"/>
    <s v=""/>
    <s v=""/>
    <s v=""/>
    <x v="24"/>
    <x v="0"/>
    <x v="16"/>
  </r>
  <r>
    <x v="69"/>
    <s v="JOSÉ HAÑARI"/>
    <s v="TARDE"/>
    <d v="1899-12-30T12:40:00"/>
    <d v="1899-12-30T13:15:00"/>
    <d v="1899-12-30T00:35:00"/>
    <x v="15"/>
    <s v="Maquinaria"/>
    <s v="Reparacion"/>
    <x v="1"/>
    <x v="1"/>
    <s v="Compresora de temperadora de hacos 1 sin refrigerante "/>
    <s v="Se realiza el llenado de refrigerante al equipo "/>
    <x v="0"/>
    <x v="11"/>
    <s v="Temperadora"/>
    <s v=""/>
    <s v=""/>
    <x v="0"/>
    <x v="1"/>
    <x v="16"/>
  </r>
  <r>
    <x v="69"/>
    <s v="JOSÉ HAÑARI"/>
    <s v="TARDE"/>
    <d v="1899-12-30T13:30:00"/>
    <d v="1899-12-30T14:00:00"/>
    <d v="1899-12-30T00:30:00"/>
    <x v="15"/>
    <s v="Maquinaria"/>
    <s v="Ajuste /Calibracion"/>
    <x v="1"/>
    <x v="1"/>
    <s v="Robot de desmoldeo vota producto "/>
    <s v="Se apoya con calibración de robot "/>
    <x v="0"/>
    <x v="9"/>
    <s v="Robot"/>
    <s v=""/>
    <s v=""/>
    <x v="34"/>
    <x v="1"/>
    <x v="16"/>
  </r>
  <r>
    <x v="69"/>
    <s v="JOSÉ HAÑARI"/>
    <s v="TARDE"/>
    <d v="1899-12-30T16:40:00"/>
    <d v="1899-12-30T17:00:00"/>
    <d v="1899-12-30T00:20:00"/>
    <x v="66"/>
    <s v="Maquinaria"/>
    <s v="SET UP"/>
    <x v="0"/>
    <x v="3"/>
    <s v="Sensor de regilla de refinadora sacado por limpieza "/>
    <s v="Se coloca sensor electromagnético de refinadora y se calibrar "/>
    <x v="40"/>
    <x v="0"/>
    <s v=""/>
    <s v=""/>
    <s v=""/>
    <x v="0"/>
    <x v="1"/>
    <x v="16"/>
  </r>
  <r>
    <x v="69"/>
    <s v="JOSÉ HAÑARI"/>
    <s v="TARDE"/>
    <d v="1899-12-30T16:50:00"/>
    <d v="1899-12-30T17:30:00"/>
    <d v="1899-12-30T00:40:00"/>
    <x v="28"/>
    <s v="Maquinaria"/>
    <s v="Sustitucion"/>
    <x v="1"/>
    <x v="1"/>
    <s v="Pero no roto y perno de cuchilla de habré fácil rodado"/>
    <s v="Se realiza el retiro de perno rodado y hace cambio de pernos a medida más grande "/>
    <x v="0"/>
    <x v="0"/>
    <s v=""/>
    <s v=""/>
    <s v=""/>
    <x v="24"/>
    <x v="0"/>
    <x v="16"/>
  </r>
  <r>
    <x v="69"/>
    <s v="JOSÉ HAÑARI"/>
    <s v="TARDE"/>
    <d v="1899-12-30T17:45:00"/>
    <d v="1899-12-30T18:30:00"/>
    <d v="1899-12-30T00:45:00"/>
    <x v="28"/>
    <s v="Maquinaria"/>
    <s v="SET UP"/>
    <x v="0"/>
    <x v="3"/>
    <s v="Se realiza cambio de formato a enselofanadora x10"/>
    <s v=""/>
    <x v="0"/>
    <x v="0"/>
    <s v=""/>
    <s v=""/>
    <s v=""/>
    <x v="2"/>
    <x v="0"/>
    <x v="16"/>
  </r>
  <r>
    <x v="69"/>
    <s v="JOSÉ HAÑARI"/>
    <s v="MAÑANA"/>
    <d v="1899-12-30T18:45:00"/>
    <d v="1899-12-30T19:00:00"/>
    <d v="1899-12-30T00:15:00"/>
    <x v="66"/>
    <s v="Maquinaria"/>
    <s v="Ajuste /Calibracion"/>
    <x v="1"/>
    <x v="2"/>
    <s v="Sensor de refinadora de regilla no detecta "/>
    <s v="Se calibrar sensor de regilla "/>
    <x v="0"/>
    <x v="0"/>
    <s v=""/>
    <s v=""/>
    <s v=""/>
    <x v="0"/>
    <x v="0"/>
    <x v="16"/>
  </r>
  <r>
    <x v="69"/>
    <s v="JOSÉ HAÑARI"/>
    <s v="TARDE"/>
    <d v="1899-12-30T20:30:00"/>
    <d v="1899-12-30T20:45:00"/>
    <d v="1899-12-30T00:15:00"/>
    <x v="84"/>
    <s v="Area"/>
    <s v="SET UP"/>
    <x v="0"/>
    <x v="3"/>
    <s v="Se desarma tapas de unidades de refrigeración para limpieza "/>
    <s v=""/>
    <x v="78"/>
    <x v="0"/>
    <s v=""/>
    <s v=""/>
    <s v=""/>
    <x v="0"/>
    <x v="1"/>
    <x v="16"/>
  </r>
  <r>
    <x v="69"/>
    <s v="Omar Nina"/>
    <s v="MAÑANA"/>
    <d v="1899-12-30T05:35:00"/>
    <d v="1899-12-30T06:15:00"/>
    <d v="1899-12-30T00:40:00"/>
    <x v="21"/>
    <s v="Area"/>
    <s v="Encendido / Arranque de linea"/>
    <x v="0"/>
    <x v="3"/>
    <s v="Arranque de equipos de planta "/>
    <s v=""/>
    <x v="0"/>
    <x v="0"/>
    <s v=""/>
    <s v=""/>
    <s v=""/>
    <x v="0"/>
    <x v="0"/>
    <x v="16"/>
  </r>
  <r>
    <x v="69"/>
    <s v="Omar Nina"/>
    <s v="MAÑANA"/>
    <d v="1899-12-30T06:35:00"/>
    <d v="1899-12-30T07:00:00"/>
    <d v="1899-12-30T00:25:00"/>
    <x v="19"/>
    <s v="Maquinaria"/>
    <s v="SET UP"/>
    <x v="0"/>
    <x v="3"/>
    <s v="Desarmado de equipo para limpieza semanal"/>
    <s v=""/>
    <x v="0"/>
    <x v="0"/>
    <s v=""/>
    <s v=""/>
    <s v=""/>
    <x v="0"/>
    <x v="0"/>
    <x v="16"/>
  </r>
  <r>
    <x v="69"/>
    <s v="Omar Nina"/>
    <s v="MAÑANA"/>
    <d v="1899-12-30T07:05:00"/>
    <d v="1899-12-30T07:30:00"/>
    <d v="1899-12-30T00:25:00"/>
    <x v="15"/>
    <s v="Maquinaria"/>
    <s v="SET UP"/>
    <x v="0"/>
    <x v="3"/>
    <s v="Solicitan desarmado de samfill para limpieza. Pasarán chocolate blanco."/>
    <s v="Se retiró tolva y agitador para limpieza."/>
    <x v="8"/>
    <x v="12"/>
    <s v="Sammfill"/>
    <s v=""/>
    <s v=""/>
    <x v="0"/>
    <x v="1"/>
    <x v="16"/>
  </r>
  <r>
    <x v="69"/>
    <s v="Omar Nina"/>
    <s v="MAÑANA"/>
    <d v="1899-12-30T07:35:00"/>
    <d v="1899-12-30T08:20:00"/>
    <d v="1899-12-30T00:45:00"/>
    <x v="5"/>
    <s v="Maquinaria"/>
    <s v="SET UP"/>
    <x v="0"/>
    <x v="3"/>
    <s v="Habilitación de equipo "/>
    <s v="Se coloca guardas, fajas y piezas de equipo "/>
    <x v="0"/>
    <x v="0"/>
    <s v=""/>
    <s v=""/>
    <s v=""/>
    <x v="0"/>
    <x v="0"/>
    <x v="16"/>
  </r>
  <r>
    <x v="69"/>
    <s v="Omar Nina"/>
    <s v="MAÑANA"/>
    <d v="1899-12-30T08:22:00"/>
    <d v="1899-12-30T08:50:00"/>
    <d v="1899-12-30T00:28:00"/>
    <x v="47"/>
    <s v="Maquinaria"/>
    <s v="Ajuste /Calibracion"/>
    <x v="1"/>
    <x v="1"/>
    <s v="Operadora reporta que equipo no avanza, error en empujadores e Intercambiador de moldes."/>
    <s v="Calibración de ángulo de giro de empujadores y desplazamiento. Calibración de posición de Intercambiador de moldes y verificación de funcionamiento "/>
    <x v="0"/>
    <x v="10"/>
    <s v="Intercambiador De Moldes"/>
    <s v=""/>
    <s v=""/>
    <x v="187"/>
    <x v="1"/>
    <x v="16"/>
  </r>
  <r>
    <x v="70"/>
    <s v="Carlos Puma"/>
    <s v="NOCHE"/>
    <s v="00:00"/>
    <s v="01:30"/>
    <d v="1899-12-30T01:30:00"/>
    <x v="16"/>
    <s v="Maquinaria"/>
    <s v="Inspección"/>
    <x v="1"/>
    <x v="2"/>
    <s v="Falla f185 en variador de motor principal "/>
    <s v="Se reviso el circuito eléctrico de precarga, se encontró fusible dañado , se reporta para la compra de repuestos "/>
    <x v="0"/>
    <x v="0"/>
    <s v=""/>
    <s v=""/>
    <s v=""/>
    <x v="0"/>
    <x v="0"/>
    <x v="16"/>
  </r>
  <r>
    <x v="70"/>
    <s v="Carlos Puma"/>
    <s v="NOCHE"/>
    <s v="02:10"/>
    <s v="02:40"/>
    <d v="1899-12-30T00:30:00"/>
    <x v="15"/>
    <s v="Maquinaria"/>
    <s v="Sustitucion"/>
    <x v="1"/>
    <x v="1"/>
    <s v="Robot no desmolda correctamente, "/>
    <s v="Se reviso pistón y goma de compuerta de succión , se remplazo goma y se dió seguimiento "/>
    <x v="0"/>
    <x v="9"/>
    <s v="Robot"/>
    <s v=""/>
    <s v=""/>
    <x v="188"/>
    <x v="1"/>
    <x v="16"/>
  </r>
  <r>
    <x v="70"/>
    <s v="Carlos Puma"/>
    <s v="NOCHE"/>
    <s v="21:40"/>
    <s v="22:50"/>
    <d v="1899-12-30T01:10:00"/>
    <x v="50"/>
    <s v="Maquinaria"/>
    <s v="Sustitucion"/>
    <x v="1"/>
    <x v="1"/>
    <s v="S encontró malla rota"/>
    <s v="Se remplazo parte dañada"/>
    <x v="0"/>
    <x v="0"/>
    <s v=""/>
    <s v=""/>
    <s v=""/>
    <x v="24"/>
    <x v="0"/>
    <x v="16"/>
  </r>
  <r>
    <x v="70"/>
    <s v="Carlos Puma"/>
    <s v="NOCHE"/>
    <s v="23:00"/>
    <s v="23:15"/>
    <d v="1899-12-30T00:15:00"/>
    <x v="26"/>
    <s v="Maquinaria"/>
    <s v="Ajuste /Calibracion"/>
    <x v="0"/>
    <x v="3"/>
    <s v="Se apoyó en la calibración de sensor de ingreso de producto "/>
    <s v=""/>
    <x v="72"/>
    <x v="0"/>
    <s v=""/>
    <s v=""/>
    <s v=""/>
    <x v="28"/>
    <x v="1"/>
    <x v="16"/>
  </r>
  <r>
    <x v="70"/>
    <s v="Carlos Puma"/>
    <s v="NOCHE"/>
    <s v="23:30"/>
    <s v="23:50"/>
    <d v="1899-12-30T00:20:00"/>
    <x v="47"/>
    <s v="Maquinaria"/>
    <s v="Ajuste /Calibracion"/>
    <x v="1"/>
    <x v="1"/>
    <s v="Reportan que moldes saltan durante el intercambio de moldes"/>
    <s v="Se reviso funcionamiento de equipo, se ajusto pernos sueltos "/>
    <x v="0"/>
    <x v="10"/>
    <s v="Intercambiador De Moldes"/>
    <s v=""/>
    <s v=""/>
    <x v="0"/>
    <x v="1"/>
    <x v="16"/>
  </r>
  <r>
    <x v="70"/>
    <s v="CARLOS TAPIA"/>
    <s v="MAÑANA"/>
    <s v="05:45"/>
    <s v="06:15"/>
    <d v="1899-12-30T00:30:00"/>
    <x v="21"/>
    <s v="Area"/>
    <s v="Inspección"/>
    <x v="0"/>
    <x v="3"/>
    <s v="Inspección de máquina paradas o con falla del turno noche."/>
    <s v="Se apoyo con la revisión de máquina paradas."/>
    <x v="0"/>
    <x v="0"/>
    <s v=""/>
    <s v=""/>
    <s v=""/>
    <x v="0"/>
    <x v="0"/>
    <x v="16"/>
  </r>
  <r>
    <x v="70"/>
    <s v="CARLOS TAPIA"/>
    <s v="MAÑANA"/>
    <s v="06:30"/>
    <s v="07:00"/>
    <d v="1899-12-30T00:30:00"/>
    <x v="17"/>
    <s v="Maquinaria"/>
    <s v="Limpieza"/>
    <x v="1"/>
    <x v="1"/>
    <s v="Exceso de líquido por sistema de mantenimiento neumático."/>
    <s v="Se revisó y se limpio dicho sistema. Se informó a supervisor de mantenimiento sobre la variación de temperatura en máquina "/>
    <x v="0"/>
    <x v="0"/>
    <s v=""/>
    <s v=""/>
    <s v=""/>
    <x v="0"/>
    <x v="0"/>
    <x v="16"/>
  </r>
  <r>
    <x v="70"/>
    <s v="CARLOS TAPIA"/>
    <s v="MAÑANA"/>
    <s v="07:30"/>
    <s v="08:00"/>
    <d v="1899-12-30T00:30:00"/>
    <x v="15"/>
    <s v="Maquinaria"/>
    <s v="Seguimiento / Pruebas"/>
    <x v="0"/>
    <x v="3"/>
    <s v="Inspección de máquina "/>
    <s v="Se dió seguimiento al funcionamiento de máquina "/>
    <x v="0"/>
    <x v="0"/>
    <s v=""/>
    <s v=""/>
    <s v=""/>
    <x v="0"/>
    <x v="0"/>
    <x v="16"/>
  </r>
  <r>
    <x v="70"/>
    <s v="CARLOS TAPIA"/>
    <s v="MAÑANA"/>
    <s v="09:00"/>
    <s v="09:30"/>
    <d v="1899-12-30T00:30:00"/>
    <x v="84"/>
    <s v="Area"/>
    <s v="Coordinacion"/>
    <x v="0"/>
    <x v="3"/>
    <s v="Apoyo a personal de calidad y laboratorio "/>
    <s v="Se apoyo con trabajo de traslado y revisión de equipos"/>
    <x v="0"/>
    <x v="0"/>
    <s v=""/>
    <s v=""/>
    <s v=""/>
    <x v="0"/>
    <x v="0"/>
    <x v="16"/>
  </r>
  <r>
    <x v="70"/>
    <s v="CARLOS TAPIA"/>
    <s v="MAÑANA"/>
    <s v="10:00"/>
    <s v="12:00"/>
    <d v="1899-12-30T02:00:00"/>
    <x v="27"/>
    <s v="Maquinaria"/>
    <s v="Reparacion"/>
    <x v="1"/>
    <x v="1"/>
    <s v="Ruido excesivo y golpe de piezas entre si. No sé puede empaquetar."/>
    <s v="Se revisó y se retiró piezas para pulir partes dañadas.Se colocó y lubricó partes moviles, luego se calibró máquina para empaquetar."/>
    <x v="0"/>
    <x v="0"/>
    <s v=""/>
    <s v=""/>
    <s v=""/>
    <x v="189"/>
    <x v="0"/>
    <x v="16"/>
  </r>
  <r>
    <x v="70"/>
    <s v="CARLOS TAPIA"/>
    <s v="MAÑANA"/>
    <s v="12:30"/>
    <s v="13:15"/>
    <d v="1899-12-30T00:45:00"/>
    <x v="108"/>
    <s v="Area"/>
    <m/>
    <x v="2"/>
    <x v="3"/>
    <s v="Receso"/>
    <s v="Receso"/>
    <x v="0"/>
    <x v="0"/>
    <s v=""/>
    <s v=""/>
    <s v=""/>
    <x v="0"/>
    <x v="0"/>
    <x v="16"/>
  </r>
  <r>
    <x v="70"/>
    <s v="Cesar Quiroz"/>
    <s v="TARDE"/>
    <s v="12:44"/>
    <s v="13:05"/>
    <d v="1899-12-30T00:21:00"/>
    <x v="31"/>
    <s v="Equipos auxiliares"/>
    <s v="Inspección"/>
    <x v="0"/>
    <x v="3"/>
    <s v="Revisión de funcionamiento y parámetros de trabajo "/>
    <s v=""/>
    <x v="0"/>
    <x v="0"/>
    <s v=""/>
    <s v=""/>
    <s v=""/>
    <x v="0"/>
    <x v="0"/>
    <x v="16"/>
  </r>
  <r>
    <x v="70"/>
    <s v="Cesar Quiroz"/>
    <s v="TARDE"/>
    <s v="13:08"/>
    <s v="13:36"/>
    <d v="1899-12-30T00:28:00"/>
    <x v="29"/>
    <s v="Maquinaria"/>
    <s v="Ajuste /Calibracion"/>
    <x v="1"/>
    <x v="1"/>
    <s v="Cuchilla no corta bien papel aluminio se atasca "/>
    <s v="Se regulo cuchilla y se realizó pruebas de funcionamiento "/>
    <x v="0"/>
    <x v="0"/>
    <s v=""/>
    <s v=""/>
    <s v=""/>
    <x v="190"/>
    <x v="0"/>
    <x v="16"/>
  </r>
  <r>
    <x v="70"/>
    <s v="Cesar Quiroz"/>
    <s v="TARDE"/>
    <s v="13:45"/>
    <s v="14:06"/>
    <d v="1899-12-30T00:21:00"/>
    <x v="15"/>
    <s v="Maquinaria"/>
    <s v="Limpieza"/>
    <x v="1"/>
    <x v="1"/>
    <s v="Bomba de hacos con presencia de grasa y aceite"/>
    <s v="Se realizó limpieza de zona y se verifico ajuste de pernos"/>
    <x v="0"/>
    <x v="0"/>
    <s v=""/>
    <s v=""/>
    <s v=""/>
    <x v="27"/>
    <x v="0"/>
    <x v="16"/>
  </r>
  <r>
    <x v="70"/>
    <s v="Cesar Quiroz"/>
    <s v="TARDE"/>
    <s v="14:13"/>
    <s v="14:28"/>
    <d v="1899-12-30T00:15:00"/>
    <x v="29"/>
    <s v="Maquinaria"/>
    <s v="Ajuste /Calibracion"/>
    <x v="1"/>
    <x v="1"/>
    <s v="Tabletas se dañan en la entrada"/>
    <s v="Se regulo altura de elevador de producto, se realizó pruebas"/>
    <x v="0"/>
    <x v="0"/>
    <s v=""/>
    <s v=""/>
    <s v=""/>
    <x v="0"/>
    <x v="0"/>
    <x v="16"/>
  </r>
  <r>
    <x v="70"/>
    <s v="Cesar Quiroz"/>
    <s v="TARDE"/>
    <s v="14:32"/>
    <s v="15:06"/>
    <d v="1899-12-30T00:34:00"/>
    <x v="7"/>
    <s v="Maquinaria"/>
    <s v="Reparacion"/>
    <x v="1"/>
    <x v="1"/>
    <s v="Banda tiene roce con guarda y se daño"/>
    <s v="Se cortó parte dañada y se alineó banda"/>
    <x v="0"/>
    <x v="0"/>
    <s v=""/>
    <s v=""/>
    <s v=""/>
    <x v="0"/>
    <x v="0"/>
    <x v="16"/>
  </r>
  <r>
    <x v="70"/>
    <s v="Cesar Quiroz"/>
    <s v="TARDE"/>
    <s v="18:43"/>
    <s v="19:10"/>
    <d v="1899-12-30T00:27:00"/>
    <x v="26"/>
    <s v="Maquinaria"/>
    <s v="Ajuste /Calibracion"/>
    <x v="1"/>
    <x v="1"/>
    <s v="Banda se mueve hacia guarda y empieza a dañarse"/>
    <s v="Se destenso banda y se regulo polin tensador y alineamiento automatico"/>
    <x v="0"/>
    <x v="0"/>
    <s v=""/>
    <s v=""/>
    <s v=""/>
    <x v="0"/>
    <x v="0"/>
    <x v="16"/>
  </r>
  <r>
    <x v="70"/>
    <s v="Cesar Quiroz"/>
    <s v="TARDE"/>
    <s v="15:27"/>
    <s v="15:57"/>
    <d v="1899-12-30T00:30:00"/>
    <x v="47"/>
    <s v="Maquinaria"/>
    <s v="Ajuste /Calibracion"/>
    <x v="1"/>
    <x v="1"/>
    <s v="Moldes se atasca y saltan a la salida de torre de bajada "/>
    <s v="Se reviso rascadores y guías, se regulo rascadores y se alineó guias"/>
    <x v="0"/>
    <x v="2"/>
    <s v="Columna"/>
    <s v=""/>
    <s v=""/>
    <x v="54"/>
    <x v="1"/>
    <x v="16"/>
  </r>
  <r>
    <x v="70"/>
    <s v="JOSÉ HAÑARI"/>
    <s v="TARDE"/>
    <s v="12:40"/>
    <s v="12:50"/>
    <d v="1899-12-30T00:10:00"/>
    <x v="39"/>
    <s v="Maquinaria"/>
    <s v="SET UP"/>
    <x v="0"/>
    <x v="3"/>
    <s v="Se retira manga de azúcar para limpieza "/>
    <s v=""/>
    <x v="0"/>
    <x v="0"/>
    <s v=""/>
    <s v=""/>
    <s v=""/>
    <x v="14"/>
    <x v="0"/>
    <x v="16"/>
  </r>
  <r>
    <x v="70"/>
    <s v="JOSÉ HAÑARI"/>
    <s v="TARDE"/>
    <s v="13:00"/>
    <s v="13:30"/>
    <d v="1899-12-30T00:30:00"/>
    <x v="29"/>
    <s v="Maquinaria"/>
    <s v="Ajuste /Calibracion"/>
    <x v="1"/>
    <x v="1"/>
    <s v="Cuchilla no corta laminado de aluminio "/>
    <s v="Se calibrar cuchilla y se hace pruebas correspondientes "/>
    <x v="0"/>
    <x v="0"/>
    <s v=""/>
    <s v=""/>
    <s v=""/>
    <x v="42"/>
    <x v="0"/>
    <x v="16"/>
  </r>
  <r>
    <x v="70"/>
    <s v="JOSÉ HAÑARI"/>
    <s v="TARDE"/>
    <s v="13:50"/>
    <s v="14:20"/>
    <d v="1899-12-30T00:30:00"/>
    <x v="7"/>
    <s v="Maquinaria"/>
    <s v="Reparacion"/>
    <x v="1"/>
    <x v="1"/>
    <s v="Faja presenta rozamiento "/>
    <s v="Se realiza corte y se deja operativo "/>
    <x v="0"/>
    <x v="0"/>
    <s v=""/>
    <s v=""/>
    <s v=""/>
    <x v="0"/>
    <x v="0"/>
    <x v="16"/>
  </r>
  <r>
    <x v="70"/>
    <s v="JOSÉ HAÑARI"/>
    <s v="TARDE"/>
    <s v="14:30"/>
    <s v="15:00"/>
    <d v="1899-12-30T00:30:00"/>
    <x v="15"/>
    <s v="Maquinaria"/>
    <s v="Seguimiento / Pruebas"/>
    <x v="1"/>
    <x v="1"/>
    <s v="Bomba de tanque de chocolate de hacos 1 presenta fuga de aceite "/>
    <s v="Se alista material para limpieza "/>
    <x v="0"/>
    <x v="3"/>
    <s v="Tanque"/>
    <s v=""/>
    <s v=""/>
    <x v="191"/>
    <x v="1"/>
    <x v="16"/>
  </r>
  <r>
    <x v="70"/>
    <s v="JOSÉ HAÑARI"/>
    <s v="TARDE"/>
    <s v="15:10"/>
    <s v="15:30"/>
    <d v="1899-12-30T00:20:00"/>
    <x v="15"/>
    <s v="Maquinaria"/>
    <s v="Inspección"/>
    <x v="0"/>
    <x v="3"/>
    <s v="Se realiza inspección en temperadora de hacos 1"/>
    <s v=""/>
    <x v="0"/>
    <x v="11"/>
    <s v="Temperadora"/>
    <s v=""/>
    <s v=""/>
    <x v="0"/>
    <x v="1"/>
    <x v="16"/>
  </r>
  <r>
    <x v="70"/>
    <s v="JOSÉ HAÑARI"/>
    <s v="TARDE"/>
    <s v="16:30"/>
    <s v="21:00"/>
    <d v="1899-12-30T04:30:00"/>
    <x v="7"/>
    <s v="Maquinaria"/>
    <s v="Ajuste /Calibracion"/>
    <x v="1"/>
    <x v="1"/>
    <s v="Faja de arrastre se sale "/>
    <s v="Se rectificar los engranajes de la faja y se calibrar "/>
    <x v="0"/>
    <x v="0"/>
    <s v=""/>
    <s v=""/>
    <s v=""/>
    <x v="0"/>
    <x v="0"/>
    <x v="16"/>
  </r>
  <r>
    <x v="70"/>
    <s v="Omar Nina"/>
    <s v="MAÑANA"/>
    <s v="05:56"/>
    <s v="07:00"/>
    <d v="1899-12-30T01:04:00"/>
    <x v="107"/>
    <s v="Maquinaria"/>
    <s v="Ajuste /Calibracion"/>
    <x v="1"/>
    <x v="2"/>
    <s v="No calienta, receta no se cargó correctamente "/>
    <s v="Se vuelve a cargar receta y se da seguimiento a primer bach"/>
    <x v="0"/>
    <x v="0"/>
    <s v=""/>
    <s v=""/>
    <s v=""/>
    <x v="65"/>
    <x v="0"/>
    <x v="16"/>
  </r>
  <r>
    <x v="71"/>
    <s v="Carlos Puma"/>
    <s v="NOCHE"/>
    <s v="00:00"/>
    <s v="00:30"/>
    <d v="1899-12-30T00:30:00"/>
    <x v="70"/>
    <s v="Maquinaria"/>
    <s v="Ajuste /Calibracion"/>
    <x v="1"/>
    <x v="2"/>
    <s v="No sé conecta con tostador "/>
    <s v="Se apoyó en la operación manual ,Se reviso condiciones para. Carga de receta y s elogra habilitar la carga de receta"/>
    <x v="0"/>
    <x v="0"/>
    <s v=""/>
    <s v=""/>
    <s v=""/>
    <x v="0"/>
    <x v="0"/>
    <x v="16"/>
  </r>
  <r>
    <x v="71"/>
    <s v="Carlos Puma"/>
    <s v="NOCHE"/>
    <s v="00:40"/>
    <s v="01:10"/>
    <d v="1899-12-30T00:30:00"/>
    <x v="15"/>
    <s v="Maquinaria"/>
    <s v="SET UP"/>
    <x v="0"/>
    <x v="3"/>
    <s v="Se retiró plancha y husillo de Mds y se volvió a colocar después de la limpieza "/>
    <s v=""/>
    <x v="37"/>
    <x v="1"/>
    <s v="Mds"/>
    <s v=""/>
    <s v=""/>
    <x v="14"/>
    <x v="1"/>
    <x v="16"/>
  </r>
  <r>
    <x v="71"/>
    <s v="Carlos Puma"/>
    <s v="NOCHE"/>
    <s v="01:20"/>
    <s v="01:30"/>
    <d v="1899-12-30T00:10:00"/>
    <x v="18"/>
    <s v="Maquinaria"/>
    <s v="SET UP"/>
    <x v="0"/>
    <x v="3"/>
    <s v="Desarme de equipo "/>
    <s v=""/>
    <x v="0"/>
    <x v="0"/>
    <s v=""/>
    <s v=""/>
    <s v=""/>
    <x v="0"/>
    <x v="0"/>
    <x v="16"/>
  </r>
  <r>
    <x v="71"/>
    <s v="Carlos Puma"/>
    <s v="NOCHE"/>
    <s v="01:35"/>
    <s v="02:00"/>
    <d v="1899-12-30T00:25:00"/>
    <x v="28"/>
    <s v="Maquinaria"/>
    <s v="Ajuste /Calibracion"/>
    <x v="1"/>
    <x v="1"/>
    <s v="Plegado sale mal"/>
    <s v="Se regulo plegador , se regulo distancia entre plegadores y selladores  ,se hizo pruebas y se dejó muestras"/>
    <x v="0"/>
    <x v="0"/>
    <s v=""/>
    <s v=""/>
    <s v=""/>
    <x v="0"/>
    <x v="0"/>
    <x v="16"/>
  </r>
  <r>
    <x v="71"/>
    <s v="Carlos Puma"/>
    <s v="NOCHE"/>
    <s v="02:10"/>
    <s v="03:00"/>
    <d v="1899-12-30T00:50:00"/>
    <x v="22"/>
    <s v="Maquinaria"/>
    <s v="Reparacion"/>
    <x v="1"/>
    <x v="1"/>
    <s v="Laminado de rompe en el sellado"/>
    <s v="Se regulo temperaturas y tiempo de sellado , se cambió teflón y cintas "/>
    <x v="0"/>
    <x v="0"/>
    <s v=""/>
    <s v=""/>
    <s v=""/>
    <x v="192"/>
    <x v="0"/>
    <x v="16"/>
  </r>
  <r>
    <x v="71"/>
    <s v="Carlos Puma"/>
    <s v="NOCHE"/>
    <s v="03:05"/>
    <s v="04:00"/>
    <d v="1899-12-30T00:55:00"/>
    <x v="15"/>
    <s v="Maquinaria"/>
    <s v="SET UP"/>
    <x v="0"/>
    <x v="3"/>
    <s v="Se desarmo Mds por limpieza y se volvió a armar"/>
    <s v=""/>
    <x v="0"/>
    <x v="1"/>
    <s v="Mds"/>
    <s v=""/>
    <s v=""/>
    <x v="0"/>
    <x v="1"/>
    <x v="16"/>
  </r>
  <r>
    <x v="71"/>
    <s v="CARLOS TAPIA"/>
    <s v="MAÑANA"/>
    <s v="07:20"/>
    <s v="08:19"/>
    <d v="1899-12-30T00:59:00"/>
    <x v="15"/>
    <s v="Maquinaria"/>
    <s v="Reparacion"/>
    <x v="1"/>
    <x v="1"/>
    <s v="Temperadora se bloquea por columnas frías."/>
    <s v="Se revisó máquina. Se revisó niveles de agua y se restableció calentamiento de columnas."/>
    <x v="0"/>
    <x v="16"/>
    <s v="Columna"/>
    <s v="Temperadora"/>
    <s v=""/>
    <x v="25"/>
    <x v="1"/>
    <x v="16"/>
  </r>
  <r>
    <x v="71"/>
    <s v="CARLOS TAPIA"/>
    <s v="MAÑANA"/>
    <s v="08:20"/>
    <s v="08:55"/>
    <d v="1899-12-30T00:35:00"/>
    <x v="20"/>
    <s v="Maquinaria"/>
    <s v="Reparacion"/>
    <x v="1"/>
    <x v="1"/>
    <s v="Sistema de desplazamiento dañado. Se llevó a taller de mantenimiento."/>
    <s v="Se revisó y limpio sistema. Se reparo rodamientos de desplazamiento."/>
    <x v="0"/>
    <x v="0"/>
    <s v=""/>
    <s v=""/>
    <s v=""/>
    <x v="85"/>
    <x v="0"/>
    <x v="16"/>
  </r>
  <r>
    <x v="71"/>
    <s v="CARLOS TAPIA"/>
    <s v="MAÑANA"/>
    <s v="10:00"/>
    <s v="10:15"/>
    <d v="1899-12-30T00:15:00"/>
    <x v="29"/>
    <s v="Maquinaria"/>
    <s v="Ajuste /Calibracion"/>
    <x v="0"/>
    <x v="3"/>
    <s v="Apoyo en máquina. Con el ajuste de cantidad de goma."/>
    <s v="Se regulo la cantidad de goma de las etiquetas."/>
    <x v="12"/>
    <x v="0"/>
    <s v=""/>
    <s v=""/>
    <s v=""/>
    <x v="28"/>
    <x v="1"/>
    <x v="16"/>
  </r>
  <r>
    <x v="71"/>
    <s v="CARLOS TAPIA"/>
    <s v="MAÑANA"/>
    <s v="12:15"/>
    <s v="13:00"/>
    <d v="1899-12-30T00:45:00"/>
    <x v="28"/>
    <s v="Maquinaria"/>
    <s v="Ajuste /Calibracion"/>
    <x v="1"/>
    <x v="1"/>
    <s v="Apoyo en máquina. Producto sale pegado una caja tras otra."/>
    <s v="Se revisó y se calibró plegadores laterales. Se ajusto la  apertura de la mesa."/>
    <x v="0"/>
    <x v="0"/>
    <s v=""/>
    <s v=""/>
    <s v=""/>
    <x v="0"/>
    <x v="0"/>
    <x v="16"/>
  </r>
  <r>
    <x v="71"/>
    <s v="CARLOS TAPIA"/>
    <s v="MAÑANA"/>
    <s v="13:00"/>
    <s v="13:15"/>
    <d v="1899-12-30T00:15:00"/>
    <x v="29"/>
    <s v="Maquinaria"/>
    <s v="Ajuste /Calibracion"/>
    <x v="1"/>
    <x v="2"/>
    <s v="Sensor de producto no detecta algunas tabletas de chocolate."/>
    <s v="Se revisó y se reguló dicho sensor."/>
    <x v="0"/>
    <x v="0"/>
    <s v=""/>
    <s v=""/>
    <s v=""/>
    <x v="0"/>
    <x v="0"/>
    <x v="16"/>
  </r>
  <r>
    <x v="71"/>
    <s v="Omar Nina"/>
    <s v="MAÑANA"/>
    <s v="05:50"/>
    <s v="07:00"/>
    <d v="1899-12-30T01:10:00"/>
    <x v="107"/>
    <s v="Maquinaria"/>
    <s v="Ajuste /Calibracion"/>
    <x v="1"/>
    <x v="2"/>
    <s v="Error MT manual no borra. "/>
    <s v="Configuración de parámetro MT según receta y seguimiento de bach"/>
    <x v="0"/>
    <x v="0"/>
    <s v=""/>
    <s v=""/>
    <s v=""/>
    <x v="6"/>
    <x v="0"/>
    <x v="16"/>
  </r>
  <r>
    <x v="71"/>
    <s v="Omar Nina"/>
    <s v="MAÑANA"/>
    <s v="07:10"/>
    <s v="07:30"/>
    <d v="1899-12-30T00:20:00"/>
    <x v="19"/>
    <s v="Maquinaria"/>
    <s v="Inspección"/>
    <x v="1"/>
    <x v="2"/>
    <s v="No enciende sinfín de extracción de cascarilla "/>
    <s v="Verificación de circuito eléctrico."/>
    <x v="0"/>
    <x v="0"/>
    <s v=""/>
    <s v=""/>
    <s v=""/>
    <x v="58"/>
    <x v="0"/>
    <x v="16"/>
  </r>
  <r>
    <x v="71"/>
    <s v="Omar Nina"/>
    <s v="MAÑANA"/>
    <s v="08:15"/>
    <s v="08:35"/>
    <d v="1899-12-30T00:20:00"/>
    <x v="20"/>
    <s v="Maquinaria"/>
    <s v="Reparacion"/>
    <x v="1"/>
    <x v="1"/>
    <s v="Desplazamiento de posición de codificadora dañado, se salieron las villas del rodamiento."/>
    <s v="Se retira equipo a taller de mantenimiento "/>
    <x v="0"/>
    <x v="13"/>
    <s v="Codificador"/>
    <s v=""/>
    <s v=""/>
    <x v="193"/>
    <x v="1"/>
    <x v="16"/>
  </r>
  <r>
    <x v="71"/>
    <s v="Omar Nina"/>
    <s v="MAÑANA"/>
    <s v="08:40"/>
    <s v="09:30"/>
    <d v="1899-12-30T00:50:00"/>
    <x v="52"/>
    <s v="Area"/>
    <s v="M.General"/>
    <x v="0"/>
    <x v="3"/>
    <s v="Mantenimiento a sistema de desplazamiento de codificadora y limpieza interior de codificadora laser"/>
    <s v=""/>
    <x v="0"/>
    <x v="13"/>
    <s v="Codificador"/>
    <s v=""/>
    <s v=""/>
    <x v="0"/>
    <x v="1"/>
    <x v="16"/>
  </r>
  <r>
    <x v="71"/>
    <s v="Omar Nina"/>
    <s v="MAÑANA"/>
    <s v="09:40"/>
    <s v="10:00"/>
    <d v="1899-12-30T00:20:00"/>
    <x v="22"/>
    <s v="Maquinaria"/>
    <s v="Sustitucion"/>
    <x v="1"/>
    <x v="2"/>
    <s v="Cuchilla muerde producto "/>
    <s v="Se cambia a sensor horizontal, queda operativo "/>
    <x v="0"/>
    <x v="0"/>
    <s v=""/>
    <s v=""/>
    <s v=""/>
    <x v="0"/>
    <x v="0"/>
    <x v="16"/>
  </r>
  <r>
    <x v="71"/>
    <s v="Omar Nina"/>
    <s v="MAÑANA"/>
    <s v="10:08"/>
    <s v="10:20"/>
    <d v="1899-12-30T00:12:00"/>
    <x v="107"/>
    <s v="Maquinaria"/>
    <s v="Seguimiento / Pruebas"/>
    <x v="1"/>
    <x v="2"/>
    <s v="Pantalla de apagó, sistema operativo se actualizo automáticamente "/>
    <s v="Se inicia sesión y se verifica correcto funcionamiento "/>
    <x v="0"/>
    <x v="0"/>
    <s v=""/>
    <s v=""/>
    <s v=""/>
    <x v="0"/>
    <x v="0"/>
    <x v="16"/>
  </r>
  <r>
    <x v="71"/>
    <s v="Omar Nina"/>
    <s v="MAÑANA"/>
    <s v="10:30"/>
    <s v="10:44"/>
    <d v="1899-12-30T00:14:00"/>
    <x v="22"/>
    <s v="Maquinaria"/>
    <s v="Ajuste /Calibracion"/>
    <x v="1"/>
    <x v="1"/>
    <s v="No corta el laminado "/>
    <s v="Calibración altura de cuchillas "/>
    <x v="0"/>
    <x v="0"/>
    <s v=""/>
    <s v=""/>
    <s v=""/>
    <x v="42"/>
    <x v="0"/>
    <x v="16"/>
  </r>
  <r>
    <x v="71"/>
    <s v="Omar Nina"/>
    <s v="MAÑANA"/>
    <s v="10:50"/>
    <s v="11:32"/>
    <d v="1899-12-30T00:42:00"/>
    <x v="29"/>
    <s v="Maquinaria"/>
    <s v="SET UP"/>
    <x v="0"/>
    <x v="3"/>
    <s v="Cambio de formato de 40 a 50"/>
    <s v=""/>
    <x v="0"/>
    <x v="0"/>
    <s v=""/>
    <s v=""/>
    <s v=""/>
    <x v="2"/>
    <x v="0"/>
    <x v="16"/>
  </r>
  <r>
    <x v="71"/>
    <s v="Omar Nina"/>
    <s v="MAÑANA"/>
    <s v="11:35"/>
    <s v="11:58"/>
    <d v="1899-12-30T00:23:00"/>
    <x v="15"/>
    <s v="Maquinaria"/>
    <s v="SET UP"/>
    <x v="0"/>
    <x v="3"/>
    <s v="Cambio de formato de crema ovalada a fondy menta "/>
    <s v="Cambio de plancha y pistones "/>
    <x v="0"/>
    <x v="0"/>
    <s v=""/>
    <s v=""/>
    <s v=""/>
    <x v="2"/>
    <x v="0"/>
    <x v="16"/>
  </r>
  <r>
    <x v="71"/>
    <s v="Omar Nina"/>
    <s v="MAÑANA"/>
    <s v="13:00"/>
    <s v="13:20"/>
    <d v="1899-12-30T00:20:00"/>
    <x v="17"/>
    <s v="Maquinaria"/>
    <s v="Inspección"/>
    <x v="0"/>
    <x v="3"/>
    <s v="Verificación de temperatura de cinta "/>
    <s v=""/>
    <x v="0"/>
    <x v="0"/>
    <s v=""/>
    <s v=""/>
    <s v=""/>
    <x v="0"/>
    <x v="0"/>
    <x v="16"/>
  </r>
  <r>
    <x v="72"/>
    <s v="CARLOS TAPIA"/>
    <s v="MAÑANA"/>
    <s v="08:00"/>
    <s v="09:45"/>
    <d v="1899-12-30T01:45:00"/>
    <x v="27"/>
    <s v="Maquinaria"/>
    <s v="Reparacion"/>
    <x v="1"/>
    <x v="1"/>
    <s v="Pieza dañada no permite calibrar máquina."/>
    <s v="Se retiró piezas para su reparación y pulido. Posteriormente se colocó en máquina y se calibró."/>
    <x v="0"/>
    <x v="0"/>
    <s v=""/>
    <s v=""/>
    <s v=""/>
    <x v="99"/>
    <x v="0"/>
    <x v="16"/>
  </r>
  <r>
    <x v="72"/>
    <s v="CARLOS TAPIA"/>
    <s v="MAÑANA"/>
    <s v="07:45"/>
    <s v="08:00"/>
    <d v="1899-12-30T00:15:00"/>
    <x v="21"/>
    <s v="Area"/>
    <s v="Sustitucion"/>
    <x v="1"/>
    <x v="1"/>
    <s v="Pistola de aire en máquina con fuga."/>
    <s v="Se revisó y se reemplazo pistola de aire."/>
    <x v="0"/>
    <x v="0"/>
    <s v=""/>
    <s v=""/>
    <s v=""/>
    <x v="18"/>
    <x v="0"/>
    <x v="16"/>
  </r>
  <r>
    <x v="72"/>
    <s v="CARLOS TAPIA"/>
    <s v="MAÑANA"/>
    <s v="07:00"/>
    <s v="07:20"/>
    <d v="1899-12-30T00:20:00"/>
    <x v="47"/>
    <s v="Maquinaria"/>
    <s v="Seguimiento / Pruebas"/>
    <x v="0"/>
    <x v="3"/>
    <s v="Inspección de máquina en funcionamiento "/>
    <s v="Se dió seguimiento al funcionamiento de máquina."/>
    <x v="0"/>
    <x v="0"/>
    <s v=""/>
    <s v=""/>
    <s v=""/>
    <x v="0"/>
    <x v="0"/>
    <x v="16"/>
  </r>
  <r>
    <x v="72"/>
    <s v="CARLOS TAPIA"/>
    <s v="MAÑANA"/>
    <s v="11:40"/>
    <s v="12:00"/>
    <d v="1899-12-30T00:20:00"/>
    <x v="15"/>
    <s v="Maquinaria"/>
    <s v="Reparacion"/>
    <x v="0"/>
    <x v="3"/>
    <s v="Tapón roto en módulo mds."/>
    <s v="Se revisó y se retiró tapón roto del módulo MDS "/>
    <x v="0"/>
    <x v="1"/>
    <s v="Mds"/>
    <s v=""/>
    <s v=""/>
    <x v="24"/>
    <x v="1"/>
    <x v="16"/>
  </r>
  <r>
    <x v="72"/>
    <s v="Cesar Quiroz"/>
    <s v="TARDE"/>
    <s v="12:47"/>
    <s v="13:11"/>
    <d v="1899-12-30T00:24:00"/>
    <x v="31"/>
    <s v="Equipos auxiliares"/>
    <s v="Inspección"/>
    <x v="0"/>
    <x v="3"/>
    <s v="Revisión de funcionamiento y parámetros de trabajo"/>
    <s v=""/>
    <x v="0"/>
    <x v="0"/>
    <s v=""/>
    <s v=""/>
    <s v=""/>
    <x v="0"/>
    <x v="0"/>
    <x v="16"/>
  </r>
  <r>
    <x v="72"/>
    <s v="Cesar Quiroz"/>
    <s v="TARDE"/>
    <s v="13:24"/>
    <s v="13:47"/>
    <d v="1899-12-30T00:23:00"/>
    <x v="52"/>
    <s v="Area"/>
    <s v="Limpieza"/>
    <x v="0"/>
    <x v="3"/>
    <s v="Orden de herramientas y limpieza de mesa de trabajo"/>
    <s v=""/>
    <x v="43"/>
    <x v="0"/>
    <s v=""/>
    <s v=""/>
    <s v=""/>
    <x v="0"/>
    <x v="1"/>
    <x v="16"/>
  </r>
  <r>
    <x v="72"/>
    <s v="JOSÉ HAÑARI"/>
    <s v="MAÑANA"/>
    <d v="1899-12-30T15:00:00"/>
    <s v="18:00"/>
    <d v="1899-12-30T03:00:00"/>
    <x v="15"/>
    <s v="Maquinaria"/>
    <s v="Ajuste /Calibracion"/>
    <x v="1"/>
    <x v="1"/>
    <s v="Temperadora se amarra. La temperatura no baja para empezar moldeo de coquillas"/>
    <s v="Se realiza el seguimiento de temperadora y se realiza correcciones correspondientes "/>
    <x v="0"/>
    <x v="11"/>
    <s v="Temperadora"/>
    <s v=""/>
    <s v=""/>
    <x v="194"/>
    <x v="1"/>
    <x v="16"/>
  </r>
  <r>
    <x v="72"/>
    <s v="JOSÉ HAÑARI"/>
    <s v="MAÑANA"/>
    <s v="18:10"/>
    <s v="18:30"/>
    <d v="1899-12-30T00:20:00"/>
    <x v="5"/>
    <s v="Maquinaria"/>
    <s v="Sustitucion"/>
    <x v="1"/>
    <x v="1"/>
    <s v="Empujador de aluminio cintas gastadas "/>
    <s v="Se realiza cambio de cintas y se pone nuevas "/>
    <x v="0"/>
    <x v="0"/>
    <s v=""/>
    <s v=""/>
    <s v=""/>
    <x v="72"/>
    <x v="0"/>
    <x v="16"/>
  </r>
  <r>
    <x v="72"/>
    <s v="JOSÉ HAÑARI"/>
    <s v="MAÑANA"/>
    <s v="20:00"/>
    <s v="20:20"/>
    <d v="1899-12-30T00:20:00"/>
    <x v="26"/>
    <s v="Maquinaria"/>
    <s v="Ajuste /Calibracion"/>
    <x v="1"/>
    <x v="1"/>
    <s v="Faja se mueve a un lado "/>
    <s v="Se realiza correcciones en calibración de faja "/>
    <x v="0"/>
    <x v="0"/>
    <s v=""/>
    <s v=""/>
    <s v=""/>
    <x v="8"/>
    <x v="0"/>
    <x v="16"/>
  </r>
  <r>
    <x v="72"/>
    <s v="JOSÉ HAÑARI"/>
    <s v="TARDE"/>
    <s v="13:00"/>
    <s v="13:30"/>
    <d v="1899-12-30T00:30:00"/>
    <x v="15"/>
    <s v="Maquinaria"/>
    <s v="Reparacion"/>
    <x v="1"/>
    <x v="1"/>
    <s v="Temperadora se amarra"/>
    <s v="Se realiza llenado de agua de temperadora "/>
    <x v="0"/>
    <x v="11"/>
    <s v="Temperadora"/>
    <s v=""/>
    <s v=""/>
    <x v="194"/>
    <x v="1"/>
    <x v="16"/>
  </r>
  <r>
    <x v="72"/>
    <s v="JOSÉ HAÑARI"/>
    <s v="TARDE"/>
    <s v="13:40"/>
    <s v="14:16"/>
    <d v="1899-12-30T00:36:00"/>
    <x v="28"/>
    <s v="Maquinaria"/>
    <s v="Ajuste /Calibracion"/>
    <x v="1"/>
    <x v="1"/>
    <s v="Laminado se pega "/>
    <s v="Se calibrar equipo"/>
    <x v="0"/>
    <x v="0"/>
    <s v=""/>
    <s v=""/>
    <s v=""/>
    <x v="195"/>
    <x v="0"/>
    <x v="16"/>
  </r>
  <r>
    <x v="72"/>
    <s v="JOSÉ HAÑARI"/>
    <s v="TARDE"/>
    <s v="20:30"/>
    <s v="21:00"/>
    <d v="1899-12-30T00:30:00"/>
    <x v="21"/>
    <s v="Area"/>
    <s v="Inspección"/>
    <x v="1"/>
    <x v="2"/>
    <s v="Ascensor queda en EP"/>
    <s v="Se realiza seguimiento y se reinicia equipo pero no responde se reporta "/>
    <x v="0"/>
    <x v="0"/>
    <s v=""/>
    <s v=""/>
    <s v=""/>
    <x v="0"/>
    <x v="0"/>
    <x v="16"/>
  </r>
  <r>
    <x v="72"/>
    <s v="Omar Nina"/>
    <s v="MAÑANA"/>
    <s v="05:55"/>
    <s v="06:13"/>
    <d v="1899-12-30T00:18:00"/>
    <x v="29"/>
    <s v="Maquinaria"/>
    <s v="Ajuste /Calibracion"/>
    <x v="0"/>
    <x v="3"/>
    <s v="Solicitan juntar más la medida 4"/>
    <s v="Se modifica medida y se verifica funcionamiento "/>
    <x v="0"/>
    <x v="0"/>
    <s v=""/>
    <s v=""/>
    <s v=""/>
    <x v="32"/>
    <x v="0"/>
    <x v="16"/>
  </r>
  <r>
    <x v="72"/>
    <s v="Omar Nina"/>
    <s v="MAÑANA"/>
    <s v="06:20"/>
    <s v="06:45"/>
    <d v="1899-12-30T00:25:00"/>
    <x v="5"/>
    <s v="Maquinaria"/>
    <s v="Seguimiento / Pruebas"/>
    <x v="0"/>
    <x v="3"/>
    <s v="Verificación de funcionamiento de equipo "/>
    <s v=""/>
    <x v="0"/>
    <x v="0"/>
    <s v=""/>
    <s v=""/>
    <s v=""/>
    <x v="0"/>
    <x v="0"/>
    <x v="16"/>
  </r>
  <r>
    <x v="73"/>
    <s v="Carlos Puma"/>
    <s v="NOCHE"/>
    <s v="00:30"/>
    <s v="01:00"/>
    <d v="1899-12-30T00:30:00"/>
    <x v="5"/>
    <s v="Maquinaria"/>
    <s v="Reparacion"/>
    <x v="1"/>
    <x v="1"/>
    <s v="Papel arrugado"/>
    <s v="Se retiró rodillo de arrastre se hizo el cambio de cintas , se regulo presión de guías y reposición eje desvíado"/>
    <x v="0"/>
    <x v="0"/>
    <s v=""/>
    <s v=""/>
    <s v=""/>
    <x v="196"/>
    <x v="0"/>
    <x v="16"/>
  </r>
  <r>
    <x v="73"/>
    <s v="Carlos Puma"/>
    <s v="NOCHE"/>
    <s v="01:05"/>
    <s v="02:05"/>
    <d v="1899-12-30T01:00:00"/>
    <x v="50"/>
    <s v="Maquinaria"/>
    <s v="Sustitucion"/>
    <x v="1"/>
    <x v="1"/>
    <s v="Malla dañada , presenta un hilo roto"/>
    <s v="Se remplazo sección dañada "/>
    <x v="0"/>
    <x v="0"/>
    <s v=""/>
    <s v=""/>
    <s v=""/>
    <x v="197"/>
    <x v="0"/>
    <x v="16"/>
  </r>
  <r>
    <x v="73"/>
    <s v="Carlos Puma"/>
    <s v="NOCHE"/>
    <s v="02:20"/>
    <s v="02:40"/>
    <d v="1899-12-30T00:20:00"/>
    <x v="28"/>
    <s v="Maquinaria"/>
    <s v="Ajuste /Calibracion"/>
    <x v="1"/>
    <x v="1"/>
    <s v="Sellado sale mal"/>
    <s v="Se regulo guía y plegador lateral "/>
    <x v="0"/>
    <x v="0"/>
    <s v=""/>
    <s v=""/>
    <s v=""/>
    <x v="62"/>
    <x v="0"/>
    <x v="16"/>
  </r>
  <r>
    <x v="73"/>
    <s v="Carlos Puma"/>
    <s v="NOCHE"/>
    <s v="02:55"/>
    <s v="03:10"/>
    <d v="1899-12-30T00:15:00"/>
    <x v="5"/>
    <s v="Maquinaria"/>
    <s v="Reparacion"/>
    <x v="1"/>
    <x v="1"/>
    <s v="Buje dañado en polin de arrastre, eje se desvia"/>
    <s v="Se coloco eje en pocision y se reporto"/>
    <x v="0"/>
    <x v="0"/>
    <s v=""/>
    <s v=""/>
    <s v=""/>
    <x v="85"/>
    <x v="0"/>
    <x v="16"/>
  </r>
  <r>
    <x v="73"/>
    <s v="Carlos Puma"/>
    <s v="NOCHE"/>
    <s v="21:30"/>
    <s v="22:00"/>
    <d v="1899-12-30T00:30:00"/>
    <x v="91"/>
    <s v="Equipos auxiliares"/>
    <s v="Inspección"/>
    <x v="0"/>
    <x v="3"/>
    <s v="Se reviso estado de caldera y compresor ,"/>
    <s v="Se realizó purgas"/>
    <x v="0"/>
    <x v="0"/>
    <s v=""/>
    <s v=""/>
    <s v=""/>
    <x v="0"/>
    <x v="0"/>
    <x v="16"/>
  </r>
  <r>
    <x v="73"/>
    <s v="Carlos Puma"/>
    <s v="NOCHE"/>
    <s v="22:05"/>
    <s v="22:30"/>
    <d v="1899-12-30T00:25:00"/>
    <x v="47"/>
    <s v="Maquinaria"/>
    <s v="Ajuste /Calibracion"/>
    <x v="1"/>
    <x v="1"/>
    <s v="Reportan fuga de chocolate de temperadora"/>
    <s v="Se reviso el ajuste de prensaestopas , se coloco tapas y guardas"/>
    <x v="0"/>
    <x v="11"/>
    <s v="Temperadora"/>
    <s v=""/>
    <s v=""/>
    <x v="69"/>
    <x v="1"/>
    <x v="16"/>
  </r>
  <r>
    <x v="73"/>
    <s v="Carlos Puma"/>
    <s v="NOCHE"/>
    <s v="23:00"/>
    <s v="23:20"/>
    <d v="1899-12-30T00:20:00"/>
    <x v="30"/>
    <s v="Maquinaria"/>
    <s v="Limpieza"/>
    <x v="1"/>
    <x v="2"/>
    <s v="Codificado sale borroso"/>
    <s v="Se ejecuto programa de limpieza, se limpio cabezal y se hizo pruebas "/>
    <x v="0"/>
    <x v="13"/>
    <s v="Codificador"/>
    <s v=""/>
    <s v=""/>
    <x v="82"/>
    <x v="1"/>
    <x v="16"/>
  </r>
  <r>
    <x v="73"/>
    <s v="Carlos Puma"/>
    <s v="NOCHE"/>
    <s v="23:25"/>
    <s v="23:45"/>
    <d v="1899-12-30T00:20:00"/>
    <x v="28"/>
    <s v="Maquinaria"/>
    <s v="Ajuste /Calibracion"/>
    <x v="0"/>
    <x v="3"/>
    <s v="Calibración de abrefacil"/>
    <s v=""/>
    <x v="46"/>
    <x v="0"/>
    <s v=""/>
    <s v=""/>
    <s v=""/>
    <x v="28"/>
    <x v="1"/>
    <x v="16"/>
  </r>
  <r>
    <x v="74"/>
    <s v="Carlos Puma"/>
    <s v="MAÑANA"/>
    <s v="00:04"/>
    <s v="00:00"/>
    <d v="1899-12-30T23:56:00"/>
    <x v="5"/>
    <s v="Maquinaria"/>
    <s v="Inspección"/>
    <x v="0"/>
    <x v="3"/>
    <s v="Inspección de equipo "/>
    <s v=""/>
    <x v="0"/>
    <x v="0"/>
    <s v=""/>
    <s v=""/>
    <s v=""/>
    <x v="0"/>
    <x v="0"/>
    <x v="16"/>
  </r>
  <r>
    <x v="74"/>
    <s v="Carlos Puma"/>
    <s v="NOCHE"/>
    <s v="00:00"/>
    <s v="00:25"/>
    <d v="1899-12-30T00:25:00"/>
    <x v="47"/>
    <s v="Maquinaria"/>
    <s v="Limpieza"/>
    <x v="0"/>
    <x v="3"/>
    <s v="Limpieza de temperadora"/>
    <s v=""/>
    <x v="0"/>
    <x v="11"/>
    <s v="Temperadora"/>
    <s v=""/>
    <s v=""/>
    <x v="0"/>
    <x v="1"/>
    <x v="16"/>
  </r>
  <r>
    <x v="74"/>
    <s v="Cesar Quiroz"/>
    <s v="TARDE"/>
    <s v="12:44"/>
    <s v="13:06"/>
    <d v="1899-12-30T00:22:00"/>
    <x v="31"/>
    <s v="Equipos auxiliares"/>
    <s v="Inspección"/>
    <x v="0"/>
    <x v="3"/>
    <s v="Revisión de funcionamiento y parámetros de trabajo "/>
    <s v=""/>
    <x v="0"/>
    <x v="0"/>
    <s v=""/>
    <s v=""/>
    <s v=""/>
    <x v="0"/>
    <x v="0"/>
    <x v="16"/>
  </r>
  <r>
    <x v="74"/>
    <s v="Cesar Quiroz"/>
    <s v="TARDE"/>
    <s v="13:19"/>
    <s v="13:40"/>
    <d v="1899-12-30T00:21:00"/>
    <x v="49"/>
    <s v="Maquinaria"/>
    <s v="Limpieza"/>
    <x v="0"/>
    <x v="3"/>
    <s v="Apoyo en retiro de chocolate en equipo"/>
    <s v=""/>
    <x v="8"/>
    <x v="0"/>
    <s v=""/>
    <s v=""/>
    <s v=""/>
    <x v="14"/>
    <x v="1"/>
    <x v="16"/>
  </r>
  <r>
    <x v="74"/>
    <s v="Cesar Quiroz"/>
    <s v="TARDE"/>
    <s v="13:52"/>
    <s v="14:24"/>
    <d v="1899-12-30T00:32:00"/>
    <x v="5"/>
    <s v="Maquinaria"/>
    <s v="SET UP"/>
    <x v="0"/>
    <x v="3"/>
    <s v="Desmontaje de módulo de corte para revisión de cuchilla"/>
    <s v=""/>
    <x v="31"/>
    <x v="0"/>
    <s v=""/>
    <s v=""/>
    <s v=""/>
    <x v="134"/>
    <x v="1"/>
    <x v="16"/>
  </r>
  <r>
    <x v="74"/>
    <s v="Cesar Quiroz"/>
    <s v="TARDE"/>
    <s v="14:28"/>
    <s v="14:53"/>
    <d v="1899-12-30T00:25:00"/>
    <x v="28"/>
    <s v="Maquinaria"/>
    <s v="Ajuste /Calibracion"/>
    <x v="1"/>
    <x v="1"/>
    <s v="Producto se pega, abre fácil se mueve y no sella bien"/>
    <s v="Se realizó pruebas y ajustes de piezas, se modifico medidas y se probó funcionamiento "/>
    <x v="0"/>
    <x v="0"/>
    <s v=""/>
    <s v=""/>
    <s v=""/>
    <x v="149"/>
    <x v="0"/>
    <x v="16"/>
  </r>
  <r>
    <x v="74"/>
    <s v="Cesar Quiroz"/>
    <s v="TARDE"/>
    <s v="15:01"/>
    <s v="15:27"/>
    <d v="1899-12-30T00:26:00"/>
    <x v="30"/>
    <s v="Maquinaria"/>
    <s v="Limpieza"/>
    <x v="1"/>
    <x v="2"/>
    <s v="Imprime borroso, letras no se notan bien"/>
    <s v="Se realizó procedimiento de limpieza de cabezal, desopturacion de bus y alineación de chorro"/>
    <x v="0"/>
    <x v="0"/>
    <s v=""/>
    <s v=""/>
    <s v=""/>
    <x v="82"/>
    <x v="0"/>
    <x v="16"/>
  </r>
  <r>
    <x v="74"/>
    <s v="Cesar Quiroz"/>
    <s v="TARDE"/>
    <s v="15:39"/>
    <s v="15:47"/>
    <d v="1899-12-30T00:08:00"/>
    <x v="28"/>
    <s v="Maquinaria"/>
    <s v="Ajuste /Calibracion"/>
    <x v="1"/>
    <x v="1"/>
    <s v="Abre fácil se movió, no está alineado con el corte"/>
    <s v="Se retiro celofán y se volvió a posicionar, se alineó corte y se realizó pruebas"/>
    <x v="0"/>
    <x v="0"/>
    <s v=""/>
    <s v=""/>
    <s v=""/>
    <x v="0"/>
    <x v="0"/>
    <x v="16"/>
  </r>
  <r>
    <x v="74"/>
    <s v="Cesar Quiroz"/>
    <s v="TARDE"/>
    <s v="15:48"/>
    <s v="16:28"/>
    <d v="1899-12-30T00:40:00"/>
    <x v="29"/>
    <s v="Maquinaria"/>
    <s v="SET UP"/>
    <x v="0"/>
    <x v="3"/>
    <s v="Cambio de formato de x50 a x100"/>
    <s v=""/>
    <x v="0"/>
    <x v="0"/>
    <s v=""/>
    <s v=""/>
    <s v=""/>
    <x v="2"/>
    <x v="0"/>
    <x v="16"/>
  </r>
  <r>
    <x v="74"/>
    <s v="Cesar Quiroz"/>
    <s v="TARDE"/>
    <s v="17:33"/>
    <s v="17:47"/>
    <d v="1899-12-30T00:14:00"/>
    <x v="55"/>
    <s v="Maquinaria"/>
    <s v="Reparacion"/>
    <x v="1"/>
    <x v="1"/>
    <s v="Plancha se calienta demasiado"/>
    <s v="Se reviso y plancha Rosana con disco, se enderezó plancha, y se reviso que no chocara"/>
    <x v="0"/>
    <x v="0"/>
    <s v=""/>
    <s v=""/>
    <s v=""/>
    <x v="96"/>
    <x v="0"/>
    <x v="16"/>
  </r>
  <r>
    <x v="75"/>
    <s v="CARLOS TAPIA"/>
    <s v="MAÑANA"/>
    <s v="06:30"/>
    <s v="07:30"/>
    <d v="1899-12-30T01:00:00"/>
    <x v="49"/>
    <s v="Maquinaria"/>
    <s v="SET UP"/>
    <x v="0"/>
    <x v="3"/>
    <s v="Desarmar máquina para su limpieza "/>
    <s v="Se desarmó máquina para su limpieza. Se apoyo con el retiro de chocolate de tina y la desconexión de tuberías."/>
    <x v="0"/>
    <x v="0"/>
    <s v=""/>
    <s v=""/>
    <s v=""/>
    <x v="0"/>
    <x v="0"/>
    <x v="17"/>
  </r>
  <r>
    <x v="75"/>
    <s v="CARLOS TAPIA"/>
    <s v="MAÑANA"/>
    <s v="07:30"/>
    <s v="08:00"/>
    <d v="1899-12-30T00:30:00"/>
    <x v="19"/>
    <s v="Maquinaria"/>
    <s v="SET UP"/>
    <x v="0"/>
    <x v="3"/>
    <s v="Desarmar máquina para su limpieza "/>
    <s v="Se retiró piezas para su limpieza "/>
    <x v="0"/>
    <x v="0"/>
    <s v=""/>
    <s v=""/>
    <s v=""/>
    <x v="0"/>
    <x v="0"/>
    <x v="17"/>
  </r>
  <r>
    <x v="75"/>
    <s v="CARLOS TAPIA"/>
    <s v="MAÑANA"/>
    <s v="08:00"/>
    <s v="09:00"/>
    <d v="1899-12-30T01:00:00"/>
    <x v="3"/>
    <s v="Maquinaria"/>
    <s v="SET UP"/>
    <x v="0"/>
    <x v="3"/>
    <s v="Desarmar máquina para su limpieza. Retirar mordazas y cadena para su limpieza."/>
    <s v="Se retiró mordazas y se desarmó máquina para su limpieza "/>
    <x v="106"/>
    <x v="0"/>
    <s v=""/>
    <s v=""/>
    <s v=""/>
    <x v="14"/>
    <x v="1"/>
    <x v="17"/>
  </r>
  <r>
    <x v="75"/>
    <s v="CARLOS TAPIA"/>
    <s v="MAÑANA"/>
    <s v="09:10"/>
    <s v="09:30"/>
    <d v="1899-12-30T00:20:00"/>
    <x v="18"/>
    <s v="Maquinaria"/>
    <s v="SET UP"/>
    <x v="0"/>
    <x v="3"/>
    <s v="Armado de máquina "/>
    <s v="Se colocó piezas en posición y se habilitó máquina "/>
    <x v="0"/>
    <x v="0"/>
    <s v=""/>
    <s v=""/>
    <s v=""/>
    <x v="0"/>
    <x v="0"/>
    <x v="17"/>
  </r>
  <r>
    <x v="75"/>
    <s v="CARLOS TAPIA"/>
    <s v="MAÑANA"/>
    <s v="09:45"/>
    <s v="10:00"/>
    <d v="1899-12-30T00:15:00"/>
    <x v="51"/>
    <s v="Maquinaria"/>
    <s v="SET UP"/>
    <x v="0"/>
    <x v="3"/>
    <s v="Desarmar máquina para su limpieza "/>
    <s v="Se retiró piezas y guardas."/>
    <x v="0"/>
    <x v="0"/>
    <s v=""/>
    <s v=""/>
    <s v=""/>
    <x v="0"/>
    <x v="0"/>
    <x v="17"/>
  </r>
  <r>
    <x v="75"/>
    <s v="CARLOS TAPIA"/>
    <s v="MAÑANA"/>
    <s v="11:00"/>
    <s v="12:30"/>
    <d v="1899-12-30T01:30:00"/>
    <x v="3"/>
    <s v="Maquinaria"/>
    <s v="SET UP"/>
    <x v="0"/>
    <x v="3"/>
    <s v="Cambiar formato a bite size."/>
    <s v="Se retiró piezas y se cambió de formato a bote size."/>
    <x v="0"/>
    <x v="0"/>
    <s v=""/>
    <s v=""/>
    <s v=""/>
    <x v="2"/>
    <x v="0"/>
    <x v="17"/>
  </r>
  <r>
    <x v="75"/>
    <s v="CARLOS TAPIA"/>
    <s v="MAÑANA"/>
    <s v="12:30"/>
    <s v="13:00"/>
    <d v="1899-12-30T00:30:00"/>
    <x v="29"/>
    <s v="Maquinaria"/>
    <s v="Sustitucion"/>
    <x v="1"/>
    <x v="1"/>
    <s v="Pieza de sellado dañada. "/>
    <s v="Se revisó y se reemplazo alambre de micro. Se realizó pruebas y se habilitó maquina"/>
    <x v="0"/>
    <x v="0"/>
    <s v=""/>
    <s v=""/>
    <s v=""/>
    <x v="198"/>
    <x v="0"/>
    <x v="17"/>
  </r>
  <r>
    <x v="75"/>
    <s v="Cesar Quiroz"/>
    <s v="MAÑANA"/>
    <s v="05:36"/>
    <s v="06:43"/>
    <d v="1899-12-30T01:07:00"/>
    <x v="21"/>
    <s v="Area"/>
    <s v="Encendido / Arranque de linea"/>
    <x v="0"/>
    <x v="3"/>
    <s v="Arranque de equipos de planta, verificación de pozos"/>
    <s v=""/>
    <x v="0"/>
    <x v="0"/>
    <s v=""/>
    <s v=""/>
    <s v=""/>
    <x v="0"/>
    <x v="0"/>
    <x v="17"/>
  </r>
  <r>
    <x v="75"/>
    <s v="Cesar Quiroz"/>
    <s v="MAÑANA"/>
    <s v="06:49"/>
    <s v="07:13"/>
    <d v="1899-12-30T00:24:00"/>
    <x v="35"/>
    <s v="Maquinaria"/>
    <s v="Encendido / Arranque de linea"/>
    <x v="0"/>
    <x v="3"/>
    <s v="Apoyo en arranque de equipo"/>
    <s v=""/>
    <x v="0"/>
    <x v="0"/>
    <s v=""/>
    <s v=""/>
    <s v=""/>
    <x v="0"/>
    <x v="0"/>
    <x v="17"/>
  </r>
  <r>
    <x v="75"/>
    <s v="Cesar Quiroz"/>
    <s v="MAÑANA"/>
    <s v="07:18"/>
    <s v="07:27"/>
    <d v="1899-12-30T00:09:00"/>
    <x v="17"/>
    <s v="Maquinaria"/>
    <s v="Reparacion"/>
    <x v="1"/>
    <x v="1"/>
    <s v="Válvula abierta de unidad de mantenimiento de aire"/>
    <s v="Se retiro guarda, se reviso unidad de mantenimiento, se retiro válvula y se colocó se reviso cierre de valvula"/>
    <x v="0"/>
    <x v="0"/>
    <s v=""/>
    <s v=""/>
    <s v=""/>
    <x v="13"/>
    <x v="0"/>
    <x v="17"/>
  </r>
  <r>
    <x v="75"/>
    <s v="Cesar Quiroz"/>
    <s v="MAÑANA"/>
    <s v="07:29"/>
    <s v="08:25"/>
    <d v="1899-12-30T00:56:00"/>
    <x v="17"/>
    <s v="Maquinaria"/>
    <s v="SET UP"/>
    <x v="0"/>
    <x v="3"/>
    <s v="Armado y habilitación de equipo"/>
    <s v=""/>
    <x v="0"/>
    <x v="0"/>
    <s v=""/>
    <s v=""/>
    <s v=""/>
    <x v="0"/>
    <x v="0"/>
    <x v="17"/>
  </r>
  <r>
    <x v="75"/>
    <s v="Cesar Quiroz"/>
    <s v="MAÑANA"/>
    <s v="08:28"/>
    <s v="08:40"/>
    <d v="1899-12-30T00:12:00"/>
    <x v="19"/>
    <s v="Maquinaria"/>
    <s v="SET UP"/>
    <x v="0"/>
    <x v="3"/>
    <s v="Apoyo en desarmado de equipo para limpieza "/>
    <s v=""/>
    <x v="0"/>
    <x v="0"/>
    <s v=""/>
    <s v=""/>
    <s v=""/>
    <x v="0"/>
    <x v="0"/>
    <x v="17"/>
  </r>
  <r>
    <x v="75"/>
    <s v="Cesar Quiroz"/>
    <s v="MAÑANA"/>
    <s v="08:44"/>
    <s v="09:12"/>
    <d v="1899-12-30T00:28:00"/>
    <x v="89"/>
    <s v="Maquinaria"/>
    <s v="Ajuste /Calibracion"/>
    <x v="1"/>
    <x v="1"/>
    <s v="Pedal no acciona, cuchilla no corta"/>
    <s v="Se calibro cuchilla, se regulo sensores y se ajusto resorte"/>
    <x v="0"/>
    <x v="0"/>
    <s v=""/>
    <s v=""/>
    <s v=""/>
    <x v="199"/>
    <x v="0"/>
    <x v="17"/>
  </r>
  <r>
    <x v="75"/>
    <s v="Cesar Quiroz"/>
    <s v="MAÑANA"/>
    <s v="09:18"/>
    <s v="09:47"/>
    <d v="1899-12-30T00:29:00"/>
    <x v="3"/>
    <s v="Maquinaria"/>
    <s v="SET UP"/>
    <x v="0"/>
    <x v="3"/>
    <s v="Cambio de mordaza para formato bite size, colocación de guardas"/>
    <s v=""/>
    <x v="4"/>
    <x v="0"/>
    <s v=""/>
    <s v=""/>
    <s v=""/>
    <x v="2"/>
    <x v="1"/>
    <x v="17"/>
  </r>
  <r>
    <x v="75"/>
    <s v="Cesar Quiroz"/>
    <s v="MAÑANA"/>
    <s v="09:51"/>
    <s v="10:20"/>
    <d v="1899-12-30T00:29:00"/>
    <x v="30"/>
    <s v="Maquinaria"/>
    <s v="Limpieza"/>
    <x v="1"/>
    <x v="2"/>
    <s v="Imprime borroso"/>
    <s v="Se realizó procedimiento de limpieza de cabezal"/>
    <x v="0"/>
    <x v="0"/>
    <s v=""/>
    <s v=""/>
    <s v=""/>
    <x v="82"/>
    <x v="0"/>
    <x v="17"/>
  </r>
  <r>
    <x v="75"/>
    <s v="Cesar Quiroz"/>
    <s v="MAÑANA"/>
    <s v="11:08"/>
    <s v="11:27"/>
    <d v="1899-12-30T00:19:00"/>
    <x v="15"/>
    <s v="Maquinaria"/>
    <s v="Inspección"/>
    <x v="0"/>
    <x v="3"/>
    <s v="Revisión de temperado y niveles de agua en temperadora"/>
    <s v=""/>
    <x v="0"/>
    <x v="11"/>
    <s v="Temperadora"/>
    <s v=""/>
    <s v=""/>
    <x v="16"/>
    <x v="1"/>
    <x v="17"/>
  </r>
  <r>
    <x v="75"/>
    <s v="Omar Nina"/>
    <s v="NOCHE"/>
    <s v="21:45"/>
    <s v="22:07"/>
    <d v="1899-12-30T00:22:00"/>
    <x v="28"/>
    <s v="Maquinaria"/>
    <s v="SET UP"/>
    <x v="0"/>
    <x v="3"/>
    <s v="Solicitan cambio de formato de pisco x9 a milky"/>
    <s v="Se retiro piezas de formato de pisco"/>
    <x v="0"/>
    <x v="0"/>
    <s v=""/>
    <s v=""/>
    <s v=""/>
    <x v="2"/>
    <x v="0"/>
    <x v="17"/>
  </r>
  <r>
    <x v="75"/>
    <s v="Omar Nina"/>
    <s v="NOCHE"/>
    <s v="22:12"/>
    <s v="22:35"/>
    <d v="1899-12-30T00:23:00"/>
    <x v="3"/>
    <s v="Maquinaria"/>
    <s v="Reparacion"/>
    <x v="1"/>
    <x v="1"/>
    <s v="Guía de laminado se encuentra doblado"/>
    <s v="Se retira pieza y se endereza. Se realiza pruebas en equipo "/>
    <x v="0"/>
    <x v="0"/>
    <s v=""/>
    <s v=""/>
    <s v=""/>
    <x v="200"/>
    <x v="0"/>
    <x v="17"/>
  </r>
  <r>
    <x v="75"/>
    <s v="Omar Nina"/>
    <s v="NOCHE"/>
    <s v="22:39"/>
    <s v="23:15"/>
    <d v="1899-12-30T00:36:00"/>
    <x v="3"/>
    <s v="Maquinaria"/>
    <s v="Seguimiento / Pruebas"/>
    <x v="0"/>
    <x v="3"/>
    <s v="Verificación de arrastre de laminado, se realiza pruebas de piezas adaptada para pasar laminado de bite size"/>
    <s v=""/>
    <x v="38"/>
    <x v="0"/>
    <s v=""/>
    <s v=""/>
    <s v=""/>
    <x v="50"/>
    <x v="1"/>
    <x v="17"/>
  </r>
  <r>
    <x v="75"/>
    <s v="Omar Nina"/>
    <s v="NOCHE"/>
    <s v="23:26"/>
    <s v="23:55"/>
    <d v="1899-12-30T00:29:00"/>
    <x v="30"/>
    <s v="Maquinaria"/>
    <s v="Limpieza"/>
    <x v="1"/>
    <x v="2"/>
    <s v="Codificado sale borroso y distorsionado"/>
    <s v="Se realizó limpieza de cabezal y procedimiento de limpieza de electroválvulas"/>
    <x v="0"/>
    <x v="13"/>
    <s v="Codificador"/>
    <s v=""/>
    <s v=""/>
    <x v="82"/>
    <x v="1"/>
    <x v="17"/>
  </r>
  <r>
    <x v="75"/>
    <s v="Omar Nina"/>
    <s v="NOCHE"/>
    <s v="00:00"/>
    <s v="00:34"/>
    <d v="1899-12-30T00:34:00"/>
    <x v="28"/>
    <s v="Maquinaria"/>
    <s v="SET UP"/>
    <x v="0"/>
    <x v="3"/>
    <s v="Producción indica que ya no pasaráilky, que se vuelva a cambiar a pisco x18"/>
    <s v="Se  coloca piezas de formato pisco x18"/>
    <x v="0"/>
    <x v="0"/>
    <s v=""/>
    <s v=""/>
    <s v=""/>
    <x v="0"/>
    <x v="0"/>
    <x v="17"/>
  </r>
  <r>
    <x v="75"/>
    <s v="Omar Nina"/>
    <s v="NOCHE"/>
    <s v="00:40"/>
    <s v="00:52"/>
    <d v="1899-12-30T00:12:00"/>
    <x v="15"/>
    <s v="Maquinaria"/>
    <s v="Ajuste /Calibracion"/>
    <x v="1"/>
    <x v="1"/>
    <s v="B6 empuja demasiado fuerte los moldes"/>
    <s v="Regulación de flujo de aire "/>
    <x v="0"/>
    <x v="0"/>
    <s v=""/>
    <s v=""/>
    <s v=""/>
    <x v="0"/>
    <x v="0"/>
    <x v="17"/>
  </r>
  <r>
    <x v="75"/>
    <s v="Omar Nina"/>
    <s v="NOCHE"/>
    <s v="00:58"/>
    <s v="01:33"/>
    <d v="1899-12-30T00:35:00"/>
    <x v="15"/>
    <s v="Maquinaria"/>
    <s v="SET UP"/>
    <x v="0"/>
    <x v="3"/>
    <s v="Armado de MDS para crema ovalada"/>
    <s v=""/>
    <x v="0"/>
    <x v="1"/>
    <s v="Mds"/>
    <s v=""/>
    <s v=""/>
    <x v="0"/>
    <x v="1"/>
    <x v="17"/>
  </r>
  <r>
    <x v="75"/>
    <s v="Omar Nina"/>
    <s v="NOCHE"/>
    <s v="01:40"/>
    <s v="02:15"/>
    <d v="1899-12-30T00:35:00"/>
    <x v="28"/>
    <s v="Maquinaria"/>
    <s v="SET UP"/>
    <x v="0"/>
    <x v="3"/>
    <s v="Calibración de laminado y pruebas con producto. Pisco x18"/>
    <s v=""/>
    <x v="100"/>
    <x v="0"/>
    <s v=""/>
    <s v=""/>
    <s v=""/>
    <x v="7"/>
    <x v="1"/>
    <x v="17"/>
  </r>
  <r>
    <x v="75"/>
    <s v="Omar Nina"/>
    <s v="NOCHE"/>
    <s v="03:25"/>
    <s v="04:30"/>
    <d v="1899-12-30T01:05:00"/>
    <x v="15"/>
    <s v="Maquinaria"/>
    <s v="Ajuste /Calibracion"/>
    <x v="1"/>
    <x v="2"/>
    <s v="Tina se encuentra llena. Bomba impulsa poco chocolate "/>
    <s v="Calibración de sensor de nivel de tina. Retiró de tubería para limpieza y pruebas de funcionamiento. Problema persiste "/>
    <x v="0"/>
    <x v="0"/>
    <s v=""/>
    <s v=""/>
    <s v=""/>
    <x v="0"/>
    <x v="0"/>
    <x v="17"/>
  </r>
  <r>
    <x v="76"/>
    <s v="CARLOS TAPIA"/>
    <s v="MAÑANA"/>
    <s v="07:00"/>
    <s v="08:20"/>
    <d v="1899-12-30T01:20:00"/>
    <x v="28"/>
    <s v="Maquinaria"/>
    <s v="SET UP"/>
    <x v="0"/>
    <x v="3"/>
    <s v="Cambio de formato a milky x 10."/>
    <s v="Se reemplazo piezas para formato milky x 10. Posteriormente se calibró el sellado de cajas. Se aviso a supervisor de producción."/>
    <x v="0"/>
    <x v="0"/>
    <s v=""/>
    <s v=""/>
    <s v=""/>
    <x v="2"/>
    <x v="0"/>
    <x v="17"/>
  </r>
  <r>
    <x v="76"/>
    <s v="CARLOS TAPIA"/>
    <s v="MAÑANA"/>
    <s v="08:30"/>
    <s v="08:45"/>
    <d v="1899-12-30T00:15:00"/>
    <x v="49"/>
    <s v="Maquinaria"/>
    <s v="SET UP"/>
    <x v="0"/>
    <x v="3"/>
    <s v="Desarmar máquina para su limpieza "/>
    <s v="Se retiró tuberías para su limpieza."/>
    <x v="0"/>
    <x v="0"/>
    <s v=""/>
    <s v=""/>
    <s v=""/>
    <x v="0"/>
    <x v="0"/>
    <x v="17"/>
  </r>
  <r>
    <x v="76"/>
    <s v="CARLOS TAPIA"/>
    <s v="MAÑANA"/>
    <s v="08:45"/>
    <s v="09:10"/>
    <d v="1899-12-30T00:25:00"/>
    <x v="26"/>
    <s v="Maquinaria"/>
    <s v="Reparacion"/>
    <x v="1"/>
    <x v="1"/>
    <s v="Colisión de piezas."/>
    <s v="Se retiró piezas para su reparación y posteriormente se colocó en posición. Se dejó habilitada la máquina."/>
    <x v="0"/>
    <x v="0"/>
    <s v=""/>
    <s v=""/>
    <s v=""/>
    <x v="177"/>
    <x v="0"/>
    <x v="17"/>
  </r>
  <r>
    <x v="76"/>
    <s v="CARLOS TAPIA"/>
    <s v="MAÑANA"/>
    <s v="09:40"/>
    <s v="10:00"/>
    <d v="1899-12-30T00:20:00"/>
    <x v="3"/>
    <s v="Maquinaria"/>
    <s v="Seguimiento / Pruebas"/>
    <x v="0"/>
    <x v="3"/>
    <s v="Inspección de máquina en funcionamiento "/>
    <s v="Se dió seguimiento al funcionamiento de máquina."/>
    <x v="0"/>
    <x v="0"/>
    <s v=""/>
    <s v=""/>
    <s v=""/>
    <x v="0"/>
    <x v="0"/>
    <x v="17"/>
  </r>
  <r>
    <x v="76"/>
    <s v="CARLOS TAPIA"/>
    <s v="MAÑANA"/>
    <s v="11:30"/>
    <s v="12:00"/>
    <d v="1899-12-30T00:30:00"/>
    <x v="15"/>
    <s v="Maquinaria"/>
    <s v="SET UP"/>
    <x v="0"/>
    <x v="3"/>
    <s v="Desarmar módulo MDS para su limpieza "/>
    <s v="Se desarmó módulo MDS "/>
    <x v="0"/>
    <x v="1"/>
    <s v="Mds"/>
    <s v=""/>
    <s v=""/>
    <x v="0"/>
    <x v="1"/>
    <x v="17"/>
  </r>
  <r>
    <x v="76"/>
    <s v="CARLOS TAPIA"/>
    <s v="MAÑANA"/>
    <s v="12:40"/>
    <s v="13:00"/>
    <d v="1899-12-30T00:20:00"/>
    <x v="3"/>
    <s v="Maquinaria"/>
    <s v="Seguimiento / Pruebas"/>
    <x v="0"/>
    <x v="3"/>
    <s v="Apoyo en máquina "/>
    <s v="Se dió soporte a personal tercero con la pruebas en máquina. "/>
    <x v="0"/>
    <x v="0"/>
    <s v=""/>
    <s v=""/>
    <s v=""/>
    <x v="0"/>
    <x v="0"/>
    <x v="17"/>
  </r>
  <r>
    <x v="76"/>
    <s v="Cesar Quiroz"/>
    <s v="MAÑANA"/>
    <s v="05:39"/>
    <s v="06:04"/>
    <d v="1899-12-30T00:25:00"/>
    <x v="31"/>
    <s v="Equipos auxiliares"/>
    <s v="Inspección"/>
    <x v="0"/>
    <x v="3"/>
    <s v="Revisión de funcionamiento y parámetros de trabajo "/>
    <s v=""/>
    <x v="0"/>
    <x v="0"/>
    <s v=""/>
    <s v=""/>
    <s v=""/>
    <x v="0"/>
    <x v="0"/>
    <x v="17"/>
  </r>
  <r>
    <x v="76"/>
    <s v="Cesar Quiroz"/>
    <s v="MAÑANA"/>
    <s v="06:14"/>
    <s v="06:27"/>
    <d v="1899-12-30T00:13:00"/>
    <x v="42"/>
    <s v="Maquinaria"/>
    <s v="Lubricación"/>
    <x v="0"/>
    <x v="3"/>
    <s v="Lubricacion "/>
    <s v=""/>
    <x v="0"/>
    <x v="0"/>
    <s v=""/>
    <s v=""/>
    <s v=""/>
    <x v="44"/>
    <x v="0"/>
    <x v="17"/>
  </r>
  <r>
    <x v="76"/>
    <s v="Cesar Quiroz"/>
    <s v="MAÑANA"/>
    <s v="06:31"/>
    <s v="06:49"/>
    <d v="1899-12-30T00:18:00"/>
    <x v="3"/>
    <s v="Maquinaria"/>
    <s v="Ajuste /Calibracion"/>
    <x v="0"/>
    <x v="3"/>
    <s v="Apoyo en ajuste de pieza para presión de laminado bite size"/>
    <s v=""/>
    <x v="38"/>
    <x v="0"/>
    <s v=""/>
    <s v=""/>
    <s v=""/>
    <x v="201"/>
    <x v="1"/>
    <x v="17"/>
  </r>
  <r>
    <x v="76"/>
    <s v="Cesar Quiroz"/>
    <s v="MAÑANA"/>
    <s v="06:55"/>
    <s v="08:08"/>
    <d v="1899-12-30T01:13:00"/>
    <x v="28"/>
    <s v="Maquinaria"/>
    <s v="SET UP"/>
    <x v="0"/>
    <x v="3"/>
    <s v="Cambio de formato de pisco x18 a milky x10"/>
    <s v=""/>
    <x v="0"/>
    <x v="0"/>
    <s v=""/>
    <s v=""/>
    <s v=""/>
    <x v="2"/>
    <x v="0"/>
    <x v="17"/>
  </r>
  <r>
    <x v="76"/>
    <s v="Cesar Quiroz"/>
    <s v="MAÑANA"/>
    <s v="08:13"/>
    <s v="09:25"/>
    <d v="1899-12-30T01:12:00"/>
    <x v="13"/>
    <s v="Maquinaria"/>
    <s v="Reparacion"/>
    <x v="1"/>
    <x v="1"/>
    <s v="Canal de entrada de producto desnivelado, producto choca y sale mal el corte"/>
    <s v="Se retiro piezas para rectificación, se limo asperezas de piezas, se realizó ajuste y pruebas"/>
    <x v="0"/>
    <x v="0"/>
    <s v=""/>
    <s v=""/>
    <s v=""/>
    <x v="202"/>
    <x v="0"/>
    <x v="17"/>
  </r>
  <r>
    <x v="76"/>
    <s v="Cesar Quiroz"/>
    <s v="MAÑANA"/>
    <s v="09:29"/>
    <s v="09:42"/>
    <d v="1899-12-30T00:13:00"/>
    <x v="13"/>
    <s v="Maquinaria"/>
    <s v="Lubricación"/>
    <x v="0"/>
    <x v="3"/>
    <s v="Lubricacion de equipo"/>
    <s v=""/>
    <x v="0"/>
    <x v="0"/>
    <s v=""/>
    <s v=""/>
    <s v=""/>
    <x v="44"/>
    <x v="0"/>
    <x v="17"/>
  </r>
  <r>
    <x v="76"/>
    <s v="Cesar Quiroz"/>
    <s v="MAÑANA"/>
    <s v="09:50"/>
    <s v="10:15"/>
    <d v="1899-12-30T00:25:00"/>
    <x v="5"/>
    <s v="Maquinaria"/>
    <s v="SET UP"/>
    <x v="0"/>
    <x v="3"/>
    <s v="Armado de módulo de corte en maquina"/>
    <s v=""/>
    <x v="0"/>
    <x v="0"/>
    <s v=""/>
    <s v=""/>
    <s v=""/>
    <x v="0"/>
    <x v="0"/>
    <x v="17"/>
  </r>
  <r>
    <x v="76"/>
    <s v="Cesar Quiroz"/>
    <s v="MAÑANA"/>
    <s v="11:12"/>
    <s v="11:58"/>
    <d v="1899-12-30T00:46:00"/>
    <x v="3"/>
    <s v="Maquinaria"/>
    <s v="Ajuste /Calibracion"/>
    <x v="1"/>
    <x v="1"/>
    <s v="Laminado se sale continuamente, mordaza muerde producto"/>
    <s v="Se apoyo en calibracion"/>
    <x v="0"/>
    <x v="0"/>
    <s v=""/>
    <s v=""/>
    <s v=""/>
    <x v="50"/>
    <x v="0"/>
    <x v="17"/>
  </r>
  <r>
    <x v="76"/>
    <s v="Cesar Quiroz"/>
    <s v="MAÑANA"/>
    <s v="06:13"/>
    <s v="06:29"/>
    <d v="1899-12-30T00:16:00"/>
    <x v="3"/>
    <s v="Maquinaria"/>
    <s v="Ajuste /Calibracion"/>
    <x v="1"/>
    <x v="2"/>
    <s v="No codifica correctamente "/>
    <s v="Se reviso, lector y sensor, se cambio de posición lector, se realizó pruebas"/>
    <x v="0"/>
    <x v="13"/>
    <s v="Codificador"/>
    <s v=""/>
    <s v=""/>
    <x v="83"/>
    <x v="1"/>
    <x v="17"/>
  </r>
  <r>
    <x v="76"/>
    <s v="Cesar Quiroz"/>
    <s v="MAÑANA"/>
    <s v="06:34"/>
    <s v="07:16"/>
    <d v="1899-12-30T00:42:00"/>
    <x v="50"/>
    <s v="Maquinaria"/>
    <s v="Limpieza"/>
    <x v="1"/>
    <x v="1"/>
    <s v="No cae chocolate"/>
    <s v="Se retiro filtro para limpieza, se calentó tuberías , se colocó en modo calentamiento, se calentó entrada de tina hacia bomba, se hablito funcionamiento "/>
    <x v="0"/>
    <x v="0"/>
    <s v=""/>
    <s v=""/>
    <s v=""/>
    <x v="52"/>
    <x v="0"/>
    <x v="17"/>
  </r>
  <r>
    <x v="76"/>
    <s v="Omar Nina"/>
    <s v="NOCHE"/>
    <s v="21:30"/>
    <s v="21:55"/>
    <d v="1899-12-30T00:25:00"/>
    <x v="15"/>
    <s v="Maquinaria"/>
    <s v="SET UP"/>
    <x v="0"/>
    <x v="3"/>
    <s v="Desarmado de MDS para limpieza, cambio de sabor"/>
    <s v=""/>
    <x v="0"/>
    <x v="1"/>
    <s v="Mds"/>
    <s v=""/>
    <s v=""/>
    <x v="0"/>
    <x v="1"/>
    <x v="17"/>
  </r>
  <r>
    <x v="76"/>
    <s v="Omar Nina"/>
    <s v="NOCHE"/>
    <s v="22:00"/>
    <s v="22:15"/>
    <d v="1899-12-30T00:15:00"/>
    <x v="3"/>
    <s v="Maquinaria"/>
    <s v="Seguimiento / Pruebas"/>
    <x v="0"/>
    <x v="3"/>
    <s v="Verificación de funcionamiento de equipo "/>
    <s v=""/>
    <x v="0"/>
    <x v="0"/>
    <s v=""/>
    <s v=""/>
    <s v=""/>
    <x v="0"/>
    <x v="0"/>
    <x v="17"/>
  </r>
  <r>
    <x v="76"/>
    <s v="Omar Nina"/>
    <s v="NOCHE"/>
    <s v="22:30"/>
    <s v="23:00"/>
    <d v="1899-12-30T00:30:00"/>
    <x v="15"/>
    <s v="Maquinaria"/>
    <s v="SET UP"/>
    <x v="0"/>
    <x v="3"/>
    <s v="Armado de MDS para crema ovalada "/>
    <s v=""/>
    <x v="0"/>
    <x v="1"/>
    <s v="Mds"/>
    <s v=""/>
    <s v=""/>
    <x v="0"/>
    <x v="1"/>
    <x v="17"/>
  </r>
  <r>
    <x v="76"/>
    <s v="Omar Nina"/>
    <s v="NOCHE"/>
    <s v="23:10"/>
    <s v="23:33"/>
    <d v="1899-12-30T00:23:00"/>
    <x v="84"/>
    <s v="Area"/>
    <s v="SET UP"/>
    <x v="0"/>
    <x v="3"/>
    <s v="Armado de iman "/>
    <s v=""/>
    <x v="89"/>
    <x v="0"/>
    <s v=""/>
    <s v=""/>
    <s v=""/>
    <x v="0"/>
    <x v="1"/>
    <x v="17"/>
  </r>
  <r>
    <x v="76"/>
    <s v="Omar Nina"/>
    <s v="NOCHE"/>
    <s v="23:40"/>
    <s v="23:59"/>
    <d v="1899-12-30T00:19:00"/>
    <x v="28"/>
    <s v="Maquinaria"/>
    <s v="Ajuste /Calibracion"/>
    <x v="1"/>
    <x v="1"/>
    <s v="Sellador aplasta las cajas"/>
    <s v="Calibración de presión y posición de selladores."/>
    <x v="0"/>
    <x v="0"/>
    <s v=""/>
    <s v=""/>
    <s v=""/>
    <x v="62"/>
    <x v="0"/>
    <x v="17"/>
  </r>
  <r>
    <x v="76"/>
    <s v="Omar Nina"/>
    <s v="NOCHE"/>
    <s v="00:05"/>
    <s v="00:30"/>
    <d v="1899-12-30T00:25:00"/>
    <x v="28"/>
    <s v="Maquinaria"/>
    <s v="Seguimiento / Pruebas"/>
    <x v="0"/>
    <x v="3"/>
    <s v="Verificación de correcto funcionamiento de equipo "/>
    <s v=""/>
    <x v="0"/>
    <x v="0"/>
    <s v=""/>
    <s v=""/>
    <s v=""/>
    <x v="0"/>
    <x v="0"/>
    <x v="17"/>
  </r>
  <r>
    <x v="76"/>
    <s v="Omar Nina"/>
    <s v="NOCHE"/>
    <s v="00:35"/>
    <s v="01:08"/>
    <d v="1899-12-30T00:33:00"/>
    <x v="15"/>
    <s v="Maquinaria"/>
    <s v="Limpieza"/>
    <x v="1"/>
    <x v="1"/>
    <s v="Tina se llenó, bomba no impulsa suficiente chocolate."/>
    <s v="Limpieza de filtro y calentamiento de tuberías conectadas a bomba"/>
    <x v="0"/>
    <x v="0"/>
    <s v=""/>
    <s v=""/>
    <s v=""/>
    <x v="0"/>
    <x v="0"/>
    <x v="17"/>
  </r>
  <r>
    <x v="76"/>
    <s v="Omar Nina"/>
    <s v="NOCHE"/>
    <s v="01:15"/>
    <s v="01:45"/>
    <d v="1899-12-30T00:30:00"/>
    <x v="41"/>
    <s v="Maquinaria"/>
    <s v="Inspección"/>
    <x v="0"/>
    <x v="3"/>
    <s v="Inspección funcionamiento de equipo "/>
    <s v=""/>
    <x v="0"/>
    <x v="0"/>
    <s v=""/>
    <s v=""/>
    <s v=""/>
    <x v="0"/>
    <x v="0"/>
    <x v="17"/>
  </r>
  <r>
    <x v="76"/>
    <s v="Omar Nina"/>
    <s v="NOCHE"/>
    <s v="01:52"/>
    <s v="02:45"/>
    <d v="1899-12-30T00:53:00"/>
    <x v="3"/>
    <s v="Maquinaria"/>
    <s v="SET UP"/>
    <x v="0"/>
    <x v="3"/>
    <s v="Cambio de formato de bite size a mini fondy "/>
    <s v="Cambio de cadenas, mordazas, planchas y empujadores "/>
    <x v="0"/>
    <x v="0"/>
    <s v=""/>
    <s v=""/>
    <s v=""/>
    <x v="2"/>
    <x v="0"/>
    <x v="17"/>
  </r>
  <r>
    <x v="76"/>
    <s v="Omar Nina"/>
    <s v="NOCHE"/>
    <s v="02:46"/>
    <s v="02:58"/>
    <d v="1899-12-30T00:12:00"/>
    <x v="3"/>
    <s v="Maquinaria"/>
    <s v="Seguimiento / Pruebas"/>
    <x v="0"/>
    <x v="3"/>
    <s v="Verificación de arranque correcto en formato mini milky "/>
    <s v=""/>
    <x v="0"/>
    <x v="0"/>
    <s v=""/>
    <s v=""/>
    <s v=""/>
    <x v="2"/>
    <x v="0"/>
    <x v="17"/>
  </r>
  <r>
    <x v="76"/>
    <s v="Omar Nina"/>
    <s v="NOCHE"/>
    <s v="04:04"/>
    <s v="04:14"/>
    <d v="1899-12-30T00:10:00"/>
    <x v="3"/>
    <s v="Maquinaria"/>
    <s v="Ajuste /Calibracion"/>
    <x v="1"/>
    <x v="2"/>
    <s v="Producto se junta en faja"/>
    <s v="Configuración de parámetros de control de fajas de alimentación "/>
    <x v="0"/>
    <x v="0"/>
    <s v=""/>
    <s v=""/>
    <s v=""/>
    <x v="32"/>
    <x v="0"/>
    <x v="17"/>
  </r>
  <r>
    <x v="76"/>
    <s v="Omar Nina"/>
    <s v="NOCHE"/>
    <s v="04:16"/>
    <s v="04:35"/>
    <d v="1899-12-30T00:19:00"/>
    <x v="15"/>
    <s v="Maquinaria"/>
    <s v="SET UP"/>
    <x v="0"/>
    <x v="3"/>
    <s v="Cambio de formato a crema redonda "/>
    <s v="Cambio de plancha y pistones según formato "/>
    <x v="0"/>
    <x v="0"/>
    <s v=""/>
    <s v=""/>
    <s v=""/>
    <x v="2"/>
    <x v="0"/>
    <x v="17"/>
  </r>
  <r>
    <x v="77"/>
    <s v="Cesar Quiroz"/>
    <s v="MAÑANA"/>
    <s v="05:40"/>
    <s v="06:04"/>
    <d v="1899-12-30T00:24:00"/>
    <x v="31"/>
    <s v="Equipos auxiliares"/>
    <s v="Inspección"/>
    <x v="0"/>
    <x v="3"/>
    <s v="Revisión de funcionamiento y parámetros de trabajo "/>
    <s v=""/>
    <x v="0"/>
    <x v="0"/>
    <s v=""/>
    <s v=""/>
    <s v=""/>
    <x v="0"/>
    <x v="0"/>
    <x v="17"/>
  </r>
  <r>
    <x v="77"/>
    <s v="Cesar Quiroz"/>
    <s v="MAÑANA"/>
    <s v="06:13"/>
    <s v="06:29"/>
    <d v="1899-12-30T00:16:00"/>
    <x v="3"/>
    <s v="Maquinaria"/>
    <s v="Ajuste /Calibracion"/>
    <x v="1"/>
    <x v="2"/>
    <s v="No codifica correctamente "/>
    <s v="Se reviso, lector y sensor, se cambio de posición lector, se realizó pruebas"/>
    <x v="0"/>
    <x v="13"/>
    <s v="Codificador"/>
    <s v=""/>
    <s v=""/>
    <x v="83"/>
    <x v="1"/>
    <x v="17"/>
  </r>
  <r>
    <x v="77"/>
    <s v="Cesar Quiroz"/>
    <s v="MAÑANA"/>
    <s v="06:34"/>
    <s v="07:16"/>
    <d v="1899-12-30T00:42:00"/>
    <x v="50"/>
    <s v="Maquinaria"/>
    <s v="Limpieza"/>
    <x v="1"/>
    <x v="1"/>
    <s v="No cae chocolate"/>
    <s v="Se retiro filtro para limpieza, se calentó tuberías , se colocó en modo calentamiento, se calentó entrada de tina hacia bomba, se hablito funcionamiento "/>
    <x v="0"/>
    <x v="0"/>
    <s v=""/>
    <s v=""/>
    <s v=""/>
    <x v="52"/>
    <x v="0"/>
    <x v="17"/>
  </r>
  <r>
    <x v="77"/>
    <s v="Cesar Quiroz"/>
    <s v="MAÑANA"/>
    <s v="07:19"/>
    <s v="07:43"/>
    <d v="1899-12-30T00:24:00"/>
    <x v="26"/>
    <s v="Maquinaria"/>
    <s v="Reparacion"/>
    <x v="1"/>
    <x v="1"/>
    <s v="Contraelevador no se puede bajar más, tiene rose con pinzas"/>
    <s v="Se enderezó contraelevador y se realizó pruebas"/>
    <x v="0"/>
    <x v="15"/>
    <s v="Contraelevador"/>
    <s v=""/>
    <s v=""/>
    <x v="0"/>
    <x v="1"/>
    <x v="17"/>
  </r>
  <r>
    <x v="77"/>
    <s v="JOSÉ HAÑARI"/>
    <s v="TARDE"/>
    <s v="12:50"/>
    <s v="13:00"/>
    <d v="1899-12-30T00:10:00"/>
    <x v="71"/>
    <s v="Maquinaria"/>
    <s v="Seguimiento / Pruebas"/>
    <x v="1"/>
    <x v="1"/>
    <s v="Falla de arrastre "/>
    <s v="Se lleva fajas de arrastre antiguas "/>
    <x v="0"/>
    <x v="0"/>
    <s v=""/>
    <s v=""/>
    <s v=""/>
    <x v="0"/>
    <x v="0"/>
    <x v="17"/>
  </r>
  <r>
    <x v="77"/>
    <s v="JOSÉ HAÑARI"/>
    <s v="TARDE"/>
    <s v="13:15"/>
    <s v="13:30"/>
    <d v="1899-12-30T00:15:00"/>
    <x v="15"/>
    <s v="Maquinaria"/>
    <s v="Inspección"/>
    <x v="0"/>
    <x v="3"/>
    <s v="Inspección de temperadora de hacos 1 "/>
    <s v=""/>
    <x v="0"/>
    <x v="11"/>
    <s v="Temperadora"/>
    <s v=""/>
    <s v=""/>
    <x v="0"/>
    <x v="1"/>
    <x v="17"/>
  </r>
  <r>
    <x v="77"/>
    <s v="JOSÉ HAÑARI"/>
    <s v="MAÑANA"/>
    <s v="13:40"/>
    <s v="14:00"/>
    <d v="1899-12-30T00:20:00"/>
    <x v="55"/>
    <s v="Maquinaria"/>
    <s v="Lubricación"/>
    <x v="0"/>
    <x v="3"/>
    <s v="Requieren lubricación en cadena "/>
    <s v="Se realiza lubricación de cadena "/>
    <x v="14"/>
    <x v="0"/>
    <s v=""/>
    <s v=""/>
    <s v=""/>
    <x v="44"/>
    <x v="1"/>
    <x v="17"/>
  </r>
  <r>
    <x v="77"/>
    <s v="JOSÉ HAÑARI"/>
    <s v="TARDE"/>
    <s v="15:40"/>
    <s v="16:40"/>
    <d v="1899-12-30T01:00:00"/>
    <x v="71"/>
    <s v="Maquinaria"/>
    <s v="Ajuste /Calibracion"/>
    <x v="1"/>
    <x v="1"/>
    <s v="Laminado se hace bolsa "/>
    <s v="Se recalibra arrastre "/>
    <x v="0"/>
    <x v="0"/>
    <s v=""/>
    <s v=""/>
    <s v=""/>
    <x v="50"/>
    <x v="0"/>
    <x v="17"/>
  </r>
  <r>
    <x v="77"/>
    <s v="JOSÉ HAÑARI"/>
    <s v="TARDE"/>
    <s v="17:30"/>
    <s v="17:50"/>
    <d v="1899-12-30T00:20:00"/>
    <x v="15"/>
    <s v="Maquinaria"/>
    <s v="Ajuste /Calibracion"/>
    <x v="1"/>
    <x v="1"/>
    <s v="Producto sale ladeado "/>
    <s v="Se regula pistón antes de ingresar al túnel "/>
    <x v="0"/>
    <x v="0"/>
    <s v=""/>
    <s v=""/>
    <s v=""/>
    <x v="0"/>
    <x v="0"/>
    <x v="17"/>
  </r>
  <r>
    <x v="77"/>
    <s v="Omar Nina"/>
    <s v="NOCHE"/>
    <s v="21:30"/>
    <s v="21:50"/>
    <d v="1899-12-30T00:20:00"/>
    <x v="3"/>
    <s v="Maquinaria"/>
    <s v="SET UP"/>
    <x v="0"/>
    <x v="3"/>
    <s v="Cambio de formato a milky"/>
    <s v="Se retira empujadores y se carga receta "/>
    <x v="0"/>
    <x v="0"/>
    <s v=""/>
    <s v=""/>
    <s v=""/>
    <x v="2"/>
    <x v="0"/>
    <x v="17"/>
  </r>
  <r>
    <x v="77"/>
    <s v="Omar Nina"/>
    <s v="NOCHE"/>
    <s v="21:55"/>
    <s v="22:20"/>
    <d v="1899-12-30T00:25:00"/>
    <x v="29"/>
    <s v="Maquinaria"/>
    <s v="Ajuste /Calibracion"/>
    <x v="1"/>
    <x v="1"/>
    <s v="Tensador de laminado desajustado, puntos de goma desalineados. Papel aluminio se pega a sellador y se rompe producto "/>
    <s v="Calibración de posición de tensador de laminado y ajuste. Calibración de puntos de goma. Colocación de teflón en resistencia de sellado."/>
    <x v="0"/>
    <x v="0"/>
    <s v=""/>
    <s v=""/>
    <s v=""/>
    <x v="203"/>
    <x v="0"/>
    <x v="17"/>
  </r>
  <r>
    <x v="77"/>
    <s v="Omar Nina"/>
    <s v="NOCHE"/>
    <s v="22:30"/>
    <s v="22:55"/>
    <d v="1899-12-30T00:25:00"/>
    <x v="55"/>
    <s v="Maquinaria"/>
    <s v="Sustitucion"/>
    <x v="1"/>
    <x v="1"/>
    <s v="Falta empujador de cadena"/>
    <s v="Se coloca empujador. "/>
    <x v="0"/>
    <x v="0"/>
    <s v=""/>
    <s v=""/>
    <s v=""/>
    <x v="0"/>
    <x v="0"/>
    <x v="17"/>
  </r>
  <r>
    <x v="77"/>
    <s v="Omar Nina"/>
    <s v="NOCHE"/>
    <s v="23:08"/>
    <d v="1899-12-30T23:51:00"/>
    <d v="1899-12-30T00:43:00"/>
    <x v="29"/>
    <s v="Maquinaria"/>
    <s v="Ajuste /Calibracion"/>
    <x v="1"/>
    <x v="2"/>
    <s v="No sella aluminio, se rompe el producto. Codificado sale a la mitad "/>
    <s v="Calibración de posición de sellador, ajuste de cuchilla y configuración de codificadora laser"/>
    <x v="0"/>
    <x v="13"/>
    <s v="Codificador"/>
    <s v=""/>
    <s v=""/>
    <x v="204"/>
    <x v="1"/>
    <x v="17"/>
  </r>
  <r>
    <x v="77"/>
    <s v="Omar Nina"/>
    <s v="NOCHE"/>
    <s v="00:03"/>
    <s v="00:18"/>
    <d v="1899-12-30T00:15:00"/>
    <x v="97"/>
    <s v="Maquinaria"/>
    <s v="Reparacion"/>
    <x v="1"/>
    <x v="1"/>
    <s v="No cae chocolate, columna bloqueada"/>
    <s v="Verificación de nivel de chocolate, calentado de columna. Queda temperando "/>
    <x v="0"/>
    <x v="2"/>
    <s v="Columna"/>
    <s v=""/>
    <s v=""/>
    <x v="59"/>
    <x v="1"/>
    <x v="17"/>
  </r>
  <r>
    <x v="77"/>
    <s v="Omar Nina"/>
    <s v="NOCHE"/>
    <s v="00:26"/>
    <s v="00:50"/>
    <d v="1899-12-30T00:24:00"/>
    <x v="15"/>
    <s v="Maquinaria"/>
    <s v="SET UP"/>
    <x v="0"/>
    <x v="3"/>
    <s v="Desarmado de MDS. Formato frambuesa "/>
    <s v=""/>
    <x v="0"/>
    <x v="1"/>
    <s v="Mds"/>
    <s v=""/>
    <s v=""/>
    <x v="2"/>
    <x v="1"/>
    <x v="17"/>
  </r>
  <r>
    <x v="77"/>
    <s v="Omar Nina"/>
    <s v="NOCHE"/>
    <s v="00:55"/>
    <s v="01:28"/>
    <d v="1899-12-30T00:33:00"/>
    <x v="15"/>
    <s v="Maquinaria"/>
    <s v="SET UP"/>
    <x v="0"/>
    <x v="3"/>
    <s v="Armado de MDS para agregados x50 "/>
    <s v=""/>
    <x v="0"/>
    <x v="1"/>
    <s v="Mds"/>
    <s v=""/>
    <s v=""/>
    <x v="0"/>
    <x v="1"/>
    <x v="17"/>
  </r>
  <r>
    <x v="77"/>
    <s v="Omar Nina"/>
    <s v="NOCHE"/>
    <s v="01:35"/>
    <s v="02:00"/>
    <d v="1899-12-30T00:25:00"/>
    <x v="3"/>
    <s v="Maquinaria"/>
    <s v="Inspección"/>
    <x v="0"/>
    <x v="3"/>
    <s v="Inspección de equipo "/>
    <s v=""/>
    <x v="0"/>
    <x v="0"/>
    <s v=""/>
    <s v=""/>
    <s v=""/>
    <x v="0"/>
    <x v="0"/>
    <x v="17"/>
  </r>
  <r>
    <x v="77"/>
    <s v="Omar Nina"/>
    <s v="NOCHE"/>
    <s v="03:36"/>
    <s v="03:50"/>
    <d v="1899-12-30T00:14:00"/>
    <x v="47"/>
    <s v="Maquinaria"/>
    <s v="Ajuste /Calibracion"/>
    <x v="1"/>
    <x v="2"/>
    <s v="Robot no desmolda correctamente "/>
    <s v="Configuración de parámetros de robot "/>
    <x v="0"/>
    <x v="9"/>
    <s v="Robot"/>
    <s v=""/>
    <s v=""/>
    <x v="188"/>
    <x v="1"/>
    <x v="17"/>
  </r>
  <r>
    <x v="77"/>
    <s v="Omar Nina"/>
    <s v="NOCHE"/>
    <s v="04:10"/>
    <s v="04:30"/>
    <d v="1899-12-30T00:20:00"/>
    <x v="55"/>
    <s v="Maquinaria"/>
    <s v="Limpieza"/>
    <x v="1"/>
    <x v="2"/>
    <s v="Codificado sale borroso "/>
    <s v="Limpieza de cabezal "/>
    <x v="0"/>
    <x v="13"/>
    <s v="Codificador"/>
    <s v=""/>
    <s v=""/>
    <x v="82"/>
    <x v="1"/>
    <x v="17"/>
  </r>
  <r>
    <x v="78"/>
    <s v="Carlos Puma"/>
    <s v="TARDE"/>
    <s v="12:45"/>
    <d v="1899-12-30T13:00:00"/>
    <d v="1899-12-30T00:15:00"/>
    <x v="15"/>
    <s v="Maquinaria"/>
    <s v="Inspección"/>
    <x v="0"/>
    <x v="3"/>
    <s v="Inspección de temperadora y compresor"/>
    <s v=""/>
    <x v="0"/>
    <x v="11"/>
    <s v="Temperadora"/>
    <s v=""/>
    <s v=""/>
    <x v="0"/>
    <x v="1"/>
    <x v="17"/>
  </r>
  <r>
    <x v="78"/>
    <s v="Carlos Puma"/>
    <s v="TARDE"/>
    <s v="13:05"/>
    <s v="13:45"/>
    <d v="1899-12-30T00:40:00"/>
    <x v="49"/>
    <s v="Maquinaria"/>
    <s v="SET UP"/>
    <x v="0"/>
    <x v="3"/>
    <s v="Apoyo en el armado de bañadora"/>
    <s v=""/>
    <x v="0"/>
    <x v="0"/>
    <s v=""/>
    <s v=""/>
    <s v=""/>
    <x v="0"/>
    <x v="0"/>
    <x v="17"/>
  </r>
  <r>
    <x v="78"/>
    <s v="Carlos Puma"/>
    <s v="TARDE"/>
    <s v="13:50"/>
    <s v="14:05"/>
    <d v="1899-12-30T00:15:00"/>
    <x v="43"/>
    <s v="Sistema"/>
    <s v="Reparacion"/>
    <x v="1"/>
    <x v="1"/>
    <s v="Bomba de agua potable desebada"/>
    <s v="Se cambió de pozos de cebó bomba , se habilito agua en planta"/>
    <x v="0"/>
    <x v="0"/>
    <s v=""/>
    <s v=""/>
    <s v=""/>
    <x v="0"/>
    <x v="0"/>
    <x v="17"/>
  </r>
  <r>
    <x v="78"/>
    <s v="Carlos Puma"/>
    <s v="TARDE"/>
    <s v="14:20"/>
    <s v="14:35"/>
    <d v="1899-12-30T00:15:00"/>
    <x v="59"/>
    <s v="Maquinaria"/>
    <s v="Seguimiento / Pruebas"/>
    <x v="0"/>
    <x v="3"/>
    <s v="Apoyó en operación de codificadora "/>
    <s v=""/>
    <x v="0"/>
    <x v="13"/>
    <s v="Codificador"/>
    <s v=""/>
    <s v=""/>
    <x v="0"/>
    <x v="1"/>
    <x v="17"/>
  </r>
  <r>
    <x v="78"/>
    <s v="Carlos Puma"/>
    <s v="TARDE"/>
    <s v="14:40"/>
    <s v="15:15"/>
    <d v="1899-12-30T00:35:00"/>
    <x v="15"/>
    <s v="Maquinaria"/>
    <s v="Reparacion"/>
    <x v="1"/>
    <x v="1"/>
    <s v="Temperatura alta en sección 1 del túnel de enfriamiento "/>
    <s v="Se reviso estado de válvulas de expansión, presión de refrigerante, se aumento refrigerante "/>
    <x v="0"/>
    <x v="0"/>
    <s v=""/>
    <s v=""/>
    <s v=""/>
    <x v="205"/>
    <x v="0"/>
    <x v="17"/>
  </r>
  <r>
    <x v="78"/>
    <s v="Carlos Puma"/>
    <s v="TARDE"/>
    <s v="16:15"/>
    <s v="16:45"/>
    <d v="1899-12-30T00:30:00"/>
    <x v="59"/>
    <s v="Maquinaria"/>
    <s v="Seguimiento / Pruebas"/>
    <x v="0"/>
    <x v="3"/>
    <s v="Se apoyó en operación y pruebas "/>
    <s v=""/>
    <x v="0"/>
    <x v="0"/>
    <s v=""/>
    <s v=""/>
    <s v=""/>
    <x v="0"/>
    <x v="0"/>
    <x v="17"/>
  </r>
  <r>
    <x v="78"/>
    <s v="Carlos Puma"/>
    <s v="TARDE"/>
    <s v="16:55"/>
    <s v="17:10"/>
    <d v="1899-12-30T00:15:00"/>
    <x v="15"/>
    <s v="Maquinaria"/>
    <s v="SET UP"/>
    <x v="0"/>
    <x v="3"/>
    <s v="Se coloco guardas de ventiladores en túnel de enfriamiento "/>
    <s v=""/>
    <x v="77"/>
    <x v="0"/>
    <s v=""/>
    <s v=""/>
    <s v=""/>
    <x v="96"/>
    <x v="1"/>
    <x v="17"/>
  </r>
  <r>
    <x v="78"/>
    <s v="Carlos Puma"/>
    <s v="TARDE"/>
    <s v="17:15"/>
    <s v="17:45"/>
    <d v="1899-12-30T00:30:00"/>
    <x v="52"/>
    <s v="Area"/>
    <s v="Seguimiento / Pruebas"/>
    <x v="0"/>
    <x v="3"/>
    <s v="Se realizó pruebas de circuito de enfriamiento en samfill"/>
    <s v=""/>
    <x v="0"/>
    <x v="12"/>
    <s v="Sammfill"/>
    <s v=""/>
    <s v=""/>
    <x v="96"/>
    <x v="1"/>
    <x v="17"/>
  </r>
  <r>
    <x v="78"/>
    <s v="Carlos Puma"/>
    <s v="TARDE"/>
    <s v="17:55"/>
    <s v="18:10"/>
    <d v="1899-12-30T00:15:00"/>
    <x v="109"/>
    <s v="Maquinaria"/>
    <s v="SET UP"/>
    <x v="0"/>
    <x v="3"/>
    <s v="Habilitación de equipo , se translado a la planta y se conecto a tablero eléctrico "/>
    <s v=""/>
    <x v="107"/>
    <x v="0"/>
    <s v=""/>
    <s v=""/>
    <s v=""/>
    <x v="0"/>
    <x v="1"/>
    <x v="17"/>
  </r>
  <r>
    <x v="78"/>
    <s v="Carlos Puma"/>
    <s v="TARDE"/>
    <s v="18:05"/>
    <s v="18:50"/>
    <d v="1899-12-30T00:45:00"/>
    <x v="15"/>
    <s v="Maquinaria"/>
    <s v="SET UP"/>
    <x v="0"/>
    <x v="3"/>
    <s v="Cambio de formato Mds , se desarmo formato de agregados x50 y se armó formato agregados x100"/>
    <s v=""/>
    <x v="0"/>
    <x v="1"/>
    <s v="Mds"/>
    <s v=""/>
    <s v=""/>
    <x v="2"/>
    <x v="1"/>
    <x v="17"/>
  </r>
  <r>
    <x v="78"/>
    <s v="Carlos Puma"/>
    <s v="TARDE"/>
    <s v="19:00"/>
    <s v="20:00"/>
    <d v="1899-12-30T01:00:00"/>
    <x v="28"/>
    <s v="Maquinaria"/>
    <s v="SET UP"/>
    <x v="0"/>
    <x v="3"/>
    <s v="Cambio de formato de pisco x9 a milky x10 "/>
    <s v=""/>
    <x v="0"/>
    <x v="0"/>
    <s v=""/>
    <s v=""/>
    <s v=""/>
    <x v="2"/>
    <x v="0"/>
    <x v="17"/>
  </r>
  <r>
    <x v="78"/>
    <s v="Carlos Puma"/>
    <s v="TARDE"/>
    <s v="20:05"/>
    <s v="20:20"/>
    <d v="1899-12-30T00:15:00"/>
    <x v="3"/>
    <s v="Maquinaria"/>
    <s v="Ajuste /Calibracion"/>
    <x v="0"/>
    <x v="3"/>
    <s v="Apoyó en la regulación de velocidades de fajas guias"/>
    <s v=""/>
    <x v="88"/>
    <x v="0"/>
    <s v=""/>
    <s v=""/>
    <s v=""/>
    <x v="103"/>
    <x v="1"/>
    <x v="17"/>
  </r>
  <r>
    <x v="78"/>
    <s v="Carlos Puma"/>
    <s v="TARDE"/>
    <s v="20:25"/>
    <s v="20:45"/>
    <d v="1899-12-30T00:20:00"/>
    <x v="47"/>
    <s v="Maquinaria"/>
    <s v="Inspección"/>
    <x v="1"/>
    <x v="2"/>
    <s v="Error en ssr4 de sistema de pre calentamiento "/>
    <s v="Se reviso circuito eléctrico , se reviso estado de fusibles"/>
    <x v="0"/>
    <x v="0"/>
    <s v=""/>
    <s v=""/>
    <s v=""/>
    <x v="206"/>
    <x v="0"/>
    <x v="17"/>
  </r>
  <r>
    <x v="78"/>
    <s v="CARLOS TAPIA"/>
    <s v="MAÑANA"/>
    <s v="06:00"/>
    <s v="07:30"/>
    <d v="1899-12-30T01:30:00"/>
    <x v="28"/>
    <s v="Maquinaria"/>
    <s v="SET UP"/>
    <x v="0"/>
    <x v="3"/>
    <s v="Cambiar formato a pisco x 9 "/>
    <s v="Se realizó el cambio de formato, se calibró maquina"/>
    <x v="0"/>
    <x v="0"/>
    <s v=""/>
    <s v=""/>
    <s v=""/>
    <x v="2"/>
    <x v="0"/>
    <x v="17"/>
  </r>
  <r>
    <x v="78"/>
    <s v="CARLOS TAPIA"/>
    <s v="MAÑANA"/>
    <s v="08:00"/>
    <s v="08:20"/>
    <d v="1899-12-30T00:20:00"/>
    <x v="55"/>
    <s v="Maquinaria"/>
    <s v="Limpieza"/>
    <x v="0"/>
    <x v="3"/>
    <s v="Limpieza de carbones en máquina."/>
    <s v="Se realizó la limpieza de carboncillos."/>
    <x v="108"/>
    <x v="0"/>
    <s v=""/>
    <s v=""/>
    <s v=""/>
    <x v="0"/>
    <x v="1"/>
    <x v="17"/>
  </r>
  <r>
    <x v="78"/>
    <s v="CARLOS TAPIA"/>
    <s v="MAÑANA"/>
    <s v="08:45"/>
    <s v="09:00"/>
    <d v="1899-12-30T00:15:00"/>
    <x v="59"/>
    <s v="Maquinaria"/>
    <s v="Limpieza"/>
    <x v="1"/>
    <x v="2"/>
    <s v="Impresora con falla en el codificado."/>
    <s v="Se realiza la limpieza de cabezal y alineación de impresión "/>
    <x v="0"/>
    <x v="22"/>
    <s v="Codificador"/>
    <s v="Impresora"/>
    <s v=""/>
    <x v="0"/>
    <x v="1"/>
    <x v="17"/>
  </r>
  <r>
    <x v="78"/>
    <s v="CARLOS TAPIA"/>
    <s v="MAÑANA"/>
    <s v="09:15"/>
    <s v="10:00"/>
    <d v="1899-12-30T00:45:00"/>
    <x v="108"/>
    <s v="Area"/>
    <m/>
    <x v="2"/>
    <x v="3"/>
    <s v="Receso"/>
    <s v="Receso "/>
    <x v="0"/>
    <x v="0"/>
    <s v=""/>
    <s v=""/>
    <s v=""/>
    <x v="0"/>
    <x v="0"/>
    <x v="17"/>
  </r>
  <r>
    <x v="78"/>
    <s v="CARLOS TAPIA"/>
    <s v="MAÑANA"/>
    <s v="11:00"/>
    <s v="11:30"/>
    <d v="1899-12-30T00:30:00"/>
    <x v="15"/>
    <s v="Maquinaria"/>
    <s v="SET UP"/>
    <x v="0"/>
    <x v="3"/>
    <s v="Armado de módulo MDS formato agregados "/>
    <s v="Se apoyo a técnico de turno con el armado de módulo MDS."/>
    <x v="0"/>
    <x v="1"/>
    <s v="Mds"/>
    <s v=""/>
    <s v=""/>
    <x v="2"/>
    <x v="1"/>
    <x v="17"/>
  </r>
  <r>
    <x v="78"/>
    <s v="CARLOS TAPIA"/>
    <s v="MAÑANA"/>
    <s v="11:45"/>
    <s v="13:45"/>
    <d v="1899-12-30T02:00:00"/>
    <x v="49"/>
    <s v="Maquinaria"/>
    <s v="SET UP"/>
    <x v="0"/>
    <x v="3"/>
    <s v="Armado de máquina y tuberías. Colocar piezas en posición y habilitar máquina."/>
    <s v="Se colocó piezas a máquina, se conecto tuberías y se armó máquina."/>
    <x v="48"/>
    <x v="0"/>
    <s v=""/>
    <s v=""/>
    <s v=""/>
    <x v="0"/>
    <x v="1"/>
    <x v="17"/>
  </r>
  <r>
    <x v="78"/>
    <s v="Cesar Quiroz"/>
    <s v="MAÑANA"/>
    <s v="05:41"/>
    <s v="06:04"/>
    <d v="1899-12-30T00:23:00"/>
    <x v="31"/>
    <s v="Equipos auxiliares"/>
    <s v="Inspección"/>
    <x v="0"/>
    <x v="3"/>
    <s v="Revisión de funcionamiento y parámetros de trabajo"/>
    <s v=""/>
    <x v="0"/>
    <x v="0"/>
    <s v=""/>
    <s v=""/>
    <s v=""/>
    <x v="0"/>
    <x v="0"/>
    <x v="17"/>
  </r>
  <r>
    <x v="78"/>
    <s v="Cesar Quiroz"/>
    <s v="MAÑANA"/>
    <s v="07:33"/>
    <s v="08:35"/>
    <d v="1899-12-30T01:02:00"/>
    <x v="47"/>
    <s v="Maquinaria"/>
    <s v="Ajuste /Calibracion"/>
    <x v="1"/>
    <x v="1"/>
    <s v="Sobretorque en b520, torre de subida "/>
    <s v="Se reviso, se retiro moldes, se verifico puentes y obstrucciones, se modifico fuerza de motor y se realizó pruebas"/>
    <x v="0"/>
    <x v="2"/>
    <s v="Columna"/>
    <s v=""/>
    <s v=""/>
    <x v="94"/>
    <x v="1"/>
    <x v="17"/>
  </r>
  <r>
    <x v="78"/>
    <s v="Cesar Quiroz"/>
    <s v="MAÑANA"/>
    <s v="08:40"/>
    <s v="08:57"/>
    <d v="1899-12-30T00:17:00"/>
    <x v="47"/>
    <s v="Maquinaria"/>
    <s v="Seguimiento / Pruebas"/>
    <x v="0"/>
    <x v="3"/>
    <s v="Revisión de funcionamiento de equipo"/>
    <s v=""/>
    <x v="0"/>
    <x v="0"/>
    <s v=""/>
    <s v=""/>
    <s v=""/>
    <x v="0"/>
    <x v="0"/>
    <x v="17"/>
  </r>
  <r>
    <x v="78"/>
    <s v="Cesar Quiroz"/>
    <s v="MAÑANA"/>
    <s v="12:22"/>
    <s v="14:01"/>
    <d v="1899-12-30T01:39:00"/>
    <x v="15"/>
    <s v="Maquinaria"/>
    <s v="Reparacion"/>
    <x v="1"/>
    <x v="1"/>
    <s v="Problemas en temperadora, no tempera "/>
    <s v="Se reviso estado de temperadora, se llenó tanque de agua fría, se reviso compresor se aumento refrigerante, se realizó seguimiento a temperado"/>
    <x v="0"/>
    <x v="11"/>
    <s v="Temperadora"/>
    <s v=""/>
    <s v=""/>
    <x v="123"/>
    <x v="1"/>
    <x v="17"/>
  </r>
  <r>
    <x v="79"/>
    <s v="Carlos Puma"/>
    <s v="TARDE"/>
    <d v="1899-12-30T14:25:00"/>
    <d v="1899-12-30T14:40:00"/>
    <d v="1899-12-30T00:15:00"/>
    <x v="29"/>
    <s v="Maquinaria"/>
    <s v="SET UP"/>
    <x v="0"/>
    <x v="3"/>
    <s v="Apoyó en cambio de formato "/>
    <s v=""/>
    <x v="0"/>
    <x v="0"/>
    <s v=""/>
    <s v=""/>
    <s v=""/>
    <x v="2"/>
    <x v="0"/>
    <x v="17"/>
  </r>
  <r>
    <x v="79"/>
    <s v="Carlos Puma"/>
    <s v="TARDE"/>
    <d v="1899-12-30T14:45:00"/>
    <d v="1899-12-30T15:10:00"/>
    <d v="1899-12-30T00:25:00"/>
    <x v="28"/>
    <s v="Maquinaria"/>
    <s v="Ajuste /Calibracion"/>
    <x v="1"/>
    <x v="1"/>
    <s v="Plegado sale mal"/>
    <s v="Se regulo inclinación de plegador lateral , se hizo pruebas y se. Dejó muetsras"/>
    <x v="0"/>
    <x v="0"/>
    <s v=""/>
    <s v=""/>
    <s v=""/>
    <x v="0"/>
    <x v="0"/>
    <x v="17"/>
  </r>
  <r>
    <x v="79"/>
    <s v="Carlos Puma"/>
    <s v="TARDE"/>
    <d v="1899-12-30T16:15:00"/>
    <d v="1899-12-30T18:00:00"/>
    <d v="1899-12-30T01:45:00"/>
    <x v="38"/>
    <s v="Maquinaria"/>
    <s v="Reparacion"/>
    <x v="1"/>
    <x v="2"/>
    <s v="Temperatura alta en sección 1 del túnel de enfriamiento "/>
    <s v="Se reviso equipo de frio , estado de ventiladores , se desahabilito ventiladores en cortocircuito , se agrego gas refrigerante y se dió seguimiento "/>
    <x v="0"/>
    <x v="0"/>
    <s v=""/>
    <s v=""/>
    <s v=""/>
    <x v="205"/>
    <x v="0"/>
    <x v="17"/>
  </r>
  <r>
    <x v="79"/>
    <s v="Carlos Puma"/>
    <s v="TARDE"/>
    <d v="1899-12-30T18:10:00"/>
    <d v="1899-12-30T18:30:00"/>
    <d v="1899-12-30T00:20:00"/>
    <x v="5"/>
    <s v="Maquinaria"/>
    <s v="Ajuste /Calibracion"/>
    <x v="1"/>
    <x v="1"/>
    <s v="Papel arrugado "/>
    <s v="Se aumento cinta en rodilla de arrastre y se dió seguimiento "/>
    <x v="0"/>
    <x v="0"/>
    <s v=""/>
    <s v=""/>
    <s v=""/>
    <x v="196"/>
    <x v="0"/>
    <x v="17"/>
  </r>
  <r>
    <x v="79"/>
    <s v="Carlos Puma"/>
    <s v="TARDE"/>
    <d v="1899-12-30T19:50:00"/>
    <d v="1899-12-30T20:15:00"/>
    <d v="1899-12-30T00:25:00"/>
    <x v="5"/>
    <s v="Maquinaria"/>
    <s v="Ajuste /Calibracion"/>
    <x v="1"/>
    <x v="2"/>
    <s v="Error en eje de empujador, reportan que se acumula producto "/>
    <s v="Se reinicio pocision de servos, se hizo pruebas en modo manual, se apoyó regulando la velocidad de fajas"/>
    <x v="0"/>
    <x v="0"/>
    <s v=""/>
    <s v=""/>
    <s v=""/>
    <x v="6"/>
    <x v="0"/>
    <x v="17"/>
  </r>
  <r>
    <x v="79"/>
    <s v="Carlos Puma"/>
    <s v="TARDE"/>
    <d v="1899-12-30T20:18:00"/>
    <d v="1899-12-30T20:40:00"/>
    <d v="1899-12-30T00:22:00"/>
    <x v="30"/>
    <s v="Maquinaria"/>
    <s v="Seguimiento / Pruebas"/>
    <x v="0"/>
    <x v="3"/>
    <s v="Se apoyó a técnico de san marco en la habilitación de codificadora y pruebas"/>
    <s v=""/>
    <x v="0"/>
    <x v="13"/>
    <s v="Codificador"/>
    <s v=""/>
    <s v=""/>
    <x v="0"/>
    <x v="1"/>
    <x v="17"/>
  </r>
  <r>
    <x v="79"/>
    <s v="Carlos Puma"/>
    <s v="TARDE"/>
    <d v="1899-12-30T20:45:00"/>
    <d v="1899-12-30T21:05:00"/>
    <d v="1899-12-30T00:20:00"/>
    <x v="59"/>
    <s v="Maquinaria"/>
    <s v="SET UP"/>
    <x v="0"/>
    <x v="3"/>
    <s v="Se instalo codificadora en linea de flowpack 1"/>
    <s v=""/>
    <x v="0"/>
    <x v="13"/>
    <s v="Codificador"/>
    <s v=""/>
    <s v=""/>
    <x v="0"/>
    <x v="1"/>
    <x v="17"/>
  </r>
  <r>
    <x v="80"/>
    <s v="Cesar Quiroz"/>
    <s v="MAÑANA"/>
    <d v="1899-12-30T05:47:00"/>
    <d v="1899-12-30T06:13:00"/>
    <d v="1899-12-30T00:26:00"/>
    <x v="31"/>
    <s v="Equipos auxiliares"/>
    <s v="Inspección"/>
    <x v="0"/>
    <x v="3"/>
    <s v="Revisión de funcionamiento y parámetros de trabajo "/>
    <s v=""/>
    <x v="0"/>
    <x v="0"/>
    <s v=""/>
    <s v=""/>
    <s v=""/>
    <x v="0"/>
    <x v="0"/>
    <x v="17"/>
  </r>
  <r>
    <x v="80"/>
    <s v="Cesar Quiroz"/>
    <s v="MAÑANA"/>
    <d v="1899-12-30T06:26:00"/>
    <d v="1899-12-30T07:02:00"/>
    <d v="1899-12-30T00:36:00"/>
    <x v="26"/>
    <s v="Maquinaria"/>
    <s v="Ajuste /Calibracion"/>
    <x v="1"/>
    <x v="1"/>
    <s v="Papel se atasca corte sale mal "/>
    <s v="Se desarmo módulo de corte, se limpio restos de papel aluminio atascado, se regulo y verifico corte, se realizó pruebas"/>
    <x v="0"/>
    <x v="0"/>
    <s v=""/>
    <s v=""/>
    <s v=""/>
    <x v="54"/>
    <x v="0"/>
    <x v="17"/>
  </r>
  <r>
    <x v="81"/>
    <s v="CARLOS TAPIA"/>
    <s v="MAÑANA"/>
    <s v="05:30"/>
    <s v="06:30"/>
    <d v="1899-12-30T01:00:00"/>
    <x v="21"/>
    <s v="Area"/>
    <s v="Encendido / Arranque de linea"/>
    <x v="0"/>
    <x v="3"/>
    <s v="Arranque de planta."/>
    <s v="Se encendió equipos para las líneas de agua vapor y aire."/>
    <x v="0"/>
    <x v="0"/>
    <s v=""/>
    <s v=""/>
    <s v=""/>
    <x v="0"/>
    <x v="0"/>
    <x v="18"/>
  </r>
  <r>
    <x v="81"/>
    <s v="CARLOS TAPIA"/>
    <s v="MAÑANA"/>
    <s v="06:30"/>
    <s v="07:00"/>
    <d v="1899-12-30T00:30:00"/>
    <x v="19"/>
    <s v="Maquinaria"/>
    <s v="SET UP"/>
    <x v="0"/>
    <x v="3"/>
    <s v="Desarmar máquina para su limpieza "/>
    <s v="Se retiró piezas para su limpieza "/>
    <x v="0"/>
    <x v="0"/>
    <s v=""/>
    <s v=""/>
    <s v=""/>
    <x v="0"/>
    <x v="0"/>
    <x v="18"/>
  </r>
  <r>
    <x v="81"/>
    <s v="CARLOS TAPIA"/>
    <s v="MAÑANA"/>
    <s v="07:00"/>
    <s v="07:30"/>
    <d v="1899-12-30T00:30:00"/>
    <x v="50"/>
    <s v="Maquinaria"/>
    <s v="SET UP"/>
    <x v="0"/>
    <x v="3"/>
    <s v="Desarmar máquina para su limpieza "/>
    <s v="Se retiró polines y piezas para su limpieza "/>
    <x v="0"/>
    <x v="0"/>
    <s v=""/>
    <s v=""/>
    <s v=""/>
    <x v="0"/>
    <x v="0"/>
    <x v="18"/>
  </r>
  <r>
    <x v="81"/>
    <s v="CARLOS TAPIA"/>
    <s v="MAÑANA"/>
    <s v="07:40"/>
    <s v="08:00"/>
    <d v="1899-12-30T00:20:00"/>
    <x v="3"/>
    <s v="Maquinaria"/>
    <s v="SET UP"/>
    <x v="0"/>
    <x v="3"/>
    <s v="Retirar mordazas para su limpieza "/>
    <s v="Se retiró mordazas para su limpieza."/>
    <x v="4"/>
    <x v="0"/>
    <s v=""/>
    <s v=""/>
    <s v=""/>
    <x v="14"/>
    <x v="1"/>
    <x v="18"/>
  </r>
  <r>
    <x v="81"/>
    <s v="CARLOS TAPIA"/>
    <s v="MAÑANA"/>
    <s v="08:10"/>
    <s v="08:30"/>
    <d v="1899-12-30T00:20:00"/>
    <x v="18"/>
    <s v="Maquinaria"/>
    <s v="SET UP"/>
    <x v="0"/>
    <x v="3"/>
    <s v="Desarmar máquina para su limpieza "/>
    <s v="Se retiró piezas para su limpieza "/>
    <x v="0"/>
    <x v="0"/>
    <s v=""/>
    <s v=""/>
    <s v=""/>
    <x v="0"/>
    <x v="0"/>
    <x v="18"/>
  </r>
  <r>
    <x v="81"/>
    <s v="CARLOS TAPIA"/>
    <s v="MAÑANA"/>
    <s v="09:00"/>
    <s v="10:00"/>
    <d v="1899-12-30T01:00:00"/>
    <x v="5"/>
    <s v="Maquinaria"/>
    <s v="SET UP"/>
    <x v="0"/>
    <x v="3"/>
    <s v="Armado de máquina "/>
    <s v="Se colocó piezas en posición, guardas bandas y pinzas."/>
    <x v="0"/>
    <x v="0"/>
    <s v=""/>
    <s v=""/>
    <s v=""/>
    <x v="0"/>
    <x v="0"/>
    <x v="18"/>
  </r>
  <r>
    <x v="81"/>
    <s v="CARLOS TAPIA"/>
    <s v="MAÑANA"/>
    <s v="10:00"/>
    <s v="10:30"/>
    <d v="1899-12-30T00:30:00"/>
    <x v="50"/>
    <s v="Maquinaria"/>
    <s v="SET UP"/>
    <x v="0"/>
    <x v="3"/>
    <s v="Armado de máquina "/>
    <s v="Se armó máquina y se habilitó bandas para culminar su limpieza."/>
    <x v="0"/>
    <x v="0"/>
    <s v=""/>
    <s v=""/>
    <s v=""/>
    <x v="0"/>
    <x v="0"/>
    <x v="18"/>
  </r>
  <r>
    <x v="81"/>
    <s v="CARLOS TAPIA"/>
    <s v="MAÑANA"/>
    <s v="11:00"/>
    <s v="11:20"/>
    <d v="1899-12-30T00:20:00"/>
    <x v="47"/>
    <s v="Maquinaria"/>
    <s v="Seguimiento / Pruebas"/>
    <x v="0"/>
    <x v="3"/>
    <s v="Inspección de máquina en funcionamiento "/>
    <s v="Se dió seguimiento al arranque de máquina."/>
    <x v="0"/>
    <x v="0"/>
    <s v=""/>
    <s v=""/>
    <s v=""/>
    <x v="0"/>
    <x v="0"/>
    <x v="18"/>
  </r>
  <r>
    <x v="81"/>
    <s v="CARLOS TAPIA"/>
    <s v="MAÑANA"/>
    <s v="11:45"/>
    <s v="12:00"/>
    <d v="1899-12-30T00:15:00"/>
    <x v="110"/>
    <s v="Maquinaria"/>
    <s v="Reparacion"/>
    <x v="1"/>
    <x v="1"/>
    <s v="Fuga de agua por depósito posterior."/>
    <s v="Se revisó y se activo bomba de descarga de agua del depósito "/>
    <x v="0"/>
    <x v="0"/>
    <s v=""/>
    <s v=""/>
    <s v=""/>
    <x v="115"/>
    <x v="0"/>
    <x v="18"/>
  </r>
  <r>
    <x v="81"/>
    <s v="Cesar Quiroz"/>
    <s v="NOCHE"/>
    <s v="21:21"/>
    <s v="21:42"/>
    <d v="1899-12-30T00:21:00"/>
    <x v="31"/>
    <s v="Equipos auxiliares"/>
    <s v="Inspección"/>
    <x v="0"/>
    <x v="3"/>
    <s v="Revisión de funcionamiento y parámetros de trabajo "/>
    <s v=""/>
    <x v="0"/>
    <x v="0"/>
    <s v=""/>
    <s v=""/>
    <s v=""/>
    <x v="0"/>
    <x v="0"/>
    <x v="18"/>
  </r>
  <r>
    <x v="81"/>
    <s v="Cesar Quiroz"/>
    <s v="NOCHE"/>
    <s v="21:54"/>
    <s v="22:09"/>
    <d v="1899-12-30T00:15:00"/>
    <x v="18"/>
    <s v="Maquinaria"/>
    <s v="SET UP"/>
    <x v="0"/>
    <x v="3"/>
    <s v="Armado de equipo"/>
    <s v=""/>
    <x v="0"/>
    <x v="0"/>
    <s v=""/>
    <s v=""/>
    <s v=""/>
    <x v="0"/>
    <x v="0"/>
    <x v="18"/>
  </r>
  <r>
    <x v="81"/>
    <s v="Cesar Quiroz"/>
    <s v="NOCHE"/>
    <s v="22:12"/>
    <s v="22:24"/>
    <d v="1899-12-30T00:12:00"/>
    <x v="81"/>
    <s v="Maquinaria"/>
    <s v="Reparacion"/>
    <x v="1"/>
    <x v="1"/>
    <s v="Reportan fuga de agua en zona"/>
    <s v="Se reviso recipiente de agua fría, se verifico funcionamiento de bomba de salida, se estranguló entrada de agua fria"/>
    <x v="0"/>
    <x v="0"/>
    <s v=""/>
    <s v=""/>
    <s v=""/>
    <x v="115"/>
    <x v="0"/>
    <x v="18"/>
  </r>
  <r>
    <x v="81"/>
    <s v="Cesar Quiroz"/>
    <s v="NOCHE"/>
    <s v="22:26"/>
    <s v="22:37"/>
    <d v="1899-12-30T00:11:00"/>
    <x v="15"/>
    <s v="Maquinaria"/>
    <s v="Inspección"/>
    <x v="0"/>
    <x v="3"/>
    <s v="Revisión de nivel y llenado de agua en tanques de agua fría y caliente"/>
    <s v=""/>
    <x v="0"/>
    <x v="3"/>
    <s v="Tanque"/>
    <s v=""/>
    <s v=""/>
    <x v="207"/>
    <x v="1"/>
    <x v="18"/>
  </r>
  <r>
    <x v="81"/>
    <s v="Cesar Quiroz"/>
    <s v="MAÑANA"/>
    <s v="22:40"/>
    <s v="23:10"/>
    <d v="1899-12-30T00:30:00"/>
    <x v="5"/>
    <s v="Maquinaria"/>
    <s v="Limpieza"/>
    <x v="1"/>
    <x v="1"/>
    <s v="Papel se arruga constantemente "/>
    <s v="Se retiro polín de arrastre se retiro cinta y se realizó limpieza de polin con aditivo, se colocó cinta nueva, se realizó limpieza de módulo de corte"/>
    <x v="0"/>
    <x v="0"/>
    <s v=""/>
    <s v=""/>
    <s v=""/>
    <x v="0"/>
    <x v="0"/>
    <x v="18"/>
  </r>
  <r>
    <x v="81"/>
    <s v="Cesar Quiroz"/>
    <s v="NOCHE"/>
    <s v="23:15"/>
    <s v="23:36"/>
    <d v="1899-12-30T00:21:00"/>
    <x v="59"/>
    <s v="Maquinaria"/>
    <s v="Ajuste /Calibracion"/>
    <x v="1"/>
    <x v="2"/>
    <s v="Impresora no arranca "/>
    <s v="Se reviso condiciones de arranque, se forzó arranque de chorro en modo manual, se inicializo impresión, se realizó pruebas"/>
    <x v="0"/>
    <x v="23"/>
    <s v="Impresora"/>
    <s v=""/>
    <s v=""/>
    <x v="0"/>
    <x v="1"/>
    <x v="18"/>
  </r>
  <r>
    <x v="81"/>
    <s v="Cesar Quiroz"/>
    <s v="NOCHE"/>
    <s v="23:41"/>
    <s v="23:56"/>
    <d v="1899-12-30T00:15:00"/>
    <x v="55"/>
    <s v="Maquinaria"/>
    <s v="Limpieza"/>
    <x v="1"/>
    <x v="2"/>
    <s v="Variación de temperatura de mordaza"/>
    <s v="Se realizó limpieza de carbones y colector, se reviso funcionamiento "/>
    <x v="0"/>
    <x v="0"/>
    <s v=""/>
    <s v=""/>
    <s v=""/>
    <x v="0"/>
    <x v="0"/>
    <x v="18"/>
  </r>
  <r>
    <x v="81"/>
    <s v="Omar Nina"/>
    <s v="TARDE"/>
    <s v="13:06"/>
    <s v="13:30"/>
    <d v="1899-12-30T00:24:00"/>
    <x v="67"/>
    <s v="Maquinaria"/>
    <s v="Ajuste /Calibracion"/>
    <x v="1"/>
    <x v="1"/>
    <s v="Deja agujeros al sellar"/>
    <s v="Se calibra altura de cuchillas "/>
    <x v="0"/>
    <x v="0"/>
    <s v=""/>
    <s v=""/>
    <s v=""/>
    <x v="11"/>
    <x v="0"/>
    <x v="18"/>
  </r>
  <r>
    <x v="81"/>
    <s v="Omar Nina"/>
    <s v="TARDE"/>
    <s v="13:40"/>
    <s v="14:17"/>
    <d v="1899-12-30T00:37:00"/>
    <x v="19"/>
    <s v="Maquinaria"/>
    <s v="SET UP"/>
    <x v="0"/>
    <x v="3"/>
    <s v="Armado de equipo "/>
    <s v=""/>
    <x v="0"/>
    <x v="0"/>
    <s v=""/>
    <s v=""/>
    <s v=""/>
    <x v="0"/>
    <x v="0"/>
    <x v="18"/>
  </r>
  <r>
    <x v="81"/>
    <s v="Omar Nina"/>
    <s v="TARDE"/>
    <s v="14:25"/>
    <s v="14:40"/>
    <d v="1899-12-30T00:15:00"/>
    <x v="15"/>
    <s v="Maquinaria"/>
    <s v="Sustitucion"/>
    <x v="1"/>
    <x v="1"/>
    <s v="Fuga de aire , manguera neumática rota."/>
    <s v="Se reemplaza manguera y se verifica con equipo en funcionamiento "/>
    <x v="0"/>
    <x v="0"/>
    <s v=""/>
    <s v=""/>
    <s v=""/>
    <x v="208"/>
    <x v="0"/>
    <x v="18"/>
  </r>
  <r>
    <x v="81"/>
    <s v="Omar Nina"/>
    <s v="TARDE"/>
    <s v="14:50"/>
    <s v="15:04"/>
    <d v="1899-12-30T00:14:00"/>
    <x v="76"/>
    <s v="Maquinaria"/>
    <s v="SET UP"/>
    <x v="0"/>
    <x v="3"/>
    <s v="Armado de equipo , chocolatier"/>
    <s v=""/>
    <x v="8"/>
    <x v="0"/>
    <s v=""/>
    <s v=""/>
    <s v=""/>
    <x v="0"/>
    <x v="1"/>
    <x v="18"/>
  </r>
  <r>
    <x v="81"/>
    <s v="Omar Nina"/>
    <s v="TARDE"/>
    <s v="15:10"/>
    <s v="15:25"/>
    <d v="1899-12-30T00:15:00"/>
    <x v="36"/>
    <s v="Maquinaria"/>
    <s v="Reparacion"/>
    <x v="1"/>
    <x v="1"/>
    <s v="Manguera rota."/>
    <s v="Se corta parte dañada de manguera y se conecta a tuberías "/>
    <x v="0"/>
    <x v="0"/>
    <s v=""/>
    <s v=""/>
    <s v=""/>
    <x v="24"/>
    <x v="0"/>
    <x v="18"/>
  </r>
  <r>
    <x v="81"/>
    <s v="Omar Nina"/>
    <s v="TARDE"/>
    <s v="15:28"/>
    <s v="15:50"/>
    <d v="1899-12-30T00:22:00"/>
    <x v="111"/>
    <s v=""/>
    <s v="Inspección"/>
    <x v="1"/>
    <x v="2"/>
    <s v="Reportan que equipo no se apaga"/>
    <s v="Se verifica cableado eléctrico "/>
    <x v="0"/>
    <x v="0"/>
    <s v=""/>
    <s v=""/>
    <s v=""/>
    <x v="91"/>
    <x v="0"/>
    <x v="18"/>
  </r>
  <r>
    <x v="81"/>
    <s v="Omar Nina"/>
    <s v="TARDE"/>
    <s v="15:55"/>
    <s v="16:30"/>
    <d v="1899-12-30T00:35:00"/>
    <x v="15"/>
    <s v="Maquinaria"/>
    <s v="Reparacion"/>
    <x v="1"/>
    <x v="1"/>
    <s v="Columna bloqueada, no cae chocolate a samfill "/>
    <s v="Se calienta tuberías, se revisó filtro y se verifica temperado"/>
    <x v="0"/>
    <x v="24"/>
    <s v="Sammfill"/>
    <s v="Columna"/>
    <s v=""/>
    <x v="59"/>
    <x v="1"/>
    <x v="18"/>
  </r>
  <r>
    <x v="81"/>
    <s v="Omar Nina"/>
    <s v="TARDE"/>
    <s v="16:32"/>
    <s v="17:12"/>
    <d v="1899-12-30T00:40:00"/>
    <x v="5"/>
    <s v="Maquinaria"/>
    <s v="Limpieza"/>
    <x v="1"/>
    <x v="1"/>
    <s v="Se arruga laminado constantemente "/>
    <s v="Se realiza limpieza de polín de arrastre . Tiene restos de goma de cinta."/>
    <x v="0"/>
    <x v="0"/>
    <s v=""/>
    <s v=""/>
    <s v=""/>
    <x v="50"/>
    <x v="0"/>
    <x v="18"/>
  </r>
  <r>
    <x v="82"/>
    <s v="Cesar Quiroz"/>
    <s v="NOCHE"/>
    <d v="1899-12-30T21:18:00"/>
    <d v="1899-12-30T21:32:00"/>
    <d v="1899-12-30T00:14:00"/>
    <x v="31"/>
    <s v="Equipos auxiliares"/>
    <s v="Inspección"/>
    <x v="0"/>
    <x v="3"/>
    <s v="Revisión de funcionamiento y parámetros de trabajo"/>
    <s v=""/>
    <x v="0"/>
    <x v="0"/>
    <s v=""/>
    <s v=""/>
    <s v=""/>
    <x v="0"/>
    <x v="0"/>
    <x v="18"/>
  </r>
  <r>
    <x v="82"/>
    <s v="Cesar Quiroz"/>
    <s v="NOCHE"/>
    <d v="1899-12-30T21:34:00"/>
    <d v="1899-12-30T21:59:00"/>
    <d v="1899-12-30T00:25:00"/>
    <x v="15"/>
    <s v="Maquinaria"/>
    <s v="SET UP"/>
    <x v="0"/>
    <x v="3"/>
    <s v="Armado y habilitación de formato para fondy menta"/>
    <s v=""/>
    <x v="0"/>
    <x v="0"/>
    <s v=""/>
    <s v=""/>
    <s v=""/>
    <x v="2"/>
    <x v="0"/>
    <x v="18"/>
  </r>
  <r>
    <x v="82"/>
    <s v="Cesar Quiroz"/>
    <s v="NOCHE"/>
    <d v="1899-12-30T22:00:00"/>
    <d v="1899-12-30T22:19:00"/>
    <d v="1899-12-30T00:19:00"/>
    <x v="26"/>
    <s v="Maquinaria"/>
    <s v="Ajuste /Calibracion"/>
    <x v="1"/>
    <x v="2"/>
    <s v="Problemas con el sensor de producto, empujador demora en actuar y producto se acumula en banda"/>
    <s v="Se regula posición y sensibilidad de sensor, se ajusta posición de guías para producto"/>
    <x v="0"/>
    <x v="0"/>
    <s v=""/>
    <s v=""/>
    <s v=""/>
    <x v="129"/>
    <x v="0"/>
    <x v="18"/>
  </r>
  <r>
    <x v="82"/>
    <s v="Cesar Quiroz"/>
    <s v="NOCHE"/>
    <d v="1899-12-30T22:31:00"/>
    <d v="1899-12-30T22:43:00"/>
    <d v="1899-12-30T00:12:00"/>
    <x v="18"/>
    <s v="Maquinaria"/>
    <s v="SET UP"/>
    <x v="0"/>
    <x v="3"/>
    <s v="Armado de equipo"/>
    <s v=""/>
    <x v="0"/>
    <x v="0"/>
    <s v=""/>
    <s v=""/>
    <s v=""/>
    <x v="0"/>
    <x v="0"/>
    <x v="18"/>
  </r>
  <r>
    <x v="82"/>
    <s v="Cesar Quiroz"/>
    <s v="NOCHE"/>
    <d v="1899-12-30T22:44:00"/>
    <d v="1899-12-30T23:07:00"/>
    <d v="1899-12-30T00:23:00"/>
    <x v="26"/>
    <s v="Maquinaria"/>
    <s v="Ajuste /Calibracion"/>
    <x v="1"/>
    <x v="1"/>
    <s v="Bandas se mueve a un costado"/>
    <s v="Se destenso y se regula posición, se revisa funcionamiento "/>
    <x v="0"/>
    <x v="0"/>
    <s v=""/>
    <s v=""/>
    <s v=""/>
    <x v="0"/>
    <x v="0"/>
    <x v="18"/>
  </r>
  <r>
    <x v="82"/>
    <s v="Cesar Quiroz"/>
    <s v="NOCHE"/>
    <d v="1899-12-30T23:08:00"/>
    <d v="1899-12-30T23:26:00"/>
    <d v="1899-12-30T00:18:00"/>
    <x v="58"/>
    <s v="Maquinaria"/>
    <s v="Limpieza"/>
    <x v="1"/>
    <x v="2"/>
    <s v="Problemas con la impresión de fecha, sale borrosa e incompleta "/>
    <s v="Se retira cañón y se realiza limpieza y se prueba funcionamiento k"/>
    <x v="0"/>
    <x v="0"/>
    <s v=""/>
    <s v=""/>
    <s v=""/>
    <x v="209"/>
    <x v="0"/>
    <x v="18"/>
  </r>
  <r>
    <x v="82"/>
    <s v="JOSÉ HAÑARI"/>
    <s v="TARDE"/>
    <d v="1899-12-30T13:00:00"/>
    <d v="1899-12-30T14:30:00"/>
    <d v="1899-12-30T01:30:00"/>
    <x v="5"/>
    <s v="Maquinaria"/>
    <s v="SET UP"/>
    <x v="0"/>
    <x v="3"/>
    <s v="Se apoya con armado y calibración de sacmi "/>
    <s v=""/>
    <x v="0"/>
    <x v="0"/>
    <s v=""/>
    <s v=""/>
    <s v=""/>
    <x v="28"/>
    <x v="0"/>
    <x v="18"/>
  </r>
  <r>
    <x v="82"/>
    <s v="JOSÉ HAÑARI"/>
    <s v="TARDE"/>
    <d v="1899-12-30T14:40:00"/>
    <d v="1899-12-30T15:00:00"/>
    <d v="1899-12-30T00:20:00"/>
    <x v="28"/>
    <s v="Maquinaria"/>
    <s v="Ajuste /Calibracion"/>
    <x v="1"/>
    <x v="1"/>
    <s v="No sella formato x18"/>
    <s v="Se realiza calibración de sellador "/>
    <x v="0"/>
    <x v="0"/>
    <s v=""/>
    <s v=""/>
    <s v=""/>
    <x v="210"/>
    <x v="0"/>
    <x v="18"/>
  </r>
  <r>
    <x v="82"/>
    <s v="JOSÉ HAÑARI"/>
    <s v="TARDE"/>
    <d v="1899-12-30T15:05:00"/>
    <d v="1899-12-30T15:20:00"/>
    <d v="1899-12-30T00:15:00"/>
    <x v="27"/>
    <s v="Maquinaria"/>
    <s v="Reparacion"/>
    <x v="1"/>
    <x v="1"/>
    <s v="Se rompe tubo de aceite "/>
    <s v="Se realiza un corte y se pone accesorios de lubricación "/>
    <x v="0"/>
    <x v="0"/>
    <s v=""/>
    <s v=""/>
    <s v=""/>
    <x v="24"/>
    <x v="0"/>
    <x v="18"/>
  </r>
  <r>
    <x v="82"/>
    <s v="JOSÉ HAÑARI"/>
    <s v="TARDE"/>
    <d v="1899-12-30T17:48:00"/>
    <d v="1899-12-30T18:20:00"/>
    <d v="1899-12-30T00:32:00"/>
    <x v="21"/>
    <s v="Area"/>
    <s v="Reparacion"/>
    <x v="1"/>
    <x v="1"/>
    <s v="No hay agua caliente "/>
    <s v="Se realiza sebado de bomba de sistema de agua caliente "/>
    <x v="0"/>
    <x v="0"/>
    <s v=""/>
    <s v=""/>
    <s v=""/>
    <x v="96"/>
    <x v="0"/>
    <x v="18"/>
  </r>
  <r>
    <x v="82"/>
    <s v="JOSÉ HAÑARI"/>
    <s v="TARDE"/>
    <d v="1899-12-30T15:40:00"/>
    <d v="1899-12-30T16:10:00"/>
    <d v="1899-12-30T00:30:00"/>
    <x v="21"/>
    <s v="Area"/>
    <s v="Reparacion"/>
    <x v="1"/>
    <x v="1"/>
    <s v="No hay agua caliente "/>
    <s v="Se realiza sebado de bomba del sistema de agua caliente "/>
    <x v="0"/>
    <x v="0"/>
    <s v=""/>
    <s v=""/>
    <s v=""/>
    <x v="96"/>
    <x v="0"/>
    <x v="18"/>
  </r>
  <r>
    <x v="82"/>
    <s v="JOSÉ HAÑARI"/>
    <s v="TARDE"/>
    <d v="1899-12-30T16:30:00"/>
    <d v="1899-12-30T17:00:00"/>
    <d v="1899-12-30T00:30:00"/>
    <x v="15"/>
    <s v="Maquinaria"/>
    <s v="SET UP"/>
    <x v="0"/>
    <x v="3"/>
    <s v="Se apoya con  desarmado de mds para limpieza "/>
    <s v=""/>
    <x v="0"/>
    <x v="1"/>
    <s v="Mds"/>
    <s v=""/>
    <s v=""/>
    <x v="0"/>
    <x v="1"/>
    <x v="18"/>
  </r>
  <r>
    <x v="82"/>
    <s v="JOSÉ HAÑARI"/>
    <s v="TARDE"/>
    <d v="1899-12-30T17:30:00"/>
    <d v="1899-12-30T18:00:00"/>
    <d v="1899-12-30T00:30:00"/>
    <x v="15"/>
    <s v="Maquinaria"/>
    <s v="SET UP"/>
    <x v="0"/>
    <x v="3"/>
    <s v="Se arma MDS para cremas redondas "/>
    <s v=""/>
    <x v="0"/>
    <x v="1"/>
    <s v="Mds"/>
    <s v=""/>
    <s v=""/>
    <x v="0"/>
    <x v="1"/>
    <x v="18"/>
  </r>
  <r>
    <x v="82"/>
    <s v="JOSÉ HAÑARI"/>
    <s v="TARDE"/>
    <d v="1899-12-30T18:10:00"/>
    <d v="1899-12-30T18:30:00"/>
    <d v="1899-12-30T00:20:00"/>
    <x v="15"/>
    <s v="Maquinaria"/>
    <s v="Inspección"/>
    <x v="0"/>
    <x v="3"/>
    <s v="Se realiza inspección de temperadora de hacos 1"/>
    <s v=""/>
    <x v="0"/>
    <x v="11"/>
    <s v="Temperadora"/>
    <s v=""/>
    <s v=""/>
    <x v="0"/>
    <x v="1"/>
    <x v="18"/>
  </r>
  <r>
    <x v="82"/>
    <s v="JOSÉ HAÑARI"/>
    <s v="NOCHE"/>
    <d v="1899-12-30T20:30:00"/>
    <d v="1899-12-30T21:00:00"/>
    <d v="1899-12-30T00:30:00"/>
    <x v="39"/>
    <s v="Maquinaria"/>
    <s v="Reparacion"/>
    <x v="1"/>
    <x v="1"/>
    <s v="Tuberías de desfogue de producto para limpieza atorado"/>
    <s v="Se realiza calentamiento de tuberías "/>
    <x v="0"/>
    <x v="0"/>
    <s v=""/>
    <s v=""/>
    <s v=""/>
    <x v="0"/>
    <x v="0"/>
    <x v="18"/>
  </r>
  <r>
    <x v="83"/>
    <s v="Carlos Puma"/>
    <s v="MAÑANA"/>
    <s v="06:30"/>
    <s v="06:40"/>
    <d v="1899-12-30T00:10:00"/>
    <x v="51"/>
    <s v="Maquinaria"/>
    <s v="SET UP"/>
    <x v="0"/>
    <x v="3"/>
    <s v="Armado de equipo "/>
    <s v=""/>
    <x v="0"/>
    <x v="0"/>
    <s v=""/>
    <s v=""/>
    <s v=""/>
    <x v="0"/>
    <x v="0"/>
    <x v="18"/>
  </r>
  <r>
    <x v="83"/>
    <s v="Carlos Puma"/>
    <s v="MAÑANA"/>
    <s v="07:00"/>
    <s v="09:00"/>
    <d v="1899-12-30T02:00:00"/>
    <x v="28"/>
    <s v="Maquinaria"/>
    <s v="SET UP"/>
    <x v="0"/>
    <x v="3"/>
    <s v="Cambio de formato a milky x 10"/>
    <s v=""/>
    <x v="0"/>
    <x v="0"/>
    <s v=""/>
    <s v=""/>
    <s v=""/>
    <x v="2"/>
    <x v="0"/>
    <x v="18"/>
  </r>
  <r>
    <x v="83"/>
    <s v="Carlos Puma"/>
    <s v="MAÑANA"/>
    <s v="09:02"/>
    <s v="09:20"/>
    <d v="1899-12-30T00:18:00"/>
    <x v="55"/>
    <s v="Maquinaria"/>
    <s v="Limpieza"/>
    <x v="1"/>
    <x v="2"/>
    <s v="Temperatura varían en mordazas"/>
    <s v="Limpieza de escobillas y carboncillos"/>
    <x v="0"/>
    <x v="0"/>
    <s v=""/>
    <s v=""/>
    <s v=""/>
    <x v="0"/>
    <x v="0"/>
    <x v="18"/>
  </r>
  <r>
    <x v="83"/>
    <s v="Carlos Puma"/>
    <s v="MAÑANA"/>
    <s v="09:30"/>
    <s v="09:50"/>
    <d v="1899-12-30T00:20:00"/>
    <x v="29"/>
    <s v="Maquinaria"/>
    <s v="Ajuste /Calibracion"/>
    <x v="1"/>
    <x v="2"/>
    <s v="Cuchilla no corta, sensor no reconoce producto "/>
    <s v="Limpieza y calibración de cuchilla, calibración de sensor"/>
    <x v="0"/>
    <x v="0"/>
    <s v=""/>
    <s v=""/>
    <s v=""/>
    <x v="12"/>
    <x v="0"/>
    <x v="18"/>
  </r>
  <r>
    <x v="83"/>
    <s v="Carlos Puma"/>
    <s v="MAÑANA"/>
    <s v="09:52"/>
    <s v="10:20"/>
    <d v="1899-12-30T00:28:00"/>
    <x v="26"/>
    <s v="Maquinaria"/>
    <s v="Ajuste /Calibracion"/>
    <x v="0"/>
    <x v="3"/>
    <s v="Apoyó en calibración de equipo para pasar pastillas"/>
    <s v=""/>
    <x v="82"/>
    <x v="0"/>
    <s v=""/>
    <s v=""/>
    <s v=""/>
    <x v="28"/>
    <x v="1"/>
    <x v="18"/>
  </r>
  <r>
    <x v="83"/>
    <s v="Carlos Puma"/>
    <s v="MAÑANA"/>
    <s v="10:30"/>
    <s v="10:50"/>
    <d v="1899-12-30T00:20:00"/>
    <x v="32"/>
    <s v="Maquinaria"/>
    <s v="Ajuste /Calibracion"/>
    <x v="1"/>
    <x v="2"/>
    <s v="Tolerancia de temperatura de producto negativa , ingreso de agua fría aún cuando el equipo está frío "/>
    <s v="Se reinicio equipo , se calentó y se hizo pruebas "/>
    <x v="0"/>
    <x v="0"/>
    <s v=""/>
    <s v=""/>
    <s v=""/>
    <x v="0"/>
    <x v="0"/>
    <x v="18"/>
  </r>
  <r>
    <x v="83"/>
    <s v="Carlos Puma"/>
    <s v="MAÑANA"/>
    <s v="10:55"/>
    <s v="11:40"/>
    <d v="1899-12-30T00:45:00"/>
    <x v="15"/>
    <s v="Maquinaria"/>
    <s v="SET UP"/>
    <x v="0"/>
    <x v="3"/>
    <s v="Cambio de formato mds"/>
    <s v="Se desarmo formato de cremas y se armó formato agregados x50"/>
    <x v="0"/>
    <x v="1"/>
    <s v="Mds"/>
    <s v=""/>
    <s v=""/>
    <x v="2"/>
    <x v="1"/>
    <x v="18"/>
  </r>
  <r>
    <x v="83"/>
    <s v="Carlos Puma"/>
    <s v="MAÑANA"/>
    <s v="12:45"/>
    <d v="1899-12-30T13:00:00"/>
    <d v="1899-12-30T00:15:00"/>
    <x v="5"/>
    <s v="Maquinaria"/>
    <s v="Inspección"/>
    <x v="0"/>
    <x v="3"/>
    <s v="Inspección de equipo "/>
    <s v=""/>
    <x v="0"/>
    <x v="0"/>
    <s v=""/>
    <s v=""/>
    <s v=""/>
    <x v="0"/>
    <x v="0"/>
    <x v="18"/>
  </r>
  <r>
    <x v="83"/>
    <s v="Cesar Quiroz"/>
    <s v="NOCHE"/>
    <s v="21:17"/>
    <d v="1899-12-30T22:00:00"/>
    <d v="1899-12-30T00:43:00"/>
    <x v="31"/>
    <s v="Equipos auxiliares"/>
    <s v="Inspección"/>
    <x v="0"/>
    <x v="3"/>
    <s v="Revisión de funcionamiento y parámetros de trabajo "/>
    <s v=""/>
    <x v="0"/>
    <x v="0"/>
    <s v=""/>
    <s v=""/>
    <s v=""/>
    <x v="0"/>
    <x v="0"/>
    <x v="18"/>
  </r>
  <r>
    <x v="83"/>
    <s v="Cesar Quiroz"/>
    <s v="NOCHE"/>
    <s v="21:37"/>
    <d v="1899-12-30T22:05:00"/>
    <d v="1899-12-30T00:28:00"/>
    <x v="94"/>
    <s v="Sistema"/>
    <s v="Reparacion"/>
    <x v="1"/>
    <x v="1"/>
    <s v="No hay presión de agua en planta"/>
    <s v="Se reviso pozos de agua y estado de bomba, presión cayó, se detuvo bomba y se cebo sistema, se arrancó y se verifico funcionamiento "/>
    <x v="0"/>
    <x v="0"/>
    <s v=""/>
    <s v=""/>
    <s v=""/>
    <x v="108"/>
    <x v="0"/>
    <x v="18"/>
  </r>
  <r>
    <x v="83"/>
    <s v="Cesar Quiroz"/>
    <s v="NOCHE"/>
    <s v="22:05"/>
    <s v="22:40"/>
    <d v="1899-12-30T00:35:00"/>
    <x v="29"/>
    <s v="Maquinaria"/>
    <s v="SET UP"/>
    <x v="0"/>
    <x v="3"/>
    <s v="Cambio de formato a tabletas x100"/>
    <s v=""/>
    <x v="8"/>
    <x v="0"/>
    <s v=""/>
    <s v=""/>
    <s v=""/>
    <x v="2"/>
    <x v="1"/>
    <x v="18"/>
  </r>
  <r>
    <x v="83"/>
    <s v="Cesar Quiroz"/>
    <s v="NOCHE"/>
    <s v="22:43"/>
    <s v="23:08"/>
    <d v="1899-12-30T00:25:00"/>
    <x v="5"/>
    <s v="Maquinaria"/>
    <s v="Ajuste /Calibracion"/>
    <x v="1"/>
    <x v="2"/>
    <s v="Acumulación de producto en la entrada"/>
    <s v="Se realizó limpieza de sensores, se regulo bandas de flowpack 2 y hacos 2, se verifico funcionamiento, se fue ajustando velocidades con máquina trabajando"/>
    <x v="0"/>
    <x v="0"/>
    <s v=""/>
    <s v=""/>
    <s v=""/>
    <x v="31"/>
    <x v="0"/>
    <x v="18"/>
  </r>
  <r>
    <x v="83"/>
    <s v="JOSÉ HAÑARI"/>
    <s v="MAÑANA"/>
    <d v="1899-12-30T05:00:00"/>
    <d v="1899-12-30T11:21:00"/>
    <d v="1899-12-30T06:21:00"/>
    <x v="5"/>
    <s v="Maquinaria"/>
    <s v="Ajuste /Calibracion"/>
    <x v="1"/>
    <x v="1"/>
    <s v="Problemas en polin de arrastre, papel arrugado, funcionamiento intermitente de equipo con microparadas"/>
    <s v="Se ajusto altura de polin de desbobinado y se dejo operativo"/>
    <x v="0"/>
    <x v="0"/>
    <s v=""/>
    <s v=""/>
    <s v=""/>
    <x v="196"/>
    <x v="0"/>
    <x v="18"/>
  </r>
  <r>
    <x v="84"/>
    <s v="Carlos Puma"/>
    <s v="MAÑANA"/>
    <s v="06:30"/>
    <s v="06:50"/>
    <d v="1899-12-30T00:20:00"/>
    <x v="15"/>
    <s v="Maquinaria"/>
    <s v="Inspección"/>
    <x v="0"/>
    <x v="3"/>
    <s v="Inspección de temperadora "/>
    <s v=""/>
    <x v="0"/>
    <x v="11"/>
    <s v="Temperadora"/>
    <s v=""/>
    <s v=""/>
    <x v="0"/>
    <x v="1"/>
    <x v="18"/>
  </r>
  <r>
    <x v="84"/>
    <s v="Carlos Puma"/>
    <s v="MAÑANA"/>
    <s v="07:00"/>
    <s v="07:20"/>
    <d v="1899-12-30T00:20:00"/>
    <x v="3"/>
    <s v="Maquinaria"/>
    <s v="Inspección"/>
    <x v="0"/>
    <x v="3"/>
    <s v="Inspección de equipo "/>
    <s v=""/>
    <x v="0"/>
    <x v="0"/>
    <s v=""/>
    <s v=""/>
    <s v=""/>
    <x v="0"/>
    <x v="0"/>
    <x v="18"/>
  </r>
  <r>
    <x v="84"/>
    <s v="Carlos Puma"/>
    <s v="MAÑANA"/>
    <s v="07:30"/>
    <s v="07:50"/>
    <d v="1899-12-30T00:20:00"/>
    <x v="96"/>
    <s v="Equipos auxiliares"/>
    <s v="Reparacion"/>
    <x v="1"/>
    <x v="2"/>
    <s v="Ascensor nuevo no responde "/>
    <s v="Se reinicio equipo, se restableció llave termomagnético en tablero de control "/>
    <x v="0"/>
    <x v="0"/>
    <s v=""/>
    <s v=""/>
    <s v=""/>
    <x v="9"/>
    <x v="0"/>
    <x v="18"/>
  </r>
  <r>
    <x v="84"/>
    <s v="Carlos Puma"/>
    <s v="MAÑANA"/>
    <s v="08:00"/>
    <s v="08:20"/>
    <d v="1899-12-30T00:20:00"/>
    <x v="50"/>
    <s v="Maquinaria"/>
    <s v="Inspección"/>
    <x v="0"/>
    <x v="3"/>
    <s v="Inspección de equipo "/>
    <s v=""/>
    <x v="0"/>
    <x v="0"/>
    <s v=""/>
    <s v=""/>
    <s v=""/>
    <x v="0"/>
    <x v="0"/>
    <x v="18"/>
  </r>
  <r>
    <x v="84"/>
    <s v="Carlos Puma"/>
    <s v="MAÑANA"/>
    <s v="09:30"/>
    <s v="09:50"/>
    <d v="1899-12-30T00:20:00"/>
    <x v="47"/>
    <s v="Maquinaria"/>
    <s v="Inspección"/>
    <x v="0"/>
    <x v="3"/>
    <s v="Inspección de temperadora "/>
    <s v="Se reviso ajuste de prensaestopas y nivel de agua"/>
    <x v="0"/>
    <x v="11"/>
    <s v="Temperadora"/>
    <s v=""/>
    <s v=""/>
    <x v="0"/>
    <x v="1"/>
    <x v="18"/>
  </r>
  <r>
    <x v="84"/>
    <s v="Carlos Puma"/>
    <s v="MAÑANA"/>
    <s v="11:10"/>
    <s v="11:25"/>
    <d v="1899-12-30T00:15:00"/>
    <x v="21"/>
    <s v="Area"/>
    <s v="Limpieza"/>
    <x v="1"/>
    <x v="1"/>
    <s v="Reportan lavadero obstruido"/>
    <s v="Se libero obstrucción y se realizó la limpieza "/>
    <x v="0"/>
    <x v="0"/>
    <s v=""/>
    <s v=""/>
    <s v=""/>
    <x v="17"/>
    <x v="0"/>
    <x v="18"/>
  </r>
  <r>
    <x v="84"/>
    <s v="Carlos Puma"/>
    <s v="MAÑANA"/>
    <s v="11:30"/>
    <s v="11:40"/>
    <d v="1899-12-30T00:10:00"/>
    <x v="47"/>
    <s v="Maquinaria"/>
    <s v="Ajuste /Calibracion"/>
    <x v="1"/>
    <x v="2"/>
    <s v="Alarma por puerta abierta, (todas las puertas estabas cerradas)"/>
    <s v="Se reviso sensores de puertas y se habilito equipo "/>
    <x v="0"/>
    <x v="0"/>
    <s v=""/>
    <s v=""/>
    <s v=""/>
    <x v="211"/>
    <x v="0"/>
    <x v="18"/>
  </r>
  <r>
    <x v="84"/>
    <s v="Carlos Puma"/>
    <s v="MAÑANA"/>
    <s v="11:50"/>
    <s v="12:05"/>
    <d v="1899-12-30T00:15:00"/>
    <x v="41"/>
    <s v="Maquinaria"/>
    <s v="Inspección"/>
    <x v="0"/>
    <x v="3"/>
    <s v="Se reviso desgaste de polin motriz en faja alimentadora "/>
    <s v=""/>
    <x v="54"/>
    <x v="0"/>
    <s v=""/>
    <s v=""/>
    <s v=""/>
    <x v="212"/>
    <x v="1"/>
    <x v="18"/>
  </r>
  <r>
    <x v="84"/>
    <s v="Carlos Puma"/>
    <s v="MAÑANA"/>
    <d v="1899-12-30T13:10:00"/>
    <d v="1899-12-30T13:50:00"/>
    <d v="1899-12-30T00:40:00"/>
    <x v="13"/>
    <s v="Maquinaria"/>
    <s v="Ajuste /Calibracion"/>
    <x v="0"/>
    <x v="3"/>
    <s v="Se preparo pernos tipo botón para cambio en cuchilla amp rose y se apoyó en calibración "/>
    <s v=""/>
    <x v="109"/>
    <x v="0"/>
    <s v=""/>
    <s v=""/>
    <s v=""/>
    <x v="28"/>
    <x v="1"/>
    <x v="18"/>
  </r>
  <r>
    <x v="84"/>
    <s v="CARLOS TAPIA"/>
    <s v="TARDE"/>
    <s v="16:30"/>
    <s v="17:00"/>
    <d v="1899-12-30T00:30:00"/>
    <x v="49"/>
    <s v="Maquinaria"/>
    <s v="Sustitucion"/>
    <x v="1"/>
    <x v="1"/>
    <s v="Pernos dañados."/>
    <s v="Se revisó y se reemplazo pernos en máquina."/>
    <x v="0"/>
    <x v="0"/>
    <s v=""/>
    <s v=""/>
    <s v=""/>
    <x v="85"/>
    <x v="0"/>
    <x v="18"/>
  </r>
  <r>
    <x v="84"/>
    <s v="CARLOS TAPIA"/>
    <s v="TARDE"/>
    <s v="18:00"/>
    <s v="18:30"/>
    <d v="1899-12-30T00:30:00"/>
    <x v="15"/>
    <s v="Maquinaria"/>
    <s v="Seguimiento / Pruebas"/>
    <x v="0"/>
    <x v="3"/>
    <s v="Inspección de máquina en funcionamiento "/>
    <s v="Se dió seguimiento al funcionamiento de máquina "/>
    <x v="0"/>
    <x v="0"/>
    <s v=""/>
    <s v=""/>
    <s v=""/>
    <x v="0"/>
    <x v="0"/>
    <x v="18"/>
  </r>
  <r>
    <x v="84"/>
    <s v="CARLOS TAPIA"/>
    <s v="TARDE"/>
    <s v="20:00"/>
    <s v="20:15"/>
    <d v="1899-12-30T00:15:00"/>
    <x v="29"/>
    <s v="Maquinaria"/>
    <s v="Seguimiento / Pruebas"/>
    <x v="0"/>
    <x v="3"/>
    <s v="Inspección de máquina."/>
    <s v="Se realizó pruebas y se verifico el corte de laminado"/>
    <x v="0"/>
    <x v="0"/>
    <s v=""/>
    <s v=""/>
    <s v=""/>
    <x v="0"/>
    <x v="0"/>
    <x v="18"/>
  </r>
  <r>
    <x v="84"/>
    <s v="Cesar Quiroz"/>
    <s v="NOCHE"/>
    <s v="21:18"/>
    <s v="21:32"/>
    <d v="1899-12-30T00:14:00"/>
    <x v="31"/>
    <s v="Equipos auxiliares"/>
    <s v="Inspección"/>
    <x v="0"/>
    <x v="3"/>
    <s v="Revisión de funcionamiento y parámetros de trabajo "/>
    <s v=""/>
    <x v="0"/>
    <x v="0"/>
    <s v=""/>
    <s v=""/>
    <s v=""/>
    <x v="0"/>
    <x v="0"/>
    <x v="18"/>
  </r>
  <r>
    <x v="84"/>
    <s v="Cesar Quiroz"/>
    <s v="NOCHE"/>
    <s v="21:39"/>
    <s v="22:03"/>
    <d v="1899-12-30T00:24:00"/>
    <x v="15"/>
    <s v="Maquinaria"/>
    <s v="Ajuste /Calibracion"/>
    <x v="1"/>
    <x v="1"/>
    <s v="Problemas en movimiento de mds"/>
    <s v="Se habilitó equipo mds, se realizó pruebas"/>
    <x v="0"/>
    <x v="1"/>
    <s v="Mds"/>
    <s v=""/>
    <s v=""/>
    <x v="0"/>
    <x v="1"/>
    <x v="18"/>
  </r>
  <r>
    <x v="84"/>
    <s v="Cesar Quiroz"/>
    <s v="NOCHE"/>
    <s v="22:08"/>
    <s v="22:25"/>
    <d v="1899-12-30T00:17:00"/>
    <x v="13"/>
    <s v="Maquinaria"/>
    <s v="Reparacion"/>
    <x v="1"/>
    <x v="1"/>
    <s v="Pieza no encaja, pernos nuevos sobre salen"/>
    <s v="Se retiro piezas y se limo lo necesario para encajar pernos, se dejó piezas montadas"/>
    <x v="0"/>
    <x v="0"/>
    <s v=""/>
    <s v=""/>
    <s v=""/>
    <x v="0"/>
    <x v="0"/>
    <x v="18"/>
  </r>
  <r>
    <x v="84"/>
    <s v="Cesar Quiroz"/>
    <s v="NOCHE"/>
    <s v="22:34"/>
    <s v="23:12"/>
    <d v="1899-12-30T00:38:00"/>
    <x v="28"/>
    <s v="Maquinaria"/>
    <s v="Ajuste /Calibracion"/>
    <x v="1"/>
    <x v="1"/>
    <s v="Forrado sale mal, cajas se pegan y no sella bien"/>
    <s v="Se corrigió medidas y se calibro sellado, se realizó pruebas"/>
    <x v="0"/>
    <x v="0"/>
    <s v=""/>
    <s v=""/>
    <s v=""/>
    <x v="149"/>
    <x v="0"/>
    <x v="18"/>
  </r>
  <r>
    <x v="84"/>
    <s v="Cesar Quiroz"/>
    <s v="NOCHE"/>
    <s v="23:19"/>
    <s v="23:52"/>
    <d v="1899-12-30T00:33:00"/>
    <x v="15"/>
    <s v="Maquinaria"/>
    <s v="SET UP"/>
    <x v="0"/>
    <x v="3"/>
    <s v="Desarmado de formato.agregados x100 de mds"/>
    <s v=""/>
    <x v="0"/>
    <x v="1"/>
    <s v="Mds"/>
    <s v=""/>
    <s v=""/>
    <x v="2"/>
    <x v="1"/>
    <x v="18"/>
  </r>
  <r>
    <x v="84"/>
    <s v="Cesar Quiroz"/>
    <s v="NOCHE"/>
    <s v="00:05"/>
    <s v="00:19"/>
    <d v="1899-12-30T00:14:00"/>
    <x v="26"/>
    <s v="Maquinaria"/>
    <s v="Ajuste /Calibracion"/>
    <x v="1"/>
    <x v="1"/>
    <s v="Banda se movió a un costado"/>
    <s v="Se destenso, se colocó en posición y se ajusto sensor de alineación automática "/>
    <x v="0"/>
    <x v="0"/>
    <s v=""/>
    <s v=""/>
    <s v=""/>
    <x v="0"/>
    <x v="0"/>
    <x v="18"/>
  </r>
  <r>
    <x v="84"/>
    <s v="Cesar Quiroz"/>
    <s v="NOCHE"/>
    <s v="00:22"/>
    <s v="00:57"/>
    <d v="1899-12-30T00:35:00"/>
    <x v="15"/>
    <s v="Maquinaria"/>
    <s v="SET UP"/>
    <x v="0"/>
    <x v="3"/>
    <s v="Armado de formato cremas en mds"/>
    <s v=""/>
    <x v="0"/>
    <x v="1"/>
    <s v="Mds"/>
    <s v=""/>
    <s v=""/>
    <x v="2"/>
    <x v="1"/>
    <x v="18"/>
  </r>
  <r>
    <x v="84"/>
    <s v="Cesar Quiroz"/>
    <s v="NOCHE"/>
    <s v="00:58"/>
    <s v="01:23"/>
    <d v="1899-12-30T00:25:00"/>
    <x v="3"/>
    <s v="Maquinaria"/>
    <s v="Ajuste /Calibracion"/>
    <x v="1"/>
    <x v="2"/>
    <s v="Sale error en pantalla de empujador en mala posicion"/>
    <s v="Mensaje se resetea y vuelve a salir, se retira tapas, se realiza limpieza de sensor de empujador, se lubrica cadena y se revisa posición de empujadores "/>
    <x v="0"/>
    <x v="0"/>
    <s v=""/>
    <s v=""/>
    <s v=""/>
    <x v="213"/>
    <x v="0"/>
    <x v="18"/>
  </r>
  <r>
    <x v="84"/>
    <s v="Cesar Quiroz"/>
    <s v="NOCHE"/>
    <s v="01:52"/>
    <s v="02:30"/>
    <d v="1899-12-30T00:38:00"/>
    <x v="28"/>
    <s v="Maquinaria"/>
    <s v="SET UP"/>
    <x v="0"/>
    <x v="3"/>
    <s v="Cambio de formato a mini milky"/>
    <s v=""/>
    <x v="0"/>
    <x v="0"/>
    <s v=""/>
    <s v=""/>
    <s v=""/>
    <x v="2"/>
    <x v="0"/>
    <x v="18"/>
  </r>
  <r>
    <x v="84"/>
    <s v="JOSÉ HAÑARI"/>
    <s v="MAÑANA"/>
    <s v="07:50"/>
    <s v="09:50"/>
    <d v="1899-12-30T02:00:00"/>
    <x v="13"/>
    <s v="Maquinaria"/>
    <s v="Sustitucion"/>
    <x v="1"/>
    <x v="1"/>
    <s v="No corta laminado "/>
    <s v="Se realiza calibración y cambio de cuchilla "/>
    <x v="0"/>
    <x v="0"/>
    <s v=""/>
    <s v=""/>
    <s v=""/>
    <x v="42"/>
    <x v="0"/>
    <x v="18"/>
  </r>
  <r>
    <x v="84"/>
    <s v="JOSÉ HAÑARI"/>
    <s v="MAÑANA"/>
    <s v="10:10"/>
    <s v="11:00"/>
    <d v="1899-12-30T00:50:00"/>
    <x v="15"/>
    <s v="Maquinaria"/>
    <s v="SET UP"/>
    <x v="0"/>
    <x v="3"/>
    <s v="Se desarma mds de agrados x50 y se arma agregados x100"/>
    <s v=""/>
    <x v="0"/>
    <x v="1"/>
    <s v="Mds"/>
    <s v=""/>
    <s v=""/>
    <x v="0"/>
    <x v="1"/>
    <x v="18"/>
  </r>
  <r>
    <x v="84"/>
    <s v="JOSÉ HAÑARI"/>
    <s v="MAÑANA"/>
    <s v="12:00"/>
    <s v="12:20"/>
    <d v="1899-12-30T00:20:00"/>
    <x v="7"/>
    <s v="Maquinaria"/>
    <s v="Coordinacion"/>
    <x v="0"/>
    <x v="3"/>
    <s v="Se entrega material a tercero para habilitar tomacorrientes en primer piso "/>
    <s v=""/>
    <x v="110"/>
    <x v="0"/>
    <s v=""/>
    <s v=""/>
    <s v=""/>
    <x v="0"/>
    <x v="1"/>
    <x v="18"/>
  </r>
  <r>
    <x v="84"/>
    <s v="JOSÉ HAÑARI"/>
    <s v="MAÑANA"/>
    <d v="1899-12-30T12:00:00"/>
    <d v="1899-12-30T13:00:00"/>
    <d v="1899-12-30T01:00:00"/>
    <x v="13"/>
    <s v="Maquinaria"/>
    <s v="Seguimiento / Pruebas"/>
    <x v="0"/>
    <x v="3"/>
    <s v="Se apoya en seguimiento y de piezas de la empaquetadora mp rose "/>
    <s v=""/>
    <x v="84"/>
    <x v="0"/>
    <s v=""/>
    <s v=""/>
    <s v=""/>
    <x v="0"/>
    <x v="1"/>
    <x v="18"/>
  </r>
  <r>
    <x v="84"/>
    <s v="Omar Nina"/>
    <s v="TARDE"/>
    <s v="13:30"/>
    <s v="14:50"/>
    <d v="1899-12-30T01:20:00"/>
    <x v="13"/>
    <s v="Maquinaria"/>
    <s v="Sustitucion"/>
    <x v="1"/>
    <x v="1"/>
    <s v="Cuchilla no corta, piezas chocan entre sí."/>
    <s v="Se realiza cambio de cuchilla y se retira piezas para limar"/>
    <x v="0"/>
    <x v="0"/>
    <s v=""/>
    <s v=""/>
    <s v=""/>
    <x v="214"/>
    <x v="0"/>
    <x v="18"/>
  </r>
  <r>
    <x v="84"/>
    <s v="Omar Nina"/>
    <s v="TARDE"/>
    <s v="15:00"/>
    <s v="15:15"/>
    <d v="1899-12-30T00:15:00"/>
    <x v="18"/>
    <s v="Maquinaria"/>
    <s v="SET UP"/>
    <x v="0"/>
    <x v="3"/>
    <s v="Armado de equipo "/>
    <s v=""/>
    <x v="0"/>
    <x v="0"/>
    <s v=""/>
    <s v=""/>
    <s v=""/>
    <x v="0"/>
    <x v="0"/>
    <x v="18"/>
  </r>
  <r>
    <x v="84"/>
    <s v="Omar Nina"/>
    <s v="TARDE"/>
    <s v="15:18"/>
    <s v="16:15"/>
    <d v="1899-12-30T00:57:00"/>
    <x v="29"/>
    <s v="Maquinaria"/>
    <s v="Inspección"/>
    <x v="1"/>
    <x v="1"/>
    <s v="Cuchilla no corta papel aluminio "/>
    <s v="Se revisa cuchillas, se espera repuesto para realiza cambio "/>
    <x v="0"/>
    <x v="0"/>
    <s v=""/>
    <s v=""/>
    <s v=""/>
    <x v="12"/>
    <x v="0"/>
    <x v="18"/>
  </r>
  <r>
    <x v="84"/>
    <s v="Omar Nina"/>
    <s v="TARDE"/>
    <s v="16:20"/>
    <s v="16:53"/>
    <d v="1899-12-30T00:33:00"/>
    <x v="3"/>
    <s v="Maquinaria"/>
    <s v="Seguimiento / Pruebas"/>
    <x v="0"/>
    <x v="3"/>
    <s v="Verificación funcionamiento de equipo "/>
    <s v=""/>
    <x v="0"/>
    <x v="0"/>
    <s v=""/>
    <s v=""/>
    <s v=""/>
    <x v="0"/>
    <x v="0"/>
    <x v="18"/>
  </r>
  <r>
    <x v="84"/>
    <s v="Omar Nina"/>
    <s v="TARDE"/>
    <s v="17:00"/>
    <s v="17:15"/>
    <d v="1899-12-30T00:15:00"/>
    <x v="18"/>
    <s v="Maquinaria"/>
    <s v="SET UP"/>
    <x v="0"/>
    <x v="3"/>
    <s v="Desarmado de equipo para limpieza "/>
    <s v=""/>
    <x v="0"/>
    <x v="0"/>
    <s v=""/>
    <s v=""/>
    <s v=""/>
    <x v="0"/>
    <x v="0"/>
    <x v="18"/>
  </r>
  <r>
    <x v="84"/>
    <s v="Omar Nina"/>
    <s v="TARDE"/>
    <s v="18:35"/>
    <s v="18:50"/>
    <d v="1899-12-30T00:15:00"/>
    <x v="40"/>
    <s v="Maquinaria"/>
    <s v="Ajuste /Calibracion"/>
    <x v="1"/>
    <x v="2"/>
    <s v="Temperatura demasiado baja en tanque."/>
    <s v="Se configura parámetros de temperado"/>
    <x v="0"/>
    <x v="3"/>
    <s v="Tanque"/>
    <s v=""/>
    <s v=""/>
    <x v="0"/>
    <x v="1"/>
    <x v="18"/>
  </r>
  <r>
    <x v="84"/>
    <s v="Omar Nina"/>
    <s v="TARDE"/>
    <s v="18:55"/>
    <s v="19:30"/>
    <d v="1899-12-30T00:35:00"/>
    <x v="29"/>
    <s v="Maquinaria"/>
    <s v="Sustitucion"/>
    <x v="1"/>
    <x v="1"/>
    <s v="Cambio de cuchilla y verificación de funcionamiento "/>
    <s v=""/>
    <x v="0"/>
    <x v="0"/>
    <s v=""/>
    <s v=""/>
    <s v=""/>
    <x v="0"/>
    <x v="0"/>
    <x v="18"/>
  </r>
  <r>
    <x v="85"/>
    <s v="Carlos Puma"/>
    <s v="NOCHE"/>
    <s v="21:30"/>
    <s v="22:00"/>
    <d v="1899-12-30T00:30:00"/>
    <x v="45"/>
    <s v="Equipos auxiliares"/>
    <s v="Inspección"/>
    <x v="0"/>
    <x v="3"/>
    <s v="Inspección de equipo"/>
    <s v=""/>
    <x v="0"/>
    <x v="0"/>
    <s v=""/>
    <s v=""/>
    <s v=""/>
    <x v="0"/>
    <x v="0"/>
    <x v="19"/>
  </r>
  <r>
    <x v="85"/>
    <s v="Carlos Puma"/>
    <s v="NOCHE"/>
    <s v="22:10"/>
    <s v="22:30"/>
    <d v="1899-12-30T00:20:00"/>
    <x v="15"/>
    <s v="Maquinaria"/>
    <s v="Inspección"/>
    <x v="0"/>
    <x v="3"/>
    <s v="Inspección de temperadora "/>
    <s v=""/>
    <x v="0"/>
    <x v="11"/>
    <s v="Temperadora"/>
    <s v=""/>
    <s v=""/>
    <x v="0"/>
    <x v="1"/>
    <x v="19"/>
  </r>
  <r>
    <x v="85"/>
    <s v="Carlos Puma"/>
    <s v="NOCHE"/>
    <s v="22:40"/>
    <s v="22:50"/>
    <d v="1899-12-30T00:10:00"/>
    <x v="5"/>
    <s v="Maquinaria"/>
    <s v="Sustitucion"/>
    <x v="0"/>
    <x v="3"/>
    <s v="Cambio de juego de pinzas"/>
    <s v=""/>
    <x v="111"/>
    <x v="0"/>
    <s v=""/>
    <s v=""/>
    <s v=""/>
    <x v="0"/>
    <x v="1"/>
    <x v="19"/>
  </r>
  <r>
    <x v="85"/>
    <s v="Carlos Puma"/>
    <s v="NOCHE"/>
    <s v="22:55"/>
    <s v="23:15"/>
    <d v="1899-12-30T00:20:00"/>
    <x v="41"/>
    <s v="Maquinaria"/>
    <s v="Ajuste /Calibracion"/>
    <x v="1"/>
    <x v="1"/>
    <s v="Atasco de pastillas en faja"/>
    <s v="Se alineó faja alimentadora"/>
    <x v="0"/>
    <x v="0"/>
    <s v=""/>
    <s v=""/>
    <s v=""/>
    <x v="54"/>
    <x v="0"/>
    <x v="19"/>
  </r>
  <r>
    <x v="85"/>
    <s v="Carlos Puma"/>
    <s v="NOCHE"/>
    <s v="23:20"/>
    <s v="23:30"/>
    <d v="1899-12-30T00:10:00"/>
    <x v="18"/>
    <s v="Maquinaria"/>
    <s v="SET UP"/>
    <x v="0"/>
    <x v="3"/>
    <s v="Armado de equipo "/>
    <s v=""/>
    <x v="0"/>
    <x v="0"/>
    <s v=""/>
    <s v=""/>
    <s v=""/>
    <x v="0"/>
    <x v="0"/>
    <x v="19"/>
  </r>
  <r>
    <x v="85"/>
    <s v="Carlos Puma"/>
    <s v="NOCHE"/>
    <s v="00:00"/>
    <s v="00:15"/>
    <d v="1899-12-30T00:15:00"/>
    <x v="22"/>
    <s v="Maquinaria"/>
    <s v="Ajuste /Calibracion"/>
    <x v="1"/>
    <x v="1"/>
    <s v="Sellado sale mal , rompe el laminado "/>
    <s v="Se aumento cinta se regulo temperatura "/>
    <x v="0"/>
    <x v="0"/>
    <s v=""/>
    <s v=""/>
    <s v=""/>
    <x v="192"/>
    <x v="0"/>
    <x v="19"/>
  </r>
  <r>
    <x v="85"/>
    <s v="Carlos Puma"/>
    <s v="NOCHE"/>
    <s v="00:30"/>
    <s v="01:00"/>
    <d v="1899-12-30T00:30:00"/>
    <x v="52"/>
    <s v="Area"/>
    <s v="SET UP"/>
    <x v="0"/>
    <x v="3"/>
    <s v="Preparación de juego de pinzas para sacmi"/>
    <s v=""/>
    <x v="111"/>
    <x v="0"/>
    <s v=""/>
    <s v=""/>
    <s v=""/>
    <x v="0"/>
    <x v="1"/>
    <x v="19"/>
  </r>
  <r>
    <x v="85"/>
    <s v="Carlos Puma"/>
    <s v="NOCHE"/>
    <s v="01:20"/>
    <s v="01:30"/>
    <d v="1899-12-30T00:10:00"/>
    <x v="18"/>
    <s v="Maquinaria"/>
    <s v="SET UP"/>
    <x v="0"/>
    <x v="3"/>
    <s v="Desarme de equipo "/>
    <s v=""/>
    <x v="0"/>
    <x v="0"/>
    <s v=""/>
    <s v=""/>
    <s v=""/>
    <x v="0"/>
    <x v="0"/>
    <x v="19"/>
  </r>
  <r>
    <x v="85"/>
    <s v="Carlos Puma"/>
    <s v="NOCHE"/>
    <s v="01:40"/>
    <s v="02:50"/>
    <d v="1899-12-30T01:10:00"/>
    <x v="16"/>
    <s v="Maquinaria"/>
    <s v="Seguimiento / Pruebas"/>
    <x v="0"/>
    <x v="3"/>
    <s v="Seguimiento de corriente de motor principal durante carga de producto "/>
    <s v=""/>
    <x v="112"/>
    <x v="0"/>
    <s v=""/>
    <s v=""/>
    <s v=""/>
    <x v="38"/>
    <x v="1"/>
    <x v="19"/>
  </r>
  <r>
    <x v="85"/>
    <s v="Carlos Puma"/>
    <s v="NOCHE"/>
    <s v="04:20"/>
    <s v="05:00"/>
    <d v="1899-12-30T00:40:00"/>
    <x v="84"/>
    <s v="Area"/>
    <s v="SET UP"/>
    <x v="0"/>
    <x v="3"/>
    <s v="Se apoyó en el Desarme y armado de Camara climatizada por limpieza "/>
    <s v=""/>
    <x v="0"/>
    <x v="25"/>
    <s v="Camara De Temperado"/>
    <s v="Climatizador"/>
    <s v=""/>
    <x v="0"/>
    <x v="1"/>
    <x v="19"/>
  </r>
  <r>
    <x v="85"/>
    <s v="CARLOS TAPIA"/>
    <s v="MAÑANA"/>
    <s v="06:30"/>
    <s v="07:00"/>
    <d v="1899-12-30T00:30:00"/>
    <x v="19"/>
    <s v="Maquinaria"/>
    <s v="SET UP"/>
    <x v="0"/>
    <x v="3"/>
    <s v="Desarmar máquina para su limpieza "/>
    <s v="Se retiró piezas para su limpieza "/>
    <x v="0"/>
    <x v="0"/>
    <s v=""/>
    <s v=""/>
    <s v=""/>
    <x v="0"/>
    <x v="0"/>
    <x v="19"/>
  </r>
  <r>
    <x v="85"/>
    <s v="CARLOS TAPIA"/>
    <s v="MAÑANA"/>
    <s v="07:30"/>
    <s v="08:00"/>
    <d v="1899-12-30T00:30:00"/>
    <x v="5"/>
    <s v="Maquinaria"/>
    <s v="SET UP"/>
    <x v="0"/>
    <x v="3"/>
    <s v="Desarmar máquina para su limpieza."/>
    <s v="Se apoyo a técnico de turno con el desarmado de máquina para su limpieza "/>
    <x v="0"/>
    <x v="0"/>
    <s v=""/>
    <s v=""/>
    <s v=""/>
    <x v="0"/>
    <x v="0"/>
    <x v="19"/>
  </r>
  <r>
    <x v="85"/>
    <s v="CARLOS TAPIA"/>
    <s v="MAÑANA"/>
    <s v="09:30"/>
    <s v="10:00"/>
    <d v="1899-12-30T00:30:00"/>
    <x v="50"/>
    <s v="Maquinaria"/>
    <s v="SET UP"/>
    <x v="0"/>
    <x v="3"/>
    <s v="Armado de máquina."/>
    <s v="Se colocó piezas en posición y se habilitó máquina "/>
    <x v="0"/>
    <x v="0"/>
    <s v=""/>
    <s v=""/>
    <s v=""/>
    <x v="0"/>
    <x v="0"/>
    <x v="19"/>
  </r>
  <r>
    <x v="85"/>
    <s v="CARLOS TAPIA"/>
    <s v="MAÑANA"/>
    <s v="10:00"/>
    <s v="10:15"/>
    <d v="1899-12-30T00:15:00"/>
    <x v="95"/>
    <s v="Maquinaria"/>
    <s v="SET UP"/>
    <x v="0"/>
    <x v="3"/>
    <s v="Retirar filtro de chocolate para su revisión y limpieza."/>
    <s v="Se retiró dicho filtro con ayuda del operador."/>
    <x v="75"/>
    <x v="0"/>
    <s v=""/>
    <s v=""/>
    <s v=""/>
    <x v="1"/>
    <x v="1"/>
    <x v="19"/>
  </r>
  <r>
    <x v="85"/>
    <s v="CARLOS TAPIA"/>
    <s v="MAÑANA"/>
    <s v="10:40"/>
    <s v="11:00"/>
    <d v="1899-12-30T00:20:00"/>
    <x v="15"/>
    <s v="Maquinaria"/>
    <s v="Seguimiento / Pruebas"/>
    <x v="0"/>
    <x v="3"/>
    <s v="Inspección con el encendido y arranque de máquina."/>
    <s v="Se dió seguimiento al arranque de máquina, se reguló flujo de aire en pistones y se colocó puertas (guardas)."/>
    <x v="0"/>
    <x v="0"/>
    <s v=""/>
    <s v=""/>
    <s v=""/>
    <x v="0"/>
    <x v="0"/>
    <x v="19"/>
  </r>
  <r>
    <x v="85"/>
    <s v="CARLOS TAPIA"/>
    <s v="MAÑANA"/>
    <s v="12:15"/>
    <s v="13:00"/>
    <d v="1899-12-30T00:45:00"/>
    <x v="19"/>
    <s v="Maquinaria"/>
    <s v="SET UP"/>
    <x v="0"/>
    <x v="3"/>
    <s v="Armado de máquina y encendido "/>
    <s v="Se colocó piezas en posición y se ajusto guardas. Se dejó habilitada "/>
    <x v="0"/>
    <x v="0"/>
    <s v=""/>
    <s v=""/>
    <s v=""/>
    <x v="0"/>
    <x v="0"/>
    <x v="19"/>
  </r>
  <r>
    <x v="85"/>
    <s v="CARLOS TAPIA"/>
    <s v="MAÑANA"/>
    <s v="13:20"/>
    <s v="14:00"/>
    <d v="1899-12-30T00:40:00"/>
    <x v="5"/>
    <s v="Maquinaria"/>
    <s v="Reparacion"/>
    <x v="1"/>
    <x v="1"/>
    <s v="Base de pistón que sostiene alineador de producto (sacmi) doblado."/>
    <s v="Se revisó y enderezó base, luego se pulió."/>
    <x v="0"/>
    <x v="0"/>
    <s v=""/>
    <s v=""/>
    <s v=""/>
    <x v="215"/>
    <x v="0"/>
    <x v="19"/>
  </r>
  <r>
    <x v="85"/>
    <s v="Omar Nina"/>
    <s v="MAÑANA"/>
    <s v="05:40"/>
    <s v="06:30"/>
    <d v="1899-12-30T00:50:00"/>
    <x v="21"/>
    <s v="Area"/>
    <s v="Encendido / Arranque de linea"/>
    <x v="0"/>
    <x v="3"/>
    <s v="Arranque de equipos de planta "/>
    <s v=""/>
    <x v="0"/>
    <x v="0"/>
    <s v=""/>
    <s v=""/>
    <s v=""/>
    <x v="0"/>
    <x v="0"/>
    <x v="19"/>
  </r>
  <r>
    <x v="85"/>
    <s v="Omar Nina"/>
    <s v="MAÑANA"/>
    <s v="07:00"/>
    <s v="07:30"/>
    <d v="1899-12-30T00:30:00"/>
    <x v="50"/>
    <s v="Maquinaria"/>
    <s v="SET UP"/>
    <x v="0"/>
    <x v="3"/>
    <s v="Retiró de polines y guardas para limpieza "/>
    <s v=""/>
    <x v="3"/>
    <x v="0"/>
    <s v=""/>
    <s v=""/>
    <s v=""/>
    <x v="14"/>
    <x v="1"/>
    <x v="19"/>
  </r>
  <r>
    <x v="85"/>
    <s v="Omar Nina"/>
    <s v="MAÑANA"/>
    <s v="08:15"/>
    <s v="09:00"/>
    <d v="1899-12-30T00:45:00"/>
    <x v="17"/>
    <s v="Maquinaria"/>
    <s v="SET UP"/>
    <x v="0"/>
    <x v="3"/>
    <s v="Armado de equipo "/>
    <s v=""/>
    <x v="0"/>
    <x v="0"/>
    <s v=""/>
    <s v=""/>
    <s v=""/>
    <x v="0"/>
    <x v="0"/>
    <x v="19"/>
  </r>
  <r>
    <x v="85"/>
    <s v="Omar Nina"/>
    <s v="MAÑANA"/>
    <s v="09:21"/>
    <s v="09:50"/>
    <d v="1899-12-30T00:29:00"/>
    <x v="67"/>
    <s v="Maquinaria"/>
    <s v="Reparacion"/>
    <x v="1"/>
    <x v="1"/>
    <s v="Se salieron 3 polines de cadena del horno "/>
    <s v="Se coloca en posición y se verifica funcionamiento "/>
    <x v="0"/>
    <x v="26"/>
    <s v="Horno"/>
    <s v=""/>
    <s v=""/>
    <x v="49"/>
    <x v="1"/>
    <x v="19"/>
  </r>
  <r>
    <x v="85"/>
    <s v="Omar Nina"/>
    <s v="MAÑANA"/>
    <s v="11:15"/>
    <s v="12:00"/>
    <d v="1899-12-30T00:45:00"/>
    <x v="28"/>
    <s v="Maquinaria"/>
    <s v="SET UP"/>
    <x v="0"/>
    <x v="3"/>
    <s v="Cambio de formato a mini milky "/>
    <s v="No sella completamente los costados, caja no tiene solidez"/>
    <x v="0"/>
    <x v="0"/>
    <s v=""/>
    <s v=""/>
    <s v=""/>
    <x v="2"/>
    <x v="0"/>
    <x v="19"/>
  </r>
  <r>
    <x v="85"/>
    <s v="Omar Nina"/>
    <s v="MAÑANA"/>
    <s v="12:10"/>
    <s v="12:40"/>
    <d v="1899-12-30T00:30:00"/>
    <x v="15"/>
    <s v="Maquinaria"/>
    <s v="Seguimiento / Pruebas"/>
    <x v="0"/>
    <x v="3"/>
    <s v="Verificación de funcionamiento de túnel de enfriamiento "/>
    <s v=""/>
    <x v="0"/>
    <x v="0"/>
    <s v=""/>
    <s v=""/>
    <s v=""/>
    <x v="96"/>
    <x v="0"/>
    <x v="19"/>
  </r>
  <r>
    <x v="85"/>
    <s v="Omar Nina"/>
    <s v="MAÑANA"/>
    <s v="13:06"/>
    <s v="13:30"/>
    <d v="1899-12-30T00:24:00"/>
    <x v="17"/>
    <s v="Maquinaria"/>
    <s v="Reparacion"/>
    <x v="0"/>
    <x v="3"/>
    <s v="Habilitación de luminarias. Se puentea diferencial"/>
    <s v=""/>
    <x v="0"/>
    <x v="0"/>
    <s v=""/>
    <s v=""/>
    <s v=""/>
    <x v="0"/>
    <x v="0"/>
    <x v="19"/>
  </r>
  <r>
    <x v="86"/>
    <s v="Carlos Puma"/>
    <s v="NOCHE"/>
    <s v="21:40"/>
    <s v="22:05"/>
    <d v="1899-12-30T00:25:00"/>
    <x v="41"/>
    <s v="Maquinaria"/>
    <s v="Ajuste /Calibracion"/>
    <x v="1"/>
    <x v="2"/>
    <s v="Reportan que no reconoce muestra patron"/>
    <s v="Se reviso parámetros, se indicó la manera correcta de pasar los patrones"/>
    <x v="0"/>
    <x v="0"/>
    <s v=""/>
    <s v=""/>
    <s v=""/>
    <x v="0"/>
    <x v="0"/>
    <x v="19"/>
  </r>
  <r>
    <x v="86"/>
    <s v="Carlos Puma"/>
    <s v="NOCHE"/>
    <s v="22:10"/>
    <s v="22:50"/>
    <d v="1899-12-30T00:40:00"/>
    <x v="28"/>
    <s v="Maquinaria"/>
    <s v="Ajuste /Calibracion"/>
    <x v="0"/>
    <x v="3"/>
    <s v="Calibracion para formato pisco x18"/>
    <s v=""/>
    <x v="0"/>
    <x v="0"/>
    <s v=""/>
    <s v=""/>
    <s v=""/>
    <x v="93"/>
    <x v="0"/>
    <x v="19"/>
  </r>
  <r>
    <x v="86"/>
    <s v="Carlos Puma"/>
    <s v="NOCHE"/>
    <s v="22:55"/>
    <s v="23:20"/>
    <d v="1899-12-30T00:25:00"/>
    <x v="49"/>
    <s v="Maquinaria"/>
    <s v="Ajuste /Calibracion"/>
    <x v="1"/>
    <x v="1"/>
    <s v="Malla no avanza "/>
    <s v="Se calentó chocolate solidificado , se tenso malla , queda habilitado"/>
    <x v="0"/>
    <x v="0"/>
    <s v=""/>
    <s v=""/>
    <s v=""/>
    <x v="37"/>
    <x v="0"/>
    <x v="19"/>
  </r>
  <r>
    <x v="86"/>
    <s v="Carlos Puma"/>
    <s v="NOCHE"/>
    <s v="23:40"/>
    <s v="23:59"/>
    <d v="1899-12-30T00:19:00"/>
    <x v="15"/>
    <s v="Maquinaria"/>
    <s v="Inspección"/>
    <x v="0"/>
    <x v="3"/>
    <s v="Inspección de temperadora "/>
    <s v=""/>
    <x v="0"/>
    <x v="11"/>
    <s v="Temperadora"/>
    <s v=""/>
    <s v=""/>
    <x v="0"/>
    <x v="1"/>
    <x v="19"/>
  </r>
  <r>
    <x v="86"/>
    <s v="Carlos Puma"/>
    <s v="NOCHE"/>
    <s v="00:30"/>
    <s v="01:35"/>
    <d v="1899-12-30T01:05:00"/>
    <x v="15"/>
    <s v="Maquinaria"/>
    <s v="SET UP"/>
    <x v="0"/>
    <x v="3"/>
    <s v="Cambio de formato de Mds, rodillo agregados amarrado , tapones de módulo de cremas amareados"/>
    <s v="Se desarmo  formato agregados y se armó formato de cremas"/>
    <x v="113"/>
    <x v="1"/>
    <s v="Mds"/>
    <s v=""/>
    <s v=""/>
    <x v="216"/>
    <x v="1"/>
    <x v="19"/>
  </r>
  <r>
    <x v="86"/>
    <s v="Carlos Puma"/>
    <s v="NOCHE"/>
    <s v="01:45"/>
    <s v="02:10"/>
    <d v="1899-12-30T00:25:00"/>
    <x v="32"/>
    <s v="Maquinaria"/>
    <s v="Reparacion"/>
    <x v="1"/>
    <x v="1"/>
    <s v="Fuga de chocolate, manguera rota entre criba y bomba"/>
    <s v="Se reparo temporalmete y se continúa con producción "/>
    <x v="0"/>
    <x v="0"/>
    <s v=""/>
    <s v=""/>
    <s v=""/>
    <x v="217"/>
    <x v="0"/>
    <x v="19"/>
  </r>
  <r>
    <x v="86"/>
    <s v="Carlos Puma"/>
    <s v="NOCHE"/>
    <s v="04:00"/>
    <s v="04:10"/>
    <d v="1899-12-30T00:10:00"/>
    <x v="59"/>
    <s v="Maquinaria"/>
    <s v="Inspección"/>
    <x v="0"/>
    <x v="3"/>
    <s v="Inspección de equipo "/>
    <s v=""/>
    <x v="0"/>
    <x v="0"/>
    <s v=""/>
    <s v=""/>
    <s v=""/>
    <x v="0"/>
    <x v="0"/>
    <x v="19"/>
  </r>
  <r>
    <x v="86"/>
    <s v="Carlos Puma"/>
    <s v="NOCHE"/>
    <s v="04:30"/>
    <s v="04:40"/>
    <d v="1899-12-30T00:10:00"/>
    <x v="88"/>
    <s v=""/>
    <s v="Ajuste /Calibracion"/>
    <x v="1"/>
    <x v="1"/>
    <s v="Cuchilla no corta "/>
    <s v="Calibración de cuchilla "/>
    <x v="0"/>
    <x v="0"/>
    <s v=""/>
    <s v=""/>
    <s v=""/>
    <x v="12"/>
    <x v="0"/>
    <x v="19"/>
  </r>
  <r>
    <x v="86"/>
    <s v="CARLOS TAPIA"/>
    <s v="MAÑANA"/>
    <s v="07:10"/>
    <s v="07:35"/>
    <d v="1899-12-30T00:25:00"/>
    <x v="84"/>
    <s v="Area"/>
    <s v="SET UP"/>
    <x v="0"/>
    <x v="3"/>
    <s v="Desarmado de iman"/>
    <s v="Se apoyo con el desarmado de iman"/>
    <x v="89"/>
    <x v="0"/>
    <s v=""/>
    <s v=""/>
    <s v=""/>
    <x v="0"/>
    <x v="1"/>
    <x v="19"/>
  </r>
  <r>
    <x v="86"/>
    <s v="CARLOS TAPIA"/>
    <s v="MAÑANA"/>
    <s v="07:45"/>
    <s v="08:15"/>
    <d v="1899-12-30T00:30:00"/>
    <x v="47"/>
    <s v="Maquinaria"/>
    <s v="Seguimiento / Pruebas"/>
    <x v="0"/>
    <x v="3"/>
    <s v="Inspección de máquina en funcionamiento "/>
    <s v="Se dió seguimiento al funcionamiento de máquina "/>
    <x v="0"/>
    <x v="0"/>
    <s v=""/>
    <s v=""/>
    <s v=""/>
    <x v="0"/>
    <x v="0"/>
    <x v="19"/>
  </r>
  <r>
    <x v="86"/>
    <s v="CARLOS TAPIA"/>
    <s v="MAÑANA"/>
    <s v="10:00"/>
    <s v="11:00"/>
    <d v="1899-12-30T01:00:00"/>
    <x v="49"/>
    <s v="Maquinaria"/>
    <s v="SET UP"/>
    <x v="0"/>
    <x v="3"/>
    <s v="Armado de máquina."/>
    <s v="Se culminó con el armado y habilitación de máquina "/>
    <x v="0"/>
    <x v="0"/>
    <s v=""/>
    <s v=""/>
    <s v=""/>
    <x v="0"/>
    <x v="0"/>
    <x v="19"/>
  </r>
  <r>
    <x v="86"/>
    <s v="CARLOS TAPIA"/>
    <s v="MAÑANA"/>
    <s v="11:00"/>
    <s v="12:00"/>
    <d v="1899-12-30T01:00:00"/>
    <x v="29"/>
    <s v="Maquinaria"/>
    <s v="SET UP"/>
    <x v="0"/>
    <x v="3"/>
    <s v="Cambio de formato de 100gr a tabletas por 50gr."/>
    <s v="Se realizó el cambio de formato en máquina. Y se reemplazo pernos dañados."/>
    <x v="8"/>
    <x v="0"/>
    <s v=""/>
    <s v=""/>
    <s v=""/>
    <x v="2"/>
    <x v="1"/>
    <x v="19"/>
  </r>
  <r>
    <x v="86"/>
    <s v="Omar Nina"/>
    <s v="MAÑANA"/>
    <s v="06:00"/>
    <s v="06:20"/>
    <d v="1899-12-30T00:20:00"/>
    <x v="107"/>
    <s v="Maquinaria"/>
    <s v="Limpieza"/>
    <x v="1"/>
    <x v="1"/>
    <s v="Faja de carga no avanza "/>
    <s v="Limpieza de polines"/>
    <x v="0"/>
    <x v="0"/>
    <s v=""/>
    <s v=""/>
    <s v=""/>
    <x v="218"/>
    <x v="0"/>
    <x v="19"/>
  </r>
  <r>
    <x v="86"/>
    <s v="Omar Nina"/>
    <s v="MAÑANA"/>
    <s v="06:25"/>
    <s v="06:38"/>
    <d v="1899-12-30T00:13:00"/>
    <x v="97"/>
    <s v="Maquinaria"/>
    <s v="Ajuste /Calibracion"/>
    <x v="1"/>
    <x v="2"/>
    <s v="No cae chocolate, columna protegida "/>
    <s v="Se restablece error de variador y se verifica temperado "/>
    <x v="0"/>
    <x v="2"/>
    <s v="Columna"/>
    <s v=""/>
    <s v=""/>
    <x v="219"/>
    <x v="1"/>
    <x v="19"/>
  </r>
  <r>
    <x v="86"/>
    <s v="Omar Nina"/>
    <s v="MAÑANA"/>
    <s v="06:45"/>
    <s v="07:00"/>
    <d v="1899-12-30T00:15:00"/>
    <x v="101"/>
    <s v="Maquinaria"/>
    <s v="SET UP"/>
    <x v="0"/>
    <x v="3"/>
    <s v="Colocación de empaque y cuchilla "/>
    <s v=""/>
    <x v="114"/>
    <x v="0"/>
    <s v=""/>
    <s v=""/>
    <s v=""/>
    <x v="0"/>
    <x v="1"/>
    <x v="19"/>
  </r>
  <r>
    <x v="86"/>
    <s v="Omar Nina"/>
    <s v="MAÑANA"/>
    <s v="08:00"/>
    <s v="08:30"/>
    <d v="1899-12-30T00:30:00"/>
    <x v="5"/>
    <s v="Maquinaria"/>
    <s v="Inspección"/>
    <x v="0"/>
    <x v="3"/>
    <s v="Inspección de equipo, verificación de parámetros de trabajo "/>
    <s v=""/>
    <x v="0"/>
    <x v="0"/>
    <s v=""/>
    <s v=""/>
    <s v=""/>
    <x v="0"/>
    <x v="0"/>
    <x v="19"/>
  </r>
  <r>
    <x v="86"/>
    <s v="Omar Nina"/>
    <s v="MAÑANA"/>
    <s v="08:40"/>
    <s v="09:00"/>
    <d v="1899-12-30T00:20:00"/>
    <x v="15"/>
    <s v="Maquinaria"/>
    <s v="Seguimiento / Pruebas"/>
    <x v="0"/>
    <x v="3"/>
    <s v="Verificación de túnel de enfriamiento "/>
    <s v=""/>
    <x v="0"/>
    <x v="0"/>
    <s v=""/>
    <s v=""/>
    <s v=""/>
    <x v="96"/>
    <x v="0"/>
    <x v="19"/>
  </r>
  <r>
    <x v="86"/>
    <s v="Omar Nina"/>
    <s v="MAÑANA"/>
    <s v="09:00"/>
    <s v="09:10"/>
    <d v="1899-12-30T00:10:00"/>
    <x v="47"/>
    <s v="Maquinaria"/>
    <s v="Ajuste /Calibracion"/>
    <x v="1"/>
    <x v="2"/>
    <s v="Error fuera de tiempo a530"/>
    <s v="Se revise punto cero de cadena y torres . "/>
    <x v="0"/>
    <x v="0"/>
    <s v=""/>
    <s v=""/>
    <s v=""/>
    <x v="220"/>
    <x v="0"/>
    <x v="19"/>
  </r>
  <r>
    <x v="86"/>
    <s v="Omar Nina"/>
    <s v="MAÑANA"/>
    <s v="09:20"/>
    <s v="09:51"/>
    <d v="1899-12-30T00:31:00"/>
    <x v="49"/>
    <s v="Maquinaria"/>
    <s v="SET UP"/>
    <x v="0"/>
    <x v="3"/>
    <s v="Armado de bomba y llenado de chaqueta de tina"/>
    <s v=""/>
    <x v="115"/>
    <x v="0"/>
    <s v=""/>
    <s v=""/>
    <s v=""/>
    <x v="0"/>
    <x v="1"/>
    <x v="19"/>
  </r>
  <r>
    <x v="86"/>
    <s v="Omar Nina"/>
    <s v="MAÑANA"/>
    <s v="12:00"/>
    <s v="12:30"/>
    <d v="1899-12-30T00:30:00"/>
    <x v="97"/>
    <s v="Maquinaria"/>
    <s v="Reparacion"/>
    <x v="1"/>
    <x v="1"/>
    <s v="No cae chocolate, columna bloqueada "/>
    <s v="Se calienta columna con pistola de calor y se verifica funcionamiento "/>
    <x v="0"/>
    <x v="2"/>
    <s v="Columna"/>
    <s v=""/>
    <s v=""/>
    <x v="59"/>
    <x v="1"/>
    <x v="19"/>
  </r>
  <r>
    <x v="86"/>
    <s v="Omar Nina"/>
    <s v="MAÑANA"/>
    <s v="12:50"/>
    <s v="13:50"/>
    <d v="1899-12-30T01:00:00"/>
    <x v="49"/>
    <s v="Maquinaria"/>
    <s v="SET UP"/>
    <x v="0"/>
    <x v="3"/>
    <s v="Apoyo en habilitación de equipo "/>
    <s v=""/>
    <x v="0"/>
    <x v="0"/>
    <s v=""/>
    <s v=""/>
    <s v=""/>
    <x v="0"/>
    <x v="0"/>
    <x v="19"/>
  </r>
  <r>
    <x v="87"/>
    <s v="Carlos Puma"/>
    <s v="NOCHE"/>
    <s v="21:40"/>
    <s v="22:00"/>
    <d v="1899-12-30T00:20:00"/>
    <x v="15"/>
    <s v="Maquinaria"/>
    <s v="Ajuste /Calibracion"/>
    <x v="1"/>
    <x v="2"/>
    <s v="Falla en extensión de hacos 1"/>
    <s v="Se regulo sensor de actuador neumático y se hizo pruebas"/>
    <x v="0"/>
    <x v="4"/>
    <s v="Extension"/>
    <s v=""/>
    <s v=""/>
    <x v="0"/>
    <x v="1"/>
    <x v="19"/>
  </r>
  <r>
    <x v="87"/>
    <s v="Carlos Puma"/>
    <s v="NOCHE"/>
    <s v="22:03"/>
    <s v="22:10"/>
    <d v="1899-12-30T00:07:00"/>
    <x v="49"/>
    <s v="Maquinaria"/>
    <s v="Ajuste /Calibracion"/>
    <x v="1"/>
    <x v="2"/>
    <s v="No cae chocolate "/>
    <s v="Se corrigió el sentido de giro de la bomba y se indicó a operadores el modo de funcionamiento "/>
    <x v="0"/>
    <x v="0"/>
    <s v=""/>
    <s v=""/>
    <s v=""/>
    <x v="52"/>
    <x v="0"/>
    <x v="19"/>
  </r>
  <r>
    <x v="87"/>
    <s v="Carlos Puma"/>
    <s v="NOCHE"/>
    <s v="22:30"/>
    <s v="23:55"/>
    <d v="1899-12-30T01:25:00"/>
    <x v="28"/>
    <s v="Maquinaria"/>
    <s v="SET UP"/>
    <x v="0"/>
    <x v="3"/>
    <s v="Cambio de formato de pisco x 9 a milky x10"/>
    <s v=""/>
    <x v="0"/>
    <x v="0"/>
    <s v=""/>
    <s v=""/>
    <s v=""/>
    <x v="2"/>
    <x v="0"/>
    <x v="19"/>
  </r>
  <r>
    <x v="87"/>
    <s v="CARLOS TAPIA"/>
    <s v="MAÑANA"/>
    <s v="05:30"/>
    <s v="06:00"/>
    <d v="1899-12-30T00:30:00"/>
    <x v="15"/>
    <s v="Maquinaria"/>
    <s v="Inspección"/>
    <x v="0"/>
    <x v="3"/>
    <s v="Inspección de máquina "/>
    <s v="De revisó máquina en funcionamiento "/>
    <x v="0"/>
    <x v="0"/>
    <s v=""/>
    <s v=""/>
    <s v=""/>
    <x v="0"/>
    <x v="0"/>
    <x v="19"/>
  </r>
  <r>
    <x v="87"/>
    <s v="CARLOS TAPIA"/>
    <s v="MAÑANA"/>
    <s v="06:30"/>
    <s v="07:00"/>
    <d v="1899-12-30T00:30:00"/>
    <x v="107"/>
    <s v="Maquinaria"/>
    <s v="Limpieza"/>
    <x v="0"/>
    <x v="3"/>
    <s v="Limpieza de polines en banda de carga"/>
    <s v="Se limpio polines"/>
    <x v="54"/>
    <x v="0"/>
    <s v=""/>
    <s v=""/>
    <s v=""/>
    <x v="38"/>
    <x v="1"/>
    <x v="19"/>
  </r>
  <r>
    <x v="87"/>
    <s v="CARLOS TAPIA"/>
    <s v="MAÑANA"/>
    <s v="07:30"/>
    <s v="08:30"/>
    <d v="1899-12-30T01:00:00"/>
    <x v="15"/>
    <s v="Maquinaria"/>
    <s v="Inspección"/>
    <x v="0"/>
    <x v="3"/>
    <s v="Verificar extensión de Hacos 1."/>
    <s v="Se revisó revisó extensión de Hacos 1 y se armó sanfill 2. Se dejó habilitada para su posterior uso"/>
    <x v="0"/>
    <x v="4"/>
    <s v="Extension"/>
    <s v=""/>
    <s v=""/>
    <x v="0"/>
    <x v="1"/>
    <x v="19"/>
  </r>
  <r>
    <x v="87"/>
    <s v="CARLOS TAPIA"/>
    <s v="MAÑANA"/>
    <s v="09:00"/>
    <s v="10:30"/>
    <d v="1899-12-30T01:30:00"/>
    <x v="28"/>
    <s v="Maquinaria"/>
    <s v="SET UP"/>
    <x v="0"/>
    <x v="3"/>
    <s v="Cambio de formato "/>
    <s v="Se cambió formato en máquina y se calibró maquina"/>
    <x v="0"/>
    <x v="0"/>
    <s v=""/>
    <s v=""/>
    <s v=""/>
    <x v="2"/>
    <x v="0"/>
    <x v="19"/>
  </r>
  <r>
    <x v="87"/>
    <s v="CARLOS TAPIA"/>
    <s v="MAÑANA"/>
    <s v="11:00"/>
    <s v="11:15"/>
    <d v="1899-12-30T00:15:00"/>
    <x v="65"/>
    <s v="Maquinaria"/>
    <s v="Limpieza"/>
    <x v="1"/>
    <x v="2"/>
    <s v="Limpieza de sensor."/>
    <s v="Se retiró tapa y se limpio sensor. Se restableció operación "/>
    <x v="0"/>
    <x v="0"/>
    <s v=""/>
    <s v=""/>
    <s v=""/>
    <x v="0"/>
    <x v="0"/>
    <x v="19"/>
  </r>
  <r>
    <x v="87"/>
    <s v="CARLOS TAPIA"/>
    <s v="MAÑANA"/>
    <s v="12:00"/>
    <s v="12:45"/>
    <d v="1899-12-30T00:45:00"/>
    <x v="108"/>
    <s v="Area"/>
    <m/>
    <x v="2"/>
    <x v="3"/>
    <s v="Receso"/>
    <s v="Receso"/>
    <x v="0"/>
    <x v="0"/>
    <s v=""/>
    <s v=""/>
    <s v=""/>
    <x v="0"/>
    <x v="0"/>
    <x v="19"/>
  </r>
  <r>
    <x v="87"/>
    <s v="CARLOS TAPIA"/>
    <s v="MAÑANA"/>
    <s v="13:00"/>
    <s v="13:20"/>
    <d v="1899-12-30T00:20:00"/>
    <x v="52"/>
    <s v="Area"/>
    <s v="Trabajos menores"/>
    <x v="0"/>
    <x v="3"/>
    <s v="Rotular utensilios rodillos de producción "/>
    <s v="Se rótulo rodillos de chocolatier y los utensilios de producción "/>
    <x v="116"/>
    <x v="0"/>
    <s v=""/>
    <s v=""/>
    <s v=""/>
    <x v="24"/>
    <x v="1"/>
    <x v="19"/>
  </r>
  <r>
    <x v="87"/>
    <s v="CARLOS TAPIA"/>
    <s v="MAÑANA"/>
    <s v="13:40"/>
    <s v="13:55"/>
    <d v="1899-12-30T00:15:00"/>
    <x v="94"/>
    <s v="Sistema"/>
    <s v="Reparacion"/>
    <x v="1"/>
    <x v="1"/>
    <s v="No hay presión de agua en planta."/>
    <s v="Se revisó bomba y se cebó para generar presión en tuberias"/>
    <x v="0"/>
    <x v="0"/>
    <s v=""/>
    <s v=""/>
    <s v=""/>
    <x v="108"/>
    <x v="0"/>
    <x v="19"/>
  </r>
  <r>
    <x v="87"/>
    <s v="Omar Nina"/>
    <s v="MAÑANA"/>
    <s v="06:00"/>
    <s v="06:20"/>
    <d v="1899-12-30T00:20:00"/>
    <x v="107"/>
    <s v="Maquinaria"/>
    <s v="Limpieza"/>
    <x v="1"/>
    <x v="1"/>
    <s v="Faja de carga no avanza "/>
    <s v="Limpieza de polines "/>
    <x v="0"/>
    <x v="0"/>
    <s v=""/>
    <s v=""/>
    <s v=""/>
    <x v="218"/>
    <x v="0"/>
    <x v="19"/>
  </r>
  <r>
    <x v="88"/>
    <s v="Carlos Puma"/>
    <s v="NOCHE"/>
    <s v="00:30"/>
    <s v="00:55"/>
    <d v="1899-12-30T00:25:00"/>
    <x v="15"/>
    <s v="Maquinaria"/>
    <s v="Ajuste /Calibracion"/>
    <x v="1"/>
    <x v="2"/>
    <s v="Falla A23 fuera de tiempo en extensión "/>
    <s v="Se regulo sensores de final de carrera de actuador neumático "/>
    <x v="0"/>
    <x v="4"/>
    <s v="Extension"/>
    <s v=""/>
    <s v=""/>
    <x v="101"/>
    <x v="1"/>
    <x v="19"/>
  </r>
  <r>
    <x v="88"/>
    <s v="Carlos Puma"/>
    <s v="NOCHE"/>
    <s v="01:00"/>
    <s v="02:30"/>
    <d v="1899-12-30T01:30:00"/>
    <x v="49"/>
    <s v="Maquinaria"/>
    <s v="Reparacion"/>
    <x v="1"/>
    <x v="1"/>
    <s v="Fuga de chocolate de tubería de bañadora"/>
    <s v="Se reviso circuito de tuberías , se ajusto uniones y se apoyó en limpieza de máquina "/>
    <x v="0"/>
    <x v="0"/>
    <s v=""/>
    <s v=""/>
    <s v=""/>
    <x v="69"/>
    <x v="0"/>
    <x v="19"/>
  </r>
  <r>
    <x v="88"/>
    <s v="Carlos Puma"/>
    <s v="NOCHE"/>
    <s v="02:40"/>
    <s v="03:10"/>
    <d v="1899-12-30T00:30:00"/>
    <x v="15"/>
    <s v="Maquinaria"/>
    <s v="SET UP"/>
    <x v="0"/>
    <x v="3"/>
    <s v="Se retiró plancha y rodillo de Mds para limpieza y se volvió a armar"/>
    <s v=""/>
    <x v="117"/>
    <x v="1"/>
    <s v="Mds"/>
    <s v=""/>
    <s v=""/>
    <x v="14"/>
    <x v="1"/>
    <x v="19"/>
  </r>
  <r>
    <x v="88"/>
    <s v="Carlos Puma"/>
    <s v="NOCHE"/>
    <s v="03:20"/>
    <s v="03:40"/>
    <d v="1899-12-30T00:20:00"/>
    <x v="28"/>
    <s v="Maquinaria"/>
    <s v="Reparacion"/>
    <x v="1"/>
    <x v="1"/>
    <s v="Sellado sale mal , actuador no regresa a su posicion"/>
    <s v="Se libero pieza obstruida y se hizo pruebas "/>
    <x v="0"/>
    <x v="0"/>
    <s v=""/>
    <s v=""/>
    <s v=""/>
    <x v="62"/>
    <x v="0"/>
    <x v="19"/>
  </r>
  <r>
    <x v="88"/>
    <s v="Carlos Puma"/>
    <s v="NOCHE"/>
    <s v="03:50"/>
    <s v="04:00"/>
    <d v="1899-12-30T00:10:00"/>
    <x v="15"/>
    <s v="Maquinaria"/>
    <s v="SET UP"/>
    <x v="1"/>
    <x v="2"/>
    <s v="Error en variador de frecuencia de vibrador t5 "/>
    <s v="Se borró falla y si indicó no usar el vibrador "/>
    <x v="0"/>
    <x v="17"/>
    <s v="Vibradora"/>
    <s v=""/>
    <s v=""/>
    <x v="221"/>
    <x v="1"/>
    <x v="19"/>
  </r>
  <r>
    <x v="88"/>
    <s v="Carlos Puma"/>
    <s v="NOCHE"/>
    <s v="21:50"/>
    <s v="22:15"/>
    <d v="1899-12-30T00:25:00"/>
    <x v="22"/>
    <s v="Maquinaria"/>
    <s v="Reparacion"/>
    <x v="1"/>
    <x v="2"/>
    <s v="Temperatura de cuchilla varia"/>
    <s v="Se verifico estado del sensor cable y conexión, se ajusto bornerss"/>
    <x v="0"/>
    <x v="0"/>
    <s v=""/>
    <s v=""/>
    <s v=""/>
    <x v="0"/>
    <x v="0"/>
    <x v="19"/>
  </r>
  <r>
    <x v="88"/>
    <s v="Carlos Puma"/>
    <s v="NOCHE"/>
    <s v="23:25"/>
    <s v="23:40"/>
    <d v="1899-12-30T00:15:00"/>
    <x v="5"/>
    <s v="Maquinaria"/>
    <s v="Inspección"/>
    <x v="0"/>
    <x v="3"/>
    <s v="Inspección de equipo "/>
    <s v=""/>
    <x v="0"/>
    <x v="0"/>
    <s v=""/>
    <s v=""/>
    <s v=""/>
    <x v="0"/>
    <x v="0"/>
    <x v="19"/>
  </r>
  <r>
    <x v="88"/>
    <s v="Carlos Puma"/>
    <s v="NOCHE"/>
    <s v="22:55"/>
    <s v="23:20"/>
    <d v="1899-12-30T00:25:00"/>
    <x v="15"/>
    <s v="Maquinaria"/>
    <s v="Inspección"/>
    <x v="0"/>
    <x v="3"/>
    <s v="Inspección de temperadora "/>
    <s v=""/>
    <x v="0"/>
    <x v="11"/>
    <s v="Temperadora"/>
    <s v=""/>
    <s v=""/>
    <x v="0"/>
    <x v="1"/>
    <x v="19"/>
  </r>
  <r>
    <x v="88"/>
    <s v="Carlos Puma"/>
    <s v="NOCHE"/>
    <s v="23:35"/>
    <s v="23:59"/>
    <d v="1899-12-30T00:24:00"/>
    <x v="13"/>
    <s v="Maquinaria"/>
    <s v="Ajuste /Calibracion"/>
    <x v="1"/>
    <x v="1"/>
    <s v="Laminado sale volteaod"/>
    <s v="Se regulo lanzador y canal de entrada de producto "/>
    <x v="0"/>
    <x v="0"/>
    <s v=""/>
    <s v=""/>
    <s v=""/>
    <x v="50"/>
    <x v="0"/>
    <x v="19"/>
  </r>
  <r>
    <x v="88"/>
    <s v="Carlos Puma"/>
    <s v="NOCHE"/>
    <s v="00:10"/>
    <s v="01:00"/>
    <d v="1899-12-30T00:50:00"/>
    <x v="65"/>
    <s v="Maquinaria"/>
    <s v="Limpieza"/>
    <x v="1"/>
    <x v="1"/>
    <s v="Tornillo sin fin amarrado"/>
    <s v="Se retiró nibs de tolva de hizo pruebas invirtiendo el giro , se desacoplo tubería acoplada a sin fin y se realizó la limpieza "/>
    <x v="0"/>
    <x v="0"/>
    <s v=""/>
    <s v=""/>
    <s v=""/>
    <x v="194"/>
    <x v="0"/>
    <x v="19"/>
  </r>
  <r>
    <x v="88"/>
    <s v="Carlos Puma"/>
    <s v="NOCHE"/>
    <s v="01:05"/>
    <s v="01:20"/>
    <d v="1899-12-30T00:15:00"/>
    <x v="5"/>
    <s v="Maquinaria"/>
    <s v="Ajuste /Calibracion"/>
    <x v="0"/>
    <x v="3"/>
    <s v="Apoyo en regulación de bandas transportadoras"/>
    <s v=""/>
    <x v="9"/>
    <x v="0"/>
    <s v=""/>
    <s v=""/>
    <s v=""/>
    <x v="0"/>
    <x v="1"/>
    <x v="19"/>
  </r>
  <r>
    <x v="88"/>
    <s v="Carlos Puma"/>
    <s v="NOCHE"/>
    <s v="01:40"/>
    <s v="01:55"/>
    <d v="1899-12-30T00:15:00"/>
    <x v="15"/>
    <s v="Maquinaria"/>
    <s v="SET UP"/>
    <x v="0"/>
    <x v="3"/>
    <s v="Se retiró husillo de Mds por limpieza, se volvió a colocar"/>
    <s v=""/>
    <x v="17"/>
    <x v="1"/>
    <s v="Mds"/>
    <s v=""/>
    <s v=""/>
    <x v="14"/>
    <x v="1"/>
    <x v="19"/>
  </r>
  <r>
    <x v="88"/>
    <s v="Carlos Puma"/>
    <s v="NOCHE"/>
    <d v="1899-12-30T02:10:00"/>
    <d v="1899-12-30T02:58:00"/>
    <d v="1899-12-30T00:48:00"/>
    <x v="65"/>
    <s v="Maquinaria"/>
    <s v="SET UP"/>
    <x v="0"/>
    <x v="3"/>
    <s v="Con apoyó de producción se coloco tubería acoplada a tornillo sin fin y se habilito equipo "/>
    <s v=""/>
    <x v="48"/>
    <x v="0"/>
    <s v=""/>
    <s v=""/>
    <s v=""/>
    <x v="0"/>
    <x v="1"/>
    <x v="19"/>
  </r>
  <r>
    <x v="88"/>
    <s v="Carlos Puma"/>
    <s v="NOCHE"/>
    <s v="02:30"/>
    <s v="02:45"/>
    <d v="1899-12-30T00:15:00"/>
    <x v="43"/>
    <s v="Sistema"/>
    <s v="Ajuste /Calibracion"/>
    <x v="1"/>
    <x v="1"/>
    <s v="Bomba desebada "/>
    <s v="Cebado de bomba de agua potable "/>
    <x v="0"/>
    <x v="0"/>
    <s v=""/>
    <s v=""/>
    <s v=""/>
    <x v="0"/>
    <x v="0"/>
    <x v="19"/>
  </r>
  <r>
    <x v="88"/>
    <s v="Carlos Puma"/>
    <s v="NOCHE"/>
    <s v="02:50"/>
    <s v="03:20"/>
    <d v="1899-12-30T00:30:00"/>
    <x v="15"/>
    <s v="Maquinaria"/>
    <s v="Ajuste /Calibracion"/>
    <x v="1"/>
    <x v="1"/>
    <s v="Temperatura de agua fría no baja"/>
    <s v="Se reviso nivel en tanque de agua fría , se reviso presión de gas refrigerante en compresor , se aumento gas refrigerante a 20 psi , se dió seguimiento "/>
    <x v="0"/>
    <x v="0"/>
    <s v=""/>
    <s v=""/>
    <s v=""/>
    <x v="0"/>
    <x v="0"/>
    <x v="19"/>
  </r>
  <r>
    <x v="88"/>
    <s v="CARLOS TAPIA"/>
    <s v="MAÑANA"/>
    <s v="06:00"/>
    <s v="06:20"/>
    <d v="1899-12-30T00:20:00"/>
    <x v="15"/>
    <s v="Maquinaria"/>
    <s v="SET UP"/>
    <x v="0"/>
    <x v="3"/>
    <s v="Desarmar MDS para su limpieza "/>
    <s v="Se retiró piezas para su limpieza "/>
    <x v="0"/>
    <x v="1"/>
    <s v="Mds"/>
    <s v=""/>
    <s v=""/>
    <x v="0"/>
    <x v="1"/>
    <x v="19"/>
  </r>
  <r>
    <x v="88"/>
    <s v="CARLOS TAPIA"/>
    <s v="MAÑANA"/>
    <s v="08:00"/>
    <s v="09:00"/>
    <d v="1899-12-30T01:00:00"/>
    <x v="3"/>
    <s v="Maquinaria"/>
    <s v="SET UP"/>
    <x v="0"/>
    <x v="3"/>
    <s v="Apoyo con el cambio de formato, para bitesize."/>
    <s v="Se apoyo a técnico de turno con el cambio de formato."/>
    <x v="0"/>
    <x v="0"/>
    <s v=""/>
    <s v=""/>
    <s v=""/>
    <x v="2"/>
    <x v="0"/>
    <x v="19"/>
  </r>
  <r>
    <x v="88"/>
    <s v="CARLOS TAPIA"/>
    <s v="MAÑANA"/>
    <s v="09:20"/>
    <s v="09:35"/>
    <d v="1899-12-30T00:15:00"/>
    <x v="18"/>
    <s v="Maquinaria"/>
    <s v="SET UP"/>
    <x v="0"/>
    <x v="3"/>
    <s v="Armado y habilitación de equipo "/>
    <s v="Se colocó piezas en posición y se encendió equipo."/>
    <x v="0"/>
    <x v="0"/>
    <s v=""/>
    <s v=""/>
    <s v=""/>
    <x v="0"/>
    <x v="0"/>
    <x v="19"/>
  </r>
  <r>
    <x v="88"/>
    <s v="CARLOS TAPIA"/>
    <s v="MAÑANA"/>
    <s v="10:00"/>
    <s v="10:15"/>
    <d v="1899-12-30T00:15:00"/>
    <x v="15"/>
    <s v="Maquinaria"/>
    <s v="Seguimiento / Pruebas"/>
    <x v="0"/>
    <x v="3"/>
    <s v="Inspección de máquina en funcionamiento con carga."/>
    <s v="Se dió seguimiento al funcionamiento de máquina y se reguló sensor de posición de pistón A23"/>
    <x v="0"/>
    <x v="0"/>
    <s v=""/>
    <s v=""/>
    <s v=""/>
    <x v="38"/>
    <x v="0"/>
    <x v="19"/>
  </r>
  <r>
    <x v="88"/>
    <s v="CARLOS TAPIA"/>
    <s v="MAÑANA"/>
    <s v="10:45"/>
    <s v="11:00"/>
    <d v="1899-12-30T00:15:00"/>
    <x v="41"/>
    <s v="Maquinaria"/>
    <s v="Ajuste /Calibracion"/>
    <x v="0"/>
    <x v="3"/>
    <s v="Apoyo en máquina, para cargar receta y ajustar parámetros "/>
    <s v="Se cargo receta y se ajusto calibración "/>
    <x v="0"/>
    <x v="0"/>
    <s v=""/>
    <s v=""/>
    <s v=""/>
    <x v="222"/>
    <x v="0"/>
    <x v="19"/>
  </r>
  <r>
    <x v="88"/>
    <s v="CARLOS TAPIA"/>
    <s v="MAÑANA"/>
    <s v="13:00"/>
    <s v="13:45"/>
    <d v="1899-12-30T00:45:00"/>
    <x v="21"/>
    <s v="Area"/>
    <s v="Inspección"/>
    <x v="0"/>
    <x v="3"/>
    <s v="Verificación de luminarias en toda la planta. Registrar cantidad, tipo, y ubicación de luminarias de planta."/>
    <s v="Se realizó el registro y conteo de luminarias por zonas y pisos de toda la planta."/>
    <x v="0"/>
    <x v="0"/>
    <s v=""/>
    <s v=""/>
    <s v=""/>
    <x v="0"/>
    <x v="0"/>
    <x v="19"/>
  </r>
  <r>
    <x v="88"/>
    <s v="Omar Nina"/>
    <s v="MAÑANA"/>
    <s v="05:39"/>
    <s v="06:00"/>
    <d v="1899-12-30T00:21:00"/>
    <x v="43"/>
    <s v="Sistema"/>
    <s v="Reparacion"/>
    <x v="1"/>
    <x v="1"/>
    <s v="No hay presión de agua en planta "/>
    <s v="Se ceba bomba y se verifica funcionamiento "/>
    <x v="0"/>
    <x v="0"/>
    <s v=""/>
    <s v=""/>
    <s v=""/>
    <x v="108"/>
    <x v="0"/>
    <x v="19"/>
  </r>
  <r>
    <x v="88"/>
    <s v="Omar Nina"/>
    <s v="MAÑANA"/>
    <s v="06:40"/>
    <s v="07:00"/>
    <d v="1899-12-30T00:20:00"/>
    <x v="107"/>
    <s v="Maquinaria"/>
    <s v="Capacitacion"/>
    <x v="0"/>
    <x v="3"/>
    <s v="Operador reporta problemas con los cangilones, no se detienen por más de 15 minutos "/>
    <s v="Se explicó funcionamiento de equipo y se enseñó a operador a confirmar error ."/>
    <x v="118"/>
    <x v="0"/>
    <s v=""/>
    <s v=""/>
    <s v=""/>
    <x v="124"/>
    <x v="1"/>
    <x v="19"/>
  </r>
  <r>
    <x v="88"/>
    <s v="Omar Nina"/>
    <s v="MAÑANA"/>
    <s v="07:00"/>
    <s v="07:20"/>
    <d v="1899-12-30T00:20:00"/>
    <x v="15"/>
    <s v="Maquinaria"/>
    <s v="SET UP"/>
    <x v="0"/>
    <x v="3"/>
    <s v="Armado de MDS formato crema ovalada "/>
    <s v=""/>
    <x v="0"/>
    <x v="1"/>
    <s v="Mds"/>
    <s v=""/>
    <s v=""/>
    <x v="2"/>
    <x v="1"/>
    <x v="19"/>
  </r>
  <r>
    <x v="88"/>
    <s v="Omar Nina"/>
    <s v="MAÑANA"/>
    <s v="07:30"/>
    <s v="07:45"/>
    <d v="1899-12-30T00:15:00"/>
    <x v="28"/>
    <s v="Maquinaria"/>
    <s v="Ajuste /Calibracion"/>
    <x v="0"/>
    <x v="3"/>
    <s v="Apoyo en calibración "/>
    <s v=""/>
    <x v="0"/>
    <x v="0"/>
    <s v=""/>
    <s v=""/>
    <s v=""/>
    <x v="28"/>
    <x v="0"/>
    <x v="19"/>
  </r>
  <r>
    <x v="88"/>
    <s v="Omar Nina"/>
    <s v="MAÑANA"/>
    <s v="08:40"/>
    <s v="09:05"/>
    <d v="1899-12-30T00:25:00"/>
    <x v="26"/>
    <s v="Maquinaria"/>
    <s v="Ajuste /Calibracion"/>
    <x v="1"/>
    <x v="1"/>
    <s v="Contraelevador desviado, goma de pinza despegandose"/>
    <s v="Calibración de posición de contraelevador y pegado de goma"/>
    <x v="0"/>
    <x v="15"/>
    <s v="Contraelevador"/>
    <s v=""/>
    <s v=""/>
    <x v="0"/>
    <x v="1"/>
    <x v="19"/>
  </r>
  <r>
    <x v="88"/>
    <s v="Omar Nina"/>
    <s v="MAÑANA"/>
    <s v="09:20"/>
    <s v="09:40"/>
    <d v="1899-12-30T00:20:00"/>
    <x v="47"/>
    <s v="Maquinaria"/>
    <s v="Seguimiento / Pruebas"/>
    <x v="0"/>
    <x v="3"/>
    <s v="Verificación de funcionamiento de equipo "/>
    <s v=""/>
    <x v="0"/>
    <x v="0"/>
    <s v=""/>
    <s v=""/>
    <s v=""/>
    <x v="0"/>
    <x v="0"/>
    <x v="19"/>
  </r>
  <r>
    <x v="88"/>
    <s v="Omar Nina"/>
    <s v="MAÑANA"/>
    <s v="11:20"/>
    <s v="11:51"/>
    <d v="1899-12-30T00:31:00"/>
    <x v="3"/>
    <s v="Maquinaria"/>
    <s v="Inspección"/>
    <x v="0"/>
    <x v="3"/>
    <s v="Inspección de equipo "/>
    <s v=""/>
    <x v="0"/>
    <x v="0"/>
    <s v=""/>
    <s v=""/>
    <s v=""/>
    <x v="0"/>
    <x v="0"/>
    <x v="19"/>
  </r>
  <r>
    <x v="88"/>
    <s v="Omar Nina"/>
    <s v="MAÑANA"/>
    <s v="12:10"/>
    <s v="12:38"/>
    <d v="1899-12-30T00:28:00"/>
    <x v="28"/>
    <s v="Maquinaria"/>
    <s v="Ajuste /Calibracion"/>
    <x v="1"/>
    <x v="1"/>
    <s v="Cajas de pegan"/>
    <s v="Calibración de plegadores "/>
    <x v="0"/>
    <x v="0"/>
    <s v=""/>
    <s v=""/>
    <s v=""/>
    <x v="0"/>
    <x v="0"/>
    <x v="19"/>
  </r>
  <r>
    <x v="88"/>
    <s v="Omar Nina"/>
    <s v="MAÑANA"/>
    <s v="12:40"/>
    <s v="13:26"/>
    <d v="1899-12-30T00:46:00"/>
    <x v="28"/>
    <s v="Maquinaria"/>
    <s v="Inspección"/>
    <x v="0"/>
    <x v="3"/>
    <s v="Inspección funcionamiento de equipo "/>
    <s v=""/>
    <x v="0"/>
    <x v="0"/>
    <s v=""/>
    <s v=""/>
    <s v=""/>
    <x v="0"/>
    <x v="0"/>
    <x v="19"/>
  </r>
  <r>
    <x v="88"/>
    <s v="Omar Nina"/>
    <s v="MAÑANA"/>
    <s v="13:35"/>
    <s v="14:00"/>
    <d v="1899-12-30T00:25:00"/>
    <x v="22"/>
    <s v="Maquinaria"/>
    <s v="Seguimiento / Pruebas"/>
    <x v="1"/>
    <x v="1"/>
    <s v="Reportan fallas en horno "/>
    <s v="Verificación de funcionamiento "/>
    <x v="0"/>
    <x v="26"/>
    <s v="Horno"/>
    <s v=""/>
    <s v=""/>
    <x v="0"/>
    <x v="1"/>
    <x v="19"/>
  </r>
  <r>
    <x v="89"/>
    <s v="Carlos Puma"/>
    <s v="TARDE"/>
    <d v="1899-12-30T13:00:00"/>
    <d v="1899-12-30T14:30:00"/>
    <d v="1899-12-30T01:30:00"/>
    <x v="49"/>
    <s v="Maquinaria"/>
    <s v="SET UP"/>
    <x v="0"/>
    <x v="3"/>
    <s v="Desarme de cabina de bañado "/>
    <s v="Se retiró accesorios y tina"/>
    <x v="0"/>
    <x v="0"/>
    <s v=""/>
    <s v=""/>
    <s v=""/>
    <x v="0"/>
    <x v="0"/>
    <x v="20"/>
  </r>
  <r>
    <x v="89"/>
    <s v="Carlos Puma"/>
    <s v="TARDE"/>
    <d v="1899-12-30T14:40:00"/>
    <d v="1899-12-30T15:05:00"/>
    <d v="1899-12-30T00:25:00"/>
    <x v="3"/>
    <s v="Maquinaria"/>
    <s v="Ajuste /Calibracion"/>
    <x v="0"/>
    <x v="3"/>
    <s v="Se apoyó en alineación de fajas para formato mini milky"/>
    <s v=""/>
    <x v="9"/>
    <x v="0"/>
    <s v=""/>
    <s v=""/>
    <s v=""/>
    <x v="223"/>
    <x v="1"/>
    <x v="20"/>
  </r>
  <r>
    <x v="89"/>
    <s v="Carlos Puma"/>
    <s v="TARDE"/>
    <d v="1899-12-30T15:10:00"/>
    <d v="1899-12-30T16:20:00"/>
    <d v="1899-12-30T01:10:00"/>
    <x v="49"/>
    <s v="Maquinaria"/>
    <s v="SET UP"/>
    <x v="0"/>
    <x v="3"/>
    <s v="Se retirara piezas de cabina de bañado a pedido de producción y calidad"/>
    <s v=""/>
    <x v="0"/>
    <x v="0"/>
    <s v=""/>
    <s v=""/>
    <s v=""/>
    <x v="14"/>
    <x v="0"/>
    <x v="20"/>
  </r>
  <r>
    <x v="89"/>
    <s v="Carlos Puma"/>
    <s v="TARDE"/>
    <d v="1899-12-30T16:30:00"/>
    <d v="1899-12-30T17:40:00"/>
    <d v="1899-12-30T01:10:00"/>
    <x v="28"/>
    <s v="Maquinaria"/>
    <s v="SET UP"/>
    <x v="0"/>
    <x v="3"/>
    <s v="Cambio de formato de milky x10 a pisco x18"/>
    <s v="Se apoyó en el cambio de piezas y calibración "/>
    <x v="0"/>
    <x v="0"/>
    <s v=""/>
    <s v=""/>
    <s v=""/>
    <x v="2"/>
    <x v="0"/>
    <x v="20"/>
  </r>
  <r>
    <x v="89"/>
    <s v="Carlos Puma"/>
    <s v="TARDE"/>
    <d v="1899-12-30T18:45:00"/>
    <d v="1899-12-30T20:00:00"/>
    <d v="1899-12-30T01:15:00"/>
    <x v="29"/>
    <s v="Maquinaria"/>
    <s v="Ajuste /Calibracion"/>
    <x v="1"/>
    <x v="1"/>
    <s v="Falta de adhesivo en etiquetas"/>
    <s v="Se realizó purgas y se regulo sensor de etiqueta, se reviso módulo de adhesivo se retiró boquilla y se hizo purgas , se limpio boquilla y se montó módulo en máquina , se repitió purga se regulo pocision y se hizo pruebas "/>
    <x v="0"/>
    <x v="0"/>
    <s v=""/>
    <s v=""/>
    <s v=""/>
    <x v="0"/>
    <x v="0"/>
    <x v="20"/>
  </r>
  <r>
    <x v="89"/>
    <s v="Carlos Puma"/>
    <s v="TARDE"/>
    <d v="1899-12-30T20:05:00"/>
    <d v="1899-12-30T21:05:00"/>
    <d v="1899-12-30T01:00:00"/>
    <x v="29"/>
    <s v="Maquinaria"/>
    <s v="Reparacion"/>
    <x v="1"/>
    <x v="1"/>
    <s v="Cuchilla se atasca"/>
    <s v="Se acondicionó nuevo resorte y pin para cuchilla"/>
    <x v="0"/>
    <x v="0"/>
    <s v=""/>
    <s v=""/>
    <s v=""/>
    <x v="54"/>
    <x v="0"/>
    <x v="20"/>
  </r>
  <r>
    <x v="90"/>
    <s v="Carlos Puma"/>
    <s v="TARDE"/>
    <d v="1899-12-30T13:00:00"/>
    <d v="1899-12-30T14:00:00"/>
    <d v="1899-12-30T01:00:00"/>
    <x v="49"/>
    <s v="Maquinaria"/>
    <s v="Reparacion"/>
    <x v="0"/>
    <x v="3"/>
    <s v="Apoyó en reparación de tubería dañada "/>
    <s v=""/>
    <x v="48"/>
    <x v="0"/>
    <s v=""/>
    <s v=""/>
    <s v=""/>
    <x v="85"/>
    <x v="1"/>
    <x v="20"/>
  </r>
  <r>
    <x v="90"/>
    <s v="Carlos Puma"/>
    <s v="TARDE"/>
    <d v="1899-12-30T14:02:00"/>
    <d v="1899-12-30T14:20:00"/>
    <d v="1899-12-30T00:18:00"/>
    <x v="15"/>
    <s v="Maquinaria"/>
    <s v="Limpieza"/>
    <x v="0"/>
    <x v="3"/>
    <s v="Rodillo amarrado de mds"/>
    <s v="Se retiró para limpieza y se volvió a colocar "/>
    <x v="116"/>
    <x v="1"/>
    <s v="Mds"/>
    <s v=""/>
    <s v=""/>
    <x v="194"/>
    <x v="1"/>
    <x v="20"/>
  </r>
  <r>
    <x v="90"/>
    <s v="Carlos Puma"/>
    <s v="TARDE"/>
    <d v="1899-12-30T14:25:00"/>
    <d v="1899-12-30T15:05:00"/>
    <d v="1899-12-30T00:40:00"/>
    <x v="28"/>
    <s v="Maquinaria"/>
    <s v="SET UP"/>
    <x v="0"/>
    <x v="3"/>
    <s v="Apoyó en cambio de formato de pisco x9 a milky x10"/>
    <s v=""/>
    <x v="0"/>
    <x v="0"/>
    <s v=""/>
    <s v=""/>
    <s v=""/>
    <x v="2"/>
    <x v="0"/>
    <x v="20"/>
  </r>
  <r>
    <x v="90"/>
    <s v="Carlos Puma"/>
    <s v="TARDE"/>
    <d v="1899-12-30T15:08:00"/>
    <d v="1899-12-30T15:35:00"/>
    <d v="1899-12-30T00:27:00"/>
    <x v="47"/>
    <s v="Maquinaria"/>
    <s v="Lubricación"/>
    <x v="1"/>
    <x v="1"/>
    <s v="Sobre torque A100"/>
    <s v="Se retiró moldes se lubrico , se verifico el libre recorrido de empujadores "/>
    <x v="0"/>
    <x v="0"/>
    <s v=""/>
    <s v=""/>
    <s v=""/>
    <x v="0"/>
    <x v="0"/>
    <x v="20"/>
  </r>
  <r>
    <x v="90"/>
    <s v="Carlos Puma"/>
    <s v="TARDE"/>
    <d v="1899-12-30T15:45:00"/>
    <d v="1899-12-30T16:40:00"/>
    <d v="1899-12-30T00:55:00"/>
    <x v="28"/>
    <s v="Maquinaria"/>
    <s v="Ajuste /Calibracion"/>
    <x v="0"/>
    <x v="3"/>
    <s v="Apoyó en calibración par formato milky x10"/>
    <s v=""/>
    <x v="0"/>
    <x v="0"/>
    <s v=""/>
    <s v=""/>
    <s v=""/>
    <x v="93"/>
    <x v="0"/>
    <x v="20"/>
  </r>
  <r>
    <x v="90"/>
    <s v="Carlos Puma"/>
    <s v="TARDE"/>
    <d v="1899-12-30T17:00:00"/>
    <d v="1899-12-30T17:15:00"/>
    <d v="1899-12-30T00:15:00"/>
    <x v="29"/>
    <s v="Maquinaria"/>
    <s v="Inspección"/>
    <x v="0"/>
    <x v="3"/>
    <s v="Inspección de equipo "/>
    <s v="Se tomó datos de sensor y conectores y se reviso el stock"/>
    <x v="0"/>
    <x v="0"/>
    <s v=""/>
    <s v=""/>
    <s v=""/>
    <x v="0"/>
    <x v="0"/>
    <x v="20"/>
  </r>
  <r>
    <x v="90"/>
    <s v="Carlos Puma"/>
    <s v="TARDE"/>
    <d v="1899-12-30T17:20:00"/>
    <d v="1899-12-30T17:40:00"/>
    <d v="1899-12-30T00:20:00"/>
    <x v="110"/>
    <s v="Maquinaria"/>
    <s v="Reparacion"/>
    <x v="1"/>
    <x v="2"/>
    <s v="Variador en falla por sobrecarga "/>
    <s v="Se restableció variador y se dió seguimiento al consumo"/>
    <x v="0"/>
    <x v="0"/>
    <s v=""/>
    <s v=""/>
    <s v=""/>
    <x v="38"/>
    <x v="0"/>
    <x v="20"/>
  </r>
  <r>
    <x v="90"/>
    <s v="Carlos Puma"/>
    <s v="TARDE"/>
    <d v="1899-12-30T19:40:00"/>
    <d v="1899-12-30T20:30:00"/>
    <d v="1899-12-30T00:50:00"/>
    <x v="28"/>
    <s v="Maquinaria"/>
    <s v="Reparacion"/>
    <x v="1"/>
    <x v="2"/>
    <s v="Controlador de motor de fajas dañado"/>
    <s v="Se reviso y reparo controlador , se montó en equipo y se realizó pruebas "/>
    <x v="0"/>
    <x v="0"/>
    <s v=""/>
    <s v=""/>
    <s v=""/>
    <x v="85"/>
    <x v="0"/>
    <x v="20"/>
  </r>
  <r>
    <x v="90"/>
    <s v="CARLOS TAPIA"/>
    <s v="MAÑANA"/>
    <d v="1899-12-30T06:25:00"/>
    <d v="1899-12-30T06:35:00"/>
    <d v="1899-12-30T00:10:00"/>
    <x v="47"/>
    <s v="Maquinaria"/>
    <s v="Ajuste /Calibracion"/>
    <x v="1"/>
    <x v="2"/>
    <s v="Apoyo en máquina, nose puede confirmar alarma de puertas/ventanas cerradas."/>
    <s v="Se revisó máquina y se confirmó alarma"/>
    <x v="0"/>
    <x v="0"/>
    <s v=""/>
    <s v=""/>
    <s v=""/>
    <x v="10"/>
    <x v="0"/>
    <x v="20"/>
  </r>
  <r>
    <x v="90"/>
    <s v="CARLOS TAPIA"/>
    <s v="MAÑANA"/>
    <d v="1899-12-30T07:00:00"/>
    <d v="1899-12-30T09:30:00"/>
    <d v="1899-12-30T02:30:00"/>
    <x v="50"/>
    <s v="Maquinaria"/>
    <s v="SET UP"/>
    <x v="0"/>
    <x v="3"/>
    <s v="Armado de máquina. Colocar malla y tuberías."/>
    <s v="Se colocó piezas en posición, se colocó malla nueva y se conectó tuberías en máquina. Se dejó habilitada y se informó a supervisor de producción."/>
    <x v="119"/>
    <x v="0"/>
    <s v=""/>
    <s v=""/>
    <s v=""/>
    <x v="0"/>
    <x v="1"/>
    <x v="20"/>
  </r>
  <r>
    <x v="90"/>
    <s v="CARLOS TAPIA"/>
    <s v="MAÑANA"/>
    <d v="1899-12-30T09:30:00"/>
    <d v="1899-12-30T11:30:00"/>
    <d v="1899-12-30T02:00:00"/>
    <x v="49"/>
    <s v="Maquinaria"/>
    <s v="SET UP"/>
    <x v="0"/>
    <x v="3"/>
    <s v="Armado y habilitación de máquina."/>
    <s v="Se colocó piezas en posición, se conectó tuberías de bomba y se habilitó máquina."/>
    <x v="0"/>
    <x v="0"/>
    <s v=""/>
    <s v=""/>
    <s v=""/>
    <x v="0"/>
    <x v="0"/>
    <x v="20"/>
  </r>
  <r>
    <x v="90"/>
    <s v="CARLOS TAPIA"/>
    <s v="MAÑANA"/>
    <d v="1899-12-30T11:50:00"/>
    <d v="1899-12-30T12:00:00"/>
    <d v="1899-12-30T00:10:00"/>
    <x v="47"/>
    <s v="Maquinaria"/>
    <s v="Ajuste /Calibracion"/>
    <x v="1"/>
    <x v="2"/>
    <s v="Apoyo en máquina, sensor de ventana no confirma alarma"/>
    <s v="Se revisó y se confirmó alarma de ventana cerrada "/>
    <x v="0"/>
    <x v="0"/>
    <s v=""/>
    <s v=""/>
    <s v=""/>
    <x v="10"/>
    <x v="0"/>
    <x v="20"/>
  </r>
  <r>
    <x v="90"/>
    <s v="Omar Nina"/>
    <s v="NOCHE"/>
    <d v="1899-12-30T21:35:00"/>
    <d v="1899-12-30T21:48:00"/>
    <d v="1899-12-30T00:13:00"/>
    <x v="15"/>
    <s v="Maquinaria"/>
    <s v="SET UP"/>
    <x v="0"/>
    <x v="3"/>
    <s v="Retiró de husillo para limpieza, formato agregados x50 "/>
    <s v=""/>
    <x v="17"/>
    <x v="0"/>
    <s v=""/>
    <s v=""/>
    <s v=""/>
    <x v="39"/>
    <x v="1"/>
    <x v="20"/>
  </r>
  <r>
    <x v="90"/>
    <s v="Omar Nina"/>
    <s v="NOCHE"/>
    <d v="1899-12-30T21:53:00"/>
    <d v="1899-12-30T22:55:00"/>
    <d v="1899-12-30T01:02:00"/>
    <x v="29"/>
    <s v="Maquinaria"/>
    <s v="SET UP"/>
    <x v="0"/>
    <x v="3"/>
    <s v="Cambio de formato de 40 a 50"/>
    <s v="Cambio de disco y medidas"/>
    <x v="0"/>
    <x v="0"/>
    <s v=""/>
    <s v=""/>
    <s v=""/>
    <x v="2"/>
    <x v="0"/>
    <x v="20"/>
  </r>
  <r>
    <x v="90"/>
    <s v="Omar Nina"/>
    <s v="NOCHE"/>
    <d v="1899-12-30T22:15:00"/>
    <d v="1899-12-30T22:28:00"/>
    <d v="1899-12-30T00:13:00"/>
    <x v="15"/>
    <s v="Maquinaria"/>
    <s v="SET UP"/>
    <x v="0"/>
    <x v="3"/>
    <s v="Colocación de husillo "/>
    <s v=""/>
    <x v="17"/>
    <x v="0"/>
    <s v=""/>
    <s v=""/>
    <s v=""/>
    <x v="0"/>
    <x v="1"/>
    <x v="20"/>
  </r>
  <r>
    <x v="90"/>
    <s v="Omar Nina"/>
    <s v="NOCHE"/>
    <d v="1899-12-30T23:00:00"/>
    <d v="1899-12-30T23:12:00"/>
    <d v="1899-12-30T00:12:00"/>
    <x v="50"/>
    <s v="Maquinaria"/>
    <s v="Inspección"/>
    <x v="1"/>
    <x v="1"/>
    <s v="Temperadora bloqueada, no circula chocolate "/>
    <s v="Se encontró bomba en falla, se reporta para realizar cambio ."/>
    <x v="0"/>
    <x v="11"/>
    <s v="Temperadora"/>
    <s v=""/>
    <s v=""/>
    <x v="25"/>
    <x v="1"/>
    <x v="20"/>
  </r>
  <r>
    <x v="90"/>
    <s v="Omar Nina"/>
    <s v="NOCHE"/>
    <d v="1899-12-30T23:15:00"/>
    <d v="1899-12-30T23:45:00"/>
    <d v="1899-12-30T00:30:00"/>
    <x v="28"/>
    <s v="Maquinaria"/>
    <s v="Ajuste /Calibracion"/>
    <x v="1"/>
    <x v="1"/>
    <s v="Cajas salen pegadas y algunas aplastadas."/>
    <s v="Calibración de plancha de sellado y separación de mesa"/>
    <x v="0"/>
    <x v="0"/>
    <s v=""/>
    <s v=""/>
    <s v=""/>
    <x v="0"/>
    <x v="0"/>
    <x v="20"/>
  </r>
  <r>
    <x v="90"/>
    <s v="Omar Nina"/>
    <s v="NOCHE"/>
    <d v="1899-12-30T00:00:00"/>
    <d v="1899-12-30T00:25:00"/>
    <d v="1899-12-30T00:25:00"/>
    <x v="29"/>
    <s v="Maquinaria"/>
    <s v="Ajuste /Calibracion"/>
    <x v="1"/>
    <x v="1"/>
    <s v="Puntos de goma fuera de posición, papel aluminio se pega al sellador y rompe las tabletas "/>
    <s v="Calibración de puntos de goma y calibración de selladores"/>
    <x v="0"/>
    <x v="0"/>
    <s v=""/>
    <s v=""/>
    <s v=""/>
    <x v="224"/>
    <x v="0"/>
    <x v="20"/>
  </r>
  <r>
    <x v="90"/>
    <s v="Omar Nina"/>
    <s v="NOCHE"/>
    <d v="1899-12-30T00:25:00"/>
    <d v="1899-12-30T00:50:00"/>
    <d v="1899-12-30T00:25:00"/>
    <x v="29"/>
    <s v="Maquinaria"/>
    <s v="Inspección"/>
    <x v="0"/>
    <x v="3"/>
    <s v="Inspección de funcionamiento de equipo "/>
    <s v=""/>
    <x v="0"/>
    <x v="0"/>
    <s v=""/>
    <s v=""/>
    <s v=""/>
    <x v="0"/>
    <x v="0"/>
    <x v="20"/>
  </r>
  <r>
    <x v="90"/>
    <s v="Omar Nina"/>
    <s v="NOCHE"/>
    <d v="1899-12-30T01:00:00"/>
    <d v="1899-12-30T01:30:00"/>
    <d v="1899-12-30T00:30:00"/>
    <x v="15"/>
    <s v="Maquinaria"/>
    <s v="SET UP"/>
    <x v="0"/>
    <x v="3"/>
    <s v="Desarmado de MDS, formato agregados x50 "/>
    <s v=""/>
    <x v="0"/>
    <x v="1"/>
    <s v="Mds"/>
    <s v=""/>
    <s v=""/>
    <x v="2"/>
    <x v="1"/>
    <x v="20"/>
  </r>
  <r>
    <x v="90"/>
    <s v="Omar Nina"/>
    <s v="NOCHE"/>
    <d v="1899-12-30T01:30:00"/>
    <d v="1899-12-30T02:08:00"/>
    <d v="1899-12-30T00:38:00"/>
    <x v="15"/>
    <s v="Maquinaria"/>
    <s v="SET UP"/>
    <x v="0"/>
    <x v="3"/>
    <s v="Armado de mds para fondy menta"/>
    <s v=""/>
    <x v="0"/>
    <x v="1"/>
    <s v="Mds"/>
    <s v=""/>
    <s v=""/>
    <x v="0"/>
    <x v="1"/>
    <x v="20"/>
  </r>
  <r>
    <x v="90"/>
    <s v="Omar Nina"/>
    <s v="NOCHE"/>
    <d v="1899-12-30T02:10:00"/>
    <d v="1899-12-30T02:27:00"/>
    <d v="1899-12-30T00:17:00"/>
    <x v="3"/>
    <s v="Maquinaria"/>
    <s v="Inspección"/>
    <x v="0"/>
    <x v="3"/>
    <s v="Inspección de equipo "/>
    <s v=""/>
    <x v="0"/>
    <x v="0"/>
    <s v=""/>
    <s v=""/>
    <s v=""/>
    <x v="0"/>
    <x v="0"/>
    <x v="20"/>
  </r>
  <r>
    <x v="90"/>
    <s v="Omar Nina"/>
    <s v="NOCHE"/>
    <d v="1899-12-30T03:30:00"/>
    <d v="1899-12-30T03:55:00"/>
    <d v="1899-12-30T00:25:00"/>
    <x v="107"/>
    <s v="Maquinaria"/>
    <s v="Inspección"/>
    <x v="0"/>
    <x v="3"/>
    <s v="Inspección funcionamiento de equipo "/>
    <s v=""/>
    <x v="0"/>
    <x v="0"/>
    <s v=""/>
    <s v=""/>
    <s v=""/>
    <x v="0"/>
    <x v="0"/>
    <x v="20"/>
  </r>
  <r>
    <x v="90"/>
    <s v="Omar Nina"/>
    <s v="NOCHE"/>
    <d v="1899-12-30T04:13:00"/>
    <d v="1899-12-30T04:45:00"/>
    <d v="1899-12-30T00:32:00"/>
    <x v="29"/>
    <s v="Maquinaria"/>
    <s v="Inspección"/>
    <x v="0"/>
    <x v="3"/>
    <s v="Inspección de equipo "/>
    <s v=""/>
    <x v="0"/>
    <x v="0"/>
    <s v=""/>
    <s v=""/>
    <s v=""/>
    <x v="0"/>
    <x v="0"/>
    <x v="20"/>
  </r>
  <r>
    <x v="91"/>
    <s v="CARLOS TAPIA"/>
    <s v="MAÑANA"/>
    <s v="06:40"/>
    <s v="07:00"/>
    <d v="1899-12-30T00:20:00"/>
    <x v="29"/>
    <s v="Maquinaria"/>
    <s v="Reparacion"/>
    <x v="1"/>
    <x v="2"/>
    <s v="Error en pantalla HDMI, no permite la conexión correcta con los servomotores."/>
    <s v="Se revisó y se limpio conectores y se ajustó borneras."/>
    <x v="0"/>
    <x v="0"/>
    <s v=""/>
    <s v=""/>
    <s v=""/>
    <x v="6"/>
    <x v="0"/>
    <x v="20"/>
  </r>
  <r>
    <x v="91"/>
    <s v="CARLOS TAPIA"/>
    <s v="MAÑANA"/>
    <s v="07:10"/>
    <s v="07:25"/>
    <d v="1899-12-30T00:15:00"/>
    <x v="35"/>
    <s v="Maquinaria"/>
    <s v="Reparacion"/>
    <x v="0"/>
    <x v="3"/>
    <s v="Apoyo en máquina. Para retirar tapa de tubería, para la descarga de chocolate."/>
    <s v="Se revisó y se retiró tapa atascada. Luego se llevó tapa al taller para su reparación y limado.ir y "/>
    <x v="120"/>
    <x v="0"/>
    <s v=""/>
    <s v=""/>
    <s v=""/>
    <x v="225"/>
    <x v="1"/>
    <x v="20"/>
  </r>
  <r>
    <x v="91"/>
    <s v="CARLOS TAPIA"/>
    <s v="MAÑANA"/>
    <s v="10:30"/>
    <s v="10:45"/>
    <d v="1899-12-30T00:15:00"/>
    <x v="5"/>
    <s v="Maquinaria"/>
    <s v="Ajuste /Calibracion"/>
    <x v="1"/>
    <x v="2"/>
    <s v="Apoyo en máquina, no permite el arranque en línea."/>
    <s v="Se revisó y se le indico a operador que la revisión de puertas y botones de emergencia. Se restablece alarma y el arranque de máquina."/>
    <x v="0"/>
    <x v="0"/>
    <s v=""/>
    <s v=""/>
    <s v=""/>
    <x v="0"/>
    <x v="0"/>
    <x v="20"/>
  </r>
  <r>
    <x v="91"/>
    <s v="Cesar Quiroz"/>
    <s v="MAÑANA"/>
    <s v="05:44"/>
    <s v="06:06"/>
    <d v="1899-12-30T00:22:00"/>
    <x v="31"/>
    <s v="Equipos auxiliares"/>
    <s v="Inspección"/>
    <x v="0"/>
    <x v="3"/>
    <s v="Revisión de funcionamiento y parámetros de trabajo "/>
    <s v=""/>
    <x v="0"/>
    <x v="0"/>
    <s v=""/>
    <s v=""/>
    <s v=""/>
    <x v="0"/>
    <x v="0"/>
    <x v="20"/>
  </r>
  <r>
    <x v="91"/>
    <s v="Cesar Quiroz"/>
    <s v="MAÑANA"/>
    <s v="06:06"/>
    <s v="06:27"/>
    <d v="1899-12-30T00:21:00"/>
    <x v="96"/>
    <s v="Equipos auxiliares"/>
    <s v="Reparacion"/>
    <x v="1"/>
    <x v="2"/>
    <s v="Ascensor nuevo no responde se queda en segundo piso con personal de producción dentro "/>
    <s v="Se revisa condiciones de ascensor, se reinicia equipo, se revisa comportamiento, se retira personal atrapado, se verifica funcionamiento de ascensor "/>
    <x v="0"/>
    <x v="0"/>
    <s v=""/>
    <s v=""/>
    <s v=""/>
    <x v="9"/>
    <x v="0"/>
    <x v="20"/>
  </r>
  <r>
    <x v="91"/>
    <s v="Cesar Quiroz"/>
    <s v="MAÑANA"/>
    <s v="06:29"/>
    <s v="06:42"/>
    <d v="1899-12-30T00:13:00"/>
    <x v="43"/>
    <s v="Sistema"/>
    <s v="Inspección"/>
    <x v="0"/>
    <x v="3"/>
    <s v="Se verifico niveles de pozos de agua "/>
    <s v=""/>
    <x v="0"/>
    <x v="0"/>
    <s v=""/>
    <s v=""/>
    <s v=""/>
    <x v="16"/>
    <x v="0"/>
    <x v="20"/>
  </r>
  <r>
    <x v="91"/>
    <s v="Cesar Quiroz"/>
    <s v="MAÑANA"/>
    <s v="07:26"/>
    <s v="07:55"/>
    <d v="1899-12-30T00:29:00"/>
    <x v="55"/>
    <s v="Maquinaria"/>
    <s v="Limpieza"/>
    <x v="1"/>
    <x v="2"/>
    <s v="Temperatura de mordaza varia"/>
    <s v="Se reviso y se realizó limpieza de carbones y colector"/>
    <x v="0"/>
    <x v="0"/>
    <s v=""/>
    <s v=""/>
    <s v=""/>
    <x v="0"/>
    <x v="0"/>
    <x v="20"/>
  </r>
  <r>
    <x v="91"/>
    <s v="Cesar Quiroz"/>
    <s v="MAÑANA"/>
    <s v="08:07"/>
    <s v="08:28"/>
    <d v="1899-12-30T00:21:00"/>
    <x v="51"/>
    <s v="Maquinaria"/>
    <s v="Reparacion"/>
    <x v="1"/>
    <x v="2"/>
    <s v="Extensión dañada "/>
    <s v="Se corrigió conexión de extensión para habilitación de balanza en la zona"/>
    <x v="0"/>
    <x v="4"/>
    <s v="Extension"/>
    <s v=""/>
    <s v=""/>
    <x v="85"/>
    <x v="1"/>
    <x v="20"/>
  </r>
  <r>
    <x v="91"/>
    <s v="Cesar Quiroz"/>
    <s v="MAÑANA"/>
    <s v="08:36"/>
    <s v="08:52"/>
    <d v="1899-12-30T00:16:00"/>
    <x v="55"/>
    <s v="Maquinaria"/>
    <s v="Ajuste /Calibracion"/>
    <x v="1"/>
    <x v="1"/>
    <s v="Problemas con tensador de bobina"/>
    <s v="Se apoyo en regulación de tensador de bobina, se verifico funcionamiento "/>
    <x v="0"/>
    <x v="0"/>
    <s v=""/>
    <s v=""/>
    <s v=""/>
    <x v="49"/>
    <x v="0"/>
    <x v="20"/>
  </r>
  <r>
    <x v="91"/>
    <s v="Omar Nina"/>
    <s v="MAÑANA"/>
    <s v="22:30"/>
    <s v="22:55"/>
    <d v="1899-12-30T00:25:00"/>
    <x v="29"/>
    <s v="Maquinaria"/>
    <s v="Inspección"/>
    <x v="0"/>
    <x v="3"/>
    <s v="Inspección de equipo "/>
    <s v="Apoyo en calibración de puntos de goma y corte de laminado "/>
    <x v="0"/>
    <x v="0"/>
    <s v=""/>
    <s v=""/>
    <s v=""/>
    <x v="0"/>
    <x v="0"/>
    <x v="20"/>
  </r>
  <r>
    <x v="91"/>
    <s v="Omar Nina"/>
    <s v="NOCHE"/>
    <s v="21:30"/>
    <s v="22:00"/>
    <d v="1899-12-30T00:30:00"/>
    <x v="39"/>
    <s v="Maquinaria"/>
    <s v="Seguimiento / Pruebas"/>
    <x v="0"/>
    <x v="3"/>
    <s v="Pruebas en vacío de bomba de producto. "/>
    <s v="Se verifica si hay vibración o fugas en bomba. Se informa a producción para su uso"/>
    <x v="121"/>
    <x v="0"/>
    <s v=""/>
    <s v=""/>
    <s v=""/>
    <x v="0"/>
    <x v="1"/>
    <x v="20"/>
  </r>
  <r>
    <x v="91"/>
    <s v="Omar Nina"/>
    <s v="NOCHE"/>
    <s v="22:05"/>
    <s v="22:20"/>
    <d v="1899-12-30T00:15:00"/>
    <x v="107"/>
    <s v="Maquinaria"/>
    <s v="Inspección"/>
    <x v="0"/>
    <x v="3"/>
    <s v="Inspección de equipo "/>
    <s v=""/>
    <x v="0"/>
    <x v="0"/>
    <s v=""/>
    <s v=""/>
    <s v=""/>
    <x v="0"/>
    <x v="0"/>
    <x v="20"/>
  </r>
  <r>
    <x v="91"/>
    <s v="Omar Nina"/>
    <s v="NOCHE"/>
    <s v="23:05"/>
    <s v="23:31"/>
    <d v="1899-12-30T00:26:00"/>
    <x v="22"/>
    <s v="Maquinaria"/>
    <s v="Ajuste /Calibracion"/>
    <x v="1"/>
    <x v="2"/>
    <s v="Horno se apaga de la nada."/>
    <s v="Ajuste de contactos en circuito de control"/>
    <x v="0"/>
    <x v="26"/>
    <s v="Horno"/>
    <s v=""/>
    <s v=""/>
    <x v="91"/>
    <x v="1"/>
    <x v="20"/>
  </r>
  <r>
    <x v="91"/>
    <s v="Omar Nina"/>
    <s v="NOCHE"/>
    <s v="23:40"/>
    <s v="00:40"/>
    <d v="1899-12-30T01:00:00"/>
    <x v="17"/>
    <s v="Maquinaria"/>
    <s v="SET UP"/>
    <x v="0"/>
    <x v="3"/>
    <s v="Desarmado de equipo para limpieza "/>
    <s v=""/>
    <x v="0"/>
    <x v="0"/>
    <s v=""/>
    <s v=""/>
    <s v=""/>
    <x v="0"/>
    <x v="0"/>
    <x v="20"/>
  </r>
  <r>
    <x v="91"/>
    <s v="Carlos Puma"/>
    <s v="TARDE"/>
    <d v="1899-12-30T13:30:00"/>
    <d v="1899-12-30T14:00:00"/>
    <d v="1899-12-30T00:30:00"/>
    <x v="7"/>
    <s v="Maquinaria"/>
    <s v="Inspección"/>
    <x v="0"/>
    <x v="3"/>
    <s v="Inspección de equipos en uso"/>
    <s v=""/>
    <x v="0"/>
    <x v="0"/>
    <s v=""/>
    <s v=""/>
    <s v=""/>
    <x v="0"/>
    <x v="0"/>
    <x v="20"/>
  </r>
  <r>
    <x v="91"/>
    <s v="Carlos Puma"/>
    <s v="TARDE"/>
    <d v="1899-12-30T14:15:00"/>
    <d v="1899-12-30T14:30:00"/>
    <d v="1899-12-30T00:15:00"/>
    <x v="71"/>
    <s v="Maquinaria"/>
    <s v="Ajuste /Calibracion"/>
    <x v="1"/>
    <x v="1"/>
    <s v="Codificado borroso"/>
    <s v="Se apoyó en la nivelación de base de codificado"/>
    <x v="0"/>
    <x v="13"/>
    <s v="Codificador"/>
    <s v=""/>
    <s v=""/>
    <x v="82"/>
    <x v="1"/>
    <x v="20"/>
  </r>
  <r>
    <x v="91"/>
    <s v="Carlos Puma"/>
    <s v="TARDE"/>
    <d v="1899-12-30T14:35:00"/>
    <d v="1899-12-30T14:50:00"/>
    <d v="1899-12-30T00:15:00"/>
    <x v="27"/>
    <s v="Maquinaria"/>
    <s v="Mejora"/>
    <x v="0"/>
    <x v="3"/>
    <s v="Remplazo de piezas de hierro por piezas de acero inoxidable "/>
    <s v=""/>
    <x v="0"/>
    <x v="0"/>
    <s v=""/>
    <s v=""/>
    <s v=""/>
    <x v="226"/>
    <x v="0"/>
    <x v="20"/>
  </r>
  <r>
    <x v="91"/>
    <s v="Carlos Puma"/>
    <s v="TARDE"/>
    <d v="1899-12-30T14:53:00"/>
    <d v="1899-12-30T15:10:00"/>
    <d v="1899-12-30T00:17:00"/>
    <x v="15"/>
    <s v="Maquinaria"/>
    <s v="Inspección"/>
    <x v="0"/>
    <x v="3"/>
    <s v="Inspección de temperadora "/>
    <s v="Se reviso nivel y Se llenó agua en tanques  "/>
    <x v="0"/>
    <x v="11"/>
    <s v="Temperadora"/>
    <s v=""/>
    <s v=""/>
    <x v="0"/>
    <x v="1"/>
    <x v="20"/>
  </r>
  <r>
    <x v="91"/>
    <s v="Carlos Puma"/>
    <s v="TARDE"/>
    <d v="1899-12-30T16:10:00"/>
    <d v="1899-12-30T17:25:00"/>
    <d v="1899-12-30T01:15:00"/>
    <x v="39"/>
    <s v="Maquinaria"/>
    <s v="Reparacion"/>
    <x v="1"/>
    <x v="1"/>
    <s v="Roturo en el eje de bomba de descarga "/>
    <s v="Se realizó la limpieza de tuberías de descarga hacia mesas y se apoyó a terceros en desmontaje de la bomba"/>
    <x v="0"/>
    <x v="0"/>
    <s v=""/>
    <s v=""/>
    <s v=""/>
    <x v="86"/>
    <x v="0"/>
    <x v="20"/>
  </r>
  <r>
    <x v="91"/>
    <s v="Carlos Puma"/>
    <s v="TARDE"/>
    <d v="1899-12-30T17:28:00"/>
    <d v="1899-12-30T17:40:00"/>
    <d v="1899-12-30T00:12:00"/>
    <x v="15"/>
    <s v="Maquinaria"/>
    <s v="SET UP"/>
    <x v="0"/>
    <x v="3"/>
    <s v="Apoyó en cambio de formato de Mds a crema ovalada"/>
    <s v=""/>
    <x v="0"/>
    <x v="1"/>
    <s v="Mds"/>
    <s v=""/>
    <s v=""/>
    <x v="2"/>
    <x v="1"/>
    <x v="20"/>
  </r>
  <r>
    <x v="91"/>
    <s v="Carlos Puma"/>
    <s v="TARDE"/>
    <d v="1899-12-30T18:10:00"/>
    <d v="1899-12-30T20:20:00"/>
    <d v="1899-12-30T02:10:00"/>
    <x v="29"/>
    <s v="Maquinaria"/>
    <s v="Sustitucion"/>
    <x v="1"/>
    <x v="1"/>
    <s v="Se remplazo resortes vencido de rodillos de arrastre de laminado, se remplazo cableado y conector de sensor de contraelevador "/>
    <s v=""/>
    <x v="0"/>
    <x v="15"/>
    <s v="Contraelevador"/>
    <s v=""/>
    <s v=""/>
    <x v="50"/>
    <x v="1"/>
    <x v="20"/>
  </r>
  <r>
    <x v="91"/>
    <s v="Carlos Puma"/>
    <s v="TARDE"/>
    <d v="1899-12-30T20:40:00"/>
    <d v="1899-12-30T21:10:00"/>
    <d v="1899-12-30T00:30:00"/>
    <x v="39"/>
    <s v="Maquinaria"/>
    <s v="Reparacion"/>
    <x v="0"/>
    <x v="3"/>
    <s v="Se apoyó a personal tercero en el montaje de bomba de descargá "/>
    <s v=""/>
    <x v="80"/>
    <x v="0"/>
    <s v=""/>
    <s v=""/>
    <s v=""/>
    <x v="134"/>
    <x v="1"/>
    <x v="20"/>
  </r>
  <r>
    <x v="92"/>
    <s v="Carlos Puma"/>
    <s v="TARDE"/>
    <d v="1899-12-30T13:10:00"/>
    <d v="1899-12-30T13:30:00"/>
    <d v="1899-12-30T00:20:00"/>
    <x v="7"/>
    <s v="Maquinaria"/>
    <s v="Inspección"/>
    <x v="0"/>
    <x v="3"/>
    <s v="Inspección de equipos en uso"/>
    <s v=""/>
    <x v="0"/>
    <x v="0"/>
    <s v=""/>
    <s v=""/>
    <s v=""/>
    <x v="0"/>
    <x v="0"/>
    <x v="20"/>
  </r>
  <r>
    <x v="92"/>
    <s v="Carlos Puma"/>
    <s v="TARDE"/>
    <d v="1899-12-30T13:50:00"/>
    <d v="1899-12-30T14:15:00"/>
    <d v="1899-12-30T00:25:00"/>
    <x v="110"/>
    <s v="Maquinaria"/>
    <s v="Inspección"/>
    <x v="0"/>
    <x v="3"/>
    <s v="Inspección de equipo "/>
    <s v="Se verifo temperatura de agua en chaquetas , se encendido bomba de chocolate y se dió seguimiento se indicó a producción para que puedan temperar"/>
    <x v="0"/>
    <x v="0"/>
    <s v=""/>
    <s v=""/>
    <s v=""/>
    <x v="0"/>
    <x v="0"/>
    <x v="20"/>
  </r>
  <r>
    <x v="92"/>
    <s v="Carlos Puma"/>
    <s v="TARDE"/>
    <d v="1899-12-30T14:20:00"/>
    <d v="1899-12-30T14:40:00"/>
    <d v="1899-12-30T00:20:00"/>
    <x v="3"/>
    <s v="Maquinaria"/>
    <s v="Ajuste /Calibracion"/>
    <x v="1"/>
    <x v="1"/>
    <s v="Ruido en mordazas , alarma de empujador"/>
    <s v="Se borró alarma , se hizo homing y se regulo presión de mordazas "/>
    <x v="0"/>
    <x v="0"/>
    <s v=""/>
    <s v=""/>
    <s v=""/>
    <x v="227"/>
    <x v="0"/>
    <x v="20"/>
  </r>
  <r>
    <x v="92"/>
    <s v="Carlos Puma"/>
    <s v="TARDE"/>
    <d v="1899-12-30T15:00:00"/>
    <d v="1899-12-30T15:30:00"/>
    <d v="1899-12-30T00:30:00"/>
    <x v="15"/>
    <s v="Maquinaria"/>
    <s v="SET UP"/>
    <x v="0"/>
    <x v="3"/>
    <s v="Se retiró plancha y husillo por limpieza y se volvió armar ya estando limpios"/>
    <s v=""/>
    <x v="37"/>
    <x v="0"/>
    <s v=""/>
    <s v=""/>
    <s v=""/>
    <x v="14"/>
    <x v="1"/>
    <x v="20"/>
  </r>
  <r>
    <x v="92"/>
    <s v="Carlos Puma"/>
    <s v="TARDE"/>
    <d v="1899-12-30T15:50:00"/>
    <d v="1899-12-30T16:30:00"/>
    <d v="1899-12-30T00:40:00"/>
    <x v="3"/>
    <s v="Maquinaria"/>
    <s v="Ajuste /Calibracion"/>
    <x v="0"/>
    <x v="3"/>
    <s v="Apoyó en máquina "/>
    <s v="Se regulo pocision y velocidad de fajas transportadoras para reducir el descarte de producto mal posicionado y se apoyó a operario en regulación de temperatura y velocidad de linea"/>
    <x v="0"/>
    <x v="0"/>
    <s v=""/>
    <s v=""/>
    <s v=""/>
    <x v="0"/>
    <x v="0"/>
    <x v="20"/>
  </r>
  <r>
    <x v="92"/>
    <s v="Carlos Puma"/>
    <s v="TARDE"/>
    <d v="1899-12-30T16:40:00"/>
    <d v="1899-12-30T16:50:00"/>
    <d v="1899-12-30T00:10:00"/>
    <x v="18"/>
    <s v="Maquinaria"/>
    <s v="SET UP"/>
    <x v="0"/>
    <x v="3"/>
    <s v="Desarme de equipo por limpieza "/>
    <s v=""/>
    <x v="0"/>
    <x v="0"/>
    <s v=""/>
    <s v=""/>
    <s v=""/>
    <x v="0"/>
    <x v="0"/>
    <x v="20"/>
  </r>
  <r>
    <x v="92"/>
    <s v="Carlos Puma"/>
    <s v="TARDE"/>
    <d v="1899-12-30T17:00:00"/>
    <d v="1899-12-30T17:20:00"/>
    <d v="1899-12-30T00:20:00"/>
    <x v="21"/>
    <s v="Area"/>
    <s v="Trabajos menores"/>
    <x v="0"/>
    <x v="3"/>
    <s v="Traslado de mobiliario a pedido de jefe de mantenimiento "/>
    <s v=""/>
    <x v="0"/>
    <x v="0"/>
    <s v=""/>
    <s v=""/>
    <s v=""/>
    <x v="0"/>
    <x v="0"/>
    <x v="20"/>
  </r>
  <r>
    <x v="92"/>
    <s v="Carlos Puma"/>
    <s v="TARDE"/>
    <d v="1899-12-30T17:25:00"/>
    <d v="1899-12-30T17:42:00"/>
    <d v="1899-12-30T00:17:00"/>
    <x v="15"/>
    <s v="Maquinaria"/>
    <s v="Limpieza"/>
    <x v="1"/>
    <x v="1"/>
    <s v="No sale relleno de una de las boquillas de la mds"/>
    <s v="Se retiró plancha y husillo para limpieza, se limpio módulo de cremas y armó mds"/>
    <x v="0"/>
    <x v="1"/>
    <s v="Mds"/>
    <s v=""/>
    <s v=""/>
    <x v="0"/>
    <x v="1"/>
    <x v="20"/>
  </r>
  <r>
    <x v="92"/>
    <s v="Carlos Puma"/>
    <s v="TARDE"/>
    <d v="1899-12-30T17:50:00"/>
    <d v="1899-12-30T18:00:00"/>
    <d v="1899-12-30T00:10:00"/>
    <x v="18"/>
    <s v="Maquinaria"/>
    <s v="SET UP"/>
    <x v="0"/>
    <x v="3"/>
    <s v="Armado de equipo "/>
    <s v=""/>
    <x v="0"/>
    <x v="0"/>
    <s v=""/>
    <s v=""/>
    <s v=""/>
    <x v="0"/>
    <x v="0"/>
    <x v="20"/>
  </r>
  <r>
    <x v="92"/>
    <s v="Carlos Puma"/>
    <s v="TARDE"/>
    <d v="1899-12-30T19:10:00"/>
    <d v="1899-12-30T19:30:00"/>
    <d v="1899-12-30T00:20:00"/>
    <x v="3"/>
    <s v="Maquinaria"/>
    <s v="Inspección"/>
    <x v="0"/>
    <x v="3"/>
    <s v="Inspección de linea automática bw system"/>
    <s v=""/>
    <x v="0"/>
    <x v="0"/>
    <s v=""/>
    <s v=""/>
    <s v=""/>
    <x v="0"/>
    <x v="0"/>
    <x v="20"/>
  </r>
  <r>
    <x v="92"/>
    <s v="Carlos Puma"/>
    <s v="TARDE"/>
    <d v="1899-12-30T19:50:00"/>
    <d v="1899-12-30T20:00:00"/>
    <d v="1899-12-30T00:10:00"/>
    <x v="18"/>
    <s v="Maquinaria"/>
    <s v="SET UP"/>
    <x v="0"/>
    <x v="3"/>
    <s v="Desarme de equipo por limpieza "/>
    <s v=""/>
    <x v="0"/>
    <x v="0"/>
    <s v=""/>
    <s v=""/>
    <s v=""/>
    <x v="0"/>
    <x v="0"/>
    <x v="20"/>
  </r>
  <r>
    <x v="92"/>
    <s v="Carlos Puma"/>
    <s v="TARDE"/>
    <d v="1899-12-30T20:10:00"/>
    <d v="1899-12-30T20:25:00"/>
    <d v="1899-12-30T00:15:00"/>
    <x v="110"/>
    <s v="Maquinaria"/>
    <s v="Inspección"/>
    <x v="0"/>
    <x v="3"/>
    <s v="Inspección de bomba de temperadora de bañadora"/>
    <s v="Se reviso el consumo de corriente , 5.5 amperios con carga chocolate temperado"/>
    <x v="80"/>
    <x v="11"/>
    <s v="Temperadora"/>
    <s v=""/>
    <s v=""/>
    <x v="0"/>
    <x v="1"/>
    <x v="20"/>
  </r>
  <r>
    <x v="92"/>
    <s v="CARLOS TAPIA"/>
    <s v="MAÑANA"/>
    <d v="1899-12-30T10:20:00"/>
    <d v="1899-12-30T11:30:00"/>
    <d v="1899-12-30T01:10:00"/>
    <x v="3"/>
    <s v="Maquinaria"/>
    <s v="SET UP"/>
    <x v="0"/>
    <x v="3"/>
    <s v="Apoyo con la culminación de cambio de formato en máquina "/>
    <s v="Se realizó con la culminación de cambio de formato en máquina."/>
    <x v="0"/>
    <x v="0"/>
    <s v=""/>
    <s v=""/>
    <s v=""/>
    <x v="2"/>
    <x v="0"/>
    <x v="20"/>
  </r>
  <r>
    <x v="92"/>
    <s v="CARLOS TAPIA"/>
    <s v="MAÑANA"/>
    <d v="1899-12-30T11:45:00"/>
    <d v="1899-12-30T12:00:00"/>
    <d v="1899-12-30T00:15:00"/>
    <x v="26"/>
    <s v="Maquinaria"/>
    <s v="Ajuste /Calibracion"/>
    <x v="0"/>
    <x v="3"/>
    <s v="Apoyo con la calibración en máquina."/>
    <s v="Se revisó y se realizó ajustes en el elevador y corte de laminado."/>
    <x v="0"/>
    <x v="0"/>
    <s v=""/>
    <s v=""/>
    <s v=""/>
    <x v="28"/>
    <x v="0"/>
    <x v="20"/>
  </r>
  <r>
    <x v="92"/>
    <s v="CARLOS TAPIA"/>
    <s v="MAÑANA"/>
    <d v="1899-12-30T12:10:00"/>
    <d v="1899-12-30T13:30:00"/>
    <d v="1899-12-30T01:20:00"/>
    <x v="29"/>
    <s v="Maquinaria"/>
    <s v="SET UP"/>
    <x v="0"/>
    <x v="3"/>
    <s v="Cambio de formato en máquina, barra por 40gramos."/>
    <s v="Se realizó el cambio de formato en máquina. Y se reemplazo pernos dañados "/>
    <x v="0"/>
    <x v="0"/>
    <s v=""/>
    <s v=""/>
    <s v=""/>
    <x v="2"/>
    <x v="0"/>
    <x v="20"/>
  </r>
  <r>
    <x v="92"/>
    <s v="CARLOS TAPIA"/>
    <s v="MAÑANA"/>
    <d v="1899-12-30T09:30:00"/>
    <d v="1899-12-30T10:15:00"/>
    <d v="1899-12-30T00:45:00"/>
    <x v="108"/>
    <s v="Area"/>
    <m/>
    <x v="2"/>
    <x v="3"/>
    <s v="Receso"/>
    <s v="Receso"/>
    <x v="0"/>
    <x v="0"/>
    <s v=""/>
    <s v=""/>
    <s v=""/>
    <x v="0"/>
    <x v="0"/>
    <x v="20"/>
  </r>
  <r>
    <x v="92"/>
    <s v="CARLOS TAPIA"/>
    <s v="MAÑANA"/>
    <d v="1899-12-30T09:05:00"/>
    <d v="1899-12-30T09:20:00"/>
    <d v="1899-12-30T00:15:00"/>
    <x v="15"/>
    <s v="Maquinaria"/>
    <s v="Sustitucion"/>
    <x v="1"/>
    <x v="1"/>
    <s v="Pistón gastado y/o rendido, no soporta el peso de calefactor en máquina."/>
    <s v="Se retiró y se reemplazo pistón."/>
    <x v="0"/>
    <x v="0"/>
    <s v=""/>
    <s v=""/>
    <s v=""/>
    <x v="72"/>
    <x v="0"/>
    <x v="20"/>
  </r>
  <r>
    <x v="92"/>
    <s v="CARLOS TAPIA"/>
    <s v="MAÑANA"/>
    <d v="1899-12-30T08:00:00"/>
    <d v="1899-12-30T08:20:00"/>
    <d v="1899-12-30T00:20:00"/>
    <x v="55"/>
    <s v="Maquinaria"/>
    <s v="Limpieza"/>
    <x v="1"/>
    <x v="2"/>
    <s v="Variación constante en temperatura de mordazas superior."/>
    <s v="Se revisó carbones y colector de mordazas, se realizó limpieza de carbones y se ajustó borneras de resistencia "/>
    <x v="0"/>
    <x v="0"/>
    <s v=""/>
    <s v=""/>
    <s v=""/>
    <x v="0"/>
    <x v="0"/>
    <x v="20"/>
  </r>
  <r>
    <x v="92"/>
    <s v="CARLOS TAPIA"/>
    <s v="MAÑANA"/>
    <d v="1899-12-30T07:40:00"/>
    <d v="1899-12-30T07:50:00"/>
    <d v="1899-12-30T00:10:00"/>
    <x v="16"/>
    <s v="Maquinaria"/>
    <s v="Sustitucion"/>
    <x v="1"/>
    <x v="1"/>
    <s v="Pernos dañado en tolva de descarga."/>
    <s v="Se revisó y se reemplazo perno inmediatamente."/>
    <x v="0"/>
    <x v="0"/>
    <s v=""/>
    <s v=""/>
    <s v=""/>
    <x v="228"/>
    <x v="0"/>
    <x v="20"/>
  </r>
  <r>
    <x v="92"/>
    <s v="CARLOS TAPIA"/>
    <s v="MAÑANA"/>
    <d v="1899-12-30T06:40:00"/>
    <d v="1899-12-30T07:00:00"/>
    <d v="1899-12-30T00:20:00"/>
    <x v="39"/>
    <s v="Maquinaria"/>
    <s v="Seguimiento / Pruebas"/>
    <x v="0"/>
    <x v="3"/>
    <s v="Inspección de máquina en funcionamiento "/>
    <s v="Se revisó y se dió seguimiento al funcionamiento de bomba de descarga."/>
    <x v="0"/>
    <x v="0"/>
    <s v=""/>
    <s v=""/>
    <s v=""/>
    <x v="0"/>
    <x v="0"/>
    <x v="20"/>
  </r>
  <r>
    <x v="92"/>
    <s v="Cesar Quiroz"/>
    <s v="MAÑANA"/>
    <d v="1899-12-30T05:47:00"/>
    <d v="1899-12-30T06:06:00"/>
    <d v="1899-12-30T00:19:00"/>
    <x v="31"/>
    <s v="Equipos auxiliares"/>
    <s v="Inspección"/>
    <x v="0"/>
    <x v="3"/>
    <s v="Revisión de funcionamiento y parámetros de trabajo"/>
    <s v=""/>
    <x v="0"/>
    <x v="0"/>
    <s v=""/>
    <s v=""/>
    <s v=""/>
    <x v="0"/>
    <x v="0"/>
    <x v="20"/>
  </r>
  <r>
    <x v="92"/>
    <s v="Cesar Quiroz"/>
    <s v="MAÑANA"/>
    <d v="1899-12-30T06:21:00"/>
    <d v="1899-12-30T06:44:00"/>
    <d v="1899-12-30T00:23:00"/>
    <x v="39"/>
    <s v="Maquinaria"/>
    <s v="Seguimiento / Pruebas"/>
    <x v="0"/>
    <x v="3"/>
    <s v="Revisión de funcionamiento de bomba de masa, prueba en vacio"/>
    <s v=""/>
    <x v="121"/>
    <x v="0"/>
    <s v=""/>
    <s v=""/>
    <s v=""/>
    <x v="0"/>
    <x v="1"/>
    <x v="20"/>
  </r>
  <r>
    <x v="92"/>
    <s v="Cesar Quiroz"/>
    <s v="MAÑANA"/>
    <d v="1899-12-30T06:47:00"/>
    <d v="1899-12-30T07:03:00"/>
    <d v="1899-12-30T00:16:00"/>
    <x v="15"/>
    <s v="Maquinaria"/>
    <s v="Sustitucion"/>
    <x v="1"/>
    <x v="1"/>
    <s v="Calefactor se cae"/>
    <s v="Pistón de gas rendido, se apoyo en cambio de pistón para evitar caída de calefactor"/>
    <x v="0"/>
    <x v="0"/>
    <s v=""/>
    <s v=""/>
    <s v=""/>
    <x v="133"/>
    <x v="0"/>
    <x v="20"/>
  </r>
  <r>
    <x v="92"/>
    <s v="Cesar Quiroz"/>
    <s v="MAÑANA"/>
    <d v="1899-12-30T07:17:00"/>
    <d v="1899-12-30T07:40:00"/>
    <d v="1899-12-30T00:23:00"/>
    <x v="28"/>
    <s v="Maquinaria"/>
    <s v="Ajuste /Calibracion"/>
    <x v="1"/>
    <x v="1"/>
    <s v="Sellado sale mal, cajas se pegan"/>
    <s v="Se regulo piezas y se realizó pruebas, se modifico temperaturas"/>
    <x v="0"/>
    <x v="0"/>
    <s v=""/>
    <s v=""/>
    <s v=""/>
    <x v="229"/>
    <x v="0"/>
    <x v="20"/>
  </r>
  <r>
    <x v="92"/>
    <s v="Cesar Quiroz"/>
    <s v="MAÑANA"/>
    <d v="1899-12-30T07:58:00"/>
    <d v="1899-12-30T08:19:00"/>
    <d v="1899-12-30T00:21:00"/>
    <x v="26"/>
    <s v="Maquinaria"/>
    <s v="Ajuste /Calibracion"/>
    <x v="1"/>
    <x v="1"/>
    <s v="Papel se arruga, brazo de módulo de corte suelto"/>
    <s v="Se regulo brazo de módulo de corte, se realizó pruebas "/>
    <x v="0"/>
    <x v="0"/>
    <s v=""/>
    <s v=""/>
    <s v=""/>
    <x v="49"/>
    <x v="0"/>
    <x v="20"/>
  </r>
  <r>
    <x v="92"/>
    <s v="Cesar Quiroz"/>
    <s v="MAÑANA"/>
    <d v="1899-12-30T08:25:00"/>
    <d v="1899-12-30T08:49:00"/>
    <d v="1899-12-30T00:24:00"/>
    <x v="55"/>
    <s v="Maquinaria"/>
    <s v="Limpieza"/>
    <x v="1"/>
    <x v="2"/>
    <s v="Variación de temperatura en mordaza"/>
    <s v="Se realizó limpieza y regulación de posición de carbones "/>
    <x v="0"/>
    <x v="0"/>
    <s v=""/>
    <s v=""/>
    <s v=""/>
    <x v="0"/>
    <x v="0"/>
    <x v="20"/>
  </r>
  <r>
    <x v="92"/>
    <s v="Cesar Quiroz"/>
    <s v="MAÑANA"/>
    <d v="1899-12-30T09:08:00"/>
    <d v="1899-12-30T09:39:00"/>
    <d v="1899-12-30T00:31:00"/>
    <x v="106"/>
    <s v="Maquinaria"/>
    <s v="Trabajos menores"/>
    <x v="0"/>
    <x v="3"/>
    <s v="Creación de recetas para productos de chocolatier"/>
    <s v=""/>
    <x v="122"/>
    <x v="0"/>
    <s v=""/>
    <s v=""/>
    <s v=""/>
    <x v="0"/>
    <x v="1"/>
    <x v="20"/>
  </r>
  <r>
    <x v="92"/>
    <s v="JOSÉ HAÑARI"/>
    <s v="TARDE"/>
    <d v="1899-12-30T13:10:00"/>
    <d v="1899-12-30T13:30:00"/>
    <d v="1899-12-30T00:20:00"/>
    <x v="18"/>
    <s v="Maquinaria"/>
    <s v="SET UP"/>
    <x v="0"/>
    <x v="3"/>
    <s v="Se desarma equipo ara límpieza"/>
    <s v=""/>
    <x v="0"/>
    <x v="0"/>
    <s v=""/>
    <s v=""/>
    <s v=""/>
    <x v="0"/>
    <x v="0"/>
    <x v="20"/>
  </r>
  <r>
    <x v="92"/>
    <s v="Omar Nina"/>
    <s v="NOCHE"/>
    <d v="1899-12-30T21:35:00"/>
    <d v="1899-12-30T21:48:00"/>
    <d v="1899-12-30T00:13:00"/>
    <x v="50"/>
    <s v="Maquinaria"/>
    <s v="Inspección"/>
    <x v="1"/>
    <x v="1"/>
    <s v="Fuga de agua en temperadora"/>
    <s v="Revisión de bomba de retorno de agua helada."/>
    <x v="0"/>
    <x v="11"/>
    <s v="Temperadora"/>
    <s v=""/>
    <s v=""/>
    <x v="115"/>
    <x v="1"/>
    <x v="20"/>
  </r>
  <r>
    <x v="92"/>
    <s v="Omar Nina"/>
    <s v="NOCHE"/>
    <d v="1899-12-30T22:05:00"/>
    <d v="1899-12-30T22:30:00"/>
    <d v="1899-12-30T00:25:00"/>
    <x v="28"/>
    <s v="Maquinaria"/>
    <s v="Ajuste /Calibracion"/>
    <x v="1"/>
    <x v="1"/>
    <s v="Cajas de pegan"/>
    <s v="Calibración de selladores y plegadores"/>
    <x v="0"/>
    <x v="0"/>
    <s v=""/>
    <s v=""/>
    <s v=""/>
    <x v="0"/>
    <x v="0"/>
    <x v="20"/>
  </r>
  <r>
    <x v="92"/>
    <s v="Omar Nina"/>
    <s v="NOCHE"/>
    <d v="1899-12-30T22:35:00"/>
    <d v="1899-12-30T22:50:00"/>
    <d v="1899-12-30T00:15:00"/>
    <x v="15"/>
    <s v="Maquinaria"/>
    <s v="Reparacion"/>
    <x v="1"/>
    <x v="1"/>
    <s v="Temperadora bloqueada, no cae chocolate a samfill "/>
    <s v="Revisión de filtro y calentamiento de tuberías "/>
    <x v="0"/>
    <x v="21"/>
    <s v="Sammfill"/>
    <s v="Temperadora"/>
    <s v=""/>
    <x v="59"/>
    <x v="1"/>
    <x v="20"/>
  </r>
  <r>
    <x v="92"/>
    <s v="Omar Nina"/>
    <s v="NOCHE"/>
    <d v="1899-12-30T23:10:00"/>
    <d v="1899-12-30T23:22:00"/>
    <d v="1899-12-30T00:12:00"/>
    <x v="25"/>
    <s v="Maquinaria"/>
    <s v="Ajuste /Calibracion"/>
    <x v="1"/>
    <x v="2"/>
    <s v="Faja se detiene "/>
    <s v="Se ajusta contactos en tablero de control "/>
    <x v="0"/>
    <x v="0"/>
    <s v=""/>
    <s v=""/>
    <s v=""/>
    <x v="124"/>
    <x v="0"/>
    <x v="20"/>
  </r>
  <r>
    <x v="92"/>
    <s v="Omar Nina"/>
    <s v="NOCHE"/>
    <s v="23:30"/>
    <s v="23:59"/>
    <d v="1899-12-30T00:29:00"/>
    <x v="29"/>
    <s v="Maquinaria"/>
    <s v="Inspección"/>
    <x v="0"/>
    <x v="3"/>
    <s v="Inspección de funcionamiento de equipo "/>
    <s v=""/>
    <x v="0"/>
    <x v="0"/>
    <s v=""/>
    <s v=""/>
    <s v=""/>
    <x v="0"/>
    <x v="0"/>
    <x v="20"/>
  </r>
  <r>
    <x v="92"/>
    <s v="Omar Nina"/>
    <s v="NOCHE"/>
    <s v="00:10"/>
    <s v="00:35"/>
    <d v="1899-12-30T00:25:00"/>
    <x v="15"/>
    <s v="Maquinaria"/>
    <s v="Inspección"/>
    <x v="0"/>
    <x v="3"/>
    <s v="Inspección de temperadora "/>
    <s v=""/>
    <x v="0"/>
    <x v="11"/>
    <s v="Temperadora"/>
    <s v=""/>
    <s v=""/>
    <x v="0"/>
    <x v="1"/>
    <x v="20"/>
  </r>
  <r>
    <x v="92"/>
    <s v="Omar Nina"/>
    <s v="NOCHE"/>
    <s v="00:40"/>
    <s v="01:45"/>
    <d v="1899-12-30T01:05:00"/>
    <x v="3"/>
    <s v="Maquinaria"/>
    <s v="SET UP"/>
    <x v="0"/>
    <x v="3"/>
    <s v="Cambio de formato, de bite size a mini milky "/>
    <s v="Cambio de mordaza, cadena y planchas"/>
    <x v="0"/>
    <x v="0"/>
    <s v=""/>
    <s v=""/>
    <s v=""/>
    <x v="2"/>
    <x v="0"/>
    <x v="20"/>
  </r>
  <r>
    <x v="92"/>
    <s v="Omar Nina"/>
    <s v="NOCHE"/>
    <s v="01:50"/>
    <s v="02:28"/>
    <d v="1899-12-30T00:38:00"/>
    <x v="15"/>
    <s v="Maquinaria"/>
    <s v="SET UP"/>
    <x v="0"/>
    <x v="3"/>
    <s v="Retiro de husillo, plancha y pistones para limpieza "/>
    <s v="Se espera que realicen limpieza y se vuelve a armar "/>
    <x v="93"/>
    <x v="0"/>
    <s v=""/>
    <s v=""/>
    <s v=""/>
    <x v="14"/>
    <x v="1"/>
    <x v="20"/>
  </r>
  <r>
    <x v="92"/>
    <s v="Omar Nina"/>
    <s v="NOCHE"/>
    <s v="02:30"/>
    <s v="03:15"/>
    <d v="1899-12-30T00:45:00"/>
    <x v="108"/>
    <s v="Area"/>
    <m/>
    <x v="2"/>
    <x v="3"/>
    <s v="Receso"/>
    <s v="Receso"/>
    <x v="0"/>
    <x v="0"/>
    <s v=""/>
    <s v=""/>
    <s v=""/>
    <x v="0"/>
    <x v="0"/>
    <x v="20"/>
  </r>
  <r>
    <x v="92"/>
    <s v="Omar Nina"/>
    <s v="NOCHE"/>
    <d v="1899-12-30T03:20:00"/>
    <d v="1899-12-30T03:50:00"/>
    <d v="1899-12-30T00:30:00"/>
    <x v="107"/>
    <s v="Maquinaria"/>
    <s v="Inspección"/>
    <x v="0"/>
    <x v="3"/>
    <s v="Inspección de equipo "/>
    <s v=""/>
    <x v="0"/>
    <x v="0"/>
    <s v=""/>
    <s v=""/>
    <s v=""/>
    <x v="0"/>
    <x v="0"/>
    <x v="20"/>
  </r>
  <r>
    <x v="92"/>
    <s v="Omar Nina"/>
    <s v="NOCHE"/>
    <d v="1899-12-30T04:00:00"/>
    <d v="1899-12-30T04:20:00"/>
    <d v="1899-12-30T00:20:00"/>
    <x v="39"/>
    <s v="Maquinaria"/>
    <s v="Seguimiento / Pruebas"/>
    <x v="0"/>
    <x v="3"/>
    <s v="Verificación de funcionamiento de equipo "/>
    <s v=""/>
    <x v="0"/>
    <x v="0"/>
    <s v=""/>
    <s v=""/>
    <s v=""/>
    <x v="0"/>
    <x v="0"/>
    <x v="20"/>
  </r>
  <r>
    <x v="92"/>
    <s v="Omar Nina"/>
    <s v="NOCHE"/>
    <d v="1899-12-30T04:30:00"/>
    <d v="1899-12-30T05:00:00"/>
    <d v="1899-12-30T00:30:00"/>
    <x v="3"/>
    <s v="Maquinaria"/>
    <s v="Inspección"/>
    <x v="0"/>
    <x v="3"/>
    <s v="Inspección de equipo "/>
    <s v=""/>
    <x v="0"/>
    <x v="0"/>
    <s v=""/>
    <s v=""/>
    <s v=""/>
    <x v="0"/>
    <x v="0"/>
    <x v="20"/>
  </r>
  <r>
    <x v="93"/>
    <s v="JOSÉ HAÑARI"/>
    <s v="TARDE"/>
    <d v="1899-12-30T15:10:00"/>
    <d v="1899-12-30T16:00:00"/>
    <d v="1899-12-30T00:50:00"/>
    <x v="29"/>
    <s v="Maquinaria"/>
    <s v="SET UP"/>
    <x v="0"/>
    <x v="3"/>
    <s v="Se realiza cambio de formato x50 "/>
    <s v=""/>
    <x v="0"/>
    <x v="0"/>
    <s v=""/>
    <s v=""/>
    <s v=""/>
    <x v="2"/>
    <x v="0"/>
    <x v="20"/>
  </r>
  <r>
    <x v="93"/>
    <s v="JOSÉ HAÑARI"/>
    <s v="TARDE"/>
    <d v="1899-12-30T13:10:00"/>
    <d v="1899-12-30T14:40:00"/>
    <d v="1899-12-30T01:30:00"/>
    <x v="22"/>
    <s v="Maquinaria"/>
    <s v="Limpieza"/>
    <x v="1"/>
    <x v="1"/>
    <s v="No corta "/>
    <s v="Se realiza inspección de sellador y se observa q la cuchilla perdió de aderencia contra el plástico se realizó limpieza "/>
    <x v="0"/>
    <x v="0"/>
    <s v=""/>
    <s v=""/>
    <s v=""/>
    <x v="12"/>
    <x v="0"/>
    <x v="20"/>
  </r>
  <r>
    <x v="93"/>
    <s v="JOSÉ HAÑARI"/>
    <s v="MAÑANA"/>
    <d v="1899-12-30T16:40:00"/>
    <d v="1899-12-30T16:50:00"/>
    <d v="1899-12-30T00:10:00"/>
    <x v="18"/>
    <s v="Maquinaria"/>
    <s v="SET UP"/>
    <x v="0"/>
    <x v="3"/>
    <s v="Se arma equipo "/>
    <s v=""/>
    <x v="0"/>
    <x v="0"/>
    <s v=""/>
    <s v=""/>
    <s v=""/>
    <x v="0"/>
    <x v="0"/>
    <x v="20"/>
  </r>
  <r>
    <x v="93"/>
    <s v="JOSÉ HAÑARI"/>
    <s v="TARDE"/>
    <d v="1899-12-30T17:10:00"/>
    <d v="1899-12-30T17:40:00"/>
    <d v="1899-12-30T00:30:00"/>
    <x v="54"/>
    <s v="Area"/>
    <s v="Sustitucion"/>
    <x v="1"/>
    <x v="1"/>
    <s v="Manija de camara de frio de segundo piso en mal estado "/>
    <s v="Se realiza cambio de manija "/>
    <x v="0"/>
    <x v="7"/>
    <s v="Camara De Temperado"/>
    <s v=""/>
    <s v=""/>
    <x v="66"/>
    <x v="1"/>
    <x v="20"/>
  </r>
  <r>
    <x v="93"/>
    <s v="JOSÉ HAÑARI"/>
    <s v="TARDE"/>
    <d v="1899-12-30T18:00:00"/>
    <d v="1899-12-30T18:30:00"/>
    <d v="1899-12-30T00:30:00"/>
    <x v="5"/>
    <s v="Maquinaria"/>
    <s v="SET UP"/>
    <x v="0"/>
    <x v="3"/>
    <s v="Se lleva pinzas al taller para cnio de goma "/>
    <s v=""/>
    <x v="104"/>
    <x v="0"/>
    <s v=""/>
    <s v=""/>
    <s v=""/>
    <x v="0"/>
    <x v="1"/>
    <x v="20"/>
  </r>
  <r>
    <x v="93"/>
    <s v="JOSÉ HAÑARI"/>
    <s v="TARDE"/>
    <d v="1899-12-30T19:25:00"/>
    <d v="1899-12-30T19:40:00"/>
    <d v="1899-12-30T00:15:00"/>
    <x v="29"/>
    <s v="Maquinaria"/>
    <s v="Ajuste /Calibracion"/>
    <x v="1"/>
    <x v="1"/>
    <s v="Mancha goma "/>
    <s v="Se calibrar dosificacion de goma en equipo "/>
    <x v="0"/>
    <x v="0"/>
    <s v=""/>
    <s v=""/>
    <s v=""/>
    <x v="40"/>
    <x v="0"/>
    <x v="20"/>
  </r>
  <r>
    <x v="93"/>
    <s v="JOSÉ HAÑARI"/>
    <s v="MAÑANA"/>
    <s v="19:45"/>
    <s v="20:00"/>
    <d v="1899-12-30T00:15:00"/>
    <x v="18"/>
    <s v="Maquinaria"/>
    <s v="SET UP"/>
    <x v="0"/>
    <x v="3"/>
    <s v="Se desarma netzsch para limpieza "/>
    <s v=""/>
    <x v="0"/>
    <x v="0"/>
    <s v=""/>
    <s v=""/>
    <s v=""/>
    <x v="0"/>
    <x v="0"/>
    <x v="20"/>
  </r>
  <r>
    <x v="94"/>
    <s v="Cesar Quiroz"/>
    <s v="MAÑANA"/>
    <s v="05:47"/>
    <s v="06:04"/>
    <d v="1899-12-30T00:17:00"/>
    <x v="31"/>
    <s v="Equipos auxiliares"/>
    <s v="Inspección"/>
    <x v="0"/>
    <x v="3"/>
    <s v="Revisión de funcionamiento y parámetros de trabajo"/>
    <s v=""/>
    <x v="0"/>
    <x v="0"/>
    <s v=""/>
    <s v=""/>
    <s v=""/>
    <x v="0"/>
    <x v="0"/>
    <x v="20"/>
  </r>
  <r>
    <x v="94"/>
    <s v="Cesar Quiroz"/>
    <s v="MAÑANA"/>
    <s v="06:16"/>
    <s v="06:29"/>
    <d v="1899-12-30T00:13:00"/>
    <x v="42"/>
    <s v="Maquinaria"/>
    <s v="Reparacion"/>
    <x v="1"/>
    <x v="2"/>
    <s v="Equipo no inicia"/>
    <s v="Se abrió tablero se restableció llaves y se habilitó equipo"/>
    <x v="0"/>
    <x v="0"/>
    <s v=""/>
    <s v=""/>
    <s v=""/>
    <x v="21"/>
    <x v="0"/>
    <x v="20"/>
  </r>
  <r>
    <x v="94"/>
    <s v="Cesar Quiroz"/>
    <s v="MAÑANA"/>
    <s v="06:32"/>
    <s v="06:49"/>
    <d v="1899-12-30T00:17:00"/>
    <x v="50"/>
    <s v="Maquinaria"/>
    <s v="Reparacion"/>
    <x v="1"/>
    <x v="1"/>
    <s v="Malla salta con quita cola"/>
    <s v="Se reviso y chocolate estaba muy espeso, se colocó a calentar y temperar nuevamente"/>
    <x v="0"/>
    <x v="0"/>
    <s v=""/>
    <s v=""/>
    <s v=""/>
    <x v="0"/>
    <x v="0"/>
    <x v="20"/>
  </r>
  <r>
    <x v="94"/>
    <s v="Cesar Quiroz"/>
    <s v="MAÑANA"/>
    <s v="06:54"/>
    <s v="07:33"/>
    <d v="1899-12-30T00:39:00"/>
    <x v="15"/>
    <s v="Maquinaria"/>
    <s v="SET UP"/>
    <x v="0"/>
    <x v="3"/>
    <s v="Requieren limpieza de módulo mds"/>
    <s v="Se desarmo mds formato agregados x100"/>
    <x v="0"/>
    <x v="1"/>
    <s v="Mds"/>
    <s v=""/>
    <s v=""/>
    <x v="0"/>
    <x v="1"/>
    <x v="20"/>
  </r>
  <r>
    <x v="94"/>
    <s v="Cesar Quiroz"/>
    <s v="MAÑANA"/>
    <d v="1899-12-30T07:38:00"/>
    <d v="1899-12-30T08:04:00"/>
    <d v="1899-12-30T00:26:00"/>
    <x v="70"/>
    <s v="Maquinaria"/>
    <s v="Limpieza"/>
    <x v="1"/>
    <x v="1"/>
    <s v="Equipo no arranca manda alarma"/>
    <s v="Se realizó limpieza de parte baja se retiró guardas y se habilitó"/>
    <x v="0"/>
    <x v="0"/>
    <s v=""/>
    <s v=""/>
    <s v=""/>
    <x v="10"/>
    <x v="0"/>
    <x v="20"/>
  </r>
  <r>
    <x v="94"/>
    <s v="JOSÉ HAÑARI"/>
    <s v="TARDE"/>
    <d v="1899-12-30T13:30:00"/>
    <d v="1899-12-30T14:20:00"/>
    <d v="1899-12-30T00:50:00"/>
    <x v="28"/>
    <s v="Maquinaria"/>
    <s v="Ajuste /Calibracion"/>
    <x v="1"/>
    <x v="1"/>
    <s v="Guias sueltas "/>
    <s v="Se realiza ajuste de guias en equipo demostrado los laterales "/>
    <x v="0"/>
    <x v="0"/>
    <s v=""/>
    <s v=""/>
    <s v=""/>
    <x v="49"/>
    <x v="0"/>
    <x v="20"/>
  </r>
  <r>
    <x v="94"/>
    <s v="JOSÉ HAÑARI"/>
    <s v="TARDE"/>
    <d v="1899-12-30T13:00:00"/>
    <d v="1899-12-30T13:15:00"/>
    <d v="1899-12-30T00:15:00"/>
    <x v="21"/>
    <s v="Area"/>
    <s v="Inspección"/>
    <x v="0"/>
    <x v="3"/>
    <s v="Se realiza inspección en sistema de pozos de agua potable y chillers"/>
    <s v="Se realiza el llenado de pozo de chillers "/>
    <x v="0"/>
    <x v="0"/>
    <s v=""/>
    <s v=""/>
    <s v=""/>
    <x v="0"/>
    <x v="0"/>
    <x v="20"/>
  </r>
  <r>
    <x v="95"/>
    <s v="Carlos Puma"/>
    <s v="MAÑANA"/>
    <d v="1899-12-30T06:40:00"/>
    <d v="1899-12-30T06:50:00"/>
    <d v="1899-12-30T00:10:00"/>
    <x v="43"/>
    <s v="Sistema"/>
    <s v="Ajuste /Calibracion"/>
    <x v="1"/>
    <x v="1"/>
    <s v="Bomba de agua potable descebada "/>
    <s v="Se cebo bomba "/>
    <x v="0"/>
    <x v="0"/>
    <s v=""/>
    <s v=""/>
    <s v=""/>
    <x v="72"/>
    <x v="0"/>
    <x v="21"/>
  </r>
  <r>
    <x v="95"/>
    <s v="Carlos Puma"/>
    <s v="MAÑANA"/>
    <d v="1899-12-30T07:00:00"/>
    <d v="1899-12-30T07:10:00"/>
    <d v="1899-12-30T00:10:00"/>
    <x v="30"/>
    <s v="Maquinaria"/>
    <s v="Encendido / Arranque de linea"/>
    <x v="0"/>
    <x v="3"/>
    <s v="Se apoyó en encendido de equipo , se inició en perfil avanzado"/>
    <s v=""/>
    <x v="0"/>
    <x v="0"/>
    <s v=""/>
    <s v=""/>
    <s v=""/>
    <x v="0"/>
    <x v="0"/>
    <x v="21"/>
  </r>
  <r>
    <x v="95"/>
    <s v="Carlos Puma"/>
    <s v="MAÑANA"/>
    <d v="1899-12-30T07:15:00"/>
    <d v="1899-12-30T07:40:00"/>
    <d v="1899-12-30T00:25:00"/>
    <x v="15"/>
    <s v="Maquinaria"/>
    <s v="Reparacion"/>
    <x v="1"/>
    <x v="1"/>
    <s v="Problemas en temperadora, no enfría tanque de agua fria"/>
    <s v="Se reviso compresor , se cargó gas refrigerante, se dejó temperando "/>
    <x v="0"/>
    <x v="5"/>
    <s v="Tanque"/>
    <s v="Temperadora"/>
    <s v=""/>
    <x v="96"/>
    <x v="1"/>
    <x v="21"/>
  </r>
  <r>
    <x v="95"/>
    <s v="CARLOS TAPIA"/>
    <s v="MAÑANA"/>
    <d v="1899-12-30T05:30:00"/>
    <d v="1899-12-30T06:30:00"/>
    <d v="1899-12-30T01:00:00"/>
    <x v="21"/>
    <s v="Area"/>
    <s v="Encendido / Arranque de linea"/>
    <x v="0"/>
    <x v="3"/>
    <s v="Arranque de planta"/>
    <s v="Se encendió equipos de vapor agua y aire."/>
    <x v="0"/>
    <x v="0"/>
    <s v=""/>
    <s v=""/>
    <s v=""/>
    <x v="0"/>
    <x v="0"/>
    <x v="21"/>
  </r>
  <r>
    <x v="95"/>
    <s v="CARLOS TAPIA"/>
    <s v="MAÑANA"/>
    <d v="1899-12-30T06:30:00"/>
    <d v="1899-12-30T07:00:00"/>
    <d v="1899-12-30T00:30:00"/>
    <x v="47"/>
    <s v="Maquinaria"/>
    <s v="Reparacion"/>
    <x v="1"/>
    <x v="1"/>
    <s v="Tanques de chocolate se encuentran fríos. No sé puede bombear chocolate a temperadora."/>
    <s v="Se revisó y encendió sistema de calefacción de tanques. Se informó a jefe de mantenimiento y a supervisor de producción. Ya que demoraría el calentamiento de tanques."/>
    <x v="0"/>
    <x v="5"/>
    <s v="Tanque"/>
    <s v="Temperadora"/>
    <s v=""/>
    <x v="0"/>
    <x v="1"/>
    <x v="21"/>
  </r>
  <r>
    <x v="95"/>
    <s v="CARLOS TAPIA"/>
    <s v="MAÑANA"/>
    <d v="1899-12-30T07:00:00"/>
    <d v="1899-12-30T07:30:00"/>
    <d v="1899-12-30T00:30:00"/>
    <x v="26"/>
    <s v="Maquinaria"/>
    <s v="Ajuste /Calibracion"/>
    <x v="1"/>
    <x v="1"/>
    <s v="Bandas de transporte no avanzan."/>
    <s v="Se revisó y se tensó banda principal "/>
    <x v="0"/>
    <x v="0"/>
    <s v=""/>
    <s v=""/>
    <s v=""/>
    <x v="37"/>
    <x v="0"/>
    <x v="21"/>
  </r>
  <r>
    <x v="95"/>
    <s v="CARLOS TAPIA"/>
    <s v="MAÑANA"/>
    <d v="1899-12-30T07:30:00"/>
    <d v="1899-12-30T09:00:00"/>
    <d v="1899-12-30T01:30:00"/>
    <x v="17"/>
    <s v="Maquinaria"/>
    <s v="SET UP"/>
    <x v="0"/>
    <x v="3"/>
    <s v="Armado de máquina "/>
    <s v="Se colocó piezas en posición y se habilitó maquina"/>
    <x v="0"/>
    <x v="0"/>
    <s v=""/>
    <s v=""/>
    <s v=""/>
    <x v="0"/>
    <x v="0"/>
    <x v="21"/>
  </r>
  <r>
    <x v="95"/>
    <s v="CARLOS TAPIA"/>
    <s v="MAÑANA"/>
    <d v="1899-12-30T09:30:00"/>
    <d v="1899-12-30T10:00:00"/>
    <d v="1899-12-30T00:30:00"/>
    <x v="107"/>
    <s v="Maquinaria"/>
    <s v="Seguimiento / Pruebas"/>
    <x v="0"/>
    <x v="3"/>
    <s v="Apoyo en máquina con la operación y carga de producto "/>
    <s v="Se dió seguimiento al funcionamiento y operación en máquina."/>
    <x v="8"/>
    <x v="0"/>
    <s v=""/>
    <s v=""/>
    <s v=""/>
    <x v="38"/>
    <x v="1"/>
    <x v="21"/>
  </r>
  <r>
    <x v="95"/>
    <s v="CARLOS TAPIA"/>
    <s v="MAÑANA"/>
    <d v="1899-12-30T10:00:00"/>
    <d v="1899-12-30T10:15:00"/>
    <d v="1899-12-30T00:15:00"/>
    <x v="94"/>
    <s v="Sistema"/>
    <s v="Sustitucion"/>
    <x v="1"/>
    <x v="1"/>
    <s v="Bomba pierde presión."/>
    <s v="Se revisó y se hizo el cambio de bomba y cierre de válvulas."/>
    <x v="0"/>
    <x v="0"/>
    <s v=""/>
    <s v=""/>
    <s v=""/>
    <x v="108"/>
    <x v="0"/>
    <x v="21"/>
  </r>
  <r>
    <x v="95"/>
    <s v="CARLOS TAPIA"/>
    <s v="MAÑANA"/>
    <d v="1899-12-30T10:45:00"/>
    <d v="1899-12-30T11:00:00"/>
    <d v="1899-12-30T00:15:00"/>
    <x v="90"/>
    <s v="Maquinaria"/>
    <s v="Inspección"/>
    <x v="1"/>
    <x v="2"/>
    <s v="Equipo no enciende y no gira."/>
    <s v="Se revisó tablero eléctrico y transmisión mecánica."/>
    <x v="0"/>
    <x v="0"/>
    <s v=""/>
    <s v=""/>
    <s v=""/>
    <x v="230"/>
    <x v="0"/>
    <x v="21"/>
  </r>
  <r>
    <x v="95"/>
    <s v="Cesar Quiroz"/>
    <s v="NOCHE"/>
    <d v="1899-12-30T21:13:00"/>
    <d v="1899-12-30T21:28:00"/>
    <d v="1899-12-30T00:15:00"/>
    <x v="31"/>
    <s v="Equipos auxiliares"/>
    <s v="Inspección"/>
    <x v="0"/>
    <x v="3"/>
    <s v="Revisión de funcionamiento y parámetros de trabajo "/>
    <s v=""/>
    <x v="0"/>
    <x v="0"/>
    <s v=""/>
    <s v=""/>
    <s v=""/>
    <x v="0"/>
    <x v="0"/>
    <x v="21"/>
  </r>
  <r>
    <x v="95"/>
    <s v="Cesar Quiroz"/>
    <s v="NOCHE"/>
    <d v="1899-12-30T21:41:00"/>
    <d v="1899-12-30T21:55:00"/>
    <d v="1899-12-30T00:14:00"/>
    <x v="15"/>
    <s v="Maquinaria"/>
    <s v="Inspección"/>
    <x v="1"/>
    <x v="2"/>
    <s v="Sale alarma constantemente de problemas con bomba de tina de samfill"/>
    <s v="Se revisa sensor, voltajes y tablero"/>
    <x v="0"/>
    <x v="12"/>
    <s v="Sammfill"/>
    <s v=""/>
    <s v=""/>
    <x v="10"/>
    <x v="1"/>
    <x v="21"/>
  </r>
  <r>
    <x v="95"/>
    <s v="Cesar Quiroz"/>
    <s v="NOCHE"/>
    <d v="1899-12-30T22:02:00"/>
    <d v="1899-12-30T22:28:00"/>
    <d v="1899-12-30T00:26:00"/>
    <x v="106"/>
    <s v="Maquinaria"/>
    <s v="Trabajos menores"/>
    <x v="0"/>
    <x v="3"/>
    <s v="Creación de receta para bombon ron "/>
    <s v=""/>
    <x v="80"/>
    <x v="0"/>
    <s v=""/>
    <s v=""/>
    <s v=""/>
    <x v="0"/>
    <x v="1"/>
    <x v="21"/>
  </r>
  <r>
    <x v="95"/>
    <s v="Cesar Quiroz"/>
    <s v="NOCHE"/>
    <d v="1899-12-30T22:32:00"/>
    <d v="1899-12-30T22:43:00"/>
    <d v="1899-12-30T00:11:00"/>
    <x v="55"/>
    <s v="Maquinaria"/>
    <s v="Capacitacion"/>
    <x v="0"/>
    <x v="3"/>
    <s v="Explicación y apoyo  en regulación de tensión de bobina"/>
    <s v=""/>
    <x v="32"/>
    <x v="0"/>
    <s v=""/>
    <s v=""/>
    <s v=""/>
    <x v="0"/>
    <x v="1"/>
    <x v="21"/>
  </r>
  <r>
    <x v="95"/>
    <s v="Cesar Quiroz"/>
    <s v="NOCHE"/>
    <d v="1899-12-30T22:46:00"/>
    <d v="1899-12-30T22:58:00"/>
    <d v="1899-12-30T00:12:00"/>
    <x v="39"/>
    <s v="Maquinaria"/>
    <s v="Reparacion"/>
    <x v="1"/>
    <x v="1"/>
    <s v="Válvula dañada , fuga de glucosa"/>
    <s v="Se cerró válvula de salida de tanque de glucosa para posterior reparacion"/>
    <x v="0"/>
    <x v="0"/>
    <s v=""/>
    <s v=""/>
    <s v=""/>
    <x v="231"/>
    <x v="0"/>
    <x v="21"/>
  </r>
  <r>
    <x v="95"/>
    <s v="Cesar Quiroz"/>
    <s v="NOCHE"/>
    <d v="1899-12-30T22:58:00"/>
    <d v="1899-12-30T23:37:00"/>
    <d v="1899-12-30T00:39:00"/>
    <x v="15"/>
    <s v="Maquinaria"/>
    <s v="Sustitucion"/>
    <x v="1"/>
    <x v="2"/>
    <s v="Problema de alarma en la tina"/>
    <s v="Se realizó cambio de sensor, y se realizó pruebas"/>
    <x v="0"/>
    <x v="0"/>
    <s v=""/>
    <s v=""/>
    <s v=""/>
    <x v="10"/>
    <x v="0"/>
    <x v="21"/>
  </r>
  <r>
    <x v="95"/>
    <s v="Cesar Quiroz"/>
    <s v="NOCHE"/>
    <d v="1899-12-30T23:35:00"/>
    <d v="1899-12-30T00:10:00"/>
    <d v="1899-12-30T00:35:00"/>
    <x v="39"/>
    <s v="Maquinaria"/>
    <s v="Reparacion"/>
    <x v="1"/>
    <x v="1"/>
    <s v="Fuga de glucosa por valvula de tuberia"/>
    <s v="Se desarmo válvula, se llevó a taller, se soldo eje roto, se armó válvula J"/>
    <x v="0"/>
    <x v="0"/>
    <s v=""/>
    <s v=""/>
    <s v=""/>
    <x v="18"/>
    <x v="0"/>
    <x v="21"/>
  </r>
  <r>
    <x v="95"/>
    <s v="JOSÉ HAÑARI"/>
    <s v="TARDE"/>
    <d v="1899-12-30T17:52:00"/>
    <d v="1899-12-30T18:34:00"/>
    <d v="1899-12-30T00:42:00"/>
    <x v="50"/>
    <s v="Maquinaria"/>
    <s v="Seguimiento / Pruebas"/>
    <x v="0"/>
    <x v="3"/>
    <s v="Se apoya en faja de bañadora "/>
    <s v=""/>
    <x v="9"/>
    <x v="0"/>
    <s v=""/>
    <s v=""/>
    <s v=""/>
    <x v="0"/>
    <x v="1"/>
    <x v="21"/>
  </r>
  <r>
    <x v="95"/>
    <s v="JOSÉ HAÑARI"/>
    <s v="TARDE"/>
    <d v="1899-12-30T13:10:00"/>
    <d v="1899-12-30T13:30:00"/>
    <d v="1899-12-30T00:20:00"/>
    <x v="22"/>
    <s v="Maquinaria"/>
    <s v="Ajuste /Calibracion"/>
    <x v="1"/>
    <x v="2"/>
    <s v="Equipo no enciende "/>
    <s v="Se realiza encendido de llave de seguridad "/>
    <x v="0"/>
    <x v="0"/>
    <s v=""/>
    <s v=""/>
    <s v=""/>
    <x v="58"/>
    <x v="0"/>
    <x v="21"/>
  </r>
  <r>
    <x v="95"/>
    <s v="JOSÉ HAÑARI"/>
    <s v="TARDE"/>
    <d v="1899-12-30T13:33:00"/>
    <d v="1899-12-30T14:10:00"/>
    <d v="1899-12-30T00:37:00"/>
    <x v="74"/>
    <s v="Area"/>
    <s v="Ajuste /Calibracion"/>
    <x v="1"/>
    <x v="2"/>
    <s v="Cyclop columna fría "/>
    <s v="Se realiza el caliéntamiento correspondiente de la máquina y se resetea variador "/>
    <x v="0"/>
    <x v="2"/>
    <s v="Columna"/>
    <s v=""/>
    <s v=""/>
    <x v="0"/>
    <x v="1"/>
    <x v="21"/>
  </r>
  <r>
    <x v="95"/>
    <s v="JOSÉ HAÑARI"/>
    <s v="TARDE"/>
    <d v="1899-12-30T14:15:00"/>
    <d v="1899-12-30T14:30:00"/>
    <d v="1899-12-30T00:15:00"/>
    <x v="7"/>
    <s v="Maquinaria"/>
    <s v="SET UP"/>
    <x v="0"/>
    <x v="3"/>
    <s v="Se saca husillo para limpieza "/>
    <s v=""/>
    <x v="17"/>
    <x v="0"/>
    <s v=""/>
    <s v=""/>
    <s v=""/>
    <x v="0"/>
    <x v="1"/>
    <x v="21"/>
  </r>
  <r>
    <x v="95"/>
    <s v="JOSÉ HAÑARI"/>
    <s v="TARDE"/>
    <d v="1899-12-30T14:40:00"/>
    <d v="1899-12-30T15:15:00"/>
    <d v="1899-12-30T00:35:00"/>
    <x v="55"/>
    <s v="Maquinaria"/>
    <s v="Reparacion"/>
    <x v="1"/>
    <x v="1"/>
    <s v="Guarda de soldada "/>
    <s v="Se realiza soldadura en guarda y se deja en equipo "/>
    <x v="0"/>
    <x v="0"/>
    <s v=""/>
    <s v=""/>
    <s v=""/>
    <x v="0"/>
    <x v="0"/>
    <x v="21"/>
  </r>
  <r>
    <x v="95"/>
    <s v="JOSÉ HAÑARI"/>
    <s v="TARDE"/>
    <d v="1899-12-30T15:30:00"/>
    <d v="1899-12-30T16:50:00"/>
    <d v="1899-12-30T01:20:00"/>
    <x v="106"/>
    <s v="Maquinaria"/>
    <s v="Trabajos menores"/>
    <x v="0"/>
    <x v="3"/>
    <s v="Falta de receta en rayos x "/>
    <s v="Se realiza creación de receta en rayos x pelota,alpaca y barra x80"/>
    <x v="0"/>
    <x v="0"/>
    <s v=""/>
    <s v=""/>
    <s v=""/>
    <x v="0"/>
    <x v="0"/>
    <x v="21"/>
  </r>
  <r>
    <x v="95"/>
    <s v="JOSÉ HAÑARI"/>
    <s v="TARDE"/>
    <d v="1899-12-30T17:00:00"/>
    <d v="1899-12-30T17:30:00"/>
    <d v="1899-12-30T00:30:00"/>
    <x v="15"/>
    <s v="Maquinaria"/>
    <s v="Reparacion"/>
    <x v="1"/>
    <x v="1"/>
    <s v="Túnel de enfriamiento no llega a seteado puesto "/>
    <s v="Se realiza seguimiento de presiones y recarga de gas "/>
    <x v="0"/>
    <x v="0"/>
    <s v=""/>
    <s v=""/>
    <s v=""/>
    <x v="96"/>
    <x v="0"/>
    <x v="21"/>
  </r>
  <r>
    <x v="95"/>
    <s v="Omar Nina"/>
    <s v="TARDE"/>
    <d v="1899-12-30T12:50:00"/>
    <d v="1899-12-30T14:00:00"/>
    <d v="1899-12-30T01:10:00"/>
    <x v="52"/>
    <s v="Area"/>
    <s v="Limpieza"/>
    <x v="0"/>
    <x v="3"/>
    <s v="Apoyo en limpieza y orden de taller"/>
    <s v="Traslado de accesorios a tacho de chatarras "/>
    <x v="0"/>
    <x v="0"/>
    <s v=""/>
    <s v=""/>
    <s v=""/>
    <x v="0"/>
    <x v="0"/>
    <x v="21"/>
  </r>
  <r>
    <x v="95"/>
    <s v="Omar Nina"/>
    <s v="TARDE"/>
    <d v="1899-12-30T14:10:00"/>
    <d v="1899-12-30T14:49:00"/>
    <d v="1899-12-30T00:39:00"/>
    <x v="39"/>
    <s v="Maquinaria"/>
    <s v="Seguimiento / Pruebas"/>
    <x v="0"/>
    <x v="3"/>
    <s v="Seguimiento proceso de cocción y verificación de vacío "/>
    <s v=""/>
    <x v="0"/>
    <x v="0"/>
    <s v=""/>
    <s v=""/>
    <s v=""/>
    <x v="0"/>
    <x v="0"/>
    <x v="21"/>
  </r>
  <r>
    <x v="95"/>
    <s v="Omar Nina"/>
    <s v="TARDE"/>
    <d v="1899-12-30T14:55:00"/>
    <d v="1899-12-30T15:15:00"/>
    <d v="1899-12-30T00:20:00"/>
    <x v="47"/>
    <s v="Maquinaria"/>
    <s v="Reparacion"/>
    <x v="1"/>
    <x v="2"/>
    <s v="Temperadora bloqueada "/>
    <s v="Se restablece guardamotor y se da seguimiento de consumo de corriente durante temperado "/>
    <x v="0"/>
    <x v="11"/>
    <s v="Temperadora"/>
    <s v=""/>
    <s v=""/>
    <x v="25"/>
    <x v="1"/>
    <x v="21"/>
  </r>
  <r>
    <x v="95"/>
    <s v="Omar Nina"/>
    <s v="TARDE"/>
    <d v="1899-12-30T15:26:00"/>
    <d v="1899-12-30T15:55:00"/>
    <d v="1899-12-30T00:29:00"/>
    <x v="55"/>
    <s v="Maquinaria"/>
    <s v="Sustitucion"/>
    <x v="1"/>
    <x v="2"/>
    <s v="Planchas chocan con el disco, sensor de empujadores se encuentra dañado."/>
    <s v="Calibración posición de planchas y cambio de sensor."/>
    <x v="0"/>
    <x v="0"/>
    <s v=""/>
    <s v=""/>
    <s v=""/>
    <x v="232"/>
    <x v="0"/>
    <x v="21"/>
  </r>
  <r>
    <x v="95"/>
    <s v="Omar Nina"/>
    <s v="TARDE"/>
    <d v="1899-12-30T16:10:00"/>
    <d v="1899-12-30T16:40:00"/>
    <d v="1899-12-30T00:30:00"/>
    <x v="50"/>
    <s v="Maquinaria"/>
    <s v="Ajuste /Calibracion"/>
    <x v="1"/>
    <x v="1"/>
    <s v="Faja de túnel se encuentra desalineada"/>
    <s v="Se calibra posición de sensores y se ajusta rascadores de los polines"/>
    <x v="0"/>
    <x v="0"/>
    <s v=""/>
    <s v=""/>
    <s v=""/>
    <x v="8"/>
    <x v="0"/>
    <x v="21"/>
  </r>
  <r>
    <x v="95"/>
    <s v="Omar Nina"/>
    <s v="TARDE"/>
    <d v="1899-12-30T16:55:00"/>
    <d v="1899-12-30T17:15:00"/>
    <d v="1899-12-30T00:20:00"/>
    <x v="107"/>
    <s v="Maquinaria"/>
    <s v="Inspección"/>
    <x v="0"/>
    <x v="3"/>
    <s v="Inspección de equipo "/>
    <s v=""/>
    <x v="0"/>
    <x v="0"/>
    <s v=""/>
    <s v=""/>
    <s v=""/>
    <x v="0"/>
    <x v="0"/>
    <x v="21"/>
  </r>
  <r>
    <x v="95"/>
    <s v="Omar Nina"/>
    <s v="TARDE"/>
    <d v="1899-12-30T17:20:00"/>
    <d v="1899-12-30T17:30:00"/>
    <d v="1899-12-30T00:10:00"/>
    <x v="15"/>
    <s v="Maquinaria"/>
    <s v="Reparacion"/>
    <x v="1"/>
    <x v="1"/>
    <s v="Temperatura de túnel no llega a su setpoin "/>
    <s v="Se agrega un poco de refrigerante y se informa para realizar compra y agregar más "/>
    <x v="0"/>
    <x v="0"/>
    <s v=""/>
    <s v=""/>
    <s v=""/>
    <x v="0"/>
    <x v="0"/>
    <x v="21"/>
  </r>
  <r>
    <x v="95"/>
    <s v="Omar Nina"/>
    <s v="TARDE"/>
    <d v="1899-12-30T17:40:00"/>
    <d v="1899-12-30T18:25:00"/>
    <d v="1899-12-30T00:45:00"/>
    <x v="108"/>
    <s v="Area"/>
    <m/>
    <x v="2"/>
    <x v="3"/>
    <s v="Receso"/>
    <s v=""/>
    <x v="0"/>
    <x v="0"/>
    <s v=""/>
    <s v=""/>
    <s v=""/>
    <x v="0"/>
    <x v="0"/>
    <x v="21"/>
  </r>
  <r>
    <x v="95"/>
    <s v="Omar Nina"/>
    <s v="TARDE"/>
    <d v="1899-12-30T18:30:00"/>
    <d v="1899-12-30T19:30:00"/>
    <d v="1899-12-30T01:00:00"/>
    <x v="15"/>
    <s v="Maquinaria"/>
    <s v="SET UP"/>
    <x v="0"/>
    <x v="3"/>
    <s v="Cambio de formato en MDS, de agregados x50 a fondy menta"/>
    <s v="Se desarma equipo y se vuelve a armar para crema"/>
    <x v="0"/>
    <x v="1"/>
    <s v="Mds"/>
    <s v=""/>
    <s v=""/>
    <x v="2"/>
    <x v="1"/>
    <x v="21"/>
  </r>
  <r>
    <x v="95"/>
    <s v="Omar Nina"/>
    <s v="TARDE"/>
    <d v="1899-12-30T19:40:00"/>
    <d v="1899-12-30T20:50:00"/>
    <d v="1899-12-30T01:10:00"/>
    <x v="55"/>
    <s v="Maquinaria"/>
    <s v="Mejora"/>
    <x v="0"/>
    <x v="3"/>
    <s v="Corte de laminado sale de diferentes tamaños."/>
    <s v="Se modifica freno, se coloca espárrago y tuerca para mejorar la calibración "/>
    <x v="123"/>
    <x v="0"/>
    <s v=""/>
    <s v=""/>
    <s v=""/>
    <x v="50"/>
    <x v="1"/>
    <x v="21"/>
  </r>
  <r>
    <x v="96"/>
    <s v="JOSÉ HAÑARI"/>
    <s v="MAÑANA"/>
    <d v="1899-12-30T13:00:00"/>
    <d v="1899-12-30T13:30:00"/>
    <d v="1899-12-30T00:30:00"/>
    <x v="94"/>
    <s v="Sistema"/>
    <s v="Reparacion"/>
    <x v="1"/>
    <x v="1"/>
    <s v="Se realiza sebado de bomba de presión constante "/>
    <s v=""/>
    <x v="0"/>
    <x v="0"/>
    <s v=""/>
    <s v=""/>
    <s v=""/>
    <x v="108"/>
    <x v="0"/>
    <x v="21"/>
  </r>
  <r>
    <x v="96"/>
    <s v="JOSÉ HAÑARI"/>
    <s v="TARDE"/>
    <d v="1899-12-30T13:40:00"/>
    <d v="1899-12-30T14:15:00"/>
    <d v="1899-12-30T00:35:00"/>
    <x v="28"/>
    <s v="Maquinaria"/>
    <s v="SET UP"/>
    <x v="0"/>
    <x v="3"/>
    <s v="Se cambia formato x90"/>
    <s v=""/>
    <x v="0"/>
    <x v="0"/>
    <s v=""/>
    <s v=""/>
    <s v=""/>
    <x v="2"/>
    <x v="0"/>
    <x v="21"/>
  </r>
  <r>
    <x v="96"/>
    <s v="JOSÉ HAÑARI"/>
    <s v="TARDE"/>
    <d v="1899-12-30T15:30:00"/>
    <d v="1899-12-30T16:00:00"/>
    <d v="1899-12-30T00:30:00"/>
    <x v="3"/>
    <s v="Maquinaria"/>
    <s v="Ajuste /Calibracion"/>
    <x v="1"/>
    <x v="1"/>
    <s v="Flowpack no sella "/>
    <s v="Se apoya calibración de flowpack 2"/>
    <x v="0"/>
    <x v="0"/>
    <s v=""/>
    <s v=""/>
    <s v=""/>
    <x v="29"/>
    <x v="0"/>
    <x v="21"/>
  </r>
  <r>
    <x v="96"/>
    <s v="JOSÉ HAÑARI"/>
    <s v="TARDE"/>
    <d v="1899-12-30T16:05:00"/>
    <d v="1899-12-30T16:25:00"/>
    <d v="1899-12-30T00:20:00"/>
    <x v="21"/>
    <s v="Area"/>
    <s v="Trabajos menores"/>
    <x v="0"/>
    <x v="3"/>
    <s v="Se realiza el cambio de pozos de agua potable "/>
    <s v=""/>
    <x v="0"/>
    <x v="0"/>
    <s v=""/>
    <s v=""/>
    <s v=""/>
    <x v="0"/>
    <x v="0"/>
    <x v="21"/>
  </r>
  <r>
    <x v="96"/>
    <s v="JOSÉ HAÑARI"/>
    <s v="TARDE"/>
    <d v="1899-12-30T16:30:00"/>
    <d v="1899-12-30T17:00:00"/>
    <d v="1899-12-30T00:30:00"/>
    <x v="15"/>
    <s v="Maquinaria"/>
    <s v="Reparacion"/>
    <x v="1"/>
    <x v="1"/>
    <s v="Temperadora bloqueada "/>
    <s v="Se apoya en equipo "/>
    <x v="0"/>
    <x v="11"/>
    <s v="Temperadora"/>
    <s v=""/>
    <s v=""/>
    <x v="25"/>
    <x v="1"/>
    <x v="21"/>
  </r>
  <r>
    <x v="96"/>
    <s v="JOSÉ HAÑARI"/>
    <s v="TARDE"/>
    <d v="1899-12-30T17:05:00"/>
    <d v="1899-12-30T17:25:00"/>
    <d v="1899-12-30T00:20:00"/>
    <x v="21"/>
    <s v="Area"/>
    <s v="Reparacion"/>
    <x v="0"/>
    <x v="3"/>
    <s v="Requiere habilitación de extensión para tercero "/>
    <s v="Soldadura en tubería de retorno de caldera "/>
    <x v="0"/>
    <x v="4"/>
    <s v="Extension"/>
    <s v=""/>
    <s v=""/>
    <x v="0"/>
    <x v="1"/>
    <x v="21"/>
  </r>
  <r>
    <x v="96"/>
    <s v="JOSÉ HAÑARI"/>
    <s v="TARDE"/>
    <d v="1899-12-30T17:30:00"/>
    <d v="1899-12-30T18:00:00"/>
    <d v="1899-12-30T00:30:00"/>
    <x v="15"/>
    <s v="Maquinaria"/>
    <s v="SET UP"/>
    <x v="0"/>
    <x v="3"/>
    <s v="Se cambia formato a mds a a cremas redondas "/>
    <s v=""/>
    <x v="0"/>
    <x v="1"/>
    <s v="Mds"/>
    <s v=""/>
    <s v=""/>
    <x v="2"/>
    <x v="1"/>
    <x v="21"/>
  </r>
  <r>
    <x v="96"/>
    <s v="JOSÉ HAÑARI"/>
    <s v="TARDE"/>
    <d v="1899-12-30T18:10:00"/>
    <d v="1899-12-30T18:35:00"/>
    <d v="1899-12-30T00:25:00"/>
    <x v="71"/>
    <s v="Maquinaria"/>
    <s v="Ajuste /Calibracion"/>
    <x v="1"/>
    <x v="1"/>
    <s v="No sé separan las fajas de arrastre "/>
    <s v="Se  calibrar fajas de arrastre "/>
    <x v="0"/>
    <x v="0"/>
    <s v=""/>
    <s v=""/>
    <s v=""/>
    <x v="0"/>
    <x v="0"/>
    <x v="21"/>
  </r>
  <r>
    <x v="96"/>
    <s v="JOSÉ HAÑARI"/>
    <s v="TARDE"/>
    <d v="1899-12-30T19:40:00"/>
    <d v="1899-12-30T20:15:00"/>
    <d v="1899-12-30T00:35:00"/>
    <x v="112"/>
    <s v=""/>
    <s v="SET UP"/>
    <x v="0"/>
    <x v="3"/>
    <s v="Se cambia formato x180"/>
    <s v=""/>
    <x v="0"/>
    <x v="0"/>
    <s v=""/>
    <s v=""/>
    <s v=""/>
    <x v="2"/>
    <x v="0"/>
    <x v="21"/>
  </r>
  <r>
    <x v="96"/>
    <s v="JOSÉ HAÑARI"/>
    <s v="TARDE"/>
    <d v="1899-12-30T20:30:00"/>
    <d v="1899-12-30T21:00:00"/>
    <d v="1899-12-30T00:30:00"/>
    <x v="15"/>
    <s v="Maquinaria"/>
    <s v="SET UP"/>
    <x v="0"/>
    <x v="3"/>
    <s v="Se cambia formato a cremas ovaladas "/>
    <s v=""/>
    <x v="0"/>
    <x v="0"/>
    <s v=""/>
    <s v=""/>
    <s v=""/>
    <x v="2"/>
    <x v="0"/>
    <x v="21"/>
  </r>
  <r>
    <x v="96"/>
    <s v="Cesar Quiroz"/>
    <s v="NOCHE"/>
    <d v="1899-12-30T21:17:00"/>
    <d v="1899-12-30T21:31:00"/>
    <d v="1899-12-30T00:14:00"/>
    <x v="31"/>
    <s v="Equipos auxiliares"/>
    <s v="Inspección"/>
    <x v="0"/>
    <x v="3"/>
    <s v="Revisión de funcionamiento y parámetros de trabajo "/>
    <s v=""/>
    <x v="0"/>
    <x v="0"/>
    <s v=""/>
    <s v=""/>
    <s v=""/>
    <x v="0"/>
    <x v="0"/>
    <x v="21"/>
  </r>
  <r>
    <x v="96"/>
    <s v="Cesar Quiroz"/>
    <s v="NOCHE"/>
    <d v="1899-12-30T21:48:00"/>
    <d v="1899-12-30T22:09:00"/>
    <d v="1899-12-30T00:21:00"/>
    <x v="15"/>
    <s v="Maquinaria"/>
    <s v="Ajuste /Calibracion"/>
    <x v="1"/>
    <x v="1"/>
    <s v="Fuga de crema en plancha de módulo mds, falla de actuador a10, habilitación de mds"/>
    <s v="Se ajusta bien plancha de módulo, se regula aire de actuador y posición de sensor"/>
    <x v="0"/>
    <x v="1"/>
    <s v="Mds"/>
    <s v=""/>
    <s v=""/>
    <x v="18"/>
    <x v="1"/>
    <x v="21"/>
  </r>
  <r>
    <x v="96"/>
    <s v="Cesar Quiroz"/>
    <s v="NOCHE"/>
    <d v="1899-12-30T22:11:00"/>
    <d v="1899-12-30T22:27:00"/>
    <d v="1899-12-30T00:16:00"/>
    <x v="3"/>
    <s v="Maquinaria"/>
    <s v="SET UP"/>
    <x v="0"/>
    <x v="3"/>
    <s v="Apoyo en habilitación de equipo"/>
    <s v=""/>
    <x v="0"/>
    <x v="0"/>
    <s v=""/>
    <s v=""/>
    <s v=""/>
    <x v="0"/>
    <x v="0"/>
    <x v="21"/>
  </r>
  <r>
    <x v="96"/>
    <s v="Cesar Quiroz"/>
    <s v="NOCHE"/>
    <d v="1899-12-30T22:33:00"/>
    <d v="1899-12-30T23:02:00"/>
    <d v="1899-12-30T00:29:00"/>
    <x v="26"/>
    <s v="Maquinaria"/>
    <s v="Ajuste /Calibracion"/>
    <x v="1"/>
    <x v="1"/>
    <s v="Contraelevador tiene rose con pinzas, banda se mueve a un costado"/>
    <s v="Se endereza contraelevador, se regula posición de bandas "/>
    <x v="0"/>
    <x v="15"/>
    <s v="Contraelevador"/>
    <s v=""/>
    <s v=""/>
    <x v="0"/>
    <x v="1"/>
    <x v="21"/>
  </r>
  <r>
    <x v="96"/>
    <s v="Cesar Quiroz"/>
    <s v="NOCHE"/>
    <d v="1899-12-30T23:06:00"/>
    <d v="1899-12-30T23:32:00"/>
    <d v="1899-12-30T00:26:00"/>
    <x v="29"/>
    <s v="Maquinaria"/>
    <s v="Ajuste /Calibracion"/>
    <x v="1"/>
    <x v="1"/>
    <s v="Producto sale manchado con goma, no pega bien un costado, producto se atasca en volteador de producto"/>
    <s v="Se regulo parámetros de goma y se realizó pruebas, se modifico dosificación de goma, se regulo posición de piezas"/>
    <x v="0"/>
    <x v="0"/>
    <s v=""/>
    <s v=""/>
    <s v=""/>
    <x v="233"/>
    <x v="0"/>
    <x v="21"/>
  </r>
  <r>
    <x v="96"/>
    <s v="Cesar Quiroz"/>
    <s v="NOCHE"/>
    <d v="1899-12-30T23:37:00"/>
    <d v="1899-12-30T23:57:00"/>
    <d v="1899-12-30T00:20:00"/>
    <x v="43"/>
    <s v="Sistema"/>
    <s v="Trabajos menores"/>
    <x v="0"/>
    <x v="3"/>
    <s v="Llenado de pozo, desde pozo del exterior"/>
    <s v=""/>
    <x v="0"/>
    <x v="0"/>
    <s v=""/>
    <s v=""/>
    <s v=""/>
    <x v="0"/>
    <x v="0"/>
    <x v="21"/>
  </r>
  <r>
    <x v="96"/>
    <s v="Cesar Quiroz"/>
    <s v="NOCHE"/>
    <d v="1899-12-30T00:06:00"/>
    <d v="1899-12-30T00:38:00"/>
    <d v="1899-12-30T00:32:00"/>
    <x v="15"/>
    <s v="Maquinaria"/>
    <s v="SET UP"/>
    <x v="0"/>
    <x v="3"/>
    <s v="Desarmado de formato cremas de mds para limpieza"/>
    <s v=""/>
    <x v="0"/>
    <x v="1"/>
    <s v="Mds"/>
    <s v=""/>
    <s v=""/>
    <x v="2"/>
    <x v="1"/>
    <x v="21"/>
  </r>
  <r>
    <x v="96"/>
    <s v="Cesar Quiroz"/>
    <s v="NOCHE"/>
    <d v="1899-12-30T00:55:00"/>
    <d v="1899-12-30T01:26:00"/>
    <d v="1899-12-30T00:31:00"/>
    <x v="15"/>
    <s v="Maquinaria"/>
    <s v="SET UP"/>
    <x v="0"/>
    <x v="3"/>
    <s v="Armado de formato cremas de mds"/>
    <s v=""/>
    <x v="0"/>
    <x v="1"/>
    <s v="Mds"/>
    <s v=""/>
    <s v=""/>
    <x v="2"/>
    <x v="1"/>
    <x v="21"/>
  </r>
  <r>
    <x v="96"/>
    <s v="Carlos Puma"/>
    <s v="MAÑANA"/>
    <d v="1899-12-30T06:20:00"/>
    <d v="1899-12-30T07:41:00"/>
    <d v="1899-12-30T01:21:00"/>
    <x v="28"/>
    <s v="Maquinaria"/>
    <s v="Ajuste /Calibracion"/>
    <x v="0"/>
    <x v="3"/>
    <s v="Calibración para formato x18"/>
    <s v=""/>
    <x v="0"/>
    <x v="0"/>
    <s v=""/>
    <s v=""/>
    <s v=""/>
    <x v="93"/>
    <x v="0"/>
    <x v="21"/>
  </r>
  <r>
    <x v="96"/>
    <s v="Carlos Puma"/>
    <s v="MAÑANA"/>
    <d v="1899-12-30T07:50:00"/>
    <d v="1899-12-30T08:30:00"/>
    <d v="1899-12-30T00:40:00"/>
    <x v="55"/>
    <s v="Maquinaria"/>
    <s v="Limpieza"/>
    <x v="1"/>
    <x v="2"/>
    <s v="Temperatura de mordazas varian"/>
    <s v="Se retiró guarda y verifo estado de sensores y borneras , se limpio carboness"/>
    <x v="0"/>
    <x v="0"/>
    <s v=""/>
    <s v=""/>
    <s v=""/>
    <x v="0"/>
    <x v="0"/>
    <x v="21"/>
  </r>
  <r>
    <x v="96"/>
    <s v="Carlos Puma"/>
    <s v="MAÑANA"/>
    <d v="1899-12-30T08:40:00"/>
    <d v="1899-12-30T09:10:00"/>
    <d v="1899-12-30T00:30:00"/>
    <x v="27"/>
    <s v="Maquinaria"/>
    <s v="Reparacion"/>
    <x v="0"/>
    <x v="3"/>
    <s v="Apoyó a técnico de turno en intervención en máquina "/>
    <s v=""/>
    <x v="0"/>
    <x v="0"/>
    <s v=""/>
    <s v=""/>
    <s v=""/>
    <x v="0"/>
    <x v="0"/>
    <x v="21"/>
  </r>
  <r>
    <x v="96"/>
    <s v="Carlos Puma"/>
    <s v="MAÑANA"/>
    <d v="1899-12-30T09:18:00"/>
    <d v="1899-12-30T09:30:00"/>
    <d v="1899-12-30T00:12:00"/>
    <x v="13"/>
    <s v="Maquinaria"/>
    <s v="Ajuste /Calibracion"/>
    <x v="1"/>
    <x v="1"/>
    <s v="Cuchilla no corta el laminado "/>
    <s v="Se regulo cuchilla "/>
    <x v="0"/>
    <x v="0"/>
    <s v=""/>
    <s v=""/>
    <s v=""/>
    <x v="42"/>
    <x v="0"/>
    <x v="21"/>
  </r>
  <r>
    <x v="96"/>
    <s v="Carlos Puma"/>
    <s v="MAÑANA"/>
    <d v="1899-12-30T09:40:00"/>
    <d v="1899-12-30T10:00:00"/>
    <d v="1899-12-30T00:20:00"/>
    <x v="43"/>
    <s v="Sistema"/>
    <s v="Inspección"/>
    <x v="0"/>
    <x v="3"/>
    <s v="Inspección de bomba inoperativa"/>
    <s v=""/>
    <x v="80"/>
    <x v="0"/>
    <s v=""/>
    <s v=""/>
    <s v=""/>
    <x v="0"/>
    <x v="1"/>
    <x v="21"/>
  </r>
  <r>
    <x v="96"/>
    <s v="Carlos Puma"/>
    <s v="MAÑANA"/>
    <d v="1899-12-30T10:15:00"/>
    <d v="1899-12-30T10:55:00"/>
    <d v="1899-12-30T00:40:00"/>
    <x v="3"/>
    <s v="Maquinaria"/>
    <s v="Ajuste /Calibracion"/>
    <x v="0"/>
    <x v="3"/>
    <s v="Se apoyó regulando velocidad de fajas guías , se dió seguimiento "/>
    <s v=""/>
    <x v="9"/>
    <x v="0"/>
    <s v=""/>
    <s v=""/>
    <s v=""/>
    <x v="103"/>
    <x v="1"/>
    <x v="21"/>
  </r>
  <r>
    <x v="96"/>
    <s v="Carlos Puma"/>
    <s v="MAÑANA"/>
    <d v="1899-12-30T12:05:00"/>
    <d v="1899-12-30T12:20:00"/>
    <d v="1899-12-30T00:15:00"/>
    <x v="39"/>
    <s v="Maquinaria"/>
    <s v="Inspección"/>
    <x v="0"/>
    <x v="3"/>
    <s v="Inspección de bomba de descarga "/>
    <s v=""/>
    <x v="80"/>
    <x v="0"/>
    <s v=""/>
    <s v=""/>
    <s v=""/>
    <x v="38"/>
    <x v="1"/>
    <x v="21"/>
  </r>
  <r>
    <x v="96"/>
    <s v="Carlos Puma"/>
    <s v="MAÑANA"/>
    <d v="1899-12-30T13:15:00"/>
    <d v="1899-12-30T13:50:00"/>
    <d v="1899-12-30T00:35:00"/>
    <x v="43"/>
    <s v="Sistema"/>
    <s v="Reparacion"/>
    <x v="1"/>
    <x v="1"/>
    <s v="Bomba de agua potable descebada"/>
    <s v="Se cebó bomba de agua potable , bomba de potabilización y se restableció el flujo de agua caliente "/>
    <x v="0"/>
    <x v="0"/>
    <s v=""/>
    <s v=""/>
    <s v=""/>
    <x v="72"/>
    <x v="0"/>
    <x v="21"/>
  </r>
  <r>
    <x v="96"/>
    <s v="Omar Nina"/>
    <s v="TARDE"/>
    <d v="1899-12-30T12:50:00"/>
    <d v="1899-12-30T13:25:00"/>
    <d v="1899-12-30T00:35:00"/>
    <x v="43"/>
    <s v="Sistema"/>
    <s v="Reparacion"/>
    <x v="1"/>
    <x v="1"/>
    <s v="Pozo se queda vacío, corte de agua "/>
    <s v="Se activa potabilización y llenado de pozos  "/>
    <x v="0"/>
    <x v="0"/>
    <s v=""/>
    <s v=""/>
    <s v=""/>
    <x v="0"/>
    <x v="0"/>
    <x v="21"/>
  </r>
  <r>
    <x v="96"/>
    <s v="Omar Nina"/>
    <s v="TARDE"/>
    <d v="1899-12-30T13:40:00"/>
    <d v="1899-12-30T14:30:00"/>
    <d v="1899-12-30T00:50:00"/>
    <x v="28"/>
    <s v="Maquinaria"/>
    <s v="SET UP"/>
    <x v="0"/>
    <x v="3"/>
    <s v="Cambio de formato de pisco x18 a pisco x9"/>
    <s v="Cambio de piezas y calibración de laminado "/>
    <x v="0"/>
    <x v="0"/>
    <s v=""/>
    <s v=""/>
    <s v=""/>
    <x v="2"/>
    <x v="0"/>
    <x v="21"/>
  </r>
  <r>
    <x v="96"/>
    <s v="Omar Nina"/>
    <s v="TARDE"/>
    <d v="1899-12-30T14:40:00"/>
    <d v="1899-12-30T15:00:00"/>
    <d v="1899-12-30T00:20:00"/>
    <x v="55"/>
    <s v="Maquinaria"/>
    <s v="Seguimiento / Pruebas"/>
    <x v="0"/>
    <x v="3"/>
    <s v="Verificación de freno y ajuste "/>
    <s v=""/>
    <x v="124"/>
    <x v="0"/>
    <s v=""/>
    <s v=""/>
    <s v=""/>
    <x v="28"/>
    <x v="1"/>
    <x v="21"/>
  </r>
  <r>
    <x v="96"/>
    <s v="Omar Nina"/>
    <s v="TARDE"/>
    <d v="1899-12-30T15:20:00"/>
    <d v="1899-12-30T15:45:00"/>
    <d v="1899-12-30T00:25:00"/>
    <x v="15"/>
    <s v="Maquinaria"/>
    <s v="SET UP"/>
    <x v="0"/>
    <x v="3"/>
    <s v="Cambio de plancha de fondy menta a crema redonda en mds"/>
    <s v=""/>
    <x v="13"/>
    <x v="1"/>
    <s v="Mds"/>
    <s v=""/>
    <s v=""/>
    <x v="0"/>
    <x v="1"/>
    <x v="21"/>
  </r>
  <r>
    <x v="96"/>
    <s v="Omar Nina"/>
    <s v="TARDE"/>
    <d v="1899-12-30T16:30:00"/>
    <d v="1899-12-30T17:00:00"/>
    <d v="1899-12-30T00:30:00"/>
    <x v="15"/>
    <s v="Maquinaria"/>
    <s v="Reparacion"/>
    <x v="1"/>
    <x v="1"/>
    <s v="Temperadora bloqueada "/>
    <s v="Lavado de filtro y calentamiento de tuberías "/>
    <x v="0"/>
    <x v="11"/>
    <s v="Temperadora"/>
    <s v=""/>
    <s v=""/>
    <x v="25"/>
    <x v="1"/>
    <x v="21"/>
  </r>
  <r>
    <x v="96"/>
    <s v="Omar Nina"/>
    <s v="TARDE"/>
    <d v="1899-12-30T17:00:00"/>
    <d v="1899-12-30T17:12:00"/>
    <d v="1899-12-30T00:12:00"/>
    <x v="3"/>
    <s v="Maquinaria"/>
    <s v="Ajuste /Calibracion"/>
    <x v="1"/>
    <x v="2"/>
    <s v="No sella una esquina de laminado "/>
    <s v="Configuración de parámetros de temperatura de mordaza "/>
    <x v="0"/>
    <x v="0"/>
    <s v=""/>
    <s v=""/>
    <s v=""/>
    <x v="234"/>
    <x v="0"/>
    <x v="21"/>
  </r>
  <r>
    <x v="96"/>
    <s v="Omar Nina"/>
    <s v="TARDE"/>
    <d v="1899-12-30T17:30:00"/>
    <d v="1899-12-30T17:45:00"/>
    <d v="1899-12-30T00:15:00"/>
    <x v="39"/>
    <s v="Maquinaria"/>
    <s v="Inspección"/>
    <x v="0"/>
    <x v="3"/>
    <s v="Inspección de equipo "/>
    <s v=""/>
    <x v="0"/>
    <x v="0"/>
    <s v=""/>
    <s v=""/>
    <s v=""/>
    <x v="0"/>
    <x v="0"/>
    <x v="21"/>
  </r>
  <r>
    <x v="96"/>
    <s v="Omar Nina"/>
    <s v="TARDE"/>
    <d v="1899-12-30T17:45:00"/>
    <d v="1899-12-30T18:30:00"/>
    <d v="1899-12-30T00:45:00"/>
    <x v="108"/>
    <s v="Area"/>
    <m/>
    <x v="2"/>
    <x v="3"/>
    <s v="Receso"/>
    <s v=""/>
    <x v="0"/>
    <x v="0"/>
    <s v=""/>
    <s v=""/>
    <s v=""/>
    <x v="0"/>
    <x v="0"/>
    <x v="21"/>
  </r>
  <r>
    <x v="96"/>
    <s v="Omar Nina"/>
    <s v="TARDE"/>
    <d v="1899-12-30T18:40:00"/>
    <d v="1899-12-30T19:05:00"/>
    <d v="1899-12-30T00:25:00"/>
    <x v="26"/>
    <s v="Maquinaria"/>
    <s v="Ajuste /Calibracion"/>
    <x v="1"/>
    <x v="1"/>
    <s v="Laminado se arruga constantemente "/>
    <s v="Calibración de altura de corte de laminado y altura de contraelevador "/>
    <x v="0"/>
    <x v="0"/>
    <s v=""/>
    <s v=""/>
    <s v=""/>
    <x v="50"/>
    <x v="0"/>
    <x v="21"/>
  </r>
  <r>
    <x v="96"/>
    <s v="Omar Nina"/>
    <s v="TARDE"/>
    <d v="1899-12-30T19:15:00"/>
    <d v="1899-12-30T20:00:00"/>
    <d v="1899-12-30T00:45:00"/>
    <x v="26"/>
    <s v="Maquinaria"/>
    <s v="Inspección"/>
    <x v="0"/>
    <x v="3"/>
    <s v="Inspección funcionamiento de equipo "/>
    <s v=""/>
    <x v="0"/>
    <x v="0"/>
    <s v=""/>
    <s v=""/>
    <s v=""/>
    <x v="0"/>
    <x v="0"/>
    <x v="21"/>
  </r>
  <r>
    <x v="97"/>
    <s v="Carlos Puma"/>
    <s v="MAÑANA"/>
    <d v="1899-12-30T06:30:00"/>
    <d v="1899-12-30T07:10:00"/>
    <d v="1899-12-30T00:40:00"/>
    <x v="27"/>
    <s v="Maquinaria"/>
    <s v="Limpieza"/>
    <x v="1"/>
    <x v="1"/>
    <s v="Pegado de goma irregular "/>
    <s v="Se retiró boquillas dosificadoras de goma se realizó limpieza de bujes , se montó y calibro "/>
    <x v="0"/>
    <x v="0"/>
    <s v=""/>
    <s v=""/>
    <s v=""/>
    <x v="0"/>
    <x v="0"/>
    <x v="21"/>
  </r>
  <r>
    <x v="97"/>
    <s v="Carlos Puma"/>
    <s v="MAÑANA"/>
    <d v="1899-12-30T07:20:00"/>
    <d v="1899-12-30T07:40:00"/>
    <d v="1899-12-30T00:20:00"/>
    <x v="85"/>
    <s v="Maquinaria"/>
    <s v="Limpieza"/>
    <x v="0"/>
    <x v="3"/>
    <s v="Se apoyó con la impieza de bajas y regulación de temperatura y presion"/>
    <s v=""/>
    <x v="0"/>
    <x v="0"/>
    <s v=""/>
    <s v=""/>
    <s v=""/>
    <x v="108"/>
    <x v="0"/>
    <x v="21"/>
  </r>
  <r>
    <x v="97"/>
    <s v="Carlos Puma"/>
    <s v="MAÑANA"/>
    <d v="1899-12-30T07:50:00"/>
    <d v="1899-12-30T08:00:00"/>
    <d v="1899-12-30T00:10:00"/>
    <x v="113"/>
    <s v="Area"/>
    <s v="Reparacion"/>
    <x v="0"/>
    <x v="3"/>
    <s v="Se apoyó con el desatorr de la tubería del elevador neumático de cacao"/>
    <s v=""/>
    <x v="125"/>
    <x v="2"/>
    <s v="Columna"/>
    <s v=""/>
    <s v=""/>
    <x v="0"/>
    <x v="1"/>
    <x v="21"/>
  </r>
  <r>
    <x v="97"/>
    <s v="Carlos Puma"/>
    <s v="MAÑANA"/>
    <d v="1899-12-30T08:10:00"/>
    <d v="1899-12-30T08:30:00"/>
    <d v="1899-12-30T00:20:00"/>
    <x v="55"/>
    <s v="Maquinaria"/>
    <s v="Inspección"/>
    <x v="0"/>
    <x v="3"/>
    <s v="Revision de freno de bobina"/>
    <s v=""/>
    <x v="126"/>
    <x v="0"/>
    <s v=""/>
    <s v=""/>
    <s v=""/>
    <x v="0"/>
    <x v="1"/>
    <x v="21"/>
  </r>
  <r>
    <x v="97"/>
    <s v="Carlos Puma"/>
    <s v="MAÑANA"/>
    <d v="1899-12-30T08:35:00"/>
    <d v="1899-12-30T08:50:00"/>
    <d v="1899-12-30T00:15:00"/>
    <x v="49"/>
    <s v="Maquinaria"/>
    <s v="Trabajos menores"/>
    <x v="0"/>
    <x v="3"/>
    <s v="Apoyó en purga de chocolate en tuberías "/>
    <s v=""/>
    <x v="97"/>
    <x v="0"/>
    <s v=""/>
    <s v=""/>
    <s v=""/>
    <x v="0"/>
    <x v="1"/>
    <x v="21"/>
  </r>
  <r>
    <x v="97"/>
    <s v="Carlos Puma"/>
    <s v="MAÑANA"/>
    <d v="1899-12-30T09:00:00"/>
    <d v="1899-12-30T09:10:00"/>
    <d v="1899-12-30T00:10:00"/>
    <x v="30"/>
    <s v="Maquinaria"/>
    <s v="Trabajos menores"/>
    <x v="0"/>
    <x v="3"/>
    <s v="Apoyó en configuración de mensajes "/>
    <s v=""/>
    <x v="0"/>
    <x v="0"/>
    <s v=""/>
    <s v=""/>
    <s v=""/>
    <x v="0"/>
    <x v="0"/>
    <x v="21"/>
  </r>
  <r>
    <x v="97"/>
    <s v="Carlos Puma"/>
    <s v="MAÑANA"/>
    <d v="1899-12-30T09:15:00"/>
    <d v="1899-12-30T10:15:00"/>
    <d v="1899-12-30T01:00:00"/>
    <x v="28"/>
    <s v="Maquinaria"/>
    <s v="SET UP"/>
    <x v="0"/>
    <x v="3"/>
    <s v="Cambio de formato y calibración para pisco x9"/>
    <s v=""/>
    <x v="0"/>
    <x v="0"/>
    <s v=""/>
    <s v=""/>
    <s v=""/>
    <x v="93"/>
    <x v="0"/>
    <x v="21"/>
  </r>
  <r>
    <x v="97"/>
    <s v="Carlos Puma"/>
    <s v="MAÑANA"/>
    <d v="1899-12-30T11:15:00"/>
    <d v="1899-12-30T11:30:00"/>
    <d v="1899-12-30T00:15:00"/>
    <x v="28"/>
    <s v="Maquinaria"/>
    <s v="Ajuste /Calibracion"/>
    <x v="1"/>
    <x v="1"/>
    <s v="Sellado sale mal"/>
    <s v="Se regulo separación de mesa y corte de abrefacil"/>
    <x v="0"/>
    <x v="0"/>
    <s v=""/>
    <s v=""/>
    <s v=""/>
    <x v="62"/>
    <x v="0"/>
    <x v="21"/>
  </r>
  <r>
    <x v="97"/>
    <s v="Carlos Puma"/>
    <s v="MAÑANA"/>
    <d v="1899-12-30T11:40:00"/>
    <d v="1899-12-30T12:10:00"/>
    <d v="1899-12-30T00:30:00"/>
    <x v="49"/>
    <s v="Maquinaria"/>
    <s v="Encendido / Arranque de linea"/>
    <x v="0"/>
    <x v="3"/>
    <s v="Apoyó en arranque de máquina y ajustes "/>
    <s v=""/>
    <x v="0"/>
    <x v="0"/>
    <s v=""/>
    <s v=""/>
    <s v=""/>
    <x v="28"/>
    <x v="0"/>
    <x v="21"/>
  </r>
  <r>
    <x v="97"/>
    <s v="CARLOS TAPIA"/>
    <s v="TARDE"/>
    <d v="1899-12-30T16:45:00"/>
    <d v="1899-12-30T17:30:00"/>
    <d v="1899-12-30T00:45:00"/>
    <x v="55"/>
    <s v="Maquinaria"/>
    <s v="Mejora"/>
    <x v="0"/>
    <x v="3"/>
    <s v="Mejorar el frenado de laminado. Darle seguimiento al funcionamiento de máquina con producto."/>
    <s v="Se revisó y se calibró ángulo de frenado. También se modifico el eje de regulación del frenado. Se realizó pruebas y se dió seguimiento "/>
    <x v="100"/>
    <x v="0"/>
    <s v=""/>
    <s v=""/>
    <s v=""/>
    <x v="50"/>
    <x v="1"/>
    <x v="21"/>
  </r>
  <r>
    <x v="97"/>
    <s v="CARLOS TAPIA"/>
    <s v="TARDE"/>
    <d v="1899-12-30T13:00:00"/>
    <d v="1899-12-30T13:20:00"/>
    <d v="1899-12-30T00:20:00"/>
    <x v="84"/>
    <s v="Area"/>
    <s v="Trabajos menores"/>
    <x v="0"/>
    <x v="3"/>
    <s v="Traslado de equipo nuevo (encubadora)."/>
    <s v="Se revisó y se traslado el equipo a laboratorio."/>
    <x v="0"/>
    <x v="0"/>
    <s v=""/>
    <s v=""/>
    <s v=""/>
    <x v="0"/>
    <x v="0"/>
    <x v="21"/>
  </r>
  <r>
    <x v="97"/>
    <s v="CARLOS TAPIA"/>
    <s v="TARDE"/>
    <d v="1899-12-30T13:40:00"/>
    <d v="1899-12-30T14:00:00"/>
    <d v="1899-12-30T00:20:00"/>
    <x v="49"/>
    <s v="Maquinaria"/>
    <s v="Reparacion"/>
    <x v="1"/>
    <x v="1"/>
    <s v="Bajo nivel de refrigerante en túnel de enfriamiento."/>
    <s v="Se revisó y se aumentó refrigerante a compresor. Se dió seguimiento al funcionamiento de túnel y máquina."/>
    <x v="0"/>
    <x v="0"/>
    <s v=""/>
    <s v=""/>
    <s v=""/>
    <x v="235"/>
    <x v="0"/>
    <x v="21"/>
  </r>
  <r>
    <x v="97"/>
    <s v="CARLOS TAPIA"/>
    <s v="TARDE"/>
    <d v="1899-12-30T14:10:00"/>
    <d v="1899-12-30T14:40:00"/>
    <d v="1899-12-30T00:30:00"/>
    <x v="50"/>
    <s v="Maquinaria"/>
    <s v="Reparacion"/>
    <x v="1"/>
    <x v="1"/>
    <s v="Agitador de tina no se mueve."/>
    <s v="Se revisó y se observo piezas dañada en la trasmisión. Se retiró pieza para su reparación."/>
    <x v="0"/>
    <x v="0"/>
    <s v=""/>
    <s v=""/>
    <s v=""/>
    <x v="0"/>
    <x v="0"/>
    <x v="21"/>
  </r>
  <r>
    <x v="97"/>
    <s v="CARLOS TAPIA"/>
    <s v="TARDE"/>
    <d v="1899-12-30T15:00:00"/>
    <d v="1899-12-30T16:30:00"/>
    <d v="1899-12-30T01:30:00"/>
    <x v="28"/>
    <s v="Maquinaria"/>
    <s v="SET UP"/>
    <x v="0"/>
    <x v="3"/>
    <s v="Cambio de formato de pisco a minimilky."/>
    <s v="Se reemplazo las piezas de máquina para dicho formato (minimilky). Se calibró sellado y corte de laminado."/>
    <x v="0"/>
    <x v="0"/>
    <s v=""/>
    <s v=""/>
    <s v=""/>
    <x v="2"/>
    <x v="0"/>
    <x v="21"/>
  </r>
  <r>
    <x v="97"/>
    <s v="CARLOS TAPIA"/>
    <s v="TARDE"/>
    <d v="1899-12-30T19:00:00"/>
    <d v="1899-12-30T19:20:00"/>
    <d v="1899-12-30T00:20:00"/>
    <x v="9"/>
    <s v="Area"/>
    <s v="Trabajos menores"/>
    <x v="0"/>
    <x v="3"/>
    <s v="Bajar mesa de producción (5to piso) y trasladarlo a local anexó."/>
    <s v="Se traslado mesa a local anexo"/>
    <x v="43"/>
    <x v="0"/>
    <s v=""/>
    <s v=""/>
    <s v=""/>
    <x v="0"/>
    <x v="1"/>
    <x v="21"/>
  </r>
  <r>
    <x v="97"/>
    <s v="CARLOS TAPIA"/>
    <s v="TARDE"/>
    <d v="1899-12-30T20:00:00"/>
    <d v="1899-12-30T20:20:00"/>
    <d v="1899-12-30T00:20:00"/>
    <x v="55"/>
    <s v="Maquinaria"/>
    <s v="Seguimiento / Pruebas"/>
    <x v="0"/>
    <x v="3"/>
    <s v="Inspección de máquina en funcionamiento "/>
    <s v="Se dió seguimiento al funcionamiento de máquina "/>
    <x v="0"/>
    <x v="0"/>
    <s v=""/>
    <s v=""/>
    <s v=""/>
    <x v="0"/>
    <x v="0"/>
    <x v="21"/>
  </r>
  <r>
    <x v="97"/>
    <s v="Cesar Quiroz"/>
    <s v="NOCHE"/>
    <d v="1899-12-30T21:17:00"/>
    <d v="1899-12-30T21:36:00"/>
    <d v="1899-12-30T00:19:00"/>
    <x v="31"/>
    <s v="Equipos auxiliares"/>
    <s v="Inspección"/>
    <x v="0"/>
    <x v="3"/>
    <s v="Revisión de funcionamiento y parámetros de trabajo "/>
    <s v=""/>
    <x v="0"/>
    <x v="0"/>
    <s v=""/>
    <s v=""/>
    <s v=""/>
    <x v="0"/>
    <x v="0"/>
    <x v="21"/>
  </r>
  <r>
    <x v="97"/>
    <s v="Cesar Quiroz"/>
    <s v="NOCHE"/>
    <d v="1899-12-30T21:46:00"/>
    <d v="1899-12-30T22:03:00"/>
    <d v="1899-12-30T00:17:00"/>
    <x v="50"/>
    <s v="Maquinaria"/>
    <s v="Lubricación"/>
    <x v="1"/>
    <x v="1"/>
    <s v="Ruido por zona de bomba"/>
    <s v="Se reviso transmisión, se limpio zona y se lubrica, se eliminó ruido"/>
    <x v="0"/>
    <x v="0"/>
    <s v=""/>
    <s v=""/>
    <s v=""/>
    <x v="3"/>
    <x v="0"/>
    <x v="21"/>
  </r>
  <r>
    <x v="97"/>
    <s v="Cesar Quiroz"/>
    <s v="NOCHE"/>
    <d v="1899-12-30T22:12:00"/>
    <d v="1899-12-30T22:34:00"/>
    <d v="1899-12-30T00:22:00"/>
    <x v="55"/>
    <s v="Maquinaria"/>
    <s v="Limpieza"/>
    <x v="1"/>
    <x v="1"/>
    <s v="Variación de temperatura en mordaza, problemas con tensión de bobina "/>
    <s v="Se realizó limpieza de colector y carbones, se regulo tensión para bobina nueva, se realizó pruebas"/>
    <x v="0"/>
    <x v="0"/>
    <s v=""/>
    <s v=""/>
    <s v=""/>
    <x v="0"/>
    <x v="0"/>
    <x v="21"/>
  </r>
  <r>
    <x v="97"/>
    <s v="Cesar Quiroz"/>
    <s v="NOCHE"/>
    <d v="1899-12-30T22:41:00"/>
    <d v="1899-12-30T22:53:00"/>
    <d v="1899-12-30T00:12:00"/>
    <x v="59"/>
    <s v="Maquinaria"/>
    <s v="Ajuste /Calibracion"/>
    <x v="1"/>
    <x v="1"/>
    <s v="Impresora no inicia"/>
    <s v="Se forzó arranque de chorro, se inicializo funcionamiento "/>
    <x v="0"/>
    <x v="23"/>
    <s v="Impresora"/>
    <s v=""/>
    <s v=""/>
    <x v="21"/>
    <x v="1"/>
    <x v="21"/>
  </r>
  <r>
    <x v="97"/>
    <s v="Cesar Quiroz"/>
    <s v="NOCHE"/>
    <d v="1899-12-30T23:03:00"/>
    <d v="1899-12-30T23:29:00"/>
    <d v="1899-12-30T00:26:00"/>
    <x v="50"/>
    <s v="Maquinaria"/>
    <s v="Ajuste /Calibracion"/>
    <x v="1"/>
    <x v="1"/>
    <s v="Banda se movió a un costado"/>
    <s v="Se regula posición de sensores de alineamiento automático "/>
    <x v="0"/>
    <x v="0"/>
    <s v=""/>
    <s v=""/>
    <s v=""/>
    <x v="0"/>
    <x v="0"/>
    <x v="21"/>
  </r>
  <r>
    <x v="97"/>
    <s v="Cesar Quiroz"/>
    <s v="NOCHE"/>
    <d v="1899-12-30T23:36:00"/>
    <d v="1899-12-30T23:55:00"/>
    <d v="1899-12-30T00:19:00"/>
    <x v="50"/>
    <s v="Maquinaria"/>
    <s v="Limpieza"/>
    <x v="1"/>
    <x v="1"/>
    <s v="Cae poco chocolate a tina"/>
    <s v="Se retiro filtro para limpieza, se espero y se volvió a colocar y verificar funcionamiento "/>
    <x v="0"/>
    <x v="0"/>
    <s v=""/>
    <s v=""/>
    <s v=""/>
    <x v="0"/>
    <x v="0"/>
    <x v="21"/>
  </r>
  <r>
    <x v="97"/>
    <s v="Cesar Quiroz"/>
    <s v="NOCHE"/>
    <d v="1899-12-30T00:03:00"/>
    <d v="1899-12-30T00:34:00"/>
    <d v="1899-12-30T00:31:00"/>
    <x v="15"/>
    <s v="Maquinaria"/>
    <s v="SET UP"/>
    <x v="0"/>
    <x v="3"/>
    <s v="Desarmado de formato agregados x100 de mds"/>
    <s v=""/>
    <x v="0"/>
    <x v="1"/>
    <s v="Mds"/>
    <s v=""/>
    <s v=""/>
    <x v="2"/>
    <x v="1"/>
    <x v="21"/>
  </r>
  <r>
    <x v="97"/>
    <s v="Cesar Quiroz"/>
    <s v="NOCHE"/>
    <d v="1899-12-30T00:45:00"/>
    <d v="1899-12-30T01:21:00"/>
    <d v="1899-12-30T00:36:00"/>
    <x v="15"/>
    <s v="Maquinaria"/>
    <s v="SET UP"/>
    <x v="0"/>
    <x v="3"/>
    <s v="Armado de formato agregados x50 en mds"/>
    <s v=""/>
    <x v="0"/>
    <x v="1"/>
    <s v="Mds"/>
    <s v=""/>
    <s v=""/>
    <x v="2"/>
    <x v="1"/>
    <x v="21"/>
  </r>
  <r>
    <x v="97"/>
    <s v="Cesar Quiroz"/>
    <s v="NOCHE"/>
    <d v="1899-12-30T01:38:00"/>
    <d v="1899-12-30T01:53:00"/>
    <d v="1899-12-30T00:15:00"/>
    <x v="26"/>
    <s v="Maquinaria"/>
    <s v="Reparacion"/>
    <x v="1"/>
    <x v="1"/>
    <s v="Contraelevador torcido a un lado"/>
    <s v="Se endereza y se realiza cambio de pernos de ajuste"/>
    <x v="0"/>
    <x v="15"/>
    <s v="Contraelevador"/>
    <s v=""/>
    <s v=""/>
    <x v="8"/>
    <x v="1"/>
    <x v="21"/>
  </r>
  <r>
    <x v="97"/>
    <s v="JOSÉ HAÑARI"/>
    <s v="MAÑANA"/>
    <s v="19:30"/>
    <s v="20:00"/>
    <d v="1899-12-30T00:30:00"/>
    <x v="84"/>
    <s v="Area"/>
    <s v="SET UP"/>
    <x v="0"/>
    <x v="3"/>
    <s v="Se arma imán de molino de villas "/>
    <s v=""/>
    <x v="0"/>
    <x v="0"/>
    <s v=""/>
    <s v=""/>
    <s v=""/>
    <x v="0"/>
    <x v="0"/>
    <x v="21"/>
  </r>
  <r>
    <x v="97"/>
    <s v="JOSÉ HAÑARI"/>
    <s v="TARDE"/>
    <d v="1899-12-30T13:15:00"/>
    <d v="1899-12-30T14:10:00"/>
    <d v="1899-12-30T00:55:00"/>
    <x v="5"/>
    <s v="Maquinaria"/>
    <s v="SET UP"/>
    <x v="0"/>
    <x v="3"/>
    <s v="Se apoya armando equipo sacmi "/>
    <s v=""/>
    <x v="0"/>
    <x v="0"/>
    <s v=""/>
    <s v=""/>
    <s v=""/>
    <x v="0"/>
    <x v="0"/>
    <x v="21"/>
  </r>
  <r>
    <x v="97"/>
    <s v="JOSÉ HAÑARI"/>
    <s v="TARDE"/>
    <d v="1899-12-30T14:55:00"/>
    <d v="1899-12-30T16:10:00"/>
    <d v="1899-12-30T01:15:00"/>
    <x v="17"/>
    <s v="Maquinaria"/>
    <s v="SET UP"/>
    <x v="0"/>
    <x v="3"/>
    <s v="Se desarma barquillera para limpieza "/>
    <s v=""/>
    <x v="0"/>
    <x v="0"/>
    <s v=""/>
    <s v=""/>
    <s v=""/>
    <x v="0"/>
    <x v="0"/>
    <x v="21"/>
  </r>
  <r>
    <x v="97"/>
    <s v="JOSÉ HAÑARI"/>
    <s v="TARDE"/>
    <d v="1899-12-30T16:16:00"/>
    <d v="1899-12-30T16:45:00"/>
    <d v="1899-12-30T00:29:00"/>
    <x v="23"/>
    <s v="Area"/>
    <s v="Reparacion"/>
    <x v="1"/>
    <x v="2"/>
    <s v="Tomacorrientes primer piso lado tostador sin energía "/>
    <s v="Se verifica tomacorrientes en mal estado y extenciones en corto se realiza la corrección correspondiente "/>
    <x v="0"/>
    <x v="0"/>
    <s v=""/>
    <s v=""/>
    <s v=""/>
    <x v="0"/>
    <x v="0"/>
    <x v="21"/>
  </r>
  <r>
    <x v="97"/>
    <s v="JOSÉ HAÑARI"/>
    <s v="TARDE"/>
    <d v="1899-12-30T17:45:00"/>
    <d v="1899-12-30T18:10:00"/>
    <d v="1899-12-30T00:25:00"/>
    <x v="84"/>
    <s v="Area"/>
    <s v="SET UP"/>
    <x v="0"/>
    <x v="3"/>
    <s v="Se desarma iman de molino de villas "/>
    <s v=""/>
    <x v="89"/>
    <x v="0"/>
    <s v=""/>
    <s v=""/>
    <s v=""/>
    <x v="0"/>
    <x v="1"/>
    <x v="21"/>
  </r>
  <r>
    <x v="97"/>
    <s v="JOSÉ HAÑARI"/>
    <s v="TARDE"/>
    <d v="1899-12-30T18:20:00"/>
    <d v="1899-12-30T19:05:00"/>
    <d v="1899-12-30T00:45:00"/>
    <x v="15"/>
    <s v="Maquinaria"/>
    <s v="SET UP"/>
    <x v="0"/>
    <x v="3"/>
    <s v="Se cambia formato de cremas a agregado x100"/>
    <s v=""/>
    <x v="0"/>
    <x v="0"/>
    <s v=""/>
    <s v=""/>
    <s v=""/>
    <x v="2"/>
    <x v="0"/>
    <x v="21"/>
  </r>
  <r>
    <x v="98"/>
    <s v="Cesar Quiroz"/>
    <s v="NOCHE"/>
    <d v="1899-12-30T21:19:00"/>
    <d v="1899-12-30T21:42:00"/>
    <d v="1899-12-30T00:23:00"/>
    <x v="31"/>
    <s v="Equipos auxiliares"/>
    <s v="Inspección"/>
    <x v="0"/>
    <x v="3"/>
    <s v="Revisión de funcionamiento y parámetros de trabajo "/>
    <s v=""/>
    <x v="0"/>
    <x v="0"/>
    <s v=""/>
    <s v=""/>
    <s v=""/>
    <x v="0"/>
    <x v="0"/>
    <x v="21"/>
  </r>
  <r>
    <x v="98"/>
    <s v="Cesar Quiroz"/>
    <s v="NOCHE"/>
    <d v="1899-12-30T21:47:00"/>
    <d v="1899-12-30T22:13:00"/>
    <d v="1899-12-30T00:26:00"/>
    <x v="29"/>
    <s v="Maquinaria"/>
    <s v="SET UP"/>
    <x v="0"/>
    <x v="3"/>
    <s v="Cambio de formato a 100 "/>
    <s v=""/>
    <x v="0"/>
    <x v="0"/>
    <s v=""/>
    <s v=""/>
    <s v=""/>
    <x v="2"/>
    <x v="0"/>
    <x v="21"/>
  </r>
  <r>
    <x v="98"/>
    <s v="Cesar Quiroz"/>
    <s v="NOCHE"/>
    <d v="1899-12-30T22:21:00"/>
    <d v="1899-12-30T22:42:00"/>
    <d v="1899-12-30T00:21:00"/>
    <x v="90"/>
    <s v="Maquinaria"/>
    <s v="Ajuste /Calibracion"/>
    <x v="1"/>
    <x v="1"/>
    <s v="Climatizador gotea "/>
    <s v="Se cambia de modo de enfriamiento"/>
    <x v="0"/>
    <x v="27"/>
    <s v="Climatizador"/>
    <s v=""/>
    <s v=""/>
    <x v="60"/>
    <x v="1"/>
    <x v="21"/>
  </r>
  <r>
    <x v="98"/>
    <s v="Cesar Quiroz"/>
    <s v="NOCHE"/>
    <d v="1899-12-30T22:47:00"/>
    <d v="1899-12-30T23:38:00"/>
    <d v="1899-12-30T00:51:00"/>
    <x v="28"/>
    <s v="Maquinaria"/>
    <s v="SET UP"/>
    <x v="0"/>
    <x v="3"/>
    <s v="Cambio de formato a milky x10"/>
    <s v=""/>
    <x v="0"/>
    <x v="0"/>
    <s v=""/>
    <s v=""/>
    <s v=""/>
    <x v="2"/>
    <x v="0"/>
    <x v="21"/>
  </r>
  <r>
    <x v="98"/>
    <s v="Cesar Quiroz"/>
    <s v="NOCHE"/>
    <d v="1899-12-30T23:52:00"/>
    <d v="1899-12-30T00:17:00"/>
    <d v="1899-12-30T00:25:00"/>
    <x v="29"/>
    <s v="Maquinaria"/>
    <s v="Ajuste /Calibracion"/>
    <x v="1"/>
    <x v="1"/>
    <s v="Empaquetado sale mal"/>
    <s v="Modificacion de medidas, para mejorar empaquetamiento"/>
    <x v="0"/>
    <x v="0"/>
    <s v=""/>
    <s v=""/>
    <s v=""/>
    <x v="0"/>
    <x v="0"/>
    <x v="21"/>
  </r>
  <r>
    <x v="98"/>
    <s v="Cesar Quiroz"/>
    <s v="NOCHE"/>
    <d v="1899-12-30T00:25:00"/>
    <d v="1899-12-30T01:38:00"/>
    <d v="1899-12-30T01:13:00"/>
    <x v="107"/>
    <s v="Maquinaria"/>
    <s v="Limpieza"/>
    <x v="1"/>
    <x v="1"/>
    <s v="Banda atascada, sale error no avanza "/>
    <s v="Se retiro guardas, se realizó limpieza y se volvió a armar equioo"/>
    <x v="0"/>
    <x v="0"/>
    <s v=""/>
    <s v=""/>
    <s v=""/>
    <x v="236"/>
    <x v="0"/>
    <x v="21"/>
  </r>
  <r>
    <x v="98"/>
    <s v="JOSÉ HAÑARI"/>
    <s v="TARDE"/>
    <d v="1899-12-30T14:35:00"/>
    <d v="1899-12-30T15:06:00"/>
    <d v="1899-12-30T00:31:00"/>
    <x v="27"/>
    <s v="Maquinaria"/>
    <s v="Limpieza"/>
    <x v="1"/>
    <x v="1"/>
    <s v="No pega etiqueta "/>
    <s v="Se realiza limpieza y se calibrar cerdas de agarre "/>
    <x v="0"/>
    <x v="0"/>
    <s v=""/>
    <s v=""/>
    <s v=""/>
    <x v="237"/>
    <x v="0"/>
    <x v="21"/>
  </r>
  <r>
    <x v="98"/>
    <s v="JOSÉ HAÑARI"/>
    <s v="TARDE"/>
    <d v="1899-12-30T15:15:00"/>
    <d v="1899-12-30T15:50:00"/>
    <d v="1899-12-30T00:35:00"/>
    <x v="26"/>
    <s v="Maquinaria"/>
    <s v="Reparacion"/>
    <x v="1"/>
    <x v="1"/>
    <s v="Piensa torcida "/>
    <s v="Se rectificar pinza y se deja operativo "/>
    <x v="0"/>
    <x v="0"/>
    <s v=""/>
    <s v=""/>
    <s v=""/>
    <x v="0"/>
    <x v="0"/>
    <x v="21"/>
  </r>
  <r>
    <x v="98"/>
    <s v="JOSÉ HAÑARI"/>
    <s v="TARDE"/>
    <d v="1899-12-30T16:15:00"/>
    <d v="1899-12-30T17:00:00"/>
    <d v="1899-12-30T00:45:00"/>
    <x v="74"/>
    <s v="Area"/>
    <s v="Reparacion"/>
    <x v="1"/>
    <x v="1"/>
    <s v="No enfría túnel de moldeo manual "/>
    <s v="Se apoya con recarga de refrigerante en equipo "/>
    <x v="0"/>
    <x v="0"/>
    <s v=""/>
    <s v=""/>
    <s v=""/>
    <x v="0"/>
    <x v="0"/>
    <x v="21"/>
  </r>
  <r>
    <x v="98"/>
    <s v="JOSÉ HAÑARI"/>
    <s v="TARDE"/>
    <d v="1899-12-30T17:15:00"/>
    <d v="1899-12-30T17:45:00"/>
    <d v="1899-12-30T00:30:00"/>
    <x v="9"/>
    <s v="Area"/>
    <s v="Reparacion"/>
    <x v="1"/>
    <x v="1"/>
    <s v="Guillotina no corta "/>
    <s v="Se realiza afilado y ajustes de guillotina "/>
    <x v="0"/>
    <x v="0"/>
    <s v=""/>
    <s v=""/>
    <s v=""/>
    <x v="12"/>
    <x v="0"/>
    <x v="21"/>
  </r>
  <r>
    <x v="98"/>
    <s v="JOSÉ HAÑARI"/>
    <s v="TARDE"/>
    <d v="1899-12-30T18:00:00"/>
    <d v="1899-12-30T19:00:00"/>
    <d v="1899-12-30T01:00:00"/>
    <x v="50"/>
    <s v="Maquinaria"/>
    <s v="Inspección"/>
    <x v="1"/>
    <x v="3"/>
    <s v="Faja se va a un lado "/>
    <s v="Se realiza inspección y búsqueda de falla en túnel "/>
    <x v="0"/>
    <x v="0"/>
    <s v=""/>
    <s v=""/>
    <s v=""/>
    <x v="8"/>
    <x v="0"/>
    <x v="21"/>
  </r>
  <r>
    <x v="98"/>
    <s v="JOSÉ HAÑARI"/>
    <s v="TARDE"/>
    <d v="1899-12-30T20:00:00"/>
    <d v="1899-12-30T21:00:00"/>
    <d v="1899-12-30T01:00:00"/>
    <x v="29"/>
    <s v="Maquinaria"/>
    <s v="SET UP"/>
    <x v="0"/>
    <x v="3"/>
    <s v="Se cambia formato sapal x100"/>
    <s v=""/>
    <x v="0"/>
    <x v="0"/>
    <s v=""/>
    <s v=""/>
    <s v=""/>
    <x v="2"/>
    <x v="0"/>
    <x v="21"/>
  </r>
  <r>
    <x v="98"/>
    <s v="Omar Nina"/>
    <s v="TARDE"/>
    <d v="1899-12-30T12:47:00"/>
    <d v="1899-12-30T13:15:00"/>
    <d v="1899-12-30T00:28:00"/>
    <x v="52"/>
    <s v="Area"/>
    <s v="Limpieza"/>
    <x v="0"/>
    <x v="3"/>
    <s v="Limpieza de taller "/>
    <s v=""/>
    <x v="0"/>
    <x v="0"/>
    <s v=""/>
    <s v=""/>
    <s v=""/>
    <x v="0"/>
    <x v="0"/>
    <x v="21"/>
  </r>
  <r>
    <x v="98"/>
    <s v="Omar Nina"/>
    <s v="TARDE"/>
    <d v="1899-12-30T13:20:00"/>
    <d v="1899-12-30T14:00:00"/>
    <d v="1899-12-30T00:40:00"/>
    <x v="28"/>
    <s v="Maquinaria"/>
    <s v="Ajuste /Calibracion"/>
    <x v="1"/>
    <x v="1"/>
    <s v="Cajas se pegan"/>
    <s v="Calibración de plegadores "/>
    <x v="0"/>
    <x v="0"/>
    <s v=""/>
    <s v=""/>
    <s v=""/>
    <x v="238"/>
    <x v="0"/>
    <x v="21"/>
  </r>
  <r>
    <x v="98"/>
    <s v="Omar Nina"/>
    <s v="TARDE"/>
    <d v="1899-12-30T14:12:00"/>
    <d v="1899-12-30T14:35:00"/>
    <d v="1899-12-30T00:23:00"/>
    <x v="107"/>
    <s v="Maquinaria"/>
    <s v="Limpieza"/>
    <x v="1"/>
    <x v="1"/>
    <s v="Faja de carga no gira"/>
    <s v="Limpieza de polines y verificación de funcionamiento "/>
    <x v="0"/>
    <x v="0"/>
    <s v=""/>
    <s v=""/>
    <s v=""/>
    <x v="239"/>
    <x v="0"/>
    <x v="21"/>
  </r>
  <r>
    <x v="98"/>
    <s v="Omar Nina"/>
    <s v="TARDE"/>
    <d v="1899-12-30T14:50:00"/>
    <d v="1899-12-30T15:02:00"/>
    <d v="1899-12-30T00:12:00"/>
    <x v="5"/>
    <s v="Maquinaria"/>
    <s v="Ajuste /Calibracion"/>
    <x v="1"/>
    <x v="2"/>
    <s v="Cangilones no avanzan"/>
    <s v="Se vuelve a cargar receta "/>
    <x v="0"/>
    <x v="0"/>
    <s v=""/>
    <s v=""/>
    <s v=""/>
    <x v="37"/>
    <x v="0"/>
    <x v="21"/>
  </r>
  <r>
    <x v="98"/>
    <s v="Omar Nina"/>
    <s v="TARDE"/>
    <d v="1899-12-30T15:10:00"/>
    <d v="1899-12-30T15:45:00"/>
    <d v="1899-12-30T00:35:00"/>
    <x v="15"/>
    <s v="Maquinaria"/>
    <s v="SET UP"/>
    <x v="0"/>
    <x v="3"/>
    <s v="Desarmado MDS para limpieza "/>
    <s v=""/>
    <x v="0"/>
    <x v="1"/>
    <s v="Mds"/>
    <s v=""/>
    <s v=""/>
    <x v="0"/>
    <x v="1"/>
    <x v="21"/>
  </r>
  <r>
    <x v="98"/>
    <s v="Omar Nina"/>
    <s v="TARDE"/>
    <d v="1899-12-30T15:51:00"/>
    <d v="1899-12-30T16:12:00"/>
    <d v="1899-12-30T00:21:00"/>
    <x v="3"/>
    <s v="Maquinaria"/>
    <s v="Reparacion"/>
    <x v="1"/>
    <x v="1"/>
    <s v="Codificadora no inicia, error de tinta y aditivo "/>
    <s v="Se retira tinta con boquilla dañada y se inicializa"/>
    <x v="0"/>
    <x v="13"/>
    <s v="Codificador"/>
    <s v=""/>
    <s v=""/>
    <x v="240"/>
    <x v="1"/>
    <x v="21"/>
  </r>
  <r>
    <x v="98"/>
    <s v="Omar Nina"/>
    <s v="TARDE"/>
    <d v="1899-12-30T16:20:00"/>
    <d v="1899-12-30T17:00:00"/>
    <d v="1899-12-30T00:40:00"/>
    <x v="105"/>
    <s v="Maquinaria"/>
    <s v="Reparacion"/>
    <x v="1"/>
    <x v="1"/>
    <s v="Túnel no baja de 20°"/>
    <s v="Se agrega refrigerante a compresor y se verifica funcionamiento "/>
    <x v="0"/>
    <x v="0"/>
    <s v=""/>
    <s v=""/>
    <s v=""/>
    <x v="0"/>
    <x v="0"/>
    <x v="21"/>
  </r>
  <r>
    <x v="98"/>
    <s v="Omar Nina"/>
    <s v="TARDE"/>
    <d v="1899-12-30T17:15:00"/>
    <d v="1899-12-30T17:40:00"/>
    <d v="1899-12-30T00:25:00"/>
    <x v="15"/>
    <s v="Maquinaria"/>
    <s v="Inspección"/>
    <x v="0"/>
    <x v="3"/>
    <s v="Inspección de equipo "/>
    <s v=""/>
    <x v="0"/>
    <x v="0"/>
    <s v=""/>
    <s v=""/>
    <s v=""/>
    <x v="0"/>
    <x v="0"/>
    <x v="21"/>
  </r>
  <r>
    <x v="98"/>
    <s v="Omar Nina"/>
    <s v="TARDE"/>
    <d v="1899-12-30T18:55:00"/>
    <d v="1899-12-30T19:26:00"/>
    <d v="1899-12-30T00:31:00"/>
    <x v="55"/>
    <s v="Maquinaria"/>
    <s v="Seguimiento / Pruebas"/>
    <x v="0"/>
    <x v="3"/>
    <s v="Verificación de funcionamiento de equipo. Revisión de estado de freno"/>
    <s v=""/>
    <x v="124"/>
    <x v="0"/>
    <s v=""/>
    <s v=""/>
    <s v=""/>
    <x v="0"/>
    <x v="1"/>
    <x v="21"/>
  </r>
  <r>
    <x v="99"/>
    <s v="JOSÉ HAÑARI"/>
    <s v="TARDE"/>
    <s v="13:00"/>
    <s v="13:40"/>
    <d v="1899-12-30T00:40:00"/>
    <x v="15"/>
    <s v="Maquinaria"/>
    <s v="SET UP"/>
    <x v="0"/>
    <x v="3"/>
    <s v="Se arma mds para formato cremas milki relleno"/>
    <s v=""/>
    <x v="0"/>
    <x v="1"/>
    <s v="Mds"/>
    <s v=""/>
    <s v=""/>
    <x v="2"/>
    <x v="1"/>
    <x v="22"/>
  </r>
  <r>
    <x v="99"/>
    <s v="JOSÉ HAÑARI"/>
    <s v="TARDE"/>
    <s v="12:40"/>
    <s v="12:55"/>
    <d v="1899-12-30T00:15:00"/>
    <x v="15"/>
    <s v="Maquinaria"/>
    <s v="Inspección"/>
    <x v="0"/>
    <x v="3"/>
    <s v="Se realiza inspección ha temperadora de hacos 1 "/>
    <s v=""/>
    <x v="0"/>
    <x v="11"/>
    <s v="Temperadora"/>
    <s v=""/>
    <s v=""/>
    <x v="0"/>
    <x v="1"/>
    <x v="22"/>
  </r>
  <r>
    <x v="99"/>
    <s v="JOSÉ HAÑARI"/>
    <s v="TARDE"/>
    <s v="13:55"/>
    <s v="14:30"/>
    <d v="1899-12-30T00:35:00"/>
    <x v="28"/>
    <s v="Maquinaria"/>
    <s v="SET UP"/>
    <x v="0"/>
    <x v="3"/>
    <s v="Se cambia formato a enselofanadora x90"/>
    <s v=""/>
    <x v="0"/>
    <x v="0"/>
    <s v=""/>
    <s v=""/>
    <s v=""/>
    <x v="2"/>
    <x v="0"/>
    <x v="22"/>
  </r>
  <r>
    <x v="99"/>
    <s v="JOSÉ HAÑARI"/>
    <s v="TARDE"/>
    <s v="14:45"/>
    <s v="15:00"/>
    <d v="1899-12-30T00:15:00"/>
    <x v="18"/>
    <s v="Maquinaria"/>
    <s v="SET UP"/>
    <x v="0"/>
    <x v="3"/>
    <s v="Se arma netzsch para su uso "/>
    <s v=""/>
    <x v="0"/>
    <x v="0"/>
    <s v=""/>
    <s v=""/>
    <s v=""/>
    <x v="0"/>
    <x v="0"/>
    <x v="22"/>
  </r>
  <r>
    <x v="99"/>
    <s v="JOSÉ HAÑARI"/>
    <s v="TARDE"/>
    <s v="15:20"/>
    <s v="15:40"/>
    <d v="1899-12-30T00:20:00"/>
    <x v="26"/>
    <s v="Maquinaria"/>
    <s v="Ajuste /Calibracion"/>
    <x v="0"/>
    <x v="3"/>
    <s v="Se calibrar fajas "/>
    <s v=""/>
    <x v="9"/>
    <x v="0"/>
    <s v=""/>
    <s v=""/>
    <s v=""/>
    <x v="28"/>
    <x v="1"/>
    <x v="22"/>
  </r>
  <r>
    <x v="99"/>
    <s v="JOSÉ HAÑARI"/>
    <s v="TARDE"/>
    <s v="15:51"/>
    <s v="16:40"/>
    <d v="1899-12-30T00:49:00"/>
    <x v="3"/>
    <s v="Maquinaria"/>
    <s v="SET UP"/>
    <x v="0"/>
    <x v="3"/>
    <s v="Se realiza cambio de formato de bate size a mini milky"/>
    <s v=""/>
    <x v="0"/>
    <x v="0"/>
    <s v=""/>
    <s v=""/>
    <s v=""/>
    <x v="2"/>
    <x v="0"/>
    <x v="22"/>
  </r>
  <r>
    <x v="99"/>
    <s v="JOSÉ HAÑARI"/>
    <s v="TARDE"/>
    <s v="16:50"/>
    <s v="18:55"/>
    <d v="1899-12-30T02:05:00"/>
    <x v="71"/>
    <s v="Maquinaria"/>
    <s v="Seguimiento / Pruebas"/>
    <x v="0"/>
    <x v="3"/>
    <s v="Laminado chueco "/>
    <s v="Se realiza seguimiento y pruebas en equipo "/>
    <x v="38"/>
    <x v="0"/>
    <s v=""/>
    <s v=""/>
    <s v=""/>
    <x v="81"/>
    <x v="1"/>
    <x v="22"/>
  </r>
  <r>
    <x v="99"/>
    <s v="JOSÉ HAÑARI"/>
    <s v="TARDE"/>
    <s v="19:55"/>
    <s v="20:15"/>
    <d v="1899-12-30T00:20:00"/>
    <x v="18"/>
    <s v="Maquinaria"/>
    <s v="SET UP"/>
    <x v="0"/>
    <x v="3"/>
    <s v="Se desarma netzsch para su limpieza "/>
    <s v=""/>
    <x v="0"/>
    <x v="0"/>
    <s v=""/>
    <s v=""/>
    <s v=""/>
    <x v="0"/>
    <x v="0"/>
    <x v="22"/>
  </r>
  <r>
    <x v="99"/>
    <s v="JOSÉ HAÑARI"/>
    <s v="TARDE"/>
    <s v="20:20"/>
    <s v="21:00"/>
    <d v="1899-12-30T00:40:00"/>
    <x v="71"/>
    <s v="Maquinaria"/>
    <s v="Seguimiento / Pruebas"/>
    <x v="0"/>
    <x v="3"/>
    <s v="Se continúa las pruebas correspondientes "/>
    <s v=""/>
    <x v="74"/>
    <x v="0"/>
    <s v=""/>
    <s v=""/>
    <s v=""/>
    <x v="0"/>
    <x v="1"/>
    <x v="22"/>
  </r>
  <r>
    <x v="99"/>
    <s v="Carlos Puma"/>
    <s v="NOCHE"/>
    <s v="21:30"/>
    <s v="21:55"/>
    <d v="1899-12-30T00:25:00"/>
    <x v="7"/>
    <s v="Maquinaria"/>
    <s v="Inspección"/>
    <x v="0"/>
    <x v="3"/>
    <s v="Inspección de equipos en uso"/>
    <s v=""/>
    <x v="0"/>
    <x v="0"/>
    <s v=""/>
    <s v=""/>
    <s v=""/>
    <x v="0"/>
    <x v="0"/>
    <x v="22"/>
  </r>
  <r>
    <x v="99"/>
    <s v="Carlos Puma"/>
    <s v="NOCHE"/>
    <s v="22:00"/>
    <s v="22:30"/>
    <d v="1899-12-30T00:30:00"/>
    <x v="28"/>
    <s v="Maquinaria"/>
    <s v="SET UP"/>
    <x v="0"/>
    <x v="3"/>
    <s v="Cambio de formato de pisco x 9 a milky x 10"/>
    <s v="Se retiro piezas de formato anterior "/>
    <x v="0"/>
    <x v="0"/>
    <s v=""/>
    <s v=""/>
    <s v=""/>
    <x v="2"/>
    <x v="0"/>
    <x v="22"/>
  </r>
  <r>
    <x v="99"/>
    <s v="Carlos Puma"/>
    <s v="NOCHE"/>
    <s v="22:35"/>
    <s v="23:06"/>
    <d v="1899-12-30T00:31:00"/>
    <x v="71"/>
    <s v="Maquinaria"/>
    <s v="Ajuste /Calibracion"/>
    <x v="1"/>
    <x v="1"/>
    <s v="Laminado sale hacia un lado, cuchilla no corta completamente "/>
    <s v="Se ajusto profundidad de fajas de desbobinado, se regulo cuchilla"/>
    <x v="0"/>
    <x v="0"/>
    <s v=""/>
    <s v=""/>
    <s v=""/>
    <x v="241"/>
    <x v="0"/>
    <x v="22"/>
  </r>
  <r>
    <x v="99"/>
    <s v="Carlos Puma"/>
    <s v="NOCHE"/>
    <s v="23:10"/>
    <s v="23:35"/>
    <d v="1899-12-30T00:25:00"/>
    <x v="27"/>
    <s v="Maquinaria"/>
    <s v="Ajuste /Calibracion"/>
    <x v="1"/>
    <x v="1"/>
    <s v="Goma no se dosifica correctamente "/>
    <s v="Se retiró boquillas dosificadoras y se realizó la limpieza y regulación, se montó boquillas en máquina y se hizo pruebas "/>
    <x v="0"/>
    <x v="8"/>
    <s v="Dosificador"/>
    <s v=""/>
    <s v=""/>
    <x v="0"/>
    <x v="1"/>
    <x v="22"/>
  </r>
  <r>
    <x v="99"/>
    <s v="Carlos Puma"/>
    <s v="NOCHE"/>
    <s v="23:40"/>
    <s v="23:59"/>
    <d v="1899-12-30T00:19:00"/>
    <x v="39"/>
    <s v="Maquinaria"/>
    <s v="Inspección"/>
    <x v="1"/>
    <x v="1"/>
    <s v="Temperatura alta en ambiente de toffe"/>
    <s v="Se reviso el funcionamiento de extractor, sistema de climatización y sistema de ventilación forzado "/>
    <x v="0"/>
    <x v="0"/>
    <s v=""/>
    <s v=""/>
    <s v=""/>
    <x v="242"/>
    <x v="0"/>
    <x v="22"/>
  </r>
  <r>
    <x v="99"/>
    <s v="Carlos Puma"/>
    <s v="NOCHE"/>
    <s v="00:05"/>
    <s v="00:25"/>
    <d v="1899-12-30T00:20:00"/>
    <x v="89"/>
    <s v="Maquinaria"/>
    <s v="Reparacion"/>
    <x v="1"/>
    <x v="1"/>
    <s v="Cuchilla no corta "/>
    <s v="Se remplazo resortes y se regulo cuchilla se hizo pruebas "/>
    <x v="0"/>
    <x v="0"/>
    <s v=""/>
    <s v=""/>
    <s v=""/>
    <x v="12"/>
    <x v="0"/>
    <x v="22"/>
  </r>
  <r>
    <x v="99"/>
    <s v="Carlos Puma"/>
    <s v="NOCHE"/>
    <s v="00:30"/>
    <s v="02:00"/>
    <d v="1899-12-30T01:30:00"/>
    <x v="28"/>
    <s v="Maquinaria"/>
    <s v="SET UP"/>
    <x v="0"/>
    <x v="3"/>
    <s v="Cambio de formato de pisco x9 a milky x 10"/>
    <s v="Se coloco piezas de milky x 10 y se calibro equipo "/>
    <x v="0"/>
    <x v="0"/>
    <s v=""/>
    <s v=""/>
    <s v=""/>
    <x v="2"/>
    <x v="0"/>
    <x v="22"/>
  </r>
  <r>
    <x v="99"/>
    <s v="Omar Nina"/>
    <s v="MAÑANA"/>
    <s v="06:10"/>
    <s v="06:30"/>
    <d v="1899-12-30T00:20:00"/>
    <x v="15"/>
    <s v="Maquinaria"/>
    <s v="SET UP"/>
    <x v="0"/>
    <x v="3"/>
    <s v="Armado de túnel de pre enfriamiento "/>
    <s v=""/>
    <x v="0"/>
    <x v="18"/>
    <s v="Preenfriamiento"/>
    <s v=""/>
    <s v=""/>
    <x v="96"/>
    <x v="1"/>
    <x v="22"/>
  </r>
  <r>
    <x v="99"/>
    <s v="Omar Nina"/>
    <s v="MAÑANA"/>
    <s v="06:40"/>
    <s v="07:00"/>
    <d v="1899-12-30T00:20:00"/>
    <x v="95"/>
    <s v="Maquinaria"/>
    <s v="Inspección"/>
    <x v="1"/>
    <x v="2"/>
    <s v="Hmi no enciende "/>
    <s v="Revisión de circuito eléctrico "/>
    <x v="0"/>
    <x v="0"/>
    <s v=""/>
    <s v=""/>
    <s v=""/>
    <x v="58"/>
    <x v="0"/>
    <x v="22"/>
  </r>
  <r>
    <x v="99"/>
    <s v="Omar Nina"/>
    <s v="MAÑANA"/>
    <s v="07:10"/>
    <s v="07:35"/>
    <d v="1899-12-30T00:25:00"/>
    <x v="50"/>
    <s v="Maquinaria"/>
    <s v="SET UP"/>
    <x v="0"/>
    <x v="3"/>
    <s v="Retiro de guardas y polines para limpieza "/>
    <s v=""/>
    <x v="3"/>
    <x v="0"/>
    <s v=""/>
    <s v=""/>
    <s v=""/>
    <x v="14"/>
    <x v="1"/>
    <x v="22"/>
  </r>
  <r>
    <x v="99"/>
    <s v="Omar Nina"/>
    <s v="MAÑANA"/>
    <s v="08:25"/>
    <s v="08:37"/>
    <d v="1899-12-30T00:12:00"/>
    <x v="55"/>
    <s v="Maquinaria"/>
    <s v="Lubricación"/>
    <x v="0"/>
    <x v="3"/>
    <s v="Lubricación de cadena "/>
    <s v=""/>
    <x v="14"/>
    <x v="0"/>
    <s v=""/>
    <s v=""/>
    <s v=""/>
    <x v="44"/>
    <x v="1"/>
    <x v="22"/>
  </r>
  <r>
    <x v="99"/>
    <s v="Omar Nina"/>
    <s v="MAÑANA"/>
    <s v="08:50"/>
    <s v="09:10"/>
    <d v="1899-12-30T00:20:00"/>
    <x v="15"/>
    <s v="Maquinaria"/>
    <s v="Sustitucion"/>
    <x v="1"/>
    <x v="1"/>
    <s v="Conector neumático roto. "/>
    <s v="Se busca en taller y se reemplaza "/>
    <x v="0"/>
    <x v="0"/>
    <s v=""/>
    <s v=""/>
    <s v=""/>
    <x v="24"/>
    <x v="0"/>
    <x v="22"/>
  </r>
  <r>
    <x v="99"/>
    <s v="Omar Nina"/>
    <s v="MAÑANA"/>
    <s v="09:30"/>
    <s v="10:05"/>
    <d v="1899-12-30T00:35:00"/>
    <x v="50"/>
    <s v="Maquinaria"/>
    <s v="SET UP"/>
    <x v="0"/>
    <x v="3"/>
    <s v="Colocación de guardas y polines "/>
    <s v=""/>
    <x v="3"/>
    <x v="0"/>
    <s v=""/>
    <s v=""/>
    <s v=""/>
    <x v="0"/>
    <x v="1"/>
    <x v="22"/>
  </r>
  <r>
    <x v="99"/>
    <s v="Omar Nina"/>
    <s v="MAÑANA"/>
    <s v="10:20"/>
    <s v="10:50"/>
    <d v="1899-12-30T00:30:00"/>
    <x v="59"/>
    <s v="Maquinaria"/>
    <s v="Ajuste /Calibracion"/>
    <x v="0"/>
    <x v="3"/>
    <s v="Laminado se sale de los discos "/>
    <s v="Apoyo en calibración "/>
    <x v="127"/>
    <x v="0"/>
    <s v=""/>
    <s v=""/>
    <s v=""/>
    <x v="50"/>
    <x v="1"/>
    <x v="22"/>
  </r>
  <r>
    <x v="99"/>
    <s v="Omar Nina"/>
    <s v="MAÑANA"/>
    <s v="12:00"/>
    <s v="12:35"/>
    <d v="1899-12-30T00:35:00"/>
    <x v="26"/>
    <s v="Maquinaria"/>
    <s v="SET UP"/>
    <x v="0"/>
    <x v="3"/>
    <s v="Armado de equipo "/>
    <s v=""/>
    <x v="0"/>
    <x v="0"/>
    <s v=""/>
    <s v=""/>
    <s v=""/>
    <x v="0"/>
    <x v="0"/>
    <x v="22"/>
  </r>
  <r>
    <x v="99"/>
    <s v="Omar Nina"/>
    <s v="MAÑANA"/>
    <s v="12:50"/>
    <s v="13:00"/>
    <d v="1899-12-30T00:10:00"/>
    <x v="15"/>
    <s v="Maquinaria"/>
    <s v="Inspección"/>
    <x v="1"/>
    <x v="2"/>
    <s v="En samfill no aparece ningún Parámetro"/>
    <s v="Se verifica cable de red"/>
    <x v="0"/>
    <x v="12"/>
    <s v="Sammfill"/>
    <s v=""/>
    <s v=""/>
    <x v="0"/>
    <x v="1"/>
    <x v="22"/>
  </r>
  <r>
    <x v="99"/>
    <s v="CARLOS TAPIA"/>
    <s v="MAÑANA"/>
    <s v="05:30"/>
    <s v="06:30"/>
    <d v="1899-12-30T01:00:00"/>
    <x v="21"/>
    <s v="Area"/>
    <s v="Encendido / Arranque de linea"/>
    <x v="0"/>
    <x v="3"/>
    <s v="Arranque de planta."/>
    <s v="Se encendió equipos y se habilitó líneas de vapor, agua y aire."/>
    <x v="0"/>
    <x v="0"/>
    <s v=""/>
    <s v=""/>
    <s v=""/>
    <x v="0"/>
    <x v="0"/>
    <x v="22"/>
  </r>
  <r>
    <x v="99"/>
    <s v="CARLOS TAPIA"/>
    <s v="MAÑANA"/>
    <s v="06:30"/>
    <s v="07:00"/>
    <d v="1899-12-30T00:30:00"/>
    <x v="19"/>
    <s v="Maquinaria"/>
    <s v="SET UP"/>
    <x v="0"/>
    <x v="3"/>
    <s v="Desarmar máquina para su limpieza "/>
    <s v="Se retiró piezas para su limpieza "/>
    <x v="0"/>
    <x v="0"/>
    <s v=""/>
    <s v=""/>
    <s v=""/>
    <x v="0"/>
    <x v="0"/>
    <x v="22"/>
  </r>
  <r>
    <x v="99"/>
    <s v="CARLOS TAPIA"/>
    <s v="MAÑANA"/>
    <s v="07:30"/>
    <s v="08:40"/>
    <d v="1899-12-30T01:10:00"/>
    <x v="3"/>
    <s v="Maquinaria"/>
    <s v="SET UP"/>
    <x v="0"/>
    <x v="3"/>
    <s v="Cambio de formato para bitesize size"/>
    <s v="Se apoyo a técnico de turno con el cambio de formato en máquina "/>
    <x v="0"/>
    <x v="0"/>
    <s v=""/>
    <s v=""/>
    <s v=""/>
    <x v="2"/>
    <x v="0"/>
    <x v="22"/>
  </r>
  <r>
    <x v="99"/>
    <s v="CARLOS TAPIA"/>
    <s v="MAÑANA"/>
    <s v="09:00"/>
    <s v="10:30"/>
    <d v="1899-12-30T01:30:00"/>
    <x v="17"/>
    <s v="Maquinaria"/>
    <s v="SET UP"/>
    <x v="0"/>
    <x v="3"/>
    <s v="Armado de máquina y encendido de la misma."/>
    <s v="Se colocó piezas en posición y se habilitó máquina "/>
    <x v="0"/>
    <x v="0"/>
    <s v=""/>
    <s v=""/>
    <s v=""/>
    <x v="0"/>
    <x v="0"/>
    <x v="22"/>
  </r>
  <r>
    <x v="99"/>
    <s v="CARLOS TAPIA"/>
    <s v="MAÑANA"/>
    <s v="10:45"/>
    <s v="11:15"/>
    <d v="1899-12-30T00:30:00"/>
    <x v="107"/>
    <s v="Maquinaria"/>
    <s v="SET UP"/>
    <x v="0"/>
    <x v="3"/>
    <s v="Retirar guardas del elevador de cacao para su limpieza "/>
    <s v="Se retiró polines de reflon y se sacó las guardas de la banda, para su limpieza "/>
    <x v="90"/>
    <x v="0"/>
    <s v=""/>
    <s v=""/>
    <s v=""/>
    <x v="14"/>
    <x v="1"/>
    <x v="22"/>
  </r>
  <r>
    <x v="99"/>
    <s v="CARLOS TAPIA"/>
    <s v="MAÑANA"/>
    <s v="11:30"/>
    <s v="11:50"/>
    <d v="1899-12-30T00:20:00"/>
    <x v="90"/>
    <s v="Maquinaria"/>
    <s v="Reparacion"/>
    <x v="1"/>
    <x v="1"/>
    <s v="Revisar depósito de condensado del sistema de climatizacion"/>
    <s v="Se libero obstrucción del depósito y se habilito equipo "/>
    <x v="0"/>
    <x v="27"/>
    <s v="Climatizador"/>
    <s v=""/>
    <s v=""/>
    <x v="0"/>
    <x v="1"/>
    <x v="22"/>
  </r>
  <r>
    <x v="100"/>
    <s v="Carlos Puma"/>
    <s v="NOCHE"/>
    <s v="21:35"/>
    <s v="21:45"/>
    <d v="1899-12-30T00:10:00"/>
    <x v="18"/>
    <s v="Maquinaria"/>
    <s v="SET UP"/>
    <x v="0"/>
    <x v="3"/>
    <s v="Armado de equipo "/>
    <s v=""/>
    <x v="0"/>
    <x v="0"/>
    <s v=""/>
    <s v=""/>
    <s v=""/>
    <x v="0"/>
    <x v="0"/>
    <x v="22"/>
  </r>
  <r>
    <x v="100"/>
    <s v="Carlos Puma"/>
    <s v="NOCHE"/>
    <s v="21:50"/>
    <s v="22:10"/>
    <d v="1899-12-30T00:20:00"/>
    <x v="28"/>
    <s v="Maquinaria"/>
    <s v="Ajuste /Calibracion"/>
    <x v="1"/>
    <x v="1"/>
    <s v="No sella correctamente "/>
    <s v="Se apoyó regulando temperatura de sellador lateral "/>
    <x v="0"/>
    <x v="0"/>
    <s v=""/>
    <s v=""/>
    <s v=""/>
    <x v="29"/>
    <x v="0"/>
    <x v="22"/>
  </r>
  <r>
    <x v="100"/>
    <s v="Carlos Puma"/>
    <s v="NOCHE"/>
    <s v="22:15"/>
    <s v="22:30"/>
    <d v="1899-12-30T00:15:00"/>
    <x v="114"/>
    <s v="Maquinaria"/>
    <s v="Sustitucion"/>
    <x v="1"/>
    <x v="2"/>
    <s v="Sensor de pocision de olla en mal estado"/>
    <s v="Se necesita remplazar , no se encuentra en almacén "/>
    <x v="0"/>
    <x v="0"/>
    <s v=""/>
    <s v=""/>
    <s v=""/>
    <x v="0"/>
    <x v="0"/>
    <x v="22"/>
  </r>
  <r>
    <x v="100"/>
    <s v="Carlos Puma"/>
    <s v="NOCHE"/>
    <s v="22:40"/>
    <s v="23:45"/>
    <d v="1899-12-30T01:05:00"/>
    <x v="26"/>
    <s v="Maquinaria"/>
    <s v="Sustitucion"/>
    <x v="1"/>
    <x v="1"/>
    <s v="Cuchilla no corta , tirante roto"/>
    <s v="Se retiró y se calibro  módulo de cuchilla , se remplazo tirando por uno de otro formato, se hizo pruebas "/>
    <x v="0"/>
    <x v="0"/>
    <s v=""/>
    <s v=""/>
    <s v=""/>
    <x v="243"/>
    <x v="0"/>
    <x v="22"/>
  </r>
  <r>
    <x v="100"/>
    <s v="Carlos Puma"/>
    <s v="NOCHE"/>
    <s v="00:00"/>
    <s v="00:30"/>
    <d v="1899-12-30T00:30:00"/>
    <x v="32"/>
    <s v="Maquinaria"/>
    <s v="Seguimiento / Pruebas"/>
    <x v="0"/>
    <x v="3"/>
    <s v="Se apoyó calentando tuberías y se hizo pruebas "/>
    <s v=""/>
    <x v="48"/>
    <x v="0"/>
    <s v=""/>
    <s v=""/>
    <s v=""/>
    <x v="244"/>
    <x v="1"/>
    <x v="22"/>
  </r>
  <r>
    <x v="100"/>
    <s v="Carlos Puma"/>
    <s v="NOCHE"/>
    <s v="01:05"/>
    <s v="01:15"/>
    <d v="1899-12-30T00:10:00"/>
    <x v="18"/>
    <s v="Maquinaria"/>
    <s v="SET UP"/>
    <x v="0"/>
    <x v="3"/>
    <s v="Desarme de equipo "/>
    <s v=""/>
    <x v="0"/>
    <x v="0"/>
    <s v=""/>
    <s v=""/>
    <s v=""/>
    <x v="0"/>
    <x v="0"/>
    <x v="22"/>
  </r>
  <r>
    <x v="100"/>
    <s v="Carlos Puma"/>
    <s v="NOCHE"/>
    <s v="01:45"/>
    <s v="02:20"/>
    <d v="1899-12-30T00:35:00"/>
    <x v="15"/>
    <s v="Maquinaria"/>
    <s v="SET UP"/>
    <x v="0"/>
    <x v="3"/>
    <s v="Se apoyó en el Desarme y armado de mds por limpieza "/>
    <s v=""/>
    <x v="0"/>
    <x v="1"/>
    <s v="Mds"/>
    <s v=""/>
    <s v=""/>
    <x v="0"/>
    <x v="1"/>
    <x v="22"/>
  </r>
  <r>
    <x v="100"/>
    <s v="Carlos Puma"/>
    <s v="NOCHE"/>
    <s v="02:30"/>
    <s v="02:50"/>
    <d v="1899-12-30T00:20:00"/>
    <x v="15"/>
    <s v="Maquinaria"/>
    <s v="Inspección"/>
    <x v="0"/>
    <x v="3"/>
    <s v="Inspección de temperadora "/>
    <s v="Se llenó agua an tanques"/>
    <x v="0"/>
    <x v="11"/>
    <s v="Temperadora"/>
    <s v=""/>
    <s v=""/>
    <x v="0"/>
    <x v="1"/>
    <x v="22"/>
  </r>
  <r>
    <x v="100"/>
    <s v="Carlos Puma"/>
    <s v="NOCHE"/>
    <s v="03:05"/>
    <s v="03:25"/>
    <d v="1899-12-30T00:20:00"/>
    <x v="27"/>
    <s v="Maquinaria"/>
    <s v="Ajuste /Calibracion"/>
    <x v="1"/>
    <x v="2"/>
    <s v="Problemas en sensores"/>
    <s v="Se regulo sensibilidad y se hizo pruebas "/>
    <x v="0"/>
    <x v="0"/>
    <s v=""/>
    <s v=""/>
    <s v=""/>
    <x v="0"/>
    <x v="0"/>
    <x v="22"/>
  </r>
  <r>
    <x v="100"/>
    <s v="Carlos Puma"/>
    <s v="NOCHE"/>
    <s v="04:50"/>
    <s v="05:05"/>
    <d v="1899-12-30T00:15:00"/>
    <x v="15"/>
    <s v="Maquinaria"/>
    <s v="Inspección"/>
    <x v="0"/>
    <x v="3"/>
    <s v="Inspección de equipo "/>
    <s v=""/>
    <x v="0"/>
    <x v="0"/>
    <s v=""/>
    <s v=""/>
    <s v=""/>
    <x v="0"/>
    <x v="0"/>
    <x v="22"/>
  </r>
  <r>
    <x v="100"/>
    <s v="CARLOS TAPIA"/>
    <s v="MAÑANA"/>
    <s v="06:15"/>
    <s v="07:30"/>
    <d v="1899-12-30T01:15:00"/>
    <x v="17"/>
    <s v="Maquinaria"/>
    <s v="SET UP"/>
    <x v="0"/>
    <x v="3"/>
    <s v="Desarmar máquina para su limpieza "/>
    <s v="Se retiró piezas y mangueras para su limpieza "/>
    <x v="0"/>
    <x v="0"/>
    <s v=""/>
    <s v=""/>
    <s v=""/>
    <x v="0"/>
    <x v="0"/>
    <x v="22"/>
  </r>
  <r>
    <x v="100"/>
    <s v="CARLOS TAPIA"/>
    <s v="MAÑANA"/>
    <s v="07:45"/>
    <s v="08:00"/>
    <d v="1899-12-30T00:15:00"/>
    <x v="107"/>
    <s v="Maquinaria"/>
    <s v="Inspección"/>
    <x v="0"/>
    <x v="3"/>
    <s v="Inspección de máquina en funcionamiento "/>
    <s v="Se dió seguimiento al funcionamiento de máquina "/>
    <x v="0"/>
    <x v="0"/>
    <s v=""/>
    <s v=""/>
    <s v=""/>
    <x v="0"/>
    <x v="0"/>
    <x v="22"/>
  </r>
  <r>
    <x v="100"/>
    <s v="CARLOS TAPIA"/>
    <s v="MAÑANA"/>
    <s v="08:30"/>
    <s v="09:00"/>
    <d v="1899-12-30T00:30:00"/>
    <x v="55"/>
    <s v="Maquinaria"/>
    <s v="Sustitucion"/>
    <x v="1"/>
    <x v="1"/>
    <s v="Reemplazar perno dañado y ajustar bases."/>
    <s v="Se ajusto bases y se cambió turca y perno dañado "/>
    <x v="0"/>
    <x v="0"/>
    <s v=""/>
    <s v=""/>
    <s v=""/>
    <x v="245"/>
    <x v="0"/>
    <x v="22"/>
  </r>
  <r>
    <x v="100"/>
    <s v="CARLOS TAPIA"/>
    <s v="MAÑANA"/>
    <s v="10:15"/>
    <s v="11:00"/>
    <d v="1899-12-30T00:45:00"/>
    <x v="29"/>
    <s v="Maquinaria"/>
    <s v="Ajuste /Calibracion"/>
    <x v="1"/>
    <x v="1"/>
    <s v="Pieza doblada. Apoyo con la calibración de máquina para tableta de 50 gr exportación "/>
    <s v="Se retiró pieza para enderezar y pulir. Luego se colocó piezas en posición y se calibró máquina."/>
    <x v="0"/>
    <x v="0"/>
    <s v=""/>
    <s v=""/>
    <s v=""/>
    <x v="246"/>
    <x v="0"/>
    <x v="22"/>
  </r>
  <r>
    <x v="100"/>
    <s v="Cesar Quiroz"/>
    <s v="TARDE"/>
    <s v="12:39"/>
    <s v="12:53"/>
    <d v="1899-12-30T00:14:00"/>
    <x v="31"/>
    <s v="Equipos auxiliares"/>
    <s v="Inspección"/>
    <x v="0"/>
    <x v="3"/>
    <s v="Revisión de funcionamiento y parámetros de trabajo "/>
    <s v=""/>
    <x v="0"/>
    <x v="0"/>
    <s v=""/>
    <s v=""/>
    <s v=""/>
    <x v="0"/>
    <x v="0"/>
    <x v="22"/>
  </r>
  <r>
    <x v="100"/>
    <s v="Cesar Quiroz"/>
    <s v="TARDE"/>
    <s v="12:59"/>
    <s v="13:19"/>
    <d v="1899-12-30T00:20:00"/>
    <x v="106"/>
    <s v="Maquinaria"/>
    <s v="SET UP"/>
    <x v="0"/>
    <x v="3"/>
    <s v="Creación de receta "/>
    <s v=""/>
    <x v="0"/>
    <x v="0"/>
    <s v=""/>
    <s v=""/>
    <s v=""/>
    <x v="0"/>
    <x v="0"/>
    <x v="22"/>
  </r>
  <r>
    <x v="100"/>
    <s v="Cesar Quiroz"/>
    <s v="TARDE"/>
    <s v="13:46"/>
    <s v="14:05"/>
    <d v="1899-12-30T00:19:00"/>
    <x v="15"/>
    <s v="Maquinaria"/>
    <s v="SET UP"/>
    <x v="0"/>
    <x v="3"/>
    <s v="Apoyo en desarmado de formato cremas en mds"/>
    <s v=""/>
    <x v="0"/>
    <x v="1"/>
    <s v="Mds"/>
    <s v=""/>
    <s v=""/>
    <x v="2"/>
    <x v="1"/>
    <x v="22"/>
  </r>
  <r>
    <x v="100"/>
    <s v="Cesar Quiroz"/>
    <s v="TARDE"/>
    <s v="14:06"/>
    <s v="14:18"/>
    <d v="1899-12-30T00:12:00"/>
    <x v="55"/>
    <s v="Maquinaria"/>
    <s v="Sustitucion"/>
    <x v="1"/>
    <x v="1"/>
    <s v="Empujador roto"/>
    <s v="Se lleva repuesto y se realiza cambio "/>
    <x v="0"/>
    <x v="0"/>
    <s v=""/>
    <s v=""/>
    <s v=""/>
    <x v="24"/>
    <x v="0"/>
    <x v="22"/>
  </r>
  <r>
    <x v="100"/>
    <s v="Cesar Quiroz"/>
    <s v="TARDE"/>
    <s v="14:23"/>
    <s v="14:50"/>
    <d v="1899-12-30T00:27:00"/>
    <x v="15"/>
    <s v="Maquinaria"/>
    <s v="SET UP"/>
    <x v="0"/>
    <x v="3"/>
    <s v="Armado de formato agregados x50 en mds"/>
    <s v=""/>
    <x v="0"/>
    <x v="1"/>
    <s v="Mds"/>
    <s v=""/>
    <s v=""/>
    <x v="2"/>
    <x v="1"/>
    <x v="22"/>
  </r>
  <r>
    <x v="100"/>
    <s v="Cesar Quiroz"/>
    <s v="TARDE"/>
    <s v="14:52"/>
    <s v="15:25"/>
    <d v="1899-12-30T00:33:00"/>
    <x v="21"/>
    <s v="Area"/>
    <s v="Sustitucion"/>
    <x v="0"/>
    <x v="3"/>
    <s v="Cambio de dispensadores de papel y fluorescente "/>
    <s v=""/>
    <x v="5"/>
    <x v="0"/>
    <s v=""/>
    <s v=""/>
    <s v=""/>
    <x v="0"/>
    <x v="1"/>
    <x v="22"/>
  </r>
  <r>
    <x v="100"/>
    <s v="Cesar Quiroz"/>
    <s v="TARDE"/>
    <s v="15:33"/>
    <s v="16:05"/>
    <d v="1899-12-30T00:32:00"/>
    <x v="106"/>
    <s v="Maquinaria"/>
    <s v="SET UP"/>
    <x v="0"/>
    <x v="3"/>
    <s v="Creación de receta a pedido de producción "/>
    <s v=""/>
    <x v="0"/>
    <x v="0"/>
    <s v=""/>
    <s v=""/>
    <s v=""/>
    <x v="0"/>
    <x v="0"/>
    <x v="22"/>
  </r>
  <r>
    <x v="100"/>
    <s v="Cesar Quiroz"/>
    <s v="TARDE"/>
    <s v="17:13"/>
    <s v="17:31"/>
    <d v="1899-12-30T00:18:00"/>
    <x v="34"/>
    <s v="Maquinaria"/>
    <s v="Ajuste /Calibracion"/>
    <x v="1"/>
    <x v="1"/>
    <s v="Pieza se mueve y hace que cuchilla choque con brazo de pinza"/>
    <s v="Se desajusta  pieza y se regula posición con topes y se ajusta, se realizó pruebas "/>
    <x v="0"/>
    <x v="0"/>
    <s v=""/>
    <s v=""/>
    <s v=""/>
    <x v="0"/>
    <x v="0"/>
    <x v="22"/>
  </r>
  <r>
    <x v="100"/>
    <s v="JOSÉ HAÑARI"/>
    <s v="TARDE"/>
    <s v="12:40"/>
    <s v="13:00"/>
    <d v="1899-12-30T00:20:00"/>
    <x v="15"/>
    <s v="Maquinaria"/>
    <s v="Inspección"/>
    <x v="0"/>
    <x v="3"/>
    <s v="Se realiza inspección a equipo"/>
    <s v=""/>
    <x v="0"/>
    <x v="0"/>
    <s v=""/>
    <s v=""/>
    <s v=""/>
    <x v="0"/>
    <x v="0"/>
    <x v="22"/>
  </r>
  <r>
    <x v="100"/>
    <s v="JOSÉ HAÑARI"/>
    <s v="TARDE"/>
    <s v="13:05"/>
    <s v="13:20"/>
    <d v="1899-12-30T00:15:00"/>
    <x v="92"/>
    <s v="Maquinaria"/>
    <s v="Ajuste /Calibracion"/>
    <x v="1"/>
    <x v="2"/>
    <s v="Sensor desalineado"/>
    <s v="Se realiza calibración de sensor "/>
    <x v="0"/>
    <x v="0"/>
    <s v=""/>
    <s v=""/>
    <s v=""/>
    <x v="8"/>
    <x v="0"/>
    <x v="22"/>
  </r>
  <r>
    <x v="100"/>
    <s v="JOSÉ HAÑARI"/>
    <s v="TARDE"/>
    <s v="13:25"/>
    <s v="13:45"/>
    <d v="1899-12-30T00:20:00"/>
    <x v="28"/>
    <s v="Maquinaria"/>
    <s v="Sustitucion"/>
    <x v="1"/>
    <x v="2"/>
    <s v="Sensor de temperatura dañado"/>
    <s v="Se realiza el cambio de sensor y se dejó operativo "/>
    <x v="0"/>
    <x v="0"/>
    <s v=""/>
    <s v=""/>
    <s v=""/>
    <x v="85"/>
    <x v="0"/>
    <x v="22"/>
  </r>
  <r>
    <x v="100"/>
    <s v="JOSÉ HAÑARI"/>
    <s v="TARDE"/>
    <d v="1899-12-30T14:50:00"/>
    <d v="1899-12-30T15:55:00"/>
    <d v="1899-12-30T01:05:00"/>
    <x v="15"/>
    <s v="Maquinaria"/>
    <s v="SET UP"/>
    <x v="0"/>
    <x v="3"/>
    <s v="Se realiza desarmado y armado de formato en mds "/>
    <s v=""/>
    <x v="0"/>
    <x v="1"/>
    <s v="Mds"/>
    <s v=""/>
    <s v=""/>
    <x v="2"/>
    <x v="1"/>
    <x v="22"/>
  </r>
  <r>
    <x v="100"/>
    <s v="Omar Nina"/>
    <s v="MAÑANA"/>
    <s v="05:50"/>
    <s v="06:09"/>
    <d v="1899-12-30T00:19:00"/>
    <x v="107"/>
    <s v="Maquinaria"/>
    <s v="Reparacion"/>
    <x v="1"/>
    <x v="2"/>
    <s v="Error de flama, no enciende "/>
    <s v="Se confirma error en quemador y se verifica arranque de equipo"/>
    <x v="0"/>
    <x v="0"/>
    <s v=""/>
    <s v=""/>
    <s v=""/>
    <x v="247"/>
    <x v="0"/>
    <x v="22"/>
  </r>
  <r>
    <x v="100"/>
    <s v="Omar Nina"/>
    <s v="MAÑANA"/>
    <s v="06:15"/>
    <s v="06:30"/>
    <d v="1899-12-30T00:15:00"/>
    <x v="26"/>
    <s v="Maquinaria"/>
    <s v="Ajuste /Calibracion"/>
    <x v="1"/>
    <x v="1"/>
    <s v="Contraelevador desalineado "/>
    <s v="Calibración de contraelevador "/>
    <x v="0"/>
    <x v="15"/>
    <s v="Contraelevador"/>
    <s v=""/>
    <s v=""/>
    <x v="8"/>
    <x v="1"/>
    <x v="22"/>
  </r>
  <r>
    <x v="100"/>
    <s v="Omar Nina"/>
    <s v="MAÑANA"/>
    <s v="06:40"/>
    <s v="07:27"/>
    <d v="1899-12-30T00:47:00"/>
    <x v="29"/>
    <s v="Maquinaria"/>
    <s v="SET UP"/>
    <x v="0"/>
    <x v="3"/>
    <s v="Cambio de formato de 40 a 50"/>
    <s v=""/>
    <x v="0"/>
    <x v="0"/>
    <s v=""/>
    <s v=""/>
    <s v=""/>
    <x v="2"/>
    <x v="0"/>
    <x v="22"/>
  </r>
  <r>
    <x v="100"/>
    <s v="Omar Nina"/>
    <s v="MAÑANA"/>
    <s v="07:28"/>
    <s v="07:40"/>
    <d v="1899-12-30T00:12:00"/>
    <x v="27"/>
    <s v="Maquinaria"/>
    <s v="Ajuste /Calibracion"/>
    <x v="1"/>
    <x v="1"/>
    <s v="No sale un punto de goma"/>
    <s v="Calibración altura de boquillas de goma "/>
    <x v="0"/>
    <x v="0"/>
    <s v=""/>
    <s v=""/>
    <s v=""/>
    <x v="0"/>
    <x v="0"/>
    <x v="22"/>
  </r>
  <r>
    <x v="100"/>
    <s v="Omar Nina"/>
    <s v="MAÑANA"/>
    <s v="07:50"/>
    <s v="08:46"/>
    <d v="1899-12-30T00:56:00"/>
    <x v="55"/>
    <s v="Maquinaria"/>
    <s v="Sustitucion"/>
    <x v="1"/>
    <x v="2"/>
    <s v="Cambio de controladores de temperatura "/>
    <s v="Cambio y configuración de parámetros de controladores de temperatura "/>
    <x v="0"/>
    <x v="0"/>
    <s v=""/>
    <s v=""/>
    <s v=""/>
    <x v="0"/>
    <x v="0"/>
    <x v="22"/>
  </r>
  <r>
    <x v="100"/>
    <s v="Omar Nina"/>
    <s v="MAÑANA"/>
    <s v="08:55"/>
    <s v="09:21"/>
    <d v="1899-12-30T00:26:00"/>
    <x v="3"/>
    <s v="Maquinaria"/>
    <s v="Inspección"/>
    <x v="0"/>
    <x v="3"/>
    <s v="Verificación de funcionamiento de equipo "/>
    <s v="Mordaza corta laminado, se regula presión de mordaza "/>
    <x v="0"/>
    <x v="0"/>
    <s v=""/>
    <s v=""/>
    <s v=""/>
    <x v="0"/>
    <x v="0"/>
    <x v="22"/>
  </r>
  <r>
    <x v="100"/>
    <s v="Omar Nina"/>
    <s v="MAÑANA"/>
    <s v="09:39"/>
    <s v="10:10"/>
    <d v="1899-12-30T00:31:00"/>
    <x v="15"/>
    <s v="Maquinaria"/>
    <s v="Inspección"/>
    <x v="0"/>
    <x v="3"/>
    <s v="Verificación de correcto funcionamiento de equipo "/>
    <s v=""/>
    <x v="0"/>
    <x v="0"/>
    <s v=""/>
    <s v=""/>
    <s v=""/>
    <x v="0"/>
    <x v="0"/>
    <x v="22"/>
  </r>
  <r>
    <x v="100"/>
    <s v="Omar Nina"/>
    <s v="MAÑANA"/>
    <s v="10:30"/>
    <s v="11:00"/>
    <d v="1899-12-30T00:30:00"/>
    <x v="107"/>
    <s v="Maquinaria"/>
    <s v="Seguimiento / Pruebas"/>
    <x v="0"/>
    <x v="3"/>
    <s v="No cae productoen proceso de cocción "/>
    <s v="Confirmación de errores y seguimiento de proceso de descarga "/>
    <x v="8"/>
    <x v="0"/>
    <s v=""/>
    <s v=""/>
    <s v=""/>
    <x v="52"/>
    <x v="1"/>
    <x v="22"/>
  </r>
  <r>
    <x v="100"/>
    <s v="Omar Nina"/>
    <s v="MAÑANA"/>
    <s v="12:10"/>
    <s v="12:25"/>
    <d v="1899-12-30T00:15:00"/>
    <x v="43"/>
    <s v="Sistema"/>
    <s v="Reparacion"/>
    <x v="1"/>
    <x v="1"/>
    <s v="Baja presión de agua potable "/>
    <s v="Cambio de pozo y encendido de bomba "/>
    <x v="0"/>
    <x v="0"/>
    <s v=""/>
    <s v=""/>
    <s v=""/>
    <x v="108"/>
    <x v="0"/>
    <x v="22"/>
  </r>
  <r>
    <x v="100"/>
    <s v="Omar Nina"/>
    <s v="MAÑANA"/>
    <s v="12:35"/>
    <s v="13:09"/>
    <d v="1899-12-30T00:34:00"/>
    <x v="89"/>
    <s v="Maquinaria"/>
    <s v="Ajuste /Calibracion"/>
    <x v="1"/>
    <x v="1"/>
    <s v="No corta cuchilla "/>
    <s v="Calibración de cuchillas "/>
    <x v="0"/>
    <x v="0"/>
    <s v=""/>
    <s v=""/>
    <s v=""/>
    <x v="12"/>
    <x v="0"/>
    <x v="22"/>
  </r>
  <r>
    <x v="101"/>
    <s v="Cesar Quiroz"/>
    <s v="TARDE"/>
    <s v="12:39"/>
    <s v="12:55"/>
    <d v="1899-12-30T00:16:00"/>
    <x v="31"/>
    <s v="Equipos auxiliares"/>
    <s v="Inspección"/>
    <x v="0"/>
    <x v="3"/>
    <s v="Revisión de funcionamiento y parámetros de trabajo"/>
    <s v=""/>
    <x v="0"/>
    <x v="0"/>
    <s v=""/>
    <s v=""/>
    <s v=""/>
    <x v="0"/>
    <x v="0"/>
    <x v="22"/>
  </r>
  <r>
    <x v="101"/>
    <s v="Cesar Quiroz"/>
    <s v="TARDE"/>
    <s v="14:03"/>
    <s v="14:27"/>
    <d v="1899-12-30T00:24:00"/>
    <x v="28"/>
    <s v="Maquinaria"/>
    <s v="Ajuste /Calibracion"/>
    <x v="1"/>
    <x v="1"/>
    <s v="Cajas salen pegadas, no sella bien longseal"/>
    <s v="Se regulo presión de cajas, se regulo temperatura y posición de sellado de longsal"/>
    <x v="0"/>
    <x v="0"/>
    <s v=""/>
    <s v=""/>
    <s v=""/>
    <x v="29"/>
    <x v="0"/>
    <x v="22"/>
  </r>
  <r>
    <x v="101"/>
    <s v="Cesar Quiroz"/>
    <s v="TARDE"/>
    <s v="14:41"/>
    <s v="15:10"/>
    <d v="1899-12-30T00:29:00"/>
    <x v="3"/>
    <s v="Maquinaria"/>
    <s v="Reparacion"/>
    <x v="1"/>
    <x v="2"/>
    <s v="Variación de temperatura en mordaza parte superior"/>
    <s v="Se realizó limpieza y llegó pruebas, se dejó pasando "/>
    <x v="0"/>
    <x v="0"/>
    <s v=""/>
    <s v=""/>
    <s v=""/>
    <x v="0"/>
    <x v="0"/>
    <x v="22"/>
  </r>
  <r>
    <x v="101"/>
    <s v="Cesar Quiroz"/>
    <s v="TARDE"/>
    <s v="15:18"/>
    <s v="15:52"/>
    <d v="1899-12-30T00:34:00"/>
    <x v="15"/>
    <s v="Maquinaria"/>
    <s v="SET UP"/>
    <x v="0"/>
    <x v="3"/>
    <s v="Desarmado de formato agregados x100 de mds"/>
    <s v=""/>
    <x v="0"/>
    <x v="1"/>
    <s v="Mds"/>
    <s v=""/>
    <s v=""/>
    <x v="2"/>
    <x v="1"/>
    <x v="22"/>
  </r>
  <r>
    <x v="101"/>
    <s v="Cesar Quiroz"/>
    <s v="TARDE"/>
    <s v="15:54"/>
    <s v="16:22"/>
    <d v="1899-12-30T00:28:00"/>
    <x v="15"/>
    <s v="Maquinaria"/>
    <s v="SET UP"/>
    <x v="0"/>
    <x v="3"/>
    <s v="Armado de formato cremas ovaladas en hacos 1"/>
    <s v=""/>
    <x v="0"/>
    <x v="0"/>
    <s v=""/>
    <s v=""/>
    <s v=""/>
    <x v="2"/>
    <x v="0"/>
    <x v="22"/>
  </r>
  <r>
    <x v="101"/>
    <s v="Cesar Quiroz"/>
    <s v="TARDE"/>
    <s v="17:13"/>
    <s v="17:34"/>
    <d v="1899-12-30T00:21:00"/>
    <x v="3"/>
    <s v="Maquinaria"/>
    <s v="Seguimiento / Pruebas"/>
    <x v="0"/>
    <x v="3"/>
    <s v="Pruebas de laminado nuevo lote, apoyo en regulación de temperatura y regulación de guiadores "/>
    <s v=""/>
    <x v="128"/>
    <x v="0"/>
    <s v=""/>
    <s v=""/>
    <s v=""/>
    <x v="50"/>
    <x v="1"/>
    <x v="22"/>
  </r>
  <r>
    <x v="101"/>
    <s v="Cesar Quiroz"/>
    <s v="TARDE"/>
    <s v="17:45"/>
    <s v="18:02"/>
    <d v="1899-12-30T00:17:00"/>
    <x v="55"/>
    <s v="Maquinaria"/>
    <s v="Reparacion"/>
    <x v="1"/>
    <x v="2"/>
    <s v="Temperatura vuelve a tener variación en mordaza superior"/>
    <s v="Se realiza limpieza y se modifica angulo de carbones"/>
    <x v="0"/>
    <x v="0"/>
    <s v=""/>
    <s v=""/>
    <s v=""/>
    <x v="0"/>
    <x v="0"/>
    <x v="22"/>
  </r>
  <r>
    <x v="101"/>
    <s v="Cesar Quiroz"/>
    <s v="TARDE"/>
    <s v="18:15"/>
    <s v="19:42"/>
    <d v="1899-12-30T01:27:00"/>
    <x v="66"/>
    <s v="Maquinaria"/>
    <s v="Sustitucion"/>
    <x v="1"/>
    <x v="1"/>
    <s v="Banda se dañó, "/>
    <s v="Se retiro guarda, se destenso correa, se realizó cambio de correa de transmisión, se realizó pruebas de funcionamiento y se realizó limpieza de area"/>
    <x v="0"/>
    <x v="0"/>
    <s v=""/>
    <s v=""/>
    <s v=""/>
    <x v="0"/>
    <x v="0"/>
    <x v="22"/>
  </r>
  <r>
    <x v="101"/>
    <s v="Cesar Quiroz"/>
    <s v="TARDE"/>
    <s v="19:45"/>
    <s v="20:10"/>
    <d v="1899-12-30T00:25:00"/>
    <x v="15"/>
    <s v="Maquinaria"/>
    <s v="SET UP"/>
    <x v="0"/>
    <x v="3"/>
    <s v="Desarmado de formato cremas de mds"/>
    <s v=""/>
    <x v="0"/>
    <x v="1"/>
    <s v="Mds"/>
    <s v=""/>
    <s v=""/>
    <x v="2"/>
    <x v="1"/>
    <x v="22"/>
  </r>
  <r>
    <x v="101"/>
    <s v="Cesar Quiroz"/>
    <s v="TARDE"/>
    <s v="20:12"/>
    <s v="20:24"/>
    <d v="1899-12-30T00:12:00"/>
    <x v="28"/>
    <s v="Maquinaria"/>
    <s v="Ajuste /Calibracion"/>
    <x v="1"/>
    <x v="1"/>
    <s v="No sella bien primero sellado, cajas salen pegadas"/>
    <s v="Se regulo angulo de sellador y temperatura "/>
    <x v="0"/>
    <x v="0"/>
    <s v=""/>
    <s v=""/>
    <s v=""/>
    <x v="122"/>
    <x v="0"/>
    <x v="22"/>
  </r>
  <r>
    <x v="101"/>
    <s v="Cesar Quiroz"/>
    <s v="TARDE"/>
    <s v="20:27"/>
    <s v="20:43"/>
    <d v="1899-12-30T00:16:00"/>
    <x v="47"/>
    <s v="Maquinaria"/>
    <s v="SET UP"/>
    <x v="0"/>
    <x v="3"/>
    <s v="Desmontaje de samfill para lavado de piezas"/>
    <s v=""/>
    <x v="0"/>
    <x v="12"/>
    <s v="Sammfill"/>
    <s v=""/>
    <s v=""/>
    <x v="134"/>
    <x v="1"/>
    <x v="22"/>
  </r>
  <r>
    <x v="101"/>
    <s v="Carlos Puma"/>
    <s v="NOCHE"/>
    <s v="21:40"/>
    <s v="22:00"/>
    <d v="1899-12-30T00:20:00"/>
    <x v="66"/>
    <s v="Maquinaria"/>
    <s v="Inspección"/>
    <x v="0"/>
    <x v="3"/>
    <s v="Inspección de equipo "/>
    <s v="Se reviso estado de faja de transmisión "/>
    <x v="0"/>
    <x v="0"/>
    <s v=""/>
    <s v=""/>
    <s v=""/>
    <x v="0"/>
    <x v="0"/>
    <x v="22"/>
  </r>
  <r>
    <x v="101"/>
    <s v="Carlos Puma"/>
    <s v="NOCHE"/>
    <s v="22:05"/>
    <s v="23:00"/>
    <d v="1899-12-30T00:55:00"/>
    <x v="3"/>
    <s v="Maquinaria"/>
    <s v="Encendido / Arranque de linea"/>
    <x v="0"/>
    <x v="3"/>
    <s v="Apoyó en arranque de linea para chocolate doble"/>
    <s v="Se regulo presión de mordazas , se regulo velocidad de fajas , se dió seguimiento "/>
    <x v="8"/>
    <x v="0"/>
    <s v=""/>
    <s v=""/>
    <s v=""/>
    <x v="0"/>
    <x v="1"/>
    <x v="22"/>
  </r>
  <r>
    <x v="101"/>
    <s v="Carlos Puma"/>
    <s v="NOCHE"/>
    <s v="23:10"/>
    <s v="23:30"/>
    <d v="1899-12-30T00:20:00"/>
    <x v="47"/>
    <s v="Maquinaria"/>
    <s v="SET UP"/>
    <x v="0"/>
    <x v="3"/>
    <s v="Armado de samfill "/>
    <s v=""/>
    <x v="0"/>
    <x v="12"/>
    <s v="Sammfill"/>
    <s v=""/>
    <s v=""/>
    <x v="0"/>
    <x v="1"/>
    <x v="22"/>
  </r>
  <r>
    <x v="101"/>
    <s v="Carlos Puma"/>
    <s v="NOCHE"/>
    <s v="00:30"/>
    <s v="00:50"/>
    <d v="1899-12-30T00:20:00"/>
    <x v="15"/>
    <s v="Maquinaria"/>
    <s v="Sustitucion"/>
    <x v="1"/>
    <x v="2"/>
    <s v="Parada de emergencia accionada permanentemente "/>
    <s v="Se remplazo botón de parada de emergencia "/>
    <x v="0"/>
    <x v="0"/>
    <s v=""/>
    <s v=""/>
    <s v=""/>
    <x v="0"/>
    <x v="0"/>
    <x v="22"/>
  </r>
  <r>
    <x v="102"/>
    <s v="Carlos Puma"/>
    <s v="NOCHE"/>
    <s v="01:00"/>
    <s v="01:30"/>
    <d v="1899-12-30T00:30:00"/>
    <x v="15"/>
    <s v="Maquinaria"/>
    <s v="Inspección"/>
    <x v="0"/>
    <x v="3"/>
    <s v="Inspección de equipo "/>
    <s v=""/>
    <x v="0"/>
    <x v="0"/>
    <s v=""/>
    <s v=""/>
    <s v=""/>
    <x v="0"/>
    <x v="0"/>
    <x v="22"/>
  </r>
  <r>
    <x v="102"/>
    <s v="Carlos Puma"/>
    <s v="NOCHE"/>
    <s v="01:40"/>
    <s v="02:00"/>
    <d v="1899-12-30T00:20:00"/>
    <x v="110"/>
    <s v="Maquinaria"/>
    <s v="Reparacion"/>
    <x v="1"/>
    <x v="2"/>
    <s v="Bomba bloqueada, guarda motor protegido"/>
    <s v="Se restableció guarda motor , se encendido bomba y se verifico la corriente de consumo"/>
    <x v="0"/>
    <x v="0"/>
    <s v=""/>
    <s v=""/>
    <s v=""/>
    <x v="248"/>
    <x v="0"/>
    <x v="22"/>
  </r>
  <r>
    <x v="102"/>
    <s v="Carlos Puma"/>
    <s v="NOCHE"/>
    <s v="04:30"/>
    <s v="04:45"/>
    <d v="1899-12-30T00:15:00"/>
    <x v="26"/>
    <s v="Maquinaria"/>
    <s v="Inspección"/>
    <x v="0"/>
    <x v="3"/>
    <s v="Inspección de equipo "/>
    <s v="Se reviso estado de cuchilla "/>
    <x v="0"/>
    <x v="0"/>
    <s v=""/>
    <s v=""/>
    <s v=""/>
    <x v="0"/>
    <x v="0"/>
    <x v="22"/>
  </r>
  <r>
    <x v="101"/>
    <s v="Omar Nina"/>
    <s v="MAÑANA"/>
    <s v="05:55"/>
    <s v="06:25"/>
    <d v="1899-12-30T00:30:00"/>
    <x v="26"/>
    <s v="Maquinaria"/>
    <s v="Ajuste /Calibracion"/>
    <x v="1"/>
    <x v="1"/>
    <s v="Contraelevador desalineado "/>
    <s v="Calibración de posición de contraelevador "/>
    <x v="0"/>
    <x v="15"/>
    <s v="Contraelevador"/>
    <s v=""/>
    <s v=""/>
    <x v="8"/>
    <x v="1"/>
    <x v="22"/>
  </r>
  <r>
    <x v="101"/>
    <s v="Omar Nina"/>
    <s v="MAÑANA"/>
    <s v="06:25"/>
    <s v="07:10"/>
    <d v="1899-12-30T00:45:00"/>
    <x v="29"/>
    <s v="Maquinaria"/>
    <s v="SET UP"/>
    <x v="0"/>
    <x v="3"/>
    <s v="Cambio de formato a 100"/>
    <s v=""/>
    <x v="0"/>
    <x v="0"/>
    <s v=""/>
    <s v=""/>
    <s v=""/>
    <x v="2"/>
    <x v="0"/>
    <x v="22"/>
  </r>
  <r>
    <x v="101"/>
    <s v="Omar Nina"/>
    <s v="MAÑANA"/>
    <s v="07:13"/>
    <s v="07:32"/>
    <d v="1899-12-30T00:19:00"/>
    <x v="27"/>
    <s v="Maquinaria"/>
    <s v="Ajuste /Calibracion"/>
    <x v="1"/>
    <x v="1"/>
    <s v="Goma mancha etiqueta "/>
    <s v="Calibración de altura de boquillas de goma "/>
    <x v="0"/>
    <x v="0"/>
    <s v=""/>
    <s v=""/>
    <s v=""/>
    <x v="40"/>
    <x v="0"/>
    <x v="22"/>
  </r>
  <r>
    <x v="101"/>
    <s v="Omar Nina"/>
    <s v="MAÑANA"/>
    <s v="07:42"/>
    <s v="08:05"/>
    <d v="1899-12-30T00:23:00"/>
    <x v="114"/>
    <s v="Maquinaria"/>
    <s v="Sustitucion"/>
    <x v="1"/>
    <x v="2"/>
    <s v="Cambio de sensor inductivo"/>
    <s v=""/>
    <x v="0"/>
    <x v="0"/>
    <s v=""/>
    <s v=""/>
    <s v=""/>
    <x v="0"/>
    <x v="0"/>
    <x v="22"/>
  </r>
  <r>
    <x v="101"/>
    <s v="Omar Nina"/>
    <s v="MAÑANA"/>
    <s v="08:10"/>
    <s v="08:40"/>
    <d v="1899-12-30T00:30:00"/>
    <x v="55"/>
    <s v="Maquinaria"/>
    <s v="Reparacion"/>
    <x v="1"/>
    <x v="2"/>
    <s v="Temperatura de moradazas varía 30°"/>
    <s v="Limpieza de carbones y colector"/>
    <x v="0"/>
    <x v="0"/>
    <s v=""/>
    <s v=""/>
    <s v=""/>
    <x v="0"/>
    <x v="0"/>
    <x v="22"/>
  </r>
  <r>
    <x v="101"/>
    <s v="Omar Nina"/>
    <s v="MAÑANA"/>
    <s v="09:06"/>
    <s v="09:30"/>
    <d v="1899-12-30T00:24:00"/>
    <x v="29"/>
    <s v="Maquinaria"/>
    <s v="Coordinacion"/>
    <x v="0"/>
    <x v="3"/>
    <s v="Solicitan goma."/>
    <s v="Se busca goma en almacén y se lleva a máquina "/>
    <x v="12"/>
    <x v="0"/>
    <s v=""/>
    <s v=""/>
    <s v=""/>
    <x v="0"/>
    <x v="1"/>
    <x v="22"/>
  </r>
  <r>
    <x v="101"/>
    <s v="Omar Nina"/>
    <s v="MAÑANA"/>
    <s v="09:35"/>
    <s v="11:00"/>
    <d v="1899-12-30T01:25:00"/>
    <x v="15"/>
    <s v="Maquinaria"/>
    <s v="SET UP"/>
    <x v="0"/>
    <x v="3"/>
    <s v="Desarmado de de MDS y armado para agregados x100"/>
    <s v=""/>
    <x v="0"/>
    <x v="1"/>
    <s v="Mds"/>
    <s v=""/>
    <s v=""/>
    <x v="0"/>
    <x v="1"/>
    <x v="22"/>
  </r>
  <r>
    <x v="101"/>
    <s v="Omar Nina"/>
    <s v="MAÑANA"/>
    <s v="12:30"/>
    <s v="13:00"/>
    <d v="1899-12-30T00:30:00"/>
    <x v="28"/>
    <s v="Maquinaria"/>
    <s v="Ajuste /Calibracion"/>
    <x v="1"/>
    <x v="1"/>
    <s v="Sellador aplasta las cajas"/>
    <s v="Calibración de inclinación de sellador y ajuste de presión inicial"/>
    <x v="0"/>
    <x v="0"/>
    <s v=""/>
    <s v=""/>
    <s v=""/>
    <x v="62"/>
    <x v="0"/>
    <x v="22"/>
  </r>
  <r>
    <x v="101"/>
    <s v="CARLOS TAPIA"/>
    <s v="MAÑANA"/>
    <s v="06:00"/>
    <s v="06:15"/>
    <d v="1899-12-30T00:15:00"/>
    <x v="66"/>
    <s v="Maquinaria"/>
    <s v="Sustitucion"/>
    <x v="1"/>
    <x v="1"/>
    <s v="Cambio de cuchilla"/>
    <s v="Se realizó el cambio de cuchilla en máquina."/>
    <x v="0"/>
    <x v="0"/>
    <s v=""/>
    <s v=""/>
    <s v=""/>
    <x v="0"/>
    <x v="0"/>
    <x v="22"/>
  </r>
  <r>
    <x v="101"/>
    <s v="CARLOS TAPIA"/>
    <s v="MAÑANA"/>
    <s v="06:45"/>
    <s v="07:10"/>
    <d v="1899-12-30T00:25:00"/>
    <x v="107"/>
    <s v="Maquinaria"/>
    <s v="Inspección"/>
    <x v="0"/>
    <x v="3"/>
    <s v="Inspección de máquina en funcionamiento "/>
    <s v="Se dió seguimiento al funcionamiento de máquina "/>
    <x v="0"/>
    <x v="0"/>
    <s v=""/>
    <s v=""/>
    <s v=""/>
    <x v="0"/>
    <x v="0"/>
    <x v="22"/>
  </r>
  <r>
    <x v="101"/>
    <s v="CARLOS TAPIA"/>
    <s v="MAÑANA"/>
    <s v="09:00"/>
    <s v="09:20"/>
    <d v="1899-12-30T00:20:00"/>
    <x v="18"/>
    <s v="Maquinaria"/>
    <s v="SET UP"/>
    <x v="0"/>
    <x v="3"/>
    <s v="Armado de máquina "/>
    <s v="Se realizó el armado y habilitación de máquina "/>
    <x v="0"/>
    <x v="0"/>
    <s v=""/>
    <s v=""/>
    <s v=""/>
    <x v="0"/>
    <x v="0"/>
    <x v="22"/>
  </r>
  <r>
    <x v="101"/>
    <s v="CARLOS TAPIA"/>
    <s v="MAÑANA"/>
    <s v="11:50"/>
    <s v="12:00"/>
    <d v="1899-12-30T00:10:00"/>
    <x v="13"/>
    <s v="Maquinaria"/>
    <s v="Ajuste /Calibracion"/>
    <x v="1"/>
    <x v="1"/>
    <s v="Ajustar cuchilla fija. No realiza el corte adecuado "/>
    <s v="Se revisó y se ajusto cuchilla"/>
    <x v="0"/>
    <x v="0"/>
    <s v=""/>
    <s v=""/>
    <s v=""/>
    <x v="28"/>
    <x v="0"/>
    <x v="22"/>
  </r>
  <r>
    <x v="101"/>
    <s v="CARLOS TAPIA"/>
    <s v="MAÑANA"/>
    <s v="13:00"/>
    <s v="14:00"/>
    <d v="1899-12-30T01:00:00"/>
    <x v="55"/>
    <s v="Maquinaria"/>
    <s v="Sustitucion"/>
    <x v="1"/>
    <x v="2"/>
    <s v="Variación constante de temperatura en mordazas."/>
    <s v="Se realizó el cambio y adecuación de sistema de carbones en mordazas. Se dió seguimiento al funcionamiento con el nuevo sistema"/>
    <x v="0"/>
    <x v="0"/>
    <s v=""/>
    <s v=""/>
    <s v=""/>
    <x v="0"/>
    <x v="0"/>
    <x v="22"/>
  </r>
  <r>
    <x v="102"/>
    <s v="Cesar Quiroz"/>
    <s v="TARDE"/>
    <s v="12:39"/>
    <s v="13:01"/>
    <d v="1899-12-30T00:22:00"/>
    <x v="31"/>
    <s v="Equipos auxiliares"/>
    <s v="Inspección"/>
    <x v="0"/>
    <x v="3"/>
    <s v="Revisión de funcionamiento y parámetros de trabajo "/>
    <s v=""/>
    <x v="0"/>
    <x v="0"/>
    <s v=""/>
    <s v=""/>
    <s v=""/>
    <x v="0"/>
    <x v="0"/>
    <x v="22"/>
  </r>
  <r>
    <x v="102"/>
    <s v="Cesar Quiroz"/>
    <s v="TARDE"/>
    <s v="13:05"/>
    <s v="13:19"/>
    <d v="1899-12-30T00:14:00"/>
    <x v="52"/>
    <s v="Area"/>
    <s v="Limpieza"/>
    <x v="0"/>
    <x v="3"/>
    <s v="Orden y limpieza de herramientas y mesa de trabajo"/>
    <s v=""/>
    <x v="43"/>
    <x v="0"/>
    <s v=""/>
    <s v=""/>
    <s v=""/>
    <x v="0"/>
    <x v="1"/>
    <x v="22"/>
  </r>
  <r>
    <x v="102"/>
    <s v="Cesar Quiroz"/>
    <s v="TARDE"/>
    <s v="13:23"/>
    <s v="14:15"/>
    <d v="1899-12-30T00:52:00"/>
    <x v="21"/>
    <s v="Area"/>
    <s v="Reparacion"/>
    <x v="1"/>
    <x v="1"/>
    <s v="Cortinas de salida de planta dañadas "/>
    <s v="Se busco material, se cortó y se perforó para realizar cambio, se realizó el cambio de "/>
    <x v="0"/>
    <x v="0"/>
    <s v=""/>
    <s v=""/>
    <s v=""/>
    <x v="85"/>
    <x v="0"/>
    <x v="22"/>
  </r>
  <r>
    <x v="102"/>
    <s v="Cesar Quiroz"/>
    <s v="TARDE"/>
    <s v="14:26"/>
    <s v="14:51"/>
    <d v="1899-12-30T00:25:00"/>
    <x v="15"/>
    <s v="Maquinaria"/>
    <s v="Ajuste /Calibracion"/>
    <x v="1"/>
    <x v="2"/>
    <s v="Problemas frecuentes con sensor b21"/>
    <s v="Se reviso funcionamiento de sensores y empujadores, se encontró sensor de molde suelto, se ajusto posición y se realizó pruebas"/>
    <x v="0"/>
    <x v="0"/>
    <s v=""/>
    <s v=""/>
    <s v=""/>
    <x v="0"/>
    <x v="0"/>
    <x v="22"/>
  </r>
  <r>
    <x v="102"/>
    <s v="Cesar Quiroz"/>
    <s v="TARDE"/>
    <s v="14:58"/>
    <s v="15:16"/>
    <d v="1899-12-30T00:18:00"/>
    <x v="76"/>
    <s v="Maquinaria"/>
    <s v="SET UP"/>
    <x v="0"/>
    <x v="3"/>
    <s v="Armado de malla de equipo"/>
    <s v=""/>
    <x v="58"/>
    <x v="0"/>
    <s v=""/>
    <s v=""/>
    <s v=""/>
    <x v="0"/>
    <x v="1"/>
    <x v="22"/>
  </r>
  <r>
    <x v="102"/>
    <s v="Cesar Quiroz"/>
    <s v="TARDE"/>
    <s v="15:29"/>
    <s v="16:07"/>
    <d v="1899-12-30T00:38:00"/>
    <x v="34"/>
    <s v="Maquinaria"/>
    <s v="Reparacion"/>
    <x v="1"/>
    <x v="1"/>
    <s v="Pinza no sujeta bien papel "/>
    <s v="Se reviso funcionamiento, se encontró pieza con desgaste, se fabrico nueva pieza usando pernos y soldadura, se reemplazo pieza y se probó funcionamiento "/>
    <x v="0"/>
    <x v="0"/>
    <s v=""/>
    <s v=""/>
    <s v=""/>
    <x v="0"/>
    <x v="0"/>
    <x v="22"/>
  </r>
  <r>
    <x v="102"/>
    <s v="Cesar Quiroz"/>
    <s v="TARDE"/>
    <s v="17:16"/>
    <s v="18:05"/>
    <d v="1899-12-30T00:49:00"/>
    <x v="15"/>
    <s v="Maquinaria"/>
    <s v="Reparacion"/>
    <x v="1"/>
    <x v="1"/>
    <s v="Tolva de agregados dañado por caida"/>
    <s v="Se retiro tolva a taller y se enderezó piezas y tapas, se corrigió cableado y se retorno a su area"/>
    <x v="0"/>
    <x v="0"/>
    <s v=""/>
    <s v=""/>
    <s v=""/>
    <x v="85"/>
    <x v="0"/>
    <x v="22"/>
  </r>
  <r>
    <x v="102"/>
    <s v="Cesar Quiroz"/>
    <s v="TARDE"/>
    <s v="18:12"/>
    <s v="18:25"/>
    <d v="1899-12-30T00:13:00"/>
    <x v="26"/>
    <s v="Maquinaria"/>
    <s v="Ajuste /Calibracion"/>
    <x v="1"/>
    <x v="1"/>
    <s v="Banda se movió a un costado"/>
    <s v="Se destenso y se corrigió posición de banda, se modifico posición de polín tensador "/>
    <x v="0"/>
    <x v="0"/>
    <s v=""/>
    <s v=""/>
    <s v=""/>
    <x v="0"/>
    <x v="0"/>
    <x v="22"/>
  </r>
  <r>
    <x v="102"/>
    <s v="Cesar Quiroz"/>
    <s v="TARDE"/>
    <s v="18:32"/>
    <s v="18:54"/>
    <d v="1899-12-30T00:22:00"/>
    <x v="29"/>
    <s v="Maquinaria"/>
    <s v="Ajuste /Calibracion"/>
    <x v="1"/>
    <x v="1"/>
    <s v="Problemas con cuchilla, no corta bien "/>
    <s v="Se regulo presión de cuchilla y apertura, se corrigió posición de resorte"/>
    <x v="0"/>
    <x v="0"/>
    <s v=""/>
    <s v=""/>
    <s v=""/>
    <x v="12"/>
    <x v="0"/>
    <x v="22"/>
  </r>
  <r>
    <x v="102"/>
    <s v="Cesar Quiroz"/>
    <s v="TARDE"/>
    <s v="19:16"/>
    <s v="19:37"/>
    <d v="1899-12-30T00:21:00"/>
    <x v="55"/>
    <s v="Maquinaria"/>
    <s v="Inspección"/>
    <x v="0"/>
    <x v="3"/>
    <s v="Revisión de funcionamiento de equipo"/>
    <s v=""/>
    <x v="0"/>
    <x v="0"/>
    <s v=""/>
    <s v=""/>
    <s v=""/>
    <x v="0"/>
    <x v="0"/>
    <x v="22"/>
  </r>
  <r>
    <x v="102"/>
    <s v="Cesar Quiroz"/>
    <s v="TARDE"/>
    <s v="19:53"/>
    <s v="20:26"/>
    <d v="1899-12-30T00:33:00"/>
    <x v="29"/>
    <s v="Maquinaria"/>
    <s v="SET UP"/>
    <x v="0"/>
    <x v="3"/>
    <s v="Cambio de formato de 40g a 50"/>
    <s v=""/>
    <x v="0"/>
    <x v="0"/>
    <s v=""/>
    <s v=""/>
    <s v=""/>
    <x v="2"/>
    <x v="0"/>
    <x v="22"/>
  </r>
  <r>
    <x v="102"/>
    <s v="Carlos Puma"/>
    <s v="NOCHE"/>
    <s v="21:40"/>
    <s v="21:50"/>
    <d v="1899-12-30T00:10:00"/>
    <x v="29"/>
    <s v="Maquinaria"/>
    <s v="Inspección"/>
    <x v="0"/>
    <x v="3"/>
    <s v="Inspección de equipo "/>
    <s v="Se reviso medidas para el formato barra x50"/>
    <x v="0"/>
    <x v="0"/>
    <s v=""/>
    <s v=""/>
    <s v=""/>
    <x v="0"/>
    <x v="0"/>
    <x v="22"/>
  </r>
  <r>
    <x v="102"/>
    <s v="Carlos Puma"/>
    <s v="NOCHE"/>
    <s v="21:54"/>
    <s v="22:30"/>
    <d v="1899-12-30T00:36:00"/>
    <x v="15"/>
    <s v="Maquinaria"/>
    <s v="SET UP"/>
    <x v="0"/>
    <x v="3"/>
    <s v="Cambio de formato mds"/>
    <s v="Se desarmo formato de cremas y se armó formato de agregados x100"/>
    <x v="0"/>
    <x v="1"/>
    <s v="Mds"/>
    <s v=""/>
    <s v=""/>
    <x v="2"/>
    <x v="1"/>
    <x v="22"/>
  </r>
  <r>
    <x v="102"/>
    <s v="Carlos Puma"/>
    <s v="NOCHE"/>
    <s v="22:35"/>
    <s v="22:53"/>
    <d v="1899-12-30T00:18:00"/>
    <x v="107"/>
    <s v="Maquinaria"/>
    <s v="Reparacion"/>
    <x v="1"/>
    <x v="2"/>
    <s v="Reportan que quemador no enciende"/>
    <s v="Se encendio quemador y se dió seguimiento "/>
    <x v="0"/>
    <x v="0"/>
    <s v=""/>
    <s v=""/>
    <s v=""/>
    <x v="249"/>
    <x v="0"/>
    <x v="22"/>
  </r>
  <r>
    <x v="102"/>
    <s v="Carlos Puma"/>
    <s v="NOCHE"/>
    <s v="23:00"/>
    <s v="23:30"/>
    <d v="1899-12-30T00:30:00"/>
    <x v="27"/>
    <s v="Maquinaria"/>
    <s v="Ajuste /Calibracion"/>
    <x v="1"/>
    <x v="1"/>
    <s v="No dosifica goma"/>
    <s v="Se limpio boquillas y se regulo dosificado , se dió seguimiento "/>
    <x v="0"/>
    <x v="8"/>
    <s v="Dosificador"/>
    <s v=""/>
    <s v=""/>
    <x v="73"/>
    <x v="1"/>
    <x v="22"/>
  </r>
  <r>
    <x v="102"/>
    <s v="Carlos Puma"/>
    <s v="NOCHE"/>
    <s v="23:40"/>
    <s v="23:59"/>
    <d v="1899-12-30T00:19:00"/>
    <x v="29"/>
    <s v="Maquinaria"/>
    <s v="Ajuste /Calibracion"/>
    <x v="0"/>
    <x v="3"/>
    <s v="Se apoyó en regulación de puntos de goma"/>
    <s v=""/>
    <x v="12"/>
    <x v="0"/>
    <s v=""/>
    <s v=""/>
    <s v=""/>
    <x v="0"/>
    <x v="1"/>
    <x v="22"/>
  </r>
  <r>
    <x v="102"/>
    <s v="Carlos Puma"/>
    <s v="NOCHE"/>
    <s v="00:05"/>
    <s v="00:30"/>
    <d v="1899-12-30T00:25:00"/>
    <x v="3"/>
    <s v="Maquinaria"/>
    <s v="Ajuste /Calibracion"/>
    <x v="1"/>
    <x v="1"/>
    <s v="Sellado sale mal"/>
    <s v="Se regulo presión de mordazas , se aumento temperatura de mordazas , se hizo pruebas "/>
    <x v="0"/>
    <x v="0"/>
    <s v=""/>
    <s v=""/>
    <s v=""/>
    <x v="62"/>
    <x v="0"/>
    <x v="22"/>
  </r>
  <r>
    <x v="102"/>
    <s v="Carlos Puma"/>
    <s v="NOCHE"/>
    <s v="00:40"/>
    <s v="01:10"/>
    <d v="1899-12-30T00:30:00"/>
    <x v="41"/>
    <s v="Maquinaria"/>
    <s v="Ajuste /Calibracion"/>
    <x v="1"/>
    <x v="2"/>
    <s v="Se seguro sensibilidad para disminuir falsos  en receta barra 50g"/>
    <s v=""/>
    <x v="0"/>
    <x v="0"/>
    <s v=""/>
    <s v=""/>
    <s v=""/>
    <x v="250"/>
    <x v="0"/>
    <x v="22"/>
  </r>
  <r>
    <x v="102"/>
    <s v="Carlos Puma"/>
    <s v="NOCHE"/>
    <s v="01:30"/>
    <s v="01:50"/>
    <d v="1899-12-30T00:20:00"/>
    <x v="29"/>
    <s v="Maquinaria"/>
    <s v="Ajuste /Calibracion"/>
    <x v="1"/>
    <x v="1"/>
    <s v="Cuchilla no corta correctamente, no sale un punto de goma"/>
    <s v="Se regulo cuchilla , se regulo puntos de goma"/>
    <x v="0"/>
    <x v="0"/>
    <s v=""/>
    <s v=""/>
    <s v=""/>
    <x v="12"/>
    <x v="0"/>
    <x v="22"/>
  </r>
  <r>
    <x v="102"/>
    <s v="Carlos Puma"/>
    <s v="NOCHE"/>
    <s v="02:00"/>
    <s v="02:15"/>
    <d v="1899-12-30T00:15:00"/>
    <x v="28"/>
    <s v="Maquinaria"/>
    <s v="Inspección"/>
    <x v="0"/>
    <x v="3"/>
    <s v="Inspección de equipo "/>
    <s v=""/>
    <x v="0"/>
    <x v="0"/>
    <s v=""/>
    <s v=""/>
    <s v=""/>
    <x v="0"/>
    <x v="0"/>
    <x v="22"/>
  </r>
  <r>
    <x v="102"/>
    <s v="Omar Nina"/>
    <s v="MAÑANA"/>
    <s v="05:58"/>
    <s v="07:00"/>
    <d v="1899-12-30T01:02:00"/>
    <x v="106"/>
    <s v="Maquinaria"/>
    <s v="SET UP"/>
    <x v="0"/>
    <x v="3"/>
    <s v="Creación de recetas para turrón almendras, pistachos castaña."/>
    <s v=""/>
    <x v="0"/>
    <x v="0"/>
    <s v=""/>
    <s v=""/>
    <s v=""/>
    <x v="0"/>
    <x v="0"/>
    <x v="22"/>
  </r>
  <r>
    <x v="102"/>
    <s v="Omar Nina"/>
    <s v="MAÑANA"/>
    <s v="07:10"/>
    <s v="07:30"/>
    <d v="1899-12-30T00:20:00"/>
    <x v="67"/>
    <s v="Maquinaria"/>
    <s v="Ajuste /Calibracion"/>
    <x v="1"/>
    <x v="1"/>
    <s v="Laminado se desplaza para un lado."/>
    <s v="Se calibra posición de bobina "/>
    <x v="0"/>
    <x v="0"/>
    <s v=""/>
    <s v=""/>
    <s v=""/>
    <x v="251"/>
    <x v="0"/>
    <x v="22"/>
  </r>
  <r>
    <x v="102"/>
    <s v="Omar Nina"/>
    <s v="MAÑANA"/>
    <s v="07:35"/>
    <s v="08:00"/>
    <d v="1899-12-30T00:25:00"/>
    <x v="55"/>
    <s v="Maquinaria"/>
    <s v="Seguimiento / Pruebas"/>
    <x v="0"/>
    <x v="3"/>
    <s v="Seguimiento de control de temperaturas de mordazas "/>
    <s v=""/>
    <x v="4"/>
    <x v="0"/>
    <s v=""/>
    <s v=""/>
    <s v=""/>
    <x v="0"/>
    <x v="1"/>
    <x v="22"/>
  </r>
  <r>
    <x v="102"/>
    <s v="Omar Nina"/>
    <s v="MAÑANA"/>
    <s v="08:15"/>
    <s v="09:00"/>
    <d v="1899-12-30T00:45:00"/>
    <x v="29"/>
    <s v="Maquinaria"/>
    <s v="SET UP"/>
    <x v="0"/>
    <x v="3"/>
    <s v="Apoyo cambio de formato de 100 a 40"/>
    <s v=""/>
    <x v="0"/>
    <x v="0"/>
    <s v=""/>
    <s v=""/>
    <s v=""/>
    <x v="2"/>
    <x v="0"/>
    <x v="22"/>
  </r>
  <r>
    <x v="102"/>
    <s v="Omar Nina"/>
    <s v="MAÑANA"/>
    <s v="09:10"/>
    <s v="09:30"/>
    <d v="1899-12-30T00:20:00"/>
    <x v="15"/>
    <s v="Maquinaria"/>
    <s v="Seguimiento / Pruebas"/>
    <x v="0"/>
    <x v="3"/>
    <s v="No hay retorno de chocolate, tanque vacío "/>
    <s v="Se indica que llene tanque para restablecer bomba"/>
    <x v="8"/>
    <x v="3"/>
    <s v="Tanque"/>
    <s v=""/>
    <s v=""/>
    <x v="0"/>
    <x v="1"/>
    <x v="22"/>
  </r>
  <r>
    <x v="102"/>
    <s v="Omar Nina"/>
    <s v="MAÑANA"/>
    <s v="09:36"/>
    <s v="09:58"/>
    <d v="1899-12-30T00:22:00"/>
    <x v="18"/>
    <s v="Maquinaria"/>
    <s v="Sustitucion"/>
    <x v="1"/>
    <x v="1"/>
    <s v="Reportan oring roto"/>
    <s v="Se busca en almacén repuesto y se reemplaza en equipo "/>
    <x v="0"/>
    <x v="0"/>
    <s v=""/>
    <s v=""/>
    <s v=""/>
    <x v="24"/>
    <x v="0"/>
    <x v="22"/>
  </r>
  <r>
    <x v="102"/>
    <s v="Omar Nina"/>
    <s v="MAÑANA"/>
    <s v="10:48"/>
    <s v="11:40"/>
    <d v="1899-12-30T00:52:00"/>
    <x v="50"/>
    <s v="Maquinaria"/>
    <s v="Reparacion"/>
    <x v="1"/>
    <x v="2"/>
    <s v="Parte de fondo de tina tiene chocolate solidificado, resistencias se encuentran apagadas."/>
    <s v="Verificación de circuito eléctrico, anulación de resistencia en corto y verificación de correcto funcionamiento "/>
    <x v="0"/>
    <x v="0"/>
    <s v=""/>
    <s v=""/>
    <s v=""/>
    <x v="91"/>
    <x v="0"/>
    <x v="22"/>
  </r>
  <r>
    <x v="102"/>
    <s v="Omar Nina"/>
    <s v="MAÑANA"/>
    <s v="12:00"/>
    <s v="12:35"/>
    <d v="1899-12-30T00:35:00"/>
    <x v="41"/>
    <s v="Maquinaria"/>
    <s v="Capacitacion"/>
    <x v="0"/>
    <x v="3"/>
    <s v="Capacitación de Calibración para elementos faltantes "/>
    <s v=""/>
    <x v="0"/>
    <x v="0"/>
    <s v=""/>
    <s v=""/>
    <s v=""/>
    <x v="28"/>
    <x v="0"/>
    <x v="22"/>
  </r>
  <r>
    <x v="102"/>
    <s v="Omar Nina"/>
    <s v="MAÑANA"/>
    <s v="12:40"/>
    <s v="13:00"/>
    <d v="1899-12-30T00:20:00"/>
    <x v="29"/>
    <s v="Maquinaria"/>
    <s v="Ajuste /Calibracion"/>
    <x v="1"/>
    <x v="1"/>
    <s v="Por momentos no sella el papel aluminio "/>
    <s v="Calibración de sellador "/>
    <x v="0"/>
    <x v="0"/>
    <s v=""/>
    <s v=""/>
    <s v=""/>
    <x v="29"/>
    <x v="0"/>
    <x v="22"/>
  </r>
  <r>
    <x v="102"/>
    <s v="Omar Nina"/>
    <s v="MAÑANA"/>
    <s v="13:00"/>
    <s v="14:00"/>
    <d v="1899-12-30T01:00:00"/>
    <x v="55"/>
    <s v="Maquinaria"/>
    <s v="Sustitucion"/>
    <x v="1"/>
    <x v="2"/>
    <s v="Cambio de porta carbones de mordaza superior y verificación de funcionamiento en vacío "/>
    <s v=""/>
    <x v="0"/>
    <x v="0"/>
    <s v=""/>
    <s v=""/>
    <s v=""/>
    <x v="0"/>
    <x v="0"/>
    <x v="22"/>
  </r>
  <r>
    <x v="102"/>
    <s v="CARLOS TAPIA"/>
    <s v="MAÑANA"/>
    <s v="06:00"/>
    <s v="06:30"/>
    <d v="1899-12-30T00:30:00"/>
    <x v="15"/>
    <s v="Maquinaria"/>
    <s v="SET UP"/>
    <x v="0"/>
    <x v="3"/>
    <s v="Armado de módulo MDS formato cremas"/>
    <s v="Se armó módulo MDS y se habilitó máquina "/>
    <x v="0"/>
    <x v="1"/>
    <s v="Mds"/>
    <s v=""/>
    <s v=""/>
    <x v="2"/>
    <x v="1"/>
    <x v="22"/>
  </r>
  <r>
    <x v="102"/>
    <s v="CARLOS TAPIA"/>
    <s v="MAÑANA"/>
    <s v="11:00"/>
    <s v="11:20"/>
    <d v="1899-12-30T00:20:00"/>
    <x v="29"/>
    <s v="Maquinaria"/>
    <s v="Inspección"/>
    <x v="0"/>
    <x v="3"/>
    <s v="Inspección de máquina "/>
    <s v="Se dió seguimiento al funcionamiento de máquina "/>
    <x v="0"/>
    <x v="0"/>
    <s v=""/>
    <s v=""/>
    <s v=""/>
    <x v="0"/>
    <x v="0"/>
    <x v="22"/>
  </r>
  <r>
    <x v="102"/>
    <s v="JOSÉ HAÑARI"/>
    <s v="TARDE"/>
    <s v="12:40"/>
    <s v="13:00"/>
    <d v="1899-12-30T00:20:00"/>
    <x v="15"/>
    <s v="Maquinaria"/>
    <s v="Inspección"/>
    <x v="0"/>
    <x v="3"/>
    <s v="Se realiza inspección de temperadora de hacos 1"/>
    <s v=""/>
    <x v="0"/>
    <x v="11"/>
    <s v="Temperadora"/>
    <s v=""/>
    <s v=""/>
    <x v="0"/>
    <x v="1"/>
    <x v="22"/>
  </r>
  <r>
    <x v="102"/>
    <s v="JOSÉ HAÑARI"/>
    <s v="TARDE"/>
    <s v="13:05"/>
    <s v="13:20"/>
    <d v="1899-12-30T00:15:00"/>
    <x v="52"/>
    <s v="Area"/>
    <s v="Limpieza"/>
    <x v="0"/>
    <x v="3"/>
    <s v="Orden y limpieza en taller "/>
    <s v=""/>
    <x v="0"/>
    <x v="0"/>
    <s v=""/>
    <s v=""/>
    <s v=""/>
    <x v="0"/>
    <x v="0"/>
    <x v="22"/>
  </r>
  <r>
    <x v="102"/>
    <s v="JOSÉ HAÑARI"/>
    <s v="TARDE"/>
    <d v="1899-12-30T14:22:00"/>
    <d v="1899-12-30T14:55:00"/>
    <d v="1899-12-30T00:33:00"/>
    <x v="15"/>
    <s v="Maquinaria"/>
    <s v="Seguimiento / Pruebas"/>
    <x v="0"/>
    <x v="3"/>
    <s v="Problemas constante son sensores "/>
    <s v="Se realiza seguimiento y se encontró sensor suelto"/>
    <x v="40"/>
    <x v="0"/>
    <s v=""/>
    <s v=""/>
    <s v=""/>
    <x v="0"/>
    <x v="1"/>
    <x v="22"/>
  </r>
  <r>
    <x v="102"/>
    <s v="JOSÉ HAÑARI"/>
    <s v="TARDE"/>
    <d v="1899-12-30T14:59:00"/>
    <d v="1899-12-30T15:15:00"/>
    <d v="1899-12-30T00:16:00"/>
    <x v="76"/>
    <s v="Maquinaria"/>
    <s v="SET UP"/>
    <x v="0"/>
    <x v="3"/>
    <s v="Se realiza armado para su funcionamiento "/>
    <s v=""/>
    <x v="0"/>
    <x v="0"/>
    <s v=""/>
    <s v=""/>
    <s v=""/>
    <x v="0"/>
    <x v="0"/>
    <x v="22"/>
  </r>
  <r>
    <x v="102"/>
    <s v="JOSÉ HAÑARI"/>
    <s v="TARDE"/>
    <d v="1899-12-30T15:30:00"/>
    <d v="1899-12-30T16:05:00"/>
    <d v="1899-12-30T00:35:00"/>
    <x v="34"/>
    <s v="Maquinaria"/>
    <s v="Reparacion"/>
    <x v="1"/>
    <x v="1"/>
    <s v="Pinza no sujeta laminado "/>
    <s v="Se apoya con la instalación de pieza en equipo "/>
    <x v="0"/>
    <x v="0"/>
    <s v=""/>
    <s v=""/>
    <s v=""/>
    <x v="50"/>
    <x v="0"/>
    <x v="22"/>
  </r>
  <r>
    <x v="103"/>
    <s v="JOSÉ HAÑARI"/>
    <s v="MAÑANA"/>
    <s v="07:51"/>
    <s v="00:00"/>
    <d v="1899-12-30T16:09:00"/>
    <x v="34"/>
    <s v="Maquinaria"/>
    <s v="Sustitucion"/>
    <x v="1"/>
    <x v="1"/>
    <s v="Pinza no sujeta laminado "/>
    <s v="Se apoya en instalación de la pieza en máquina "/>
    <x v="0"/>
    <x v="0"/>
    <s v=""/>
    <s v=""/>
    <s v=""/>
    <x v="50"/>
    <x v="0"/>
    <x v="22"/>
  </r>
  <r>
    <x v="104"/>
    <s v="Cesar Quiroz"/>
    <s v="TARDE"/>
    <s v="12:44"/>
    <s v="13:03"/>
    <d v="1899-12-30T00:19:00"/>
    <x v="31"/>
    <s v="Equipos auxiliares"/>
    <s v="Inspección"/>
    <x v="0"/>
    <x v="3"/>
    <s v="Revisión de funcionamiento y parámetros de trabajo "/>
    <s v=""/>
    <x v="0"/>
    <x v="0"/>
    <s v=""/>
    <s v=""/>
    <s v=""/>
    <x v="0"/>
    <x v="0"/>
    <x v="22"/>
  </r>
  <r>
    <x v="104"/>
    <s v="Cesar Quiroz"/>
    <s v="TARDE"/>
    <s v="13:17"/>
    <s v="13:39"/>
    <d v="1899-12-30T00:22:00"/>
    <x v="28"/>
    <s v="Maquinaria"/>
    <s v="Ajuste /Calibracion"/>
    <x v="1"/>
    <x v="1"/>
    <s v="No sella "/>
    <s v="Se regulo sellador y se modifico angulo de sopladores, se realizó pruebas"/>
    <x v="0"/>
    <x v="0"/>
    <s v=""/>
    <s v=""/>
    <s v=""/>
    <x v="29"/>
    <x v="0"/>
    <x v="22"/>
  </r>
  <r>
    <x v="104"/>
    <s v="Cesar Quiroz"/>
    <s v="TARDE"/>
    <s v="14:07"/>
    <s v="14:31"/>
    <d v="1899-12-30T00:24:00"/>
    <x v="106"/>
    <s v="Maquinaria"/>
    <s v="SET UP"/>
    <x v="0"/>
    <x v="3"/>
    <s v="Creación de receta"/>
    <s v=""/>
    <x v="0"/>
    <x v="0"/>
    <s v=""/>
    <s v=""/>
    <s v=""/>
    <x v="0"/>
    <x v="0"/>
    <x v="22"/>
  </r>
  <r>
    <x v="104"/>
    <s v="Cesar Quiroz"/>
    <s v="TARDE"/>
    <s v="14:43"/>
    <s v="15:03"/>
    <d v="1899-12-30T00:20:00"/>
    <x v="115"/>
    <s v="Maquinaria"/>
    <s v="M.General"/>
    <x v="0"/>
    <x v="3"/>
    <s v="Preventivo semanal"/>
    <s v=""/>
    <x v="0"/>
    <x v="0"/>
    <s v=""/>
    <s v=""/>
    <s v=""/>
    <x v="0"/>
    <x v="0"/>
    <x v="22"/>
  </r>
  <r>
    <x v="104"/>
    <s v="Cesar Quiroz"/>
    <s v="TARDE"/>
    <s v="15:12"/>
    <s v="15:31"/>
    <d v="1899-12-30T00:19:00"/>
    <x v="106"/>
    <s v="Maquinaria"/>
    <s v="Ajuste /Calibracion"/>
    <x v="1"/>
    <x v="2"/>
    <s v="Problema con receta de bombón curacao, detecta muchos falsos"/>
    <s v="Se elimino receta y se creo nuevamente, se válido con calidad"/>
    <x v="0"/>
    <x v="0"/>
    <s v=""/>
    <s v=""/>
    <s v=""/>
    <x v="250"/>
    <x v="0"/>
    <x v="22"/>
  </r>
  <r>
    <x v="104"/>
    <s v="Cesar Quiroz"/>
    <s v="TARDE"/>
    <s v="15:36"/>
    <s v="16:02"/>
    <d v="1899-12-30T00:26:00"/>
    <x v="111"/>
    <s v=""/>
    <s v="M.General"/>
    <x v="0"/>
    <x v="3"/>
    <s v="Preventivo semanal"/>
    <s v=""/>
    <x v="0"/>
    <x v="0"/>
    <s v=""/>
    <s v=""/>
    <s v=""/>
    <x v="0"/>
    <x v="0"/>
    <x v="22"/>
  </r>
  <r>
    <x v="105"/>
    <s v="Cesar Quiroz"/>
    <s v="MAÑANA"/>
    <s v="05:37"/>
    <s v="06:26"/>
    <d v="1899-12-30T00:49:00"/>
    <x v="21"/>
    <s v="Area"/>
    <s v="Encendido / Arranque de linea"/>
    <x v="0"/>
    <x v="3"/>
    <s v="Arranque de equipos de planta, se encendió caldero, chiller, bomba de agua y compresor "/>
    <s v=""/>
    <x v="80"/>
    <x v="0"/>
    <s v=""/>
    <s v=""/>
    <s v=""/>
    <x v="0"/>
    <x v="1"/>
    <x v="23"/>
  </r>
  <r>
    <x v="105"/>
    <s v="Cesar Quiroz"/>
    <s v="MAÑANA"/>
    <s v="06:28"/>
    <s v="06:43"/>
    <d v="1899-12-30T00:15:00"/>
    <x v="43"/>
    <s v="Sistema"/>
    <s v="Inspección"/>
    <x v="0"/>
    <x v="3"/>
    <s v="Revisión de niveles de pozos, y presión de trabajo de bombas de agua"/>
    <s v=""/>
    <x v="80"/>
    <x v="0"/>
    <s v=""/>
    <s v=""/>
    <s v=""/>
    <x v="252"/>
    <x v="1"/>
    <x v="23"/>
  </r>
  <r>
    <x v="105"/>
    <s v="Cesar Quiroz"/>
    <s v="MAÑANA"/>
    <s v="06:47"/>
    <s v="06:58"/>
    <d v="1899-12-30T00:11:00"/>
    <x v="15"/>
    <s v="Maquinaria"/>
    <s v="SET UP"/>
    <x v="0"/>
    <x v="3"/>
    <s v="Solicitan cambio de formato "/>
    <s v="Se alista piezas y módulo, módulo se encuentra sucio y se reporta a supervisor de producción para su respectiva limpieza"/>
    <x v="0"/>
    <x v="0"/>
    <s v=""/>
    <s v=""/>
    <s v=""/>
    <x v="2"/>
    <x v="0"/>
    <x v="23"/>
  </r>
  <r>
    <x v="105"/>
    <s v="Cesar Quiroz"/>
    <s v="MAÑANA"/>
    <s v="07:02"/>
    <s v="07:20"/>
    <d v="1899-12-30T00:18:00"/>
    <x v="23"/>
    <s v="Area"/>
    <s v="Reparacion"/>
    <x v="1"/>
    <x v="2"/>
    <s v="No hay iluminación en zona de grageadora"/>
    <s v="Se revisa tableros, se identifica llave diferencial accionada, se habilita llave, "/>
    <x v="0"/>
    <x v="0"/>
    <s v=""/>
    <s v=""/>
    <s v=""/>
    <x v="0"/>
    <x v="0"/>
    <x v="23"/>
  </r>
  <r>
    <x v="105"/>
    <s v="Cesar Quiroz"/>
    <s v="MAÑANA"/>
    <s v="08:08"/>
    <s v="08:41"/>
    <d v="1899-12-30T00:33:00"/>
    <x v="15"/>
    <s v="Maquinaria"/>
    <s v="SET UP"/>
    <x v="0"/>
    <x v="3"/>
    <s v="Armado de formato cremas x50 en mds"/>
    <s v=""/>
    <x v="0"/>
    <x v="1"/>
    <s v="Mds"/>
    <s v=""/>
    <s v=""/>
    <x v="2"/>
    <x v="1"/>
    <x v="23"/>
  </r>
  <r>
    <x v="105"/>
    <s v="Cesar Quiroz"/>
    <s v="MAÑANA"/>
    <s v="08:45"/>
    <s v="09:19"/>
    <d v="1899-12-30T00:34:00"/>
    <x v="3"/>
    <s v="Maquinaria"/>
    <s v="SET UP"/>
    <x v="0"/>
    <x v="3"/>
    <s v="Armado y habilitación de equipo, se realizó cambio de cadena y colocación de rascadores de bandas"/>
    <s v=""/>
    <x v="129"/>
    <x v="0"/>
    <s v=""/>
    <s v=""/>
    <s v=""/>
    <x v="0"/>
    <x v="1"/>
    <x v="23"/>
  </r>
  <r>
    <x v="105"/>
    <s v="Cesar Quiroz"/>
    <s v="MAÑANA"/>
    <s v="09:52"/>
    <s v="10:13"/>
    <d v="1899-12-30T00:21:00"/>
    <x v="50"/>
    <s v="Maquinaria"/>
    <s v="Coordinacion"/>
    <x v="0"/>
    <x v="3"/>
    <s v="Retiro de sensor de temperatura para calibración por parte de LO JUSTO"/>
    <s v=""/>
    <x v="40"/>
    <x v="0"/>
    <s v=""/>
    <s v=""/>
    <s v=""/>
    <x v="253"/>
    <x v="1"/>
    <x v="23"/>
  </r>
  <r>
    <x v="105"/>
    <s v="Omar Nina"/>
    <s v="NOCHE"/>
    <s v="21:35"/>
    <s v="22:20"/>
    <d v="1899-12-30T00:45:00"/>
    <x v="15"/>
    <s v="Maquinaria"/>
    <s v="Reparacion"/>
    <x v="1"/>
    <x v="1"/>
    <s v="MDS no calienta, fuga de aire en conector neumático de calefactor."/>
    <s v="Llenado de tanque de agua caliente en MDS y ajuste de conector neumático en calefactor "/>
    <x v="0"/>
    <x v="1"/>
    <s v="Mds"/>
    <s v=""/>
    <s v=""/>
    <x v="254"/>
    <x v="1"/>
    <x v="23"/>
  </r>
  <r>
    <x v="105"/>
    <s v="Omar Nina"/>
    <s v="NOCHE"/>
    <s v="22:30"/>
    <s v="23:15"/>
    <d v="1899-12-30T00:45:00"/>
    <x v="26"/>
    <s v="Maquinaria"/>
    <s v="Ajuste /Calibracion"/>
    <x v="1"/>
    <x v="1"/>
    <s v="Faja 5 no gira, faja 2 desalineada."/>
    <s v="Calibración de tensadores de faja y pruebas en modo manual "/>
    <x v="0"/>
    <x v="0"/>
    <s v=""/>
    <s v=""/>
    <s v=""/>
    <x v="255"/>
    <x v="0"/>
    <x v="23"/>
  </r>
  <r>
    <x v="105"/>
    <s v="Omar Nina"/>
    <s v="NOCHE"/>
    <s v="23:18"/>
    <s v="23:40"/>
    <d v="1899-12-30T00:22:00"/>
    <x v="3"/>
    <s v="Maquinaria"/>
    <s v="Inspección"/>
    <x v="0"/>
    <x v="3"/>
    <s v="Verificación de funcionamiento de equipo "/>
    <s v=""/>
    <x v="0"/>
    <x v="0"/>
    <s v=""/>
    <s v=""/>
    <s v=""/>
    <x v="0"/>
    <x v="0"/>
    <x v="23"/>
  </r>
  <r>
    <x v="105"/>
    <s v="Omar Nina"/>
    <s v="NOCHE"/>
    <s v="23:47"/>
    <s v="23:59"/>
    <d v="1899-12-30T00:12:00"/>
    <x v="26"/>
    <s v="Maquinaria"/>
    <s v="Ajuste /Calibracion"/>
    <x v="1"/>
    <x v="1"/>
    <s v="Contraelevador tiene juego."/>
    <s v="Ajuste de pernos y verificación de estado de soporte de contraelevador "/>
    <x v="0"/>
    <x v="15"/>
    <s v="Contraelevador"/>
    <s v=""/>
    <s v=""/>
    <x v="0"/>
    <x v="1"/>
    <x v="23"/>
  </r>
  <r>
    <x v="105"/>
    <s v="Omar Nina"/>
    <s v="NOCHE"/>
    <s v="00:20"/>
    <s v="01:00"/>
    <d v="1899-12-30T00:40:00"/>
    <x v="28"/>
    <s v="Maquinaria"/>
    <s v="Ajuste /Calibracion"/>
    <x v="1"/>
    <x v="1"/>
    <s v="Cajas se pegan "/>
    <s v="Calibración de plegadores y pruebas "/>
    <x v="0"/>
    <x v="0"/>
    <s v=""/>
    <s v=""/>
    <s v=""/>
    <x v="238"/>
    <x v="0"/>
    <x v="23"/>
  </r>
  <r>
    <x v="105"/>
    <s v="CARLOS TAPIA"/>
    <s v="MAÑANA"/>
    <s v="06:30"/>
    <s v="07:00"/>
    <d v="1899-12-30T00:30:00"/>
    <x v="15"/>
    <s v="Maquinaria"/>
    <s v="Reparacion"/>
    <x v="1"/>
    <x v="1"/>
    <s v="Fuga de chocolate por tuberías de tanque."/>
    <s v="Se revisó y se ajustó todas las uniones y conexiones del tanque."/>
    <x v="0"/>
    <x v="3"/>
    <s v="Tanque"/>
    <s v=""/>
    <s v=""/>
    <x v="69"/>
    <x v="1"/>
    <x v="23"/>
  </r>
  <r>
    <x v="105"/>
    <s v="CARLOS TAPIA"/>
    <s v="MAÑANA"/>
    <s v="07:00"/>
    <s v="08:00"/>
    <d v="1899-12-30T01:00:00"/>
    <x v="17"/>
    <s v="Maquinaria"/>
    <s v="SET UP"/>
    <x v="0"/>
    <x v="3"/>
    <s v="Apoyo con el armado de máquina "/>
    <s v="Se apoyo con el armado de máquina "/>
    <x v="0"/>
    <x v="0"/>
    <s v=""/>
    <s v=""/>
    <s v=""/>
    <x v="0"/>
    <x v="0"/>
    <x v="23"/>
  </r>
  <r>
    <x v="105"/>
    <s v="CARLOS TAPIA"/>
    <s v="MAÑANA"/>
    <s v="08:00"/>
    <s v="09:00"/>
    <d v="1899-12-30T01:00:00"/>
    <x v="3"/>
    <s v="Maquinaria"/>
    <s v="SET UP"/>
    <x v="0"/>
    <x v="3"/>
    <s v="Armado máquina y colocación de mordazas y cadena."/>
    <s v="Se colocó mordazas, guardas y se habilitó máquina."/>
    <x v="106"/>
    <x v="0"/>
    <s v=""/>
    <s v=""/>
    <s v=""/>
    <x v="0"/>
    <x v="1"/>
    <x v="23"/>
  </r>
  <r>
    <x v="105"/>
    <s v="CARLOS TAPIA"/>
    <s v="MAÑANA"/>
    <s v="09:30"/>
    <s v="10:00"/>
    <d v="1899-12-30T00:30:00"/>
    <x v="19"/>
    <s v="Maquinaria"/>
    <s v="SET UP"/>
    <x v="0"/>
    <x v="3"/>
    <s v="Armado de máquina "/>
    <s v="Se colocó piezas en posición y se habilitó máquina "/>
    <x v="0"/>
    <x v="0"/>
    <s v=""/>
    <s v=""/>
    <s v=""/>
    <x v="0"/>
    <x v="0"/>
    <x v="23"/>
  </r>
  <r>
    <x v="105"/>
    <s v="CARLOS TAPIA"/>
    <s v="MAÑANA"/>
    <s v="11:00"/>
    <s v="11:30"/>
    <d v="1899-12-30T00:30:00"/>
    <x v="47"/>
    <s v="Maquinaria"/>
    <s v="Inspección"/>
    <x v="0"/>
    <x v="3"/>
    <s v="Inspección de máquina en funcionamiento "/>
    <s v="Se dió seguimiento al funcionamiento de máquina "/>
    <x v="0"/>
    <x v="0"/>
    <s v=""/>
    <s v=""/>
    <s v=""/>
    <x v="0"/>
    <x v="0"/>
    <x v="23"/>
  </r>
  <r>
    <x v="105"/>
    <s v="CARLOS TAPIA"/>
    <s v="MAÑANA"/>
    <s v="12:00"/>
    <s v="12:15"/>
    <d v="1899-12-30T00:15:00"/>
    <x v="55"/>
    <s v="Maquinaria"/>
    <s v="Inspección"/>
    <x v="0"/>
    <x v="3"/>
    <s v="Toma de datos de colector eléctrico para la compra de repuestos "/>
    <s v="Se tomó los datos necesarios solicitados para la compra de repuestos "/>
    <x v="0"/>
    <x v="0"/>
    <s v=""/>
    <s v=""/>
    <s v=""/>
    <x v="0"/>
    <x v="0"/>
    <x v="23"/>
  </r>
  <r>
    <x v="106"/>
    <s v="CARLOS TAPIA"/>
    <s v="MAÑANA"/>
    <s v="06:00"/>
    <s v="06:15"/>
    <d v="1899-12-30T00:15:00"/>
    <x v="18"/>
    <s v="Maquinaria"/>
    <s v="SET UP"/>
    <x v="0"/>
    <x v="3"/>
    <s v="Armado de máquina "/>
    <s v="Se colocó piezas en posición "/>
    <x v="0"/>
    <x v="0"/>
    <s v=""/>
    <s v=""/>
    <s v=""/>
    <x v="0"/>
    <x v="0"/>
    <x v="23"/>
  </r>
  <r>
    <x v="106"/>
    <s v="CARLOS TAPIA"/>
    <s v="MAÑANA"/>
    <s v="06:20"/>
    <s v="06:50"/>
    <d v="1899-12-30T00:30:00"/>
    <x v="47"/>
    <s v="Maquinaria"/>
    <s v="Inspección"/>
    <x v="0"/>
    <x v="3"/>
    <s v="Inspección de máquina en funcionamiento "/>
    <s v="Se dió seguimiento al funcionamiento de máquina "/>
    <x v="0"/>
    <x v="0"/>
    <s v=""/>
    <s v=""/>
    <s v=""/>
    <x v="0"/>
    <x v="0"/>
    <x v="23"/>
  </r>
  <r>
    <x v="106"/>
    <s v="CARLOS TAPIA"/>
    <s v="MAÑANA"/>
    <s v="07:00"/>
    <s v="07:20"/>
    <d v="1899-12-30T00:20:00"/>
    <x v="17"/>
    <s v="Maquinaria"/>
    <s v="Inspección"/>
    <x v="0"/>
    <x v="3"/>
    <s v="Inspección de máquina en funcionamiento "/>
    <s v="Se dió seguimiento al funcionamiento de máquina con carga "/>
    <x v="0"/>
    <x v="0"/>
    <s v=""/>
    <s v=""/>
    <s v=""/>
    <x v="0"/>
    <x v="0"/>
    <x v="23"/>
  </r>
  <r>
    <x v="106"/>
    <s v="CARLOS TAPIA"/>
    <s v="MAÑANA"/>
    <s v="07:50"/>
    <s v="08:10"/>
    <d v="1899-12-30T00:20:00"/>
    <x v="47"/>
    <s v="Maquinaria"/>
    <s v="Inspección"/>
    <x v="0"/>
    <x v="3"/>
    <s v="Inspección de máquina "/>
    <s v="Se verifico velocidades de bandas y se regulo banda #8"/>
    <x v="0"/>
    <x v="0"/>
    <s v=""/>
    <s v=""/>
    <s v=""/>
    <x v="0"/>
    <x v="0"/>
    <x v="23"/>
  </r>
  <r>
    <x v="106"/>
    <s v="CARLOS TAPIA"/>
    <s v="MAÑANA"/>
    <s v="08:45"/>
    <s v="09:00"/>
    <d v="1899-12-30T00:15:00"/>
    <x v="57"/>
    <s v="Maquinaria"/>
    <s v="Encendido / Arranque de linea"/>
    <x v="1"/>
    <x v="2"/>
    <s v="Temperadora no enciende "/>
    <s v="Se revisó y se encendió temperadora, se puso modo calentamiento "/>
    <x v="0"/>
    <x v="11"/>
    <s v="Temperadora"/>
    <s v=""/>
    <s v=""/>
    <x v="58"/>
    <x v="1"/>
    <x v="23"/>
  </r>
  <r>
    <x v="106"/>
    <s v="CARLOS TAPIA"/>
    <s v="MAÑANA"/>
    <s v="09:15"/>
    <s v="10:00"/>
    <d v="1899-12-30T00:45:00"/>
    <x v="108"/>
    <s v="Area"/>
    <m/>
    <x v="2"/>
    <x v="3"/>
    <s v="Receso"/>
    <s v="Receso "/>
    <x v="0"/>
    <x v="0"/>
    <s v=""/>
    <s v=""/>
    <s v=""/>
    <x v="0"/>
    <x v="0"/>
    <x v="23"/>
  </r>
  <r>
    <x v="106"/>
    <s v="CARLOS TAPIA"/>
    <s v="MAÑANA"/>
    <s v="10:45"/>
    <s v="11:00"/>
    <d v="1899-12-30T00:15:00"/>
    <x v="41"/>
    <s v="Maquinaria"/>
    <s v="Ajuste /Calibracion"/>
    <x v="1"/>
    <x v="1"/>
    <s v="Apoyo en máquina. Producto se junta y el equipo lo rechaza"/>
    <s v="Se revisó equipo y se aumentó velocidad de banda de ingreso de 11,5  a. 13. Queda equipo trabajando correctamente "/>
    <x v="0"/>
    <x v="0"/>
    <s v=""/>
    <s v=""/>
    <s v=""/>
    <x v="32"/>
    <x v="0"/>
    <x v="23"/>
  </r>
  <r>
    <x v="106"/>
    <s v="Cesar Quiroz"/>
    <s v="MAÑANA"/>
    <s v="05:48"/>
    <s v="06:05"/>
    <d v="1899-12-30T00:17:00"/>
    <x v="31"/>
    <s v="Equipos auxiliares"/>
    <s v="Inspección"/>
    <x v="0"/>
    <x v="3"/>
    <s v="Revisión de funcionamiento y parámetros de trabajo "/>
    <s v=""/>
    <x v="0"/>
    <x v="0"/>
    <s v=""/>
    <s v=""/>
    <s v=""/>
    <x v="0"/>
    <x v="0"/>
    <x v="23"/>
  </r>
  <r>
    <x v="106"/>
    <s v="Cesar Quiroz"/>
    <s v="MAÑANA"/>
    <s v="06:17"/>
    <s v="06:34"/>
    <d v="1899-12-30T00:17:00"/>
    <x v="83"/>
    <s v="Sistema"/>
    <s v="M.General"/>
    <x v="0"/>
    <x v="3"/>
    <s v="Llenado de pozo con agua blanda"/>
    <s v=""/>
    <x v="0"/>
    <x v="0"/>
    <s v=""/>
    <s v=""/>
    <s v=""/>
    <x v="0"/>
    <x v="0"/>
    <x v="23"/>
  </r>
  <r>
    <x v="106"/>
    <s v="Cesar Quiroz"/>
    <s v="MAÑANA"/>
    <s v="06:40"/>
    <s v="07:09"/>
    <d v="1899-12-30T00:29:00"/>
    <x v="47"/>
    <s v="Maquinaria"/>
    <s v="Inspección"/>
    <x v="0"/>
    <x v="3"/>
    <s v="Revisión de funcionamiento, revisión de estado de tanques y temperadoras"/>
    <s v=""/>
    <x v="0"/>
    <x v="5"/>
    <s v="Tanque"/>
    <s v="Temperadora"/>
    <s v=""/>
    <x v="0"/>
    <x v="1"/>
    <x v="23"/>
  </r>
  <r>
    <x v="106"/>
    <s v="Cesar Quiroz"/>
    <s v="MAÑANA"/>
    <s v="07:31"/>
    <s v="07:49"/>
    <d v="1899-12-30T00:18:00"/>
    <x v="51"/>
    <s v="Maquinaria"/>
    <s v="Lubricación"/>
    <x v="1"/>
    <x v="1"/>
    <s v="Equipo muy duro para empujar"/>
    <s v="Se realizó limpieza a y se lubrico parte Movil"/>
    <x v="0"/>
    <x v="0"/>
    <s v=""/>
    <s v=""/>
    <s v=""/>
    <x v="256"/>
    <x v="0"/>
    <x v="23"/>
  </r>
  <r>
    <x v="106"/>
    <s v="Cesar Quiroz"/>
    <s v="MAÑANA"/>
    <s v="08:05"/>
    <s v="08:29"/>
    <d v="1899-12-30T00:24:00"/>
    <x v="5"/>
    <s v="Maquinaria"/>
    <s v="Reparacion"/>
    <x v="1"/>
    <x v="1"/>
    <s v="Punta de pistola desprendida, se retiro punta y se llevó a taller para pegarlo"/>
    <s v=""/>
    <x v="0"/>
    <x v="0"/>
    <s v=""/>
    <s v=""/>
    <s v=""/>
    <x v="14"/>
    <x v="0"/>
    <x v="2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PROCESADORA DE MASAS - NETZSCH-1"/>
    <d v="2026-07-01T00:00:00"/>
    <s v="CARLOS TAPIA"/>
    <x v="0"/>
    <s v="06:00"/>
    <s v="06:15"/>
    <d v="1899-12-30T00:15:00"/>
    <x v="0"/>
    <s v="Maquinaria"/>
    <x v="0"/>
    <x v="0"/>
    <x v="0"/>
    <x v="0"/>
    <s v="Se colocó piezas en posición "/>
    <n v="1"/>
    <x v="0"/>
  </r>
  <r>
    <s v="LINEA AUTOMATICA HACOS 2-1"/>
    <d v="2026-07-01T00:00:00"/>
    <s v="CARLOS TAPIA"/>
    <x v="0"/>
    <s v="06:20"/>
    <s v="06:50"/>
    <d v="1899-12-30T00:30:00"/>
    <x v="1"/>
    <s v="Maquinaria"/>
    <x v="1"/>
    <x v="0"/>
    <x v="0"/>
    <x v="1"/>
    <s v="Se dió seguimiento al funcionamiento de máquina "/>
    <n v="1"/>
    <x v="1"/>
  </r>
  <r>
    <s v="BARQUILLERA FRANZ HAAZ-1"/>
    <d v="2026-07-01T00:00:00"/>
    <s v="CARLOS TAPIA"/>
    <x v="0"/>
    <s v="07:00"/>
    <s v="07:20"/>
    <d v="1899-12-30T00:20:00"/>
    <x v="2"/>
    <s v="Maquinaria"/>
    <x v="1"/>
    <x v="0"/>
    <x v="0"/>
    <x v="1"/>
    <s v="Se dió seguimiento al funcionamiento de máquina con carga "/>
    <n v="1"/>
    <x v="2"/>
  </r>
  <r>
    <s v="LINEA AUTOMATICA HACOS 2-2"/>
    <d v="2026-07-01T00:00:00"/>
    <s v="CARLOS TAPIA"/>
    <x v="0"/>
    <s v="07:50"/>
    <s v="08:10"/>
    <d v="1899-12-30T00:20:00"/>
    <x v="1"/>
    <s v="Maquinaria"/>
    <x v="1"/>
    <x v="0"/>
    <x v="0"/>
    <x v="2"/>
    <s v="Se verifico velocidades de bandas y se regulo banda #8"/>
    <n v="2"/>
    <x v="1"/>
  </r>
  <r>
    <s v="TEMPERADORA CHOCOLATIER-1"/>
    <d v="2026-07-01T00:00:00"/>
    <s v="CARLOS TAPIA"/>
    <x v="0"/>
    <s v="08:45"/>
    <s v="09:00"/>
    <d v="1899-12-30T00:15:00"/>
    <x v="3"/>
    <s v="Maquinaria"/>
    <x v="2"/>
    <x v="1"/>
    <x v="1"/>
    <x v="3"/>
    <s v="Se revisó y se encendió temperadora, se puso modo calentamiento "/>
    <n v="1"/>
    <x v="3"/>
  </r>
  <r>
    <s v="COMEDOR-1"/>
    <d v="2026-07-01T00:00:00"/>
    <s v="CARLOS TAPIA"/>
    <x v="0"/>
    <s v="09:15"/>
    <s v="10:00"/>
    <d v="1899-12-30T00:45:00"/>
    <x v="4"/>
    <s v="Area"/>
    <x v="3"/>
    <x v="2"/>
    <x v="0"/>
    <x v="4"/>
    <s v="Receso "/>
    <n v="1"/>
    <x v="4"/>
  </r>
  <r>
    <s v="RAYOS X 2-1"/>
    <d v="2026-07-01T00:00:00"/>
    <s v="CARLOS TAPIA"/>
    <x v="0"/>
    <s v="10:45"/>
    <s v="11:00"/>
    <d v="1899-12-30T00:15:00"/>
    <x v="5"/>
    <s v="Maquinaria"/>
    <x v="4"/>
    <x v="1"/>
    <x v="2"/>
    <x v="5"/>
    <s v="Se revisó equipo y se aumentó velocidad de banda de ingreso de 11,5  a. 13. Queda equipo trabajando correctamente "/>
    <n v="1"/>
    <x v="5"/>
  </r>
  <r>
    <s v="CALDERO, CHRILLER Y COMPRESOR-1"/>
    <d v="2026-07-01T00:00:00"/>
    <s v="CESAR QUIROZ"/>
    <x v="0"/>
    <s v="05:48"/>
    <s v="06:05"/>
    <d v="1899-12-30T00:17:00"/>
    <x v="6"/>
    <s v="Equipos auxiliares"/>
    <x v="1"/>
    <x v="0"/>
    <x v="0"/>
    <x v="6"/>
    <s v=""/>
    <n v="1"/>
    <x v="6"/>
  </r>
  <r>
    <s v="POZO DE CHILLER-1"/>
    <d v="2026-07-01T00:00:00"/>
    <s v="CESAR QUIROZ"/>
    <x v="0"/>
    <s v="06:17"/>
    <s v="06:34"/>
    <d v="1899-12-30T00:17:00"/>
    <x v="7"/>
    <s v="Sistema"/>
    <x v="5"/>
    <x v="0"/>
    <x v="0"/>
    <x v="7"/>
    <s v=""/>
    <n v="1"/>
    <x v="7"/>
  </r>
  <r>
    <s v="LINEA AUTOMATICA HACOS 2-3"/>
    <d v="2026-07-01T00:00:00"/>
    <s v="CESAR QUIROZ"/>
    <x v="0"/>
    <s v="06:40"/>
    <s v="07:09"/>
    <d v="1899-12-30T00:29:00"/>
    <x v="1"/>
    <s v="Maquinaria"/>
    <x v="1"/>
    <x v="0"/>
    <x v="0"/>
    <x v="8"/>
    <s v=""/>
    <n v="3"/>
    <x v="1"/>
  </r>
  <r>
    <s v="CORTADORA DE TURRON-1"/>
    <d v="2026-07-01T00:00:00"/>
    <s v="CESAR QUIROZ"/>
    <x v="0"/>
    <s v="07:31"/>
    <s v="07:49"/>
    <d v="1899-12-30T00:18:00"/>
    <x v="8"/>
    <s v="Maquinaria"/>
    <x v="6"/>
    <x v="1"/>
    <x v="2"/>
    <x v="9"/>
    <s v="Se realizó limpieza a y se lubrico parte Movil"/>
    <n v="1"/>
    <x v="8"/>
  </r>
  <r>
    <s v="EMP. SACMI-1"/>
    <d v="2026-07-01T00:00:00"/>
    <s v="CESAR QUIROZ"/>
    <x v="0"/>
    <s v="08:05"/>
    <s v="08:29"/>
    <d v="1899-12-30T00:24:00"/>
    <x v="9"/>
    <s v="Maquinaria"/>
    <x v="7"/>
    <x v="1"/>
    <x v="2"/>
    <x v="10"/>
    <s v=""/>
    <n v="1"/>
    <x v="9"/>
  </r>
  <r>
    <s v=""/>
    <m/>
    <m/>
    <x v="1"/>
    <m/>
    <m/>
    <m/>
    <x v="10"/>
    <m/>
    <x v="3"/>
    <x v="2"/>
    <x v="0"/>
    <x v="11"/>
    <m/>
    <n v="0"/>
    <x v="10"/>
  </r>
  <r>
    <s v=""/>
    <m/>
    <m/>
    <x v="1"/>
    <m/>
    <m/>
    <m/>
    <x v="10"/>
    <m/>
    <x v="3"/>
    <x v="2"/>
    <x v="0"/>
    <x v="11"/>
    <m/>
    <n v="0"/>
    <x v="10"/>
  </r>
  <r>
    <s v=""/>
    <m/>
    <m/>
    <x v="1"/>
    <m/>
    <m/>
    <m/>
    <x v="10"/>
    <m/>
    <x v="3"/>
    <x v="2"/>
    <x v="0"/>
    <x v="11"/>
    <m/>
    <n v="0"/>
    <x v="10"/>
  </r>
  <r>
    <s v=""/>
    <m/>
    <m/>
    <x v="1"/>
    <m/>
    <m/>
    <m/>
    <x v="10"/>
    <m/>
    <x v="3"/>
    <x v="2"/>
    <x v="0"/>
    <x v="11"/>
    <m/>
    <n v="0"/>
    <x v="10"/>
  </r>
  <r>
    <s v=""/>
    <m/>
    <m/>
    <x v="1"/>
    <m/>
    <m/>
    <m/>
    <x v="10"/>
    <m/>
    <x v="3"/>
    <x v="2"/>
    <x v="0"/>
    <x v="11"/>
    <m/>
    <n v="0"/>
    <x v="10"/>
  </r>
  <r>
    <s v=""/>
    <m/>
    <m/>
    <x v="1"/>
    <m/>
    <m/>
    <m/>
    <x v="10"/>
    <m/>
    <x v="3"/>
    <x v="2"/>
    <x v="0"/>
    <x v="11"/>
    <m/>
    <n v="0"/>
    <x v="10"/>
  </r>
  <r>
    <s v=""/>
    <m/>
    <m/>
    <x v="1"/>
    <m/>
    <m/>
    <m/>
    <x v="10"/>
    <m/>
    <x v="3"/>
    <x v="2"/>
    <x v="0"/>
    <x v="11"/>
    <m/>
    <n v="0"/>
    <x v="10"/>
  </r>
  <r>
    <s v=""/>
    <m/>
    <m/>
    <x v="1"/>
    <m/>
    <m/>
    <m/>
    <x v="10"/>
    <m/>
    <x v="3"/>
    <x v="2"/>
    <x v="0"/>
    <x v="11"/>
    <m/>
    <n v="0"/>
    <x v="10"/>
  </r>
  <r>
    <s v=""/>
    <m/>
    <m/>
    <x v="1"/>
    <m/>
    <m/>
    <m/>
    <x v="10"/>
    <m/>
    <x v="3"/>
    <x v="2"/>
    <x v="0"/>
    <x v="11"/>
    <m/>
    <n v="0"/>
    <x v="10"/>
  </r>
  <r>
    <s v=""/>
    <m/>
    <m/>
    <x v="1"/>
    <m/>
    <m/>
    <m/>
    <x v="10"/>
    <m/>
    <x v="3"/>
    <x v="2"/>
    <x v="0"/>
    <x v="11"/>
    <m/>
    <n v="0"/>
    <x v="10"/>
  </r>
  <r>
    <s v=""/>
    <m/>
    <m/>
    <x v="1"/>
    <m/>
    <m/>
    <m/>
    <x v="10"/>
    <m/>
    <x v="3"/>
    <x v="2"/>
    <x v="0"/>
    <x v="11"/>
    <m/>
    <n v="0"/>
    <x v="10"/>
  </r>
  <r>
    <s v=""/>
    <m/>
    <m/>
    <x v="1"/>
    <m/>
    <m/>
    <m/>
    <x v="10"/>
    <m/>
    <x v="3"/>
    <x v="2"/>
    <x v="0"/>
    <x v="11"/>
    <m/>
    <n v="0"/>
    <x v="10"/>
  </r>
  <r>
    <s v=""/>
    <m/>
    <m/>
    <x v="1"/>
    <m/>
    <m/>
    <m/>
    <x v="10"/>
    <m/>
    <x v="3"/>
    <x v="2"/>
    <x v="0"/>
    <x v="11"/>
    <m/>
    <n v="0"/>
    <x v="10"/>
  </r>
  <r>
    <s v=""/>
    <m/>
    <m/>
    <x v="1"/>
    <m/>
    <m/>
    <m/>
    <x v="10"/>
    <m/>
    <x v="3"/>
    <x v="2"/>
    <x v="0"/>
    <x v="11"/>
    <m/>
    <n v="0"/>
    <x v="10"/>
  </r>
  <r>
    <s v=""/>
    <m/>
    <m/>
    <x v="1"/>
    <m/>
    <m/>
    <m/>
    <x v="10"/>
    <m/>
    <x v="3"/>
    <x v="2"/>
    <x v="0"/>
    <x v="11"/>
    <m/>
    <n v="0"/>
    <x v="10"/>
  </r>
  <r>
    <s v=""/>
    <m/>
    <m/>
    <x v="1"/>
    <m/>
    <m/>
    <m/>
    <x v="10"/>
    <m/>
    <x v="3"/>
    <x v="2"/>
    <x v="0"/>
    <x v="11"/>
    <m/>
    <n v="0"/>
    <x v="10"/>
  </r>
  <r>
    <s v=""/>
    <m/>
    <m/>
    <x v="1"/>
    <m/>
    <m/>
    <m/>
    <x v="10"/>
    <m/>
    <x v="3"/>
    <x v="2"/>
    <x v="0"/>
    <x v="11"/>
    <m/>
    <n v="0"/>
    <x v="10"/>
  </r>
  <r>
    <s v=""/>
    <m/>
    <m/>
    <x v="1"/>
    <m/>
    <m/>
    <m/>
    <x v="10"/>
    <m/>
    <x v="3"/>
    <x v="2"/>
    <x v="0"/>
    <x v="11"/>
    <m/>
    <n v="0"/>
    <x v="10"/>
  </r>
  <r>
    <s v=""/>
    <m/>
    <m/>
    <x v="1"/>
    <m/>
    <m/>
    <m/>
    <x v="10"/>
    <m/>
    <x v="3"/>
    <x v="2"/>
    <x v="0"/>
    <x v="11"/>
    <m/>
    <n v="0"/>
    <x v="10"/>
  </r>
  <r>
    <s v=""/>
    <m/>
    <m/>
    <x v="1"/>
    <m/>
    <m/>
    <m/>
    <x v="10"/>
    <m/>
    <x v="3"/>
    <x v="2"/>
    <x v="0"/>
    <x v="11"/>
    <m/>
    <n v="0"/>
    <x v="10"/>
  </r>
  <r>
    <s v=""/>
    <m/>
    <m/>
    <x v="1"/>
    <m/>
    <m/>
    <m/>
    <x v="10"/>
    <m/>
    <x v="3"/>
    <x v="2"/>
    <x v="0"/>
    <x v="11"/>
    <m/>
    <n v="0"/>
    <x v="10"/>
  </r>
  <r>
    <s v=""/>
    <m/>
    <m/>
    <x v="1"/>
    <m/>
    <m/>
    <m/>
    <x v="10"/>
    <m/>
    <x v="3"/>
    <x v="2"/>
    <x v="0"/>
    <x v="11"/>
    <m/>
    <n v="0"/>
    <x v="10"/>
  </r>
  <r>
    <s v=""/>
    <m/>
    <m/>
    <x v="1"/>
    <m/>
    <m/>
    <m/>
    <x v="10"/>
    <m/>
    <x v="3"/>
    <x v="2"/>
    <x v="0"/>
    <x v="11"/>
    <m/>
    <n v="0"/>
    <x v="10"/>
  </r>
  <r>
    <s v=""/>
    <m/>
    <m/>
    <x v="1"/>
    <m/>
    <m/>
    <m/>
    <x v="10"/>
    <m/>
    <x v="3"/>
    <x v="2"/>
    <x v="0"/>
    <x v="11"/>
    <m/>
    <n v="0"/>
    <x v="10"/>
  </r>
  <r>
    <s v=""/>
    <m/>
    <m/>
    <x v="1"/>
    <m/>
    <m/>
    <m/>
    <x v="10"/>
    <m/>
    <x v="3"/>
    <x v="2"/>
    <x v="0"/>
    <x v="11"/>
    <m/>
    <n v="0"/>
    <x v="10"/>
  </r>
  <r>
    <s v=""/>
    <m/>
    <m/>
    <x v="1"/>
    <m/>
    <m/>
    <m/>
    <x v="10"/>
    <m/>
    <x v="3"/>
    <x v="2"/>
    <x v="0"/>
    <x v="11"/>
    <m/>
    <n v="0"/>
    <x v="10"/>
  </r>
  <r>
    <s v=""/>
    <m/>
    <m/>
    <x v="1"/>
    <m/>
    <m/>
    <m/>
    <x v="10"/>
    <m/>
    <x v="3"/>
    <x v="2"/>
    <x v="0"/>
    <x v="11"/>
    <m/>
    <n v="0"/>
    <x v="10"/>
  </r>
  <r>
    <s v=""/>
    <m/>
    <m/>
    <x v="1"/>
    <m/>
    <m/>
    <m/>
    <x v="10"/>
    <m/>
    <x v="3"/>
    <x v="2"/>
    <x v="0"/>
    <x v="11"/>
    <m/>
    <n v="0"/>
    <x v="10"/>
  </r>
  <r>
    <s v=""/>
    <m/>
    <m/>
    <x v="1"/>
    <m/>
    <m/>
    <m/>
    <x v="10"/>
    <m/>
    <x v="3"/>
    <x v="2"/>
    <x v="0"/>
    <x v="11"/>
    <m/>
    <n v="0"/>
    <x v="10"/>
  </r>
  <r>
    <s v=""/>
    <m/>
    <m/>
    <x v="1"/>
    <m/>
    <m/>
    <m/>
    <x v="10"/>
    <m/>
    <x v="3"/>
    <x v="2"/>
    <x v="0"/>
    <x v="11"/>
    <m/>
    <n v="0"/>
    <x v="10"/>
  </r>
  <r>
    <s v=""/>
    <m/>
    <m/>
    <x v="1"/>
    <m/>
    <m/>
    <m/>
    <x v="10"/>
    <m/>
    <x v="3"/>
    <x v="2"/>
    <x v="0"/>
    <x v="11"/>
    <m/>
    <n v="0"/>
    <x v="10"/>
  </r>
  <r>
    <s v=""/>
    <m/>
    <m/>
    <x v="1"/>
    <m/>
    <m/>
    <m/>
    <x v="10"/>
    <m/>
    <x v="3"/>
    <x v="2"/>
    <x v="0"/>
    <x v="11"/>
    <m/>
    <n v="0"/>
    <x v="10"/>
  </r>
  <r>
    <s v=""/>
    <m/>
    <m/>
    <x v="1"/>
    <m/>
    <m/>
    <m/>
    <x v="10"/>
    <m/>
    <x v="3"/>
    <x v="2"/>
    <x v="0"/>
    <x v="11"/>
    <m/>
    <n v="0"/>
    <x v="10"/>
  </r>
  <r>
    <s v=""/>
    <m/>
    <m/>
    <x v="1"/>
    <m/>
    <m/>
    <m/>
    <x v="10"/>
    <m/>
    <x v="3"/>
    <x v="2"/>
    <x v="0"/>
    <x v="11"/>
    <m/>
    <n v="0"/>
    <x v="10"/>
  </r>
  <r>
    <s v=""/>
    <m/>
    <m/>
    <x v="1"/>
    <m/>
    <m/>
    <m/>
    <x v="10"/>
    <s v=""/>
    <x v="3"/>
    <x v="2"/>
    <x v="0"/>
    <x v="11"/>
    <m/>
    <n v="0"/>
    <x v="10"/>
  </r>
  <r>
    <s v=""/>
    <m/>
    <m/>
    <x v="1"/>
    <m/>
    <m/>
    <m/>
    <x v="10"/>
    <s v=""/>
    <x v="3"/>
    <x v="2"/>
    <x v="0"/>
    <x v="11"/>
    <m/>
    <n v="0"/>
    <x v="10"/>
  </r>
  <r>
    <s v=""/>
    <m/>
    <m/>
    <x v="1"/>
    <m/>
    <m/>
    <m/>
    <x v="10"/>
    <s v=""/>
    <x v="3"/>
    <x v="2"/>
    <x v="0"/>
    <x v="11"/>
    <m/>
    <n v="0"/>
    <x v="10"/>
  </r>
  <r>
    <s v=""/>
    <m/>
    <m/>
    <x v="1"/>
    <m/>
    <m/>
    <m/>
    <x v="10"/>
    <s v=""/>
    <x v="3"/>
    <x v="2"/>
    <x v="0"/>
    <x v="11"/>
    <m/>
    <n v="0"/>
    <x v="10"/>
  </r>
  <r>
    <s v=""/>
    <m/>
    <m/>
    <x v="1"/>
    <m/>
    <m/>
    <m/>
    <x v="10"/>
    <s v=""/>
    <x v="3"/>
    <x v="2"/>
    <x v="0"/>
    <x v="11"/>
    <m/>
    <n v="0"/>
    <x v="10"/>
  </r>
  <r>
    <s v=""/>
    <m/>
    <m/>
    <x v="1"/>
    <m/>
    <m/>
    <m/>
    <x v="10"/>
    <s v=""/>
    <x v="3"/>
    <x v="2"/>
    <x v="0"/>
    <x v="11"/>
    <m/>
    <n v="0"/>
    <x v="10"/>
  </r>
  <r>
    <s v=""/>
    <m/>
    <m/>
    <x v="1"/>
    <m/>
    <m/>
    <m/>
    <x v="10"/>
    <s v=""/>
    <x v="3"/>
    <x v="2"/>
    <x v="0"/>
    <x v="11"/>
    <m/>
    <n v="0"/>
    <x v="10"/>
  </r>
  <r>
    <s v=""/>
    <m/>
    <m/>
    <x v="1"/>
    <m/>
    <m/>
    <m/>
    <x v="10"/>
    <s v=""/>
    <x v="3"/>
    <x v="2"/>
    <x v="0"/>
    <x v="11"/>
    <m/>
    <n v="0"/>
    <x v="10"/>
  </r>
  <r>
    <s v=""/>
    <m/>
    <m/>
    <x v="1"/>
    <m/>
    <m/>
    <m/>
    <x v="10"/>
    <s v=""/>
    <x v="3"/>
    <x v="2"/>
    <x v="0"/>
    <x v="11"/>
    <m/>
    <n v="0"/>
    <x v="10"/>
  </r>
  <r>
    <s v=""/>
    <m/>
    <m/>
    <x v="1"/>
    <m/>
    <m/>
    <m/>
    <x v="10"/>
    <s v=""/>
    <x v="3"/>
    <x v="2"/>
    <x v="0"/>
    <x v="11"/>
    <m/>
    <n v="0"/>
    <x v="10"/>
  </r>
  <r>
    <s v=""/>
    <m/>
    <m/>
    <x v="1"/>
    <m/>
    <m/>
    <m/>
    <x v="10"/>
    <s v=""/>
    <x v="3"/>
    <x v="2"/>
    <x v="0"/>
    <x v="11"/>
    <m/>
    <n v="0"/>
    <x v="10"/>
  </r>
  <r>
    <s v=""/>
    <m/>
    <m/>
    <x v="1"/>
    <m/>
    <m/>
    <m/>
    <x v="10"/>
    <s v=""/>
    <x v="3"/>
    <x v="2"/>
    <x v="0"/>
    <x v="11"/>
    <m/>
    <n v="0"/>
    <x v="10"/>
  </r>
  <r>
    <s v=""/>
    <m/>
    <m/>
    <x v="1"/>
    <m/>
    <m/>
    <m/>
    <x v="10"/>
    <s v=""/>
    <x v="3"/>
    <x v="2"/>
    <x v="0"/>
    <x v="11"/>
    <m/>
    <n v="0"/>
    <x v="10"/>
  </r>
  <r>
    <s v=""/>
    <m/>
    <m/>
    <x v="1"/>
    <m/>
    <m/>
    <m/>
    <x v="10"/>
    <s v=""/>
    <x v="3"/>
    <x v="2"/>
    <x v="0"/>
    <x v="11"/>
    <m/>
    <n v="0"/>
    <x v="1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0">
  <r>
    <x v="0"/>
    <n v="53190"/>
    <n v="54145"/>
    <n v="13133"/>
    <n v="757.01"/>
    <n v="7400"/>
    <n v="226413"/>
    <n v="4446.1000000000004"/>
    <n v="8268.5"/>
    <n v="4259.3999999999996"/>
    <m/>
    <m/>
    <n v="36"/>
    <n v="37"/>
    <n v="14"/>
    <n v="0"/>
    <n v="8"/>
    <n v="38"/>
    <n v="3.2"/>
    <n v="13.6"/>
    <n v="6.2"/>
    <n v="35"/>
    <n v="28"/>
    <n v="2025"/>
    <n v="7"/>
    <x v="0"/>
    <n v="75"/>
    <n v="8000"/>
    <n v="350"/>
  </r>
  <r>
    <x v="1"/>
    <n v="53246"/>
    <n v="54204"/>
    <n v="13148"/>
    <n v="757.74400000000003"/>
    <n v="7406"/>
    <n v="226472"/>
    <n v="4449"/>
    <n v="8280.6"/>
    <n v="4265.8"/>
    <m/>
    <m/>
    <n v="56"/>
    <n v="59"/>
    <n v="15"/>
    <n v="0.73399999999999999"/>
    <n v="6"/>
    <n v="59"/>
    <n v="2.9"/>
    <n v="12.1"/>
    <n v="6.4"/>
    <n v="35"/>
    <n v="28"/>
    <n v="2025"/>
    <n v="7"/>
    <x v="0"/>
    <n v="75"/>
    <n v="8000"/>
    <n v="350"/>
  </r>
  <r>
    <x v="2"/>
    <n v="53294"/>
    <n v="54254"/>
    <n v="13159"/>
    <n v="757.74400000000003"/>
    <n v="7416"/>
    <n v="226523"/>
    <n v="4452.1000000000004"/>
    <n v="8294.1"/>
    <n v="4274"/>
    <m/>
    <m/>
    <n v="48"/>
    <n v="50"/>
    <n v="11"/>
    <n v="0"/>
    <n v="10"/>
    <n v="51"/>
    <n v="3.1"/>
    <n v="13.5"/>
    <n v="8.1999999999999993"/>
    <n v="35"/>
    <n v="28"/>
    <n v="2025"/>
    <n v="7"/>
    <x v="0"/>
    <n v="75"/>
    <n v="8000"/>
    <n v="350"/>
  </r>
  <r>
    <x v="3"/>
    <n v="53351"/>
    <n v="54313"/>
    <n v="13173"/>
    <n v="758.02099999999996"/>
    <n v="7417"/>
    <n v="226583"/>
    <n v="4455.7"/>
    <n v="8310.7999999999993"/>
    <n v="4281.6000000000004"/>
    <m/>
    <m/>
    <n v="57"/>
    <n v="59"/>
    <n v="14"/>
    <n v="0.27700000000000002"/>
    <n v="1"/>
    <n v="60"/>
    <n v="3.6"/>
    <n v="16.7"/>
    <n v="7.6"/>
    <n v="35"/>
    <n v="29"/>
    <n v="2025"/>
    <n v="7"/>
    <x v="0"/>
    <n v="75"/>
    <n v="8000"/>
    <n v="350"/>
  </r>
  <r>
    <x v="4"/>
    <n v="53414"/>
    <n v="54377"/>
    <n v="13187"/>
    <n v="758.76300000000003"/>
    <n v="7428"/>
    <n v="226648"/>
    <n v="4459.1000000000004"/>
    <n v="8323.1"/>
    <n v="4288.1000000000004"/>
    <m/>
    <m/>
    <n v="63"/>
    <n v="64"/>
    <n v="14"/>
    <n v="0.74199999999999999"/>
    <n v="11"/>
    <n v="65"/>
    <n v="3.4"/>
    <n v="12.3"/>
    <n v="6.5"/>
    <n v="31"/>
    <n v="29"/>
    <n v="2025"/>
    <n v="7"/>
    <x v="0"/>
    <n v="75"/>
    <n v="8000"/>
    <n v="350"/>
  </r>
  <r>
    <x v="5"/>
    <n v="53466"/>
    <n v="54430"/>
    <n v="13196"/>
    <n v="759.05"/>
    <n v="7438"/>
    <n v="226702"/>
    <n v="4462.3"/>
    <n v="8335.4"/>
    <n v="4295.5"/>
    <m/>
    <m/>
    <n v="52"/>
    <n v="53"/>
    <n v="9"/>
    <n v="0.28699999999999998"/>
    <n v="10"/>
    <n v="54"/>
    <n v="3.2"/>
    <n v="12.3"/>
    <n v="7.4"/>
    <n v="85"/>
    <n v="29"/>
    <n v="2025"/>
    <n v="7"/>
    <x v="0"/>
    <n v="75"/>
    <n v="8000"/>
    <n v="350"/>
  </r>
  <r>
    <x v="6"/>
    <n v="53509"/>
    <n v="54475"/>
    <n v="13206"/>
    <n v="759.18200000000002"/>
    <n v="7444"/>
    <n v="226747"/>
    <n v="4466"/>
    <n v="8350.2000000000007"/>
    <n v="4302.1000000000004"/>
    <m/>
    <m/>
    <n v="43"/>
    <n v="45"/>
    <n v="10"/>
    <n v="0.13200000000000001"/>
    <n v="6"/>
    <n v="45"/>
    <n v="3.7"/>
    <n v="14.8"/>
    <n v="6.6"/>
    <n v="75"/>
    <n v="29"/>
    <n v="2025"/>
    <n v="7"/>
    <x v="0"/>
    <n v="75"/>
    <n v="8000"/>
    <n v="350"/>
  </r>
  <r>
    <x v="7"/>
    <n v="53575"/>
    <n v="54543"/>
    <n v="13219"/>
    <n v="763.04499999999996"/>
    <n v="7453"/>
    <n v="226817"/>
    <n v="4469.7"/>
    <n v="8365.6"/>
    <n v="4309.3"/>
    <m/>
    <m/>
    <n v="66"/>
    <n v="68"/>
    <n v="13"/>
    <n v="3.863"/>
    <n v="9"/>
    <n v="70"/>
    <n v="3.7"/>
    <n v="15.4"/>
    <n v="7.2"/>
    <n v="75"/>
    <n v="29"/>
    <n v="2025"/>
    <n v="7"/>
    <x v="0"/>
    <n v="75"/>
    <n v="8000"/>
    <n v="350"/>
  </r>
  <r>
    <x v="8"/>
    <n v="53626"/>
    <n v="54595"/>
    <n v="13228"/>
    <n v="763.18899999999996"/>
    <n v="7464"/>
    <n v="226872"/>
    <n v="4474"/>
    <n v="8375.7999999999993"/>
    <n v="4316.3"/>
    <m/>
    <m/>
    <n v="51"/>
    <n v="52"/>
    <n v="9"/>
    <n v="0.14399999999999999"/>
    <n v="11"/>
    <n v="55"/>
    <n v="4.3"/>
    <n v="10.199999999999999"/>
    <n v="7"/>
    <n v="70"/>
    <n v="29"/>
    <n v="2025"/>
    <n v="7"/>
    <x v="0"/>
    <n v="75"/>
    <n v="8000"/>
    <n v="350"/>
  </r>
  <r>
    <x v="9"/>
    <n v="53690"/>
    <n v="54661"/>
    <n v="13238"/>
    <n v="763.18899999999996"/>
    <n v="7469"/>
    <n v="226938"/>
    <n v="4476.7"/>
    <n v="8395.1"/>
    <n v="4318.8"/>
    <m/>
    <m/>
    <n v="64"/>
    <n v="66"/>
    <n v="10"/>
    <n v="0"/>
    <n v="5"/>
    <n v="66"/>
    <n v="2.7"/>
    <n v="19.3"/>
    <n v="9.5"/>
    <n v="65"/>
    <n v="30"/>
    <n v="2025"/>
    <n v="7"/>
    <x v="0"/>
    <n v="75"/>
    <n v="8000"/>
    <n v="350"/>
  </r>
  <r>
    <x v="10"/>
    <n v="53744"/>
    <n v="54718"/>
    <n v="13249"/>
    <n v="763.50599999999997"/>
    <n v="7478"/>
    <n v="226995"/>
    <n v="4480.1000000000004"/>
    <n v="8407.9"/>
    <n v="4331.1000000000004"/>
    <m/>
    <m/>
    <n v="54"/>
    <n v="57"/>
    <n v="11"/>
    <n v="0.317"/>
    <n v="9"/>
    <n v="57"/>
    <n v="3.4"/>
    <n v="12.8"/>
    <n v="12.3"/>
    <n v="60"/>
    <n v="30"/>
    <n v="2025"/>
    <n v="7"/>
    <x v="0"/>
    <n v="75"/>
    <n v="8000"/>
    <n v="350"/>
  </r>
  <r>
    <x v="11"/>
    <n v="53800"/>
    <n v="54775"/>
    <n v="13259"/>
    <n v="763.68700000000001"/>
    <n v="7486"/>
    <n v="227053"/>
    <n v="4484.3"/>
    <n v="8424.5"/>
    <n v="4338.7"/>
    <m/>
    <m/>
    <n v="56"/>
    <n v="57"/>
    <n v="10"/>
    <n v="0.18099999999999999"/>
    <n v="8"/>
    <n v="58"/>
    <n v="4.2"/>
    <n v="16.600000000000001"/>
    <n v="7.6"/>
    <n v="55"/>
    <n v="30"/>
    <n v="2025"/>
    <n v="7"/>
    <x v="0"/>
    <n v="75"/>
    <n v="8000"/>
    <n v="350"/>
  </r>
  <r>
    <x v="12"/>
    <n v="53840"/>
    <n v="54817"/>
    <n v="13270"/>
    <n v="763.87800000000004"/>
    <n v="7493"/>
    <n v="227096"/>
    <n v="4488.1000000000004"/>
    <n v="8438.9"/>
    <n v="4344.8"/>
    <m/>
    <m/>
    <n v="40"/>
    <n v="42"/>
    <n v="11"/>
    <n v="0.191"/>
    <n v="7"/>
    <n v="43"/>
    <n v="3.8"/>
    <n v="14.4"/>
    <n v="6.1"/>
    <n v="50"/>
    <n v="30"/>
    <n v="2025"/>
    <n v="7"/>
    <x v="0"/>
    <n v="75"/>
    <n v="8000"/>
    <n v="350"/>
  </r>
  <r>
    <x v="13"/>
    <n v="53869"/>
    <n v="54847"/>
    <n v="13281"/>
    <n v="764.07"/>
    <n v="7503"/>
    <n v="227126"/>
    <n v="4491.6000000000004"/>
    <n v="8451.7000000000007"/>
    <n v="4351.2"/>
    <m/>
    <m/>
    <n v="29"/>
    <n v="30"/>
    <n v="11"/>
    <n v="0.192"/>
    <n v="10"/>
    <n v="30"/>
    <n v="3.5"/>
    <n v="12.8"/>
    <n v="6.4"/>
    <n v="50"/>
    <n v="30"/>
    <n v="2025"/>
    <n v="7"/>
    <x v="0"/>
    <n v="75"/>
    <n v="8000"/>
    <n v="350"/>
  </r>
  <r>
    <x v="14"/>
    <n v="53918"/>
    <n v="54895"/>
    <n v="13292"/>
    <n v="764.83900000000006"/>
    <n v="7505"/>
    <n v="227177"/>
    <n v="4494.3"/>
    <n v="8474.2999999999993"/>
    <n v="4360.1000000000004"/>
    <m/>
    <m/>
    <n v="49"/>
    <n v="48"/>
    <n v="11"/>
    <n v="0.76900000000000002"/>
    <n v="2"/>
    <n v="51"/>
    <n v="2.7"/>
    <n v="22.6"/>
    <n v="8.9"/>
    <n v="45"/>
    <n v="31"/>
    <n v="2025"/>
    <n v="7"/>
    <x v="0"/>
    <n v="75"/>
    <n v="8000"/>
    <n v="350"/>
  </r>
  <r>
    <x v="15"/>
    <n v="53966"/>
    <n v="54945"/>
    <n v="13302"/>
    <n v="764.83900000000006"/>
    <n v="7515"/>
    <n v="227228"/>
    <n v="4498.3"/>
    <n v="8485"/>
    <n v="4365.2"/>
    <m/>
    <m/>
    <n v="48"/>
    <n v="50"/>
    <n v="10"/>
    <n v="0"/>
    <n v="10"/>
    <n v="51"/>
    <n v="4"/>
    <n v="10.7"/>
    <n v="5.0999999999999996"/>
    <n v="45"/>
    <n v="31"/>
    <n v="2025"/>
    <n v="7"/>
    <x v="0"/>
    <n v="75"/>
    <n v="8000"/>
    <n v="350"/>
  </r>
  <r>
    <x v="16"/>
    <n v="54016"/>
    <n v="54997"/>
    <n v="13312"/>
    <n v="764.83900000000006"/>
    <n v="7525"/>
    <n v="227281"/>
    <n v="4501.8999999999996"/>
    <n v="8501"/>
    <n v="4369.3999999999996"/>
    <m/>
    <m/>
    <n v="50"/>
    <n v="52"/>
    <n v="10"/>
    <n v="0"/>
    <n v="10"/>
    <n v="53"/>
    <n v="3.6"/>
    <n v="16"/>
    <n v="4.2"/>
    <n v="79"/>
    <n v="31"/>
    <n v="2025"/>
    <n v="8"/>
    <x v="1"/>
    <n v="75"/>
    <n v="8000"/>
    <n v="350"/>
  </r>
  <r>
    <x v="17"/>
    <n v="54076"/>
    <n v="55059"/>
    <n v="13323"/>
    <n v="766.01800000000003"/>
    <n v="7533"/>
    <n v="227344"/>
    <n v="4505"/>
    <n v="8514.7000000000007"/>
    <n v="4373.3999999999996"/>
    <m/>
    <m/>
    <n v="60"/>
    <n v="62"/>
    <n v="11"/>
    <n v="1.179"/>
    <n v="8"/>
    <n v="63"/>
    <n v="3.1"/>
    <n v="13.7"/>
    <n v="4"/>
    <n v="85"/>
    <n v="31"/>
    <n v="2025"/>
    <n v="8"/>
    <x v="1"/>
    <n v="75"/>
    <n v="8000"/>
    <n v="350"/>
  </r>
  <r>
    <x v="18"/>
    <n v="54207"/>
    <n v="55194"/>
    <n v="13343"/>
    <n v="766.66099999999994"/>
    <n v="7539"/>
    <n v="227481"/>
    <n v="4512.2"/>
    <n v="8547.2000000000007"/>
    <n v="4383.3"/>
    <m/>
    <m/>
    <n v="55"/>
    <n v="57"/>
    <n v="9"/>
    <n v="0.25700000000000001"/>
    <n v="1"/>
    <n v="58"/>
    <n v="3"/>
    <n v="12.9"/>
    <n v="5"/>
    <n v="70"/>
    <n v="32"/>
    <n v="2025"/>
    <n v="8"/>
    <x v="1"/>
    <n v="75"/>
    <n v="8000"/>
    <n v="350"/>
  </r>
  <r>
    <x v="19"/>
    <n v="54269"/>
    <n v="55257"/>
    <n v="13352"/>
    <n v="767.15"/>
    <n v="7543"/>
    <n v="227546"/>
    <n v="4516.3999999999996"/>
    <n v="8563.2000000000007"/>
    <n v="4387.3"/>
    <m/>
    <m/>
    <n v="62"/>
    <n v="63"/>
    <n v="9"/>
    <n v="0.48899999999999999"/>
    <n v="4"/>
    <n v="65"/>
    <n v="4.2"/>
    <n v="16"/>
    <n v="4"/>
    <n v="64"/>
    <n v="32"/>
    <n v="2025"/>
    <n v="8"/>
    <x v="1"/>
    <n v="75"/>
    <n v="8000"/>
    <n v="350"/>
  </r>
  <r>
    <x v="20"/>
    <n v="54322"/>
    <n v="55312"/>
    <n v="13362"/>
    <n v="767.30600000000004"/>
    <n v="7555"/>
    <n v="227603"/>
    <n v="4520.2"/>
    <n v="8577.7000000000007"/>
    <n v="4391.6000000000004"/>
    <m/>
    <m/>
    <n v="53"/>
    <n v="55"/>
    <n v="10"/>
    <n v="0.156"/>
    <n v="12"/>
    <n v="57"/>
    <n v="3.8"/>
    <n v="14.5"/>
    <n v="4.3"/>
    <n v="60"/>
    <n v="32"/>
    <n v="2025"/>
    <n v="8"/>
    <x v="1"/>
    <n v="75"/>
    <n v="8000"/>
    <n v="350"/>
  </r>
  <r>
    <x v="21"/>
    <n v="54365"/>
    <n v="55357"/>
    <n v="13374"/>
    <n v="770.40499999999997"/>
    <n v="7566"/>
    <n v="227648"/>
    <n v="4523.7"/>
    <n v="8588.7000000000007"/>
    <n v="4395.1000000000004"/>
    <m/>
    <m/>
    <n v="43"/>
    <n v="45"/>
    <n v="12"/>
    <n v="3.0990000000000002"/>
    <n v="11"/>
    <n v="45"/>
    <n v="3.5"/>
    <n v="11"/>
    <n v="3.5"/>
    <n v="54"/>
    <n v="32"/>
    <n v="2025"/>
    <n v="8"/>
    <x v="1"/>
    <n v="75"/>
    <n v="8000"/>
    <n v="350"/>
  </r>
  <r>
    <x v="22"/>
    <n v="54426"/>
    <n v="55419"/>
    <n v="13385"/>
    <n v="770.71100000000001"/>
    <n v="7568"/>
    <n v="227711"/>
    <n v="4527"/>
    <n v="8605"/>
    <n v="4399.5"/>
    <m/>
    <m/>
    <n v="61"/>
    <n v="62"/>
    <n v="11"/>
    <n v="0.30599999999999999"/>
    <n v="2"/>
    <n v="63"/>
    <n v="3.3"/>
    <n v="16.3"/>
    <n v="4.4000000000000004"/>
    <n v="51"/>
    <n v="33"/>
    <n v="2025"/>
    <n v="8"/>
    <x v="1"/>
    <n v="75"/>
    <n v="8000"/>
    <n v="350"/>
  </r>
  <r>
    <x v="23"/>
    <n v="54481"/>
    <n v="55477"/>
    <n v="13394"/>
    <n v="770.74699999999996"/>
    <n v="7579"/>
    <n v="227771"/>
    <n v="4530.3999999999996"/>
    <n v="8618.5"/>
    <n v="4403.3999999999996"/>
    <m/>
    <m/>
    <n v="55"/>
    <n v="58"/>
    <n v="9"/>
    <n v="3.5999999999999997E-2"/>
    <n v="11"/>
    <n v="60"/>
    <n v="3.4"/>
    <n v="13.5"/>
    <n v="3.9"/>
    <n v="49"/>
    <n v="33"/>
    <n v="2025"/>
    <n v="8"/>
    <x v="1"/>
    <n v="75"/>
    <n v="8000"/>
    <n v="350"/>
  </r>
  <r>
    <x v="24"/>
    <n v="54557"/>
    <n v="55555"/>
    <n v="13404"/>
    <n v="770.79899999999998"/>
    <n v="7591"/>
    <n v="227850"/>
    <n v="4533.7"/>
    <n v="8632.6"/>
    <n v="4408.1000000000004"/>
    <m/>
    <m/>
    <n v="76"/>
    <n v="78"/>
    <n v="10"/>
    <n v="5.1999999999999998E-2"/>
    <n v="12"/>
    <n v="79"/>
    <n v="3.3"/>
    <n v="14.1"/>
    <n v="4.7"/>
    <n v="45"/>
    <n v="33"/>
    <n v="2025"/>
    <n v="8"/>
    <x v="1"/>
    <n v="75"/>
    <n v="8000"/>
    <n v="350"/>
  </r>
  <r>
    <x v="25"/>
    <n v="54610"/>
    <n v="55610"/>
    <n v="13413"/>
    <n v="770.79899999999998"/>
    <n v="7603"/>
    <n v="227905"/>
    <n v="4537.2"/>
    <n v="8647.2000000000007"/>
    <n v="4412.7"/>
    <m/>
    <m/>
    <n v="53"/>
    <n v="55"/>
    <n v="9"/>
    <n v="0"/>
    <n v="12"/>
    <n v="55"/>
    <n v="3.5"/>
    <n v="14.6"/>
    <n v="4.5999999999999996"/>
    <n v="40"/>
    <n v="33"/>
    <n v="2025"/>
    <n v="8"/>
    <x v="1"/>
    <n v="75"/>
    <n v="8000"/>
    <n v="350"/>
  </r>
  <r>
    <x v="26"/>
    <n v="54664"/>
    <n v="55665"/>
    <n v="13423"/>
    <n v="772.125"/>
    <n v="7611"/>
    <n v="227963"/>
    <n v="4541.1000000000004"/>
    <n v="8663.4"/>
    <n v="4417.1000000000004"/>
    <m/>
    <m/>
    <n v="54"/>
    <n v="55"/>
    <n v="10"/>
    <n v="1.3260000000000001"/>
    <n v="8"/>
    <n v="58"/>
    <n v="3.9"/>
    <n v="16.2"/>
    <n v="4.4000000000000004"/>
    <n v="38"/>
    <n v="33"/>
    <n v="2025"/>
    <n v="8"/>
    <x v="1"/>
    <n v="75"/>
    <n v="8000"/>
    <n v="350"/>
  </r>
  <r>
    <x v="27"/>
    <n v="54728"/>
    <n v="55730"/>
    <n v="13432"/>
    <n v="772.71600000000001"/>
    <n v="7617"/>
    <n v="228030"/>
    <n v="4544.6000000000004"/>
    <n v="8679.9"/>
    <n v="4420.8"/>
    <m/>
    <m/>
    <n v="64"/>
    <n v="65"/>
    <n v="9"/>
    <n v="0.59099999999999997"/>
    <n v="6"/>
    <n v="67"/>
    <n v="3.5"/>
    <n v="16.5"/>
    <n v="3.7"/>
    <n v="35"/>
    <n v="34"/>
    <n v="2025"/>
    <n v="8"/>
    <x v="1"/>
    <n v="75"/>
    <n v="8000"/>
    <n v="350"/>
  </r>
  <r>
    <x v="28"/>
    <n v="54784"/>
    <n v="55788"/>
    <n v="13440"/>
    <n v="772.71600000000001"/>
    <n v="7629"/>
    <n v="228089"/>
    <n v="5448"/>
    <n v="8693.2999999999993"/>
    <n v="4425.7"/>
    <m/>
    <m/>
    <n v="56"/>
    <n v="58"/>
    <n v="8"/>
    <n v="0"/>
    <n v="12"/>
    <n v="59"/>
    <n v="3.4"/>
    <n v="13.4"/>
    <n v="4.9000000000000004"/>
    <n v="30"/>
    <n v="34"/>
    <n v="2025"/>
    <n v="8"/>
    <x v="1"/>
    <n v="75"/>
    <n v="8000"/>
    <n v="350"/>
  </r>
  <r>
    <x v="29"/>
    <n v="54850"/>
    <n v="55855"/>
    <n v="13450"/>
    <n v="772.721"/>
    <n v="7640"/>
    <n v="228150"/>
    <n v="4551.7"/>
    <n v="8709"/>
    <n v="4431.2"/>
    <m/>
    <m/>
    <n v="66"/>
    <n v="67"/>
    <n v="10"/>
    <n v="5.0000000000000001E-3"/>
    <n v="11"/>
    <n v="61"/>
    <n v="3.7"/>
    <n v="15.7"/>
    <n v="5.5"/>
    <n v="76"/>
    <n v="34"/>
    <n v="2025"/>
    <n v="8"/>
    <x v="1"/>
    <n v="75"/>
    <n v="8000"/>
    <n v="350"/>
  </r>
  <r>
    <x v="30"/>
    <n v="54890"/>
    <n v="55897"/>
    <n v="13459"/>
    <n v="773.13"/>
    <n v="7647"/>
    <n v="228201"/>
    <n v="4554.8999999999996"/>
    <n v="8722.2000000000007"/>
    <n v="4436.3"/>
    <m/>
    <m/>
    <n v="40"/>
    <n v="42"/>
    <n v="9"/>
    <n v="0.40899999999999997"/>
    <n v="7"/>
    <n v="51"/>
    <n v="3.2"/>
    <n v="13.2"/>
    <n v="5.0999999999999996"/>
    <n v="74"/>
    <n v="34"/>
    <n v="2025"/>
    <n v="8"/>
    <x v="1"/>
    <n v="75"/>
    <n v="8000"/>
    <n v="350"/>
  </r>
  <r>
    <x v="31"/>
    <n v="54942"/>
    <n v="55951"/>
    <n v="13473"/>
    <n v="776.98400000000004"/>
    <n v="7655"/>
    <n v="228256"/>
    <n v="4559.7"/>
    <n v="8737.2000000000007"/>
    <n v="4441.8"/>
    <m/>
    <m/>
    <n v="11"/>
    <n v="95"/>
    <n v="22"/>
    <n v="4.194"/>
    <n v="5"/>
    <n v="96"/>
    <n v="7.7"/>
    <n v="-52.8"/>
    <n v="2.8"/>
    <n v="70"/>
    <n v="34"/>
    <n v="2025"/>
    <n v="8"/>
    <x v="1"/>
    <n v="75"/>
    <n v="8000"/>
    <n v="350"/>
  </r>
  <r>
    <x v="32"/>
    <n v="54985"/>
    <n v="55996"/>
    <n v="13482"/>
    <n v="777.20299999999997"/>
    <n v="7662"/>
    <n v="228302"/>
    <n v="4562.8999999999996"/>
    <n v="8750.2999999999993"/>
    <n v="4446.6000000000004"/>
    <m/>
    <m/>
    <n v="43"/>
    <n v="45"/>
    <n v="9"/>
    <n v="0.219"/>
    <n v="7"/>
    <n v="46"/>
    <n v="3.2"/>
    <n v="13.1"/>
    <n v="4.8"/>
    <n v="64"/>
    <n v="34"/>
    <n v="2025"/>
    <n v="8"/>
    <x v="1"/>
    <n v="75"/>
    <n v="8000"/>
    <n v="350"/>
  </r>
  <r>
    <x v="33"/>
    <n v="55047"/>
    <n v="56060"/>
    <n v="13494"/>
    <n v="777.81299999999999"/>
    <n v="7668"/>
    <n v="228369"/>
    <n v="4566.1000000000004"/>
    <n v="8771"/>
    <n v="4452.6000000000004"/>
    <m/>
    <m/>
    <n v="62"/>
    <n v="64"/>
    <n v="12"/>
    <n v="0.61"/>
    <n v="6"/>
    <n v="67"/>
    <n v="3.2"/>
    <n v="20.7"/>
    <n v="6"/>
    <n v="61"/>
    <n v="35"/>
    <n v="2025"/>
    <n v="8"/>
    <x v="1"/>
    <n v="75"/>
    <n v="8000"/>
    <n v="350"/>
  </r>
  <r>
    <x v="34"/>
    <n v="55093"/>
    <n v="56107"/>
    <n v="13502"/>
    <n v="778.14599999999996"/>
    <n v="7684"/>
    <n v="228418"/>
    <n v="4569.8999999999996"/>
    <n v="8783.7999999999993"/>
    <n v="4456.8"/>
    <m/>
    <m/>
    <n v="46"/>
    <n v="47"/>
    <n v="8"/>
    <n v="0.33300000000000002"/>
    <n v="16"/>
    <n v="49"/>
    <n v="3.8"/>
    <n v="12.8"/>
    <n v="4.2"/>
    <n v="58"/>
    <n v="35"/>
    <n v="2025"/>
    <n v="8"/>
    <x v="1"/>
    <n v="75"/>
    <n v="8000"/>
    <n v="350"/>
  </r>
  <r>
    <x v="35"/>
    <n v="55203"/>
    <n v="56220"/>
    <n v="13511"/>
    <n v="778.48299999999995"/>
    <n v="7697"/>
    <n v="228533"/>
    <n v="4573.2"/>
    <n v="8796.9"/>
    <n v="4460.6000000000004"/>
    <m/>
    <m/>
    <n v="110"/>
    <n v="113"/>
    <n v="9"/>
    <n v="0.33700000000000002"/>
    <n v="13"/>
    <n v="115"/>
    <n v="3.3"/>
    <n v="13.1"/>
    <n v="3.8"/>
    <n v="53"/>
    <n v="35"/>
    <n v="2025"/>
    <n v="8"/>
    <x v="1"/>
    <n v="75"/>
    <n v="8000"/>
    <n v="350"/>
  </r>
  <r>
    <x v="36"/>
    <n v="55266"/>
    <n v="56285"/>
    <n v="13520"/>
    <n v="778.91399999999999"/>
    <n v="7708"/>
    <n v="228600"/>
    <n v="4576.5"/>
    <n v="8807.5"/>
    <n v="4464.3999999999996"/>
    <m/>
    <m/>
    <n v="63"/>
    <n v="65"/>
    <n v="9"/>
    <n v="0.43099999999999999"/>
    <n v="11"/>
    <n v="67"/>
    <n v="3.3"/>
    <n v="10.6"/>
    <n v="3.8"/>
    <n v="50"/>
    <n v="35"/>
    <n v="2025"/>
    <n v="8"/>
    <x v="1"/>
    <n v="75"/>
    <n v="8000"/>
    <n v="350"/>
  </r>
  <r>
    <x v="37"/>
    <n v="55322"/>
    <n v="56343"/>
    <n v="13529"/>
    <n v="778.91399999999999"/>
    <n v="7719"/>
    <n v="228656"/>
    <n v="4580.5"/>
    <n v="8821.7999999999993"/>
    <n v="4469.3"/>
    <m/>
    <m/>
    <n v="56"/>
    <n v="58"/>
    <n v="9"/>
    <n v="0"/>
    <n v="11"/>
    <n v="56"/>
    <n v="4"/>
    <n v="14.3"/>
    <n v="4.9000000000000004"/>
    <n v="45"/>
    <n v="35"/>
    <n v="2025"/>
    <n v="8"/>
    <x v="1"/>
    <n v="75"/>
    <n v="8000"/>
    <n v="350"/>
  </r>
  <r>
    <x v="38"/>
    <n v="55367"/>
    <n v="56388"/>
    <n v="13540"/>
    <n v="780.84799999999996"/>
    <n v="7726"/>
    <n v="228707"/>
    <n v="4584.3999999999996"/>
    <n v="8844.4"/>
    <n v="4474.2"/>
    <m/>
    <m/>
    <n v="45"/>
    <n v="45"/>
    <n v="11"/>
    <n v="1.9339999999999999"/>
    <n v="7"/>
    <n v="51"/>
    <n v="3.9"/>
    <n v="22.6"/>
    <n v="4.9000000000000004"/>
    <n v="40"/>
    <n v="36"/>
    <n v="2025"/>
    <n v="9"/>
    <x v="2"/>
    <n v="75"/>
    <n v="8000"/>
    <n v="350"/>
  </r>
  <r>
    <x v="39"/>
    <n v="55424"/>
    <n v="56446"/>
    <n v="13558"/>
    <n v="787.30899999999997"/>
    <n v="7737"/>
    <n v="228766"/>
    <n v="4588.3"/>
    <n v="8857.7999999999993"/>
    <n v="4479.2"/>
    <m/>
    <m/>
    <n v="57"/>
    <n v="58"/>
    <n v="18"/>
    <n v="6.4610000000000003"/>
    <n v="11"/>
    <n v="59"/>
    <n v="3.9"/>
    <n v="13.4"/>
    <n v="5"/>
    <n v="40"/>
    <n v="36"/>
    <n v="2025"/>
    <n v="9"/>
    <x v="2"/>
    <n v="75"/>
    <n v="8000"/>
    <n v="350"/>
  </r>
  <r>
    <x v="40"/>
    <n v="55500"/>
    <n v="56525"/>
    <n v="13566"/>
    <n v="787.68499999999995"/>
    <n v="7748"/>
    <n v="228846"/>
    <n v="4592.7"/>
    <n v="8873.2000000000007"/>
    <n v="4484.8"/>
    <m/>
    <m/>
    <n v="76"/>
    <n v="79"/>
    <n v="8"/>
    <n v="0.376"/>
    <n v="11"/>
    <n v="80"/>
    <n v="4.4000000000000004"/>
    <n v="15.4"/>
    <n v="5.6"/>
    <n v="35"/>
    <n v="36"/>
    <n v="2025"/>
    <n v="9"/>
    <x v="2"/>
    <n v="75"/>
    <n v="8000"/>
    <n v="350"/>
  </r>
  <r>
    <x v="41"/>
    <n v="55547"/>
    <n v="56573"/>
    <n v="13576"/>
    <n v="788.923"/>
    <n v="7757"/>
    <n v="228895"/>
    <n v="4597.3999999999996"/>
    <n v="8890"/>
    <n v="4490.6000000000004"/>
    <m/>
    <m/>
    <n v="47"/>
    <n v="48"/>
    <n v="10"/>
    <n v="1.238"/>
    <n v="9"/>
    <n v="49"/>
    <n v="4.7"/>
    <n v="16.8"/>
    <n v="5.8"/>
    <n v="79"/>
    <n v="36"/>
    <n v="2025"/>
    <n v="9"/>
    <x v="2"/>
    <n v="75"/>
    <n v="8000"/>
    <n v="350"/>
  </r>
  <r>
    <x v="42"/>
    <n v="55584"/>
    <n v="56611"/>
    <n v="13586"/>
    <n v="788.923"/>
    <n v="7761"/>
    <n v="228934"/>
    <n v="4600.8999999999996"/>
    <n v="8906.2000000000007"/>
    <n v="4495.8"/>
    <m/>
    <m/>
    <n v="37"/>
    <n v="38"/>
    <n v="10"/>
    <n v="0"/>
    <n v="4"/>
    <n v="39"/>
    <n v="3.5"/>
    <n v="16.2"/>
    <n v="5.2"/>
    <n v="75"/>
    <n v="36"/>
    <n v="2025"/>
    <n v="9"/>
    <x v="2"/>
    <n v="75"/>
    <n v="8000"/>
    <n v="350"/>
  </r>
  <r>
    <x v="43"/>
    <n v="55627"/>
    <n v="56656"/>
    <n v="13596"/>
    <n v="789.31399999999996"/>
    <n v="7766"/>
    <n v="228981"/>
    <n v="4604.3"/>
    <n v="8920.1"/>
    <n v="4500.7"/>
    <m/>
    <m/>
    <n v="80"/>
    <n v="83"/>
    <n v="20"/>
    <n v="0.39100000000000001"/>
    <n v="9"/>
    <n v="86"/>
    <n v="6.9"/>
    <n v="30.1"/>
    <n v="10.1"/>
    <n v="70"/>
    <n v="36"/>
    <n v="2025"/>
    <n v="9"/>
    <x v="2"/>
    <n v="75"/>
    <n v="8000"/>
    <n v="350"/>
  </r>
  <r>
    <x v="44"/>
    <n v="55687"/>
    <n v="56718"/>
    <n v="13606"/>
    <n v="789.31399999999996"/>
    <n v="7768"/>
    <n v="229044"/>
    <n v="4607.2"/>
    <n v="8936.6"/>
    <n v="4505.3999999999996"/>
    <m/>
    <m/>
    <n v="60"/>
    <n v="62"/>
    <n v="10"/>
    <n v="0"/>
    <n v="2"/>
    <n v="63"/>
    <n v="2.9"/>
    <n v="16.5"/>
    <n v="4.7"/>
    <n v="69"/>
    <n v="37"/>
    <n v="2025"/>
    <n v="9"/>
    <x v="2"/>
    <n v="75"/>
    <n v="8000"/>
    <n v="350"/>
  </r>
  <r>
    <x v="45"/>
    <n v="55734"/>
    <n v="56767"/>
    <n v="13616"/>
    <n v="790.44299999999998"/>
    <n v="7776"/>
    <n v="229093"/>
    <n v="4610"/>
    <n v="8947.2000000000007"/>
    <n v="4509.5"/>
    <m/>
    <m/>
    <n v="47"/>
    <n v="49"/>
    <n v="10"/>
    <n v="1.129"/>
    <n v="8"/>
    <n v="49"/>
    <n v="2.8"/>
    <n v="10.6"/>
    <n v="4.0999999999999996"/>
    <n v="66"/>
    <n v="37"/>
    <n v="2025"/>
    <n v="9"/>
    <x v="2"/>
    <n v="75"/>
    <n v="8000"/>
    <n v="350"/>
  </r>
  <r>
    <x v="46"/>
    <n v="55742"/>
    <n v="56781"/>
    <n v="13627"/>
    <n v="790.44299999999998"/>
    <n v="7786"/>
    <n v="229101"/>
    <n v="4613.6000000000004"/>
    <n v="8961.7000000000007"/>
    <n v="4514.7"/>
    <m/>
    <m/>
    <n v="8"/>
    <n v="14"/>
    <n v="11"/>
    <n v="0"/>
    <n v="10"/>
    <n v="8"/>
    <n v="3.6"/>
    <n v="14.5"/>
    <n v="5.2"/>
    <n v="61"/>
    <n v="37"/>
    <n v="2025"/>
    <n v="9"/>
    <x v="2"/>
    <n v="75"/>
    <n v="8000"/>
    <n v="350"/>
  </r>
  <r>
    <x v="47"/>
    <n v="55807"/>
    <n v="56848"/>
    <n v="13638"/>
    <n v="791.09400000000005"/>
    <n v="7798"/>
    <n v="229169"/>
    <n v="4618"/>
    <n v="8977.2999999999993"/>
    <n v="4520.5"/>
    <m/>
    <m/>
    <n v="65"/>
    <n v="67"/>
    <n v="11"/>
    <n v="0.65100000000000002"/>
    <n v="12"/>
    <n v="68"/>
    <n v="4.4000000000000004"/>
    <n v="15.6"/>
    <n v="5.8"/>
    <n v="58"/>
    <n v="37"/>
    <n v="2025"/>
    <n v="9"/>
    <x v="2"/>
    <n v="75"/>
    <n v="8000"/>
    <n v="350"/>
  </r>
  <r>
    <x v="48"/>
    <n v="55857"/>
    <n v="56900"/>
    <n v="13648"/>
    <n v="791.09400000000005"/>
    <n v="7809"/>
    <n v="229221"/>
    <n v="4621.7"/>
    <n v="8991.4"/>
    <n v="4525.8"/>
    <m/>
    <m/>
    <n v="50"/>
    <n v="52"/>
    <n v="10"/>
    <n v="0"/>
    <n v="11"/>
    <n v="52"/>
    <n v="3.7"/>
    <n v="14.1"/>
    <n v="5.3"/>
    <n v="53"/>
    <n v="37"/>
    <n v="2025"/>
    <n v="9"/>
    <x v="2"/>
    <n v="75"/>
    <n v="8000"/>
    <n v="350"/>
  </r>
  <r>
    <x v="49"/>
    <n v="55894"/>
    <n v="56938"/>
    <n v="13659"/>
    <n v="792.18499999999995"/>
    <n v="7819"/>
    <n v="229261"/>
    <n v="4624.8"/>
    <n v="9003.9"/>
    <n v="4530.5"/>
    <m/>
    <m/>
    <n v="37"/>
    <n v="38"/>
    <n v="11"/>
    <n v="1.091"/>
    <n v="10"/>
    <n v="40"/>
    <n v="3.1"/>
    <n v="12.5"/>
    <n v="4.7"/>
    <n v="50"/>
    <n v="37"/>
    <n v="2025"/>
    <n v="9"/>
    <x v="2"/>
    <n v="75"/>
    <n v="8000"/>
    <n v="350"/>
  </r>
  <r>
    <x v="50"/>
    <n v="55948"/>
    <n v="56993"/>
    <n v="13669"/>
    <n v="792.21100000000001"/>
    <n v="7821"/>
    <n v="229317"/>
    <n v="4627.7"/>
    <n v="9020.2999999999993"/>
    <n v="4534.8"/>
    <m/>
    <m/>
    <n v="54"/>
    <n v="55"/>
    <n v="10"/>
    <n v="2.5999999999999999E-2"/>
    <n v="2"/>
    <n v="56"/>
    <n v="2.9"/>
    <n v="16.399999999999999"/>
    <n v="4.3"/>
    <n v="45"/>
    <n v="38"/>
    <n v="2025"/>
    <n v="9"/>
    <x v="2"/>
    <n v="75"/>
    <n v="8000"/>
    <n v="350"/>
  </r>
  <r>
    <x v="51"/>
    <n v="56024"/>
    <n v="57086"/>
    <n v="13683"/>
    <n v="796.505"/>
    <n v="7833"/>
    <n v="229401"/>
    <n v="4631.2"/>
    <n v="9036.2000000000007"/>
    <n v="4539.5"/>
    <m/>
    <m/>
    <n v="76"/>
    <n v="93"/>
    <n v="14"/>
    <n v="4.2939999999999996"/>
    <n v="12"/>
    <n v="84"/>
    <n v="3.5"/>
    <n v="15.9"/>
    <n v="4.7"/>
    <n v="40"/>
    <n v="38"/>
    <n v="2025"/>
    <n v="9"/>
    <x v="2"/>
    <n v="75"/>
    <n v="8000"/>
    <n v="350"/>
  </r>
  <r>
    <x v="52"/>
    <n v="56045"/>
    <n v="57113"/>
    <n v="13692"/>
    <n v="796.62300000000005"/>
    <n v="7845"/>
    <n v="229429"/>
    <n v="4635.3"/>
    <n v="9052.7000000000007"/>
    <n v="4544.5"/>
    <m/>
    <m/>
    <n v="21"/>
    <n v="27"/>
    <n v="9"/>
    <n v="0.11799999999999999"/>
    <n v="12"/>
    <n v="28"/>
    <n v="4.0999999999999996"/>
    <n v="16.5"/>
    <n v="5"/>
    <n v="40"/>
    <n v="38"/>
    <n v="2025"/>
    <n v="9"/>
    <x v="2"/>
    <n v="75"/>
    <n v="8000"/>
    <n v="350"/>
  </r>
  <r>
    <x v="53"/>
    <n v="56077"/>
    <n v="57145"/>
    <n v="13703"/>
    <n v="797.423"/>
    <n v="7856"/>
    <n v="229461"/>
    <n v="4639.2"/>
    <n v="9069.7999999999993"/>
    <n v="4549.3999999999996"/>
    <m/>
    <m/>
    <n v="32"/>
    <n v="32"/>
    <n v="11"/>
    <n v="0.8"/>
    <n v="11"/>
    <n v="32"/>
    <n v="3.9"/>
    <n v="17.100000000000001"/>
    <n v="4.9000000000000004"/>
    <n v="35"/>
    <n v="38"/>
    <n v="2025"/>
    <n v="9"/>
    <x v="2"/>
    <n v="75"/>
    <n v="8000"/>
    <n v="350"/>
  </r>
  <r>
    <x v="54"/>
    <n v="56145"/>
    <n v="57215"/>
    <n v="13713"/>
    <n v="797.83799999999997"/>
    <n v="7867"/>
    <n v="229532"/>
    <n v="4643.3"/>
    <n v="9084.9"/>
    <n v="4554.2"/>
    <m/>
    <m/>
    <n v="68"/>
    <n v="70"/>
    <n v="10"/>
    <n v="0.41499999999999998"/>
    <n v="11"/>
    <n v="71"/>
    <n v="4.0999999999999996"/>
    <n v="15.1"/>
    <n v="4.8"/>
    <n v="30"/>
    <n v="38"/>
    <n v="2025"/>
    <n v="9"/>
    <x v="2"/>
    <n v="75"/>
    <n v="8000"/>
    <n v="350"/>
  </r>
  <r>
    <x v="55"/>
    <n v="56184"/>
    <n v="57262"/>
    <n v="13722"/>
    <n v="798.24300000000005"/>
    <n v="7883"/>
    <n v="229574"/>
    <n v="4647.8"/>
    <n v="9101.4"/>
    <n v="4559.2"/>
    <m/>
    <m/>
    <n v="39"/>
    <n v="47"/>
    <n v="9"/>
    <n v="0.40500000000000003"/>
    <n v="16"/>
    <n v="42"/>
    <n v="4.5"/>
    <n v="16.5"/>
    <n v="5"/>
    <n v="29"/>
    <n v="38"/>
    <n v="2025"/>
    <n v="9"/>
    <x v="2"/>
    <n v="75"/>
    <n v="8000"/>
    <n v="350"/>
  </r>
  <r>
    <x v="56"/>
    <n v="56246"/>
    <n v="57325"/>
    <n v="13733"/>
    <n v="798.70699999999999"/>
    <n v="7889"/>
    <n v="229637"/>
    <n v="4650.2"/>
    <n v="9116.9"/>
    <n v="4562"/>
    <m/>
    <m/>
    <n v="62"/>
    <n v="63"/>
    <n v="11"/>
    <n v="0.46400000000000002"/>
    <n v="6"/>
    <n v="63"/>
    <n v="2.4"/>
    <n v="15.5"/>
    <n v="2.8"/>
    <n v="77"/>
    <n v="39"/>
    <n v="2025"/>
    <n v="9"/>
    <x v="2"/>
    <n v="75"/>
    <n v="8000"/>
    <n v="350"/>
  </r>
  <r>
    <x v="57"/>
    <n v="56276"/>
    <n v="57368"/>
    <n v="13742"/>
    <n v="798.88"/>
    <n v="7900"/>
    <n v="229677"/>
    <n v="4652.8"/>
    <n v="9128.2000000000007"/>
    <n v="4565"/>
    <m/>
    <m/>
    <n v="30"/>
    <n v="43"/>
    <n v="9"/>
    <n v="0.17299999999999999"/>
    <n v="11"/>
    <n v="40"/>
    <n v="2.6"/>
    <n v="11.3"/>
    <n v="3"/>
    <n v="73"/>
    <n v="39"/>
    <n v="2025"/>
    <n v="9"/>
    <x v="2"/>
    <n v="75"/>
    <n v="8000"/>
    <n v="350"/>
  </r>
  <r>
    <x v="58"/>
    <n v="56337"/>
    <n v="57431"/>
    <n v="13752"/>
    <n v="799.4"/>
    <n v="7915"/>
    <n v="229736"/>
    <n v="4657.3999999999996"/>
    <n v="9143.4"/>
    <n v="4569.6000000000004"/>
    <m/>
    <m/>
    <n v="61"/>
    <n v="63"/>
    <n v="10"/>
    <n v="0.52"/>
    <n v="15"/>
    <n v="59"/>
    <n v="4.5999999999999996"/>
    <n v="15.2"/>
    <n v="4.5999999999999996"/>
    <n v="71"/>
    <n v="39"/>
    <n v="2025"/>
    <n v="9"/>
    <x v="2"/>
    <n v="75"/>
    <n v="8000"/>
    <n v="350"/>
  </r>
  <r>
    <x v="59"/>
    <n v="56395"/>
    <n v="57490"/>
    <n v="13761"/>
    <n v="799.59500000000003"/>
    <n v="7927"/>
    <n v="229795"/>
    <n v="4661"/>
    <n v="9156.9"/>
    <n v="4573.7"/>
    <m/>
    <m/>
    <n v="58"/>
    <n v="59"/>
    <n v="9"/>
    <n v="0.19500000000000001"/>
    <n v="12"/>
    <n v="59"/>
    <n v="3.6"/>
    <n v="13.5"/>
    <n v="4.0999999999999996"/>
    <n v="66"/>
    <n v="39"/>
    <n v="2025"/>
    <n v="9"/>
    <x v="2"/>
    <n v="75"/>
    <n v="8000"/>
    <n v="350"/>
  </r>
  <r>
    <x v="60"/>
    <n v="56459"/>
    <n v="57556"/>
    <n v="13770"/>
    <n v="799.90099999999995"/>
    <n v="7938"/>
    <n v="229862"/>
    <n v="4664.5"/>
    <n v="9171.5"/>
    <n v="4577.6000000000004"/>
    <m/>
    <m/>
    <n v="64"/>
    <n v="66"/>
    <n v="9"/>
    <n v="0.30599999999999999"/>
    <n v="11"/>
    <n v="67"/>
    <n v="3.5"/>
    <n v="14.6"/>
    <n v="3.9"/>
    <n v="62"/>
    <n v="39"/>
    <n v="2025"/>
    <n v="9"/>
    <x v="2"/>
    <n v="75"/>
    <n v="8000"/>
    <n v="350"/>
  </r>
  <r>
    <x v="61"/>
    <n v="56514"/>
    <n v="57613"/>
    <n v="13779"/>
    <n v="800.07799999999997"/>
    <n v="7948"/>
    <n v="229919"/>
    <n v="4668.3999999999996"/>
    <n v="9186.7999999999993"/>
    <n v="4581.7"/>
    <m/>
    <m/>
    <n v="55"/>
    <n v="57"/>
    <n v="9"/>
    <n v="0.17699999999999999"/>
    <n v="10"/>
    <n v="57"/>
    <n v="3.9"/>
    <n v="15.3"/>
    <n v="4.0999999999999996"/>
    <n v="60"/>
    <n v="39"/>
    <n v="2025"/>
    <n v="9"/>
    <x v="2"/>
    <n v="75"/>
    <n v="8000"/>
    <n v="350"/>
  </r>
  <r>
    <x v="62"/>
    <n v="56584"/>
    <n v="57680"/>
    <n v="13791"/>
    <n v="802.07299999999998"/>
    <n v="7953"/>
    <n v="229990"/>
    <n v="4672.1000000000004"/>
    <n v="9202.4"/>
    <n v="4585.3999999999996"/>
    <m/>
    <m/>
    <n v="70"/>
    <n v="67"/>
    <n v="12"/>
    <n v="1.9950000000000001"/>
    <n v="5"/>
    <n v="71"/>
    <n v="3.7"/>
    <n v="15.6"/>
    <n v="3.7"/>
    <n v="60"/>
    <n v="40"/>
    <n v="2025"/>
    <n v="9"/>
    <x v="2"/>
    <n v="75"/>
    <n v="8000"/>
    <n v="350"/>
  </r>
  <r>
    <x v="63"/>
    <n v="56637"/>
    <n v="57736"/>
    <n v="13803"/>
    <n v="802.11699999999996"/>
    <n v="7963"/>
    <n v="230046"/>
    <n v="4674.8999999999996"/>
    <n v="9215.1"/>
    <n v="4588.7"/>
    <m/>
    <m/>
    <n v="53"/>
    <n v="56"/>
    <n v="12"/>
    <n v="4.3999999999999997E-2"/>
    <n v="10"/>
    <n v="56"/>
    <n v="2.8"/>
    <n v="12.7"/>
    <n v="3.3"/>
    <n v="55"/>
    <n v="40"/>
    <n v="2025"/>
    <n v="9"/>
    <x v="2"/>
    <n v="75"/>
    <n v="8000"/>
    <n v="350"/>
  </r>
  <r>
    <x v="64"/>
    <n v="56698"/>
    <n v="57798"/>
    <n v="13813"/>
    <n v="802.11699999999996"/>
    <n v="7975"/>
    <n v="230109"/>
    <n v="4678.3"/>
    <n v="9230.1"/>
    <n v="4592.8999999999996"/>
    <m/>
    <m/>
    <n v="61"/>
    <n v="62"/>
    <n v="10"/>
    <n v="0"/>
    <n v="12"/>
    <n v="63"/>
    <n v="3.4"/>
    <n v="15"/>
    <n v="4.2"/>
    <n v="50"/>
    <n v="40"/>
    <n v="2025"/>
    <n v="10"/>
    <x v="3"/>
    <n v="75"/>
    <n v="8000"/>
    <n v="350"/>
  </r>
  <r>
    <x v="65"/>
    <n v="56762"/>
    <n v="57863"/>
    <n v="13825"/>
    <n v="804.61900000000003"/>
    <n v="7988"/>
    <n v="230174"/>
    <n v="4682.3"/>
    <n v="9245.7999999999993"/>
    <n v="4597.6000000000004"/>
    <m/>
    <m/>
    <n v="64"/>
    <n v="65"/>
    <n v="12"/>
    <n v="2.5019999999999998"/>
    <n v="13"/>
    <n v="65"/>
    <n v="4"/>
    <n v="15.7"/>
    <n v="4.7"/>
    <n v="50"/>
    <n v="40"/>
    <n v="2025"/>
    <n v="10"/>
    <x v="3"/>
    <n v="75"/>
    <n v="8000"/>
    <n v="350"/>
  </r>
  <r>
    <x v="66"/>
    <n v="56817"/>
    <n v="57920"/>
    <n v="13836"/>
    <n v="806.61"/>
    <n v="8000"/>
    <n v="230231"/>
    <n v="4686.3999999999996"/>
    <n v="9264.4"/>
    <n v="4602.8999999999996"/>
    <m/>
    <m/>
    <n v="55"/>
    <n v="57"/>
    <n v="11"/>
    <n v="1.9910000000000001"/>
    <n v="12"/>
    <n v="57"/>
    <n v="4.0999999999999996"/>
    <n v="18.600000000000001"/>
    <n v="5.3"/>
    <n v="45"/>
    <n v="40"/>
    <n v="2025"/>
    <n v="10"/>
    <x v="3"/>
    <n v="75"/>
    <n v="8000"/>
    <n v="350"/>
  </r>
  <r>
    <x v="67"/>
    <n v="56872"/>
    <n v="57977"/>
    <n v="13846"/>
    <n v="806.64499999999998"/>
    <n v="8013"/>
    <n v="230288"/>
    <n v="4690.7"/>
    <n v="9279.7000000000007"/>
    <n v="4608.3999999999996"/>
    <m/>
    <m/>
    <n v="55"/>
    <n v="57"/>
    <n v="10"/>
    <n v="3.5000000000000003E-2"/>
    <n v="13"/>
    <n v="57"/>
    <n v="4.3"/>
    <n v="15.3"/>
    <n v="5.5"/>
    <n v="40"/>
    <n v="40"/>
    <n v="2025"/>
    <n v="10"/>
    <x v="3"/>
    <n v="75"/>
    <n v="8000"/>
    <n v="350"/>
  </r>
  <r>
    <x v="68"/>
    <n v="56945"/>
    <n v="58052"/>
    <n v="13856"/>
    <n v="807.09699999999998"/>
    <n v="8018"/>
    <n v="230363"/>
    <n v="4694.6000000000004"/>
    <n v="9296.5"/>
    <n v="4613.6000000000004"/>
    <m/>
    <m/>
    <n v="73"/>
    <n v="75"/>
    <n v="10"/>
    <n v="0.45200000000000001"/>
    <n v="5"/>
    <n v="75"/>
    <n v="3.9"/>
    <n v="16.8"/>
    <n v="5.2"/>
    <n v="39"/>
    <n v="41"/>
    <n v="2025"/>
    <n v="10"/>
    <x v="3"/>
    <n v="75"/>
    <n v="8000"/>
    <n v="350"/>
  </r>
  <r>
    <x v="69"/>
    <n v="57004"/>
    <n v="58113"/>
    <n v="13866"/>
    <n v="807.80700000000002"/>
    <n v="8031"/>
    <n v="230425"/>
    <n v="4698.5"/>
    <n v="9312.5"/>
    <n v="4619.5"/>
    <m/>
    <m/>
    <n v="59"/>
    <n v="61"/>
    <n v="10"/>
    <n v="0.71"/>
    <n v="13"/>
    <n v="62"/>
    <n v="3.9"/>
    <n v="16"/>
    <n v="5.9"/>
    <n v="33"/>
    <n v="41"/>
    <n v="2025"/>
    <n v="10"/>
    <x v="3"/>
    <n v="75"/>
    <n v="8000"/>
    <n v="350"/>
  </r>
  <r>
    <x v="70"/>
    <n v="57078"/>
    <n v="58186"/>
    <n v="13875"/>
    <n v="808.03800000000001"/>
    <n v="8043"/>
    <n v="230500"/>
    <n v="4702.1000000000004"/>
    <n v="9332.2999999999993"/>
    <n v="4626.8"/>
    <m/>
    <m/>
    <n v="74"/>
    <n v="73"/>
    <n v="9"/>
    <n v="0.23100000000000001"/>
    <n v="12"/>
    <n v="75"/>
    <n v="3.6"/>
    <n v="19.8"/>
    <n v="7.3"/>
    <n v="30"/>
    <n v="41"/>
    <n v="2025"/>
    <n v="10"/>
    <x v="3"/>
    <n v="75"/>
    <n v="8000"/>
    <n v="350"/>
  </r>
  <r>
    <x v="71"/>
    <n v="57159"/>
    <n v="58269"/>
    <n v="13885"/>
    <n v="808.55600000000004"/>
    <n v="8056"/>
    <n v="230582"/>
    <n v="4706.8"/>
    <n v="9349.5"/>
    <n v="4632.8"/>
    <m/>
    <m/>
    <n v="81"/>
    <n v="83"/>
    <n v="10"/>
    <n v="0.51800000000000002"/>
    <n v="13"/>
    <n v="82"/>
    <n v="4.7"/>
    <n v="17.2"/>
    <n v="6"/>
    <n v="27"/>
    <n v="41"/>
    <n v="2025"/>
    <n v="10"/>
    <x v="3"/>
    <n v="75"/>
    <n v="8000"/>
    <n v="350"/>
  </r>
  <r>
    <x v="72"/>
    <n v="57212"/>
    <n v="58323"/>
    <n v="13904"/>
    <n v="808.77800000000002"/>
    <n v="8071"/>
    <n v="230637"/>
    <n v="4710.1000000000004"/>
    <n v="9363.2000000000007"/>
    <n v="4637.8"/>
    <m/>
    <m/>
    <n v="53"/>
    <n v="54"/>
    <n v="19"/>
    <n v="0.222"/>
    <n v="15"/>
    <n v="55"/>
    <n v="3.3"/>
    <n v="13.7"/>
    <n v="5"/>
    <n v="22"/>
    <n v="41"/>
    <n v="2025"/>
    <n v="10"/>
    <x v="3"/>
    <n v="75"/>
    <n v="8000"/>
    <n v="350"/>
  </r>
  <r>
    <x v="73"/>
    <n v="57288"/>
    <n v="58401"/>
    <n v="13916"/>
    <n v="809.37199999999996"/>
    <n v="8078"/>
    <n v="230715"/>
    <n v="4713.6000000000004"/>
    <n v="9380.1"/>
    <n v="4643.2"/>
    <m/>
    <m/>
    <n v="76"/>
    <n v="78"/>
    <n v="12"/>
    <n v="0.59399999999999997"/>
    <n v="7"/>
    <n v="78"/>
    <n v="3.5"/>
    <n v="16.899999999999999"/>
    <n v="5.4"/>
    <n v="20"/>
    <n v="42"/>
    <n v="2025"/>
    <n v="10"/>
    <x v="3"/>
    <n v="75"/>
    <n v="8000"/>
    <n v="350"/>
  </r>
  <r>
    <x v="74"/>
    <n v="57345"/>
    <n v="58459"/>
    <n v="13927"/>
    <n v="810.76700000000005"/>
    <n v="8084"/>
    <n v="230774"/>
    <n v="4717.8999999999996"/>
    <n v="9395.9"/>
    <n v="4649"/>
    <m/>
    <m/>
    <n v="57"/>
    <n v="58"/>
    <n v="11"/>
    <n v="1.395"/>
    <n v="6"/>
    <n v="59"/>
    <n v="4.3"/>
    <n v="15.8"/>
    <n v="5.8"/>
    <n v="19"/>
    <n v="42"/>
    <n v="2025"/>
    <n v="10"/>
    <x v="3"/>
    <n v="75"/>
    <n v="8000"/>
    <n v="350"/>
  </r>
  <r>
    <x v="75"/>
    <n v="57418"/>
    <n v="58533"/>
    <n v="13936"/>
    <n v="811.03099999999995"/>
    <n v="8092"/>
    <n v="230847"/>
    <n v="4722.7"/>
    <n v="9414.7000000000007"/>
    <n v="4655.7"/>
    <m/>
    <m/>
    <n v="73"/>
    <n v="74"/>
    <n v="9"/>
    <n v="0.26400000000000001"/>
    <n v="8"/>
    <n v="73"/>
    <n v="4.8"/>
    <n v="18.8"/>
    <n v="6.7"/>
    <n v="75"/>
    <n v="42"/>
    <n v="2025"/>
    <n v="10"/>
    <x v="3"/>
    <n v="75"/>
    <n v="8000"/>
    <n v="350"/>
  </r>
  <r>
    <x v="76"/>
    <n v="57476"/>
    <n v="58592"/>
    <n v="13946"/>
    <n v="811.73599999999999"/>
    <n v="8099"/>
    <n v="230906"/>
    <n v="4726.8999999999996"/>
    <n v="9432.7000000000007"/>
    <n v="4662.5"/>
    <m/>
    <m/>
    <n v="58"/>
    <n v="59"/>
    <n v="10"/>
    <n v="0.70499999999999996"/>
    <n v="7"/>
    <n v="59"/>
    <n v="4.2"/>
    <n v="18"/>
    <n v="6.8"/>
    <n v="70"/>
    <n v="42"/>
    <n v="2025"/>
    <n v="10"/>
    <x v="3"/>
    <n v="75"/>
    <n v="8000"/>
    <n v="350"/>
  </r>
  <r>
    <x v="77"/>
    <n v="57540"/>
    <n v="58657"/>
    <n v="13955"/>
    <n v="812.03700000000003"/>
    <n v="8108"/>
    <n v="230970"/>
    <n v="4730.7"/>
    <n v="9447.7000000000007"/>
    <n v="4668.6000000000004"/>
    <m/>
    <m/>
    <n v="64"/>
    <n v="65"/>
    <n v="9"/>
    <n v="0.30099999999999999"/>
    <n v="9"/>
    <n v="64"/>
    <n v="3.8"/>
    <n v="15"/>
    <n v="6.1"/>
    <n v="69"/>
    <n v="42"/>
    <n v="2025"/>
    <n v="10"/>
    <x v="3"/>
    <n v="75"/>
    <n v="8000"/>
    <n v="350"/>
  </r>
  <r>
    <x v="78"/>
    <n v="57575"/>
    <n v="58693"/>
    <n v="13969"/>
    <n v="812.15099999999995"/>
    <n v="8113"/>
    <n v="231007"/>
    <n v="4733.2"/>
    <n v="9458.2000000000007"/>
    <n v="4673"/>
    <m/>
    <m/>
    <n v="35"/>
    <n v="36"/>
    <n v="14"/>
    <n v="0.114"/>
    <n v="5"/>
    <n v="37"/>
    <n v="2.5"/>
    <n v="10.5"/>
    <n v="4.4000000000000004"/>
    <n v="60"/>
    <n v="42"/>
    <n v="2025"/>
    <n v="10"/>
    <x v="3"/>
    <n v="75"/>
    <n v="8000"/>
    <n v="350"/>
  </r>
  <r>
    <x v="79"/>
    <n v="57654"/>
    <n v="58773"/>
    <n v="13986"/>
    <n v="812.49800000000005"/>
    <n v="8116"/>
    <n v="231087"/>
    <n v="4736.6000000000004"/>
    <n v="9474.2000000000007"/>
    <n v="4678.3999999999996"/>
    <m/>
    <m/>
    <n v="79"/>
    <n v="80"/>
    <n v="17"/>
    <n v="0.34699999999999998"/>
    <n v="3"/>
    <n v="80"/>
    <n v="3.4"/>
    <n v="16"/>
    <n v="5.4"/>
    <n v="60"/>
    <n v="43"/>
    <n v="2025"/>
    <n v="10"/>
    <x v="3"/>
    <n v="75"/>
    <n v="8000"/>
    <n v="350"/>
  </r>
  <r>
    <x v="80"/>
    <n v="57716"/>
    <n v="58836"/>
    <n v="13996"/>
    <n v="812.96199999999999"/>
    <n v="8129"/>
    <n v="231150"/>
    <n v="4740.5"/>
    <n v="9488.6"/>
    <n v="4684"/>
    <m/>
    <m/>
    <n v="62"/>
    <n v="63"/>
    <n v="10"/>
    <n v="0.46400000000000002"/>
    <n v="13"/>
    <n v="63"/>
    <n v="3.9"/>
    <n v="14.4"/>
    <n v="5.6"/>
    <n v="56"/>
    <n v="43"/>
    <n v="2025"/>
    <n v="10"/>
    <x v="3"/>
    <n v="75"/>
    <n v="8000"/>
    <n v="350"/>
  </r>
  <r>
    <x v="81"/>
    <n v="57797"/>
    <n v="58918"/>
    <n v="14007"/>
    <n v="813.27099999999996"/>
    <n v="8144"/>
    <n v="231231"/>
    <n v="4744.5"/>
    <n v="9504.7000000000007"/>
    <n v="4690.3"/>
    <m/>
    <m/>
    <n v="81"/>
    <n v="82"/>
    <n v="11"/>
    <n v="0.309"/>
    <n v="15"/>
    <n v="81"/>
    <n v="4"/>
    <n v="16.100000000000001"/>
    <n v="6.3"/>
    <n v="50"/>
    <n v="43"/>
    <n v="2025"/>
    <n v="10"/>
    <x v="3"/>
    <n v="75"/>
    <n v="8000"/>
    <n v="350"/>
  </r>
  <r>
    <x v="82"/>
    <n v="57817"/>
    <n v="58951"/>
    <n v="14017"/>
    <n v="813.66399999999999"/>
    <n v="8153"/>
    <n v="231259"/>
    <n v="4748.3999999999996"/>
    <n v="9518.7000000000007"/>
    <n v="4695.8999999999996"/>
    <m/>
    <m/>
    <n v="20"/>
    <n v="33"/>
    <n v="10"/>
    <n v="0.39300000000000002"/>
    <n v="9"/>
    <n v="28"/>
    <n v="3.9"/>
    <n v="14"/>
    <n v="5.6"/>
    <n v="45"/>
    <n v="43"/>
    <n v="2025"/>
    <n v="10"/>
    <x v="3"/>
    <n v="75"/>
    <n v="8000"/>
    <n v="350"/>
  </r>
  <r>
    <x v="83"/>
    <n v="57887"/>
    <n v="59023"/>
    <n v="14027"/>
    <n v="813.79399999999998"/>
    <n v="8166"/>
    <n v="231330"/>
    <n v="4752.7"/>
    <n v="9535.2000000000007"/>
    <n v="4702.1000000000004"/>
    <m/>
    <m/>
    <n v="70"/>
    <n v="72"/>
    <n v="10"/>
    <n v="0.13"/>
    <n v="13"/>
    <n v="71"/>
    <n v="4.3"/>
    <n v="16.5"/>
    <n v="6.2"/>
    <n v="41"/>
    <n v="43"/>
    <n v="2025"/>
    <n v="10"/>
    <x v="3"/>
    <n v="75"/>
    <n v="8000"/>
    <n v="350"/>
  </r>
  <r>
    <x v="84"/>
    <n v="57950"/>
    <n v="59087"/>
    <n v="14039"/>
    <n v="814.19"/>
    <n v="8178"/>
    <n v="231394"/>
    <n v="4756.8999999999996"/>
    <n v="9552.7999999999993"/>
    <n v="4708.5"/>
    <m/>
    <m/>
    <n v="63"/>
    <n v="64"/>
    <n v="12"/>
    <n v="0.39600000000000002"/>
    <n v="12"/>
    <n v="64"/>
    <n v="4.2"/>
    <n v="17.600000000000001"/>
    <n v="6.4"/>
    <n v="38"/>
    <n v="43"/>
    <n v="2025"/>
    <n v="10"/>
    <x v="3"/>
    <n v="75"/>
    <n v="8000"/>
    <n v="350"/>
  </r>
  <r>
    <x v="85"/>
    <n v="58022"/>
    <n v="59160"/>
    <n v="14050"/>
    <n v="814.577"/>
    <n v="8181"/>
    <n v="231467"/>
    <n v="4760.1000000000004"/>
    <n v="9570.1"/>
    <n v="4714.5"/>
    <m/>
    <m/>
    <n v="72"/>
    <n v="73"/>
    <n v="11"/>
    <n v="0.38700000000000001"/>
    <n v="3"/>
    <n v="73"/>
    <n v="3.2"/>
    <n v="17.3"/>
    <n v="6"/>
    <n v="31"/>
    <n v="44"/>
    <n v="2025"/>
    <n v="10"/>
    <x v="3"/>
    <n v="75"/>
    <n v="8000"/>
    <n v="350"/>
  </r>
  <r>
    <x v="86"/>
    <n v="58078"/>
    <n v="59217"/>
    <n v="14061"/>
    <n v="815.34199999999998"/>
    <n v="8192"/>
    <n v="231523"/>
    <n v="4764.5"/>
    <n v="9586.1"/>
    <n v="4720.7"/>
    <m/>
    <m/>
    <n v="56"/>
    <n v="57"/>
    <n v="11"/>
    <n v="0.76500000000000001"/>
    <n v="11"/>
    <n v="56"/>
    <n v="4.4000000000000004"/>
    <n v="16"/>
    <n v="6.2"/>
    <n v="30"/>
    <n v="44"/>
    <n v="2025"/>
    <n v="10"/>
    <x v="3"/>
    <n v="75"/>
    <n v="8000"/>
    <n v="350"/>
  </r>
  <r>
    <x v="87"/>
    <n v="58161"/>
    <n v="59301"/>
    <n v="14073"/>
    <n v="817.28399999999999"/>
    <n v="8204"/>
    <n v="231607"/>
    <n v="4768.3999999999996"/>
    <n v="9603"/>
    <n v="4727.1000000000004"/>
    <m/>
    <m/>
    <n v="83"/>
    <n v="84"/>
    <n v="12"/>
    <n v="1.9419999999999999"/>
    <n v="12"/>
    <n v="84"/>
    <n v="3.9"/>
    <n v="16.899999999999999"/>
    <n v="6.4"/>
    <n v="76"/>
    <n v="44"/>
    <n v="2025"/>
    <n v="10"/>
    <x v="3"/>
    <n v="75"/>
    <n v="8000"/>
    <n v="350"/>
  </r>
  <r>
    <x v="88"/>
    <n v="58189"/>
    <n v="59349"/>
    <n v="14085"/>
    <n v="817.48400000000004"/>
    <n v="8216"/>
    <n v="231643"/>
    <n v="4772.8"/>
    <n v="9621.5"/>
    <n v="4734.1000000000004"/>
    <m/>
    <m/>
    <n v="28"/>
    <n v="48"/>
    <n v="12"/>
    <n v="0.2"/>
    <n v="12"/>
    <n v="36"/>
    <n v="4.4000000000000004"/>
    <n v="18.5"/>
    <n v="7"/>
    <n v="70"/>
    <n v="44"/>
    <n v="2025"/>
    <n v="10"/>
    <x v="3"/>
    <n v="75"/>
    <n v="8000"/>
    <n v="350"/>
  </r>
  <r>
    <x v="89"/>
    <n v="58277"/>
    <n v="59437"/>
    <n v="14096"/>
    <n v="817.82799999999997"/>
    <n v="8228"/>
    <n v="231729"/>
    <n v="4777.3999999999996"/>
    <n v="9638.6"/>
    <n v="4740.7"/>
    <m/>
    <m/>
    <n v="88"/>
    <n v="88"/>
    <n v="11"/>
    <n v="0.34399999999999997"/>
    <n v="12"/>
    <n v="86"/>
    <n v="4.5999999999999996"/>
    <n v="17.100000000000001"/>
    <n v="6.6"/>
    <n v="69"/>
    <n v="44"/>
    <n v="2025"/>
    <n v="10"/>
    <x v="3"/>
    <n v="75"/>
    <n v="8000"/>
    <n v="350"/>
  </r>
  <r>
    <x v="90"/>
    <n v="58331"/>
    <n v="59486"/>
    <n v="14107"/>
    <n v="818.904"/>
    <n v="8238"/>
    <n v="231782"/>
    <n v="4780.8"/>
    <n v="9659.1"/>
    <n v="4745.7"/>
    <m/>
    <m/>
    <n v="54"/>
    <n v="49"/>
    <n v="11"/>
    <n v="1.0760000000000001"/>
    <n v="10"/>
    <n v="53"/>
    <n v="3.4"/>
    <n v="20.5"/>
    <n v="5"/>
    <n v="65"/>
    <n v="45"/>
    <n v="2025"/>
    <n v="11"/>
    <x v="4"/>
    <n v="75"/>
    <n v="8000"/>
    <n v="350"/>
  </r>
  <r>
    <x v="91"/>
    <n v="58392"/>
    <n v="59549"/>
    <n v="14117"/>
    <n v="819.24699999999996"/>
    <n v="8250"/>
    <n v="231843"/>
    <n v="4784.2"/>
    <n v="9671.9"/>
    <n v="4750.8"/>
    <m/>
    <m/>
    <n v="61"/>
    <n v="63"/>
    <n v="10"/>
    <n v="0.34300000000000003"/>
    <n v="12"/>
    <n v="61"/>
    <n v="3.4"/>
    <n v="12.8"/>
    <n v="5.0999999999999996"/>
    <n v="61"/>
    <n v="45"/>
    <n v="2025"/>
    <n v="11"/>
    <x v="4"/>
    <n v="75"/>
    <n v="8000"/>
    <n v="350"/>
  </r>
  <r>
    <x v="92"/>
    <n v="58453"/>
    <n v="59611"/>
    <n v="14128"/>
    <n v="819.67200000000003"/>
    <n v="8258"/>
    <n v="231904"/>
    <n v="4788.8999999999996"/>
    <n v="9688.5"/>
    <n v="4756.8999999999996"/>
    <m/>
    <m/>
    <n v="61"/>
    <n v="62"/>
    <n v="11"/>
    <n v="0.42499999999999999"/>
    <n v="8"/>
    <n v="61"/>
    <n v="4.7"/>
    <n v="16.600000000000001"/>
    <n v="6.1"/>
    <n v="57"/>
    <n v="45"/>
    <n v="2025"/>
    <n v="11"/>
    <x v="4"/>
    <n v="75"/>
    <n v="8000"/>
    <n v="350"/>
  </r>
  <r>
    <x v="93"/>
    <n v="58504"/>
    <n v="59665"/>
    <n v="14139"/>
    <n v="820.98400000000004"/>
    <n v="8267"/>
    <n v="231956"/>
    <n v="4792.8"/>
    <n v="9705.2999999999993"/>
    <n v="4762.2"/>
    <m/>
    <m/>
    <n v="51"/>
    <n v="54"/>
    <n v="11"/>
    <n v="1.3120000000000001"/>
    <n v="9"/>
    <n v="52"/>
    <n v="3.9"/>
    <n v="16.8"/>
    <n v="5.3"/>
    <n v="50"/>
    <n v="45"/>
    <n v="2025"/>
    <n v="11"/>
    <x v="4"/>
    <n v="75"/>
    <n v="8000"/>
    <n v="350"/>
  </r>
  <r>
    <x v="94"/>
    <n v="58592"/>
    <n v="59755"/>
    <n v="14149"/>
    <n v="821.34799999999996"/>
    <n v="8277"/>
    <n v="232044"/>
    <n v="4796.8"/>
    <n v="9721.6"/>
    <n v="4767.6000000000004"/>
    <m/>
    <m/>
    <n v="88"/>
    <n v="90"/>
    <n v="10"/>
    <n v="0.36399999999999999"/>
    <n v="10"/>
    <n v="88"/>
    <n v="4"/>
    <n v="16.3"/>
    <n v="5.4"/>
    <n v="47"/>
    <n v="45"/>
    <n v="2025"/>
    <n v="11"/>
    <x v="4"/>
    <n v="75"/>
    <n v="8000"/>
    <n v="350"/>
  </r>
  <r>
    <x v="95"/>
    <n v="58654"/>
    <n v="59818"/>
    <n v="14159"/>
    <n v="821.51800000000003"/>
    <n v="8288"/>
    <n v="232105"/>
    <n v="4801.5"/>
    <n v="9738.9"/>
    <n v="4774"/>
    <m/>
    <m/>
    <n v="62"/>
    <n v="63"/>
    <n v="10"/>
    <n v="0.17"/>
    <n v="11"/>
    <n v="61"/>
    <n v="4.7"/>
    <n v="17.3"/>
    <n v="6.4"/>
    <n v="42"/>
    <n v="45"/>
    <n v="2025"/>
    <n v="11"/>
    <x v="4"/>
    <n v="75"/>
    <n v="8000"/>
    <n v="350"/>
  </r>
  <r>
    <x v="96"/>
    <n v="58703"/>
    <n v="59869"/>
    <n v="14169"/>
    <n v="821.86800000000005"/>
    <n v="8295"/>
    <n v="232154"/>
    <n v="4805.8"/>
    <n v="9755.5"/>
    <n v="4779.7"/>
    <m/>
    <m/>
    <n v="49"/>
    <n v="51"/>
    <n v="10"/>
    <n v="0.35"/>
    <n v="7"/>
    <n v="49"/>
    <n v="4.3"/>
    <n v="16.600000000000001"/>
    <n v="5.7"/>
    <n v="39"/>
    <n v="45"/>
    <n v="2025"/>
    <n v="11"/>
    <x v="4"/>
    <n v="75"/>
    <n v="8000"/>
    <n v="350"/>
  </r>
  <r>
    <x v="97"/>
    <n v="58731"/>
    <n v="59896"/>
    <n v="14173"/>
    <n v="821.86800000000005"/>
    <n v="8296"/>
    <n v="232182"/>
    <n v="4805.8"/>
    <n v="9764.9"/>
    <n v="4781.2"/>
    <m/>
    <m/>
    <n v="28"/>
    <n v="27"/>
    <n v="4"/>
    <n v="0"/>
    <n v="1"/>
    <n v="28"/>
    <n v="0"/>
    <n v="9.4"/>
    <n v="1.5"/>
    <n v="39"/>
    <n v="46"/>
    <n v="2025"/>
    <n v="11"/>
    <x v="4"/>
    <n v="75"/>
    <n v="8000"/>
    <n v="350"/>
  </r>
  <r>
    <x v="98"/>
    <n v="58793"/>
    <n v="59960"/>
    <n v="14185"/>
    <n v="823.072"/>
    <n v="8306"/>
    <n v="232245"/>
    <n v="4809.1000000000004"/>
    <n v="9779"/>
    <n v="4786.1000000000004"/>
    <m/>
    <m/>
    <n v="62"/>
    <n v="64"/>
    <n v="12"/>
    <n v="1.204"/>
    <n v="10"/>
    <n v="63"/>
    <n v="3.3"/>
    <n v="14.1"/>
    <n v="4.9000000000000004"/>
    <n v="35"/>
    <n v="46"/>
    <n v="2025"/>
    <n v="11"/>
    <x v="4"/>
    <n v="75"/>
    <n v="8000"/>
    <n v="350"/>
  </r>
  <r>
    <x v="99"/>
    <n v="58860"/>
    <n v="60029"/>
    <n v="14196"/>
    <n v="823.43899999999996"/>
    <n v="8317"/>
    <n v="232311"/>
    <n v="4813.3999999999996"/>
    <n v="9795.6"/>
    <n v="4791.8999999999996"/>
    <m/>
    <m/>
    <n v="67"/>
    <n v="69"/>
    <n v="11"/>
    <n v="0.36699999999999999"/>
    <n v="11"/>
    <n v="66"/>
    <n v="4.3"/>
    <n v="16.600000000000001"/>
    <n v="5.8"/>
    <n v="86"/>
    <n v="46"/>
    <n v="2025"/>
    <n v="11"/>
    <x v="4"/>
    <n v="75"/>
    <n v="8000"/>
    <n v="350"/>
  </r>
  <r>
    <x v="100"/>
    <n v="58919"/>
    <n v="60090"/>
    <n v="14207"/>
    <n v="823.77700000000004"/>
    <n v="8328"/>
    <n v="232371"/>
    <n v="4818.6000000000004"/>
    <n v="9812"/>
    <n v="4798.2"/>
    <m/>
    <m/>
    <n v="59"/>
    <n v="61"/>
    <n v="11"/>
    <n v="0.33800000000000002"/>
    <n v="11"/>
    <n v="60"/>
    <n v="5.2"/>
    <n v="16.399999999999999"/>
    <n v="6.3"/>
    <n v="75"/>
    <n v="46"/>
    <n v="2025"/>
    <n v="11"/>
    <x v="4"/>
    <n v="75"/>
    <n v="8000"/>
    <n v="350"/>
  </r>
  <r>
    <x v="101"/>
    <n v="58979"/>
    <n v="60152"/>
    <n v="14219"/>
    <n v="825.20600000000002"/>
    <n v="8337"/>
    <n v="232431"/>
    <n v="4823.7"/>
    <n v="9829.4"/>
    <n v="4805.3"/>
    <m/>
    <m/>
    <n v="60"/>
    <n v="62"/>
    <n v="12"/>
    <n v="1.429"/>
    <n v="9"/>
    <n v="60"/>
    <n v="5.0999999999999996"/>
    <n v="17.399999999999999"/>
    <n v="7.1"/>
    <n v="70"/>
    <n v="46"/>
    <n v="2025"/>
    <n v="11"/>
    <x v="4"/>
    <n v="75"/>
    <n v="8000"/>
    <n v="350"/>
  </r>
  <r>
    <x v="102"/>
    <n v="59035"/>
    <n v="60209"/>
    <n v="14229"/>
    <n v="825.58399999999995"/>
    <n v="8346"/>
    <n v="232486"/>
    <n v="4827.1000000000004"/>
    <n v="9843"/>
    <n v="4810.2"/>
    <m/>
    <m/>
    <n v="56"/>
    <n v="57"/>
    <n v="10"/>
    <n v="0.378"/>
    <n v="9"/>
    <n v="55"/>
    <n v="3.4"/>
    <n v="13.6"/>
    <n v="4.9000000000000004"/>
    <n v="65"/>
    <n v="46"/>
    <n v="2025"/>
    <n v="11"/>
    <x v="4"/>
    <n v="75"/>
    <n v="8000"/>
    <n v="350"/>
  </r>
  <r>
    <x v="103"/>
    <n v="59078"/>
    <n v="60254"/>
    <n v="14240"/>
    <n v="827.09100000000001"/>
    <n v="8348"/>
    <n v="232530"/>
    <n v="4829.5"/>
    <n v="9852.1"/>
    <n v="4813.3999999999996"/>
    <m/>
    <m/>
    <n v="43"/>
    <n v="45"/>
    <n v="11"/>
    <n v="1.5069999999999999"/>
    <n v="2"/>
    <n v="44"/>
    <n v="2.4"/>
    <n v="9.1"/>
    <n v="3.2"/>
    <n v="60"/>
    <n v="46"/>
    <n v="2025"/>
    <n v="11"/>
    <x v="4"/>
    <n v="75"/>
    <n v="8000"/>
    <n v="350"/>
  </r>
  <r>
    <x v="104"/>
    <n v="59102"/>
    <n v="60278"/>
    <n v="14243"/>
    <n v="827.16200000000003"/>
    <n v="8350"/>
    <n v="232554"/>
    <n v="4829.5"/>
    <n v="9857.6"/>
    <n v="4814.3"/>
    <m/>
    <m/>
    <n v="24"/>
    <n v="24"/>
    <n v="3"/>
    <n v="7.0999999999999994E-2"/>
    <n v="2"/>
    <n v="24"/>
    <n v="0"/>
    <n v="5.5"/>
    <n v="0.9"/>
    <n v="59"/>
    <n v="47"/>
    <n v="2025"/>
    <n v="11"/>
    <x v="4"/>
    <n v="75"/>
    <n v="8000"/>
    <n v="350"/>
  </r>
  <r>
    <x v="105"/>
    <n v="59166"/>
    <n v="60345"/>
    <n v="14255"/>
    <n v="827.42600000000004"/>
    <n v="8363"/>
    <n v="232619"/>
    <n v="4833.7"/>
    <n v="9872.5"/>
    <n v="4818.8"/>
    <m/>
    <m/>
    <n v="64"/>
    <n v="67"/>
    <n v="12"/>
    <n v="0.26400000000000001"/>
    <n v="13"/>
    <n v="65"/>
    <n v="4.2"/>
    <n v="14.9"/>
    <n v="4.5"/>
    <n v="55"/>
    <n v="47"/>
    <n v="2025"/>
    <n v="11"/>
    <x v="4"/>
    <n v="75"/>
    <n v="8000"/>
    <n v="350"/>
  </r>
  <r>
    <x v="106"/>
    <n v="59249"/>
    <n v="60429"/>
    <n v="14266"/>
    <n v="827.79700000000003"/>
    <n v="8376"/>
    <n v="232701"/>
    <n v="4838.1000000000004"/>
    <n v="9890.5"/>
    <n v="4824.8"/>
    <m/>
    <m/>
    <n v="83"/>
    <n v="84"/>
    <n v="11"/>
    <n v="0.371"/>
    <n v="13"/>
    <n v="82"/>
    <n v="4.4000000000000004"/>
    <n v="18"/>
    <n v="6"/>
    <n v="51"/>
    <n v="47"/>
    <n v="2025"/>
    <n v="11"/>
    <x v="4"/>
    <n v="75"/>
    <n v="8000"/>
    <n v="350"/>
  </r>
  <r>
    <x v="107"/>
    <n v="59320"/>
    <n v="60503"/>
    <n v="14277"/>
    <n v="828.74599999999998"/>
    <n v="8389"/>
    <n v="232773"/>
    <n v="4842"/>
    <n v="9905.6"/>
    <n v="4830"/>
    <m/>
    <m/>
    <n v="71"/>
    <n v="74"/>
    <n v="11"/>
    <n v="0.94899999999999995"/>
    <n v="13"/>
    <n v="72"/>
    <n v="3.9"/>
    <n v="15.1"/>
    <n v="5.2"/>
    <n v="48"/>
    <n v="47"/>
    <n v="2025"/>
    <n v="11"/>
    <x v="4"/>
    <n v="75"/>
    <n v="8000"/>
    <n v="350"/>
  </r>
  <r>
    <x v="108"/>
    <n v="59386"/>
    <n v="60570"/>
    <n v="14289"/>
    <n v="829.16399999999999"/>
    <n v="8401"/>
    <n v="232838"/>
    <n v="4846.6000000000004"/>
    <n v="9922.5"/>
    <n v="4835.5"/>
    <m/>
    <m/>
    <n v="66"/>
    <n v="67"/>
    <n v="12"/>
    <n v="0.41799999999999998"/>
    <n v="12"/>
    <n v="65"/>
    <n v="4.5999999999999996"/>
    <n v="16.899999999999999"/>
    <n v="5.5"/>
    <n v="42"/>
    <n v="47"/>
    <n v="2025"/>
    <n v="11"/>
    <x v="4"/>
    <n v="75"/>
    <n v="8000"/>
    <n v="350"/>
  </r>
  <r>
    <x v="109"/>
    <n v="59443"/>
    <n v="60629"/>
    <n v="14302"/>
    <n v="830.64700000000005"/>
    <n v="8410"/>
    <n v="232897"/>
    <n v="4850.8"/>
    <n v="9936"/>
    <n v="4840.7"/>
    <m/>
    <m/>
    <n v="57"/>
    <n v="59"/>
    <n v="13"/>
    <n v="1.4830000000000001"/>
    <n v="9"/>
    <n v="59"/>
    <n v="4.2"/>
    <n v="13.5"/>
    <n v="5.2"/>
    <n v="39"/>
    <n v="47"/>
    <n v="2025"/>
    <n v="11"/>
    <x v="4"/>
    <n v="75"/>
    <n v="8000"/>
    <n v="350"/>
  </r>
  <r>
    <x v="110"/>
    <n v="59502"/>
    <n v="60689"/>
    <n v="14316"/>
    <n v="831.36099999999999"/>
    <n v="8412"/>
    <n v="232956"/>
    <n v="4854.3999999999996"/>
    <n v="9956.5"/>
    <n v="4846.3"/>
    <m/>
    <m/>
    <n v="59"/>
    <n v="60"/>
    <n v="14"/>
    <n v="0.71399999999999997"/>
    <n v="2"/>
    <n v="59"/>
    <n v="3.6"/>
    <n v="20.5"/>
    <n v="5.6"/>
    <n v="35"/>
    <n v="48"/>
    <n v="2025"/>
    <n v="11"/>
    <x v="4"/>
    <n v="75"/>
    <n v="8000"/>
    <n v="350"/>
  </r>
  <r>
    <x v="111"/>
    <n v="59568"/>
    <n v="60756"/>
    <n v="14327"/>
    <n v="831.36099999999999"/>
    <n v="8420"/>
    <n v="233023"/>
    <n v="4857.6000000000004"/>
    <n v="9968.4"/>
    <n v="4850.3"/>
    <m/>
    <m/>
    <n v="66"/>
    <n v="67"/>
    <n v="11"/>
    <n v="0"/>
    <n v="8"/>
    <n v="67"/>
    <n v="3.2"/>
    <n v="11.9"/>
    <n v="4"/>
    <n v="33"/>
    <n v="48"/>
    <n v="2025"/>
    <n v="11"/>
    <x v="4"/>
    <n v="75"/>
    <n v="8000"/>
    <n v="350"/>
  </r>
  <r>
    <x v="112"/>
    <n v="59638"/>
    <n v="60828"/>
    <n v="14338"/>
    <n v="831.74"/>
    <n v="8424"/>
    <n v="233094"/>
    <n v="4861.3999999999996"/>
    <n v="9983.2000000000007"/>
    <n v="4855.3999999999996"/>
    <m/>
    <m/>
    <n v="70"/>
    <n v="72"/>
    <n v="11"/>
    <n v="0.379"/>
    <n v="4"/>
    <n v="71"/>
    <n v="3.8"/>
    <n v="14.8"/>
    <n v="5.0999999999999996"/>
    <n v="78"/>
    <n v="48"/>
    <n v="2025"/>
    <n v="11"/>
    <x v="4"/>
    <n v="75"/>
    <n v="8000"/>
    <n v="350"/>
  </r>
  <r>
    <x v="113"/>
    <n v="59697"/>
    <n v="60889"/>
    <n v="14349"/>
    <n v="832.12300000000005"/>
    <n v="8430"/>
    <n v="233154"/>
    <n v="4865.5"/>
    <n v="9998.4"/>
    <n v="4860.5"/>
    <m/>
    <m/>
    <n v="59"/>
    <n v="61"/>
    <n v="11"/>
    <n v="0.38300000000000001"/>
    <n v="6"/>
    <n v="60"/>
    <n v="4.0999999999999996"/>
    <n v="15.2"/>
    <n v="5.0999999999999996"/>
    <n v="75"/>
    <n v="48"/>
    <n v="2025"/>
    <n v="11"/>
    <x v="4"/>
    <n v="75"/>
    <n v="8000"/>
    <n v="350"/>
  </r>
  <r>
    <x v="114"/>
    <n v="59754"/>
    <n v="60947"/>
    <n v="14359"/>
    <n v="832.46799999999996"/>
    <n v="8439"/>
    <n v="233213"/>
    <n v="4869.5"/>
    <n v="13"/>
    <n v="4865.3999999999996"/>
    <m/>
    <m/>
    <n v="57"/>
    <n v="58"/>
    <n v="10"/>
    <n v="0.34499999999999997"/>
    <n v="9"/>
    <n v="59"/>
    <n v="4"/>
    <n v="0"/>
    <n v="4.9000000000000004"/>
    <n v="73"/>
    <n v="48"/>
    <n v="2025"/>
    <n v="11"/>
    <x v="4"/>
    <n v="75"/>
    <n v="8000"/>
    <n v="350"/>
  </r>
  <r>
    <x v="115"/>
    <n v="59816"/>
    <n v="61009"/>
    <n v="14369"/>
    <n v="832.87199999999996"/>
    <n v="8447"/>
    <n v="233275"/>
    <n v="4872.8"/>
    <n v="27.7"/>
    <n v="4871.2"/>
    <m/>
    <m/>
    <n v="62"/>
    <n v="62"/>
    <n v="10"/>
    <n v="0.40400000000000003"/>
    <n v="8"/>
    <n v="62"/>
    <n v="3.3"/>
    <n v="14.7"/>
    <n v="5.8"/>
    <n v="68"/>
    <n v="48"/>
    <n v="2025"/>
    <n v="11"/>
    <x v="4"/>
    <n v="75"/>
    <n v="8000"/>
    <n v="350"/>
  </r>
  <r>
    <x v="116"/>
    <n v="59866"/>
    <n v="61060"/>
    <n v="14380"/>
    <n v="833.34"/>
    <n v="8448"/>
    <n v="233326"/>
    <n v="4877.3999999999996"/>
    <n v="45.93"/>
    <n v="4877.1000000000004"/>
    <m/>
    <m/>
    <n v="50"/>
    <n v="51"/>
    <n v="11"/>
    <n v="0.46800000000000003"/>
    <n v="1"/>
    <n v="51"/>
    <n v="4.5999999999999996"/>
    <n v="18.23"/>
    <n v="5.9"/>
    <n v="67"/>
    <n v="49"/>
    <n v="2025"/>
    <n v="12"/>
    <x v="5"/>
    <n v="75"/>
    <n v="8000"/>
    <n v="350"/>
  </r>
  <r>
    <x v="117"/>
    <n v="59927"/>
    <n v="61122"/>
    <n v="14390"/>
    <n v="833.38400000000001"/>
    <n v="8456"/>
    <n v="233388"/>
    <n v="4880.8"/>
    <n v="59.4"/>
    <n v="4882.2"/>
    <m/>
    <m/>
    <n v="61"/>
    <n v="62"/>
    <n v="10"/>
    <n v="4.3999999999999997E-2"/>
    <n v="8"/>
    <n v="62"/>
    <n v="3.4"/>
    <n v="13.47"/>
    <n v="5.0999999999999996"/>
    <n v="62"/>
    <n v="49"/>
    <n v="2025"/>
    <n v="12"/>
    <x v="5"/>
    <n v="75"/>
    <n v="8000"/>
    <n v="350"/>
  </r>
  <r>
    <x v="118"/>
    <n v="59997"/>
    <n v="61194"/>
    <n v="14400"/>
    <n v="834.17200000000003"/>
    <n v="8465"/>
    <n v="233460"/>
    <n v="4885.2"/>
    <n v="76.5"/>
    <n v="4888.3999999999996"/>
    <m/>
    <m/>
    <n v="70"/>
    <n v="72"/>
    <n v="10"/>
    <n v="0.78800000000000003"/>
    <n v="9"/>
    <n v="72"/>
    <n v="4.4000000000000004"/>
    <n v="17.100000000000001"/>
    <n v="6.2"/>
    <n v="59"/>
    <n v="49"/>
    <n v="2025"/>
    <n v="12"/>
    <x v="5"/>
    <n v="75"/>
    <n v="8000"/>
    <n v="350"/>
  </r>
  <r>
    <x v="119"/>
    <n v="60062"/>
    <n v="61260"/>
    <n v="14412"/>
    <n v="834.66099999999994"/>
    <n v="8476"/>
    <n v="233526"/>
    <n v="4889.8"/>
    <n v="92.4"/>
    <n v="4893.5"/>
    <m/>
    <m/>
    <n v="65"/>
    <n v="66"/>
    <n v="12"/>
    <n v="0.48899999999999999"/>
    <n v="11"/>
    <n v="66"/>
    <n v="4.5999999999999996"/>
    <n v="15.9"/>
    <n v="5.0999999999999996"/>
    <n v="55"/>
    <n v="49"/>
    <n v="2025"/>
    <n v="12"/>
    <x v="5"/>
    <n v="75"/>
    <n v="8000"/>
    <n v="350"/>
  </r>
  <r>
    <x v="120"/>
    <n v="60127"/>
    <n v="61326"/>
    <n v="14421"/>
    <n v="834.66099999999994"/>
    <n v="8485"/>
    <n v="233592"/>
    <n v="4894.3"/>
    <n v="108.8"/>
    <n v="4898.6000000000004"/>
    <m/>
    <m/>
    <n v="65"/>
    <n v="66"/>
    <n v="9"/>
    <n v="0"/>
    <n v="9"/>
    <n v="66"/>
    <n v="4.5"/>
    <n v="16.399999999999999"/>
    <n v="5.0999999999999996"/>
    <n v="50"/>
    <n v="49"/>
    <n v="2025"/>
    <n v="12"/>
    <x v="5"/>
    <n v="75"/>
    <n v="8000"/>
    <n v="350"/>
  </r>
  <r>
    <x v="121"/>
    <n v="60180"/>
    <n v="61380"/>
    <n v="14431"/>
    <n v="834.98"/>
    <n v="8495"/>
    <n v="233647"/>
    <n v="4897.6000000000004"/>
    <n v="122.9"/>
    <n v="4903.7"/>
    <m/>
    <m/>
    <n v="53"/>
    <n v="54"/>
    <n v="10"/>
    <n v="0.31900000000000001"/>
    <n v="10"/>
    <n v="55"/>
    <n v="3.3"/>
    <n v="14.1"/>
    <n v="5.0999999999999996"/>
    <n v="82"/>
    <n v="49"/>
    <n v="2025"/>
    <n v="12"/>
    <x v="5"/>
    <n v="75"/>
    <n v="8000"/>
    <n v="350"/>
  </r>
  <r>
    <x v="122"/>
    <n v="60229"/>
    <n v="61428"/>
    <n v="14441"/>
    <n v="835.28499999999997"/>
    <n v="8497"/>
    <n v="233697"/>
    <n v="4901.6000000000004"/>
    <n v="145.4"/>
    <n v="4910.1000000000004"/>
    <m/>
    <m/>
    <n v="49"/>
    <n v="48"/>
    <n v="10"/>
    <n v="0.30499999999999999"/>
    <n v="2"/>
    <n v="50"/>
    <n v="4"/>
    <n v="22.5"/>
    <n v="6.4"/>
    <n v="78"/>
    <n v="50"/>
    <n v="2025"/>
    <n v="12"/>
    <x v="5"/>
    <n v="75"/>
    <n v="8000"/>
    <n v="350"/>
  </r>
  <r>
    <x v="123"/>
    <n v="60279"/>
    <n v="61479"/>
    <n v="14451"/>
    <n v="835.28499999999997"/>
    <n v="8506"/>
    <n v="233748"/>
    <n v="4905.8"/>
    <n v="159.6"/>
    <n v="4915.3999999999996"/>
    <m/>
    <m/>
    <n v="50"/>
    <n v="51"/>
    <n v="10"/>
    <n v="0"/>
    <n v="9"/>
    <n v="51"/>
    <n v="4.2"/>
    <n v="14.2"/>
    <n v="5.3"/>
    <n v="75"/>
    <n v="50"/>
    <n v="2025"/>
    <n v="12"/>
    <x v="5"/>
    <n v="75"/>
    <n v="8000"/>
    <n v="350"/>
  </r>
  <r>
    <x v="124"/>
    <n v="60355"/>
    <n v="61557"/>
    <n v="14461"/>
    <n v="835.77599999999995"/>
    <n v="8515"/>
    <n v="233826"/>
    <n v="4909.7"/>
    <n v="176.8"/>
    <n v="4921.5"/>
    <m/>
    <m/>
    <n v="76"/>
    <n v="78"/>
    <n v="10"/>
    <n v="0.49099999999999999"/>
    <n v="9"/>
    <n v="78"/>
    <n v="3.9"/>
    <n v="17.2"/>
    <n v="6.1"/>
    <n v="70"/>
    <n v="50"/>
    <n v="2025"/>
    <n v="12"/>
    <x v="5"/>
    <n v="75"/>
    <n v="8000"/>
    <n v="350"/>
  </r>
  <r>
    <x v="125"/>
    <n v="60401"/>
    <n v="61605"/>
    <n v="14473"/>
    <n v="837.32299999999998"/>
    <n v="8526"/>
    <n v="233873"/>
    <n v="4913.1000000000004"/>
    <n v="191.9"/>
    <n v="4926.6000000000004"/>
    <m/>
    <m/>
    <n v="46"/>
    <n v="48"/>
    <n v="12"/>
    <n v="1.5469999999999999"/>
    <n v="11"/>
    <n v="47"/>
    <n v="3.4"/>
    <n v="15.1"/>
    <n v="5.0999999999999996"/>
    <n v="65"/>
    <n v="50"/>
    <n v="2025"/>
    <n v="12"/>
    <x v="5"/>
    <n v="75"/>
    <n v="8000"/>
    <n v="350"/>
  </r>
  <r>
    <x v="126"/>
    <n v="60453"/>
    <n v="61658"/>
    <n v="14485"/>
    <n v="837.46299999999997"/>
    <n v="8529"/>
    <n v="233927"/>
    <n v="4915.3999999999996"/>
    <n v="207.8"/>
    <n v="4930.7"/>
    <m/>
    <m/>
    <n v="52"/>
    <n v="53"/>
    <n v="12"/>
    <n v="0.14000000000000001"/>
    <n v="3"/>
    <n v="54"/>
    <n v="2.2999999999999998"/>
    <n v="15.9"/>
    <n v="4.0999999999999996"/>
    <n v="66"/>
    <n v="51"/>
    <n v="2025"/>
    <n v="12"/>
    <x v="5"/>
    <n v="75"/>
    <n v="8000"/>
    <n v="350"/>
  </r>
  <r>
    <x v="127"/>
    <n v="60506"/>
    <n v="61713"/>
    <n v="14495"/>
    <n v="837.81299999999999"/>
    <n v="8539"/>
    <n v="233981"/>
    <n v="4919.3"/>
    <n v="220.2"/>
    <n v="4935.1000000000004"/>
    <m/>
    <m/>
    <n v="53"/>
    <n v="55"/>
    <n v="10"/>
    <n v="0.35"/>
    <n v="10"/>
    <n v="54"/>
    <n v="3.9"/>
    <n v="12.4"/>
    <n v="4.4000000000000004"/>
    <n v="62"/>
    <n v="51"/>
    <n v="2025"/>
    <n v="12"/>
    <x v="5"/>
    <n v="75"/>
    <n v="8000"/>
    <n v="350"/>
  </r>
  <r>
    <x v="128"/>
    <n v="60588"/>
    <n v="61797"/>
    <n v="14509"/>
    <n v="840.19200000000001"/>
    <n v="8551"/>
    <n v="234065"/>
    <n v="4923.3"/>
    <n v="234.8"/>
    <n v="4940.7"/>
    <m/>
    <m/>
    <n v="82"/>
    <n v="84"/>
    <n v="14"/>
    <n v="2.379"/>
    <n v="12"/>
    <n v="84"/>
    <n v="4"/>
    <n v="14.6"/>
    <n v="5.6"/>
    <n v="59"/>
    <n v="51"/>
    <n v="2025"/>
    <n v="12"/>
    <x v="5"/>
    <n v="75"/>
    <n v="8000"/>
    <n v="350"/>
  </r>
  <r>
    <x v="129"/>
    <n v="60731"/>
    <n v="61944"/>
    <n v="14532"/>
    <n v="842.27"/>
    <n v="8573"/>
    <n v="234212"/>
    <n v="4930.2"/>
    <n v="260.39999999999998"/>
    <n v="4950"/>
    <m/>
    <m/>
    <n v="143"/>
    <n v="147"/>
    <n v="23"/>
    <n v="2.0779999999999998"/>
    <n v="22"/>
    <n v="147"/>
    <n v="6.9"/>
    <n v="25.6"/>
    <n v="9.3000000000000007"/>
    <n v="51"/>
    <n v="51"/>
    <n v="2025"/>
    <n v="12"/>
    <x v="5"/>
    <n v="75"/>
    <n v="8000"/>
    <n v="350"/>
  </r>
  <r>
    <x v="130"/>
    <n v="60796"/>
    <n v="62010"/>
    <n v="14541"/>
    <n v="842.60699999999997"/>
    <n v="8584"/>
    <n v="234278"/>
    <n v="4932.6000000000004"/>
    <n v="269.8"/>
    <n v="4953.6000000000004"/>
    <m/>
    <m/>
    <n v="65"/>
    <n v="66"/>
    <n v="9"/>
    <n v="0.33700000000000002"/>
    <n v="11"/>
    <n v="66"/>
    <n v="2.4"/>
    <n v="9.4"/>
    <n v="3.6"/>
    <n v="51"/>
    <n v="51"/>
    <n v="2025"/>
    <n v="12"/>
    <x v="5"/>
    <n v="75"/>
    <n v="8000"/>
    <n v="350"/>
  </r>
  <r>
    <x v="131"/>
    <n v="60852"/>
    <n v="62067"/>
    <n v="14552"/>
    <n v="843.20399999999995"/>
    <n v="8586"/>
    <n v="234336"/>
    <n v="4934.6000000000004"/>
    <n v="283.5"/>
    <n v="4957.3"/>
    <m/>
    <m/>
    <n v="56"/>
    <n v="57"/>
    <n v="11"/>
    <n v="0.59699999999999998"/>
    <n v="2"/>
    <n v="58"/>
    <n v="2"/>
    <n v="13.7"/>
    <n v="3.7"/>
    <n v="50"/>
    <n v="52"/>
    <n v="2025"/>
    <n v="12"/>
    <x v="5"/>
    <n v="75"/>
    <n v="8000"/>
    <n v="350"/>
  </r>
  <r>
    <x v="132"/>
    <n v="60915"/>
    <n v="62133"/>
    <n v="14563"/>
    <n v="843.274"/>
    <n v="8594"/>
    <n v="234401"/>
    <n v="4937.5"/>
    <n v="292.8"/>
    <n v="4960.7"/>
    <m/>
    <m/>
    <n v="63"/>
    <n v="66"/>
    <n v="11"/>
    <n v="7.0000000000000007E-2"/>
    <n v="8"/>
    <n v="65"/>
    <n v="2.9"/>
    <n v="9.3000000000000007"/>
    <n v="3.4"/>
    <n v="50"/>
    <n v="52"/>
    <n v="2025"/>
    <n v="12"/>
    <x v="5"/>
    <n v="75"/>
    <n v="8000"/>
    <n v="350"/>
  </r>
  <r>
    <x v="133"/>
    <n v="60977"/>
    <n v="62197"/>
    <n v="14573"/>
    <n v="843.34"/>
    <n v="8602"/>
    <n v="234466"/>
    <n v="4940.6000000000004"/>
    <n v="303.89999999999998"/>
    <n v="4964.3"/>
    <m/>
    <m/>
    <n v="62"/>
    <n v="64"/>
    <n v="10"/>
    <n v="6.6000000000000003E-2"/>
    <n v="8"/>
    <n v="65"/>
    <n v="3.1"/>
    <n v="11.1"/>
    <n v="3.6"/>
    <n v="50"/>
    <n v="52"/>
    <n v="2025"/>
    <n v="12"/>
    <x v="5"/>
    <n v="75"/>
    <n v="8000"/>
    <n v="350"/>
  </r>
  <r>
    <x v="134"/>
    <n v="60991"/>
    <n v="62211"/>
    <n v="14578"/>
    <n v="845.28700000000003"/>
    <n v="8605"/>
    <n v="234481"/>
    <n v="4941.5"/>
    <n v="314"/>
    <n v="4965.8"/>
    <m/>
    <m/>
    <n v="14"/>
    <n v="14"/>
    <n v="5"/>
    <n v="1.9470000000000001"/>
    <n v="3"/>
    <n v="15"/>
    <n v="0.9"/>
    <n v="10.1"/>
    <n v="1.5"/>
    <n v="50"/>
    <n v="52"/>
    <n v="2025"/>
    <n v="12"/>
    <x v="5"/>
    <n v="75"/>
    <n v="8000"/>
    <n v="350"/>
  </r>
  <r>
    <x v="135"/>
    <n v="61026"/>
    <n v="62246"/>
    <n v="14590"/>
    <n v="846.96"/>
    <n v="8612"/>
    <n v="234516"/>
    <n v="4943.7"/>
    <n v="322.39999999999998"/>
    <n v="4968.3999999999996"/>
    <m/>
    <m/>
    <n v="35"/>
    <n v="35"/>
    <n v="12"/>
    <n v="1.673"/>
    <n v="7"/>
    <n v="35"/>
    <n v="2.2000000000000002"/>
    <n v="8.4"/>
    <n v="2.6"/>
    <n v="50"/>
    <n v="52"/>
    <n v="2025"/>
    <n v="12"/>
    <x v="5"/>
    <n v="75"/>
    <n v="8000"/>
    <n v="350"/>
  </r>
  <r>
    <x v="136"/>
    <n v="61067"/>
    <n v="62289"/>
    <n v="14599"/>
    <n v="846.96"/>
    <n v="8614"/>
    <n v="234558"/>
    <n v="4945.6000000000004"/>
    <n v="333.9"/>
    <n v="4971.2"/>
    <m/>
    <m/>
    <n v="41"/>
    <n v="43"/>
    <n v="9"/>
    <n v="0"/>
    <n v="2"/>
    <n v="42"/>
    <n v="1.9"/>
    <n v="11.5"/>
    <n v="2.8"/>
    <n v="50"/>
    <n v="53"/>
    <n v="2025"/>
    <n v="12"/>
    <x v="5"/>
    <n v="75"/>
    <n v="8000"/>
    <n v="350"/>
  </r>
  <r>
    <x v="137"/>
    <n v="61123"/>
    <n v="62347"/>
    <n v="14610"/>
    <n v="847.26900000000001"/>
    <n v="8617"/>
    <n v="234616"/>
    <n v="4947.5"/>
    <n v="340.9"/>
    <n v="4973.5"/>
    <m/>
    <m/>
    <n v="56"/>
    <n v="58"/>
    <n v="11"/>
    <n v="0.309"/>
    <n v="3"/>
    <n v="58"/>
    <n v="1.9"/>
    <n v="7"/>
    <n v="2.2999999999999998"/>
    <n v="50"/>
    <n v="53"/>
    <n v="2025"/>
    <n v="12"/>
    <x v="5"/>
    <n v="75"/>
    <n v="8000"/>
    <n v="350"/>
  </r>
  <r>
    <x v="138"/>
    <n v="61165"/>
    <n v="62390"/>
    <n v="14620"/>
    <n v="847.50599999999997"/>
    <n v="8623"/>
    <n v="234660"/>
    <n v="4949.3999999999996"/>
    <n v="348.3"/>
    <n v="4976.1000000000004"/>
    <m/>
    <m/>
    <n v="42"/>
    <n v="43"/>
    <n v="10"/>
    <n v="0.23699999999999999"/>
    <n v="6"/>
    <n v="44"/>
    <n v="1.9"/>
    <n v="7.4"/>
    <n v="2.6"/>
    <n v="50"/>
    <n v="53"/>
    <n v="2025"/>
    <n v="12"/>
    <x v="5"/>
    <n v="75"/>
    <n v="8000"/>
    <n v="350"/>
  </r>
  <r>
    <x v="139"/>
    <n v="61170"/>
    <n v="62406"/>
    <n v="14624"/>
    <n v="847.61099999999999"/>
    <n v="8634"/>
    <n v="234666"/>
    <n v="4950.6000000000004"/>
    <n v="359.3"/>
    <n v="4978.5"/>
    <m/>
    <m/>
    <n v="5"/>
    <n v="16"/>
    <n v="4"/>
    <n v="0.105"/>
    <n v="11"/>
    <n v="6"/>
    <n v="1.2"/>
    <n v="11"/>
    <n v="2.4"/>
    <n v="50"/>
    <n v="1"/>
    <n v="2026"/>
    <n v="1"/>
    <x v="6"/>
    <n v="75"/>
    <n v="8000"/>
    <n v="350"/>
  </r>
  <r>
    <x v="140"/>
    <n v="61213"/>
    <n v="62450"/>
    <n v="14632"/>
    <n v="847.70500000000004"/>
    <n v="8648"/>
    <n v="234709"/>
    <n v="4953.1000000000004"/>
    <n v="371.8"/>
    <n v="4982.8"/>
    <m/>
    <m/>
    <n v="43"/>
    <n v="44"/>
    <n v="8"/>
    <n v="9.4E-2"/>
    <n v="14"/>
    <n v="43"/>
    <n v="2.5"/>
    <n v="12.5"/>
    <n v="4.3"/>
    <n v="50"/>
    <n v="1"/>
    <n v="2026"/>
    <n v="1"/>
    <x v="6"/>
    <n v="75"/>
    <n v="8000"/>
    <n v="350"/>
  </r>
  <r>
    <x v="141"/>
    <n v="61316"/>
    <n v="62550"/>
    <n v="14644"/>
    <n v="848.90700000000004"/>
    <n v="8658"/>
    <n v="234811"/>
    <n v="4955.6000000000004"/>
    <n v="387.3"/>
    <n v="4987.5"/>
    <m/>
    <m/>
    <n v="103"/>
    <n v="100"/>
    <n v="12"/>
    <n v="1.202"/>
    <n v="10"/>
    <n v="102"/>
    <n v="2.5"/>
    <n v="15.5"/>
    <n v="4.7"/>
    <n v="50"/>
    <n v="2"/>
    <n v="2026"/>
    <n v="1"/>
    <x v="6"/>
    <n v="75"/>
    <n v="8000"/>
    <n v="350"/>
  </r>
  <r>
    <x v="142"/>
    <n v="61383"/>
    <n v="62619"/>
    <n v="14656"/>
    <n v="850.68799999999999"/>
    <n v="8671"/>
    <n v="234878"/>
    <n v="4957.8"/>
    <n v="396.7"/>
    <n v="4990.8999999999996"/>
    <m/>
    <m/>
    <n v="67"/>
    <n v="69"/>
    <n v="12"/>
    <n v="1.7809999999999999"/>
    <n v="13"/>
    <n v="67"/>
    <n v="2.2000000000000002"/>
    <n v="9.4"/>
    <n v="3.4"/>
    <n v="50"/>
    <n v="2"/>
    <n v="2026"/>
    <n v="1"/>
    <x v="6"/>
    <n v="75"/>
    <n v="8000"/>
    <n v="350"/>
  </r>
  <r>
    <x v="143"/>
    <n v="61452"/>
    <n v="62690"/>
    <n v="14667"/>
    <n v="852.97900000000004"/>
    <n v="8681"/>
    <n v="234948"/>
    <n v="4961.2"/>
    <n v="409.1"/>
    <n v="4995.3999999999996"/>
    <m/>
    <m/>
    <n v="69"/>
    <n v="71"/>
    <n v="11"/>
    <n v="2.2909999999999999"/>
    <n v="10"/>
    <n v="70"/>
    <n v="3.4"/>
    <n v="12.4"/>
    <n v="4.5"/>
    <n v="49"/>
    <n v="2"/>
    <n v="2026"/>
    <n v="1"/>
    <x v="6"/>
    <n v="75"/>
    <n v="8000"/>
    <n v="350"/>
  </r>
  <r>
    <x v="144"/>
    <n v="61494"/>
    <n v="62732"/>
    <n v="14676"/>
    <n v="853.40200000000004"/>
    <n v="8691"/>
    <n v="234989"/>
    <n v="4966.1000000000004"/>
    <n v="425"/>
    <n v="5000.8"/>
    <m/>
    <m/>
    <n v="42"/>
    <n v="42"/>
    <n v="9"/>
    <n v="0.42299999999999999"/>
    <n v="10"/>
    <n v="41"/>
    <n v="4.9000000000000004"/>
    <n v="15.9"/>
    <n v="5.4"/>
    <n v="44"/>
    <n v="2"/>
    <n v="2026"/>
    <n v="1"/>
    <x v="6"/>
    <n v="75"/>
    <n v="8000"/>
    <n v="350"/>
  </r>
  <r>
    <x v="145"/>
    <n v="61535"/>
    <n v="62774"/>
    <n v="14686"/>
    <n v="853.79399999999998"/>
    <n v="8697"/>
    <n v="235031"/>
    <n v="4970.1000000000004"/>
    <n v="439.6"/>
    <n v="5006.3"/>
    <m/>
    <m/>
    <n v="41"/>
    <n v="42"/>
    <n v="10"/>
    <n v="0.39200000000000002"/>
    <n v="6"/>
    <n v="42"/>
    <n v="4"/>
    <n v="14.6"/>
    <n v="5.5"/>
    <n v="40"/>
    <n v="2"/>
    <n v="2026"/>
    <n v="1"/>
    <x v="6"/>
    <n v="75"/>
    <n v="8000"/>
    <n v="350"/>
  </r>
  <r>
    <x v="146"/>
    <n v="61565"/>
    <n v="62805"/>
    <n v="14695"/>
    <n v="853.85699999999997"/>
    <n v="8703"/>
    <n v="235062"/>
    <n v="4973.7"/>
    <n v="453.4"/>
    <n v="5011.3"/>
    <m/>
    <m/>
    <n v="30"/>
    <n v="31"/>
    <n v="9"/>
    <n v="6.3E-2"/>
    <n v="6"/>
    <n v="31"/>
    <n v="3.6"/>
    <n v="13.8"/>
    <n v="5"/>
    <n v="35"/>
    <n v="2"/>
    <n v="2026"/>
    <n v="1"/>
    <x v="6"/>
    <n v="75"/>
    <n v="8000"/>
    <n v="350"/>
  </r>
  <r>
    <x v="147"/>
    <n v="61611"/>
    <n v="62852"/>
    <n v="14704"/>
    <n v="853.85699999999997"/>
    <n v="8706"/>
    <n v="235107"/>
    <n v="4977"/>
    <n v="472.6"/>
    <n v="5019.7"/>
    <m/>
    <m/>
    <n v="46"/>
    <n v="47"/>
    <n v="9"/>
    <n v="0"/>
    <n v="3"/>
    <n v="45"/>
    <n v="3.3"/>
    <n v="19.2"/>
    <n v="8.4"/>
    <n v="33"/>
    <n v="3"/>
    <n v="2026"/>
    <n v="1"/>
    <x v="6"/>
    <n v="75"/>
    <n v="8000"/>
    <n v="350"/>
  </r>
  <r>
    <x v="148"/>
    <n v="61677"/>
    <n v="62920"/>
    <n v="14714"/>
    <n v="854.62599999999998"/>
    <n v="8722"/>
    <n v="235173"/>
    <n v="4980.8999999999996"/>
    <n v="486"/>
    <n v="5025.7"/>
    <m/>
    <m/>
    <n v="66"/>
    <n v="68"/>
    <n v="10"/>
    <n v="0.76900000000000002"/>
    <n v="16"/>
    <n v="66"/>
    <n v="3.9"/>
    <n v="13.4"/>
    <n v="6"/>
    <n v="30"/>
    <n v="3"/>
    <n v="2026"/>
    <n v="1"/>
    <x v="6"/>
    <n v="75"/>
    <n v="8000"/>
    <n v="350"/>
  </r>
  <r>
    <x v="149"/>
    <n v="61749"/>
    <n v="62993"/>
    <n v="14724"/>
    <n v="855.03800000000001"/>
    <n v="8738"/>
    <n v="235244"/>
    <n v="4984.3999999999996"/>
    <n v="500.5"/>
    <n v="5032.7"/>
    <m/>
    <m/>
    <n v="72"/>
    <n v="73"/>
    <n v="10"/>
    <n v="0.41199999999999998"/>
    <n v="16"/>
    <n v="71"/>
    <n v="3.5"/>
    <n v="14.5"/>
    <n v="7"/>
    <n v="78"/>
    <n v="3"/>
    <n v="2026"/>
    <n v="1"/>
    <x v="6"/>
    <n v="75"/>
    <n v="8000"/>
    <n v="350"/>
  </r>
  <r>
    <x v="150"/>
    <n v="61813"/>
    <n v="63059"/>
    <n v="14733"/>
    <n v="855.44899999999996"/>
    <n v="8752"/>
    <n v="235309"/>
    <n v="4987.5"/>
    <n v="515.20000000000005"/>
    <n v="5040.1000000000004"/>
    <m/>
    <m/>
    <n v="64"/>
    <n v="66"/>
    <n v="9"/>
    <n v="0.41099999999999998"/>
    <n v="14"/>
    <n v="65"/>
    <n v="3.1"/>
    <n v="14.7"/>
    <n v="7.4"/>
    <n v="76"/>
    <n v="3"/>
    <n v="2026"/>
    <n v="1"/>
    <x v="6"/>
    <n v="75"/>
    <n v="8000"/>
    <n v="350"/>
  </r>
  <r>
    <x v="151"/>
    <n v="61869"/>
    <n v="63117"/>
    <n v="14743"/>
    <n v="855.84199999999998"/>
    <n v="8763"/>
    <n v="235366"/>
    <n v="4990.5"/>
    <n v="528.5"/>
    <n v="5047.3"/>
    <m/>
    <m/>
    <n v="56"/>
    <n v="58"/>
    <n v="10"/>
    <n v="0.39300000000000002"/>
    <n v="11"/>
    <n v="57"/>
    <n v="3"/>
    <n v="13.3"/>
    <n v="7.2"/>
    <n v="72"/>
    <n v="3"/>
    <n v="2026"/>
    <n v="1"/>
    <x v="6"/>
    <n v="75"/>
    <n v="8000"/>
    <n v="350"/>
  </r>
  <r>
    <x v="152"/>
    <n v="61930"/>
    <n v="63179"/>
    <n v="14753"/>
    <n v="856.41399999999999"/>
    <n v="8773"/>
    <n v="235426"/>
    <n v="4994.1000000000004"/>
    <n v="541.79999999999995"/>
    <n v="5054.1000000000004"/>
    <m/>
    <m/>
    <n v="61"/>
    <n v="62"/>
    <n v="10"/>
    <n v="0.57199999999999995"/>
    <n v="10"/>
    <n v="60"/>
    <n v="3.6"/>
    <n v="13.3"/>
    <n v="6.8"/>
    <n v="69"/>
    <n v="3"/>
    <n v="2026"/>
    <n v="1"/>
    <x v="6"/>
    <n v="75"/>
    <n v="8000"/>
    <n v="350"/>
  </r>
  <r>
    <x v="153"/>
    <n v="61992"/>
    <n v="63243"/>
    <n v="14765"/>
    <n v="857.51300000000003"/>
    <n v="8776"/>
    <n v="235489"/>
    <n v="4997.1000000000004"/>
    <n v="559.20000000000005"/>
    <n v="5059.1000000000004"/>
    <m/>
    <m/>
    <n v="62"/>
    <n v="64"/>
    <n v="12"/>
    <n v="1.099"/>
    <n v="3"/>
    <n v="63"/>
    <n v="3"/>
    <n v="17.399999999999999"/>
    <n v="5"/>
    <n v="68"/>
    <n v="4"/>
    <n v="2026"/>
    <n v="1"/>
    <x v="6"/>
    <n v="75"/>
    <n v="8000"/>
    <n v="350"/>
  </r>
  <r>
    <x v="154"/>
    <n v="62052"/>
    <n v="63304"/>
    <n v="14778"/>
    <n v="861.33"/>
    <n v="8788"/>
    <n v="235549"/>
    <n v="4999.8"/>
    <n v="570.79999999999995"/>
    <n v="5064.8"/>
    <m/>
    <m/>
    <n v="60"/>
    <n v="61"/>
    <n v="13"/>
    <n v="3.8170000000000002"/>
    <n v="12"/>
    <n v="60"/>
    <n v="2.7"/>
    <n v="11.6"/>
    <n v="5.7"/>
    <n v="65"/>
    <n v="4"/>
    <n v="2026"/>
    <n v="1"/>
    <x v="6"/>
    <n v="75"/>
    <n v="8000"/>
    <n v="350"/>
  </r>
  <r>
    <x v="155"/>
    <n v="62105"/>
    <n v="63359"/>
    <n v="14787"/>
    <n v="861.51599999999996"/>
    <n v="8797"/>
    <n v="235603"/>
    <n v="5003.3"/>
    <n v="584.5"/>
    <n v="5071.3"/>
    <m/>
    <m/>
    <n v="53"/>
    <n v="55"/>
    <n v="9"/>
    <n v="0.186"/>
    <n v="9"/>
    <n v="54"/>
    <n v="3.5"/>
    <n v="13.7"/>
    <n v="6.5"/>
    <n v="60"/>
    <n v="4"/>
    <n v="2026"/>
    <n v="1"/>
    <x v="6"/>
    <n v="75"/>
    <n v="8000"/>
    <n v="350"/>
  </r>
  <r>
    <x v="156"/>
    <n v="62160"/>
    <n v="63416"/>
    <n v="14797"/>
    <n v="861.90899999999999"/>
    <n v="8798"/>
    <n v="235659"/>
    <n v="5006.8999999999996"/>
    <n v="600.20000000000005"/>
    <n v="5076.6000000000004"/>
    <m/>
    <m/>
    <n v="55"/>
    <n v="57"/>
    <n v="10"/>
    <n v="0.39300000000000002"/>
    <n v="1"/>
    <n v="56"/>
    <n v="3.6"/>
    <n v="15.7"/>
    <n v="5.3"/>
    <n v="59"/>
    <n v="4"/>
    <n v="2026"/>
    <n v="1"/>
    <x v="6"/>
    <n v="75"/>
    <n v="8000"/>
    <n v="350"/>
  </r>
  <r>
    <x v="157"/>
    <n v="62196"/>
    <n v="63453"/>
    <n v="14807"/>
    <n v="862.26400000000001"/>
    <n v="8807"/>
    <n v="235695"/>
    <n v="5010.5"/>
    <n v="614.9"/>
    <n v="5081.3"/>
    <m/>
    <m/>
    <n v="36"/>
    <n v="37"/>
    <n v="10"/>
    <n v="0.35499999999999998"/>
    <n v="9"/>
    <n v="36"/>
    <n v="3.6"/>
    <n v="14.7"/>
    <n v="4.7"/>
    <n v="55"/>
    <n v="4"/>
    <n v="2026"/>
    <n v="1"/>
    <x v="6"/>
    <n v="75"/>
    <n v="8000"/>
    <n v="350"/>
  </r>
  <r>
    <x v="158"/>
    <n v="62226"/>
    <n v="63485"/>
    <n v="14816"/>
    <n v="862.43700000000001"/>
    <n v="8815"/>
    <n v="235722"/>
    <n v="5014.3999999999996"/>
    <n v="627.6"/>
    <n v="5085.8"/>
    <m/>
    <m/>
    <n v="30"/>
    <n v="32"/>
    <n v="9"/>
    <n v="0.17299999999999999"/>
    <n v="8"/>
    <n v="27"/>
    <n v="3.9"/>
    <n v="12.7"/>
    <n v="4.5"/>
    <n v="50"/>
    <n v="4"/>
    <n v="2026"/>
    <n v="1"/>
    <x v="6"/>
    <n v="75"/>
    <n v="8000"/>
    <n v="350"/>
  </r>
  <r>
    <x v="159"/>
    <n v="62269"/>
    <n v="63529"/>
    <n v="14826"/>
    <n v="863.55700000000002"/>
    <n v="8816"/>
    <n v="235771"/>
    <n v="5016.8"/>
    <n v="641.4"/>
    <n v="5089.2"/>
    <m/>
    <m/>
    <n v="43"/>
    <n v="44"/>
    <n v="10"/>
    <n v="1.1200000000000001"/>
    <n v="1"/>
    <n v="49"/>
    <n v="2.4"/>
    <n v="13.8"/>
    <n v="3.4"/>
    <n v="50"/>
    <n v="5"/>
    <n v="2026"/>
    <n v="1"/>
    <x v="6"/>
    <n v="75"/>
    <n v="8000"/>
    <n v="350"/>
  </r>
  <r>
    <x v="160"/>
    <n v="62324"/>
    <n v="63586"/>
    <n v="14836"/>
    <n v="863.55700000000002"/>
    <n v="8828"/>
    <n v="235826"/>
    <n v="5019.8"/>
    <n v="653.5"/>
    <n v="5093.3"/>
    <m/>
    <m/>
    <n v="55"/>
    <n v="57"/>
    <n v="10"/>
    <n v="0"/>
    <n v="12"/>
    <n v="55"/>
    <n v="3"/>
    <n v="12.1"/>
    <n v="4.0999999999999996"/>
    <n v="48"/>
    <n v="5"/>
    <n v="2026"/>
    <n v="1"/>
    <x v="6"/>
    <n v="75"/>
    <n v="8000"/>
    <n v="350"/>
  </r>
  <r>
    <x v="161"/>
    <n v="62378"/>
    <n v="63642"/>
    <n v="14845"/>
    <n v="863.55700000000002"/>
    <n v="8841"/>
    <n v="235881"/>
    <n v="5023.8999999999996"/>
    <n v="667.8"/>
    <n v="5098.7"/>
    <m/>
    <m/>
    <n v="54"/>
    <n v="56"/>
    <n v="9"/>
    <n v="0"/>
    <n v="13"/>
    <n v="55"/>
    <n v="4.0999999999999996"/>
    <n v="14.3"/>
    <n v="5.4"/>
    <n v="43"/>
    <n v="5"/>
    <n v="2026"/>
    <n v="1"/>
    <x v="6"/>
    <n v="75"/>
    <n v="8000"/>
    <n v="350"/>
  </r>
  <r>
    <x v="162"/>
    <n v="62459"/>
    <n v="63724"/>
    <n v="14856"/>
    <n v="863.94200000000001"/>
    <n v="8852"/>
    <n v="235962"/>
    <n v="5028"/>
    <n v="681.4"/>
    <n v="5103.2"/>
    <m/>
    <m/>
    <n v="81"/>
    <n v="82"/>
    <n v="11"/>
    <n v="0.38500000000000001"/>
    <n v="11"/>
    <n v="81"/>
    <n v="4.0999999999999996"/>
    <n v="13.6"/>
    <n v="4.5"/>
    <n v="40"/>
    <n v="5"/>
    <n v="2026"/>
    <n v="1"/>
    <x v="6"/>
    <n v="75"/>
    <n v="8000"/>
    <n v="350"/>
  </r>
  <r>
    <x v="163"/>
    <n v="62509"/>
    <n v="63776"/>
    <n v="14864"/>
    <n v="863.94200000000001"/>
    <n v="8861"/>
    <n v="236012"/>
    <n v="5031.8"/>
    <n v="694.8"/>
    <n v="5107.5"/>
    <m/>
    <m/>
    <n v="50"/>
    <n v="52"/>
    <n v="8"/>
    <n v="0"/>
    <n v="9"/>
    <n v="50"/>
    <n v="3.8"/>
    <n v="13.4"/>
    <n v="4.3"/>
    <n v="46"/>
    <n v="5"/>
    <n v="2026"/>
    <n v="1"/>
    <x v="6"/>
    <n v="75"/>
    <n v="8000"/>
    <n v="350"/>
  </r>
  <r>
    <x v="164"/>
    <n v="62551"/>
    <n v="63819"/>
    <n v="14873"/>
    <n v="864.24"/>
    <n v="8868"/>
    <n v="236055"/>
    <n v="5035.3999999999996"/>
    <n v="707.3"/>
    <n v="5111.8999999999996"/>
    <m/>
    <m/>
    <n v="42"/>
    <n v="43"/>
    <n v="9"/>
    <n v="0.29799999999999999"/>
    <n v="7"/>
    <n v="43"/>
    <n v="3.6"/>
    <n v="12.5"/>
    <n v="4.4000000000000004"/>
    <n v="34"/>
    <n v="5"/>
    <n v="2026"/>
    <n v="1"/>
    <x v="6"/>
    <n v="75"/>
    <n v="8000"/>
    <n v="350"/>
  </r>
  <r>
    <x v="165"/>
    <n v="62617"/>
    <n v="63885"/>
    <n v="14884"/>
    <n v="864.65899999999999"/>
    <n v="8871"/>
    <n v="236121"/>
    <n v="5037.8999999999996"/>
    <n v="723.5"/>
    <n v="5116.3999999999996"/>
    <m/>
    <m/>
    <n v="66"/>
    <n v="66"/>
    <n v="11"/>
    <n v="0.41899999999999998"/>
    <n v="3"/>
    <n v="66"/>
    <n v="2.5"/>
    <n v="16.2"/>
    <n v="4.5"/>
    <n v="31"/>
    <n v="6"/>
    <n v="2026"/>
    <n v="2"/>
    <x v="7"/>
    <n v="75"/>
    <n v="8000"/>
    <n v="350"/>
  </r>
  <r>
    <x v="166"/>
    <n v="62682"/>
    <n v="63952"/>
    <n v="14894"/>
    <n v="865.76099999999997"/>
    <n v="8884"/>
    <n v="236187"/>
    <n v="5040.5"/>
    <n v="734.4"/>
    <n v="5119.3999999999996"/>
    <m/>
    <m/>
    <n v="65"/>
    <n v="67"/>
    <n v="10"/>
    <n v="1.1020000000000001"/>
    <n v="13"/>
    <n v="66"/>
    <n v="2.6"/>
    <n v="10.9"/>
    <n v="3"/>
    <n v="30"/>
    <n v="6"/>
    <n v="2026"/>
    <n v="2"/>
    <x v="7"/>
    <n v="75"/>
    <n v="8000"/>
    <n v="350"/>
  </r>
  <r>
    <x v="167"/>
    <n v="62747"/>
    <n v="64018"/>
    <n v="14906"/>
    <n v="868.17200000000003"/>
    <n v="8898"/>
    <n v="236252"/>
    <n v="5043.7"/>
    <n v="749.1"/>
    <n v="5124.2"/>
    <m/>
    <m/>
    <n v="65"/>
    <n v="66"/>
    <n v="12"/>
    <n v="2.411"/>
    <n v="14"/>
    <n v="65"/>
    <n v="3.2"/>
    <n v="14.7"/>
    <n v="4.8"/>
    <n v="79"/>
    <n v="6"/>
    <n v="2026"/>
    <n v="2"/>
    <x v="7"/>
    <n v="75"/>
    <n v="8000"/>
    <n v="350"/>
  </r>
  <r>
    <x v="168"/>
    <n v="62812"/>
    <n v="64085"/>
    <n v="14916"/>
    <n v="868.17200000000003"/>
    <n v="8905"/>
    <n v="236318"/>
    <n v="5047"/>
    <n v="763.4"/>
    <n v="5129.2"/>
    <m/>
    <m/>
    <n v="65"/>
    <n v="67"/>
    <n v="10"/>
    <n v="0"/>
    <n v="7"/>
    <n v="66"/>
    <n v="3.3"/>
    <n v="14.3"/>
    <n v="5"/>
    <n v="75"/>
    <n v="6"/>
    <n v="2026"/>
    <n v="2"/>
    <x v="7"/>
    <n v="75"/>
    <n v="8000"/>
    <n v="350"/>
  </r>
  <r>
    <x v="169"/>
    <n v="62890"/>
    <n v="64164"/>
    <n v="14927"/>
    <n v="868.17200000000003"/>
    <n v="8912"/>
    <n v="236396"/>
    <n v="5050.2"/>
    <n v="777.2"/>
    <n v="5134.5"/>
    <m/>
    <m/>
    <n v="78"/>
    <n v="79"/>
    <n v="11"/>
    <n v="0"/>
    <n v="7"/>
    <n v="78"/>
    <n v="3.2"/>
    <n v="13.8"/>
    <n v="5.3"/>
    <n v="73"/>
    <n v="6"/>
    <n v="2026"/>
    <n v="2"/>
    <x v="7"/>
    <n v="75"/>
    <n v="8000"/>
    <n v="350"/>
  </r>
  <r>
    <x v="170"/>
    <n v="62936"/>
    <n v="64211"/>
    <n v="14945"/>
    <n v="869.10199999999998"/>
    <n v="8918"/>
    <n v="236442"/>
    <n v="5054"/>
    <n v="790"/>
    <n v="5139.3999999999996"/>
    <m/>
    <m/>
    <n v="46"/>
    <n v="47"/>
    <n v="18"/>
    <n v="0.93"/>
    <n v="6"/>
    <n v="46"/>
    <n v="3.8"/>
    <n v="12.8"/>
    <n v="4.9000000000000004"/>
    <n v="70"/>
    <n v="6"/>
    <n v="2026"/>
    <n v="2"/>
    <x v="7"/>
    <n v="75"/>
    <n v="8000"/>
    <n v="350"/>
  </r>
  <r>
    <x v="171"/>
    <n v="62982"/>
    <n v="64260"/>
    <n v="14963"/>
    <n v="869.10199999999998"/>
    <n v="8919"/>
    <n v="236490"/>
    <n v="5056.2"/>
    <n v="805.5"/>
    <n v="5144.5"/>
    <m/>
    <m/>
    <n v="46"/>
    <n v="49"/>
    <n v="18"/>
    <n v="0"/>
    <n v="1"/>
    <n v="48"/>
    <n v="2.2000000000000002"/>
    <n v="15.5"/>
    <n v="5.0999999999999996"/>
    <n v="66"/>
    <n v="7"/>
    <n v="2026"/>
    <n v="2"/>
    <x v="7"/>
    <n v="75"/>
    <n v="8000"/>
    <n v="350"/>
  </r>
  <r>
    <x v="172"/>
    <n v="63058"/>
    <n v="64336"/>
    <n v="14980"/>
    <n v="869.36800000000005"/>
    <n v="8933"/>
    <n v="236565"/>
    <n v="5059.8999999999996"/>
    <n v="817.7"/>
    <n v="5149.1000000000004"/>
    <m/>
    <m/>
    <n v="76"/>
    <n v="76"/>
    <n v="17"/>
    <n v="0.26600000000000001"/>
    <n v="14"/>
    <n v="75"/>
    <n v="3.7"/>
    <n v="12.2"/>
    <n v="4.5999999999999996"/>
    <n v="62"/>
    <n v="7"/>
    <n v="2026"/>
    <n v="2"/>
    <x v="7"/>
    <n v="75"/>
    <n v="8000"/>
    <n v="350"/>
  </r>
  <r>
    <x v="173"/>
    <n v="63128"/>
    <n v="64408"/>
    <n v="14996"/>
    <n v="869.60500000000002"/>
    <n v="8944"/>
    <n v="236636"/>
    <n v="5063.3999999999996"/>
    <n v="833.9"/>
    <n v="5154.7"/>
    <m/>
    <m/>
    <n v="70"/>
    <n v="72"/>
    <n v="16"/>
    <n v="0.23699999999999999"/>
    <n v="11"/>
    <n v="71"/>
    <n v="3.5"/>
    <n v="16.2"/>
    <n v="5.6"/>
    <n v="58"/>
    <n v="7"/>
    <n v="2026"/>
    <n v="2"/>
    <x v="7"/>
    <n v="75"/>
    <n v="8000"/>
    <n v="350"/>
  </r>
  <r>
    <x v="174"/>
    <n v="63194"/>
    <n v="64475"/>
    <n v="15014"/>
    <n v="871.29499999999996"/>
    <n v="8954"/>
    <n v="236702"/>
    <n v="5066.7"/>
    <n v="848"/>
    <n v="5159.8999999999996"/>
    <m/>
    <m/>
    <n v="66"/>
    <n v="67"/>
    <n v="18"/>
    <n v="1.69"/>
    <n v="10"/>
    <n v="66"/>
    <n v="3.3"/>
    <n v="14.1"/>
    <n v="5.2"/>
    <n v="55"/>
    <n v="7"/>
    <n v="2026"/>
    <n v="2"/>
    <x v="7"/>
    <n v="75"/>
    <n v="8000"/>
    <n v="350"/>
  </r>
  <r>
    <x v="175"/>
    <n v="63270"/>
    <n v="64553"/>
    <n v="15035"/>
    <n v="871.47299999999996"/>
    <n v="8961"/>
    <n v="236779"/>
    <n v="5070.2"/>
    <n v="861.5"/>
    <n v="5164.8"/>
    <m/>
    <m/>
    <n v="76"/>
    <n v="78"/>
    <n v="21"/>
    <n v="0.17799999999999999"/>
    <n v="7"/>
    <n v="77"/>
    <n v="3.5"/>
    <n v="13.5"/>
    <n v="4.9000000000000004"/>
    <n v="51"/>
    <n v="7"/>
    <n v="2026"/>
    <n v="2"/>
    <x v="7"/>
    <n v="75"/>
    <n v="8000"/>
    <n v="350"/>
  </r>
  <r>
    <x v="176"/>
    <n v="63326"/>
    <n v="64611"/>
    <n v="15056"/>
    <n v="871.72199999999998"/>
    <n v="8969"/>
    <n v="236836"/>
    <n v="5072.8999999999996"/>
    <n v="875.4"/>
    <n v="5169.5"/>
    <m/>
    <m/>
    <n v="56"/>
    <n v="58"/>
    <n v="21"/>
    <n v="0.249"/>
    <n v="8"/>
    <n v="57"/>
    <n v="2.7"/>
    <n v="13.9"/>
    <n v="4.7"/>
    <n v="49"/>
    <n v="7"/>
    <n v="2026"/>
    <n v="2"/>
    <x v="7"/>
    <n v="75"/>
    <n v="8000"/>
    <n v="350"/>
  </r>
  <r>
    <x v="177"/>
    <n v="63427"/>
    <n v="64711"/>
    <n v="15087"/>
    <n v="871.93700000000001"/>
    <n v="8972"/>
    <n v="236937"/>
    <n v="5076.2"/>
    <n v="894.4"/>
    <n v="5174.6000000000004"/>
    <m/>
    <m/>
    <n v="101"/>
    <n v="100"/>
    <n v="31"/>
    <n v="0.215"/>
    <n v="3"/>
    <n v="101"/>
    <n v="3.3"/>
    <n v="19"/>
    <n v="5.0999999999999996"/>
    <n v="45"/>
    <n v="8"/>
    <n v="2026"/>
    <n v="2"/>
    <x v="7"/>
    <n v="75"/>
    <n v="8000"/>
    <n v="350"/>
  </r>
  <r>
    <x v="178"/>
    <n v="63496"/>
    <n v="64782"/>
    <n v="15106"/>
    <n v="871.93700000000001"/>
    <n v="8981"/>
    <n v="237007"/>
    <n v="5078.8999999999996"/>
    <n v="904.9"/>
    <n v="5177.5"/>
    <m/>
    <m/>
    <n v="69"/>
    <n v="71"/>
    <n v="19"/>
    <n v="0"/>
    <n v="9"/>
    <n v="70"/>
    <n v="2.7"/>
    <n v="10.5"/>
    <n v="2.9"/>
    <n v="41"/>
    <n v="8"/>
    <n v="2026"/>
    <n v="2"/>
    <x v="7"/>
    <n v="75"/>
    <n v="8000"/>
    <n v="350"/>
  </r>
  <r>
    <x v="179"/>
    <n v="63558"/>
    <n v="64845"/>
    <n v="15127"/>
    <n v="872.21699999999998"/>
    <n v="8987"/>
    <n v="237069"/>
    <n v="5083.8"/>
    <n v="920.6"/>
    <n v="5182.8999999999996"/>
    <m/>
    <m/>
    <n v="62"/>
    <n v="63"/>
    <n v="21"/>
    <n v="0.28000000000000003"/>
    <n v="6"/>
    <n v="62"/>
    <n v="4.9000000000000004"/>
    <n v="15.7"/>
    <n v="5.4"/>
    <n v="40"/>
    <n v="8"/>
    <n v="2026"/>
    <n v="2"/>
    <x v="7"/>
    <n v="75"/>
    <n v="8000"/>
    <n v="350"/>
  </r>
  <r>
    <x v="180"/>
    <n v="63618"/>
    <n v="64906"/>
    <n v="15145"/>
    <n v="872.46600000000001"/>
    <n v="8992"/>
    <n v="237130"/>
    <n v="5087.8"/>
    <n v="937.4"/>
    <n v="5188.2"/>
    <m/>
    <m/>
    <n v="60"/>
    <n v="61"/>
    <n v="18"/>
    <n v="0.249"/>
    <n v="5"/>
    <n v="61"/>
    <n v="4"/>
    <n v="16.8"/>
    <n v="5.3"/>
    <n v="48"/>
    <n v="8"/>
    <n v="2026"/>
    <n v="2"/>
    <x v="7"/>
    <n v="75"/>
    <n v="8000"/>
    <n v="350"/>
  </r>
  <r>
    <x v="181"/>
    <n v="63689"/>
    <n v="64978"/>
    <n v="15162"/>
    <n v="872.846"/>
    <n v="8998"/>
    <n v="237201"/>
    <n v="5091.8"/>
    <n v="954.9"/>
    <n v="5194"/>
    <m/>
    <m/>
    <n v="71"/>
    <n v="72"/>
    <n v="17"/>
    <n v="0.38"/>
    <n v="6"/>
    <n v="71"/>
    <n v="4"/>
    <n v="17.5"/>
    <n v="5.8"/>
    <n v="80"/>
    <n v="8"/>
    <n v="2026"/>
    <n v="2"/>
    <x v="7"/>
    <n v="75"/>
    <n v="8000"/>
    <n v="350"/>
  </r>
  <r>
    <x v="182"/>
    <n v="63747"/>
    <n v="65038"/>
    <n v="15184"/>
    <n v="873.75300000000004"/>
    <n v="9009"/>
    <n v="237261"/>
    <n v="5095.8"/>
    <n v="971.9"/>
    <n v="5199.6000000000004"/>
    <m/>
    <m/>
    <n v="58"/>
    <n v="60"/>
    <n v="22"/>
    <n v="0.90700000000000003"/>
    <n v="11"/>
    <n v="60"/>
    <n v="4"/>
    <n v="17"/>
    <n v="5.6"/>
    <n v="88"/>
    <n v="8"/>
    <n v="2026"/>
    <n v="2"/>
    <x v="7"/>
    <n v="75"/>
    <n v="8000"/>
    <n v="350"/>
  </r>
  <r>
    <x v="183"/>
    <n v="63813"/>
    <n v="65098"/>
    <n v="15207"/>
    <n v="873.96"/>
    <n v="9013"/>
    <n v="237329"/>
    <n v="5099"/>
    <n v="992.9"/>
    <n v="5204.5"/>
    <m/>
    <m/>
    <n v="66"/>
    <n v="60"/>
    <n v="23"/>
    <n v="0.20699999999999999"/>
    <n v="4"/>
    <n v="68"/>
    <n v="3.2"/>
    <n v="21"/>
    <n v="4.9000000000000004"/>
    <n v="77"/>
    <n v="9"/>
    <n v="2026"/>
    <n v="2"/>
    <x v="7"/>
    <n v="75"/>
    <n v="8000"/>
    <n v="350"/>
  </r>
  <r>
    <x v="184"/>
    <n v="63870"/>
    <n v="65156"/>
    <n v="15222"/>
    <n v="874.09"/>
    <n v="9023"/>
    <n v="237387"/>
    <n v="5102.1000000000004"/>
    <n v="1005.4"/>
    <n v="5208.8"/>
    <m/>
    <m/>
    <n v="57"/>
    <n v="58"/>
    <n v="15"/>
    <n v="0.13"/>
    <n v="10"/>
    <n v="58"/>
    <n v="3.1"/>
    <n v="12.5"/>
    <n v="4.3"/>
    <n v="73"/>
    <n v="9"/>
    <n v="2026"/>
    <n v="2"/>
    <x v="7"/>
    <n v="75"/>
    <n v="8000"/>
    <n v="350"/>
  </r>
  <r>
    <x v="185"/>
    <n v="63953"/>
    <n v="65240"/>
    <n v="15232"/>
    <n v="874.37"/>
    <n v="9034"/>
    <n v="237470"/>
    <n v="5106.2"/>
    <n v="1021.5"/>
    <n v="5214"/>
    <m/>
    <m/>
    <n v="83"/>
    <n v="84"/>
    <n v="10"/>
    <n v="0.28000000000000003"/>
    <n v="11"/>
    <n v="83"/>
    <n v="4.0999999999999996"/>
    <n v="16.100000000000001"/>
    <n v="5.2"/>
    <n v="74"/>
    <n v="9"/>
    <n v="2026"/>
    <n v="2"/>
    <x v="7"/>
    <n v="75"/>
    <n v="8000"/>
    <n v="350"/>
  </r>
  <r>
    <x v="186"/>
    <n v="64018"/>
    <n v="65306"/>
    <n v="15245"/>
    <n v="874.44500000000005"/>
    <n v="9045"/>
    <n v="237535"/>
    <n v="5110.7"/>
    <n v="1037.8"/>
    <n v="5219.5"/>
    <m/>
    <m/>
    <n v="65"/>
    <n v="66"/>
    <n v="13"/>
    <n v="7.4999999999999997E-2"/>
    <n v="11"/>
    <n v="65"/>
    <n v="4.5"/>
    <n v="16.3"/>
    <n v="5.5"/>
    <n v="76"/>
    <n v="9"/>
    <n v="2026"/>
    <n v="2"/>
    <x v="7"/>
    <n v="75"/>
    <n v="8000"/>
    <n v="350"/>
  </r>
  <r>
    <x v="187"/>
    <n v="64090"/>
    <n v="65380"/>
    <n v="15255"/>
    <n v="874.83699999999999"/>
    <n v="9053"/>
    <n v="237608"/>
    <n v="5114.6000000000004"/>
    <n v="1053.8"/>
    <n v="5225.3"/>
    <m/>
    <m/>
    <n v="72"/>
    <n v="74"/>
    <n v="10"/>
    <n v="0.39200000000000002"/>
    <n v="8"/>
    <n v="73"/>
    <n v="3.9"/>
    <n v="16"/>
    <n v="5.8"/>
    <n v="72"/>
    <n v="9"/>
    <n v="2026"/>
    <n v="2"/>
    <x v="7"/>
    <n v="75"/>
    <n v="8000"/>
    <n v="350"/>
  </r>
  <r>
    <x v="188"/>
    <n v="64165"/>
    <n v="65455"/>
    <n v="15295"/>
    <n v="902.65499999999997"/>
    <n v="9062"/>
    <n v="237683"/>
    <n v="5118.7"/>
    <n v="1070.7"/>
    <n v="5231.2"/>
    <m/>
    <m/>
    <n v="75"/>
    <n v="75"/>
    <n v="40"/>
    <n v="27.818000000000001"/>
    <n v="9"/>
    <n v="75"/>
    <n v="4.0999999999999996"/>
    <n v="16.899999999999999"/>
    <n v="5.9"/>
    <n v="69"/>
    <n v="9"/>
    <n v="2026"/>
    <n v="2"/>
    <x v="7"/>
    <n v="75"/>
    <n v="8000"/>
    <n v="350"/>
  </r>
  <r>
    <x v="189"/>
    <n v="64251"/>
    <n v="65538"/>
    <n v="15319"/>
    <n v="902.81"/>
    <n v="9064"/>
    <n v="237771"/>
    <n v="5121.9799999999996"/>
    <n v="1092.8900000000001"/>
    <n v="5237.8599999999997"/>
    <m/>
    <m/>
    <n v="86"/>
    <n v="83"/>
    <n v="24"/>
    <n v="0.155"/>
    <n v="2"/>
    <n v="88"/>
    <n v="3.28"/>
    <n v="22.19"/>
    <n v="6.66"/>
    <n v="65"/>
    <n v="10"/>
    <n v="2026"/>
    <n v="3"/>
    <x v="8"/>
    <n v="75"/>
    <n v="8000"/>
    <n v="350"/>
  </r>
  <r>
    <x v="190"/>
    <n v="64312"/>
    <n v="65600"/>
    <n v="15329"/>
    <n v="903.02"/>
    <n v="9065"/>
    <n v="237832"/>
    <n v="5124.2"/>
    <n v="1102.8"/>
    <n v="5243.6"/>
    <m/>
    <m/>
    <n v="61"/>
    <n v="62"/>
    <n v="10"/>
    <n v="0.21"/>
    <n v="1"/>
    <n v="61"/>
    <n v="2.2200000000000002"/>
    <n v="9.91"/>
    <n v="5.74"/>
    <n v="60"/>
    <n v="10"/>
    <n v="2026"/>
    <n v="3"/>
    <x v="8"/>
    <n v="75"/>
    <n v="8000"/>
    <n v="350"/>
  </r>
  <r>
    <x v="191"/>
    <n v="64369"/>
    <n v="65658"/>
    <n v="15339"/>
    <n v="903.476"/>
    <n v="9070"/>
    <n v="237890"/>
    <n v="5127.8999999999996"/>
    <n v="1116.5"/>
    <n v="5251.5"/>
    <m/>
    <m/>
    <n v="57"/>
    <n v="58"/>
    <n v="10"/>
    <n v="0.45600000000000002"/>
    <n v="5"/>
    <n v="58"/>
    <n v="3.7"/>
    <n v="13.7"/>
    <n v="7.9"/>
    <n v="59"/>
    <n v="10"/>
    <n v="2026"/>
    <n v="3"/>
    <x v="8"/>
    <n v="75"/>
    <n v="8000"/>
    <n v="350"/>
  </r>
  <r>
    <x v="192"/>
    <n v="64423"/>
    <n v="65713"/>
    <n v="15350"/>
    <n v="903.70299999999997"/>
    <n v="9080"/>
    <n v="237945"/>
    <n v="5132.3"/>
    <n v="1133.5"/>
    <n v="5259.1"/>
    <m/>
    <m/>
    <n v="54"/>
    <n v="55"/>
    <n v="11"/>
    <n v="0.22700000000000001"/>
    <n v="10"/>
    <n v="55"/>
    <n v="4.4000000000000004"/>
    <n v="17"/>
    <n v="7.6"/>
    <n v="75"/>
    <n v="10"/>
    <n v="2026"/>
    <n v="3"/>
    <x v="8"/>
    <n v="75"/>
    <n v="8000"/>
    <n v="350"/>
  </r>
  <r>
    <x v="193"/>
    <n v="64484"/>
    <n v="65776"/>
    <n v="15360"/>
    <n v="903.81799999999998"/>
    <n v="9086"/>
    <n v="238007"/>
    <n v="5135.7"/>
    <n v="1147"/>
    <n v="5266.4"/>
    <m/>
    <m/>
    <n v="61"/>
    <n v="63"/>
    <n v="10"/>
    <n v="0.115"/>
    <n v="6"/>
    <n v="62"/>
    <n v="3.4"/>
    <n v="13.5"/>
    <n v="7.3"/>
    <n v="70"/>
    <n v="10"/>
    <n v="2026"/>
    <n v="3"/>
    <x v="8"/>
    <n v="75"/>
    <n v="8000"/>
    <n v="350"/>
  </r>
  <r>
    <x v="194"/>
    <n v="64547"/>
    <n v="65841"/>
    <n v="15371"/>
    <n v="904.19500000000005"/>
    <n v="9092"/>
    <n v="238072"/>
    <n v="5138.8999999999996"/>
    <n v="1159"/>
    <n v="5274"/>
    <m/>
    <m/>
    <n v="63"/>
    <n v="65"/>
    <n v="11"/>
    <n v="0.377"/>
    <n v="6"/>
    <n v="65"/>
    <n v="3.2"/>
    <n v="12"/>
    <n v="7.6"/>
    <n v="68"/>
    <n v="10"/>
    <n v="2026"/>
    <n v="3"/>
    <x v="8"/>
    <n v="75"/>
    <n v="8000"/>
    <n v="350"/>
  </r>
  <r>
    <x v="195"/>
    <n v="64615"/>
    <n v="65910"/>
    <n v="15382"/>
    <n v="904.35599999999999"/>
    <n v="9099"/>
    <n v="238143"/>
    <n v="5140.8999999999996"/>
    <n v="1170.8"/>
    <n v="5278.2"/>
    <m/>
    <m/>
    <n v="68"/>
    <n v="69"/>
    <n v="11"/>
    <n v="0.161"/>
    <n v="7"/>
    <n v="71"/>
    <n v="2"/>
    <n v="11.8"/>
    <n v="4.2"/>
    <n v="65"/>
    <n v="11"/>
    <n v="2026"/>
    <n v="3"/>
    <x v="8"/>
    <n v="75"/>
    <n v="8000"/>
    <n v="350"/>
  </r>
  <r>
    <x v="196"/>
    <n v="64682"/>
    <n v="65979"/>
    <n v="15396"/>
    <n v="904.47500000000002"/>
    <n v="9112"/>
    <n v="238212"/>
    <n v="5143.8999999999996"/>
    <n v="1182.5999999999999"/>
    <n v="5282.6"/>
    <m/>
    <m/>
    <n v="67"/>
    <n v="69"/>
    <n v="14"/>
    <n v="0.11899999999999999"/>
    <n v="13"/>
    <n v="69"/>
    <n v="3"/>
    <n v="11.8"/>
    <n v="4.4000000000000004"/>
    <n v="61"/>
    <n v="11"/>
    <n v="2026"/>
    <n v="3"/>
    <x v="8"/>
    <n v="75"/>
    <n v="8000"/>
    <n v="350"/>
  </r>
  <r>
    <x v="197"/>
    <n v="64753"/>
    <n v="66050"/>
    <n v="15416"/>
    <n v="905.85"/>
    <n v="9125"/>
    <n v="238285"/>
    <n v="5148"/>
    <n v="1199.0999999999999"/>
    <n v="5288.6"/>
    <m/>
    <m/>
    <n v="71"/>
    <n v="71"/>
    <n v="20"/>
    <n v="1.375"/>
    <n v="13"/>
    <n v="73"/>
    <n v="4.0999999999999996"/>
    <n v="16.5"/>
    <n v="6"/>
    <n v="58"/>
    <n v="11"/>
    <n v="2026"/>
    <n v="3"/>
    <x v="8"/>
    <n v="75"/>
    <n v="8000"/>
    <n v="350"/>
  </r>
  <r>
    <x v="198"/>
    <n v="64830"/>
    <n v="66129"/>
    <n v="15440"/>
    <n v="910.45"/>
    <n v="9135"/>
    <n v="238365"/>
    <n v="5151.82"/>
    <n v="1217.2"/>
    <n v="5294.88"/>
    <m/>
    <m/>
    <n v="77"/>
    <n v="79"/>
    <n v="24"/>
    <n v="4.5999999999999996"/>
    <n v="10"/>
    <n v="80"/>
    <n v="3.82"/>
    <n v="18.100000000000001"/>
    <n v="6.28"/>
    <n v="65"/>
    <n v="11"/>
    <n v="2026"/>
    <n v="3"/>
    <x v="8"/>
    <n v="75"/>
    <n v="8000"/>
    <n v="350"/>
  </r>
  <r>
    <x v="199"/>
    <n v="64884"/>
    <n v="66184"/>
    <n v="15458"/>
    <n v="910.65700000000004"/>
    <n v="9135"/>
    <n v="238421"/>
    <n v="5154.6000000000004"/>
    <n v="1227.8"/>
    <n v="5298.9"/>
    <m/>
    <m/>
    <n v="54"/>
    <n v="55"/>
    <n v="18"/>
    <n v="0.20699999999999999"/>
    <n v="0"/>
    <n v="56"/>
    <n v="2.78"/>
    <n v="10.6"/>
    <n v="4.0199999999999996"/>
    <n v="62"/>
    <n v="11"/>
    <n v="2026"/>
    <n v="3"/>
    <x v="8"/>
    <n v="75"/>
    <n v="8000"/>
    <n v="350"/>
  </r>
  <r>
    <x v="200"/>
    <n v="64949"/>
    <n v="66250"/>
    <n v="15476"/>
    <n v="911.06100000000004"/>
    <n v="9143"/>
    <n v="238489"/>
    <n v="5156.8"/>
    <n v="1236.5"/>
    <n v="5302.4"/>
    <m/>
    <m/>
    <n v="65"/>
    <n v="66"/>
    <n v="18"/>
    <n v="0.40400000000000003"/>
    <n v="8"/>
    <n v="68"/>
    <n v="2.2000000000000002"/>
    <n v="8.6999999999999993"/>
    <n v="3.5"/>
    <n v="58"/>
    <n v="11"/>
    <n v="2026"/>
    <n v="3"/>
    <x v="8"/>
    <n v="75"/>
    <n v="8000"/>
    <n v="350"/>
  </r>
  <r>
    <x v="201"/>
    <n v="65022"/>
    <n v="66323"/>
    <n v="15500"/>
    <n v="911.30499999999995"/>
    <n v="9149"/>
    <n v="238565"/>
    <n v="5160"/>
    <n v="1254"/>
    <n v="5306.8"/>
    <m/>
    <m/>
    <n v="73"/>
    <n v="73"/>
    <n v="24"/>
    <n v="0.24399999999999999"/>
    <n v="6"/>
    <n v="76"/>
    <n v="3.2"/>
    <n v="17.5"/>
    <n v="4.4000000000000004"/>
    <n v="78"/>
    <n v="12"/>
    <n v="2026"/>
    <n v="3"/>
    <x v="8"/>
    <n v="75"/>
    <n v="8000"/>
    <n v="350"/>
  </r>
  <r>
    <x v="202"/>
    <n v="65082"/>
    <n v="66384"/>
    <n v="15518"/>
    <n v="911.30499999999995"/>
    <n v="9158"/>
    <n v="238628"/>
    <n v="5163.7"/>
    <n v="1265.5"/>
    <n v="5311.2"/>
    <m/>
    <m/>
    <n v="60"/>
    <n v="61"/>
    <n v="18"/>
    <n v="0"/>
    <n v="9"/>
    <n v="63"/>
    <n v="3.7"/>
    <n v="11.5"/>
    <n v="4.4000000000000004"/>
    <n v="77"/>
    <n v="12"/>
    <n v="2026"/>
    <n v="3"/>
    <x v="8"/>
    <n v="75"/>
    <n v="8000"/>
    <n v="350"/>
  </r>
  <r>
    <x v="203"/>
    <n v="65175"/>
    <n v="66479"/>
    <n v="15537"/>
    <n v="911.44899999999996"/>
    <n v="9167"/>
    <n v="238724"/>
    <n v="5168.1000000000004"/>
    <n v="1280.3"/>
    <n v="5316.5"/>
    <m/>
    <m/>
    <n v="93"/>
    <n v="95"/>
    <n v="19"/>
    <n v="0.14399999999999999"/>
    <n v="9"/>
    <n v="96"/>
    <n v="4.4000000000000004"/>
    <n v="14.8"/>
    <n v="5.3"/>
    <n v="75"/>
    <n v="12"/>
    <n v="2026"/>
    <n v="3"/>
    <x v="8"/>
    <n v="75"/>
    <n v="8000"/>
    <n v="350"/>
  </r>
  <r>
    <x v="204"/>
    <n v="65237"/>
    <n v="66541"/>
    <n v="15554"/>
    <n v="911.94"/>
    <n v="9177"/>
    <n v="238788"/>
    <n v="5172.3999999999996"/>
    <n v="1296"/>
    <n v="5322"/>
    <m/>
    <m/>
    <n v="62"/>
    <n v="62"/>
    <n v="17"/>
    <n v="0.49099999999999999"/>
    <n v="10"/>
    <n v="64"/>
    <n v="4.3"/>
    <n v="15.7"/>
    <n v="5.5"/>
    <n v="71"/>
    <n v="12"/>
    <n v="2026"/>
    <n v="3"/>
    <x v="8"/>
    <n v="75"/>
    <n v="8000"/>
    <n v="350"/>
  </r>
  <r>
    <x v="205"/>
    <n v="65316"/>
    <n v="66621"/>
    <n v="15569"/>
    <n v="912.00099999999998"/>
    <n v="9190"/>
    <n v="238870"/>
    <n v="5175.5"/>
    <n v="1309.2"/>
    <n v="5326.8"/>
    <m/>
    <m/>
    <n v="79"/>
    <n v="80"/>
    <n v="15"/>
    <n v="6.0999999999999999E-2"/>
    <n v="13"/>
    <n v="82"/>
    <n v="3.1"/>
    <n v="13.2"/>
    <n v="4.8"/>
    <n v="68"/>
    <n v="12"/>
    <n v="2026"/>
    <n v="3"/>
    <x v="8"/>
    <n v="75"/>
    <n v="8000"/>
    <n v="350"/>
  </r>
  <r>
    <x v="206"/>
    <n v="65364"/>
    <n v="66670"/>
    <n v="15589"/>
    <n v="912.22500000000002"/>
    <n v="9202"/>
    <n v="238920"/>
    <n v="5179.8"/>
    <n v="1324.4"/>
    <n v="5332.4"/>
    <m/>
    <m/>
    <n v="48"/>
    <n v="49"/>
    <n v="20"/>
    <n v="0.224"/>
    <n v="12"/>
    <n v="50"/>
    <n v="4.3"/>
    <n v="15.2"/>
    <n v="5.6"/>
    <n v="66"/>
    <n v="12"/>
    <n v="2026"/>
    <n v="3"/>
    <x v="8"/>
    <n v="75"/>
    <n v="8000"/>
    <n v="350"/>
  </r>
  <r>
    <x v="207"/>
    <n v="65452"/>
    <n v="66760"/>
    <n v="15618"/>
    <n v="912.93200000000002"/>
    <n v="9207"/>
    <n v="239013"/>
    <n v="5183"/>
    <n v="1343.2"/>
    <n v="5338.1"/>
    <m/>
    <m/>
    <n v="88"/>
    <n v="90"/>
    <n v="29"/>
    <n v="0.70699999999999996"/>
    <n v="5"/>
    <n v="93"/>
    <n v="3.2"/>
    <n v="18.8"/>
    <n v="5.7"/>
    <n v="61"/>
    <n v="13"/>
    <n v="2026"/>
    <n v="3"/>
    <x v="8"/>
    <n v="75"/>
    <n v="8000"/>
    <n v="350"/>
  </r>
  <r>
    <x v="208"/>
    <n v="65497"/>
    <n v="66806"/>
    <n v="15641"/>
    <n v="914.26400000000001"/>
    <n v="9221"/>
    <n v="239059"/>
    <n v="5186.1000000000004"/>
    <n v="1354.9"/>
    <n v="5342.3"/>
    <m/>
    <m/>
    <n v="45"/>
    <n v="46"/>
    <n v="23"/>
    <n v="1.3320000000000001"/>
    <n v="14"/>
    <n v="46"/>
    <n v="3.1"/>
    <n v="11.7"/>
    <n v="4.2"/>
    <n v="59"/>
    <n v="13"/>
    <n v="2026"/>
    <n v="3"/>
    <x v="8"/>
    <n v="75"/>
    <n v="8000"/>
    <n v="350"/>
  </r>
  <r>
    <x v="209"/>
    <n v="65565"/>
    <n v="66875"/>
    <n v="15655"/>
    <n v="914.68399999999997"/>
    <n v="9236"/>
    <n v="239127"/>
    <n v="5190.2"/>
    <n v="1369.8"/>
    <n v="5347.8"/>
    <m/>
    <m/>
    <n v="68"/>
    <n v="69"/>
    <n v="14"/>
    <n v="0.42"/>
    <n v="15"/>
    <n v="68"/>
    <n v="4.0999999999999996"/>
    <n v="14.9"/>
    <n v="5.5"/>
    <n v="55"/>
    <n v="13"/>
    <n v="2026"/>
    <n v="3"/>
    <x v="8"/>
    <n v="75"/>
    <n v="8000"/>
    <n v="350"/>
  </r>
  <r>
    <x v="210"/>
    <n v="65648"/>
    <n v="66960"/>
    <n v="15674"/>
    <n v="916.34699999999998"/>
    <n v="9247"/>
    <n v="239209"/>
    <n v="5194.3"/>
    <n v="1386.6"/>
    <n v="5353.6"/>
    <m/>
    <m/>
    <n v="83"/>
    <n v="85"/>
    <n v="19"/>
    <n v="1.663"/>
    <n v="11"/>
    <n v="82"/>
    <n v="4.0999999999999996"/>
    <n v="16.8"/>
    <n v="5.8"/>
    <n v="51"/>
    <n v="13"/>
    <n v="2026"/>
    <n v="3"/>
    <x v="8"/>
    <n v="75"/>
    <n v="8000"/>
    <n v="350"/>
  </r>
  <r>
    <x v="211"/>
    <n v="65705"/>
    <n v="67017"/>
    <n v="15691"/>
    <n v="918.63400000000001"/>
    <n v="9253"/>
    <n v="239266"/>
    <n v="5198"/>
    <n v="1403"/>
    <n v="5359.6"/>
    <m/>
    <m/>
    <n v="57"/>
    <n v="57"/>
    <n v="17"/>
    <n v="2.2869999999999999"/>
    <n v="6"/>
    <n v="57"/>
    <n v="3.7"/>
    <n v="16.399999999999999"/>
    <n v="6"/>
    <n v="80"/>
    <n v="13"/>
    <n v="2026"/>
    <n v="3"/>
    <x v="8"/>
    <n v="75"/>
    <n v="8000"/>
    <n v="350"/>
  </r>
  <r>
    <x v="212"/>
    <n v="65764"/>
    <n v="67078"/>
    <n v="15705"/>
    <n v="918.88400000000001"/>
    <n v="9267"/>
    <n v="239326"/>
    <n v="5201.8999999999996"/>
    <n v="1419.6"/>
    <n v="5365.7"/>
    <m/>
    <m/>
    <n v="59"/>
    <n v="61"/>
    <n v="14"/>
    <n v="0.25"/>
    <n v="14"/>
    <n v="60"/>
    <n v="3.9"/>
    <n v="16.600000000000001"/>
    <n v="6.1"/>
    <n v="77"/>
    <n v="13"/>
    <n v="2026"/>
    <n v="3"/>
    <x v="8"/>
    <n v="75"/>
    <n v="8000"/>
    <n v="350"/>
  </r>
  <r>
    <x v="213"/>
    <n v="65820"/>
    <n v="67135"/>
    <n v="15715"/>
    <n v="919.149"/>
    <n v="9270"/>
    <n v="239382"/>
    <n v="5205"/>
    <n v="1437.2"/>
    <n v="5370.1"/>
    <m/>
    <m/>
    <n v="56"/>
    <n v="57"/>
    <n v="10"/>
    <n v="0.26500000000000001"/>
    <n v="3"/>
    <n v="56"/>
    <n v="3.1"/>
    <n v="17.600000000000001"/>
    <n v="4.4000000000000004"/>
    <n v="75"/>
    <n v="14"/>
    <n v="2026"/>
    <n v="3"/>
    <x v="8"/>
    <n v="75"/>
    <n v="8000"/>
    <n v="350"/>
  </r>
  <r>
    <x v="214"/>
    <n v="65871"/>
    <n v="67187"/>
    <n v="15726"/>
    <n v="919.47400000000005"/>
    <n v="9283"/>
    <n v="239434"/>
    <n v="5207.8999999999996"/>
    <n v="1448.2"/>
    <n v="5374.5"/>
    <m/>
    <m/>
    <n v="51"/>
    <n v="52"/>
    <n v="11"/>
    <n v="0.32500000000000001"/>
    <n v="13"/>
    <n v="52"/>
    <n v="2.9"/>
    <n v="11"/>
    <n v="4.4000000000000004"/>
    <n v="70"/>
    <n v="14"/>
    <n v="2026"/>
    <n v="3"/>
    <x v="8"/>
    <n v="75"/>
    <n v="8000"/>
    <n v="350"/>
  </r>
  <r>
    <x v="215"/>
    <n v="65918"/>
    <n v="67235"/>
    <n v="15736"/>
    <n v="919.64200000000005"/>
    <n v="9294"/>
    <n v="239482"/>
    <n v="5210.5"/>
    <n v="1457.6"/>
    <n v="5377.7"/>
    <m/>
    <m/>
    <n v="47"/>
    <n v="48"/>
    <n v="10"/>
    <n v="0.16800000000000001"/>
    <n v="11"/>
    <n v="48"/>
    <n v="2.6"/>
    <n v="9.4"/>
    <n v="3.2"/>
    <n v="70"/>
    <n v="14"/>
    <n v="2026"/>
    <n v="4"/>
    <x v="9"/>
    <n v="75"/>
    <n v="8000"/>
    <n v="350"/>
  </r>
  <r>
    <x v="216"/>
    <n v="65954"/>
    <n v="67272"/>
    <n v="15755"/>
    <n v="919.64200000000005"/>
    <n v="9300"/>
    <n v="239518"/>
    <n v="5213.3"/>
    <n v="1467.3"/>
    <n v="5379.9"/>
    <m/>
    <m/>
    <n v="36"/>
    <n v="37"/>
    <n v="19"/>
    <n v="0"/>
    <n v="6"/>
    <n v="36"/>
    <n v="2.8"/>
    <n v="9.6999999999999993"/>
    <n v="2.2000000000000002"/>
    <n v="70"/>
    <n v="14"/>
    <n v="2026"/>
    <n v="4"/>
    <x v="9"/>
    <n v="75"/>
    <n v="8000"/>
    <n v="350"/>
  </r>
  <r>
    <x v="217"/>
    <n v="66056"/>
    <n v="67335"/>
    <n v="15780"/>
    <n v="925.94399999999996"/>
    <n v="9300"/>
    <n v="239620"/>
    <n v="5215.8999999999996"/>
    <n v="1481.3"/>
    <n v="5382.2"/>
    <m/>
    <m/>
    <n v="102"/>
    <n v="63"/>
    <n v="25"/>
    <n v="6.3019999999999996"/>
    <n v="0"/>
    <n v="102"/>
    <n v="2.6"/>
    <n v="14"/>
    <n v="2.2999999999999998"/>
    <n v="69"/>
    <n v="15"/>
    <n v="2026"/>
    <n v="4"/>
    <x v="9"/>
    <n v="75"/>
    <n v="8000"/>
    <n v="350"/>
  </r>
  <r>
    <x v="218"/>
    <n v="66132"/>
    <n v="67414"/>
    <n v="15797"/>
    <n v="926.35"/>
    <n v="9312"/>
    <n v="239696"/>
    <n v="5219.3"/>
    <n v="1494.1"/>
    <n v="5386.5"/>
    <m/>
    <m/>
    <n v="76"/>
    <n v="79"/>
    <n v="17"/>
    <n v="0.40600000000000003"/>
    <n v="12"/>
    <n v="76"/>
    <n v="3.4"/>
    <n v="12.8"/>
    <n v="4.3"/>
    <n v="69"/>
    <n v="15"/>
    <n v="2026"/>
    <n v="4"/>
    <x v="9"/>
    <n v="75"/>
    <n v="8000"/>
    <n v="350"/>
  </r>
  <r>
    <x v="219"/>
    <n v="66202"/>
    <n v="67484"/>
    <n v="15809"/>
    <n v="926.73199999999997"/>
    <n v="9320"/>
    <n v="239766"/>
    <n v="5222.8"/>
    <n v="1509.3"/>
    <n v="5391.7"/>
    <m/>
    <m/>
    <n v="70"/>
    <n v="70"/>
    <n v="12"/>
    <n v="0.38200000000000001"/>
    <n v="8"/>
    <n v="70"/>
    <n v="3.5"/>
    <n v="15.2"/>
    <n v="5.2"/>
    <n v="67"/>
    <n v="15"/>
    <n v="2026"/>
    <n v="4"/>
    <x v="9"/>
    <n v="75"/>
    <n v="8000"/>
    <n v="350"/>
  </r>
  <r>
    <x v="220"/>
    <n v="66271"/>
    <n v="67554"/>
    <n v="15822"/>
    <n v="927.03700000000003"/>
    <n v="9329"/>
    <n v="239835"/>
    <n v="5226.3999999999996"/>
    <n v="1524.3"/>
    <n v="5397.1"/>
    <m/>
    <m/>
    <n v="69"/>
    <n v="70"/>
    <n v="13"/>
    <n v="0.30499999999999999"/>
    <n v="9"/>
    <n v="69"/>
    <n v="3.6"/>
    <n v="15"/>
    <n v="5.4"/>
    <n v="67"/>
    <n v="15"/>
    <n v="2026"/>
    <n v="4"/>
    <x v="9"/>
    <n v="75"/>
    <n v="8000"/>
    <n v="350"/>
  </r>
  <r>
    <x v="221"/>
    <n v="66350"/>
    <n v="67633"/>
    <n v="15835"/>
    <n v="928.37300000000005"/>
    <n v="9337"/>
    <n v="239913"/>
    <n v="5230.1000000000004"/>
    <n v="1540.5"/>
    <n v="5402.8"/>
    <m/>
    <m/>
    <n v="79"/>
    <n v="79"/>
    <n v="13"/>
    <n v="1.3360000000000001"/>
    <n v="8"/>
    <n v="78"/>
    <n v="3.7"/>
    <n v="16.2"/>
    <n v="5.7"/>
    <n v="67"/>
    <n v="15"/>
    <n v="2026"/>
    <n v="4"/>
    <x v="9"/>
    <n v="75"/>
    <n v="8000"/>
    <n v="350"/>
  </r>
  <r>
    <x v="222"/>
    <n v="66416"/>
    <n v="67701"/>
    <n v="15846"/>
    <n v="928.60900000000004"/>
    <n v="9346"/>
    <n v="239980"/>
    <n v="5234"/>
    <n v="1556.8"/>
    <n v="5408.4"/>
    <m/>
    <m/>
    <n v="66"/>
    <n v="68"/>
    <n v="11"/>
    <n v="0.23599999999999999"/>
    <n v="9"/>
    <n v="67"/>
    <n v="3.9"/>
    <n v="16.3"/>
    <n v="5.6"/>
    <n v="66"/>
    <n v="15"/>
    <n v="2026"/>
    <n v="4"/>
    <x v="9"/>
    <n v="75"/>
    <n v="8000"/>
    <n v="350"/>
  </r>
  <r>
    <x v="223"/>
    <n v="66487"/>
    <n v="67772"/>
    <n v="15857"/>
    <n v="928.64300000000003"/>
    <n v="9354"/>
    <n v="240054"/>
    <n v="5236"/>
    <n v="1573.84"/>
    <n v="5412.75"/>
    <m/>
    <m/>
    <n v="71"/>
    <n v="71"/>
    <n v="11"/>
    <n v="3.4000000000000002E-2"/>
    <n v="8"/>
    <n v="74"/>
    <n v="2"/>
    <n v="17.04"/>
    <n v="4.3499999999999996"/>
    <n v="65"/>
    <n v="16"/>
    <n v="2026"/>
    <n v="4"/>
    <x v="9"/>
    <n v="75"/>
    <n v="8000"/>
    <n v="350"/>
  </r>
  <r>
    <x v="224"/>
    <n v="66559"/>
    <n v="67843"/>
    <n v="15868"/>
    <n v="929.17200000000003"/>
    <n v="9354"/>
    <n v="240121"/>
    <n v="5241"/>
    <n v="1586.9"/>
    <n v="5417.3"/>
    <m/>
    <m/>
    <n v="72"/>
    <n v="71"/>
    <n v="11"/>
    <n v="0.52900000000000003"/>
    <n v="0"/>
    <n v="67"/>
    <n v="5"/>
    <n v="13.06"/>
    <n v="4.55"/>
    <n v="63"/>
    <n v="16"/>
    <n v="2026"/>
    <n v="4"/>
    <x v="9"/>
    <n v="75"/>
    <n v="8000"/>
    <n v="350"/>
  </r>
  <r>
    <x v="225"/>
    <n v="66628"/>
    <n v="67917"/>
    <n v="15880"/>
    <n v="929.42600000000004"/>
    <n v="9365"/>
    <n v="240193"/>
    <n v="5245.9"/>
    <n v="1605"/>
    <n v="5423.6"/>
    <m/>
    <m/>
    <n v="69"/>
    <n v="74"/>
    <n v="12"/>
    <n v="0.254"/>
    <n v="11"/>
    <n v="72"/>
    <n v="4.9000000000000004"/>
    <n v="18.100000000000001"/>
    <n v="6.3"/>
    <n v="59"/>
    <n v="16"/>
    <n v="2026"/>
    <n v="4"/>
    <x v="9"/>
    <n v="75"/>
    <n v="8000"/>
    <n v="350"/>
  </r>
  <r>
    <x v="226"/>
    <n v="66690"/>
    <n v="67980"/>
    <n v="15890"/>
    <n v="929.72"/>
    <n v="9374"/>
    <n v="240254"/>
    <n v="5249.5"/>
    <n v="1620.6"/>
    <n v="5428.7"/>
    <m/>
    <m/>
    <n v="62"/>
    <n v="63"/>
    <n v="10"/>
    <n v="0.29399999999999998"/>
    <n v="9"/>
    <n v="61"/>
    <n v="3.6"/>
    <n v="15.6"/>
    <n v="5.0999999999999996"/>
    <n v="55"/>
    <n v="16"/>
    <n v="2026"/>
    <n v="4"/>
    <x v="9"/>
    <n v="75"/>
    <n v="8000"/>
    <n v="350"/>
  </r>
  <r>
    <x v="227"/>
    <n v="66748"/>
    <n v="68038"/>
    <n v="15900"/>
    <n v="929.98900000000003"/>
    <n v="9384"/>
    <n v="240312"/>
    <n v="5253.3"/>
    <n v="1635.9"/>
    <n v="5434"/>
    <m/>
    <m/>
    <n v="58"/>
    <n v="58"/>
    <n v="10"/>
    <n v="0.26900000000000002"/>
    <n v="10"/>
    <n v="58"/>
    <n v="3.8"/>
    <n v="15.3"/>
    <n v="5.3"/>
    <n v="50"/>
    <n v="16"/>
    <n v="2026"/>
    <n v="4"/>
    <x v="9"/>
    <n v="75"/>
    <n v="8000"/>
    <n v="350"/>
  </r>
  <r>
    <x v="228"/>
    <n v="66792"/>
    <n v="68085"/>
    <n v="15910"/>
    <n v="930.17399999999998"/>
    <n v="9391"/>
    <n v="240357"/>
    <n v="5256.6"/>
    <n v="1649"/>
    <n v="5438.3"/>
    <m/>
    <m/>
    <n v="44"/>
    <n v="47"/>
    <n v="10"/>
    <n v="0.185"/>
    <n v="7"/>
    <n v="45"/>
    <n v="3.3"/>
    <n v="13.1"/>
    <n v="4.3"/>
    <n v="49"/>
    <n v="16"/>
    <n v="2026"/>
    <n v="4"/>
    <x v="9"/>
    <n v="75"/>
    <n v="8000"/>
    <n v="350"/>
  </r>
  <r>
    <x v="229"/>
    <n v="66848"/>
    <n v="68141"/>
    <n v="15922"/>
    <n v="931.62400000000002"/>
    <n v="9395"/>
    <n v="240413"/>
    <n v="5259.6"/>
    <n v="1664"/>
    <n v="5442.5"/>
    <m/>
    <m/>
    <n v="56"/>
    <n v="56"/>
    <n v="12"/>
    <n v="1.45"/>
    <n v="4"/>
    <n v="56"/>
    <n v="3"/>
    <n v="15"/>
    <n v="4.2"/>
    <n v="44"/>
    <n v="17"/>
    <n v="2026"/>
    <n v="4"/>
    <x v="9"/>
    <n v="75"/>
    <n v="8000"/>
    <n v="350"/>
  </r>
  <r>
    <x v="230"/>
    <n v="66911"/>
    <n v="68206"/>
    <n v="15933"/>
    <n v="932.50900000000001"/>
    <n v="9403"/>
    <n v="240476"/>
    <n v="5263"/>
    <n v="1676.9"/>
    <n v="5446.9"/>
    <m/>
    <m/>
    <n v="63"/>
    <n v="65"/>
    <n v="11"/>
    <n v="0.88500000000000001"/>
    <n v="8"/>
    <n v="63"/>
    <n v="3.4"/>
    <n v="12.9"/>
    <n v="4.4000000000000004"/>
    <n v="41"/>
    <n v="17"/>
    <n v="2026"/>
    <n v="4"/>
    <x v="9"/>
    <n v="75"/>
    <n v="8000"/>
    <n v="350"/>
  </r>
  <r>
    <x v="231"/>
    <n v="66988"/>
    <n v="68285"/>
    <n v="15944"/>
    <n v="933.31200000000001"/>
    <n v="9416"/>
    <n v="240553"/>
    <n v="5267"/>
    <n v="1693.3"/>
    <n v="5453.1"/>
    <m/>
    <m/>
    <n v="77"/>
    <n v="79"/>
    <n v="11"/>
    <n v="0.80300000000000005"/>
    <n v="13"/>
    <n v="77"/>
    <n v="4"/>
    <n v="16.399999999999999"/>
    <n v="6.2"/>
    <n v="37"/>
    <n v="17"/>
    <n v="2026"/>
    <n v="4"/>
    <x v="9"/>
    <n v="75"/>
    <n v="8000"/>
    <n v="350"/>
  </r>
  <r>
    <x v="232"/>
    <n v="67060"/>
    <n v="68358"/>
    <n v="15956"/>
    <n v="934.43700000000001"/>
    <n v="9429"/>
    <n v="240625"/>
    <n v="5270"/>
    <n v="1706.7"/>
    <n v="5458.5"/>
    <m/>
    <m/>
    <n v="72"/>
    <n v="73"/>
    <n v="12"/>
    <n v="1.125"/>
    <n v="13"/>
    <n v="72"/>
    <n v="3"/>
    <n v="13.4"/>
    <n v="5.4"/>
    <n v="35"/>
    <n v="17"/>
    <n v="2026"/>
    <n v="4"/>
    <x v="9"/>
    <n v="75"/>
    <n v="8000"/>
    <n v="350"/>
  </r>
  <r>
    <x v="233"/>
    <n v="67132"/>
    <n v="68431"/>
    <n v="15966"/>
    <n v="934.82100000000003"/>
    <n v="9443"/>
    <n v="240696"/>
    <n v="5273.6"/>
    <n v="1721.4"/>
    <n v="5464.1"/>
    <m/>
    <m/>
    <n v="72"/>
    <n v="73"/>
    <n v="10"/>
    <n v="0.38400000000000001"/>
    <n v="14"/>
    <n v="71"/>
    <n v="3.6"/>
    <n v="14.7"/>
    <n v="5.6"/>
    <n v="30"/>
    <n v="17"/>
    <n v="2026"/>
    <n v="4"/>
    <x v="9"/>
    <n v="75"/>
    <n v="8000"/>
    <n v="350"/>
  </r>
  <r>
    <x v="234"/>
    <n v="67189"/>
    <n v="68489"/>
    <n v="15976"/>
    <n v="935.20299999999997"/>
    <n v="9458"/>
    <n v="240754"/>
    <n v="5276.8"/>
    <n v="1737.1"/>
    <n v="5468.5"/>
    <m/>
    <m/>
    <n v="57"/>
    <n v="58"/>
    <n v="10"/>
    <n v="0.38200000000000001"/>
    <n v="15"/>
    <n v="58"/>
    <n v="3.2"/>
    <n v="15.7"/>
    <n v="4.4000000000000004"/>
    <n v="27"/>
    <n v="17"/>
    <n v="2026"/>
    <n v="4"/>
    <x v="9"/>
    <n v="75"/>
    <n v="8000"/>
    <n v="350"/>
  </r>
  <r>
    <x v="235"/>
    <n v="67262"/>
    <n v="68561"/>
    <n v="15990"/>
    <n v="936.93799999999999"/>
    <n v="9461"/>
    <n v="240828"/>
    <n v="5279.2"/>
    <n v="1752.8"/>
    <n v="5471.5"/>
    <m/>
    <m/>
    <n v="73"/>
    <n v="72"/>
    <n v="14"/>
    <n v="1.7350000000000001"/>
    <n v="3"/>
    <n v="74"/>
    <n v="2.4"/>
    <n v="15.7"/>
    <n v="3"/>
    <n v="80"/>
    <n v="18"/>
    <n v="2026"/>
    <n v="4"/>
    <x v="9"/>
    <n v="75"/>
    <n v="8000"/>
    <n v="350"/>
  </r>
  <r>
    <x v="236"/>
    <n v="67317"/>
    <n v="68627"/>
    <n v="16001"/>
    <n v="936.93799999999999"/>
    <n v="9469"/>
    <n v="240863"/>
    <n v="5283"/>
    <n v="1766.8"/>
    <n v="5476.1"/>
    <m/>
    <m/>
    <n v="55"/>
    <n v="66"/>
    <n v="11"/>
    <n v="0"/>
    <n v="8"/>
    <n v="35"/>
    <n v="3.8"/>
    <n v="14"/>
    <n v="4.5999999999999996"/>
    <n v="79"/>
    <n v="18"/>
    <n v="2026"/>
    <n v="4"/>
    <x v="9"/>
    <n v="75"/>
    <n v="8000"/>
    <n v="350"/>
  </r>
  <r>
    <x v="237"/>
    <n v="67324"/>
    <n v="68630"/>
    <n v="16011"/>
    <n v="937.38800000000003"/>
    <n v="9481"/>
    <n v="240887"/>
    <n v="5287.8"/>
    <n v="1783.9"/>
    <n v="5481.5"/>
    <m/>
    <m/>
    <n v="7"/>
    <n v="3"/>
    <n v="10"/>
    <n v="0.45"/>
    <n v="12"/>
    <n v="24"/>
    <n v="4.8"/>
    <n v="17.100000000000001"/>
    <n v="5.4"/>
    <n v="76"/>
    <n v="18"/>
    <n v="2026"/>
    <n v="4"/>
    <x v="9"/>
    <n v="75"/>
    <n v="8000"/>
    <n v="350"/>
  </r>
  <r>
    <x v="238"/>
    <n v="67384"/>
    <n v="68692"/>
    <n v="16023"/>
    <n v="937.79200000000003"/>
    <n v="9489"/>
    <n v="240948"/>
    <n v="5292.2"/>
    <n v="1799"/>
    <n v="5486.6"/>
    <m/>
    <m/>
    <n v="60"/>
    <n v="62"/>
    <n v="12"/>
    <n v="0.40400000000000003"/>
    <n v="8"/>
    <n v="61"/>
    <n v="4.4000000000000004"/>
    <n v="15.1"/>
    <n v="5.0999999999999996"/>
    <n v="73"/>
    <n v="18"/>
    <n v="2026"/>
    <n v="4"/>
    <x v="9"/>
    <n v="75"/>
    <n v="8000"/>
    <n v="350"/>
  </r>
  <r>
    <x v="239"/>
    <n v="67520"/>
    <n v="68828"/>
    <n v="16048"/>
    <n v="939.35799999999995"/>
    <n v="9500"/>
    <n v="241083"/>
    <n v="5298.9"/>
    <n v="1831.4"/>
    <n v="5494.8"/>
    <m/>
    <m/>
    <n v="136"/>
    <n v="136"/>
    <n v="25"/>
    <n v="1.5660000000000001"/>
    <n v="11"/>
    <n v="135"/>
    <n v="6.7"/>
    <n v="32.4"/>
    <n v="8.1999999999999993"/>
    <n v="70"/>
    <n v="19"/>
    <n v="2026"/>
    <n v="5"/>
    <x v="10"/>
    <n v="75"/>
    <n v="8000"/>
    <n v="350"/>
  </r>
  <r>
    <x v="240"/>
    <n v="67595"/>
    <n v="68905"/>
    <n v="16060"/>
    <n v="940.22699999999998"/>
    <n v="9512"/>
    <n v="241158"/>
    <n v="5302.1"/>
    <n v="1843"/>
    <n v="5499.2"/>
    <m/>
    <m/>
    <n v="75"/>
    <n v="77"/>
    <n v="12"/>
    <n v="0.86899999999999999"/>
    <n v="12"/>
    <n v="75"/>
    <n v="3.2"/>
    <n v="11.6"/>
    <n v="4.4000000000000004"/>
    <n v="66"/>
    <n v="19"/>
    <n v="2026"/>
    <n v="5"/>
    <x v="10"/>
    <n v="75"/>
    <n v="8000"/>
    <n v="350"/>
  </r>
  <r>
    <x v="241"/>
    <n v="67687"/>
    <n v="68996"/>
    <n v="16071"/>
    <n v="940.55899999999997"/>
    <n v="9524"/>
    <n v="241248"/>
    <n v="5306.3"/>
    <n v="1858.7"/>
    <n v="5504.7"/>
    <m/>
    <m/>
    <n v="92"/>
    <n v="91"/>
    <n v="11"/>
    <n v="0.33200000000000002"/>
    <n v="12"/>
    <n v="90"/>
    <n v="4.2"/>
    <n v="15.7"/>
    <n v="5.5"/>
    <n v="62"/>
    <n v="19"/>
    <n v="2026"/>
    <n v="5"/>
    <x v="10"/>
    <n v="75"/>
    <n v="8000"/>
    <n v="350"/>
  </r>
  <r>
    <x v="242"/>
    <n v="67772"/>
    <n v="69085"/>
    <n v="16087"/>
    <n v="940.84900000000005"/>
    <n v="9533"/>
    <n v="241334"/>
    <n v="5310.5"/>
    <n v="1874.9"/>
    <n v="5510.4"/>
    <m/>
    <m/>
    <n v="85"/>
    <n v="89"/>
    <n v="16"/>
    <n v="0.28999999999999998"/>
    <n v="9"/>
    <n v="86"/>
    <n v="4.2"/>
    <n v="16.2"/>
    <n v="5.7"/>
    <n v="60"/>
    <n v="19"/>
    <n v="2026"/>
    <n v="5"/>
    <x v="10"/>
    <n v="75"/>
    <n v="8000"/>
    <n v="350"/>
  </r>
  <r>
    <x v="243"/>
    <n v="67853"/>
    <n v="69167"/>
    <n v="16100"/>
    <n v="941.25099999999998"/>
    <n v="9541"/>
    <n v="241414"/>
    <n v="5314.8"/>
    <n v="1890.9"/>
    <n v="5516"/>
    <m/>
    <m/>
    <n v="81"/>
    <n v="82"/>
    <n v="13"/>
    <n v="0.40200000000000002"/>
    <n v="8"/>
    <n v="80"/>
    <n v="4.3"/>
    <n v="16"/>
    <n v="5.6"/>
    <n v="57"/>
    <n v="19"/>
    <n v="2026"/>
    <n v="5"/>
    <x v="10"/>
    <n v="75"/>
    <n v="8000"/>
    <n v="350"/>
  </r>
  <r>
    <x v="244"/>
    <n v="67916"/>
    <n v="69232"/>
    <n v="16111"/>
    <n v="942.09199999999998"/>
    <n v="9554"/>
    <n v="241477"/>
    <n v="5319"/>
    <n v="1905.3"/>
    <n v="5520.1"/>
    <m/>
    <m/>
    <n v="63"/>
    <n v="65"/>
    <n v="11"/>
    <n v="0.84099999999999997"/>
    <n v="13"/>
    <n v="63"/>
    <n v="4.2"/>
    <n v="14.4"/>
    <n v="4.0999999999999996"/>
    <n v="56"/>
    <n v="19"/>
    <n v="2026"/>
    <n v="5"/>
    <x v="10"/>
    <n v="75"/>
    <n v="8000"/>
    <n v="350"/>
  </r>
  <r>
    <x v="245"/>
    <n v="67989"/>
    <n v="69305"/>
    <n v="16123"/>
    <n v="943.29"/>
    <n v="9560"/>
    <n v="241550"/>
    <n v="5321.6"/>
    <n v="1921.1"/>
    <n v="5523.8"/>
    <m/>
    <m/>
    <n v="73"/>
    <n v="73"/>
    <n v="12"/>
    <n v="1.198"/>
    <n v="6"/>
    <n v="73"/>
    <n v="2.6"/>
    <n v="15.8"/>
    <n v="3.7"/>
    <n v="55"/>
    <n v="20"/>
    <n v="2026"/>
    <n v="5"/>
    <x v="10"/>
    <n v="75"/>
    <n v="8000"/>
    <n v="350"/>
  </r>
  <r>
    <x v="246"/>
    <n v="68059"/>
    <n v="69377"/>
    <n v="16134"/>
    <n v="943.65599999999995"/>
    <n v="9570"/>
    <n v="241621"/>
    <n v="5324.8"/>
    <n v="1933.5"/>
    <n v="5528.4"/>
    <m/>
    <m/>
    <n v="70"/>
    <n v="72"/>
    <n v="11"/>
    <n v="0.36599999999999999"/>
    <n v="10"/>
    <n v="71"/>
    <n v="3.2"/>
    <n v="12.4"/>
    <n v="4.5999999999999996"/>
    <n v="55"/>
    <n v="20"/>
    <n v="2026"/>
    <n v="5"/>
    <x v="10"/>
    <n v="75"/>
    <n v="8000"/>
    <n v="350"/>
  </r>
  <r>
    <x v="247"/>
    <n v="68145"/>
    <n v="69465"/>
    <n v="16146"/>
    <n v="943.93600000000004"/>
    <n v="9577"/>
    <n v="241709"/>
    <n v="5329"/>
    <n v="1949.2"/>
    <n v="5533.9"/>
    <m/>
    <m/>
    <n v="86"/>
    <n v="88"/>
    <n v="12"/>
    <n v="0.28000000000000003"/>
    <n v="7"/>
    <n v="88"/>
    <n v="4.2"/>
    <n v="15.7"/>
    <n v="5.5"/>
    <n v="53"/>
    <n v="20"/>
    <n v="2026"/>
    <n v="5"/>
    <x v="10"/>
    <n v="75"/>
    <n v="8000"/>
    <n v="350"/>
  </r>
  <r>
    <x v="248"/>
    <n v="68231"/>
    <n v="69552"/>
    <n v="16172"/>
    <n v="944.303"/>
    <n v="9582"/>
    <n v="241792"/>
    <n v="5333.1"/>
    <n v="1964.2"/>
    <n v="5539.2"/>
    <m/>
    <m/>
    <n v="86"/>
    <n v="87"/>
    <n v="26"/>
    <n v="0.36699999999999999"/>
    <n v="5"/>
    <n v="83"/>
    <n v="4.0999999999999996"/>
    <n v="15"/>
    <n v="5.3"/>
    <n v="51"/>
    <n v="20"/>
    <n v="2026"/>
    <n v="5"/>
    <x v="10"/>
    <n v="75"/>
    <n v="8000"/>
    <n v="350"/>
  </r>
  <r>
    <x v="249"/>
    <n v="68302"/>
    <n v="69624"/>
    <n v="16186"/>
    <n v="944.69200000000001"/>
    <n v="9587"/>
    <n v="241862"/>
    <n v="5336.6"/>
    <n v="1979.1"/>
    <n v="5544.3"/>
    <m/>
    <m/>
    <n v="71"/>
    <n v="72"/>
    <n v="14"/>
    <n v="0.38900000000000001"/>
    <n v="5"/>
    <n v="70"/>
    <n v="3.5"/>
    <n v="14.9"/>
    <n v="5.0999999999999996"/>
    <n v="52"/>
    <n v="20"/>
    <n v="2026"/>
    <n v="5"/>
    <x v="10"/>
    <n v="75"/>
    <n v="8000"/>
    <n v="350"/>
  </r>
  <r>
    <x v="250"/>
    <n v="68351"/>
    <n v="69674"/>
    <n v="16198"/>
    <n v="944.88800000000003"/>
    <n v="9598"/>
    <n v="241911"/>
    <n v="5340.7"/>
    <n v="1994.5"/>
    <n v="5549.4"/>
    <m/>
    <m/>
    <n v="49"/>
    <n v="50"/>
    <n v="12"/>
    <n v="0.19600000000000001"/>
    <n v="11"/>
    <n v="49"/>
    <n v="4.0999999999999996"/>
    <n v="15.4"/>
    <n v="5.0999999999999996"/>
    <n v="53"/>
    <n v="20"/>
    <n v="2026"/>
    <n v="5"/>
    <x v="10"/>
    <n v="75"/>
    <n v="8000"/>
    <n v="350"/>
  </r>
  <r>
    <x v="251"/>
    <n v="68442"/>
    <n v="69765"/>
    <n v="16211"/>
    <n v="945.99199999999996"/>
    <n v="9604"/>
    <n v="242002"/>
    <n v="5343.7"/>
    <n v="2010.6"/>
    <n v="5553.1"/>
    <n v="3001"/>
    <n v="125"/>
    <n v="91"/>
    <n v="91"/>
    <n v="13"/>
    <n v="1.1040000000000001"/>
    <n v="6"/>
    <n v="91"/>
    <n v="3"/>
    <n v="16.100000000000001"/>
    <n v="3.7"/>
    <n v="52"/>
    <n v="21"/>
    <n v="2026"/>
    <n v="5"/>
    <x v="10"/>
    <n v="75"/>
    <n v="8000"/>
    <n v="350"/>
  </r>
  <r>
    <x v="252"/>
    <n v="68517"/>
    <n v="69841"/>
    <n v="16223"/>
    <n v="946.08699999999999"/>
    <n v="9613"/>
    <n v="242077"/>
    <n v="5347.3"/>
    <n v="2022.5"/>
    <n v="5556.7"/>
    <n v="5179"/>
    <n v="216"/>
    <n v="75"/>
    <n v="76"/>
    <n v="12"/>
    <n v="9.5000000000000001E-2"/>
    <n v="9"/>
    <n v="75"/>
    <n v="3.6"/>
    <n v="11.9"/>
    <n v="3.6"/>
    <n v="52"/>
    <n v="21"/>
    <n v="2026"/>
    <n v="5"/>
    <x v="10"/>
    <n v="75"/>
    <n v="8000"/>
    <n v="350"/>
  </r>
  <r>
    <x v="253"/>
    <n v="68614"/>
    <n v="69940"/>
    <n v="16239"/>
    <n v="946.23299999999995"/>
    <n v="9620"/>
    <n v="242173"/>
    <n v="5351.7"/>
    <n v="2040.2"/>
    <n v="5561.9"/>
    <n v="8072"/>
    <n v="337"/>
    <n v="97"/>
    <n v="99"/>
    <n v="16"/>
    <n v="0.14599999999999999"/>
    <n v="7"/>
    <n v="96"/>
    <n v="4.4000000000000004"/>
    <n v="17.7"/>
    <n v="5.2"/>
    <n v="52"/>
    <n v="21"/>
    <n v="2026"/>
    <n v="5"/>
    <x v="10"/>
    <n v="75"/>
    <n v="8000"/>
    <n v="350"/>
  </r>
  <r>
    <x v="254"/>
    <n v="68689"/>
    <n v="70017"/>
    <n v="16251"/>
    <n v="946.76499999999999"/>
    <n v="9629"/>
    <n v="242248"/>
    <n v="5355.6"/>
    <n v="2055.6"/>
    <n v="5566.4"/>
    <n v="8263"/>
    <n v="344"/>
    <n v="75"/>
    <n v="77"/>
    <n v="12"/>
    <n v="0.53200000000000003"/>
    <n v="9"/>
    <n v="75"/>
    <n v="3.9"/>
    <n v="15.4"/>
    <n v="4.5"/>
    <n v="52"/>
    <n v="21"/>
    <n v="2026"/>
    <n v="5"/>
    <x v="10"/>
    <n v="75"/>
    <n v="8000"/>
    <n v="350"/>
  </r>
  <r>
    <x v="255"/>
    <n v="68776"/>
    <n v="70104"/>
    <n v="16270"/>
    <n v="947.94200000000001"/>
    <n v="9641"/>
    <n v="242335"/>
    <n v="5359.1"/>
    <n v="2070.1"/>
    <n v="5570.7"/>
    <n v="7063"/>
    <n v="294"/>
    <n v="87"/>
    <n v="87"/>
    <n v="19"/>
    <n v="1.177"/>
    <n v="12"/>
    <n v="87"/>
    <n v="3.5"/>
    <n v="14.5"/>
    <n v="4.3"/>
    <n v="52"/>
    <n v="21"/>
    <n v="2026"/>
    <n v="5"/>
    <x v="10"/>
    <n v="75"/>
    <n v="8000"/>
    <n v="350"/>
  </r>
  <r>
    <x v="256"/>
    <n v="68850"/>
    <n v="70180"/>
    <n v="16283"/>
    <n v="948.202"/>
    <n v="9655"/>
    <n v="242409"/>
    <n v="5362.5"/>
    <n v="2085.3000000000002"/>
    <n v="5574.8"/>
    <n v="7409"/>
    <n v="309"/>
    <n v="74"/>
    <n v="76"/>
    <n v="13"/>
    <n v="0.26"/>
    <n v="14"/>
    <n v="74"/>
    <n v="3.4"/>
    <n v="15.2"/>
    <n v="4.0999999999999996"/>
    <n v="52"/>
    <n v="21"/>
    <n v="2026"/>
    <n v="5"/>
    <x v="10"/>
    <n v="75"/>
    <n v="8000"/>
    <n v="350"/>
  </r>
  <r>
    <x v="257"/>
    <n v="68931"/>
    <n v="70261"/>
    <n v="16298"/>
    <n v="949.005"/>
    <n v="9662"/>
    <n v="242490"/>
    <n v="5365.4"/>
    <n v="2102.3000000000002"/>
    <n v="5578.6"/>
    <n v="6722"/>
    <n v="280"/>
    <n v="81"/>
    <n v="81"/>
    <n v="15"/>
    <n v="0.80300000000000005"/>
    <n v="7"/>
    <n v="81"/>
    <n v="2.9"/>
    <n v="17"/>
    <n v="3.8"/>
    <n v="51"/>
    <n v="22"/>
    <n v="2026"/>
    <n v="5"/>
    <x v="10"/>
    <n v="75"/>
    <n v="8000"/>
    <n v="350"/>
  </r>
  <r>
    <x v="258"/>
    <n v="68986"/>
    <n v="70317"/>
    <n v="16314"/>
    <n v="951.46900000000005"/>
    <n v="9669"/>
    <n v="242545"/>
    <n v="5369"/>
    <n v="2113.5"/>
    <n v="5582.6"/>
    <n v="4699"/>
    <n v="196"/>
    <n v="55"/>
    <n v="56"/>
    <n v="16"/>
    <n v="2.464"/>
    <n v="7"/>
    <n v="55"/>
    <n v="3.6"/>
    <n v="11.2"/>
    <n v="4"/>
    <n v="51"/>
    <n v="22"/>
    <n v="2026"/>
    <n v="5"/>
    <x v="10"/>
    <n v="75"/>
    <n v="8000"/>
    <n v="350"/>
  </r>
  <r>
    <x v="259"/>
    <n v="69066"/>
    <n v="70398"/>
    <n v="16328"/>
    <n v="951.80399999999997"/>
    <n v="9677"/>
    <n v="242625"/>
    <n v="5371.9"/>
    <n v="2126.8000000000002"/>
    <n v="5587"/>
    <n v="6303"/>
    <n v="263"/>
    <n v="80"/>
    <n v="81"/>
    <n v="14"/>
    <n v="0.33500000000000002"/>
    <n v="8"/>
    <n v="80"/>
    <n v="2.9"/>
    <n v="13.3"/>
    <n v="4.4000000000000004"/>
    <n v="50"/>
    <n v="22"/>
    <n v="2026"/>
    <n v="5"/>
    <x v="10"/>
    <n v="75"/>
    <n v="8000"/>
    <n v="350"/>
  </r>
  <r>
    <x v="260"/>
    <n v="69134"/>
    <n v="70468"/>
    <n v="16341"/>
    <n v="952.14200000000005"/>
    <n v="9685"/>
    <n v="242693"/>
    <n v="5375.4"/>
    <n v="2141.4"/>
    <n v="5592.2"/>
    <n v="7279"/>
    <n v="303"/>
    <n v="68"/>
    <n v="70"/>
    <n v="13"/>
    <n v="0.33800000000000002"/>
    <n v="8"/>
    <n v="68"/>
    <n v="3.5"/>
    <n v="14.6"/>
    <n v="5.2"/>
    <n v="50"/>
    <n v="22"/>
    <n v="2026"/>
    <n v="5"/>
    <x v="10"/>
    <n v="75"/>
    <n v="8000"/>
    <n v="350"/>
  </r>
  <r>
    <x v="261"/>
    <n v="69196"/>
    <n v="70531"/>
    <n v="16354"/>
    <n v="952.53499999999997"/>
    <n v="9695"/>
    <n v="242755"/>
    <n v="5379.3"/>
    <n v="2155.5"/>
    <n v="5597.1"/>
    <n v="7584"/>
    <n v="316"/>
    <n v="62"/>
    <n v="63"/>
    <n v="13"/>
    <n v="0.39300000000000002"/>
    <n v="10"/>
    <n v="62"/>
    <n v="3.9"/>
    <n v="14.1"/>
    <n v="4.9000000000000004"/>
    <n v="50"/>
    <n v="22"/>
    <n v="2026"/>
    <n v="5"/>
    <x v="10"/>
    <n v="75"/>
    <n v="8000"/>
    <n v="350"/>
  </r>
  <r>
    <x v="262"/>
    <n v="69264"/>
    <n v="70600"/>
    <n v="16367"/>
    <n v="952.90800000000002"/>
    <n v="9708"/>
    <n v="242824"/>
    <n v="5382"/>
    <n v="2166.4"/>
    <n v="5601.1"/>
    <n v="5635"/>
    <n v="235"/>
    <n v="68"/>
    <n v="69"/>
    <n v="13"/>
    <n v="0.373"/>
    <n v="13"/>
    <n v="69"/>
    <n v="2.7"/>
    <n v="10.9"/>
    <n v="4"/>
    <n v="50"/>
    <n v="22"/>
    <n v="2026"/>
    <n v="5"/>
    <x v="10"/>
    <n v="75"/>
    <n v="8000"/>
    <n v="350"/>
  </r>
  <r>
    <x v="263"/>
    <n v="69321"/>
    <n v="70656"/>
    <n v="16385"/>
    <n v="953.40300000000002"/>
    <n v="9713"/>
    <n v="242879"/>
    <n v="5385.5"/>
    <n v="2183.3000000000002"/>
    <n v="5604.5"/>
    <n v="6552"/>
    <n v="273"/>
    <n v="57"/>
    <n v="56"/>
    <n v="18"/>
    <n v="0.495"/>
    <n v="5"/>
    <n v="55"/>
    <n v="3.5"/>
    <n v="16.899999999999999"/>
    <n v="3.4"/>
    <n v="51"/>
    <n v="23"/>
    <n v="2026"/>
    <n v="6"/>
    <x v="11"/>
    <n v="75"/>
    <n v="8000"/>
    <n v="350"/>
  </r>
  <r>
    <x v="264"/>
    <n v="69394"/>
    <n v="70731"/>
    <n v="16396"/>
    <n v="953.67499999999995"/>
    <n v="9721"/>
    <n v="242953"/>
    <n v="5390.2"/>
    <n v="2199.6"/>
    <n v="5609.5"/>
    <n v="6393"/>
    <n v="266"/>
    <n v="73"/>
    <n v="75"/>
    <n v="11"/>
    <n v="0.27200000000000002"/>
    <n v="8"/>
    <n v="74"/>
    <n v="4.7"/>
    <n v="16.3"/>
    <n v="5"/>
    <n v="51"/>
    <n v="23"/>
    <n v="2026"/>
    <n v="6"/>
    <x v="11"/>
    <n v="75"/>
    <n v="8000"/>
    <n v="350"/>
  </r>
  <r>
    <x v="265"/>
    <n v="69484"/>
    <n v="70822"/>
    <n v="16408"/>
    <n v="954.20899999999995"/>
    <n v="9732"/>
    <n v="243042"/>
    <n v="5394"/>
    <n v="2216"/>
    <n v="5615.2"/>
    <n v="8506"/>
    <n v="354"/>
    <n v="90"/>
    <n v="91"/>
    <n v="12"/>
    <n v="0.53400000000000003"/>
    <n v="11"/>
    <n v="89"/>
    <n v="3.8"/>
    <n v="16.399999999999999"/>
    <n v="5.7"/>
    <n v="51"/>
    <n v="23"/>
    <n v="2026"/>
    <n v="6"/>
    <x v="11"/>
    <n v="75"/>
    <n v="8000"/>
    <n v="350"/>
  </r>
  <r>
    <x v="266"/>
    <n v="69559"/>
    <n v="70898"/>
    <n v="16420"/>
    <n v="954.60799999999995"/>
    <n v="9740"/>
    <n v="243118"/>
    <n v="5398.2"/>
    <n v="2232.6"/>
    <n v="5621"/>
    <n v="8395"/>
    <n v="350"/>
    <n v="75"/>
    <n v="76"/>
    <n v="12"/>
    <n v="0.39900000000000002"/>
    <n v="8"/>
    <n v="76"/>
    <n v="4.2"/>
    <n v="16.600000000000001"/>
    <n v="5.8"/>
    <n v="51"/>
    <n v="23"/>
    <n v="2026"/>
    <n v="6"/>
    <x v="11"/>
    <n v="75"/>
    <n v="8000"/>
    <n v="350"/>
  </r>
  <r>
    <x v="267"/>
    <n v="69640"/>
    <n v="70981"/>
    <n v="16436"/>
    <n v="954.60799999999995"/>
    <n v="9749"/>
    <n v="243198"/>
    <n v="5402.7"/>
    <n v="2248.8000000000002"/>
    <n v="5626.6"/>
    <n v="8165"/>
    <n v="340"/>
    <n v="81"/>
    <n v="83"/>
    <n v="16"/>
    <n v="0"/>
    <n v="9"/>
    <n v="80"/>
    <n v="4.5"/>
    <n v="16.2"/>
    <n v="5.6"/>
    <n v="51"/>
    <n v="23"/>
    <n v="2026"/>
    <n v="6"/>
    <x v="11"/>
    <n v="75"/>
    <n v="8000"/>
    <n v="350"/>
  </r>
  <r>
    <x v="268"/>
    <n v="69690"/>
    <n v="71032"/>
    <n v="16452"/>
    <n v="954.85199999999998"/>
    <n v="9756"/>
    <n v="243249"/>
    <n v="5406.3"/>
    <n v="2263.8000000000002"/>
    <n v="5631.3"/>
    <n v="7158"/>
    <n v="298"/>
    <n v="50"/>
    <n v="51"/>
    <n v="16"/>
    <n v="0.24399999999999999"/>
    <n v="7"/>
    <n v="51"/>
    <n v="3.6"/>
    <n v="15"/>
    <n v="4.7"/>
    <n v="51"/>
    <n v="23"/>
    <n v="2026"/>
    <n v="6"/>
    <x v="11"/>
    <n v="75"/>
    <n v="8000"/>
    <n v="350"/>
  </r>
  <r>
    <x v="269"/>
    <n v="69766"/>
    <n v="71097"/>
    <n v="16471"/>
    <n v="954.92700000000002"/>
    <n v="9762"/>
    <n v="243327"/>
    <n v="5410"/>
    <n v="2282.3000000000002"/>
    <n v="5635.7"/>
    <n v="3073"/>
    <n v="128"/>
    <n v="76"/>
    <n v="65"/>
    <n v="19"/>
    <n v="7.4999999999999997E-2"/>
    <n v="6"/>
    <n v="78"/>
    <n v="3.7"/>
    <n v="18.5"/>
    <n v="4.4000000000000004"/>
    <n v="50"/>
    <n v="24"/>
    <n v="2026"/>
    <n v="6"/>
    <x v="11"/>
    <n v="75"/>
    <n v="8000"/>
    <n v="350"/>
  </r>
  <r>
    <x v="270"/>
    <n v="69838"/>
    <n v="71172"/>
    <n v="16481"/>
    <n v="955.30399999999997"/>
    <n v="9773"/>
    <n v="243399"/>
    <n v="5414.1"/>
    <n v="2298.5"/>
    <n v="5640.7"/>
    <n v="5961"/>
    <n v="248"/>
    <n v="72"/>
    <n v="75"/>
    <n v="10"/>
    <n v="0.377"/>
    <n v="11"/>
    <n v="72"/>
    <n v="4.0999999999999996"/>
    <n v="16.2"/>
    <n v="5"/>
    <n v="50"/>
    <n v="24"/>
    <n v="2026"/>
    <n v="6"/>
    <x v="11"/>
    <n v="75"/>
    <n v="8000"/>
    <n v="350"/>
  </r>
  <r>
    <x v="271"/>
    <n v="69908"/>
    <n v="71244"/>
    <n v="16492"/>
    <n v="956.18399999999997"/>
    <n v="9781"/>
    <n v="243469"/>
    <n v="5417.7"/>
    <n v="2314.6"/>
    <n v="5645.5"/>
    <n v="8503"/>
    <n v="354"/>
    <n v="70"/>
    <n v="72"/>
    <n v="11"/>
    <n v="0.88"/>
    <n v="8"/>
    <n v="70"/>
    <n v="3.6"/>
    <n v="16.100000000000001"/>
    <n v="4.8"/>
    <n v="50"/>
    <n v="24"/>
    <n v="2026"/>
    <n v="6"/>
    <x v="11"/>
    <n v="75"/>
    <n v="8000"/>
    <n v="350"/>
  </r>
  <r>
    <x v="272"/>
    <n v="69965"/>
    <n v="71302"/>
    <n v="16502"/>
    <n v="956.52"/>
    <n v="9793"/>
    <n v="243526"/>
    <n v="5421.7"/>
    <n v="2331.8000000000002"/>
    <n v="5650.7"/>
    <n v="7951"/>
    <n v="331"/>
    <n v="57"/>
    <n v="58"/>
    <n v="10"/>
    <n v="0.33600000000000002"/>
    <n v="12"/>
    <n v="57"/>
    <n v="4"/>
    <n v="17.2"/>
    <n v="5.2"/>
    <n v="50"/>
    <n v="24"/>
    <n v="2026"/>
    <n v="6"/>
    <x v="11"/>
    <n v="75"/>
    <n v="8000"/>
    <n v="350"/>
  </r>
  <r>
    <x v="273"/>
    <n v="70027"/>
    <n v="71366"/>
    <n v="16512"/>
    <n v="957.08399999999995"/>
    <n v="9799"/>
    <n v="243588"/>
    <n v="5425.4"/>
    <n v="2348.3000000000002"/>
    <n v="5656.4"/>
    <n v="8388"/>
    <n v="350"/>
    <n v="62"/>
    <n v="64"/>
    <n v="10"/>
    <n v="0.56399999999999995"/>
    <n v="6"/>
    <n v="62"/>
    <n v="3.7"/>
    <n v="16.5"/>
    <n v="5.7"/>
    <n v="50"/>
    <n v="24"/>
    <n v="2026"/>
    <n v="6"/>
    <x v="11"/>
    <n v="75"/>
    <n v="8000"/>
    <n v="350"/>
  </r>
  <r>
    <x v="274"/>
    <n v="70078"/>
    <n v="71418"/>
    <n v="16525"/>
    <n v="957.45600000000002"/>
    <n v="9805"/>
    <n v="243640"/>
    <n v="5429.2"/>
    <n v="2363.1999999999998"/>
    <n v="5661.4"/>
    <n v="7963"/>
    <n v="332"/>
    <n v="51"/>
    <n v="52"/>
    <n v="13"/>
    <n v="0.372"/>
    <n v="6"/>
    <n v="52"/>
    <n v="3.8"/>
    <n v="14.9"/>
    <n v="5"/>
    <n v="49"/>
    <n v="24"/>
    <n v="2026"/>
    <n v="6"/>
    <x v="11"/>
    <n v="75"/>
    <n v="8000"/>
    <n v="350"/>
  </r>
  <r>
    <x v="275"/>
    <n v="70152"/>
    <n v="71489"/>
    <n v="16543"/>
    <n v="960.33799999999997"/>
    <n v="9808"/>
    <n v="243711"/>
    <n v="5432.5"/>
    <n v="2381.3000000000002"/>
    <n v="5665.1"/>
    <n v="6767"/>
    <n v="282"/>
    <n v="74"/>
    <n v="71"/>
    <n v="18"/>
    <n v="2.8820000000000001"/>
    <n v="3"/>
    <n v="71"/>
    <n v="3.3"/>
    <n v="18.100000000000001"/>
    <n v="3.7"/>
    <n v="49"/>
    <n v="25"/>
    <n v="2026"/>
    <n v="6"/>
    <x v="11"/>
    <n v="75"/>
    <n v="8000"/>
    <n v="350"/>
  </r>
  <r>
    <x v="276"/>
    <n v="70226"/>
    <n v="71566"/>
    <n v="16559"/>
    <n v="961.00400000000002"/>
    <n v="9817"/>
    <n v="243786"/>
    <n v="5436.5"/>
    <n v="2397"/>
    <n v="5670.1"/>
    <n v="6460"/>
    <n v="269"/>
    <n v="74"/>
    <n v="77"/>
    <n v="16"/>
    <n v="0.66600000000000004"/>
    <n v="9"/>
    <n v="75"/>
    <n v="4"/>
    <n v="15.7"/>
    <n v="5"/>
    <n v="49"/>
    <n v="25"/>
    <n v="2026"/>
    <n v="6"/>
    <x v="11"/>
    <n v="75"/>
    <n v="8000"/>
    <n v="350"/>
  </r>
  <r>
    <x v="277"/>
    <n v="70216"/>
    <n v="71581"/>
    <n v="16574"/>
    <n v="961.62199999999996"/>
    <n v="9829"/>
    <n v="243788"/>
    <n v="5441.5"/>
    <n v="2415.1999999999998"/>
    <n v="5676.3"/>
    <n v="9092"/>
    <n v="379"/>
    <n v="60"/>
    <n v="15"/>
    <n v="15"/>
    <n v="0.61799999999999999"/>
    <n v="12"/>
    <n v="2"/>
    <n v="5"/>
    <n v="18.2"/>
    <n v="6.2"/>
    <n v="49"/>
    <n v="25"/>
    <n v="2026"/>
    <n v="6"/>
    <x v="11"/>
    <n v="75"/>
    <n v="8000"/>
    <n v="350"/>
  </r>
  <r>
    <x v="278"/>
    <n v="70300"/>
    <n v="71668"/>
    <n v="16590"/>
    <n v="961.92200000000003"/>
    <n v="9838"/>
    <n v="243867"/>
    <n v="5445.4"/>
    <n v="2431.9"/>
    <n v="5681.6"/>
    <n v="8585"/>
    <n v="358"/>
    <n v="84"/>
    <n v="87"/>
    <n v="16"/>
    <n v="0.3"/>
    <n v="9"/>
    <n v="79"/>
    <n v="3.9"/>
    <n v="16.7"/>
    <n v="5.3"/>
    <n v="49"/>
    <n v="25"/>
    <n v="2026"/>
    <n v="6"/>
    <x v="11"/>
    <n v="75"/>
    <n v="8000"/>
    <n v="350"/>
  </r>
  <r>
    <x v="279"/>
    <n v="70379"/>
    <n v="71749"/>
    <n v="16607"/>
    <n v="962.23400000000004"/>
    <n v="9844"/>
    <n v="243945"/>
    <n v="5449.6"/>
    <n v="2447.1999999999998"/>
    <n v="5686.6"/>
    <n v="7753"/>
    <n v="323"/>
    <n v="79"/>
    <n v="81"/>
    <n v="17"/>
    <n v="0.312"/>
    <n v="6"/>
    <n v="78"/>
    <n v="4.2"/>
    <n v="15.3"/>
    <n v="5"/>
    <n v="49"/>
    <n v="25"/>
    <n v="2026"/>
    <n v="6"/>
    <x v="11"/>
    <n v="75"/>
    <n v="8000"/>
    <n v="350"/>
  </r>
  <r>
    <x v="280"/>
    <n v="70453"/>
    <n v="71825"/>
    <n v="16625"/>
    <n v="962.45100000000002"/>
    <n v="9854"/>
    <n v="244019"/>
    <n v="5453"/>
    <n v="2461.4"/>
    <n v="5690.9"/>
    <n v="6585"/>
    <n v="274"/>
    <n v="74"/>
    <n v="76"/>
    <n v="18"/>
    <n v="0.217"/>
    <n v="10"/>
    <n v="74"/>
    <n v="3.4"/>
    <n v="14.2"/>
    <n v="4.3"/>
    <n v="49"/>
    <n v="25"/>
    <n v="2026"/>
    <n v="6"/>
    <x v="11"/>
    <n v="75"/>
    <n v="8000"/>
    <n v="350"/>
  </r>
  <r>
    <x v="281"/>
    <n v="70536"/>
    <n v="71906"/>
    <n v="16650"/>
    <n v="965.52200000000005"/>
    <n v="9858"/>
    <n v="244104"/>
    <n v="5456.3"/>
    <n v="2480.1"/>
    <n v="5695.4"/>
    <n v="2590"/>
    <n v="108"/>
    <n v="83"/>
    <n v="81"/>
    <n v="25"/>
    <n v="3.0710000000000002"/>
    <n v="4"/>
    <n v="85"/>
    <n v="3.3"/>
    <n v="18.7"/>
    <n v="4.5"/>
    <n v="49"/>
    <n v="26"/>
    <n v="2026"/>
    <n v="6"/>
    <x v="11"/>
    <n v="75"/>
    <n v="8000"/>
    <n v="350"/>
  </r>
  <r>
    <x v="282"/>
    <n v="70607"/>
    <n v="71978"/>
    <n v="16667"/>
    <n v="965.52200000000005"/>
    <n v="9872"/>
    <n v="244174"/>
    <n v="5459.8"/>
    <n v="2494.3000000000002"/>
    <n v="5699.4"/>
    <n v="5338"/>
    <n v="222"/>
    <n v="71"/>
    <n v="72"/>
    <n v="17"/>
    <n v="0"/>
    <n v="14"/>
    <n v="70"/>
    <n v="3.5"/>
    <n v="14.2"/>
    <n v="4"/>
    <n v="49"/>
    <n v="26"/>
    <n v="2026"/>
    <n v="6"/>
    <x v="11"/>
    <n v="75"/>
    <n v="8000"/>
    <n v="350"/>
  </r>
  <r>
    <x v="283"/>
    <n v="70688"/>
    <n v="72063"/>
    <n v="16685"/>
    <n v="965.95299999999997"/>
    <n v="9884"/>
    <n v="244256"/>
    <n v="5463.1"/>
    <n v="2509.9"/>
    <n v="5704.4"/>
    <n v="8122"/>
    <n v="338"/>
    <n v="81"/>
    <n v="85"/>
    <n v="18"/>
    <n v="0.43099999999999999"/>
    <n v="12"/>
    <n v="82"/>
    <n v="3.3"/>
    <n v="15.6"/>
    <n v="5"/>
    <n v="49"/>
    <n v="26"/>
    <n v="2026"/>
    <n v="6"/>
    <x v="11"/>
    <n v="75"/>
    <n v="8000"/>
    <n v="350"/>
  </r>
  <r>
    <x v="284"/>
    <n v="70739"/>
    <n v="72113"/>
    <n v="16704"/>
    <n v="965.97299999999996"/>
    <n v="9894"/>
    <n v="244307"/>
    <n v="5466.8"/>
    <n v="2524.3000000000002"/>
    <n v="5708.6"/>
    <n v="7448"/>
    <n v="310"/>
    <n v="51"/>
    <n v="50"/>
    <n v="19"/>
    <n v="0.02"/>
    <n v="10"/>
    <n v="51"/>
    <n v="3.7"/>
    <n v="14.4"/>
    <n v="4.2"/>
    <n v="49"/>
    <n v="26"/>
    <n v="2026"/>
    <n v="6"/>
    <x v="11"/>
    <n v="75"/>
    <n v="8000"/>
    <n v="350"/>
  </r>
  <r>
    <x v="285"/>
    <n v="70793"/>
    <n v="72167"/>
    <n v="16724"/>
    <n v="966.35699999999997"/>
    <n v="9902"/>
    <n v="244360"/>
    <n v="5470.1"/>
    <n v="2540.6"/>
    <n v="5712.6"/>
    <n v="6988"/>
    <n v="291"/>
    <n v="54"/>
    <n v="54"/>
    <n v="20"/>
    <n v="0.38400000000000001"/>
    <n v="8"/>
    <n v="53"/>
    <n v="3.3"/>
    <n v="16.3"/>
    <n v="4"/>
    <n v="49"/>
    <n v="26"/>
    <n v="2026"/>
    <n v="6"/>
    <x v="11"/>
    <n v="75"/>
    <n v="8000"/>
    <n v="350"/>
  </r>
  <r>
    <x v="286"/>
    <n v="70841"/>
    <n v="72214"/>
    <n v="16744"/>
    <n v="966.59799999999996"/>
    <n v="9909"/>
    <n v="244408"/>
    <n v="5473.5"/>
    <n v="2556.1"/>
    <n v="5717.1"/>
    <n v="7832"/>
    <n v="326"/>
    <n v="48"/>
    <n v="47"/>
    <n v="20"/>
    <n v="0.24099999999999999"/>
    <n v="7"/>
    <n v="48"/>
    <n v="3.4"/>
    <n v="15.5"/>
    <n v="4.5"/>
    <n v="49"/>
    <n v="26"/>
    <n v="2026"/>
    <n v="6"/>
    <x v="11"/>
    <n v="75"/>
    <n v="8000"/>
    <n v="350"/>
  </r>
  <r>
    <x v="287"/>
    <n v="70926"/>
    <n v="72289"/>
    <n v="16768"/>
    <n v="966.86699999999996"/>
    <n v="9911"/>
    <n v="244497"/>
    <n v="5476.9"/>
    <n v="2577.8000000000002"/>
    <n v="5721.1"/>
    <n v="1811"/>
    <n v="75"/>
    <n v="85"/>
    <n v="75"/>
    <n v="24"/>
    <n v="0.26900000000000002"/>
    <n v="2"/>
    <n v="89"/>
    <n v="3.4"/>
    <n v="21.7"/>
    <n v="4"/>
    <n v="48"/>
    <n v="27"/>
    <n v="2026"/>
    <n v="6"/>
    <x v="11"/>
    <n v="75"/>
    <n v="8000"/>
    <n v="350"/>
  </r>
  <r>
    <x v="288"/>
    <n v="70996"/>
    <n v="72361"/>
    <n v="16786"/>
    <n v="966.91099999999994"/>
    <n v="9924"/>
    <n v="244567"/>
    <n v="5480.2"/>
    <n v="2590.1"/>
    <n v="5725.3"/>
    <n v="5059"/>
    <n v="211"/>
    <n v="70"/>
    <n v="72"/>
    <n v="18"/>
    <n v="4.3999999999999997E-2"/>
    <n v="13"/>
    <n v="70"/>
    <n v="3.3"/>
    <n v="12.3"/>
    <n v="4.2"/>
    <n v="48"/>
    <n v="27"/>
    <n v="2026"/>
    <n v="7"/>
    <x v="12"/>
    <n v="75"/>
    <n v="8000"/>
    <n v="350"/>
  </r>
  <r>
    <x v="289"/>
    <n v="71048"/>
    <n v="72414"/>
    <n v="16807"/>
    <n v="968.04899999999998"/>
    <n v="9935"/>
    <n v="244616"/>
    <n v="5484.1"/>
    <n v="2603.9"/>
    <n v="5729.6"/>
    <n v="6998"/>
    <n v="292"/>
    <n v="52"/>
    <n v="53"/>
    <n v="21"/>
    <n v="1.1379999999999999"/>
    <n v="11"/>
    <n v="49"/>
    <n v="3.9"/>
    <n v="13.8"/>
    <n v="4.3"/>
    <n v="48"/>
    <n v="27"/>
    <n v="2026"/>
    <n v="7"/>
    <x v="12"/>
    <n v="75"/>
    <n v="8000"/>
    <n v="3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F0582D-FFB6-45C8-85BC-22D4087B7698}" name="TablaDinámica1" cacheId="114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6">
  <location ref="B118:J129" firstHeaderRow="1" firstDataRow="2" firstDataCol="1"/>
  <pivotFields count="16">
    <pivotField showAll="0"/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105">
        <item m="1" x="16"/>
        <item x="2"/>
        <item m="1" x="48"/>
        <item m="1" x="17"/>
        <item m="1" x="15"/>
        <item x="9"/>
        <item m="1" x="24"/>
        <item m="1" x="18"/>
        <item m="1" x="35"/>
        <item m="1" x="13"/>
        <item m="1" x="11"/>
        <item x="0"/>
        <item m="1" x="103"/>
        <item m="1" x="45"/>
        <item m="1" x="21"/>
        <item x="10"/>
        <item m="1" x="14"/>
        <item m="1" x="52"/>
        <item m="1" x="101"/>
        <item m="1" x="26"/>
        <item m="1" x="54"/>
        <item m="1" x="37"/>
        <item m="1" x="102"/>
        <item m="1" x="53"/>
        <item m="1" x="19"/>
        <item m="1" x="70"/>
        <item m="1" x="100"/>
        <item m="1" x="33"/>
        <item m="1" x="99"/>
        <item x="6"/>
        <item m="1" x="23"/>
        <item m="1" x="56"/>
        <item m="1" x="64"/>
        <item m="1" x="74"/>
        <item m="1" x="62"/>
        <item x="5"/>
        <item m="1" x="12"/>
        <item m="1" x="38"/>
        <item m="1" x="98"/>
        <item m="1" x="68"/>
        <item m="1" x="94"/>
        <item x="1"/>
        <item m="1" x="83"/>
        <item m="1" x="47"/>
        <item m="1" x="88"/>
        <item m="1" x="61"/>
        <item m="1" x="96"/>
        <item m="1" x="97"/>
        <item m="1" x="82"/>
        <item m="1" x="32"/>
        <item m="1" x="20"/>
        <item m="1" x="71"/>
        <item m="1" x="63"/>
        <item m="1" x="77"/>
        <item m="1" x="75"/>
        <item m="1" x="92"/>
        <item m="1" x="43"/>
        <item m="1" x="57"/>
        <item m="1" x="29"/>
        <item m="1" x="28"/>
        <item m="1" x="86"/>
        <item m="1" x="95"/>
        <item m="1" x="69"/>
        <item m="1" x="93"/>
        <item m="1" x="22"/>
        <item m="1" x="73"/>
        <item m="1" x="91"/>
        <item m="1" x="72"/>
        <item m="1" x="36"/>
        <item m="1" x="90"/>
        <item m="1" x="66"/>
        <item m="1" x="89"/>
        <item x="7"/>
        <item m="1" x="42"/>
        <item m="1" x="79"/>
        <item m="1" x="78"/>
        <item m="1" x="49"/>
        <item m="1" x="58"/>
        <item m="1" x="41"/>
        <item m="1" x="87"/>
        <item m="1" x="34"/>
        <item m="1" x="55"/>
        <item m="1" x="59"/>
        <item x="8"/>
        <item m="1" x="39"/>
        <item m="1" x="50"/>
        <item m="1" x="84"/>
        <item m="1" x="85"/>
        <item m="1" x="60"/>
        <item m="1" x="80"/>
        <item m="1" x="81"/>
        <item m="1" x="76"/>
        <item m="1" x="44"/>
        <item m="1" x="25"/>
        <item x="4"/>
        <item m="1" x="27"/>
        <item m="1" x="40"/>
        <item m="1" x="67"/>
        <item m="1" x="65"/>
        <item m="1" x="30"/>
        <item m="1" x="51"/>
        <item m="1" x="46"/>
        <item m="1" x="3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Col" showAll="0">
      <items count="20">
        <item x="4"/>
        <item x="2"/>
        <item x="1"/>
        <item m="1" x="9"/>
        <item x="0"/>
        <item m="1" x="11"/>
        <item h="1" x="3"/>
        <item x="7"/>
        <item x="6"/>
        <item m="1" x="10"/>
        <item x="5"/>
        <item m="1" x="13"/>
        <item m="1" x="8"/>
        <item m="1" x="12"/>
        <item m="1" x="14"/>
        <item m="1" x="18"/>
        <item m="1" x="17"/>
        <item m="1" x="16"/>
        <item m="1" x="15"/>
        <item t="default"/>
      </items>
    </pivotField>
    <pivotField showAll="0"/>
    <pivotField showAll="0"/>
    <pivotField showAll="0"/>
    <pivotField showAll="0"/>
    <pivotField numFmtId="1" showAll="0"/>
    <pivotField showAll="0"/>
  </pivotFields>
  <rowFields count="1">
    <field x="7"/>
  </rowFields>
  <rowItems count="10">
    <i>
      <x v="41"/>
    </i>
    <i>
      <x v="5"/>
    </i>
    <i>
      <x v="1"/>
    </i>
    <i>
      <x v="83"/>
    </i>
    <i>
      <x v="72"/>
    </i>
    <i>
      <x v="29"/>
    </i>
    <i>
      <x v="103"/>
    </i>
    <i>
      <x v="11"/>
    </i>
    <i>
      <x v="35"/>
    </i>
    <i t="grand">
      <x/>
    </i>
  </rowItems>
  <colFields count="1">
    <field x="9"/>
  </colFields>
  <colItems count="8">
    <i>
      <x/>
    </i>
    <i>
      <x v="1"/>
    </i>
    <i>
      <x v="2"/>
    </i>
    <i>
      <x v="4"/>
    </i>
    <i>
      <x v="7"/>
    </i>
    <i>
      <x v="8"/>
    </i>
    <i>
      <x v="10"/>
    </i>
    <i t="grand">
      <x/>
    </i>
  </colItems>
  <dataFields count="1">
    <dataField name="Suma de T.TOTAL" fld="6" baseField="7" baseItem="0" numFmtId="20"/>
  </dataFields>
  <formats count="18">
    <format dxfId="1158">
      <pivotArea outline="0" collapsedLevelsAreSubtotals="1" fieldPosition="0"/>
    </format>
    <format dxfId="1159">
      <pivotArea outline="0" collapsedLevelsAreSubtotals="1" fieldPosition="0"/>
    </format>
    <format dxfId="1160">
      <pivotArea outline="0" collapsedLevelsAreSubtotals="1" fieldPosition="0"/>
    </format>
    <format dxfId="1161">
      <pivotArea field="7" type="button" dataOnly="0" labelOnly="1" outline="0" axis="axisRow" fieldPosition="0"/>
    </format>
    <format dxfId="1162">
      <pivotArea dataOnly="0" labelOnly="1" fieldPosition="0">
        <references count="1">
          <reference field="7" count="0"/>
        </references>
      </pivotArea>
    </format>
    <format dxfId="1163">
      <pivotArea dataOnly="0" labelOnly="1" grandRow="1" outline="0" fieldPosition="0"/>
    </format>
    <format dxfId="1164">
      <pivotArea dataOnly="0" labelOnly="1" fieldPosition="0">
        <references count="1">
          <reference field="9" count="0"/>
        </references>
      </pivotArea>
    </format>
    <format dxfId="1165">
      <pivotArea dataOnly="0" labelOnly="1" grandCol="1" outline="0" fieldPosition="0"/>
    </format>
    <format dxfId="1166">
      <pivotArea type="all" dataOnly="0" outline="0" fieldPosition="0"/>
    </format>
    <format dxfId="1167">
      <pivotArea outline="0" collapsedLevelsAreSubtotals="1" fieldPosition="0"/>
    </format>
    <format dxfId="1168">
      <pivotArea field="9" type="button" dataOnly="0" labelOnly="1" outline="0" axis="axisCol" fieldPosition="0"/>
    </format>
    <format dxfId="1169">
      <pivotArea type="topRight" dataOnly="0" labelOnly="1" outline="0" fieldPosition="0"/>
    </format>
    <format dxfId="1170">
      <pivotArea dataOnly="0" labelOnly="1" fieldPosition="0">
        <references count="1">
          <reference field="9" count="0"/>
        </references>
      </pivotArea>
    </format>
    <format dxfId="1171">
      <pivotArea dataOnly="0" labelOnly="1" grandCol="1" outline="0" fieldPosition="0"/>
    </format>
    <format dxfId="1172">
      <pivotArea type="origin" dataOnly="0" labelOnly="1" outline="0" fieldPosition="0"/>
    </format>
    <format dxfId="1173">
      <pivotArea field="7" type="button" dataOnly="0" labelOnly="1" outline="0" axis="axisRow" fieldPosition="0"/>
    </format>
    <format dxfId="1174">
      <pivotArea dataOnly="0" labelOnly="1" fieldPosition="0">
        <references count="1">
          <reference field="7" count="0"/>
        </references>
      </pivotArea>
    </format>
    <format dxfId="1175">
      <pivotArea dataOnly="0" labelOnly="1" grandRow="1" outline="0" fieldPosition="0"/>
    </format>
  </formats>
  <chartFormats count="38"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4" format="2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2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" format="2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4" format="2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4" format="2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4" format="2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2" format="2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5"/>
          </reference>
        </references>
      </pivotArea>
    </chartFormat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6"/>
          </reference>
        </references>
      </pivotArea>
    </chartFormat>
    <chartFormat chart="2" format="2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7"/>
          </reference>
        </references>
      </pivotArea>
    </chartFormat>
    <chartFormat chart="2" format="2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8"/>
          </reference>
        </references>
      </pivotArea>
    </chartFormat>
    <chartFormat chart="4" format="3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4" format="3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5"/>
          </reference>
        </references>
      </pivotArea>
    </chartFormat>
    <chartFormat chart="4" format="3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6"/>
          </reference>
        </references>
      </pivotArea>
    </chartFormat>
    <chartFormat chart="4" format="3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7"/>
          </reference>
        </references>
      </pivotArea>
    </chartFormat>
    <chartFormat chart="4" format="3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8"/>
          </reference>
        </references>
      </pivotArea>
    </chartFormat>
    <chartFormat chart="2" format="2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2" format="2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  <chartFormat chart="2" format="3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4" format="3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4" format="3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  <chartFormat chart="4" format="4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2" format="3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4" format="4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2" format="3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2"/>
          </reference>
        </references>
      </pivotArea>
    </chartFormat>
    <chartFormat chart="4" format="4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2"/>
          </reference>
        </references>
      </pivotArea>
    </chartFormat>
    <chartFormat chart="2" format="3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3"/>
          </reference>
        </references>
      </pivotArea>
    </chartFormat>
    <chartFormat chart="4" format="4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3"/>
          </reference>
        </references>
      </pivotArea>
    </chartFormat>
    <chartFormat chart="4" format="4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1"/>
          </reference>
        </references>
      </pivotArea>
    </chartFormat>
    <chartFormat chart="2" format="3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1"/>
          </reference>
        </references>
      </pivotArea>
    </chartFormat>
    <chartFormat chart="4" format="4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4"/>
          </reference>
        </references>
      </pivotArea>
    </chartFormat>
    <chartFormat chart="2" format="3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F04891-EEFA-4EB5-A00A-0B0912956682}" name="TablaDinámica6" cacheId="114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5">
  <location ref="B151:D163" firstHeaderRow="1" firstDataRow="2" firstDataCol="1"/>
  <pivotFields count="16">
    <pivotField showAll="0"/>
    <pivotField showAll="0"/>
    <pivotField showAll="0"/>
    <pivotField axis="axisCol" dataField="1" showAll="0">
      <items count="5">
        <item x="0"/>
        <item m="1" x="2"/>
        <item m="1" x="3"/>
        <item h="1" x="1"/>
        <item t="default"/>
      </items>
    </pivotField>
    <pivotField showAll="0"/>
    <pivotField showAll="0"/>
    <pivotField showAll="0"/>
    <pivotField axis="axisRow" showAll="0" sortType="descending">
      <items count="105">
        <item m="1" x="16"/>
        <item x="2"/>
        <item m="1" x="48"/>
        <item m="1" x="17"/>
        <item m="1" x="15"/>
        <item x="9"/>
        <item m="1" x="24"/>
        <item m="1" x="18"/>
        <item m="1" x="35"/>
        <item m="1" x="13"/>
        <item m="1" x="11"/>
        <item x="0"/>
        <item m="1" x="103"/>
        <item m="1" x="45"/>
        <item m="1" x="21"/>
        <item x="10"/>
        <item m="1" x="14"/>
        <item m="1" x="52"/>
        <item m="1" x="101"/>
        <item m="1" x="26"/>
        <item m="1" x="54"/>
        <item m="1" x="37"/>
        <item m="1" x="102"/>
        <item m="1" x="53"/>
        <item m="1" x="19"/>
        <item m="1" x="70"/>
        <item m="1" x="100"/>
        <item m="1" x="33"/>
        <item m="1" x="99"/>
        <item x="6"/>
        <item m="1" x="23"/>
        <item m="1" x="56"/>
        <item m="1" x="64"/>
        <item m="1" x="74"/>
        <item m="1" x="62"/>
        <item x="5"/>
        <item m="1" x="12"/>
        <item m="1" x="38"/>
        <item m="1" x="98"/>
        <item m="1" x="68"/>
        <item m="1" x="94"/>
        <item x="1"/>
        <item m="1" x="83"/>
        <item m="1" x="47"/>
        <item m="1" x="88"/>
        <item m="1" x="61"/>
        <item m="1" x="96"/>
        <item m="1" x="97"/>
        <item m="1" x="82"/>
        <item m="1" x="32"/>
        <item m="1" x="20"/>
        <item m="1" x="71"/>
        <item m="1" x="63"/>
        <item m="1" x="77"/>
        <item m="1" x="75"/>
        <item m="1" x="92"/>
        <item m="1" x="43"/>
        <item m="1" x="57"/>
        <item m="1" x="29"/>
        <item m="1" x="28"/>
        <item m="1" x="86"/>
        <item m="1" x="95"/>
        <item m="1" x="69"/>
        <item m="1" x="93"/>
        <item m="1" x="22"/>
        <item m="1" x="73"/>
        <item m="1" x="91"/>
        <item m="1" x="72"/>
        <item m="1" x="36"/>
        <item m="1" x="90"/>
        <item m="1" x="66"/>
        <item m="1" x="89"/>
        <item x="7"/>
        <item m="1" x="42"/>
        <item m="1" x="79"/>
        <item m="1" x="78"/>
        <item m="1" x="49"/>
        <item m="1" x="58"/>
        <item m="1" x="41"/>
        <item m="1" x="87"/>
        <item m="1" x="34"/>
        <item m="1" x="55"/>
        <item m="1" x="59"/>
        <item x="8"/>
        <item m="1" x="39"/>
        <item m="1" x="50"/>
        <item m="1" x="84"/>
        <item m="1" x="85"/>
        <item m="1" x="60"/>
        <item m="1" x="80"/>
        <item m="1" x="81"/>
        <item m="1" x="76"/>
        <item m="1" x="44"/>
        <item m="1" x="25"/>
        <item x="4"/>
        <item m="1" x="27"/>
        <item m="1" x="40"/>
        <item m="1" x="67"/>
        <item m="1" x="65"/>
        <item m="1" x="30"/>
        <item m="1" x="51"/>
        <item m="1" x="46"/>
        <item m="1" x="3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1" showAll="0"/>
    <pivotField showAll="0"/>
  </pivotFields>
  <rowFields count="1">
    <field x="7"/>
  </rowFields>
  <rowItems count="11">
    <i>
      <x v="41"/>
    </i>
    <i>
      <x v="83"/>
    </i>
    <i>
      <x v="103"/>
    </i>
    <i>
      <x v="5"/>
    </i>
    <i>
      <x v="72"/>
    </i>
    <i>
      <x v="11"/>
    </i>
    <i>
      <x v="94"/>
    </i>
    <i>
      <x v="29"/>
    </i>
    <i>
      <x v="1"/>
    </i>
    <i>
      <x v="35"/>
    </i>
    <i t="grand">
      <x/>
    </i>
  </rowItems>
  <colFields count="1">
    <field x="3"/>
  </colFields>
  <colItems count="2">
    <i>
      <x/>
    </i>
    <i t="grand">
      <x/>
    </i>
  </colItems>
  <dataFields count="1">
    <dataField name="Cuenta de TURNO" fld="3" subtotal="count" baseField="0" baseItem="0" numFmtId="1"/>
  </dataFields>
  <formats count="24">
    <format dxfId="1134">
      <pivotArea outline="0" collapsedLevelsAreSubtotals="1" fieldPosition="0"/>
    </format>
    <format dxfId="1135">
      <pivotArea outline="0" collapsedLevelsAreSubtotals="1" fieldPosition="0"/>
    </format>
    <format dxfId="1136">
      <pivotArea outline="0" collapsedLevelsAreSubtotals="1" fieldPosition="0"/>
    </format>
    <format dxfId="1137">
      <pivotArea field="7" type="button" dataOnly="0" labelOnly="1" outline="0" axis="axisRow" fieldPosition="0"/>
    </format>
    <format dxfId="1138">
      <pivotArea dataOnly="0" labelOnly="1" fieldPosition="0">
        <references count="1">
          <reference field="7" count="0"/>
        </references>
      </pivotArea>
    </format>
    <format dxfId="1139">
      <pivotArea dataOnly="0" labelOnly="1" grandRow="1" outline="0" fieldPosition="0"/>
    </format>
    <format dxfId="1140">
      <pivotArea dataOnly="0" labelOnly="1" grandCol="1" outline="0" fieldPosition="0"/>
    </format>
    <format dxfId="1141">
      <pivotArea type="all" dataOnly="0" outline="0" fieldPosition="0"/>
    </format>
    <format dxfId="1142">
      <pivotArea outline="0" collapsedLevelsAreSubtotals="1" fieldPosition="0"/>
    </format>
    <format dxfId="1143">
      <pivotArea field="3" type="button" dataOnly="0" labelOnly="1" outline="0" axis="axisCol" fieldPosition="0"/>
    </format>
    <format dxfId="1144">
      <pivotArea type="topRight" dataOnly="0" labelOnly="1" outline="0" fieldPosition="0"/>
    </format>
    <format dxfId="1145">
      <pivotArea dataOnly="0" labelOnly="1" fieldPosition="0">
        <references count="1">
          <reference field="3" count="0"/>
        </references>
      </pivotArea>
    </format>
    <format dxfId="1146">
      <pivotArea dataOnly="0" labelOnly="1" grandCol="1" outline="0" fieldPosition="0"/>
    </format>
    <format dxfId="1147">
      <pivotArea type="origin" dataOnly="0" labelOnly="1" outline="0" fieldPosition="0"/>
    </format>
    <format dxfId="1148">
      <pivotArea field="7" type="button" dataOnly="0" labelOnly="1" outline="0" axis="axisRow" fieldPosition="0"/>
    </format>
    <format dxfId="1149">
      <pivotArea dataOnly="0" labelOnly="1" fieldPosition="0">
        <references count="1">
          <reference field="7" count="0"/>
        </references>
      </pivotArea>
    </format>
    <format dxfId="1150">
      <pivotArea dataOnly="0" labelOnly="1" grandRow="1" outline="0" fieldPosition="0"/>
    </format>
    <format dxfId="1151">
      <pivotArea outline="0" collapsedLevelsAreSubtotals="1" fieldPosition="0"/>
    </format>
    <format dxfId="1152">
      <pivotArea field="7" type="button" dataOnly="0" labelOnly="1" outline="0" axis="axisRow" fieldPosition="0"/>
    </format>
    <format dxfId="1153">
      <pivotArea dataOnly="0" labelOnly="1" fieldPosition="0">
        <references count="1">
          <reference field="7" count="0"/>
        </references>
      </pivotArea>
    </format>
    <format dxfId="1154">
      <pivotArea dataOnly="0" labelOnly="1" grandRow="1" outline="0" fieldPosition="0"/>
    </format>
    <format dxfId="1155">
      <pivotArea dataOnly="0" labelOnly="1" fieldPosition="0">
        <references count="1">
          <reference field="3" count="0"/>
        </references>
      </pivotArea>
    </format>
    <format dxfId="1156">
      <pivotArea dataOnly="0" labelOnly="1" grandCol="1" outline="0" fieldPosition="0"/>
    </format>
    <format dxfId="1157">
      <pivotArea outline="0" collapsedLevelsAreSubtotals="1" fieldPosition="0"/>
    </format>
  </formats>
  <chartFormats count="6"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95C9BB-AD23-48F6-9507-F27B04F5CD77}" name="TablaDinámica4" cacheId="114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59">
  <location ref="B68:E79" firstHeaderRow="1" firstDataRow="2" firstDataCol="1"/>
  <pivotFields count="16">
    <pivotField showAll="0"/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105">
        <item m="1" x="16"/>
        <item x="2"/>
        <item m="1" x="48"/>
        <item m="1" x="17"/>
        <item m="1" x="15"/>
        <item x="9"/>
        <item m="1" x="24"/>
        <item m="1" x="18"/>
        <item m="1" x="35"/>
        <item m="1" x="13"/>
        <item m="1" x="11"/>
        <item x="0"/>
        <item m="1" x="103"/>
        <item m="1" x="45"/>
        <item m="1" x="21"/>
        <item x="10"/>
        <item m="1" x="14"/>
        <item m="1" x="52"/>
        <item m="1" x="101"/>
        <item m="1" x="26"/>
        <item m="1" x="54"/>
        <item m="1" x="37"/>
        <item m="1" x="102"/>
        <item m="1" x="53"/>
        <item m="1" x="19"/>
        <item m="1" x="70"/>
        <item m="1" x="100"/>
        <item m="1" x="33"/>
        <item m="1" x="99"/>
        <item x="6"/>
        <item m="1" x="23"/>
        <item m="1" x="56"/>
        <item m="1" x="64"/>
        <item m="1" x="74"/>
        <item m="1" x="62"/>
        <item x="5"/>
        <item m="1" x="12"/>
        <item m="1" x="38"/>
        <item m="1" x="98"/>
        <item m="1" x="68"/>
        <item m="1" x="94"/>
        <item x="1"/>
        <item m="1" x="83"/>
        <item m="1" x="47"/>
        <item m="1" x="88"/>
        <item m="1" x="61"/>
        <item m="1" x="96"/>
        <item m="1" x="97"/>
        <item m="1" x="82"/>
        <item m="1" x="32"/>
        <item m="1" x="20"/>
        <item m="1" x="71"/>
        <item m="1" x="63"/>
        <item m="1" x="77"/>
        <item m="1" x="75"/>
        <item m="1" x="92"/>
        <item m="1" x="43"/>
        <item m="1" x="57"/>
        <item m="1" x="29"/>
        <item m="1" x="28"/>
        <item m="1" x="86"/>
        <item m="1" x="95"/>
        <item m="1" x="69"/>
        <item m="1" x="93"/>
        <item m="1" x="22"/>
        <item m="1" x="73"/>
        <item m="1" x="91"/>
        <item m="1" x="72"/>
        <item m="1" x="36"/>
        <item m="1" x="90"/>
        <item m="1" x="66"/>
        <item m="1" x="89"/>
        <item x="7"/>
        <item m="1" x="42"/>
        <item m="1" x="79"/>
        <item m="1" x="78"/>
        <item m="1" x="49"/>
        <item m="1" x="58"/>
        <item m="1" x="41"/>
        <item m="1" x="87"/>
        <item m="1" x="34"/>
        <item m="1" x="55"/>
        <item m="1" x="59"/>
        <item x="8"/>
        <item m="1" x="39"/>
        <item m="1" x="50"/>
        <item m="1" x="84"/>
        <item m="1" x="85"/>
        <item m="1" x="60"/>
        <item m="1" x="80"/>
        <item m="1" x="81"/>
        <item m="1" x="76"/>
        <item m="1" x="44"/>
        <item m="1" x="25"/>
        <item x="4"/>
        <item m="1" x="27"/>
        <item m="1" x="40"/>
        <item m="1" x="67"/>
        <item m="1" x="65"/>
        <item m="1" x="30"/>
        <item m="1" x="51"/>
        <item m="1" x="46"/>
        <item m="1" x="3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Col" showAll="0">
      <items count="4">
        <item x="1"/>
        <item x="0"/>
        <item h="1" x="2"/>
        <item t="default"/>
      </items>
    </pivotField>
    <pivotField showAll="0"/>
    <pivotField showAll="0"/>
    <pivotField showAll="0"/>
    <pivotField numFmtId="1" showAll="0"/>
    <pivotField showAll="0"/>
  </pivotFields>
  <rowFields count="1">
    <field x="7"/>
  </rowFields>
  <rowItems count="10">
    <i>
      <x v="41"/>
    </i>
    <i>
      <x v="5"/>
    </i>
    <i>
      <x v="1"/>
    </i>
    <i>
      <x v="83"/>
    </i>
    <i>
      <x v="72"/>
    </i>
    <i>
      <x v="29"/>
    </i>
    <i>
      <x v="103"/>
    </i>
    <i>
      <x v="11"/>
    </i>
    <i>
      <x v="35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Suma de T.TOTAL" fld="6" baseField="7" baseItem="0" numFmtId="20"/>
  </dataFields>
  <formats count="23">
    <format dxfId="1111">
      <pivotArea outline="0" collapsedLevelsAreSubtotals="1" fieldPosition="0"/>
    </format>
    <format dxfId="1112">
      <pivotArea outline="0" collapsedLevelsAreSubtotals="1" fieldPosition="0"/>
    </format>
    <format dxfId="1113">
      <pivotArea outline="0" collapsedLevelsAreSubtotals="1" fieldPosition="0"/>
    </format>
    <format dxfId="1114">
      <pivotArea field="7" type="button" dataOnly="0" labelOnly="1" outline="0" axis="axisRow" fieldPosition="0"/>
    </format>
    <format dxfId="1115">
      <pivotArea dataOnly="0" labelOnly="1" fieldPosition="0">
        <references count="1">
          <reference field="7" count="0"/>
        </references>
      </pivotArea>
    </format>
    <format dxfId="1116">
      <pivotArea dataOnly="0" labelOnly="1" grandRow="1" outline="0" fieldPosition="0"/>
    </format>
    <format dxfId="1117">
      <pivotArea dataOnly="0" labelOnly="1" grandCol="1" outline="0" fieldPosition="0"/>
    </format>
    <format dxfId="1118">
      <pivotArea type="all" dataOnly="0" outline="0" fieldPosition="0"/>
    </format>
    <format dxfId="1119">
      <pivotArea outline="0" collapsedLevelsAreSubtotals="1" fieldPosition="0"/>
    </format>
    <format dxfId="1120">
      <pivotArea field="10" type="button" dataOnly="0" labelOnly="1" outline="0" axis="axisCol" fieldPosition="0"/>
    </format>
    <format dxfId="1121">
      <pivotArea type="topRight" dataOnly="0" labelOnly="1" outline="0" fieldPosition="0"/>
    </format>
    <format dxfId="1122">
      <pivotArea dataOnly="0" labelOnly="1" fieldPosition="0">
        <references count="1">
          <reference field="10" count="0"/>
        </references>
      </pivotArea>
    </format>
    <format dxfId="1123">
      <pivotArea dataOnly="0" labelOnly="1" grandCol="1" outline="0" fieldPosition="0"/>
    </format>
    <format dxfId="1124">
      <pivotArea type="origin" dataOnly="0" labelOnly="1" outline="0" fieldPosition="0"/>
    </format>
    <format dxfId="1125">
      <pivotArea field="7" type="button" dataOnly="0" labelOnly="1" outline="0" axis="axisRow" fieldPosition="0"/>
    </format>
    <format dxfId="1126">
      <pivotArea dataOnly="0" labelOnly="1" fieldPosition="0">
        <references count="1">
          <reference field="7" count="0"/>
        </references>
      </pivotArea>
    </format>
    <format dxfId="1127">
      <pivotArea dataOnly="0" labelOnly="1" grandRow="1" outline="0" fieldPosition="0"/>
    </format>
    <format dxfId="1128">
      <pivotArea outline="0" collapsedLevelsAreSubtotals="1" fieldPosition="0"/>
    </format>
    <format dxfId="1129">
      <pivotArea field="7" type="button" dataOnly="0" labelOnly="1" outline="0" axis="axisRow" fieldPosition="0"/>
    </format>
    <format dxfId="1130">
      <pivotArea dataOnly="0" labelOnly="1" fieldPosition="0">
        <references count="1">
          <reference field="7" count="0"/>
        </references>
      </pivotArea>
    </format>
    <format dxfId="1131">
      <pivotArea dataOnly="0" labelOnly="1" grandRow="1" outline="0" fieldPosition="0"/>
    </format>
    <format dxfId="1132">
      <pivotArea dataOnly="0" labelOnly="1" fieldPosition="0">
        <references count="1">
          <reference field="10" count="0"/>
        </references>
      </pivotArea>
    </format>
    <format dxfId="1133">
      <pivotArea dataOnly="0" labelOnly="1" grandCol="1" outline="0" fieldPosition="0"/>
    </format>
  </formats>
  <chartFormats count="95"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1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1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2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2" format="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3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3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4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4" format="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5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5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6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6" format="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7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7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8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8" format="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9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9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0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0" format="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1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1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2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2" format="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3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3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4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4" format="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5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5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6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6" format="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7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7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8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8" format="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9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9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0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0" format="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2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3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4" format="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2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5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5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6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6" format="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7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7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8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8" format="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9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9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0" format="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0" format="1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1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1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2" format="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2" format="1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3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3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4" format="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4" format="1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5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5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6" format="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6" format="1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7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7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8" format="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8" format="1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9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9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0" format="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50" format="1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1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51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2" format="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52" format="1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3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53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4" format="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54" format="1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5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55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6" format="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56" format="1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7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57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8" format="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58" format="1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B73E09-C4A2-473D-A1F6-CF51B9B97712}" name="TablaDinámica8" cacheId="1147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14">
  <location ref="L69:N79" firstHeaderRow="1" firstDataRow="3" firstDataCol="1" rowPageCount="1" colPageCount="1"/>
  <pivotFields count="21">
    <pivotField numFmtId="14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117">
        <item x="23"/>
        <item x="54"/>
        <item x="74"/>
        <item x="68"/>
        <item x="9"/>
        <item x="50"/>
        <item x="49"/>
        <item x="1"/>
        <item x="17"/>
        <item x="63"/>
        <item x="45"/>
        <item x="31"/>
        <item x="46"/>
        <item x="61"/>
        <item x="53"/>
        <item x="24"/>
        <item x="30"/>
        <item x="58"/>
        <item x="59"/>
        <item x="16"/>
        <item x="35"/>
        <item x="51"/>
        <item x="8"/>
        <item x="40"/>
        <item x="36"/>
        <item x="70"/>
        <item x="34"/>
        <item x="26"/>
        <item x="13"/>
        <item x="55"/>
        <item x="3"/>
        <item x="27"/>
        <item x="5"/>
        <item x="29"/>
        <item x="77"/>
        <item x="28"/>
        <item x="71"/>
        <item x="62"/>
        <item x="56"/>
        <item x="6"/>
        <item x="22"/>
        <item x="67"/>
        <item x="48"/>
        <item x="4"/>
        <item x="73"/>
        <item x="2"/>
        <item x="10"/>
        <item x="69"/>
        <item x="15"/>
        <item x="47"/>
        <item x="39"/>
        <item x="7"/>
        <item x="42"/>
        <item x="12"/>
        <item x="32"/>
        <item x="11"/>
        <item x="65"/>
        <item x="0"/>
        <item x="21"/>
        <item x="43"/>
        <item x="18"/>
        <item x="19"/>
        <item x="25"/>
        <item x="41"/>
        <item x="66"/>
        <item x="52"/>
        <item x="72"/>
        <item x="57"/>
        <item x="14"/>
        <item x="44"/>
        <item x="38"/>
        <item x="64"/>
        <item x="20"/>
        <item x="37"/>
        <item x="33"/>
        <item x="60"/>
        <item m="1" x="116"/>
        <item x="76"/>
        <item x="75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6"/>
        <item x="97"/>
        <item x="95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1"/>
        <item x="110"/>
        <item x="112"/>
        <item x="113"/>
        <item x="114"/>
        <item x="115"/>
      </items>
    </pivotField>
    <pivotField showAll="0" defaultSubtotal="0"/>
    <pivotField showAll="0" defaultSubtotal="0"/>
    <pivotField axis="axisCol" showAll="0" defaultSubtotal="0">
      <items count="4">
        <item x="1"/>
        <item h="1" x="0"/>
        <item h="1" m="1" x="3"/>
        <item h="1" x="2"/>
      </items>
    </pivotField>
    <pivotField axis="axisCol" dataField="1" showAll="0" defaultSubtotal="0">
      <items count="6">
        <item x="0"/>
        <item x="2"/>
        <item x="1"/>
        <item m="1" x="5"/>
        <item x="3"/>
        <item m="1" x="4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Page" multipleItemSelectionAllowed="1" showAll="0" defaultSubtotal="0">
      <items count="110">
        <item m="1" x="66"/>
        <item h="1" m="1" x="32"/>
        <item m="1" x="67"/>
        <item h="1" m="1" x="33"/>
        <item h="1" x="0"/>
        <item m="1" x="68"/>
        <item h="1" m="1" x="34"/>
        <item m="1" x="69"/>
        <item h="1" m="1" x="35"/>
        <item m="1" x="70"/>
        <item h="1" m="1" x="36"/>
        <item m="1" x="71"/>
        <item h="1" m="1" x="37"/>
        <item m="1" x="72"/>
        <item h="1" m="1" x="38"/>
        <item m="1" x="73"/>
        <item h="1" m="1" x="39"/>
        <item m="1" x="74"/>
        <item h="1" m="1" x="40"/>
        <item m="1" x="75"/>
        <item h="1" m="1" x="41"/>
        <item m="1" x="76"/>
        <item h="1" m="1" x="42"/>
        <item m="1" x="77"/>
        <item h="1" m="1" x="43"/>
        <item h="1" m="1" x="24"/>
        <item m="1" x="78"/>
        <item h="1" m="1" x="44"/>
        <item m="1" x="79"/>
        <item h="1" m="1" x="45"/>
        <item m="1" x="80"/>
        <item h="1" m="1" x="46"/>
        <item m="1" x="81"/>
        <item h="1" m="1" x="47"/>
        <item m="1" x="82"/>
        <item h="1" m="1" x="48"/>
        <item m="1" x="83"/>
        <item h="1" m="1" x="49"/>
        <item m="1" x="84"/>
        <item h="1" m="1" x="50"/>
        <item m="1" x="85"/>
        <item h="1" m="1" x="51"/>
        <item m="1" x="86"/>
        <item h="1" m="1" x="52"/>
        <item m="1" x="87"/>
        <item h="1" m="1" x="53"/>
        <item h="1" m="1" x="25"/>
        <item m="1" x="88"/>
        <item h="1" m="1" x="54"/>
        <item m="1" x="89"/>
        <item h="1" m="1" x="55"/>
        <item m="1" x="90"/>
        <item h="1" m="1" x="56"/>
        <item m="1" x="91"/>
        <item h="1" m="1" x="57"/>
        <item m="1" x="92"/>
        <item h="1" m="1" x="58"/>
        <item m="1" x="93"/>
        <item h="1" m="1" x="59"/>
        <item m="1" x="94"/>
        <item h="1" m="1" x="60"/>
        <item m="1" x="95"/>
        <item h="1" m="1" x="61"/>
        <item m="1" x="96"/>
        <item m="1" x="97"/>
        <item h="1" m="1" x="62"/>
        <item h="1" m="1" x="26"/>
        <item m="1" x="98"/>
        <item h="1" m="1" x="63"/>
        <item m="1" x="99"/>
        <item h="1" m="1" x="64"/>
        <item m="1" x="100"/>
        <item m="1" x="101"/>
        <item m="1" x="102"/>
        <item m="1" x="103"/>
        <item m="1" x="104"/>
        <item m="1" x="105"/>
        <item m="1" x="106"/>
        <item m="1" x="107"/>
        <item h="1" m="1" x="27"/>
        <item m="1" x="108"/>
        <item m="1" x="109"/>
        <item h="1" m="1" x="28"/>
        <item h="1" m="1" x="29"/>
        <item h="1" m="1" x="30"/>
        <item m="1" x="65"/>
        <item h="1" m="1" x="31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x="23"/>
      </items>
    </pivotField>
  </pivotFields>
  <rowFields count="1">
    <field x="6"/>
  </rowFields>
  <rowItems count="8">
    <i>
      <x/>
    </i>
    <i>
      <x v="21"/>
    </i>
    <i>
      <x v="27"/>
    </i>
    <i>
      <x v="32"/>
    </i>
    <i>
      <x v="35"/>
    </i>
    <i>
      <x v="48"/>
    </i>
    <i>
      <x v="63"/>
    </i>
    <i>
      <x v="67"/>
    </i>
  </rowItems>
  <colFields count="2">
    <field x="9"/>
    <field x="10"/>
  </colFields>
  <colItems count="2">
    <i>
      <x/>
      <x v="1"/>
    </i>
    <i r="1">
      <x v="2"/>
    </i>
  </colItems>
  <pageFields count="1">
    <pageField fld="20" hier="-1"/>
  </pageFields>
  <dataFields count="1">
    <dataField name="Cuenta de M/E" fld="10" subtotal="count" baseField="0" baseItem="0"/>
  </dataFields>
  <formats count="11">
    <format dxfId="1100">
      <pivotArea outline="0" collapsedLevelsAreSubtotals="1" fieldPosition="0"/>
    </format>
    <format dxfId="1101">
      <pivotArea field="6" type="button" dataOnly="0" labelOnly="1" outline="0" axis="axisRow" fieldPosition="0"/>
    </format>
    <format dxfId="1102">
      <pivotArea dataOnly="0" labelOnly="1" fieldPosition="0">
        <references count="1">
          <reference field="6" count="0"/>
        </references>
      </pivotArea>
    </format>
    <format dxfId="1103">
      <pivotArea dataOnly="0" labelOnly="1" fieldPosition="0">
        <references count="2">
          <reference field="9" count="1" selected="0">
            <x v="0"/>
          </reference>
          <reference field="10" count="2">
            <x v="1"/>
            <x v="2"/>
          </reference>
        </references>
      </pivotArea>
    </format>
    <format dxfId="1104">
      <pivotArea dataOnly="0" labelOnly="1" fieldPosition="0">
        <references count="2">
          <reference field="9" count="1" selected="0">
            <x v="1"/>
          </reference>
          <reference field="10" count="1">
            <x v="0"/>
          </reference>
        </references>
      </pivotArea>
    </format>
    <format dxfId="1105">
      <pivotArea outline="0" collapsedLevelsAreSubtotals="1" fieldPosition="0"/>
    </format>
    <format dxfId="1106">
      <pivotArea dataOnly="0" labelOnly="1" fieldPosition="0">
        <references count="1">
          <reference field="6" count="0"/>
        </references>
      </pivotArea>
    </format>
    <format dxfId="1107">
      <pivotArea outline="0" collapsedLevelsAreSubtotals="1" fieldPosition="0"/>
    </format>
    <format dxfId="1108">
      <pivotArea dataOnly="0" labelOnly="1" fieldPosition="0">
        <references count="1">
          <reference field="9" count="0"/>
        </references>
      </pivotArea>
    </format>
    <format dxfId="1109">
      <pivotArea dataOnly="0" labelOnly="1" fieldPosition="0">
        <references count="2">
          <reference field="9" count="1" selected="0">
            <x v="0"/>
          </reference>
          <reference field="10" count="2">
            <x v="1"/>
            <x v="2"/>
          </reference>
        </references>
      </pivotArea>
    </format>
    <format dxfId="1110">
      <pivotArea dataOnly="0" labelOnly="1" fieldPosition="0">
        <references count="2">
          <reference field="9" count="1" selected="0">
            <x v="1"/>
          </reference>
          <reference field="10" count="1">
            <x v="0"/>
          </reference>
        </references>
      </pivotArea>
    </format>
  </formats>
  <conditionalFormats count="4">
    <conditionalFormat priority="12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9" count="1" selected="0">
              <x v="0"/>
            </reference>
            <reference field="10" count="1" selected="0">
              <x v="1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9" count="1" selected="0">
              <x v="0"/>
            </reference>
            <reference field="10" count="1" selected="0">
              <x v="2"/>
            </reference>
          </references>
        </pivotArea>
      </pivotAreas>
    </conditionalFormat>
    <conditionalFormat priority="14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9" count="1" selected="0">
              <x v="1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9" count="1" selected="0">
              <x v="1"/>
            </reference>
          </references>
        </pivotArea>
      </pivotAreas>
    </conditionalFormat>
  </conditionalFormats>
  <chartFormats count="17">
    <chartFormat chart="1" format="2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0" count="1" selected="0">
            <x v="1"/>
          </reference>
        </references>
      </pivotArea>
    </chartFormat>
    <chartFormat chart="1" format="3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0" count="1" selected="0">
            <x v="2"/>
          </reference>
        </references>
      </pivotArea>
    </chartFormat>
    <chartFormat chart="2" format="7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0" count="1" selected="0">
            <x v="1"/>
          </reference>
        </references>
      </pivotArea>
    </chartFormat>
    <chartFormat chart="2" format="8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0" count="1" selected="0">
            <x v="2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0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0" count="1" selected="0">
            <x v="1"/>
          </reference>
        </references>
      </pivotArea>
    </chartFormat>
    <chartFormat chart="7" format="11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0" count="1" selected="0">
            <x v="2"/>
          </reference>
        </references>
      </pivotArea>
    </chartFormat>
    <chartFormat chart="7" format="12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0" count="1" selected="0">
            <x v="0"/>
          </reference>
        </references>
      </pivotArea>
    </chartFormat>
    <chartFormat chart="9" format="16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0" count="1" selected="0">
            <x v="1"/>
          </reference>
        </references>
      </pivotArea>
    </chartFormat>
    <chartFormat chart="9" format="17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0" count="1" selected="0">
            <x v="2"/>
          </reference>
        </references>
      </pivotArea>
    </chartFormat>
    <chartFormat chart="7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4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0" count="1" selected="0">
            <x v="4"/>
          </reference>
        </references>
      </pivotArea>
    </chartFormat>
    <chartFormat chart="9" format="19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0" count="1" selected="0">
            <x v="4"/>
          </reference>
        </references>
      </pivotArea>
    </chartFormat>
    <chartFormat chart="2" format="10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0" count="1" selected="0">
            <x v="4"/>
          </reference>
        </references>
      </pivotArea>
    </chartFormat>
    <chartFormat chart="13" format="22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0" count="1" selected="0">
            <x v="1"/>
          </reference>
        </references>
      </pivotArea>
    </chartFormat>
    <chartFormat chart="13" format="23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66CDA8-3659-4E35-8CD7-DA61505D4960}" name="TablaDinámica5" cacheId="114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46">
  <location ref="B98:E104" firstHeaderRow="1" firstDataRow="2" firstDataCol="1" rowPageCount="1" colPageCount="1"/>
  <pivotFields count="16">
    <pivotField showAll="0"/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105">
        <item m="1" x="16"/>
        <item x="2"/>
        <item m="1" x="48"/>
        <item m="1" x="17"/>
        <item m="1" x="15"/>
        <item x="9"/>
        <item m="1" x="24"/>
        <item m="1" x="18"/>
        <item m="1" x="35"/>
        <item m="1" x="13"/>
        <item m="1" x="11"/>
        <item x="0"/>
        <item m="1" x="103"/>
        <item m="1" x="45"/>
        <item m="1" x="21"/>
        <item x="10"/>
        <item m="1" x="14"/>
        <item m="1" x="52"/>
        <item m="1" x="101"/>
        <item m="1" x="26"/>
        <item m="1" x="54"/>
        <item m="1" x="37"/>
        <item m="1" x="102"/>
        <item m="1" x="53"/>
        <item m="1" x="19"/>
        <item m="1" x="70"/>
        <item m="1" x="100"/>
        <item m="1" x="33"/>
        <item m="1" x="99"/>
        <item x="6"/>
        <item m="1" x="23"/>
        <item m="1" x="56"/>
        <item m="1" x="64"/>
        <item m="1" x="74"/>
        <item m="1" x="62"/>
        <item x="5"/>
        <item m="1" x="12"/>
        <item m="1" x="38"/>
        <item m="1" x="98"/>
        <item m="1" x="68"/>
        <item m="1" x="94"/>
        <item x="1"/>
        <item m="1" x="83"/>
        <item m="1" x="47"/>
        <item m="1" x="88"/>
        <item m="1" x="61"/>
        <item m="1" x="96"/>
        <item m="1" x="97"/>
        <item m="1" x="82"/>
        <item m="1" x="32"/>
        <item m="1" x="20"/>
        <item m="1" x="71"/>
        <item m="1" x="63"/>
        <item m="1" x="77"/>
        <item m="1" x="75"/>
        <item m="1" x="92"/>
        <item m="1" x="43"/>
        <item m="1" x="57"/>
        <item m="1" x="29"/>
        <item m="1" x="28"/>
        <item m="1" x="86"/>
        <item m="1" x="95"/>
        <item m="1" x="69"/>
        <item m="1" x="93"/>
        <item m="1" x="22"/>
        <item m="1" x="73"/>
        <item m="1" x="91"/>
        <item m="1" x="72"/>
        <item m="1" x="36"/>
        <item m="1" x="90"/>
        <item m="1" x="66"/>
        <item m="1" x="89"/>
        <item x="7"/>
        <item m="1" x="42"/>
        <item m="1" x="79"/>
        <item m="1" x="78"/>
        <item m="1" x="49"/>
        <item m="1" x="58"/>
        <item m="1" x="41"/>
        <item m="1" x="87"/>
        <item m="1" x="34"/>
        <item m="1" x="55"/>
        <item m="1" x="59"/>
        <item x="8"/>
        <item m="1" x="39"/>
        <item m="1" x="50"/>
        <item m="1" x="84"/>
        <item m="1" x="85"/>
        <item m="1" x="60"/>
        <item m="1" x="80"/>
        <item m="1" x="81"/>
        <item m="1" x="76"/>
        <item m="1" x="44"/>
        <item m="1" x="25"/>
        <item x="4"/>
        <item m="1" x="27"/>
        <item m="1" x="40"/>
        <item m="1" x="67"/>
        <item m="1" x="65"/>
        <item m="1" x="30"/>
        <item m="1" x="51"/>
        <item m="1" x="46"/>
        <item m="1" x="3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Page" multipleItemSelectionAllowed="1" showAll="0">
      <items count="4">
        <item x="1"/>
        <item h="1" x="0"/>
        <item x="2"/>
        <item t="default"/>
      </items>
    </pivotField>
    <pivotField axis="axisCol" showAll="0">
      <items count="6">
        <item m="1" x="4"/>
        <item x="1"/>
        <item x="2"/>
        <item h="1" x="0"/>
        <item h="1" m="1" x="3"/>
        <item t="default"/>
      </items>
    </pivotField>
    <pivotField showAll="0"/>
    <pivotField showAll="0"/>
    <pivotField numFmtId="1" showAll="0"/>
    <pivotField showAll="0"/>
  </pivotFields>
  <rowFields count="1">
    <field x="7"/>
  </rowFields>
  <rowItems count="5">
    <i>
      <x v="5"/>
    </i>
    <i>
      <x v="83"/>
    </i>
    <i>
      <x v="103"/>
    </i>
    <i>
      <x v="35"/>
    </i>
    <i t="grand">
      <x/>
    </i>
  </rowItems>
  <colFields count="1">
    <field x="11"/>
  </colFields>
  <colItems count="3">
    <i>
      <x v="1"/>
    </i>
    <i>
      <x v="2"/>
    </i>
    <i t="grand">
      <x/>
    </i>
  </colItems>
  <pageFields count="1">
    <pageField fld="10" hier="-1"/>
  </pageFields>
  <dataFields count="1">
    <dataField name="Suma de T.TOTAL" fld="6" baseField="7" baseItem="0" numFmtId="20"/>
  </dataFields>
  <formats count="29">
    <format dxfId="1071">
      <pivotArea outline="0" collapsedLevelsAreSubtotals="1" fieldPosition="0"/>
    </format>
    <format dxfId="1072">
      <pivotArea outline="0" collapsedLevelsAreSubtotals="1" fieldPosition="0"/>
    </format>
    <format dxfId="1073">
      <pivotArea outline="0" collapsedLevelsAreSubtotals="1" fieldPosition="0"/>
    </format>
    <format dxfId="1074">
      <pivotArea field="7" type="button" dataOnly="0" labelOnly="1" outline="0" axis="axisRow" fieldPosition="0"/>
    </format>
    <format dxfId="1075">
      <pivotArea dataOnly="0" labelOnly="1" grandRow="1" outline="0" fieldPosition="0"/>
    </format>
    <format dxfId="1076">
      <pivotArea dataOnly="0" labelOnly="1" grandCol="1" outline="0" fieldPosition="0"/>
    </format>
    <format dxfId="1077">
      <pivotArea type="all" dataOnly="0" outline="0" fieldPosition="0"/>
    </format>
    <format dxfId="1078">
      <pivotArea outline="0" collapsedLevelsAreSubtotals="1" fieldPosition="0"/>
    </format>
    <format dxfId="1079">
      <pivotArea field="11" type="button" dataOnly="0" labelOnly="1" outline="0" axis="axisCol" fieldPosition="0"/>
    </format>
    <format dxfId="1080">
      <pivotArea type="topRight" dataOnly="0" labelOnly="1" outline="0" fieldPosition="0"/>
    </format>
    <format dxfId="1081">
      <pivotArea dataOnly="0" labelOnly="1" fieldPosition="0">
        <references count="1">
          <reference field="11" count="3">
            <x v="1"/>
            <x v="2"/>
            <x v="3"/>
          </reference>
        </references>
      </pivotArea>
    </format>
    <format dxfId="1082">
      <pivotArea dataOnly="0" labelOnly="1" grandCol="1" outline="0" fieldPosition="0"/>
    </format>
    <format dxfId="1083">
      <pivotArea field="10" type="button" dataOnly="0" labelOnly="1" outline="0" axis="axisPage" fieldPosition="0"/>
    </format>
    <format dxfId="1084">
      <pivotArea type="origin" dataOnly="0" labelOnly="1" outline="0" fieldPosition="0"/>
    </format>
    <format dxfId="1085">
      <pivotArea field="7" type="button" dataOnly="0" labelOnly="1" outline="0" axis="axisRow" fieldPosition="0"/>
    </format>
    <format dxfId="1086">
      <pivotArea dataOnly="0" labelOnly="1" fieldPosition="0">
        <references count="1">
          <reference field="7" count="8">
            <x v="2"/>
            <x v="3"/>
            <x v="6"/>
            <x v="7"/>
            <x v="9"/>
            <x v="10"/>
            <x v="14"/>
            <x v="15"/>
          </reference>
        </references>
      </pivotArea>
    </format>
    <format dxfId="1087">
      <pivotArea dataOnly="0" labelOnly="1" grandRow="1" outline="0" fieldPosition="0"/>
    </format>
    <format dxfId="1088">
      <pivotArea outline="0" collapsedLevelsAreSubtotals="1" fieldPosition="0"/>
    </format>
    <format dxfId="1089">
      <pivotArea field="7" type="button" dataOnly="0" labelOnly="1" outline="0" axis="axisRow" fieldPosition="0"/>
    </format>
    <format dxfId="1090">
      <pivotArea dataOnly="0" labelOnly="1" fieldPosition="0">
        <references count="1">
          <reference field="7" count="8">
            <x v="2"/>
            <x v="3"/>
            <x v="6"/>
            <x v="7"/>
            <x v="9"/>
            <x v="10"/>
            <x v="14"/>
            <x v="15"/>
          </reference>
        </references>
      </pivotArea>
    </format>
    <format dxfId="1091">
      <pivotArea dataOnly="0" labelOnly="1" grandRow="1" outline="0" fieldPosition="0"/>
    </format>
    <format dxfId="1092">
      <pivotArea dataOnly="0" labelOnly="1" fieldPosition="0">
        <references count="1">
          <reference field="11" count="3">
            <x v="1"/>
            <x v="2"/>
            <x v="3"/>
          </reference>
        </references>
      </pivotArea>
    </format>
    <format dxfId="1093">
      <pivotArea dataOnly="0" labelOnly="1" grandCol="1" outline="0" fieldPosition="0"/>
    </format>
    <format dxfId="1094">
      <pivotArea collapsedLevelsAreSubtotals="1" fieldPosition="0">
        <references count="1">
          <reference field="7" count="7">
            <x v="6"/>
            <x v="7"/>
            <x v="20"/>
            <x v="33"/>
            <x v="35"/>
            <x v="37"/>
            <x v="38"/>
          </reference>
        </references>
      </pivotArea>
    </format>
    <format dxfId="1095">
      <pivotArea dataOnly="0" labelOnly="1" fieldPosition="0">
        <references count="1">
          <reference field="7" count="7">
            <x v="6"/>
            <x v="7"/>
            <x v="20"/>
            <x v="33"/>
            <x v="35"/>
            <x v="37"/>
            <x v="38"/>
          </reference>
        </references>
      </pivotArea>
    </format>
    <format dxfId="1096">
      <pivotArea collapsedLevelsAreSubtotals="1" fieldPosition="0">
        <references count="2">
          <reference field="7" count="6">
            <x v="0"/>
            <x v="3"/>
            <x v="4"/>
            <x v="9"/>
            <x v="40"/>
            <x v="41"/>
          </reference>
          <reference field="11" count="1" selected="0">
            <x v="1"/>
          </reference>
        </references>
      </pivotArea>
    </format>
    <format dxfId="1097">
      <pivotArea dataOnly="0" labelOnly="1" fieldPosition="0">
        <references count="1">
          <reference field="7" count="6">
            <x v="0"/>
            <x v="3"/>
            <x v="4"/>
            <x v="9"/>
            <x v="40"/>
            <x v="41"/>
          </reference>
        </references>
      </pivotArea>
    </format>
    <format dxfId="1098">
      <pivotArea collapsedLevelsAreSubtotals="1" fieldPosition="0">
        <references count="2">
          <reference field="7" count="6">
            <x v="0"/>
            <x v="3"/>
            <x v="4"/>
            <x v="9"/>
            <x v="40"/>
            <x v="41"/>
          </reference>
          <reference field="11" count="1" selected="0">
            <x v="1"/>
          </reference>
        </references>
      </pivotArea>
    </format>
    <format dxfId="1099">
      <pivotArea dataOnly="0" labelOnly="1" fieldPosition="0">
        <references count="1">
          <reference field="7" count="6">
            <x v="0"/>
            <x v="3"/>
            <x v="4"/>
            <x v="9"/>
            <x v="40"/>
            <x v="41"/>
          </reference>
        </references>
      </pivotArea>
    </format>
  </formats>
  <chartFormats count="76"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8" format="1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9" format="1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9" format="1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0" format="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0" format="1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1" format="1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1" format="1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2" format="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2" format="1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3" format="1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3" format="1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5" format="1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6" format="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7" format="1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8" format="1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9" format="1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0" format="1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1" format="1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2" format="1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2" format="1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2" format="1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3" format="1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3" format="1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3" format="1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4" format="1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4" format="1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5" format="1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5" format="1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8" format="1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8" format="1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9" format="1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9" format="1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0" format="1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0" format="1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1" format="1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1" format="1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2" format="1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2" format="1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3" format="1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3" format="1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7" format="1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4" format="1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4" format="1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5" format="1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5" format="1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6" format="1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6" format="1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7" format="1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7" format="1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8" format="1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8" format="1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9" format="1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9" format="1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40" format="1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0" format="1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41" format="1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1" format="1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42" format="1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2" format="1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43" format="1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3" format="1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44" format="1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45" format="1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F4AB9C-2BCD-460D-B8EC-64E2FF74D458}" name="TablaDinámica1" cacheId="1148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>
  <location ref="V7:W11" firstHeaderRow="1" firstDataRow="1" firstDataCol="1" rowPageCount="1" colPageCount="1"/>
  <pivotFields count="16"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105">
        <item m="1" x="14"/>
        <item m="1" x="94"/>
        <item m="1" x="42"/>
        <item m="1" x="86"/>
        <item m="1" x="43"/>
        <item m="1" x="50"/>
        <item m="1" x="55"/>
        <item m="1" x="89"/>
        <item m="1" x="16"/>
        <item m="1" x="47"/>
        <item m="1" x="22"/>
        <item x="2"/>
        <item m="1" x="99"/>
        <item m="1" x="100"/>
        <item m="1" x="75"/>
        <item m="1" x="61"/>
        <item x="6"/>
        <item m="1" x="96"/>
        <item m="1" x="95"/>
        <item m="1" x="82"/>
        <item m="1" x="91"/>
        <item m="1" x="101"/>
        <item m="1" x="70"/>
        <item m="1" x="48"/>
        <item m="1" x="63"/>
        <item x="4"/>
        <item m="1" x="90"/>
        <item m="1" x="53"/>
        <item m="1" x="56"/>
        <item m="1" x="79"/>
        <item m="1" x="39"/>
        <item m="1" x="84"/>
        <item x="8"/>
        <item m="1" x="59"/>
        <item m="1" x="62"/>
        <item m="1" x="64"/>
        <item m="1" x="69"/>
        <item m="1" x="23"/>
        <item m="1" x="17"/>
        <item m="1" x="32"/>
        <item m="1" x="20"/>
        <item m="1" x="15"/>
        <item m="1" x="26"/>
        <item x="9"/>
        <item m="1" x="24"/>
        <item m="1" x="73"/>
        <item m="1" x="18"/>
        <item m="1" x="36"/>
        <item m="1" x="87"/>
        <item m="1" x="77"/>
        <item m="1" x="71"/>
        <item m="1" x="34"/>
        <item m="1" x="52"/>
        <item m="1" x="28"/>
        <item m="1" x="35"/>
        <item m="1" x="97"/>
        <item m="1" x="78"/>
        <item m="1" x="41"/>
        <item m="1" x="83"/>
        <item m="1" x="93"/>
        <item m="1" x="49"/>
        <item m="1" x="80"/>
        <item m="1" x="13"/>
        <item x="1"/>
        <item m="1" x="38"/>
        <item m="1" x="37"/>
        <item m="1" x="68"/>
        <item m="1" x="44"/>
        <item m="1" x="33"/>
        <item m="1" x="72"/>
        <item m="1" x="57"/>
        <item m="1" x="88"/>
        <item m="1" x="11"/>
        <item x="7"/>
        <item m="1" x="12"/>
        <item x="0"/>
        <item m="1" x="19"/>
        <item m="1" x="81"/>
        <item m="1" x="54"/>
        <item x="5"/>
        <item m="1" x="27"/>
        <item m="1" x="29"/>
        <item m="1" x="103"/>
        <item m="1" x="45"/>
        <item m="1" x="60"/>
        <item m="1" x="21"/>
        <item m="1" x="85"/>
        <item m="1" x="66"/>
        <item m="1" x="102"/>
        <item m="1" x="74"/>
        <item m="1" x="25"/>
        <item m="1" x="76"/>
        <item m="1" x="58"/>
        <item m="1" x="98"/>
        <item m="1" x="92"/>
        <item x="10"/>
        <item m="1" x="40"/>
        <item m="1" x="67"/>
        <item m="1" x="65"/>
        <item m="1" x="30"/>
        <item m="1" x="51"/>
        <item m="1" x="46"/>
        <item m="1" x="3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1" showAll="0"/>
    <pivotField showAll="0"/>
  </pivotFields>
  <rowFields count="1">
    <field x="7"/>
  </rowFields>
  <rowItems count="4">
    <i>
      <x v="43"/>
    </i>
    <i>
      <x v="32"/>
    </i>
    <i>
      <x v="103"/>
    </i>
    <i>
      <x v="79"/>
    </i>
  </rowItems>
  <colItems count="1">
    <i/>
  </colItems>
  <pageFields count="1">
    <pageField fld="10" hier="-1"/>
  </pageFields>
  <dataFields count="1">
    <dataField name="Suma de T.TOTAL" fld="6" baseField="0" baseItem="2" numFmtId="166"/>
  </dataFields>
  <formats count="36">
    <format dxfId="1035">
      <pivotArea outline="0" collapsedLevelsAreSubtotals="1" fieldPosition="0"/>
    </format>
    <format dxfId="1036">
      <pivotArea type="all" dataOnly="0" outline="0" fieldPosition="0"/>
    </format>
    <format dxfId="1037">
      <pivotArea outline="0" collapsedLevelsAreSubtotals="1" fieldPosition="0"/>
    </format>
    <format dxfId="1038">
      <pivotArea field="7" type="button" dataOnly="0" labelOnly="1" outline="0" axis="axisRow" fieldPosition="0"/>
    </format>
    <format dxfId="1039">
      <pivotArea dataOnly="0" labelOnly="1" fieldPosition="0">
        <references count="1">
          <reference field="7" count="6">
            <x v="11"/>
            <x v="23"/>
            <x v="41"/>
            <x v="44"/>
            <x v="54"/>
            <x v="62"/>
          </reference>
        </references>
      </pivotArea>
    </format>
    <format dxfId="1040">
      <pivotArea dataOnly="0" labelOnly="1" grandRow="1" outline="0" fieldPosition="0"/>
    </format>
    <format dxfId="1041">
      <pivotArea dataOnly="0" labelOnly="1" outline="0" axis="axisValues" fieldPosition="0"/>
    </format>
    <format dxfId="1042">
      <pivotArea type="all" dataOnly="0" outline="0" fieldPosition="0"/>
    </format>
    <format dxfId="1043">
      <pivotArea outline="0" collapsedLevelsAreSubtotals="1" fieldPosition="0"/>
    </format>
    <format dxfId="1044">
      <pivotArea field="7" type="button" dataOnly="0" labelOnly="1" outline="0" axis="axisRow" fieldPosition="0"/>
    </format>
    <format dxfId="1045">
      <pivotArea dataOnly="0" labelOnly="1" fieldPosition="0">
        <references count="1">
          <reference field="7" count="6">
            <x v="11"/>
            <x v="23"/>
            <x v="41"/>
            <x v="44"/>
            <x v="54"/>
            <x v="62"/>
          </reference>
        </references>
      </pivotArea>
    </format>
    <format dxfId="1046">
      <pivotArea dataOnly="0" labelOnly="1" grandRow="1" outline="0" fieldPosition="0"/>
    </format>
    <format dxfId="1047">
      <pivotArea dataOnly="0" labelOnly="1" outline="0" axis="axisValues" fieldPosition="0"/>
    </format>
    <format dxfId="1048">
      <pivotArea type="all" dataOnly="0" outline="0" fieldPosition="0"/>
    </format>
    <format dxfId="1049">
      <pivotArea outline="0" collapsedLevelsAreSubtotals="1" fieldPosition="0"/>
    </format>
    <format dxfId="1050">
      <pivotArea field="7" type="button" dataOnly="0" labelOnly="1" outline="0" axis="axisRow" fieldPosition="0"/>
    </format>
    <format dxfId="1051">
      <pivotArea dataOnly="0" labelOnly="1" fieldPosition="0">
        <references count="1">
          <reference field="7" count="6">
            <x v="11"/>
            <x v="23"/>
            <x v="41"/>
            <x v="44"/>
            <x v="54"/>
            <x v="62"/>
          </reference>
        </references>
      </pivotArea>
    </format>
    <format dxfId="1052">
      <pivotArea dataOnly="0" labelOnly="1" outline="0" axis="axisValues" fieldPosition="0"/>
    </format>
    <format dxfId="1053">
      <pivotArea field="10" type="button" dataOnly="0" labelOnly="1" outline="0" axis="axisPage" fieldPosition="0"/>
    </format>
    <format dxfId="1054">
      <pivotArea field="7" type="button" dataOnly="0" labelOnly="1" outline="0" axis="axisRow" fieldPosition="0"/>
    </format>
    <format dxfId="1055">
      <pivotArea dataOnly="0" labelOnly="1" fieldPosition="0">
        <references count="1">
          <reference field="7" count="6">
            <x v="11"/>
            <x v="23"/>
            <x v="41"/>
            <x v="44"/>
            <x v="54"/>
            <x v="62"/>
          </reference>
        </references>
      </pivotArea>
    </format>
    <format dxfId="1056">
      <pivotArea outline="0" collapsedLevelsAreSubtotals="1" fieldPosition="0"/>
    </format>
    <format dxfId="1057">
      <pivotArea dataOnly="0" labelOnly="1" outline="0" fieldPosition="0">
        <references count="1">
          <reference field="10" count="0"/>
        </references>
      </pivotArea>
    </format>
    <format dxfId="1058">
      <pivotArea dataOnly="0" labelOnly="1" outline="0" axis="axisValues" fieldPosition="0"/>
    </format>
    <format dxfId="1059">
      <pivotArea outline="0" collapsedLevelsAreSubtotals="1" fieldPosition="0"/>
    </format>
    <format dxfId="1060">
      <pivotArea dataOnly="0" labelOnly="1" outline="0" fieldPosition="0">
        <references count="1">
          <reference field="10" count="0"/>
        </references>
      </pivotArea>
    </format>
    <format dxfId="1061">
      <pivotArea dataOnly="0" labelOnly="1" outline="0" axis="axisValues" fieldPosition="0"/>
    </format>
    <format dxfId="1062">
      <pivotArea outline="0" collapsedLevelsAreSubtotals="1" fieldPosition="0"/>
    </format>
    <format dxfId="1063">
      <pivotArea dataOnly="0" labelOnly="1" outline="0" fieldPosition="0">
        <references count="1">
          <reference field="10" count="0"/>
        </references>
      </pivotArea>
    </format>
    <format dxfId="1064">
      <pivotArea dataOnly="0" labelOnly="1" outline="0" axis="axisValues" fieldPosition="0"/>
    </format>
    <format dxfId="1065">
      <pivotArea field="7" type="button" dataOnly="0" labelOnly="1" outline="0" axis="axisRow" fieldPosition="0"/>
    </format>
    <format dxfId="1066">
      <pivotArea dataOnly="0" labelOnly="1" outline="0" axis="axisValues" fieldPosition="0"/>
    </format>
    <format dxfId="1067">
      <pivotArea dataOnly="0" labelOnly="1" fieldPosition="0">
        <references count="1">
          <reference field="7" count="10">
            <x v="38"/>
            <x v="39"/>
            <x v="40"/>
            <x v="41"/>
            <x v="42"/>
            <x v="46"/>
            <x v="62"/>
            <x v="81"/>
            <x v="99"/>
            <x v="102"/>
          </reference>
        </references>
      </pivotArea>
    </format>
    <format dxfId="1068">
      <pivotArea dataOnly="0" labelOnly="1" fieldPosition="0">
        <references count="1">
          <reference field="7" count="10">
            <x v="38"/>
            <x v="39"/>
            <x v="40"/>
            <x v="41"/>
            <x v="42"/>
            <x v="46"/>
            <x v="62"/>
            <x v="81"/>
            <x v="99"/>
            <x v="102"/>
          </reference>
        </references>
      </pivotArea>
    </format>
    <format dxfId="1069">
      <pivotArea dataOnly="0" labelOnly="1" fieldPosition="0">
        <references count="1">
          <reference field="7" count="10">
            <x v="38"/>
            <x v="39"/>
            <x v="40"/>
            <x v="41"/>
            <x v="42"/>
            <x v="46"/>
            <x v="62"/>
            <x v="81"/>
            <x v="99"/>
            <x v="102"/>
          </reference>
        </references>
      </pivotArea>
    </format>
    <format dxfId="1070">
      <pivotArea dataOnly="0" labelOnly="1" fieldPosition="0">
        <references count="1">
          <reference field="7" count="10">
            <x v="38"/>
            <x v="39"/>
            <x v="40"/>
            <x v="41"/>
            <x v="42"/>
            <x v="46"/>
            <x v="62"/>
            <x v="81"/>
            <x v="99"/>
            <x v="10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43BF9F-25B3-4EDC-AC82-E7D6D3AFC968}" name="TablaDinámica70" cacheId="114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">
  <location ref="Q51:R52" firstHeaderRow="1" firstDataRow="1" firstDataCol="1" rowPageCount="1" colPageCount="1"/>
  <pivotFields count="16">
    <pivotField showAll="0"/>
    <pivotField showAll="0"/>
    <pivotField showAll="0"/>
    <pivotField axis="axisRow" showAll="0">
      <items count="5">
        <item x="0"/>
        <item m="1" x="2"/>
        <item m="1" x="3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Page" multipleItemSelectionAllowed="1" showAll="0">
      <items count="4">
        <item x="1"/>
        <item x="0"/>
        <item h="1" x="2"/>
        <item t="default"/>
      </items>
    </pivotField>
    <pivotField showAll="0"/>
    <pivotField showAll="0"/>
    <pivotField showAll="0"/>
    <pivotField numFmtId="1" showAll="0"/>
    <pivotField showAll="0">
      <items count="70">
        <item x="10"/>
        <item m="1" x="47"/>
        <item x="2"/>
        <item m="1" x="48"/>
        <item m="1" x="56"/>
        <item x="8"/>
        <item m="1" x="15"/>
        <item m="1" x="24"/>
        <item m="1" x="18"/>
        <item m="1" x="35"/>
        <item m="1" x="13"/>
        <item m="1" x="11"/>
        <item x="0"/>
        <item m="1" x="19"/>
        <item m="1" x="49"/>
        <item x="5"/>
        <item m="1" x="17"/>
        <item x="6"/>
        <item m="1" x="68"/>
        <item m="1" x="32"/>
        <item x="9"/>
        <item m="1" x="16"/>
        <item m="1" x="20"/>
        <item m="1" x="59"/>
        <item x="1"/>
        <item m="1" x="36"/>
        <item m="1" x="12"/>
        <item m="1" x="40"/>
        <item m="1" x="21"/>
        <item m="1" x="67"/>
        <item x="4"/>
        <item m="1" x="28"/>
        <item m="1" x="22"/>
        <item m="1" x="64"/>
        <item m="1" x="65"/>
        <item m="1" x="66"/>
        <item m="1" x="30"/>
        <item m="1" x="63"/>
        <item m="1" x="26"/>
        <item m="1" x="38"/>
        <item m="1" x="50"/>
        <item m="1" x="33"/>
        <item m="1" x="55"/>
        <item m="1" x="37"/>
        <item m="1" x="62"/>
        <item m="1" x="61"/>
        <item m="1" x="39"/>
        <item m="1" x="52"/>
        <item m="1" x="53"/>
        <item m="1" x="58"/>
        <item m="1" x="25"/>
        <item m="1" x="60"/>
        <item m="1" x="57"/>
        <item m="1" x="27"/>
        <item m="1" x="54"/>
        <item m="1" x="41"/>
        <item m="1" x="42"/>
        <item m="1" x="51"/>
        <item m="1" x="45"/>
        <item m="1" x="46"/>
        <item m="1" x="14"/>
        <item m="1" x="43"/>
        <item m="1" x="44"/>
        <item m="1" x="31"/>
        <item m="1" x="23"/>
        <item m="1" x="34"/>
        <item m="1" x="29"/>
        <item x="3"/>
        <item x="7"/>
        <item t="default"/>
      </items>
    </pivotField>
  </pivotFields>
  <rowFields count="1">
    <field x="3"/>
  </rowFields>
  <rowItems count="1">
    <i>
      <x/>
    </i>
  </rowItems>
  <colItems count="1">
    <i/>
  </colItems>
  <pageFields count="1">
    <pageField fld="10" hier="-1"/>
  </pageFields>
  <dataFields count="1">
    <dataField name="Suma de T.TOTAL" fld="6" baseField="3" baseItem="0" numFmtId="166"/>
  </dataFields>
  <formats count="16">
    <format dxfId="1019">
      <pivotArea outline="0" collapsedLevelsAreSubtotals="1" fieldPosition="0"/>
    </format>
    <format dxfId="1020">
      <pivotArea type="all" dataOnly="0" outline="0" fieldPosition="0"/>
    </format>
    <format dxfId="1021">
      <pivotArea outline="0" collapsedLevelsAreSubtotals="1" fieldPosition="0"/>
    </format>
    <format dxfId="1022">
      <pivotArea field="15" type="button" dataOnly="0" labelOnly="1" outline="0"/>
    </format>
    <format dxfId="1023">
      <pivotArea field="15" type="button" dataOnly="0" labelOnly="1" outline="0"/>
    </format>
    <format dxfId="1024">
      <pivotArea dataOnly="0" labelOnly="1" outline="0" axis="axisValues" fieldPosition="0"/>
    </format>
    <format dxfId="1025">
      <pivotArea field="15" type="button" dataOnly="0" labelOnly="1" outline="0"/>
    </format>
    <format dxfId="1026">
      <pivotArea dataOnly="0" labelOnly="1" outline="0" axis="axisValues" fieldPosition="0"/>
    </format>
    <format dxfId="1027">
      <pivotArea field="15" type="button" dataOnly="0" labelOnly="1" outline="0"/>
    </format>
    <format dxfId="1028">
      <pivotArea dataOnly="0" labelOnly="1" outline="0" axis="axisValues" fieldPosition="0"/>
    </format>
    <format dxfId="1029">
      <pivotArea outline="0" collapsedLevelsAreSubtotals="1" fieldPosition="0"/>
    </format>
    <format dxfId="1030">
      <pivotArea field="3" type="button" dataOnly="0" labelOnly="1" outline="0" axis="axisRow" fieldPosition="0"/>
    </format>
    <format dxfId="1031">
      <pivotArea dataOnly="0" labelOnly="1" outline="0" axis="axisValues" fieldPosition="0"/>
    </format>
    <format dxfId="1032">
      <pivotArea dataOnly="0" labelOnly="1" fieldPosition="0">
        <references count="1">
          <reference field="3" count="3">
            <x v="0"/>
            <x v="1"/>
            <x v="2"/>
          </reference>
        </references>
      </pivotArea>
    </format>
    <format dxfId="1033">
      <pivotArea dataOnly="0" labelOnly="1" fieldPosition="0">
        <references count="1">
          <reference field="3" count="3">
            <x v="0"/>
            <x v="1"/>
            <x v="2"/>
          </reference>
        </references>
      </pivotArea>
    </format>
    <format dxfId="1034">
      <pivotArea dataOnly="0" labelOnly="1" fieldPosition="0">
        <references count="1">
          <reference field="3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50E6C2-ADD1-4E34-AAAE-067BCCED9B56}" name="TablaDinámica23" cacheId="11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N96:P99" firstHeaderRow="0" firstDataRow="1" firstDataCol="1" rowPageCount="1" colPageCount="1"/>
  <pivotFields count="32">
    <pivotField axis="axisRow" numFmtId="14" showAll="0">
      <items count="2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70"/>
        <item x="269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t="default"/>
      </items>
    </pivotField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showAll="0"/>
    <pivotField showAll="0"/>
    <pivotField dataField="1" numFmtId="4" showAll="0"/>
    <pivotField numFmtId="4" showAll="0"/>
    <pivotField numFmtId="4" showAll="0"/>
    <pivotField showAll="0"/>
    <pivotField numFmtId="4" showAll="0"/>
    <pivotField numFmtId="4" showAll="0"/>
    <pivotField numFmtId="4" showAll="0"/>
    <pivotField showAll="0"/>
    <pivotField numFmtId="4" showAll="0"/>
    <pivotField numFmtId="9" showAll="0"/>
    <pivotField showAll="0"/>
    <pivotField numFmtId="3" showAll="0"/>
    <pivotField numFmtId="3" showAll="0"/>
    <pivotField axis="axisPage" multipleItemSelectionAllowed="1" showAll="0">
      <items count="14">
        <item h="1" x="3"/>
        <item h="1" x="4"/>
        <item h="1" x="5"/>
        <item h="1" x="0"/>
        <item h="1" x="1"/>
        <item h="1" x="2"/>
        <item h="1" x="6"/>
        <item h="1" x="7"/>
        <item h="1" x="8"/>
        <item h="1" x="9"/>
        <item h="1" x="10"/>
        <item h="1" x="11"/>
        <item x="12"/>
        <item t="default"/>
      </items>
    </pivotField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5">
        <item sd="0" x="0"/>
        <item sd="0" x="1"/>
        <item sd="0" x="2"/>
        <item x="3"/>
        <item t="default"/>
      </items>
    </pivotField>
  </pivotFields>
  <rowFields count="1">
    <field x="0"/>
  </rowFields>
  <rowItems count="3">
    <i>
      <x v="288"/>
    </i>
    <i>
      <x v="289"/>
    </i>
    <i t="grand">
      <x/>
    </i>
  </rowItems>
  <colFields count="1">
    <field x="-2"/>
  </colFields>
  <colItems count="2">
    <i>
      <x/>
    </i>
    <i i="1">
      <x v="1"/>
    </i>
  </colItems>
  <pageFields count="1">
    <pageField fld="25" hier="-1"/>
  </pageFields>
  <dataFields count="2">
    <dataField name="Suma de GENERAL_x000a_CAL" fld="12" baseField="0" baseItem="0" numFmtId="4"/>
    <dataField name="Suma de LCC _x000a_GENERAL" fld="26" baseField="0" baseItem="0"/>
  </dataFields>
  <formats count="9">
    <format dxfId="1010">
      <pivotArea dataOnly="0" labelOnly="1" fieldPosition="0">
        <references count="1">
          <reference field="0" count="20"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</reference>
        </references>
      </pivotArea>
    </format>
    <format dxfId="1011">
      <pivotArea dataOnly="0" labelOnly="1" grandRow="1" outline="0" fieldPosition="0"/>
    </format>
    <format dxfId="1012">
      <pivotArea collapsedLevelsAreSubtotals="1" fieldPosition="0">
        <references count="1">
          <reference field="0" count="20"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</reference>
        </references>
      </pivotArea>
    </format>
    <format dxfId="1013">
      <pivotArea dataOnly="0" labelOnly="1" fieldPosition="0">
        <references count="1">
          <reference field="0" count="22"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</reference>
        </references>
      </pivotArea>
    </format>
    <format dxfId="1014">
      <pivotArea dataOnly="0" labelOnly="1" grandRow="1" outline="0" fieldPosition="0"/>
    </format>
    <format dxfId="1015">
      <pivotArea dataOnly="0" labelOnly="1" fieldPosition="0">
        <references count="1">
          <reference field="0" count="22"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</reference>
        </references>
      </pivotArea>
    </format>
    <format dxfId="1016">
      <pivotArea dataOnly="0" labelOnly="1" grandRow="1" outline="0" fieldPosition="0"/>
    </format>
    <format dxfId="1017">
      <pivotArea dataOnly="0" labelOnly="1" fieldPosition="0">
        <references count="1">
          <reference field="0" count="22"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</reference>
        </references>
      </pivotArea>
    </format>
    <format dxfId="1018">
      <pivotArea dataOnly="0" labelOnly="1" grandRow="1" outline="0" fieldPosition="0"/>
    </format>
  </formats>
  <chartFormats count="6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34A496-8A9D-4B8F-94EA-CDB632C65AB2}" name="TablaDinámica24" cacheId="11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>
  <location ref="R96:T99" firstHeaderRow="0" firstDataRow="1" firstDataCol="1" rowPageCount="1" colPageCount="1"/>
  <pivotFields count="32">
    <pivotField axis="axisRow" numFmtId="14" showAll="0">
      <items count="2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t="default"/>
      </items>
    </pivotField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dataField="1" showAll="0"/>
    <pivotField showAll="0"/>
    <pivotField numFmtId="4" showAll="0"/>
    <pivotField numFmtId="4" showAll="0"/>
    <pivotField numFmtId="4" showAll="0"/>
    <pivotField showAll="0"/>
    <pivotField numFmtId="4" showAll="0"/>
    <pivotField numFmtId="4" showAll="0"/>
    <pivotField numFmtId="4" showAll="0"/>
    <pivotField showAll="0"/>
    <pivotField numFmtId="4" showAll="0"/>
    <pivotField numFmtId="9" showAll="0"/>
    <pivotField showAll="0"/>
    <pivotField numFmtId="3" showAll="0"/>
    <pivotField numFmtId="3" showAll="0"/>
    <pivotField axis="axisPage" multipleItemSelectionAllowed="1" showAll="0">
      <items count="14">
        <item h="1" x="3"/>
        <item h="1" x="4"/>
        <item h="1" x="5"/>
        <item h="1" x="0"/>
        <item h="1" x="1"/>
        <item h="1" x="2"/>
        <item h="1" x="6"/>
        <item h="1" x="7"/>
        <item h="1" x="8"/>
        <item h="1" x="9"/>
        <item h="1" x="10"/>
        <item h="1" x="11"/>
        <item x="12"/>
        <item t="default"/>
      </items>
    </pivotField>
    <pivotField showAll="0"/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5">
        <item sd="0" x="0"/>
        <item sd="0" x="1"/>
        <item sd="0" x="2"/>
        <item x="3"/>
        <item t="default"/>
      </items>
    </pivotField>
  </pivotFields>
  <rowFields count="1">
    <field x="0"/>
  </rowFields>
  <rowItems count="3">
    <i>
      <x v="288"/>
    </i>
    <i>
      <x v="289"/>
    </i>
    <i t="grand">
      <x/>
    </i>
  </rowItems>
  <colFields count="1">
    <field x="-2"/>
  </colFields>
  <colItems count="2">
    <i>
      <x/>
    </i>
    <i i="1">
      <x v="1"/>
    </i>
  </colItems>
  <pageFields count="1">
    <pageField fld="25" hier="-1"/>
  </pageFields>
  <dataFields count="2">
    <dataField name="Suma de ENERGIA" fld="10" baseField="0" baseItem="0"/>
    <dataField name="Suma de LCC ENERGIA" fld="27" baseField="0" baseItem="0"/>
  </dataFields>
  <formats count="7">
    <format dxfId="1003">
      <pivotArea dataOnly="0" labelOnly="1" fieldPosition="0">
        <references count="1">
          <reference field="0" count="20"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</reference>
        </references>
      </pivotArea>
    </format>
    <format dxfId="1004">
      <pivotArea dataOnly="0" labelOnly="1" grandRow="1" outline="0" fieldPosition="0"/>
    </format>
    <format dxfId="1005">
      <pivotArea collapsedLevelsAreSubtotals="1" fieldPosition="0">
        <references count="1">
          <reference field="0" count="20"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</reference>
        </references>
      </pivotArea>
    </format>
    <format dxfId="1006">
      <pivotArea dataOnly="0" labelOnly="1" fieldPosition="0">
        <references count="1">
          <reference field="0" count="22"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</reference>
        </references>
      </pivotArea>
    </format>
    <format dxfId="1007">
      <pivotArea dataOnly="0" labelOnly="1" grandRow="1" outline="0" fieldPosition="0"/>
    </format>
    <format dxfId="1008">
      <pivotArea dataOnly="0" labelOnly="1" fieldPosition="0">
        <references count="1">
          <reference field="0" count="22"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</reference>
        </references>
      </pivotArea>
    </format>
    <format dxfId="1009">
      <pivotArea dataOnly="0" labelOnly="1" grandRow="1" outline="0" fieldPosition="0"/>
    </format>
  </formats>
  <chartFormats count="6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0CF950-7A14-4134-8DBD-CF4029269FBF}" name="TablaDinámica67" cacheId="1148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68">
  <location ref="V24:W26" firstHeaderRow="1" firstDataRow="1" firstDataCol="1"/>
  <pivotFields count="16"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 sortType="descending">
      <items count="105">
        <item m="1" x="14"/>
        <item m="1" x="94"/>
        <item m="1" x="42"/>
        <item m="1" x="86"/>
        <item m="1" x="43"/>
        <item m="1" x="50"/>
        <item m="1" x="55"/>
        <item m="1" x="89"/>
        <item m="1" x="16"/>
        <item m="1" x="47"/>
        <item m="1" x="22"/>
        <item x="2"/>
        <item m="1" x="99"/>
        <item m="1" x="100"/>
        <item m="1" x="75"/>
        <item m="1" x="61"/>
        <item x="6"/>
        <item m="1" x="96"/>
        <item m="1" x="95"/>
        <item m="1" x="82"/>
        <item m="1" x="91"/>
        <item m="1" x="101"/>
        <item m="1" x="70"/>
        <item m="1" x="48"/>
        <item m="1" x="63"/>
        <item x="4"/>
        <item m="1" x="90"/>
        <item m="1" x="53"/>
        <item m="1" x="56"/>
        <item m="1" x="79"/>
        <item m="1" x="39"/>
        <item m="1" x="84"/>
        <item x="8"/>
        <item m="1" x="59"/>
        <item m="1" x="62"/>
        <item m="1" x="64"/>
        <item m="1" x="69"/>
        <item m="1" x="23"/>
        <item m="1" x="17"/>
        <item m="1" x="32"/>
        <item m="1" x="20"/>
        <item m="1" x="15"/>
        <item m="1" x="26"/>
        <item x="9"/>
        <item m="1" x="24"/>
        <item m="1" x="73"/>
        <item m="1" x="18"/>
        <item m="1" x="36"/>
        <item m="1" x="87"/>
        <item m="1" x="77"/>
        <item m="1" x="71"/>
        <item m="1" x="34"/>
        <item m="1" x="52"/>
        <item m="1" x="28"/>
        <item m="1" x="35"/>
        <item m="1" x="97"/>
        <item m="1" x="78"/>
        <item m="1" x="41"/>
        <item m="1" x="83"/>
        <item m="1" x="93"/>
        <item m="1" x="49"/>
        <item m="1" x="80"/>
        <item m="1" x="13"/>
        <item x="1"/>
        <item m="1" x="38"/>
        <item m="1" x="37"/>
        <item m="1" x="68"/>
        <item m="1" x="44"/>
        <item m="1" x="33"/>
        <item m="1" x="72"/>
        <item m="1" x="57"/>
        <item m="1" x="88"/>
        <item m="1" x="11"/>
        <item x="7"/>
        <item m="1" x="12"/>
        <item x="0"/>
        <item m="1" x="19"/>
        <item m="1" x="81"/>
        <item m="1" x="54"/>
        <item x="5"/>
        <item m="1" x="27"/>
        <item m="1" x="29"/>
        <item m="1" x="103"/>
        <item m="1" x="45"/>
        <item m="1" x="60"/>
        <item m="1" x="21"/>
        <item m="1" x="85"/>
        <item m="1" x="66"/>
        <item m="1" x="102"/>
        <item m="1" x="74"/>
        <item m="1" x="25"/>
        <item m="1" x="76"/>
        <item m="1" x="58"/>
        <item m="1" x="98"/>
        <item m="1" x="92"/>
        <item x="10"/>
        <item m="1" x="40"/>
        <item m="1" x="67"/>
        <item m="1" x="65"/>
        <item m="1" x="30"/>
        <item m="1" x="51"/>
        <item m="1" x="46"/>
        <item m="1" x="3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multipleItemSelectionAllowed="1" showAll="0">
      <items count="4">
        <item x="1"/>
        <item x="0"/>
        <item h="1" x="2"/>
        <item t="default"/>
      </items>
    </pivotField>
    <pivotField showAll="0"/>
    <pivotField showAll="0"/>
    <pivotField showAll="0"/>
    <pivotField numFmtId="1" showAll="0"/>
    <pivotField showAll="0"/>
  </pivotFields>
  <rowFields count="1">
    <field x="10"/>
  </rowFields>
  <rowItems count="2">
    <i>
      <x/>
    </i>
    <i>
      <x v="1"/>
    </i>
  </rowItems>
  <colItems count="1">
    <i/>
  </colItems>
  <dataFields count="1">
    <dataField name="Suma de T.TOTAL" fld="6" baseField="0" baseItem="2" numFmtId="166"/>
  </dataFields>
  <formats count="35">
    <format dxfId="968">
      <pivotArea outline="0" collapsedLevelsAreSubtotals="1" fieldPosition="0"/>
    </format>
    <format dxfId="969">
      <pivotArea type="all" dataOnly="0" outline="0" fieldPosition="0"/>
    </format>
    <format dxfId="970">
      <pivotArea outline="0" collapsedLevelsAreSubtotals="1" fieldPosition="0"/>
    </format>
    <format dxfId="971">
      <pivotArea field="7" type="button" dataOnly="0" labelOnly="1" outline="0"/>
    </format>
    <format dxfId="972">
      <pivotArea dataOnly="0" labelOnly="1" grandRow="1" outline="0" fieldPosition="0"/>
    </format>
    <format dxfId="973">
      <pivotArea dataOnly="0" labelOnly="1" outline="0" axis="axisValues" fieldPosition="0"/>
    </format>
    <format dxfId="974">
      <pivotArea type="all" dataOnly="0" outline="0" fieldPosition="0"/>
    </format>
    <format dxfId="975">
      <pivotArea outline="0" collapsedLevelsAreSubtotals="1" fieldPosition="0"/>
    </format>
    <format dxfId="976">
      <pivotArea field="7" type="button" dataOnly="0" labelOnly="1" outline="0"/>
    </format>
    <format dxfId="977">
      <pivotArea dataOnly="0" labelOnly="1" grandRow="1" outline="0" fieldPosition="0"/>
    </format>
    <format dxfId="978">
      <pivotArea dataOnly="0" labelOnly="1" outline="0" axis="axisValues" fieldPosition="0"/>
    </format>
    <format dxfId="979">
      <pivotArea type="all" dataOnly="0" outline="0" fieldPosition="0"/>
    </format>
    <format dxfId="980">
      <pivotArea outline="0" collapsedLevelsAreSubtotals="1" fieldPosition="0"/>
    </format>
    <format dxfId="981">
      <pivotArea field="7" type="button" dataOnly="0" labelOnly="1" outline="0"/>
    </format>
    <format dxfId="982">
      <pivotArea dataOnly="0" labelOnly="1" outline="0" axis="axisValues" fieldPosition="0"/>
    </format>
    <format dxfId="983">
      <pivotArea field="10" type="button" dataOnly="0" labelOnly="1" outline="0" axis="axisRow" fieldPosition="0"/>
    </format>
    <format dxfId="984">
      <pivotArea field="7" type="button" dataOnly="0" labelOnly="1" outline="0"/>
    </format>
    <format dxfId="985">
      <pivotArea outline="0" collapsedLevelsAreSubtotals="1" fieldPosition="0"/>
    </format>
    <format dxfId="986">
      <pivotArea dataOnly="0" labelOnly="1" outline="0" fieldPosition="0">
        <references count="1">
          <reference field="10" count="0"/>
        </references>
      </pivotArea>
    </format>
    <format dxfId="987">
      <pivotArea dataOnly="0" labelOnly="1" outline="0" axis="axisValues" fieldPosition="0"/>
    </format>
    <format dxfId="988">
      <pivotArea outline="0" collapsedLevelsAreSubtotals="1" fieldPosition="0"/>
    </format>
    <format dxfId="989">
      <pivotArea dataOnly="0" labelOnly="1" outline="0" fieldPosition="0">
        <references count="1">
          <reference field="10" count="0"/>
        </references>
      </pivotArea>
    </format>
    <format dxfId="990">
      <pivotArea dataOnly="0" labelOnly="1" outline="0" axis="axisValues" fieldPosition="0"/>
    </format>
    <format dxfId="991">
      <pivotArea outline="0" collapsedLevelsAreSubtotals="1" fieldPosition="0"/>
    </format>
    <format dxfId="992">
      <pivotArea dataOnly="0" labelOnly="1" outline="0" fieldPosition="0">
        <references count="1">
          <reference field="10" count="0"/>
        </references>
      </pivotArea>
    </format>
    <format dxfId="993">
      <pivotArea dataOnly="0" labelOnly="1" outline="0" axis="axisValues" fieldPosition="0"/>
    </format>
    <format dxfId="994">
      <pivotArea outline="0" collapsedLevelsAreSubtotals="1" fieldPosition="0"/>
    </format>
    <format dxfId="995">
      <pivotArea dataOnly="0" labelOnly="1" outline="0" axis="axisValues" fieldPosition="0"/>
    </format>
    <format dxfId="996">
      <pivotArea outline="0" collapsedLevelsAreSubtotals="1" fieldPosition="0"/>
    </format>
    <format dxfId="997">
      <pivotArea dataOnly="0" labelOnly="1" outline="0" axis="axisValues" fieldPosition="0"/>
    </format>
    <format dxfId="998">
      <pivotArea field="10" type="button" dataOnly="0" labelOnly="1" outline="0" axis="axisRow" fieldPosition="0"/>
    </format>
    <format dxfId="999">
      <pivotArea dataOnly="0" labelOnly="1" outline="0" axis="axisValues" fieldPosition="0"/>
    </format>
    <format dxfId="1000">
      <pivotArea dataOnly="0" labelOnly="1" fieldPosition="0">
        <references count="1">
          <reference field="10" count="0"/>
        </references>
      </pivotArea>
    </format>
    <format dxfId="1001">
      <pivotArea dataOnly="0" labelOnly="1" fieldPosition="0">
        <references count="1">
          <reference field="10" count="0"/>
        </references>
      </pivotArea>
    </format>
    <format dxfId="1002">
      <pivotArea dataOnly="0" labelOnly="1" fieldPosition="0">
        <references count="1">
          <reference field="10" count="0"/>
        </references>
      </pivotArea>
    </format>
  </formats>
  <chartFormats count="51">
    <chartFormat chart="0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1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5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1" format="2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2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8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2" format="29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5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25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5" format="2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6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28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6" format="29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7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25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7" format="2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8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28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8" format="29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9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25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9" format="2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0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28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0" format="29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8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25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8" format="2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9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28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9" format="29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9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25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9" format="2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0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0" format="28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50" format="29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9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9" format="25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59" format="2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60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0" format="28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60" format="29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66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6" format="25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66" format="2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67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7" format="28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67" format="29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B9E244-75A8-42A4-8A6C-325F221C63FA}" name="TablaDinámica69" cacheId="114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">
  <location ref="N51:O58" firstHeaderRow="1" firstDataRow="1" firstDataCol="1" rowPageCount="1" colPageCount="1"/>
  <pivotFields count="16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sortType="ascending">
      <items count="20">
        <item m="1" x="17"/>
        <item x="4"/>
        <item m="1" x="12"/>
        <item m="1" x="8"/>
        <item x="2"/>
        <item m="1" x="15"/>
        <item x="1"/>
        <item m="1" x="9"/>
        <item x="6"/>
        <item x="5"/>
        <item m="1" x="14"/>
        <item x="7"/>
        <item m="1" x="16"/>
        <item m="1" x="10"/>
        <item x="0"/>
        <item m="1" x="11"/>
        <item m="1" x="18"/>
        <item m="1" x="13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4">
        <item x="1"/>
        <item x="0"/>
        <item h="1" x="2"/>
        <item t="default"/>
      </items>
    </pivotField>
    <pivotField showAll="0"/>
    <pivotField showAll="0"/>
    <pivotField showAll="0"/>
    <pivotField numFmtId="1" showAll="0"/>
    <pivotField showAll="0" sortType="descending">
      <items count="70">
        <item x="10"/>
        <item m="1" x="47"/>
        <item x="2"/>
        <item m="1" x="48"/>
        <item m="1" x="56"/>
        <item x="8"/>
        <item m="1" x="15"/>
        <item m="1" x="24"/>
        <item m="1" x="18"/>
        <item m="1" x="35"/>
        <item m="1" x="13"/>
        <item m="1" x="11"/>
        <item x="0"/>
        <item m="1" x="19"/>
        <item m="1" x="49"/>
        <item x="5"/>
        <item m="1" x="17"/>
        <item x="6"/>
        <item m="1" x="68"/>
        <item m="1" x="32"/>
        <item x="9"/>
        <item m="1" x="16"/>
        <item m="1" x="20"/>
        <item m="1" x="59"/>
        <item x="1"/>
        <item m="1" x="36"/>
        <item m="1" x="12"/>
        <item m="1" x="40"/>
        <item m="1" x="21"/>
        <item m="1" x="67"/>
        <item x="4"/>
        <item m="1" x="28"/>
        <item m="1" x="22"/>
        <item m="1" x="64"/>
        <item m="1" x="65"/>
        <item m="1" x="66"/>
        <item m="1" x="30"/>
        <item m="1" x="63"/>
        <item m="1" x="26"/>
        <item m="1" x="38"/>
        <item m="1" x="50"/>
        <item m="1" x="33"/>
        <item m="1" x="55"/>
        <item m="1" x="37"/>
        <item m="1" x="62"/>
        <item m="1" x="61"/>
        <item m="1" x="39"/>
        <item m="1" x="52"/>
        <item m="1" x="53"/>
        <item m="1" x="58"/>
        <item m="1" x="25"/>
        <item m="1" x="60"/>
        <item m="1" x="57"/>
        <item m="1" x="27"/>
        <item m="1" x="54"/>
        <item m="1" x="41"/>
        <item m="1" x="42"/>
        <item m="1" x="51"/>
        <item m="1" x="45"/>
        <item m="1" x="46"/>
        <item m="1" x="14"/>
        <item m="1" x="43"/>
        <item m="1" x="44"/>
        <item m="1" x="31"/>
        <item m="1" x="23"/>
        <item m="1" x="34"/>
        <item m="1" x="29"/>
        <item x="3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9"/>
  </rowFields>
  <rowItems count="7">
    <i>
      <x v="4"/>
    </i>
    <i>
      <x v="1"/>
    </i>
    <i>
      <x v="14"/>
    </i>
    <i>
      <x v="9"/>
    </i>
    <i>
      <x v="8"/>
    </i>
    <i>
      <x v="11"/>
    </i>
    <i>
      <x v="6"/>
    </i>
  </rowItems>
  <colItems count="1">
    <i/>
  </colItems>
  <pageFields count="1">
    <pageField fld="10" hier="-1"/>
  </pageFields>
  <dataFields count="1">
    <dataField name="Suma de T.TOTAL" fld="6" baseField="15" baseItem="0" numFmtId="166"/>
  </dataFields>
  <formats count="16">
    <format dxfId="952">
      <pivotArea outline="0" collapsedLevelsAreSubtotals="1" fieldPosition="0"/>
    </format>
    <format dxfId="953">
      <pivotArea type="all" dataOnly="0" outline="0" fieldPosition="0"/>
    </format>
    <format dxfId="954">
      <pivotArea outline="0" collapsedLevelsAreSubtotals="1" fieldPosition="0"/>
    </format>
    <format dxfId="955">
      <pivotArea field="15" type="button" dataOnly="0" labelOnly="1" outline="0"/>
    </format>
    <format dxfId="95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57">
      <pivotArea field="15" type="button" dataOnly="0" labelOnly="1" outline="0"/>
    </format>
    <format dxfId="958">
      <pivotArea dataOnly="0" labelOnly="1" outline="0" axis="axisValues" fieldPosition="0"/>
    </format>
    <format dxfId="959">
      <pivotArea field="15" type="button" dataOnly="0" labelOnly="1" outline="0"/>
    </format>
    <format dxfId="960">
      <pivotArea dataOnly="0" labelOnly="1" outline="0" axis="axisValues" fieldPosition="0"/>
    </format>
    <format dxfId="961">
      <pivotArea field="15" type="button" dataOnly="0" labelOnly="1" outline="0"/>
    </format>
    <format dxfId="962">
      <pivotArea dataOnly="0" labelOnly="1" outline="0" axis="axisValues" fieldPosition="0"/>
    </format>
    <format dxfId="963">
      <pivotArea field="9" type="button" dataOnly="0" labelOnly="1" outline="0" axis="axisRow" fieldPosition="0"/>
    </format>
    <format dxfId="964">
      <pivotArea dataOnly="0" labelOnly="1" outline="0" axis="axisValues" fieldPosition="0"/>
    </format>
    <format dxfId="965">
      <pivotArea dataOnly="0" labelOnly="1" fieldPosition="0">
        <references count="1">
          <reference field="9" count="8">
            <x v="1"/>
            <x v="3"/>
            <x v="4"/>
            <x v="6"/>
            <x v="11"/>
            <x v="13"/>
            <x v="14"/>
            <x v="15"/>
          </reference>
        </references>
      </pivotArea>
    </format>
    <format dxfId="966">
      <pivotArea dataOnly="0" labelOnly="1" fieldPosition="0">
        <references count="1">
          <reference field="9" count="8">
            <x v="1"/>
            <x v="3"/>
            <x v="4"/>
            <x v="6"/>
            <x v="11"/>
            <x v="13"/>
            <x v="14"/>
            <x v="15"/>
          </reference>
        </references>
      </pivotArea>
    </format>
    <format dxfId="967">
      <pivotArea dataOnly="0" labelOnly="1" fieldPosition="0">
        <references count="1">
          <reference field="9" count="8">
            <x v="1"/>
            <x v="3"/>
            <x v="4"/>
            <x v="6"/>
            <x v="11"/>
            <x v="13"/>
            <x v="14"/>
            <x v="15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4F8BBE-199E-41AC-B5EA-1CD604189707}" name="TablaDinámica68" cacheId="1148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7">
  <location ref="V32:W35" firstHeaderRow="1" firstDataRow="1" firstDataCol="1"/>
  <pivotFields count="16"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 sortType="descending">
      <items count="105">
        <item m="1" x="14"/>
        <item m="1" x="94"/>
        <item m="1" x="42"/>
        <item m="1" x="86"/>
        <item m="1" x="43"/>
        <item m="1" x="50"/>
        <item m="1" x="55"/>
        <item m="1" x="89"/>
        <item m="1" x="16"/>
        <item m="1" x="47"/>
        <item m="1" x="22"/>
        <item x="2"/>
        <item m="1" x="99"/>
        <item m="1" x="100"/>
        <item m="1" x="75"/>
        <item m="1" x="61"/>
        <item x="6"/>
        <item m="1" x="96"/>
        <item m="1" x="95"/>
        <item m="1" x="82"/>
        <item m="1" x="91"/>
        <item m="1" x="101"/>
        <item m="1" x="70"/>
        <item m="1" x="48"/>
        <item m="1" x="63"/>
        <item x="4"/>
        <item m="1" x="90"/>
        <item m="1" x="53"/>
        <item m="1" x="56"/>
        <item m="1" x="79"/>
        <item m="1" x="39"/>
        <item m="1" x="84"/>
        <item x="8"/>
        <item m="1" x="59"/>
        <item m="1" x="62"/>
        <item m="1" x="64"/>
        <item m="1" x="69"/>
        <item m="1" x="23"/>
        <item m="1" x="17"/>
        <item m="1" x="32"/>
        <item m="1" x="20"/>
        <item m="1" x="15"/>
        <item m="1" x="26"/>
        <item x="9"/>
        <item m="1" x="24"/>
        <item m="1" x="73"/>
        <item m="1" x="18"/>
        <item m="1" x="36"/>
        <item m="1" x="87"/>
        <item m="1" x="77"/>
        <item m="1" x="71"/>
        <item m="1" x="34"/>
        <item m="1" x="52"/>
        <item m="1" x="28"/>
        <item m="1" x="35"/>
        <item m="1" x="97"/>
        <item m="1" x="78"/>
        <item m="1" x="41"/>
        <item m="1" x="83"/>
        <item m="1" x="93"/>
        <item m="1" x="49"/>
        <item m="1" x="80"/>
        <item m="1" x="13"/>
        <item x="1"/>
        <item m="1" x="38"/>
        <item m="1" x="37"/>
        <item m="1" x="68"/>
        <item m="1" x="44"/>
        <item m="1" x="33"/>
        <item m="1" x="72"/>
        <item m="1" x="57"/>
        <item m="1" x="88"/>
        <item m="1" x="11"/>
        <item x="7"/>
        <item m="1" x="12"/>
        <item x="0"/>
        <item m="1" x="19"/>
        <item m="1" x="81"/>
        <item m="1" x="54"/>
        <item x="5"/>
        <item m="1" x="27"/>
        <item m="1" x="29"/>
        <item m="1" x="103"/>
        <item m="1" x="45"/>
        <item m="1" x="60"/>
        <item m="1" x="21"/>
        <item m="1" x="85"/>
        <item m="1" x="66"/>
        <item m="1" x="102"/>
        <item m="1" x="74"/>
        <item m="1" x="25"/>
        <item m="1" x="76"/>
        <item m="1" x="58"/>
        <item m="1" x="98"/>
        <item m="1" x="92"/>
        <item x="10"/>
        <item m="1" x="40"/>
        <item m="1" x="67"/>
        <item m="1" x="65"/>
        <item m="1" x="30"/>
        <item m="1" x="51"/>
        <item m="1" x="46"/>
        <item m="1" x="3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multipleItemSelectionAllowed="1" showAll="0">
      <items count="4">
        <item x="1"/>
        <item x="0"/>
        <item h="1" x="2"/>
        <item t="default"/>
      </items>
    </pivotField>
    <pivotField axis="axisRow" showAll="0">
      <items count="6">
        <item m="1" x="4"/>
        <item m="1" x="3"/>
        <item x="1"/>
        <item x="2"/>
        <item x="0"/>
        <item t="default"/>
      </items>
    </pivotField>
    <pivotField showAll="0"/>
    <pivotField showAll="0"/>
    <pivotField numFmtId="1" showAll="0"/>
    <pivotField showAll="0"/>
  </pivotFields>
  <rowFields count="1">
    <field x="11"/>
  </rowFields>
  <rowItems count="3">
    <i>
      <x v="2"/>
    </i>
    <i>
      <x v="3"/>
    </i>
    <i>
      <x v="4"/>
    </i>
  </rowItems>
  <colItems count="1">
    <i/>
  </colItems>
  <dataFields count="1">
    <dataField name="Suma de T.TOTAL" fld="6" baseField="0" baseItem="2" numFmtId="166"/>
  </dataFields>
  <formats count="32">
    <format dxfId="920">
      <pivotArea outline="0" collapsedLevelsAreSubtotals="1" fieldPosition="0"/>
    </format>
    <format dxfId="921">
      <pivotArea type="all" dataOnly="0" outline="0" fieldPosition="0"/>
    </format>
    <format dxfId="922">
      <pivotArea outline="0" collapsedLevelsAreSubtotals="1" fieldPosition="0"/>
    </format>
    <format dxfId="923">
      <pivotArea field="7" type="button" dataOnly="0" labelOnly="1" outline="0"/>
    </format>
    <format dxfId="924">
      <pivotArea dataOnly="0" labelOnly="1" grandRow="1" outline="0" fieldPosition="0"/>
    </format>
    <format dxfId="925">
      <pivotArea dataOnly="0" labelOnly="1" outline="0" axis="axisValues" fieldPosition="0"/>
    </format>
    <format dxfId="926">
      <pivotArea type="all" dataOnly="0" outline="0" fieldPosition="0"/>
    </format>
    <format dxfId="927">
      <pivotArea outline="0" collapsedLevelsAreSubtotals="1" fieldPosition="0"/>
    </format>
    <format dxfId="928">
      <pivotArea field="7" type="button" dataOnly="0" labelOnly="1" outline="0"/>
    </format>
    <format dxfId="929">
      <pivotArea dataOnly="0" labelOnly="1" grandRow="1" outline="0" fieldPosition="0"/>
    </format>
    <format dxfId="930">
      <pivotArea dataOnly="0" labelOnly="1" outline="0" axis="axisValues" fieldPosition="0"/>
    </format>
    <format dxfId="931">
      <pivotArea type="all" dataOnly="0" outline="0" fieldPosition="0"/>
    </format>
    <format dxfId="932">
      <pivotArea outline="0" collapsedLevelsAreSubtotals="1" fieldPosition="0"/>
    </format>
    <format dxfId="933">
      <pivotArea field="7" type="button" dataOnly="0" labelOnly="1" outline="0"/>
    </format>
    <format dxfId="934">
      <pivotArea dataOnly="0" labelOnly="1" outline="0" axis="axisValues" fieldPosition="0"/>
    </format>
    <format dxfId="935">
      <pivotArea field="10" type="button" dataOnly="0" labelOnly="1" outline="0"/>
    </format>
    <format dxfId="936">
      <pivotArea field="7" type="button" dataOnly="0" labelOnly="1" outline="0"/>
    </format>
    <format dxfId="937">
      <pivotArea outline="0" collapsedLevelsAreSubtotals="1" fieldPosition="0"/>
    </format>
    <format dxfId="938">
      <pivotArea dataOnly="0" labelOnly="1" outline="0" axis="axisValues" fieldPosition="0"/>
    </format>
    <format dxfId="939">
      <pivotArea outline="0" collapsedLevelsAreSubtotals="1" fieldPosition="0"/>
    </format>
    <format dxfId="940">
      <pivotArea dataOnly="0" labelOnly="1" outline="0" axis="axisValues" fieldPosition="0"/>
    </format>
    <format dxfId="941">
      <pivotArea outline="0" collapsedLevelsAreSubtotals="1" fieldPosition="0"/>
    </format>
    <format dxfId="942">
      <pivotArea dataOnly="0" labelOnly="1" outline="0" axis="axisValues" fieldPosition="0"/>
    </format>
    <format dxfId="943">
      <pivotArea outline="0" collapsedLevelsAreSubtotals="1" fieldPosition="0"/>
    </format>
    <format dxfId="944">
      <pivotArea dataOnly="0" labelOnly="1" outline="0" axis="axisValues" fieldPosition="0"/>
    </format>
    <format dxfId="945">
      <pivotArea outline="0" collapsedLevelsAreSubtotals="1" fieldPosition="0"/>
    </format>
    <format dxfId="946">
      <pivotArea dataOnly="0" labelOnly="1" outline="0" axis="axisValues" fieldPosition="0"/>
    </format>
    <format dxfId="947">
      <pivotArea field="11" type="button" dataOnly="0" labelOnly="1" outline="0" axis="axisRow" fieldPosition="0"/>
    </format>
    <format dxfId="948">
      <pivotArea dataOnly="0" labelOnly="1" outline="0" axis="axisValues" fieldPosition="0"/>
    </format>
    <format dxfId="949">
      <pivotArea dataOnly="0" labelOnly="1" fieldPosition="0">
        <references count="1">
          <reference field="11" count="2">
            <x v="2"/>
            <x v="3"/>
          </reference>
        </references>
      </pivotArea>
    </format>
    <format dxfId="950">
      <pivotArea dataOnly="0" labelOnly="1" fieldPosition="0">
        <references count="1">
          <reference field="11" count="2">
            <x v="2"/>
            <x v="3"/>
          </reference>
        </references>
      </pivotArea>
    </format>
    <format dxfId="951">
      <pivotArea dataOnly="0" labelOnly="1" fieldPosition="0">
        <references count="1">
          <reference field="11" count="2">
            <x v="2"/>
            <x v="3"/>
          </reference>
        </references>
      </pivotArea>
    </format>
  </formats>
  <chartFormats count="1">
    <chartFormat chart="0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DA9AD7-FF23-4E66-9747-7E1B92E3BC61}" name="TablaDinámica2" cacheId="1148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compact="0" compactData="0" multipleFieldFilters="0">
  <location ref="Y7:Z11" firstHeaderRow="1" firstDataRow="1" firstDataCol="1" rowPageCount="1" colPageCount="1"/>
  <pivotFields count="16">
    <pivotField compact="0" outline="0" showAll="0" sortType="descending" defaultSubtotal="0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sortType="descending" defaultSubtotal="0">
      <items count="104">
        <item m="1" x="14"/>
        <item m="1" x="94"/>
        <item m="1" x="42"/>
        <item m="1" x="86"/>
        <item m="1" x="43"/>
        <item m="1" x="50"/>
        <item m="1" x="55"/>
        <item m="1" x="89"/>
        <item m="1" x="16"/>
        <item m="1" x="47"/>
        <item m="1" x="22"/>
        <item x="2"/>
        <item m="1" x="99"/>
        <item m="1" x="100"/>
        <item m="1" x="75"/>
        <item m="1" x="61"/>
        <item x="6"/>
        <item m="1" x="96"/>
        <item m="1" x="95"/>
        <item m="1" x="82"/>
        <item m="1" x="91"/>
        <item m="1" x="101"/>
        <item m="1" x="70"/>
        <item m="1" x="48"/>
        <item m="1" x="63"/>
        <item x="4"/>
        <item m="1" x="90"/>
        <item m="1" x="53"/>
        <item m="1" x="56"/>
        <item m="1" x="79"/>
        <item m="1" x="39"/>
        <item m="1" x="84"/>
        <item x="8"/>
        <item m="1" x="59"/>
        <item m="1" x="62"/>
        <item m="1" x="64"/>
        <item m="1" x="69"/>
        <item m="1" x="23"/>
        <item m="1" x="17"/>
        <item m="1" x="32"/>
        <item m="1" x="20"/>
        <item m="1" x="15"/>
        <item m="1" x="26"/>
        <item x="9"/>
        <item m="1" x="24"/>
        <item m="1" x="73"/>
        <item m="1" x="18"/>
        <item m="1" x="36"/>
        <item m="1" x="87"/>
        <item m="1" x="77"/>
        <item m="1" x="71"/>
        <item m="1" x="34"/>
        <item m="1" x="52"/>
        <item m="1" x="28"/>
        <item m="1" x="35"/>
        <item m="1" x="97"/>
        <item m="1" x="78"/>
        <item m="1" x="41"/>
        <item m="1" x="83"/>
        <item m="1" x="93"/>
        <item m="1" x="49"/>
        <item m="1" x="80"/>
        <item m="1" x="13"/>
        <item x="1"/>
        <item m="1" x="38"/>
        <item m="1" x="37"/>
        <item m="1" x="68"/>
        <item m="1" x="44"/>
        <item m="1" x="33"/>
        <item m="1" x="72"/>
        <item m="1" x="57"/>
        <item m="1" x="88"/>
        <item m="1" x="11"/>
        <item x="7"/>
        <item m="1" x="12"/>
        <item x="0"/>
        <item m="1" x="19"/>
        <item m="1" x="81"/>
        <item m="1" x="54"/>
        <item x="5"/>
        <item m="1" x="27"/>
        <item m="1" x="29"/>
        <item m="1" x="103"/>
        <item m="1" x="45"/>
        <item m="1" x="60"/>
        <item m="1" x="21"/>
        <item m="1" x="85"/>
        <item m="1" x="66"/>
        <item m="1" x="102"/>
        <item m="1" x="74"/>
        <item m="1" x="25"/>
        <item m="1" x="76"/>
        <item m="1" x="58"/>
        <item m="1" x="98"/>
        <item m="1" x="92"/>
        <item x="10"/>
        <item m="1" x="40"/>
        <item m="1" x="67"/>
        <item m="1" x="65"/>
        <item m="1" x="30"/>
        <item m="1" x="51"/>
        <item m="1" x="46"/>
        <item m="1" x="31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3">
        <item x="1"/>
        <item h="1" x="0"/>
        <item h="1" x="2"/>
      </items>
    </pivotField>
    <pivotField compact="0" outline="0" showAll="0" defaultSubtotal="0"/>
    <pivotField axis="axisRow" compact="0" outline="0" showAll="0" sortType="descending" defaultSubtotal="0">
      <items count="516">
        <item x="11"/>
        <item m="1" x="498"/>
        <item m="1" x="507"/>
        <item m="1" x="504"/>
        <item m="1" x="496"/>
        <item m="1" x="515"/>
        <item m="1" x="500"/>
        <item m="1" x="510"/>
        <item m="1" x="512"/>
        <item m="1" x="514"/>
        <item m="1" x="497"/>
        <item m="1" x="508"/>
        <item m="1" x="100"/>
        <item m="1" x="499"/>
        <item m="1" x="513"/>
        <item m="1" x="509"/>
        <item m="1" x="503"/>
        <item m="1" x="501"/>
        <item m="1" x="505"/>
        <item m="1" x="28"/>
        <item m="1" x="502"/>
        <item x="0"/>
        <item m="1" x="511"/>
        <item m="1" x="506"/>
        <item m="1" x="478"/>
        <item m="1" x="21"/>
        <item m="1" x="479"/>
        <item m="1" x="480"/>
        <item m="1" x="87"/>
        <item m="1" x="118"/>
        <item m="1" x="481"/>
        <item m="1" x="292"/>
        <item m="1" x="482"/>
        <item m="1" x="483"/>
        <item m="1" x="484"/>
        <item m="1" x="485"/>
        <item m="1" x="486"/>
        <item m="1" x="487"/>
        <item x="1"/>
        <item m="1" x="488"/>
        <item m="1" x="354"/>
        <item x="6"/>
        <item m="1" x="489"/>
        <item m="1" x="490"/>
        <item m="1" x="491"/>
        <item m="1" x="492"/>
        <item m="1" x="493"/>
        <item m="1" x="494"/>
        <item m="1" x="495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1"/>
        <item m="1" x="471"/>
        <item m="1" x="472"/>
        <item m="1" x="473"/>
        <item m="1" x="474"/>
        <item m="1" x="475"/>
        <item m="1" x="476"/>
        <item m="1" x="477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x="4"/>
        <item m="1" x="456"/>
        <item m="1" x="457"/>
        <item m="1" x="65"/>
        <item m="1" x="460"/>
        <item m="1" x="458"/>
        <item m="1" x="39"/>
        <item m="1" x="459"/>
        <item m="1" x="426"/>
        <item m="1" x="91"/>
        <item m="1" x="427"/>
        <item m="1" x="428"/>
        <item m="1" x="429"/>
        <item m="1" x="430"/>
        <item m="1" x="431"/>
        <item m="1" x="432"/>
        <item m="1" x="416"/>
        <item m="1" x="433"/>
        <item m="1" x="434"/>
        <item m="1" x="435"/>
        <item m="1" x="436"/>
        <item m="1" x="437"/>
        <item m="1" x="146"/>
        <item m="1" x="438"/>
        <item m="1" x="439"/>
        <item m="1" x="414"/>
        <item m="1" x="415"/>
        <item m="1" x="417"/>
        <item m="1" x="418"/>
        <item m="1" x="419"/>
        <item m="1" x="420"/>
        <item m="1" x="421"/>
        <item m="1" x="422"/>
        <item m="1" x="423"/>
        <item m="1" x="424"/>
        <item m="1" x="60"/>
        <item m="1" x="425"/>
        <item m="1" x="405"/>
        <item m="1" x="406"/>
        <item m="1" x="407"/>
        <item m="1" x="408"/>
        <item m="1" x="409"/>
        <item m="1" x="410"/>
        <item m="1" x="411"/>
        <item m="1" x="412"/>
        <item m="1" x="42"/>
        <item m="1" x="413"/>
        <item m="1" x="98"/>
        <item m="1" x="379"/>
        <item m="1" x="402"/>
        <item m="1" x="380"/>
        <item m="1" x="381"/>
        <item m="1" x="382"/>
        <item m="1" x="383"/>
        <item m="1" x="403"/>
        <item m="1" x="404"/>
        <item m="1" x="384"/>
        <item m="1" x="385"/>
        <item m="1" x="386"/>
        <item m="1" x="387"/>
        <item m="1" x="388"/>
        <item m="1" x="389"/>
        <item m="1" x="37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280"/>
        <item m="1" x="400"/>
        <item m="1" x="401"/>
        <item m="1" x="224"/>
        <item m="1" x="357"/>
        <item m="1" x="375"/>
        <item m="1" x="358"/>
        <item m="1" x="376"/>
        <item m="1" x="359"/>
        <item m="1" x="342"/>
        <item m="1" x="360"/>
        <item m="1" x="361"/>
        <item m="1" x="362"/>
        <item m="1" x="363"/>
        <item m="1" x="364"/>
        <item m="1" x="365"/>
        <item m="1" x="366"/>
        <item m="1" x="377"/>
        <item m="1" x="367"/>
        <item m="1" x="96"/>
        <item m="1" x="368"/>
        <item m="1" x="369"/>
        <item m="1" x="370"/>
        <item m="1" x="371"/>
        <item m="1" x="378"/>
        <item m="1" x="372"/>
        <item m="1" x="373"/>
        <item m="1" x="374"/>
        <item m="1" x="336"/>
        <item m="1" x="337"/>
        <item m="1" x="338"/>
        <item m="1" x="339"/>
        <item m="1" x="340"/>
        <item m="1" x="136"/>
        <item m="1" x="353"/>
        <item m="1" x="341"/>
        <item m="1" x="343"/>
        <item m="1" x="344"/>
        <item m="1" x="345"/>
        <item m="1" x="346"/>
        <item m="1" x="355"/>
        <item m="1" x="347"/>
        <item m="1" x="348"/>
        <item m="1" x="349"/>
        <item m="1" x="350"/>
        <item m="1" x="356"/>
        <item m="1" x="351"/>
        <item m="1" x="352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31"/>
        <item m="1" x="315"/>
        <item m="1" x="316"/>
        <item m="1" x="317"/>
        <item m="1" x="318"/>
        <item m="1" x="319"/>
        <item x="2"/>
        <item m="1" x="332"/>
        <item m="1" x="333"/>
        <item m="1" x="320"/>
        <item m="1" x="321"/>
        <item m="1" x="322"/>
        <item m="1" x="323"/>
        <item m="1" x="324"/>
        <item m="1" x="325"/>
        <item m="1" x="334"/>
        <item m="1" x="326"/>
        <item m="1" x="327"/>
        <item m="1" x="328"/>
        <item m="1" x="335"/>
        <item m="1" x="329"/>
        <item m="1" x="263"/>
        <item m="1" x="330"/>
        <item m="1" x="281"/>
        <item m="1" x="282"/>
        <item m="1" x="283"/>
        <item m="1" x="284"/>
        <item m="1" x="285"/>
        <item m="1" x="115"/>
        <item m="1" x="286"/>
        <item m="1" x="287"/>
        <item m="1" x="288"/>
        <item m="1" x="289"/>
        <item m="1" x="268"/>
        <item m="1" x="290"/>
        <item m="1" x="291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131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4"/>
        <item m="1" x="265"/>
        <item m="1" x="266"/>
        <item m="1" x="267"/>
        <item m="1" x="225"/>
        <item m="1" x="221"/>
        <item m="1" x="222"/>
        <item m="1" x="226"/>
        <item m="1" x="223"/>
        <item m="1" x="227"/>
        <item m="1" x="228"/>
        <item m="1" x="229"/>
        <item m="1" x="237"/>
        <item m="1" x="238"/>
        <item m="1" x="239"/>
        <item m="1" x="240"/>
        <item m="1" x="241"/>
        <item m="1" x="242"/>
        <item m="1" x="236"/>
        <item m="1" x="230"/>
        <item m="1" x="231"/>
        <item m="1" x="232"/>
        <item m="1" x="233"/>
        <item m="1" x="234"/>
        <item m="1" x="23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68"/>
        <item m="1" x="106"/>
        <item m="1" x="171"/>
        <item m="1" x="172"/>
        <item m="1" x="173"/>
        <item m="1" x="174"/>
        <item m="1" x="175"/>
        <item m="1" x="176"/>
        <item m="1" x="177"/>
        <item m="1" x="178"/>
        <item m="1" x="46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51"/>
        <item m="1" x="152"/>
        <item m="1" x="153"/>
        <item m="1" x="154"/>
        <item m="1" x="155"/>
        <item m="1" x="170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2"/>
        <item m="1" x="133"/>
        <item m="1" x="134"/>
        <item m="1" x="135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7"/>
        <item m="1" x="148"/>
        <item m="1" x="149"/>
        <item m="1" x="150"/>
        <item m="1" x="92"/>
        <item m="1" x="93"/>
        <item m="1" x="94"/>
        <item m="1" x="95"/>
        <item m="1" x="97"/>
        <item m="1" x="99"/>
        <item m="1" x="101"/>
        <item m="1" x="102"/>
        <item m="1" x="103"/>
        <item m="1" x="104"/>
        <item m="1" x="105"/>
        <item m="1" x="107"/>
        <item m="1" x="108"/>
        <item m="1" x="109"/>
        <item m="1" x="110"/>
        <item m="1" x="111"/>
        <item m="1" x="112"/>
        <item m="1" x="113"/>
        <item m="1" x="114"/>
        <item m="1" x="80"/>
        <item m="1" x="116"/>
        <item m="1" x="117"/>
        <item m="1" x="119"/>
        <item m="1" x="120"/>
        <item m="1" x="121"/>
        <item m="1" x="66"/>
        <item m="1" x="67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1"/>
        <item m="1" x="82"/>
        <item m="1" x="83"/>
        <item m="1" x="84"/>
        <item m="1" x="85"/>
        <item m="1" x="86"/>
        <item m="1" x="88"/>
        <item m="1" x="89"/>
        <item m="1" x="90"/>
        <item m="1" x="31"/>
        <item m="1" x="32"/>
        <item m="1" x="33"/>
        <item m="1" x="34"/>
        <item m="1" x="35"/>
        <item m="1" x="36"/>
        <item m="1" x="38"/>
        <item m="1" x="40"/>
        <item m="1" x="43"/>
        <item m="1" x="44"/>
        <item m="1" x="45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1"/>
        <item m="1" x="62"/>
        <item m="1" x="63"/>
        <item m="1" x="64"/>
        <item m="1" x="12"/>
        <item m="1" x="13"/>
        <item m="1" x="14"/>
        <item m="1" x="15"/>
        <item m="1" x="16"/>
        <item m="1" x="17"/>
        <item m="1" x="29"/>
        <item m="1" x="18"/>
        <item m="1" x="19"/>
        <item m="1" x="20"/>
        <item m="1" x="22"/>
        <item m="1" x="23"/>
        <item m="1" x="30"/>
        <item m="1" x="24"/>
        <item m="1" x="25"/>
        <item m="1" x="26"/>
        <item m="1" x="27"/>
        <item x="3"/>
        <item x="5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numFmtId="1" outline="0" showAll="0" defaultSubtotal="0"/>
    <pivotField compact="0" outline="0" subtotalTop="0" showAll="0" defaultSubtotal="0"/>
  </pivotFields>
  <rowFields count="1">
    <field x="12"/>
  </rowFields>
  <rowItems count="4">
    <i>
      <x v="515"/>
    </i>
    <i>
      <x v="514"/>
    </i>
    <i>
      <x v="510"/>
    </i>
    <i>
      <x v="511"/>
    </i>
  </rowItems>
  <colItems count="1">
    <i/>
  </colItems>
  <pageFields count="1">
    <pageField fld="10" hier="-1"/>
  </pageFields>
  <dataFields count="1">
    <dataField name="Suma de T.TOTAL" fld="6" baseField="7" baseItem="62" numFmtId="166"/>
  </dataFields>
  <formats count="30">
    <format dxfId="890">
      <pivotArea outline="0" collapsedLevelsAreSubtotals="1" fieldPosition="0"/>
    </format>
    <format dxfId="891">
      <pivotArea type="all" dataOnly="0" outline="0" fieldPosition="0"/>
    </format>
    <format dxfId="892">
      <pivotArea outline="0" collapsedLevelsAreSubtotals="1" fieldPosition="0"/>
    </format>
    <format dxfId="893">
      <pivotArea field="7" type="button" dataOnly="0" labelOnly="1" outline="0"/>
    </format>
    <format dxfId="894">
      <pivotArea dataOnly="0" labelOnly="1" grandRow="1" outline="0" fieldPosition="0"/>
    </format>
    <format dxfId="895">
      <pivotArea dataOnly="0" labelOnly="1" outline="0" axis="axisValues" fieldPosition="0"/>
    </format>
    <format dxfId="896">
      <pivotArea type="all" dataOnly="0" outline="0" fieldPosition="0"/>
    </format>
    <format dxfId="897">
      <pivotArea outline="0" collapsedLevelsAreSubtotals="1" fieldPosition="0"/>
    </format>
    <format dxfId="898">
      <pivotArea dataOnly="0" labelOnly="1" grandRow="1" outline="0" fieldPosition="0"/>
    </format>
    <format dxfId="899">
      <pivotArea dataOnly="0" labelOnly="1" outline="0" axis="axisValues" fieldPosition="0"/>
    </format>
    <format dxfId="900">
      <pivotArea field="12" type="button" dataOnly="0" labelOnly="1" outline="0" axis="axisRow" fieldPosition="0"/>
    </format>
    <format dxfId="901">
      <pivotArea field="7" type="button" dataOnly="0" labelOnly="1" outline="0"/>
    </format>
    <format dxfId="902">
      <pivotArea dataOnly="0" labelOnly="1" outline="0" fieldPosition="0">
        <references count="1">
          <reference field="12" count="8">
            <x v="2"/>
            <x v="3"/>
            <x v="7"/>
            <x v="8"/>
            <x v="9"/>
            <x v="10"/>
            <x v="13"/>
            <x v="17"/>
          </reference>
        </references>
      </pivotArea>
    </format>
    <format dxfId="903">
      <pivotArea dataOnly="0" labelOnly="1" outline="0" fieldPosition="0">
        <references count="1">
          <reference field="12" count="8" defaultSubtotal="1">
            <x v="2"/>
            <x v="3"/>
            <x v="7"/>
            <x v="8"/>
            <x v="9"/>
            <x v="10"/>
            <x v="13"/>
            <x v="17"/>
          </reference>
        </references>
      </pivotArea>
    </format>
    <format dxfId="904">
      <pivotArea field="12" type="button" dataOnly="0" labelOnly="1" outline="0" axis="axisRow" fieldPosition="0"/>
    </format>
    <format dxfId="905">
      <pivotArea field="7" type="button" dataOnly="0" labelOnly="1" outline="0"/>
    </format>
    <format dxfId="906">
      <pivotArea dataOnly="0" labelOnly="1" outline="0" fieldPosition="0">
        <references count="1">
          <reference field="12" count="8">
            <x v="2"/>
            <x v="3"/>
            <x v="7"/>
            <x v="8"/>
            <x v="9"/>
            <x v="10"/>
            <x v="13"/>
            <x v="17"/>
          </reference>
        </references>
      </pivotArea>
    </format>
    <format dxfId="907">
      <pivotArea dataOnly="0" labelOnly="1" outline="0" fieldPosition="0">
        <references count="1">
          <reference field="12" count="8" defaultSubtotal="1">
            <x v="2"/>
            <x v="3"/>
            <x v="7"/>
            <x v="8"/>
            <x v="9"/>
            <x v="10"/>
            <x v="13"/>
            <x v="17"/>
          </reference>
        </references>
      </pivotArea>
    </format>
    <format dxfId="908">
      <pivotArea field="12" type="button" dataOnly="0" labelOnly="1" outline="0" axis="axisRow" fieldPosition="0"/>
    </format>
    <format dxfId="909">
      <pivotArea field="7" type="button" dataOnly="0" labelOnly="1" outline="0"/>
    </format>
    <format dxfId="910">
      <pivotArea dataOnly="0" labelOnly="1" outline="0" fieldPosition="0">
        <references count="1">
          <reference field="12" count="8">
            <x v="2"/>
            <x v="3"/>
            <x v="7"/>
            <x v="8"/>
            <x v="9"/>
            <x v="10"/>
            <x v="13"/>
            <x v="17"/>
          </reference>
        </references>
      </pivotArea>
    </format>
    <format dxfId="911">
      <pivotArea dataOnly="0" labelOnly="1" outline="0" fieldPosition="0">
        <references count="1">
          <reference field="12" count="8" defaultSubtotal="1">
            <x v="2"/>
            <x v="3"/>
            <x v="7"/>
            <x v="8"/>
            <x v="9"/>
            <x v="10"/>
            <x v="13"/>
            <x v="17"/>
          </reference>
        </references>
      </pivotArea>
    </format>
    <format dxfId="912">
      <pivotArea outline="0" collapsedLevelsAreSubtotals="1" fieldPosition="0"/>
    </format>
    <format dxfId="913">
      <pivotArea dataOnly="0" labelOnly="1" outline="0" axis="axisValues" fieldPosition="0"/>
    </format>
    <format dxfId="914">
      <pivotArea field="12" type="button" dataOnly="0" labelOnly="1" outline="0" axis="axisRow" fieldPosition="0"/>
    </format>
    <format dxfId="915">
      <pivotArea dataOnly="0" labelOnly="1" outline="0" axis="axisValues" fieldPosition="0"/>
    </format>
    <format dxfId="916">
      <pivotArea dataOnly="0" labelOnly="1" outline="0" fieldPosition="0">
        <references count="1">
          <reference field="12" count="15">
            <x v="28"/>
            <x v="437"/>
            <x v="443"/>
            <x v="444"/>
            <x v="447"/>
            <x v="448"/>
            <x v="450"/>
            <x v="454"/>
            <x v="455"/>
            <x v="457"/>
            <x v="458"/>
            <x v="459"/>
            <x v="462"/>
            <x v="463"/>
            <x v="464"/>
          </reference>
        </references>
      </pivotArea>
    </format>
    <format dxfId="917">
      <pivotArea dataOnly="0" labelOnly="1" outline="0" fieldPosition="0">
        <references count="1">
          <reference field="12" count="15">
            <x v="28"/>
            <x v="437"/>
            <x v="443"/>
            <x v="444"/>
            <x v="447"/>
            <x v="448"/>
            <x v="450"/>
            <x v="454"/>
            <x v="455"/>
            <x v="457"/>
            <x v="458"/>
            <x v="459"/>
            <x v="462"/>
            <x v="463"/>
            <x v="464"/>
          </reference>
        </references>
      </pivotArea>
    </format>
    <format dxfId="918">
      <pivotArea dataOnly="0" labelOnly="1" outline="0" fieldPosition="0">
        <references count="1">
          <reference field="12" count="15">
            <x v="28"/>
            <x v="437"/>
            <x v="443"/>
            <x v="444"/>
            <x v="447"/>
            <x v="448"/>
            <x v="450"/>
            <x v="454"/>
            <x v="455"/>
            <x v="457"/>
            <x v="458"/>
            <x v="459"/>
            <x v="462"/>
            <x v="463"/>
            <x v="464"/>
          </reference>
        </references>
      </pivotArea>
    </format>
    <format dxfId="919">
      <pivotArea dataOnly="0" labelOnly="1" outline="0" fieldPosition="0">
        <references count="1">
          <reference field="12" count="15">
            <x v="28"/>
            <x v="437"/>
            <x v="443"/>
            <x v="444"/>
            <x v="447"/>
            <x v="448"/>
            <x v="450"/>
            <x v="454"/>
            <x v="455"/>
            <x v="457"/>
            <x v="458"/>
            <x v="459"/>
            <x v="462"/>
            <x v="463"/>
            <x v="46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EA9C0E-8BE9-4F44-B7F2-04DCDF26510F}" name="TablaDinámica3" cacheId="114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N25:O29" firstHeaderRow="1" firstDataRow="1" firstDataCol="1" rowPageCount="1" colPageCount="1"/>
  <pivotFields count="16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1" showAll="0"/>
    <pivotField axis="axisRow" showAll="0" sortType="descending">
      <items count="70">
        <item x="10"/>
        <item m="1" x="47"/>
        <item x="2"/>
        <item m="1" x="48"/>
        <item m="1" x="56"/>
        <item x="8"/>
        <item m="1" x="15"/>
        <item m="1" x="24"/>
        <item m="1" x="18"/>
        <item m="1" x="35"/>
        <item m="1" x="13"/>
        <item m="1" x="11"/>
        <item x="0"/>
        <item m="1" x="19"/>
        <item m="1" x="49"/>
        <item x="5"/>
        <item m="1" x="17"/>
        <item x="6"/>
        <item m="1" x="68"/>
        <item m="1" x="32"/>
        <item x="9"/>
        <item m="1" x="16"/>
        <item m="1" x="20"/>
        <item m="1" x="59"/>
        <item x="1"/>
        <item m="1" x="36"/>
        <item m="1" x="12"/>
        <item m="1" x="40"/>
        <item m="1" x="21"/>
        <item m="1" x="67"/>
        <item x="4"/>
        <item m="1" x="28"/>
        <item m="1" x="22"/>
        <item m="1" x="64"/>
        <item m="1" x="65"/>
        <item m="1" x="66"/>
        <item m="1" x="30"/>
        <item m="1" x="63"/>
        <item m="1" x="26"/>
        <item m="1" x="38"/>
        <item m="1" x="50"/>
        <item m="1" x="33"/>
        <item m="1" x="55"/>
        <item m="1" x="37"/>
        <item m="1" x="62"/>
        <item m="1" x="61"/>
        <item m="1" x="39"/>
        <item m="1" x="52"/>
        <item m="1" x="53"/>
        <item m="1" x="58"/>
        <item m="1" x="25"/>
        <item m="1" x="60"/>
        <item m="1" x="57"/>
        <item m="1" x="27"/>
        <item m="1" x="54"/>
        <item m="1" x="41"/>
        <item m="1" x="42"/>
        <item m="1" x="51"/>
        <item m="1" x="45"/>
        <item m="1" x="46"/>
        <item m="1" x="14"/>
        <item m="1" x="43"/>
        <item m="1" x="44"/>
        <item m="1" x="31"/>
        <item m="1" x="23"/>
        <item m="1" x="34"/>
        <item m="1" x="29"/>
        <item x="3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5"/>
  </rowFields>
  <rowItems count="4">
    <i>
      <x v="20"/>
    </i>
    <i>
      <x v="5"/>
    </i>
    <i>
      <x v="67"/>
    </i>
    <i>
      <x v="15"/>
    </i>
  </rowItems>
  <colItems count="1">
    <i/>
  </colItems>
  <pageFields count="1">
    <pageField fld="10" hier="-1"/>
  </pageFields>
  <dataFields count="1">
    <dataField name="Suma de T.TOTAL" fld="6" baseField="15" baseItem="0" numFmtId="166"/>
  </dataFields>
  <formats count="17">
    <format dxfId="873">
      <pivotArea outline="0" collapsedLevelsAreSubtotals="1" fieldPosition="0"/>
    </format>
    <format dxfId="874">
      <pivotArea type="all" dataOnly="0" outline="0" fieldPosition="0"/>
    </format>
    <format dxfId="875">
      <pivotArea outline="0" collapsedLevelsAreSubtotals="1" fieldPosition="0"/>
    </format>
    <format dxfId="876">
      <pivotArea field="15" type="button" dataOnly="0" labelOnly="1" outline="0" axis="axisRow" fieldPosition="0"/>
    </format>
    <format dxfId="877">
      <pivotArea dataOnly="0" labelOnly="1" fieldPosition="0">
        <references count="1">
          <reference field="15" count="6">
            <x v="2"/>
            <x v="3"/>
            <x v="6"/>
            <x v="7"/>
            <x v="9"/>
            <x v="10"/>
          </reference>
        </references>
      </pivotArea>
    </format>
    <format dxfId="87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79">
      <pivotArea field="15" type="button" dataOnly="0" labelOnly="1" outline="0" axis="axisRow" fieldPosition="0"/>
    </format>
    <format dxfId="880">
      <pivotArea dataOnly="0" labelOnly="1" outline="0" axis="axisValues" fieldPosition="0"/>
    </format>
    <format dxfId="881">
      <pivotArea field="15" type="button" dataOnly="0" labelOnly="1" outline="0" axis="axisRow" fieldPosition="0"/>
    </format>
    <format dxfId="882">
      <pivotArea dataOnly="0" labelOnly="1" outline="0" axis="axisValues" fieldPosition="0"/>
    </format>
    <format dxfId="883">
      <pivotArea field="15" type="button" dataOnly="0" labelOnly="1" outline="0" axis="axisRow" fieldPosition="0"/>
    </format>
    <format dxfId="884">
      <pivotArea dataOnly="0" labelOnly="1" outline="0" axis="axisValues" fieldPosition="0"/>
    </format>
    <format dxfId="885">
      <pivotArea field="15" type="button" dataOnly="0" labelOnly="1" outline="0" axis="axisRow" fieldPosition="0"/>
    </format>
    <format dxfId="886">
      <pivotArea dataOnly="0" labelOnly="1" outline="0" axis="axisValues" fieldPosition="0"/>
    </format>
    <format dxfId="887">
      <pivotArea dataOnly="0" labelOnly="1" fieldPosition="0">
        <references count="1">
          <reference field="15" count="10">
            <x v="6"/>
            <x v="8"/>
            <x v="10"/>
            <x v="16"/>
            <x v="19"/>
            <x v="22"/>
            <x v="36"/>
            <x v="38"/>
            <x v="63"/>
            <x v="66"/>
          </reference>
        </references>
      </pivotArea>
    </format>
    <format dxfId="888">
      <pivotArea dataOnly="0" labelOnly="1" fieldPosition="0">
        <references count="1">
          <reference field="15" count="10">
            <x v="6"/>
            <x v="8"/>
            <x v="10"/>
            <x v="16"/>
            <x v="19"/>
            <x v="22"/>
            <x v="36"/>
            <x v="38"/>
            <x v="63"/>
            <x v="66"/>
          </reference>
        </references>
      </pivotArea>
    </format>
    <format dxfId="889">
      <pivotArea dataOnly="0" labelOnly="1" fieldPosition="0">
        <references count="1">
          <reference field="15" count="10">
            <x v="6"/>
            <x v="8"/>
            <x v="10"/>
            <x v="16"/>
            <x v="19"/>
            <x v="22"/>
            <x v="36"/>
            <x v="38"/>
            <x v="63"/>
            <x v="6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A2A72A-66BC-4F59-B098-0B4CB9FFF368}" name="TablaDinámica25" cacheId="11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0">
  <location ref="V96:X122" firstHeaderRow="0" firstDataRow="1" firstDataCol="1" rowPageCount="1" colPageCount="1"/>
  <pivotFields count="32">
    <pivotField axis="axisRow" numFmtId="14" showAll="0">
      <items count="2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t="default"/>
      </items>
    </pivotField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showAll="0"/>
    <pivotField dataField="1" showAll="0"/>
    <pivotField numFmtId="4" showAll="0"/>
    <pivotField numFmtId="4" showAll="0"/>
    <pivotField numFmtId="4" showAll="0"/>
    <pivotField showAll="0"/>
    <pivotField numFmtId="4" showAll="0"/>
    <pivotField numFmtId="4" showAll="0"/>
    <pivotField numFmtId="4" showAll="0"/>
    <pivotField showAll="0"/>
    <pivotField numFmtId="4" showAll="0"/>
    <pivotField numFmtId="9" showAll="0"/>
    <pivotField showAll="0"/>
    <pivotField numFmtId="3" showAll="0"/>
    <pivotField numFmtId="3" showAll="0"/>
    <pivotField axis="axisPage" multipleItemSelectionAllowed="1" showAll="0">
      <items count="14">
        <item h="1" x="3"/>
        <item h="1" x="4"/>
        <item h="1" x="5"/>
        <item h="1" x="0"/>
        <item h="1" x="1"/>
        <item h="1" x="2"/>
        <item h="1" x="6"/>
        <item h="1" x="7"/>
        <item h="1" x="8"/>
        <item h="1" x="9"/>
        <item h="1" x="10"/>
        <item x="11"/>
        <item h="1" x="12"/>
        <item t="default"/>
      </items>
    </pivotField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5">
        <item sd="0" x="0"/>
        <item sd="0" x="1"/>
        <item sd="0" x="2"/>
        <item x="3"/>
        <item t="default"/>
      </items>
    </pivotField>
  </pivotFields>
  <rowFields count="1">
    <field x="0"/>
  </rowFields>
  <rowItems count="26"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 t="grand">
      <x/>
    </i>
  </rowItems>
  <colFields count="1">
    <field x="-2"/>
  </colFields>
  <colItems count="2">
    <i>
      <x/>
    </i>
    <i i="1">
      <x v="1"/>
    </i>
  </colItems>
  <pageFields count="1">
    <pageField fld="25" hier="-1"/>
  </pageFields>
  <dataFields count="2">
    <dataField name="Suma de P.ACTIVA" fld="11" baseField="0" baseItem="0"/>
    <dataField name="Suma de LCC  P.ACTIVA" fld="28" baseField="0" baseItem="0"/>
  </dataFields>
  <formats count="9">
    <format dxfId="864">
      <pivotArea dataOnly="0" labelOnly="1" fieldPosition="0">
        <references count="1">
          <reference field="0" count="20"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</reference>
        </references>
      </pivotArea>
    </format>
    <format dxfId="865">
      <pivotArea dataOnly="0" labelOnly="1" grandRow="1" outline="0" fieldPosition="0"/>
    </format>
    <format dxfId="866">
      <pivotArea collapsedLevelsAreSubtotals="1" fieldPosition="0">
        <references count="1">
          <reference field="0" count="20"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</reference>
        </references>
      </pivotArea>
    </format>
    <format dxfId="867">
      <pivotArea dataOnly="0" labelOnly="1" fieldPosition="0">
        <references count="1">
          <reference field="0" count="22"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</reference>
        </references>
      </pivotArea>
    </format>
    <format dxfId="868">
      <pivotArea dataOnly="0" labelOnly="1" grandRow="1" outline="0" fieldPosition="0"/>
    </format>
    <format dxfId="869">
      <pivotArea dataOnly="0" labelOnly="1" fieldPosition="0">
        <references count="1">
          <reference field="0" count="22"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</reference>
        </references>
      </pivotArea>
    </format>
    <format dxfId="870">
      <pivotArea dataOnly="0" labelOnly="1" grandRow="1" outline="0" fieldPosition="0"/>
    </format>
    <format dxfId="871">
      <pivotArea dataOnly="0" labelOnly="1" fieldPosition="0">
        <references count="1">
          <reference field="0" count="22"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</reference>
        </references>
      </pivotArea>
    </format>
    <format dxfId="872">
      <pivotArea dataOnly="0" labelOnly="1" grandRow="1" outline="0" fieldPosition="0"/>
    </format>
  </formats>
  <chartFormats count="6"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391610-3407-4CE2-AFE1-329A46B15F48}" name="TablaDinámica4" cacheId="1146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10">
  <location ref="B113:D129" firstHeaderRow="1" firstDataRow="2" firstDataCol="1"/>
  <pivotFields count="29">
    <pivotField showAll="0"/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143">
        <item m="1" x="133"/>
        <item m="1" x="80"/>
        <item x="23"/>
        <item m="1" x="116"/>
        <item x="21"/>
        <item x="11"/>
        <item x="0"/>
        <item x="18"/>
        <item m="1" x="82"/>
        <item m="1" x="41"/>
        <item x="4"/>
        <item m="1" x="37"/>
        <item m="1" x="90"/>
        <item x="7"/>
        <item m="1" x="120"/>
        <item m="1" x="60"/>
        <item h="1" x="33"/>
        <item m="1" x="115"/>
        <item x="20"/>
        <item m="1" x="84"/>
        <item x="31"/>
        <item x="13"/>
        <item x="22"/>
        <item m="1" x="78"/>
        <item m="1" x="93"/>
        <item m="1" x="114"/>
        <item x="8"/>
        <item x="6"/>
        <item m="1" x="101"/>
        <item m="1" x="38"/>
        <item m="1" x="85"/>
        <item x="29"/>
        <item m="1" x="40"/>
        <item m="1" x="77"/>
        <item m="1" x="96"/>
        <item m="1" x="91"/>
        <item m="1" x="86"/>
        <item m="1" x="51"/>
        <item m="1" x="138"/>
        <item x="32"/>
        <item m="1" x="125"/>
        <item m="1" x="107"/>
        <item m="1" x="39"/>
        <item m="1" x="137"/>
        <item m="1" x="97"/>
        <item m="1" x="46"/>
        <item m="1" x="35"/>
        <item m="1" x="88"/>
        <item m="1" x="98"/>
        <item m="1" x="136"/>
        <item m="1" x="100"/>
        <item m="1" x="83"/>
        <item m="1" x="87"/>
        <item m="1" x="92"/>
        <item m="1" x="130"/>
        <item m="1" x="58"/>
        <item m="1" x="95"/>
        <item m="1" x="79"/>
        <item m="1" x="104"/>
        <item m="1" x="102"/>
        <item m="1" x="135"/>
        <item h="1" m="1" x="134"/>
        <item h="1" m="1" x="103"/>
        <item h="1" m="1" x="139"/>
        <item h="1" m="1" x="140"/>
        <item h="1" m="1" x="50"/>
        <item h="1" m="1" x="117"/>
        <item h="1" x="17"/>
        <item h="1" m="1" x="141"/>
        <item h="1" m="1" x="131"/>
        <item h="1" m="1" x="132"/>
        <item h="1" m="1" x="121"/>
        <item h="1" m="1" x="52"/>
        <item h="1" m="1" x="56"/>
        <item h="1" m="1" x="128"/>
        <item h="1" m="1" x="113"/>
        <item h="1" m="1" x="129"/>
        <item h="1" m="1" x="59"/>
        <item h="1" m="1" x="73"/>
        <item h="1" m="1" x="64"/>
        <item h="1" m="1" x="127"/>
        <item h="1" x="9"/>
        <item h="1" m="1" x="123"/>
        <item h="1" m="1" x="124"/>
        <item h="1" m="1" x="105"/>
        <item h="1" m="1" x="99"/>
        <item h="1" m="1" x="126"/>
        <item h="1" m="1" x="89"/>
        <item h="1" m="1" x="110"/>
        <item h="1" m="1" x="122"/>
        <item h="1" m="1" x="118"/>
        <item h="1" m="1" x="119"/>
        <item h="1" m="1" x="106"/>
        <item h="1" m="1" x="108"/>
        <item h="1" m="1" x="109"/>
        <item h="1" m="1" x="111"/>
        <item h="1" m="1" x="112"/>
        <item h="1" m="1" x="69"/>
        <item h="1" m="1" x="94"/>
        <item h="1" x="1"/>
        <item h="1" x="3"/>
        <item h="1" x="16"/>
        <item h="1" m="1" x="36"/>
        <item h="1" x="27"/>
        <item h="1" m="1" x="72"/>
        <item h="1" x="10"/>
        <item h="1" x="2"/>
        <item h="1" x="12"/>
        <item h="1" x="5"/>
        <item h="1" x="24"/>
        <item h="1" m="1" x="66"/>
        <item h="1" m="1" x="81"/>
        <item h="1" m="1" x="34"/>
        <item h="1" x="30"/>
        <item h="1" m="1" x="67"/>
        <item h="1" m="1" x="68"/>
        <item h="1" m="1" x="70"/>
        <item h="1" m="1" x="71"/>
        <item h="1" x="26"/>
        <item h="1" m="1" x="63"/>
        <item h="1" m="1" x="74"/>
        <item h="1" m="1" x="62"/>
        <item h="1" m="1" x="75"/>
        <item h="1" m="1" x="61"/>
        <item h="1" m="1" x="76"/>
        <item h="1" x="14"/>
        <item h="1" x="25"/>
        <item h="1" m="1" x="65"/>
        <item h="1" x="19"/>
        <item h="1" m="1" x="47"/>
        <item h="1" m="1" x="55"/>
        <item h="1" m="1" x="57"/>
        <item h="1" m="1" x="48"/>
        <item h="1" m="1" x="49"/>
        <item h="1" m="1" x="53"/>
        <item h="1" m="1" x="54"/>
        <item h="1" m="1" x="42"/>
        <item h="1" m="1" x="43"/>
        <item h="1" m="1" x="44"/>
        <item h="1" m="1" x="45"/>
        <item h="1" x="15"/>
        <item h="1" x="28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0" count="1" selected="0">
              <x v="0"/>
            </reference>
          </references>
        </pivotArea>
      </autoSortScope>
    </pivotField>
    <pivotField showAll="0"/>
    <pivotField showAll="0"/>
    <pivotField axis="axisCol" showAll="0" sortType="ascending">
      <items count="5">
        <item x="1"/>
        <item x="0"/>
        <item m="1"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</pivotFields>
  <rowFields count="1">
    <field x="7"/>
  </rowFields>
  <rowItems count="15">
    <i>
      <x v="5"/>
    </i>
    <i>
      <x v="6"/>
    </i>
    <i>
      <x v="22"/>
    </i>
    <i>
      <x v="26"/>
    </i>
    <i>
      <x v="20"/>
    </i>
    <i>
      <x v="27"/>
    </i>
    <i>
      <x v="31"/>
    </i>
    <i>
      <x v="13"/>
    </i>
    <i>
      <x v="4"/>
    </i>
    <i>
      <x v="39"/>
    </i>
    <i>
      <x v="10"/>
    </i>
    <i>
      <x v="21"/>
    </i>
    <i>
      <x v="2"/>
    </i>
    <i>
      <x v="7"/>
    </i>
    <i>
      <x v="18"/>
    </i>
  </rowItems>
  <colFields count="1">
    <field x="10"/>
  </colFields>
  <colItems count="2">
    <i>
      <x/>
    </i>
    <i>
      <x v="1"/>
    </i>
  </colItems>
  <dataFields count="1">
    <dataField name="Suma de T.TOTAL" fld="6" baseField="7" baseItem="5" numFmtId="168"/>
  </dataFields>
  <formats count="54">
    <format dxfId="810">
      <pivotArea type="all" dataOnly="0" outline="0" fieldPosition="0"/>
    </format>
    <format dxfId="811">
      <pivotArea outline="0" collapsedLevelsAreSubtotals="1" fieldPosition="0"/>
    </format>
    <format dxfId="812">
      <pivotArea type="origin" dataOnly="0" labelOnly="1" outline="0" fieldPosition="0"/>
    </format>
    <format dxfId="813">
      <pivotArea field="10" type="button" dataOnly="0" labelOnly="1" outline="0" axis="axisCol" fieldPosition="0"/>
    </format>
    <format dxfId="814">
      <pivotArea type="topRight" dataOnly="0" labelOnly="1" outline="0" fieldPosition="0"/>
    </format>
    <format dxfId="815">
      <pivotArea field="7" type="button" dataOnly="0" labelOnly="1" outline="0" axis="axisRow" fieldPosition="0"/>
    </format>
    <format dxfId="816">
      <pivotArea dataOnly="0" labelOnly="1" fieldPosition="0">
        <references count="1">
          <reference field="10" count="0"/>
        </references>
      </pivotArea>
    </format>
    <format dxfId="817">
      <pivotArea type="all" dataOnly="0" outline="0" fieldPosition="0"/>
    </format>
    <format dxfId="818">
      <pivotArea outline="0" collapsedLevelsAreSubtotals="1" fieldPosition="0"/>
    </format>
    <format dxfId="819">
      <pivotArea type="origin" dataOnly="0" labelOnly="1" outline="0" fieldPosition="0"/>
    </format>
    <format dxfId="820">
      <pivotArea field="10" type="button" dataOnly="0" labelOnly="1" outline="0" axis="axisCol" fieldPosition="0"/>
    </format>
    <format dxfId="821">
      <pivotArea type="topRight" dataOnly="0" labelOnly="1" outline="0" fieldPosition="0"/>
    </format>
    <format dxfId="822">
      <pivotArea field="7" type="button" dataOnly="0" labelOnly="1" outline="0" axis="axisRow" fieldPosition="0"/>
    </format>
    <format dxfId="823">
      <pivotArea dataOnly="0" labelOnly="1" fieldPosition="0">
        <references count="1">
          <reference field="10" count="0"/>
        </references>
      </pivotArea>
    </format>
    <format dxfId="824">
      <pivotArea type="origin" dataOnly="0" labelOnly="1" outline="0" fieldPosition="0"/>
    </format>
    <format dxfId="825">
      <pivotArea field="10" type="button" dataOnly="0" labelOnly="1" outline="0" axis="axisCol" fieldPosition="0"/>
    </format>
    <format dxfId="826">
      <pivotArea type="topRight" dataOnly="0" labelOnly="1" outline="0" fieldPosition="0"/>
    </format>
    <format dxfId="827">
      <pivotArea field="7" type="button" dataOnly="0" labelOnly="1" outline="0" axis="axisRow" fieldPosition="0"/>
    </format>
    <format dxfId="828">
      <pivotArea dataOnly="0" labelOnly="1" fieldPosition="0">
        <references count="1">
          <reference field="10" count="0"/>
        </references>
      </pivotArea>
    </format>
    <format dxfId="829">
      <pivotArea outline="0" collapsedLevelsAreSubtotals="1" fieldPosition="0"/>
    </format>
    <format dxfId="830">
      <pivotArea outline="0" collapsedLevelsAreSubtotals="1" fieldPosition="0">
        <references count="1">
          <reference field="10" count="1" selected="0">
            <x v="1"/>
          </reference>
        </references>
      </pivotArea>
    </format>
    <format dxfId="831">
      <pivotArea type="topRight" dataOnly="0" labelOnly="1" outline="0" fieldPosition="0"/>
    </format>
    <format dxfId="832">
      <pivotArea dataOnly="0" labelOnly="1" fieldPosition="0">
        <references count="1">
          <reference field="10" count="1">
            <x v="1"/>
          </reference>
        </references>
      </pivotArea>
    </format>
    <format dxfId="833">
      <pivotArea type="all" dataOnly="0" outline="0" fieldPosition="0"/>
    </format>
    <format dxfId="834">
      <pivotArea outline="0" collapsedLevelsAreSubtotals="1" fieldPosition="0"/>
    </format>
    <format dxfId="835">
      <pivotArea type="topRight" dataOnly="0" labelOnly="1" outline="0" fieldPosition="0"/>
    </format>
    <format dxfId="836">
      <pivotArea dataOnly="0" labelOnly="1" fieldPosition="0">
        <references count="1">
          <reference field="10" count="0"/>
        </references>
      </pivotArea>
    </format>
    <format dxfId="837">
      <pivotArea type="all" dataOnly="0" outline="0" fieldPosition="0"/>
    </format>
    <format dxfId="838">
      <pivotArea outline="0" collapsedLevelsAreSubtotals="1" fieldPosition="0"/>
    </format>
    <format dxfId="839">
      <pivotArea field="10" type="button" dataOnly="0" labelOnly="1" outline="0" axis="axisCol" fieldPosition="0"/>
    </format>
    <format dxfId="840">
      <pivotArea type="topRight" dataOnly="0" labelOnly="1" outline="0" fieldPosition="0"/>
    </format>
    <format dxfId="841">
      <pivotArea dataOnly="0" labelOnly="1" fieldPosition="0">
        <references count="1">
          <reference field="10" count="0"/>
        </references>
      </pivotArea>
    </format>
    <format dxfId="842">
      <pivotArea outline="0" collapsedLevelsAreSubtotals="1" fieldPosition="0">
        <references count="1">
          <reference field="10" count="1" selected="0">
            <x v="0"/>
          </reference>
        </references>
      </pivotArea>
    </format>
    <format dxfId="843">
      <pivotArea field="10" type="button" dataOnly="0" labelOnly="1" outline="0" axis="axisCol" fieldPosition="0"/>
    </format>
    <format dxfId="844">
      <pivotArea dataOnly="0" labelOnly="1" fieldPosition="0">
        <references count="1">
          <reference field="10" count="1">
            <x v="0"/>
          </reference>
        </references>
      </pivotArea>
    </format>
    <format dxfId="845">
      <pivotArea type="origin" dataOnly="0" labelOnly="1" outline="0" fieldPosition="0"/>
    </format>
    <format dxfId="846">
      <pivotArea field="7" type="button" dataOnly="0" labelOnly="1" outline="0" axis="axisRow" fieldPosition="0"/>
    </format>
    <format dxfId="847">
      <pivotArea type="origin" dataOnly="0" labelOnly="1" outline="0" fieldPosition="0"/>
    </format>
    <format dxfId="848">
      <pivotArea field="7" type="button" dataOnly="0" labelOnly="1" outline="0" axis="axisRow" fieldPosition="0"/>
    </format>
    <format dxfId="849">
      <pivotArea type="all" dataOnly="0" outline="0" fieldPosition="0"/>
    </format>
    <format dxfId="850">
      <pivotArea outline="0" collapsedLevelsAreSubtotals="1" fieldPosition="0"/>
    </format>
    <format dxfId="851">
      <pivotArea type="origin" dataOnly="0" labelOnly="1" outline="0" fieldPosition="0"/>
    </format>
    <format dxfId="852">
      <pivotArea field="10" type="button" dataOnly="0" labelOnly="1" outline="0" axis="axisCol" fieldPosition="0"/>
    </format>
    <format dxfId="853">
      <pivotArea type="topRight" dataOnly="0" labelOnly="1" outline="0" fieldPosition="0"/>
    </format>
    <format dxfId="854">
      <pivotArea field="7" type="button" dataOnly="0" labelOnly="1" outline="0" axis="axisRow" fieldPosition="0"/>
    </format>
    <format dxfId="855">
      <pivotArea dataOnly="0" labelOnly="1" fieldPosition="0">
        <references count="1">
          <reference field="10" count="0"/>
        </references>
      </pivotArea>
    </format>
    <format dxfId="856">
      <pivotArea type="all" dataOnly="0" outline="0" fieldPosition="0"/>
    </format>
    <format dxfId="857">
      <pivotArea type="all" dataOnly="0" outline="0" fieldPosition="0"/>
    </format>
    <format dxfId="858">
      <pivotArea type="origin" dataOnly="0" labelOnly="1" outline="0" fieldPosition="0"/>
    </format>
    <format dxfId="859">
      <pivotArea field="10" type="button" dataOnly="0" labelOnly="1" outline="0" axis="axisCol" fieldPosition="0"/>
    </format>
    <format dxfId="860">
      <pivotArea type="topRight" dataOnly="0" labelOnly="1" outline="0" fieldPosition="0"/>
    </format>
    <format dxfId="861">
      <pivotArea field="7" type="button" dataOnly="0" labelOnly="1" outline="0" axis="axisRow" fieldPosition="0"/>
    </format>
    <format dxfId="862">
      <pivotArea dataOnly="0" labelOnly="1" fieldPosition="0">
        <references count="1">
          <reference field="10" count="0"/>
        </references>
      </pivotArea>
    </format>
    <format dxfId="863">
      <pivotArea outline="0" fieldPosition="0">
        <references count="1">
          <reference field="4294967294" count="1">
            <x v="0"/>
          </reference>
        </references>
      </pivotArea>
    </format>
  </formats>
  <chartFormats count="11">
    <chartFormat chart="0" format="4" series="1">
      <pivotArea type="data" outline="0" fieldPosition="0">
        <references count="1">
          <reference field="10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10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F7C67F-4D0B-4A90-A49B-D6E81300ADE1}" name="TablaDinámica9" cacheId="1146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">
  <location ref="I68:M75" firstHeaderRow="1" firstDataRow="2" firstDataCol="1" rowPageCount="1" colPageCount="1"/>
  <pivotFields count="29">
    <pivotField showAll="0"/>
    <pivotField numFmtId="14" showAll="0"/>
    <pivotField showAll="0"/>
    <pivotField axis="axisCol" dataField="1" showAll="0">
      <items count="5">
        <item x="1"/>
        <item x="0"/>
        <item x="2"/>
        <item x="3"/>
        <item t="default"/>
      </items>
    </pivotField>
    <pivotField numFmtId="164" showAll="0"/>
    <pivotField numFmtId="164" showAll="0"/>
    <pivotField numFmtId="164" showAll="0"/>
    <pivotField showAll="0">
      <items count="143">
        <item m="1" x="133"/>
        <item m="1" x="80"/>
        <item x="23"/>
        <item m="1" x="116"/>
        <item m="1" x="114"/>
        <item x="31"/>
        <item x="8"/>
        <item x="21"/>
        <item x="22"/>
        <item x="11"/>
        <item x="0"/>
        <item x="18"/>
        <item m="1" x="78"/>
        <item m="1" x="93"/>
        <item m="1" x="125"/>
        <item m="1" x="82"/>
        <item m="1" x="84"/>
        <item m="1" x="85"/>
        <item m="1" x="41"/>
        <item m="1" x="141"/>
        <item m="1" x="87"/>
        <item m="1" x="115"/>
        <item x="4"/>
        <item x="17"/>
        <item m="1" x="37"/>
        <item x="13"/>
        <item m="1" x="38"/>
        <item m="1" x="90"/>
        <item x="7"/>
        <item m="1" x="120"/>
        <item m="1" x="60"/>
        <item x="20"/>
        <item m="1" x="117"/>
        <item x="6"/>
        <item m="1" x="101"/>
        <item x="29"/>
        <item m="1" x="40"/>
        <item m="1" x="77"/>
        <item m="1" x="96"/>
        <item m="1" x="91"/>
        <item m="1" x="86"/>
        <item x="33"/>
        <item m="1" x="51"/>
        <item m="1" x="138"/>
        <item x="32"/>
        <item m="1" x="139"/>
        <item m="1" x="107"/>
        <item m="1" x="140"/>
        <item m="1" x="50"/>
        <item m="1" x="39"/>
        <item m="1" x="137"/>
        <item m="1" x="97"/>
        <item m="1" x="46"/>
        <item m="1" x="35"/>
        <item m="1" x="103"/>
        <item m="1" x="88"/>
        <item m="1" x="130"/>
        <item m="1" x="98"/>
        <item m="1" x="58"/>
        <item m="1" x="136"/>
        <item m="1" x="100"/>
        <item m="1" x="83"/>
        <item m="1" x="92"/>
        <item m="1" x="95"/>
        <item m="1" x="79"/>
        <item m="1" x="104"/>
        <item m="1" x="102"/>
        <item m="1" x="135"/>
        <item m="1" x="134"/>
        <item m="1" x="131"/>
        <item m="1" x="132"/>
        <item m="1" x="121"/>
        <item m="1" x="52"/>
        <item m="1" x="56"/>
        <item m="1" x="128"/>
        <item m="1" x="113"/>
        <item m="1" x="129"/>
        <item m="1" x="59"/>
        <item m="1" x="73"/>
        <item m="1" x="64"/>
        <item m="1" x="127"/>
        <item x="9"/>
        <item m="1" x="123"/>
        <item m="1" x="124"/>
        <item m="1" x="105"/>
        <item m="1" x="99"/>
        <item m="1" x="126"/>
        <item m="1" x="89"/>
        <item m="1" x="110"/>
        <item m="1" x="122"/>
        <item m="1" x="118"/>
        <item m="1" x="119"/>
        <item m="1" x="106"/>
        <item m="1" x="108"/>
        <item m="1" x="109"/>
        <item m="1" x="111"/>
        <item m="1" x="112"/>
        <item m="1" x="69"/>
        <item m="1" x="94"/>
        <item x="1"/>
        <item x="3"/>
        <item x="16"/>
        <item m="1" x="36"/>
        <item x="27"/>
        <item m="1" x="72"/>
        <item x="10"/>
        <item x="2"/>
        <item x="12"/>
        <item x="5"/>
        <item x="24"/>
        <item m="1" x="66"/>
        <item m="1" x="81"/>
        <item m="1" x="34"/>
        <item x="30"/>
        <item m="1" x="67"/>
        <item m="1" x="68"/>
        <item m="1" x="70"/>
        <item m="1" x="71"/>
        <item x="26"/>
        <item m="1" x="63"/>
        <item m="1" x="74"/>
        <item m="1" x="62"/>
        <item m="1" x="75"/>
        <item m="1" x="61"/>
        <item m="1" x="76"/>
        <item x="14"/>
        <item x="25"/>
        <item m="1" x="65"/>
        <item x="19"/>
        <item m="1" x="47"/>
        <item m="1" x="55"/>
        <item m="1" x="57"/>
        <item m="1" x="48"/>
        <item m="1" x="49"/>
        <item m="1" x="53"/>
        <item m="1" x="54"/>
        <item m="1" x="42"/>
        <item m="1" x="43"/>
        <item m="1" x="44"/>
        <item m="1" x="45"/>
        <item x="15"/>
        <item x="28"/>
        <item t="default"/>
      </items>
    </pivotField>
    <pivotField axis="axisPage" multipleItemSelectionAllowed="1" showAll="0">
      <items count="10">
        <item h="1" x="1"/>
        <item h="1" m="1" x="6"/>
        <item h="1" x="2"/>
        <item x="0"/>
        <item h="1" x="3"/>
        <item h="1" m="1" x="5"/>
        <item h="1" m="1" x="8"/>
        <item h="1" m="1" x="7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32">
        <item m="1" x="25"/>
        <item m="1" x="26"/>
        <item m="1" x="27"/>
        <item m="1" x="28"/>
        <item m="1" x="29"/>
        <item m="1" x="30"/>
        <item x="5"/>
        <item m="1" x="8"/>
        <item m="1" x="17"/>
        <item m="1" x="19"/>
        <item m="1" x="11"/>
        <item m="1" x="12"/>
        <item m="1" x="13"/>
        <item m="1" x="14"/>
        <item m="1" x="15"/>
        <item m="1" x="16"/>
        <item x="0"/>
        <item m="1" x="20"/>
        <item m="1" x="6"/>
        <item m="1" x="21"/>
        <item x="1"/>
        <item m="1" x="22"/>
        <item x="2"/>
        <item m="1" x="9"/>
        <item m="1" x="23"/>
        <item x="3"/>
        <item m="1" x="24"/>
        <item x="4"/>
        <item m="1" x="7"/>
        <item m="1" x="10"/>
        <item m="1" x="18"/>
        <item t="default"/>
      </items>
    </pivotField>
    <pivotField numFmtId="1" showAll="0"/>
  </pivotFields>
  <rowFields count="1">
    <field x="27"/>
  </rowFields>
  <rowItems count="6">
    <i>
      <x v="16"/>
    </i>
    <i>
      <x v="20"/>
    </i>
    <i>
      <x v="22"/>
    </i>
    <i>
      <x v="25"/>
    </i>
    <i>
      <x v="27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1">
    <pageField fld="8" hier="-1"/>
  </pageFields>
  <dataFields count="1">
    <dataField name="Cuenta de TURNO" fld="3" subtotal="count" baseField="0" baseItem="0"/>
  </dataFields>
  <formats count="28">
    <format dxfId="782">
      <pivotArea type="all" dataOnly="0" outline="0" fieldPosition="0"/>
    </format>
    <format dxfId="783">
      <pivotArea outline="0" collapsedLevelsAreSubtotals="1" fieldPosition="0"/>
    </format>
    <format dxfId="784">
      <pivotArea type="origin" dataOnly="0" labelOnly="1" outline="0" fieldPosition="0"/>
    </format>
    <format dxfId="785">
      <pivotArea field="3" type="button" dataOnly="0" labelOnly="1" outline="0" axis="axisCol" fieldPosition="0"/>
    </format>
    <format dxfId="786">
      <pivotArea type="topRight" dataOnly="0" labelOnly="1" outline="0" fieldPosition="0"/>
    </format>
    <format dxfId="787">
      <pivotArea field="7" type="button" dataOnly="0" labelOnly="1" outline="0"/>
    </format>
    <format dxfId="788">
      <pivotArea dataOnly="0" labelOnly="1" grandRow="1" outline="0" fieldPosition="0"/>
    </format>
    <format dxfId="789">
      <pivotArea dataOnly="0" labelOnly="1" fieldPosition="0">
        <references count="1">
          <reference field="3" count="0"/>
        </references>
      </pivotArea>
    </format>
    <format dxfId="790">
      <pivotArea dataOnly="0" labelOnly="1" grandCol="1" outline="0" fieldPosition="0"/>
    </format>
    <format dxfId="791">
      <pivotArea type="all" dataOnly="0" outline="0" fieldPosition="0"/>
    </format>
    <format dxfId="792">
      <pivotArea outline="0" collapsedLevelsAreSubtotals="1" fieldPosition="0"/>
    </format>
    <format dxfId="793">
      <pivotArea type="origin" dataOnly="0" labelOnly="1" outline="0" fieldPosition="0"/>
    </format>
    <format dxfId="794">
      <pivotArea field="3" type="button" dataOnly="0" labelOnly="1" outline="0" axis="axisCol" fieldPosition="0"/>
    </format>
    <format dxfId="795">
      <pivotArea type="topRight" dataOnly="0" labelOnly="1" outline="0" fieldPosition="0"/>
    </format>
    <format dxfId="796">
      <pivotArea field="7" type="button" dataOnly="0" labelOnly="1" outline="0"/>
    </format>
    <format dxfId="797">
      <pivotArea dataOnly="0" labelOnly="1" grandRow="1" outline="0" fieldPosition="0"/>
    </format>
    <format dxfId="798">
      <pivotArea dataOnly="0" labelOnly="1" fieldPosition="0">
        <references count="1">
          <reference field="3" count="0"/>
        </references>
      </pivotArea>
    </format>
    <format dxfId="799">
      <pivotArea dataOnly="0" labelOnly="1" grandCol="1" outline="0" fieldPosition="0"/>
    </format>
    <format dxfId="800">
      <pivotArea type="all" dataOnly="0" outline="0" fieldPosition="0"/>
    </format>
    <format dxfId="801">
      <pivotArea outline="0" collapsedLevelsAreSubtotals="1" fieldPosition="0"/>
    </format>
    <format dxfId="802">
      <pivotArea type="origin" dataOnly="0" labelOnly="1" outline="0" fieldPosition="0"/>
    </format>
    <format dxfId="803">
      <pivotArea field="3" type="button" dataOnly="0" labelOnly="1" outline="0" axis="axisCol" fieldPosition="0"/>
    </format>
    <format dxfId="804">
      <pivotArea type="topRight" dataOnly="0" labelOnly="1" outline="0" fieldPosition="0"/>
    </format>
    <format dxfId="805">
      <pivotArea field="27" type="button" dataOnly="0" labelOnly="1" outline="0" axis="axisRow" fieldPosition="0"/>
    </format>
    <format dxfId="806">
      <pivotArea dataOnly="0" labelOnly="1" fieldPosition="0">
        <references count="1">
          <reference field="27" count="6">
            <x v="9"/>
            <x v="17"/>
            <x v="19"/>
            <x v="21"/>
            <x v="24"/>
            <x v="26"/>
          </reference>
        </references>
      </pivotArea>
    </format>
    <format dxfId="807">
      <pivotArea dataOnly="0" labelOnly="1" grandRow="1" outline="0" fieldPosition="0"/>
    </format>
    <format dxfId="808">
      <pivotArea dataOnly="0" labelOnly="1" fieldPosition="0">
        <references count="1">
          <reference field="3" count="3">
            <x v="0"/>
            <x v="1"/>
            <x v="2"/>
          </reference>
        </references>
      </pivotArea>
    </format>
    <format dxfId="809">
      <pivotArea dataOnly="0" labelOnly="1" grandCol="1" outline="0" fieldPosition="0"/>
    </format>
  </formats>
  <chartFormats count="4"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95206D-9112-41AF-ABC4-E020BB6E2CD8}" name="TablaDinámica11" cacheId="1146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 chartFormat="2">
  <location ref="B39:C44" firstHeaderRow="1" firstDataRow="1" firstDataCol="1" rowPageCount="1" colPageCount="1"/>
  <pivotFields count="29">
    <pivotField showAll="0"/>
    <pivotField numFmtId="14" showAll="0"/>
    <pivotField showAll="0"/>
    <pivotField showAll="0">
      <items count="5">
        <item x="1"/>
        <item x="0"/>
        <item x="2"/>
        <item x="3"/>
        <item t="default"/>
      </items>
    </pivotField>
    <pivotField numFmtId="164" showAll="0"/>
    <pivotField numFmtId="164" showAll="0"/>
    <pivotField dataField="1" numFmtId="164" showAll="0"/>
    <pivotField axis="axisRow" showAll="0" measureFilter="1" sortType="descending">
      <items count="143">
        <item x="6"/>
        <item m="1" x="91"/>
        <item m="1" x="139"/>
        <item m="1" x="133"/>
        <item m="1" x="80"/>
        <item x="23"/>
        <item m="1" x="116"/>
        <item m="1" x="137"/>
        <item m="1" x="130"/>
        <item m="1" x="86"/>
        <item m="1" x="107"/>
        <item m="1" x="39"/>
        <item m="1" x="114"/>
        <item x="31"/>
        <item x="8"/>
        <item x="21"/>
        <item x="22"/>
        <item x="11"/>
        <item x="29"/>
        <item x="0"/>
        <item x="18"/>
        <item m="1" x="78"/>
        <item m="1" x="51"/>
        <item m="1" x="93"/>
        <item m="1" x="125"/>
        <item m="1" x="103"/>
        <item m="1" x="82"/>
        <item m="1" x="84"/>
        <item m="1" x="85"/>
        <item m="1" x="35"/>
        <item m="1" x="138"/>
        <item m="1" x="40"/>
        <item x="32"/>
        <item m="1" x="41"/>
        <item m="1" x="141"/>
        <item m="1" x="87"/>
        <item m="1" x="115"/>
        <item m="1" x="46"/>
        <item m="1" x="77"/>
        <item m="1" x="96"/>
        <item x="4"/>
        <item m="1" x="50"/>
        <item x="17"/>
        <item m="1" x="88"/>
        <item m="1" x="101"/>
        <item m="1" x="37"/>
        <item x="13"/>
        <item m="1" x="38"/>
        <item m="1" x="90"/>
        <item x="7"/>
        <item m="1" x="120"/>
        <item m="1" x="60"/>
        <item x="20"/>
        <item m="1" x="97"/>
        <item m="1" x="117"/>
        <item m="1" x="140"/>
        <item x="33"/>
        <item m="1" x="98"/>
        <item m="1" x="58"/>
        <item m="1" x="136"/>
        <item m="1" x="100"/>
        <item m="1" x="83"/>
        <item m="1" x="92"/>
        <item m="1" x="95"/>
        <item m="1" x="79"/>
        <item m="1" x="104"/>
        <item m="1" x="102"/>
        <item m="1" x="135"/>
        <item m="1" x="134"/>
        <item m="1" x="131"/>
        <item m="1" x="132"/>
        <item m="1" x="121"/>
        <item m="1" x="52"/>
        <item m="1" x="56"/>
        <item m="1" x="128"/>
        <item m="1" x="113"/>
        <item m="1" x="129"/>
        <item m="1" x="59"/>
        <item m="1" x="73"/>
        <item m="1" x="64"/>
        <item m="1" x="127"/>
        <item x="9"/>
        <item m="1" x="123"/>
        <item m="1" x="124"/>
        <item m="1" x="105"/>
        <item m="1" x="99"/>
        <item m="1" x="126"/>
        <item m="1" x="89"/>
        <item m="1" x="110"/>
        <item m="1" x="122"/>
        <item m="1" x="118"/>
        <item m="1" x="119"/>
        <item m="1" x="106"/>
        <item m="1" x="108"/>
        <item m="1" x="109"/>
        <item m="1" x="111"/>
        <item m="1" x="112"/>
        <item m="1" x="69"/>
        <item m="1" x="94"/>
        <item x="1"/>
        <item x="3"/>
        <item x="16"/>
        <item m="1" x="36"/>
        <item x="27"/>
        <item m="1" x="72"/>
        <item x="10"/>
        <item x="2"/>
        <item x="12"/>
        <item x="5"/>
        <item x="24"/>
        <item m="1" x="66"/>
        <item m="1" x="81"/>
        <item m="1" x="34"/>
        <item x="30"/>
        <item m="1" x="67"/>
        <item m="1" x="68"/>
        <item m="1" x="70"/>
        <item m="1" x="71"/>
        <item x="26"/>
        <item m="1" x="63"/>
        <item m="1" x="74"/>
        <item m="1" x="62"/>
        <item m="1" x="75"/>
        <item m="1" x="61"/>
        <item m="1" x="76"/>
        <item x="14"/>
        <item x="25"/>
        <item m="1" x="65"/>
        <item x="19"/>
        <item m="1" x="47"/>
        <item m="1" x="55"/>
        <item m="1" x="57"/>
        <item m="1" x="48"/>
        <item m="1" x="49"/>
        <item m="1" x="53"/>
        <item m="1" x="54"/>
        <item m="1" x="42"/>
        <item m="1" x="43"/>
        <item m="1" x="44"/>
        <item m="1" x="45"/>
        <item x="15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10">
        <item h="1" x="1"/>
        <item h="1" m="1" x="6"/>
        <item h="1" x="2"/>
        <item x="0"/>
        <item h="1" x="3"/>
        <item h="1" m="1" x="5"/>
        <item h="1" m="1" x="8"/>
        <item h="1" m="1" x="7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</pivotFields>
  <rowFields count="1">
    <field x="7"/>
  </rowFields>
  <rowItems count="5">
    <i>
      <x v="99"/>
    </i>
    <i>
      <x v="17"/>
    </i>
    <i>
      <x v="109"/>
    </i>
    <i>
      <x v="19"/>
    </i>
    <i>
      <x v="100"/>
    </i>
  </rowItems>
  <colItems count="1">
    <i/>
  </colItems>
  <pageFields count="1">
    <pageField fld="8" hier="-1"/>
  </pageFields>
  <dataFields count="1">
    <dataField name="Suma de T.TOTAL" fld="6" baseField="7" baseItem="9" numFmtId="166"/>
  </dataFields>
  <formats count="28">
    <format dxfId="754">
      <pivotArea type="all" dataOnly="0" outline="0" fieldPosition="0"/>
    </format>
    <format dxfId="755">
      <pivotArea outline="0" collapsedLevelsAreSubtotals="1" fieldPosition="0"/>
    </format>
    <format dxfId="756">
      <pivotArea type="origin" dataOnly="0" labelOnly="1" outline="0" fieldPosition="0"/>
    </format>
    <format dxfId="757">
      <pivotArea field="3" type="button" dataOnly="0" labelOnly="1" outline="0"/>
    </format>
    <format dxfId="758">
      <pivotArea type="topRight" dataOnly="0" labelOnly="1" outline="0" fieldPosition="0"/>
    </format>
    <format dxfId="759">
      <pivotArea field="7" type="button" dataOnly="0" labelOnly="1" outline="0" axis="axisRow" fieldPosition="0"/>
    </format>
    <format dxfId="760">
      <pivotArea dataOnly="0" labelOnly="1" fieldPosition="0">
        <references count="1">
          <reference field="7" count="0"/>
        </references>
      </pivotArea>
    </format>
    <format dxfId="761">
      <pivotArea dataOnly="0" labelOnly="1" grandRow="1" outline="0" fieldPosition="0"/>
    </format>
    <format dxfId="762">
      <pivotArea dataOnly="0" labelOnly="1" grandCol="1" outline="0" fieldPosition="0"/>
    </format>
    <format dxfId="763">
      <pivotArea type="all" dataOnly="0" outline="0" fieldPosition="0"/>
    </format>
    <format dxfId="764">
      <pivotArea outline="0" collapsedLevelsAreSubtotals="1" fieldPosition="0"/>
    </format>
    <format dxfId="765">
      <pivotArea type="origin" dataOnly="0" labelOnly="1" outline="0" fieldPosition="0"/>
    </format>
    <format dxfId="766">
      <pivotArea field="3" type="button" dataOnly="0" labelOnly="1" outline="0"/>
    </format>
    <format dxfId="767">
      <pivotArea type="topRight" dataOnly="0" labelOnly="1" outline="0" fieldPosition="0"/>
    </format>
    <format dxfId="768">
      <pivotArea dataOnly="0" labelOnly="1" fieldPosition="0">
        <references count="1">
          <reference field="7" count="0"/>
        </references>
      </pivotArea>
    </format>
    <format dxfId="769">
      <pivotArea dataOnly="0" labelOnly="1" grandRow="1" outline="0" fieldPosition="0"/>
    </format>
    <format dxfId="770">
      <pivotArea dataOnly="0" labelOnly="1" grandCol="1" outline="0" fieldPosition="0"/>
    </format>
    <format dxfId="771">
      <pivotArea outline="0" collapsedLevelsAreSubtotals="1" fieldPosition="0"/>
    </format>
    <format dxfId="772">
      <pivotArea type="all" dataOnly="0" outline="0" fieldPosition="0"/>
    </format>
    <format dxfId="773">
      <pivotArea outline="0" collapsedLevelsAreSubtotals="1" fieldPosition="0"/>
    </format>
    <format dxfId="774">
      <pivotArea field="7" type="button" dataOnly="0" labelOnly="1" outline="0" axis="axisRow" fieldPosition="0"/>
    </format>
    <format dxfId="775">
      <pivotArea dataOnly="0" labelOnly="1" fieldPosition="0">
        <references count="1">
          <reference field="7" count="12">
            <x v="4"/>
            <x v="5"/>
            <x v="14"/>
            <x v="16"/>
            <x v="17"/>
            <x v="19"/>
            <x v="20"/>
            <x v="23"/>
            <x v="26"/>
            <x v="27"/>
            <x v="28"/>
            <x v="29"/>
          </reference>
        </references>
      </pivotArea>
    </format>
    <format dxfId="776">
      <pivotArea dataOnly="0" labelOnly="1" outline="0" axis="axisValues" fieldPosition="0"/>
    </format>
    <format dxfId="777">
      <pivotArea type="all" dataOnly="0" outline="0" fieldPosition="0"/>
    </format>
    <format dxfId="778">
      <pivotArea outline="0" collapsedLevelsAreSubtotals="1" fieldPosition="0"/>
    </format>
    <format dxfId="779">
      <pivotArea field="7" type="button" dataOnly="0" labelOnly="1" outline="0" axis="axisRow" fieldPosition="0"/>
    </format>
    <format dxfId="780">
      <pivotArea dataOnly="0" labelOnly="1" fieldPosition="0">
        <references count="1">
          <reference field="7" count="12">
            <x v="4"/>
            <x v="5"/>
            <x v="14"/>
            <x v="16"/>
            <x v="17"/>
            <x v="19"/>
            <x v="20"/>
            <x v="23"/>
            <x v="26"/>
            <x v="27"/>
            <x v="28"/>
            <x v="29"/>
          </reference>
        </references>
      </pivotArea>
    </format>
    <format dxfId="781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filters count="1">
    <filter fld="7" type="valueGreaterThan" evalOrder="-1" id="1" iMeasureFld="0">
      <autoFilter ref="A1">
        <filterColumn colId="0">
          <customFilters>
            <customFilter operator="greaterThan" val="8.3333333333333329E-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EAE356-FC24-445B-A837-CB411863E872}" name="TablaDinámica5" cacheId="1146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 chartFormat="4">
  <location ref="S113:V129" firstHeaderRow="1" firstDataRow="2" firstDataCol="1"/>
  <pivotFields count="29">
    <pivotField showAll="0"/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143">
        <item m="1" x="133"/>
        <item m="1" x="80"/>
        <item x="23"/>
        <item m="1" x="116"/>
        <item x="21"/>
        <item x="11"/>
        <item x="0"/>
        <item x="18"/>
        <item m="1" x="82"/>
        <item m="1" x="41"/>
        <item x="4"/>
        <item m="1" x="37"/>
        <item m="1" x="90"/>
        <item x="7"/>
        <item m="1" x="120"/>
        <item m="1" x="60"/>
        <item x="33"/>
        <item m="1" x="115"/>
        <item x="20"/>
        <item m="1" x="84"/>
        <item x="31"/>
        <item x="13"/>
        <item x="22"/>
        <item m="1" x="78"/>
        <item m="1" x="93"/>
        <item m="1" x="114"/>
        <item x="8"/>
        <item x="6"/>
        <item m="1" x="101"/>
        <item m="1" x="38"/>
        <item m="1" x="85"/>
        <item x="29"/>
        <item m="1" x="40"/>
        <item m="1" x="77"/>
        <item m="1" x="96"/>
        <item m="1" x="91"/>
        <item m="1" x="86"/>
        <item m="1" x="51"/>
        <item m="1" x="138"/>
        <item x="32"/>
        <item m="1" x="125"/>
        <item m="1" x="107"/>
        <item m="1" x="39"/>
        <item m="1" x="137"/>
        <item m="1" x="97"/>
        <item m="1" x="46"/>
        <item m="1" x="35"/>
        <item m="1" x="88"/>
        <item m="1" x="98"/>
        <item m="1" x="136"/>
        <item m="1" x="100"/>
        <item m="1" x="83"/>
        <item m="1" x="87"/>
        <item m="1" x="92"/>
        <item m="1" x="130"/>
        <item m="1" x="58"/>
        <item m="1" x="95"/>
        <item m="1" x="79"/>
        <item m="1" x="104"/>
        <item m="1" x="102"/>
        <item m="1" x="135"/>
        <item m="1" x="134"/>
        <item m="1" x="103"/>
        <item m="1" x="139"/>
        <item m="1" x="140"/>
        <item m="1" x="50"/>
        <item m="1" x="117"/>
        <item x="17"/>
        <item m="1" x="141"/>
        <item m="1" x="131"/>
        <item m="1" x="132"/>
        <item m="1" x="121"/>
        <item m="1" x="52"/>
        <item m="1" x="56"/>
        <item m="1" x="128"/>
        <item m="1" x="113"/>
        <item m="1" x="129"/>
        <item m="1" x="59"/>
        <item m="1" x="73"/>
        <item m="1" x="64"/>
        <item m="1" x="127"/>
        <item x="9"/>
        <item m="1" x="123"/>
        <item m="1" x="124"/>
        <item m="1" x="105"/>
        <item m="1" x="99"/>
        <item m="1" x="126"/>
        <item m="1" x="89"/>
        <item m="1" x="110"/>
        <item m="1" x="122"/>
        <item m="1" x="118"/>
        <item m="1" x="119"/>
        <item m="1" x="106"/>
        <item m="1" x="108"/>
        <item m="1" x="109"/>
        <item m="1" x="111"/>
        <item m="1" x="112"/>
        <item m="1" x="69"/>
        <item m="1" x="94"/>
        <item x="1"/>
        <item x="3"/>
        <item x="16"/>
        <item m="1" x="36"/>
        <item x="27"/>
        <item m="1" x="72"/>
        <item x="10"/>
        <item x="2"/>
        <item x="12"/>
        <item x="5"/>
        <item x="24"/>
        <item m="1" x="66"/>
        <item m="1" x="81"/>
        <item m="1" x="34"/>
        <item x="30"/>
        <item m="1" x="67"/>
        <item m="1" x="68"/>
        <item m="1" x="70"/>
        <item m="1" x="71"/>
        <item x="26"/>
        <item m="1" x="63"/>
        <item m="1" x="74"/>
        <item m="1" x="62"/>
        <item m="1" x="75"/>
        <item m="1" x="61"/>
        <item m="1" x="76"/>
        <item x="14"/>
        <item x="25"/>
        <item m="1" x="65"/>
        <item x="19"/>
        <item m="1" x="47"/>
        <item m="1" x="55"/>
        <item m="1" x="57"/>
        <item m="1" x="48"/>
        <item m="1" x="49"/>
        <item m="1" x="53"/>
        <item m="1" x="54"/>
        <item m="1" x="42"/>
        <item m="1" x="43"/>
        <item m="1" x="44"/>
        <item m="1" x="45"/>
        <item x="15"/>
        <item x="28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1" count="1" selected="0">
              <x v="2"/>
            </reference>
          </references>
        </pivotArea>
      </autoSortScope>
    </pivotField>
    <pivotField showAll="0"/>
    <pivotField showAll="0"/>
    <pivotField showAll="0"/>
    <pivotField axis="axisCol" showAll="0" sortType="ascending">
      <items count="5">
        <item h="1" x="0"/>
        <item x="2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</pivotFields>
  <rowFields count="1">
    <field x="7"/>
  </rowFields>
  <rowItems count="15">
    <i>
      <x v="5"/>
    </i>
    <i>
      <x v="100"/>
    </i>
    <i>
      <x v="103"/>
    </i>
    <i>
      <x v="106"/>
    </i>
    <i>
      <x v="6"/>
    </i>
    <i>
      <x v="26"/>
    </i>
    <i>
      <x v="118"/>
    </i>
    <i>
      <x v="20"/>
    </i>
    <i>
      <x v="31"/>
    </i>
    <i>
      <x v="113"/>
    </i>
    <i>
      <x v="13"/>
    </i>
    <i>
      <x v="4"/>
    </i>
    <i>
      <x v="99"/>
    </i>
    <i>
      <x v="22"/>
    </i>
    <i>
      <x v="27"/>
    </i>
  </rowItems>
  <colFields count="1">
    <field x="11"/>
  </colFields>
  <colItems count="3">
    <i>
      <x v="1"/>
    </i>
    <i>
      <x v="2"/>
    </i>
    <i t="grand">
      <x/>
    </i>
  </colItems>
  <dataFields count="1">
    <dataField name="Suma de T.TOTAL" fld="6" baseField="7" baseItem="23" numFmtId="169"/>
  </dataFields>
  <formats count="64">
    <format dxfId="690">
      <pivotArea outline="0" collapsedLevelsAreSubtotals="1" fieldPosition="0">
        <references count="1">
          <reference field="11" count="3" selected="0">
            <x v="0"/>
            <x v="1"/>
            <x v="2"/>
          </reference>
        </references>
      </pivotArea>
    </format>
    <format dxfId="691">
      <pivotArea type="origin" dataOnly="0" labelOnly="1" outline="0" fieldPosition="0"/>
    </format>
    <format dxfId="692">
      <pivotArea field="11" type="button" dataOnly="0" labelOnly="1" outline="0" axis="axisCol" fieldPosition="0"/>
    </format>
    <format dxfId="693">
      <pivotArea type="topRight" dataOnly="0" labelOnly="1" outline="0" offset="A1:B1" fieldPosition="0"/>
    </format>
    <format dxfId="694">
      <pivotArea field="7" type="button" dataOnly="0" labelOnly="1" outline="0" axis="axisRow" fieldPosition="0"/>
    </format>
    <format dxfId="695">
      <pivotArea dataOnly="0" labelOnly="1" fieldPosition="0">
        <references count="1">
          <reference field="7" count="0"/>
        </references>
      </pivotArea>
    </format>
    <format dxfId="696">
      <pivotArea dataOnly="0" labelOnly="1" fieldPosition="0">
        <references count="1">
          <reference field="11" count="3">
            <x v="0"/>
            <x v="1"/>
            <x v="2"/>
          </reference>
        </references>
      </pivotArea>
    </format>
    <format dxfId="697">
      <pivotArea type="all" dataOnly="0" outline="0" fieldPosition="0"/>
    </format>
    <format dxfId="698">
      <pivotArea outline="0" collapsedLevelsAreSubtotals="1" fieldPosition="0"/>
    </format>
    <format dxfId="699">
      <pivotArea type="origin" dataOnly="0" labelOnly="1" outline="0" fieldPosition="0"/>
    </format>
    <format dxfId="700">
      <pivotArea field="11" type="button" dataOnly="0" labelOnly="1" outline="0" axis="axisCol" fieldPosition="0"/>
    </format>
    <format dxfId="701">
      <pivotArea type="topRight" dataOnly="0" labelOnly="1" outline="0" fieldPosition="0"/>
    </format>
    <format dxfId="702">
      <pivotArea field="7" type="button" dataOnly="0" labelOnly="1" outline="0" axis="axisRow" fieldPosition="0"/>
    </format>
    <format dxfId="703">
      <pivotArea dataOnly="0" labelOnly="1" fieldPosition="0">
        <references count="1">
          <reference field="7" count="5">
            <x v="1"/>
            <x v="4"/>
            <x v="6"/>
            <x v="7"/>
            <x v="12"/>
          </reference>
        </references>
      </pivotArea>
    </format>
    <format dxfId="704">
      <pivotArea dataOnly="0" labelOnly="1" fieldPosition="0">
        <references count="1">
          <reference field="11" count="0"/>
        </references>
      </pivotArea>
    </format>
    <format dxfId="705">
      <pivotArea type="origin" dataOnly="0" labelOnly="1" outline="0" fieldPosition="0"/>
    </format>
    <format dxfId="706">
      <pivotArea field="11" type="button" dataOnly="0" labelOnly="1" outline="0" axis="axisCol" fieldPosition="0"/>
    </format>
    <format dxfId="707">
      <pivotArea type="topRight" dataOnly="0" labelOnly="1" outline="0" fieldPosition="0"/>
    </format>
    <format dxfId="708">
      <pivotArea field="7" type="button" dataOnly="0" labelOnly="1" outline="0" axis="axisRow" fieldPosition="0"/>
    </format>
    <format dxfId="709">
      <pivotArea dataOnly="0" labelOnly="1" fieldPosition="0">
        <references count="1">
          <reference field="11" count="0"/>
        </references>
      </pivotArea>
    </format>
    <format dxfId="710">
      <pivotArea outline="0" collapsedLevelsAreSubtotals="1" fieldPosition="0"/>
    </format>
    <format dxfId="711">
      <pivotArea type="all" dataOnly="0" outline="0" fieldPosition="0"/>
    </format>
    <format dxfId="712">
      <pivotArea outline="0" collapsedLevelsAreSubtotals="1" fieldPosition="0"/>
    </format>
    <format dxfId="713">
      <pivotArea type="origin" dataOnly="0" labelOnly="1" outline="0" fieldPosition="0"/>
    </format>
    <format dxfId="714">
      <pivotArea field="11" type="button" dataOnly="0" labelOnly="1" outline="0" axis="axisCol" fieldPosition="0"/>
    </format>
    <format dxfId="715">
      <pivotArea type="topRight" dataOnly="0" labelOnly="1" outline="0" fieldPosition="0"/>
    </format>
    <format dxfId="716">
      <pivotArea field="7" type="button" dataOnly="0" labelOnly="1" outline="0" axis="axisRow" fieldPosition="0"/>
    </format>
    <format dxfId="717">
      <pivotArea dataOnly="0" labelOnly="1" fieldPosition="0">
        <references count="1">
          <reference field="7" count="9">
            <x v="7"/>
            <x v="8"/>
            <x v="18"/>
            <x v="19"/>
            <x v="23"/>
            <x v="24"/>
            <x v="25"/>
            <x v="26"/>
            <x v="29"/>
          </reference>
        </references>
      </pivotArea>
    </format>
    <format dxfId="718">
      <pivotArea dataOnly="0" labelOnly="1" fieldPosition="0">
        <references count="1">
          <reference field="11" count="0"/>
        </references>
      </pivotArea>
    </format>
    <format dxfId="719">
      <pivotArea type="all" dataOnly="0" outline="0" fieldPosition="0"/>
    </format>
    <format dxfId="720">
      <pivotArea outline="0" collapsedLevelsAreSubtotals="1" fieldPosition="0"/>
    </format>
    <format dxfId="721">
      <pivotArea type="origin" dataOnly="0" labelOnly="1" outline="0" fieldPosition="0"/>
    </format>
    <format dxfId="722">
      <pivotArea field="11" type="button" dataOnly="0" labelOnly="1" outline="0" axis="axisCol" fieldPosition="0"/>
    </format>
    <format dxfId="723">
      <pivotArea type="topRight" dataOnly="0" labelOnly="1" outline="0" fieldPosition="0"/>
    </format>
    <format dxfId="724">
      <pivotArea field="7" type="button" dataOnly="0" labelOnly="1" outline="0" axis="axisRow" fieldPosition="0"/>
    </format>
    <format dxfId="725">
      <pivotArea dataOnly="0" labelOnly="1" fieldPosition="0">
        <references count="1">
          <reference field="7" count="9">
            <x v="7"/>
            <x v="8"/>
            <x v="18"/>
            <x v="19"/>
            <x v="23"/>
            <x v="24"/>
            <x v="25"/>
            <x v="26"/>
            <x v="29"/>
          </reference>
        </references>
      </pivotArea>
    </format>
    <format dxfId="726">
      <pivotArea dataOnly="0" labelOnly="1" fieldPosition="0">
        <references count="1">
          <reference field="11" count="0"/>
        </references>
      </pivotArea>
    </format>
    <format dxfId="727">
      <pivotArea type="all" dataOnly="0" outline="0" fieldPosition="0"/>
    </format>
    <format dxfId="728">
      <pivotArea outline="0" collapsedLevelsAreSubtotals="1" fieldPosition="0"/>
    </format>
    <format dxfId="729">
      <pivotArea type="origin" dataOnly="0" labelOnly="1" outline="0" fieldPosition="0"/>
    </format>
    <format dxfId="730">
      <pivotArea field="11" type="button" dataOnly="0" labelOnly="1" outline="0" axis="axisCol" fieldPosition="0"/>
    </format>
    <format dxfId="731">
      <pivotArea type="topRight" dataOnly="0" labelOnly="1" outline="0" fieldPosition="0"/>
    </format>
    <format dxfId="732">
      <pivotArea field="7" type="button" dataOnly="0" labelOnly="1" outline="0" axis="axisRow" fieldPosition="0"/>
    </format>
    <format dxfId="733">
      <pivotArea dataOnly="0" labelOnly="1" fieldPosition="0">
        <references count="1">
          <reference field="7" count="9">
            <x v="7"/>
            <x v="8"/>
            <x v="18"/>
            <x v="19"/>
            <x v="23"/>
            <x v="24"/>
            <x v="25"/>
            <x v="26"/>
            <x v="29"/>
          </reference>
        </references>
      </pivotArea>
    </format>
    <format dxfId="734">
      <pivotArea dataOnly="0" labelOnly="1" fieldPosition="0">
        <references count="1">
          <reference field="11" count="0"/>
        </references>
      </pivotArea>
    </format>
    <format dxfId="735">
      <pivotArea type="all" dataOnly="0" outline="0" fieldPosition="0"/>
    </format>
    <format dxfId="736">
      <pivotArea outline="0" collapsedLevelsAreSubtotals="1" fieldPosition="0"/>
    </format>
    <format dxfId="737">
      <pivotArea type="origin" dataOnly="0" labelOnly="1" outline="0" fieldPosition="0"/>
    </format>
    <format dxfId="738">
      <pivotArea field="11" type="button" dataOnly="0" labelOnly="1" outline="0" axis="axisCol" fieldPosition="0"/>
    </format>
    <format dxfId="739">
      <pivotArea type="topRight" dataOnly="0" labelOnly="1" outline="0" fieldPosition="0"/>
    </format>
    <format dxfId="740">
      <pivotArea field="7" type="button" dataOnly="0" labelOnly="1" outline="0" axis="axisRow" fieldPosition="0"/>
    </format>
    <format dxfId="741">
      <pivotArea dataOnly="0" labelOnly="1" fieldPosition="0">
        <references count="1">
          <reference field="7" count="9">
            <x v="7"/>
            <x v="8"/>
            <x v="18"/>
            <x v="19"/>
            <x v="23"/>
            <x v="24"/>
            <x v="25"/>
            <x v="26"/>
            <x v="29"/>
          </reference>
        </references>
      </pivotArea>
    </format>
    <format dxfId="742">
      <pivotArea dataOnly="0" labelOnly="1" fieldPosition="0">
        <references count="1">
          <reference field="11" count="0"/>
        </references>
      </pivotArea>
    </format>
    <format dxfId="743">
      <pivotArea outline="0" collapsedLevelsAreSubtotals="1" fieldPosition="0"/>
    </format>
    <format dxfId="744">
      <pivotArea outline="0" fieldPosition="0">
        <references count="1">
          <reference field="4294967294" count="1">
            <x v="0"/>
          </reference>
        </references>
      </pivotArea>
    </format>
    <format dxfId="745">
      <pivotArea type="all" dataOnly="0" outline="0" fieldPosition="0"/>
    </format>
    <format dxfId="746">
      <pivotArea outline="0" collapsedLevelsAreSubtotals="1" fieldPosition="0"/>
    </format>
    <format dxfId="747">
      <pivotArea type="origin" dataOnly="0" labelOnly="1" outline="0" fieldPosition="0"/>
    </format>
    <format dxfId="748">
      <pivotArea field="11" type="button" dataOnly="0" labelOnly="1" outline="0" axis="axisCol" fieldPosition="0"/>
    </format>
    <format dxfId="749">
      <pivotArea type="topRight" dataOnly="0" labelOnly="1" outline="0" fieldPosition="0"/>
    </format>
    <format dxfId="750">
      <pivotArea field="7" type="button" dataOnly="0" labelOnly="1" outline="0" axis="axisRow" fieldPosition="0"/>
    </format>
    <format dxfId="751">
      <pivotArea dataOnly="0" labelOnly="1" fieldPosition="0">
        <references count="1">
          <reference field="7" count="7">
            <x v="5"/>
            <x v="23"/>
            <x v="24"/>
            <x v="26"/>
            <x v="44"/>
            <x v="52"/>
            <x v="58"/>
          </reference>
        </references>
      </pivotArea>
    </format>
    <format dxfId="752">
      <pivotArea dataOnly="0" labelOnly="1" fieldPosition="0">
        <references count="1">
          <reference field="11" count="0"/>
        </references>
      </pivotArea>
    </format>
    <format dxfId="753">
      <pivotArea dataOnly="0" labelOnly="1" grandCol="1" outline="0" fieldPosition="0"/>
    </format>
  </formats>
  <chartFormats count="10">
    <chartFormat chart="0" format="6" series="1">
      <pivotArea type="data" outline="0" fieldPosition="0">
        <references count="1">
          <reference field="11" count="1" selected="0">
            <x v="1"/>
          </reference>
        </references>
      </pivotArea>
    </chartFormat>
    <chartFormat chart="0" format="7" series="1">
      <pivotArea type="data" outline="0" fieldPosition="0">
        <references count="1">
          <reference field="11" count="1" selected="0">
            <x v="2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566306-40C4-4227-BD2B-60FAA0B5F423}" name="TablaDinámica8" cacheId="1146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3">
  <location ref="B66:F78" firstHeaderRow="1" firstDataRow="2" firstDataCol="1" rowPageCount="1" colPageCount="1"/>
  <pivotFields count="29">
    <pivotField showAll="0"/>
    <pivotField numFmtId="14" showAll="0"/>
    <pivotField showAll="0"/>
    <pivotField axis="axisCol" dataField="1" showAll="0">
      <items count="5">
        <item x="1"/>
        <item x="0"/>
        <item x="2"/>
        <item x="3"/>
        <item t="default"/>
      </items>
    </pivotField>
    <pivotField numFmtId="164" showAll="0"/>
    <pivotField numFmtId="164" showAll="0"/>
    <pivotField numFmtId="164" showAll="0"/>
    <pivotField axis="axisRow" showAll="0" measureFilter="1" sortType="descending">
      <items count="143">
        <item m="1" x="133"/>
        <item m="1" x="80"/>
        <item x="23"/>
        <item m="1" x="116"/>
        <item m="1" x="114"/>
        <item x="31"/>
        <item x="8"/>
        <item x="21"/>
        <item x="22"/>
        <item x="11"/>
        <item x="0"/>
        <item x="18"/>
        <item m="1" x="78"/>
        <item m="1" x="93"/>
        <item m="1" x="125"/>
        <item m="1" x="82"/>
        <item m="1" x="84"/>
        <item m="1" x="85"/>
        <item m="1" x="41"/>
        <item m="1" x="141"/>
        <item m="1" x="87"/>
        <item m="1" x="115"/>
        <item x="4"/>
        <item x="17"/>
        <item m="1" x="37"/>
        <item x="13"/>
        <item m="1" x="38"/>
        <item m="1" x="90"/>
        <item x="7"/>
        <item m="1" x="120"/>
        <item m="1" x="60"/>
        <item x="20"/>
        <item m="1" x="117"/>
        <item x="6"/>
        <item m="1" x="101"/>
        <item x="29"/>
        <item m="1" x="40"/>
        <item m="1" x="77"/>
        <item m="1" x="96"/>
        <item m="1" x="91"/>
        <item m="1" x="86"/>
        <item x="33"/>
        <item m="1" x="51"/>
        <item m="1" x="138"/>
        <item x="32"/>
        <item m="1" x="139"/>
        <item m="1" x="107"/>
        <item m="1" x="140"/>
        <item m="1" x="50"/>
        <item m="1" x="39"/>
        <item m="1" x="137"/>
        <item m="1" x="97"/>
        <item m="1" x="46"/>
        <item m="1" x="35"/>
        <item m="1" x="103"/>
        <item m="1" x="88"/>
        <item m="1" x="130"/>
        <item m="1" x="98"/>
        <item m="1" x="58"/>
        <item m="1" x="136"/>
        <item m="1" x="100"/>
        <item m="1" x="83"/>
        <item m="1" x="92"/>
        <item m="1" x="95"/>
        <item m="1" x="79"/>
        <item m="1" x="104"/>
        <item m="1" x="102"/>
        <item m="1" x="135"/>
        <item m="1" x="134"/>
        <item m="1" x="131"/>
        <item m="1" x="132"/>
        <item m="1" x="121"/>
        <item m="1" x="52"/>
        <item m="1" x="56"/>
        <item m="1" x="128"/>
        <item m="1" x="113"/>
        <item m="1" x="129"/>
        <item m="1" x="59"/>
        <item m="1" x="73"/>
        <item m="1" x="64"/>
        <item m="1" x="127"/>
        <item x="9"/>
        <item m="1" x="123"/>
        <item m="1" x="124"/>
        <item m="1" x="105"/>
        <item m="1" x="99"/>
        <item m="1" x="126"/>
        <item m="1" x="89"/>
        <item m="1" x="110"/>
        <item m="1" x="122"/>
        <item m="1" x="118"/>
        <item m="1" x="119"/>
        <item m="1" x="106"/>
        <item m="1" x="108"/>
        <item m="1" x="109"/>
        <item m="1" x="111"/>
        <item m="1" x="112"/>
        <item m="1" x="69"/>
        <item m="1" x="94"/>
        <item x="1"/>
        <item x="3"/>
        <item x="16"/>
        <item m="1" x="36"/>
        <item x="27"/>
        <item m="1" x="72"/>
        <item x="10"/>
        <item x="2"/>
        <item x="12"/>
        <item x="5"/>
        <item x="24"/>
        <item m="1" x="66"/>
        <item m="1" x="81"/>
        <item m="1" x="34"/>
        <item x="30"/>
        <item m="1" x="67"/>
        <item m="1" x="68"/>
        <item m="1" x="70"/>
        <item m="1" x="71"/>
        <item x="26"/>
        <item m="1" x="63"/>
        <item m="1" x="74"/>
        <item m="1" x="62"/>
        <item m="1" x="75"/>
        <item m="1" x="61"/>
        <item m="1" x="76"/>
        <item x="14"/>
        <item x="25"/>
        <item m="1" x="65"/>
        <item x="19"/>
        <item m="1" x="47"/>
        <item m="1" x="55"/>
        <item m="1" x="57"/>
        <item m="1" x="48"/>
        <item m="1" x="49"/>
        <item m="1" x="53"/>
        <item m="1" x="54"/>
        <item m="1" x="42"/>
        <item m="1" x="43"/>
        <item m="1" x="44"/>
        <item m="1" x="45"/>
        <item x="15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10">
        <item h="1" x="1"/>
        <item h="1" m="1" x="6"/>
        <item h="1" x="2"/>
        <item x="0"/>
        <item h="1" x="3"/>
        <item h="1" m="1" x="5"/>
        <item h="1" m="1" x="8"/>
        <item h="1" m="1" x="7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</pivotFields>
  <rowFields count="1">
    <field x="7"/>
  </rowFields>
  <rowItems count="11">
    <i>
      <x v="99"/>
    </i>
    <i>
      <x v="9"/>
    </i>
    <i>
      <x v="10"/>
    </i>
    <i>
      <x v="8"/>
    </i>
    <i>
      <x v="108"/>
    </i>
    <i>
      <x v="118"/>
    </i>
    <i>
      <x v="109"/>
    </i>
    <i>
      <x v="103"/>
    </i>
    <i>
      <x v="106"/>
    </i>
    <i>
      <x v="100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1">
    <pageField fld="8" hier="-1"/>
  </pageFields>
  <dataFields count="1">
    <dataField name="Cuenta de TURNO" fld="3" subtotal="count" baseField="0" baseItem="0"/>
  </dataFields>
  <formats count="42">
    <format dxfId="648">
      <pivotArea type="all" dataOnly="0" outline="0" fieldPosition="0"/>
    </format>
    <format dxfId="649">
      <pivotArea outline="0" collapsedLevelsAreSubtotals="1" fieldPosition="0"/>
    </format>
    <format dxfId="650">
      <pivotArea type="origin" dataOnly="0" labelOnly="1" outline="0" fieldPosition="0"/>
    </format>
    <format dxfId="651">
      <pivotArea field="3" type="button" dataOnly="0" labelOnly="1" outline="0" axis="axisCol" fieldPosition="0"/>
    </format>
    <format dxfId="652">
      <pivotArea type="topRight" dataOnly="0" labelOnly="1" outline="0" fieldPosition="0"/>
    </format>
    <format dxfId="653">
      <pivotArea field="7" type="button" dataOnly="0" labelOnly="1" outline="0" axis="axisRow" fieldPosition="0"/>
    </format>
    <format dxfId="654">
      <pivotArea dataOnly="0" labelOnly="1" fieldPosition="0">
        <references count="1">
          <reference field="7" count="0"/>
        </references>
      </pivotArea>
    </format>
    <format dxfId="655">
      <pivotArea dataOnly="0" labelOnly="1" grandRow="1" outline="0" fieldPosition="0"/>
    </format>
    <format dxfId="656">
      <pivotArea dataOnly="0" labelOnly="1" fieldPosition="0">
        <references count="1">
          <reference field="3" count="0"/>
        </references>
      </pivotArea>
    </format>
    <format dxfId="657">
      <pivotArea dataOnly="0" labelOnly="1" grandCol="1" outline="0" fieldPosition="0"/>
    </format>
    <format dxfId="658">
      <pivotArea type="all" dataOnly="0" outline="0" fieldPosition="0"/>
    </format>
    <format dxfId="659">
      <pivotArea outline="0" collapsedLevelsAreSubtotals="1" fieldPosition="0"/>
    </format>
    <format dxfId="660">
      <pivotArea type="origin" dataOnly="0" labelOnly="1" outline="0" fieldPosition="0"/>
    </format>
    <format dxfId="661">
      <pivotArea field="3" type="button" dataOnly="0" labelOnly="1" outline="0" axis="axisCol" fieldPosition="0"/>
    </format>
    <format dxfId="662">
      <pivotArea type="topRight" dataOnly="0" labelOnly="1" outline="0" fieldPosition="0"/>
    </format>
    <format dxfId="663">
      <pivotArea field="7" type="button" dataOnly="0" labelOnly="1" outline="0" axis="axisRow" fieldPosition="0"/>
    </format>
    <format dxfId="664">
      <pivotArea dataOnly="0" labelOnly="1" fieldPosition="0">
        <references count="1">
          <reference field="7" count="0"/>
        </references>
      </pivotArea>
    </format>
    <format dxfId="665">
      <pivotArea dataOnly="0" labelOnly="1" grandRow="1" outline="0" fieldPosition="0"/>
    </format>
    <format dxfId="666">
      <pivotArea dataOnly="0" labelOnly="1" fieldPosition="0">
        <references count="1">
          <reference field="3" count="0"/>
        </references>
      </pivotArea>
    </format>
    <format dxfId="667">
      <pivotArea dataOnly="0" labelOnly="1" grandCol="1" outline="0" fieldPosition="0"/>
    </format>
    <format dxfId="668">
      <pivotArea outline="0" collapsedLevelsAreSubtotals="1" fieldPosition="0">
        <references count="1">
          <reference field="3" count="1" selected="0">
            <x v="0"/>
          </reference>
        </references>
      </pivotArea>
    </format>
    <format dxfId="669">
      <pivotArea field="3" type="button" dataOnly="0" labelOnly="1" outline="0" axis="axisCol" fieldPosition="0"/>
    </format>
    <format dxfId="670">
      <pivotArea dataOnly="0" labelOnly="1" fieldPosition="0">
        <references count="1">
          <reference field="7" count="0"/>
        </references>
      </pivotArea>
    </format>
    <format dxfId="671">
      <pivotArea dataOnly="0" labelOnly="1" fieldPosition="0">
        <references count="1">
          <reference field="3" count="1">
            <x v="0"/>
          </reference>
        </references>
      </pivotArea>
    </format>
    <format dxfId="672">
      <pivotArea type="origin" dataOnly="0" labelOnly="1" outline="0" fieldPosition="0"/>
    </format>
    <format dxfId="673">
      <pivotArea field="7" type="button" dataOnly="0" labelOnly="1" outline="0" axis="axisRow" fieldPosition="0"/>
    </format>
    <format dxfId="674">
      <pivotArea dataOnly="0" labelOnly="1" fieldPosition="0">
        <references count="1">
          <reference field="7" count="17">
            <x v="1"/>
            <x v="2"/>
            <x v="3"/>
            <x v="7"/>
            <x v="8"/>
            <x v="9"/>
            <x v="10"/>
            <x v="12"/>
            <x v="14"/>
            <x v="15"/>
            <x v="16"/>
            <x v="17"/>
            <x v="18"/>
            <x v="22"/>
            <x v="24"/>
            <x v="28"/>
            <x v="29"/>
          </reference>
        </references>
      </pivotArea>
    </format>
    <format dxfId="675">
      <pivotArea dataOnly="0" labelOnly="1" grandRow="1" outline="0" fieldPosition="0"/>
    </format>
    <format dxfId="676">
      <pivotArea type="origin" dataOnly="0" labelOnly="1" outline="0" fieldPosition="0"/>
    </format>
    <format dxfId="677">
      <pivotArea field="7" type="button" dataOnly="0" labelOnly="1" outline="0" axis="axisRow" fieldPosition="0"/>
    </format>
    <format dxfId="678">
      <pivotArea dataOnly="0" labelOnly="1" fieldPosition="0">
        <references count="1">
          <reference field="7" count="17">
            <x v="1"/>
            <x v="2"/>
            <x v="3"/>
            <x v="7"/>
            <x v="8"/>
            <x v="9"/>
            <x v="10"/>
            <x v="12"/>
            <x v="14"/>
            <x v="15"/>
            <x v="16"/>
            <x v="17"/>
            <x v="18"/>
            <x v="22"/>
            <x v="24"/>
            <x v="28"/>
            <x v="29"/>
          </reference>
        </references>
      </pivotArea>
    </format>
    <format dxfId="679">
      <pivotArea dataOnly="0" labelOnly="1" grandRow="1" outline="0" fieldPosition="0"/>
    </format>
    <format dxfId="680">
      <pivotArea type="all" dataOnly="0" outline="0" fieldPosition="0"/>
    </format>
    <format dxfId="681">
      <pivotArea outline="0" collapsedLevelsAreSubtotals="1" fieldPosition="0"/>
    </format>
    <format dxfId="682">
      <pivotArea type="origin" dataOnly="0" labelOnly="1" outline="0" fieldPosition="0"/>
    </format>
    <format dxfId="683">
      <pivotArea field="3" type="button" dataOnly="0" labelOnly="1" outline="0" axis="axisCol" fieldPosition="0"/>
    </format>
    <format dxfId="684">
      <pivotArea type="topRight" dataOnly="0" labelOnly="1" outline="0" fieldPosition="0"/>
    </format>
    <format dxfId="685">
      <pivotArea field="7" type="button" dataOnly="0" labelOnly="1" outline="0" axis="axisRow" fieldPosition="0"/>
    </format>
    <format dxfId="686">
      <pivotArea dataOnly="0" labelOnly="1" fieldPosition="0">
        <references count="1">
          <reference field="7" count="13">
            <x v="1"/>
            <x v="2"/>
            <x v="6"/>
            <x v="7"/>
            <x v="8"/>
            <x v="9"/>
            <x v="10"/>
            <x v="11"/>
            <x v="13"/>
            <x v="15"/>
            <x v="16"/>
            <x v="17"/>
            <x v="53"/>
          </reference>
        </references>
      </pivotArea>
    </format>
    <format dxfId="687">
      <pivotArea dataOnly="0" labelOnly="1" grandRow="1" outline="0" fieldPosition="0"/>
    </format>
    <format dxfId="688">
      <pivotArea dataOnly="0" labelOnly="1" fieldPosition="0">
        <references count="1">
          <reference field="3" count="3">
            <x v="0"/>
            <x v="1"/>
            <x v="2"/>
          </reference>
        </references>
      </pivotArea>
    </format>
    <format dxfId="689">
      <pivotArea dataOnly="0" labelOnly="1" grandCol="1" outline="0" fieldPosition="0"/>
    </format>
  </formats>
  <chartFormats count="4"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filters count="1">
    <filter fld="7" type="valueGreaterThan" evalOrder="-1" id="1" iMeasureFld="0">
      <autoFilter ref="A1">
        <filterColumn colId="0">
          <customFilters>
            <customFilter operator="greaterThan" val="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19156C-954E-4457-B153-7D1DC96A62D9}" name="TablaDinámica3" cacheId="1146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4">
  <location ref="Z113:AA115" firstHeaderRow="1" firstDataRow="1" firstDataCol="1"/>
  <pivotFields count="29">
    <pivotField showAll="0"/>
    <pivotField showAll="0"/>
    <pivotField showAll="0"/>
    <pivotField showAll="0"/>
    <pivotField showAll="0"/>
    <pivotField showAll="0"/>
    <pivotField dataField="1" showAll="0"/>
    <pivotField showAll="0">
      <items count="143">
        <item m="1" x="133"/>
        <item m="1" x="80"/>
        <item x="23"/>
        <item m="1" x="116"/>
        <item x="21"/>
        <item x="11"/>
        <item x="0"/>
        <item x="18"/>
        <item m="1" x="82"/>
        <item m="1" x="41"/>
        <item x="4"/>
        <item m="1" x="37"/>
        <item m="1" x="90"/>
        <item x="7"/>
        <item m="1" x="120"/>
        <item m="1" x="60"/>
        <item x="33"/>
        <item m="1" x="115"/>
        <item x="20"/>
        <item m="1" x="84"/>
        <item x="31"/>
        <item x="13"/>
        <item x="22"/>
        <item m="1" x="78"/>
        <item m="1" x="93"/>
        <item m="1" x="114"/>
        <item x="8"/>
        <item x="6"/>
        <item m="1" x="101"/>
        <item m="1" x="38"/>
        <item m="1" x="85"/>
        <item x="29"/>
        <item m="1" x="40"/>
        <item m="1" x="77"/>
        <item m="1" x="96"/>
        <item m="1" x="91"/>
        <item m="1" x="86"/>
        <item m="1" x="51"/>
        <item m="1" x="138"/>
        <item x="32"/>
        <item m="1" x="125"/>
        <item m="1" x="107"/>
        <item m="1" x="39"/>
        <item m="1" x="137"/>
        <item m="1" x="97"/>
        <item m="1" x="46"/>
        <item m="1" x="35"/>
        <item m="1" x="88"/>
        <item m="1" x="98"/>
        <item m="1" x="136"/>
        <item m="1" x="100"/>
        <item m="1" x="83"/>
        <item m="1" x="87"/>
        <item m="1" x="92"/>
        <item m="1" x="130"/>
        <item m="1" x="58"/>
        <item m="1" x="95"/>
        <item m="1" x="79"/>
        <item m="1" x="104"/>
        <item m="1" x="102"/>
        <item m="1" x="135"/>
        <item m="1" x="134"/>
        <item m="1" x="103"/>
        <item m="1" x="139"/>
        <item m="1" x="140"/>
        <item m="1" x="50"/>
        <item m="1" x="117"/>
        <item x="17"/>
        <item m="1" x="141"/>
        <item m="1" x="131"/>
        <item m="1" x="132"/>
        <item m="1" x="121"/>
        <item m="1" x="52"/>
        <item m="1" x="56"/>
        <item m="1" x="128"/>
        <item m="1" x="113"/>
        <item m="1" x="129"/>
        <item m="1" x="59"/>
        <item m="1" x="73"/>
        <item m="1" x="64"/>
        <item m="1" x="127"/>
        <item x="9"/>
        <item m="1" x="123"/>
        <item m="1" x="124"/>
        <item m="1" x="105"/>
        <item m="1" x="99"/>
        <item m="1" x="126"/>
        <item m="1" x="89"/>
        <item m="1" x="110"/>
        <item m="1" x="122"/>
        <item m="1" x="118"/>
        <item m="1" x="119"/>
        <item m="1" x="106"/>
        <item m="1" x="108"/>
        <item m="1" x="109"/>
        <item m="1" x="111"/>
        <item m="1" x="112"/>
        <item m="1" x="69"/>
        <item m="1" x="94"/>
        <item x="1"/>
        <item x="3"/>
        <item x="16"/>
        <item m="1" x="36"/>
        <item x="27"/>
        <item m="1" x="72"/>
        <item x="10"/>
        <item x="2"/>
        <item x="12"/>
        <item x="5"/>
        <item x="24"/>
        <item m="1" x="66"/>
        <item m="1" x="81"/>
        <item m="1" x="34"/>
        <item x="30"/>
        <item m="1" x="67"/>
        <item m="1" x="68"/>
        <item m="1" x="70"/>
        <item m="1" x="71"/>
        <item x="26"/>
        <item m="1" x="63"/>
        <item m="1" x="74"/>
        <item m="1" x="62"/>
        <item m="1" x="75"/>
        <item m="1" x="61"/>
        <item m="1" x="76"/>
        <item x="14"/>
        <item x="25"/>
        <item m="1" x="65"/>
        <item x="19"/>
        <item m="1" x="47"/>
        <item m="1" x="55"/>
        <item m="1" x="57"/>
        <item m="1" x="48"/>
        <item m="1" x="49"/>
        <item m="1" x="53"/>
        <item m="1" x="54"/>
        <item m="1" x="42"/>
        <item m="1" x="43"/>
        <item m="1" x="44"/>
        <item m="1" x="45"/>
        <item x="15"/>
        <item x="28"/>
        <item t="default"/>
      </items>
    </pivotField>
    <pivotField showAll="0"/>
    <pivotField showAll="0"/>
    <pivotField showAll="0"/>
    <pivotField axis="axisRow" showAll="0">
      <items count="5">
        <item h="1" x="0"/>
        <item x="2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</pivotFields>
  <rowFields count="1">
    <field x="11"/>
  </rowFields>
  <rowItems count="2">
    <i>
      <x v="1"/>
    </i>
    <i>
      <x v="2"/>
    </i>
  </rowItems>
  <colItems count="1">
    <i/>
  </colItems>
  <dataFields count="1">
    <dataField name="Suma de T.TOTAL" fld="6" baseField="11" baseItem="1" numFmtId="166"/>
  </dataFields>
  <formats count="36">
    <format dxfId="612">
      <pivotArea outline="0" collapsedLevelsAreSubtotals="1" fieldPosition="0">
        <references count="1">
          <reference field="11" count="3" selected="0">
            <x v="0"/>
            <x v="1"/>
            <x v="2"/>
          </reference>
        </references>
      </pivotArea>
    </format>
    <format dxfId="613">
      <pivotArea type="origin" dataOnly="0" labelOnly="1" outline="0" fieldPosition="0"/>
    </format>
    <format dxfId="614">
      <pivotArea field="11" type="button" dataOnly="0" labelOnly="1" outline="0" axis="axisRow" fieldPosition="0"/>
    </format>
    <format dxfId="615">
      <pivotArea type="topRight" dataOnly="0" labelOnly="1" outline="0" offset="A1:B1" fieldPosition="0"/>
    </format>
    <format dxfId="616">
      <pivotArea field="7" type="button" dataOnly="0" labelOnly="1" outline="0"/>
    </format>
    <format dxfId="617">
      <pivotArea dataOnly="0" labelOnly="1" fieldPosition="0">
        <references count="1">
          <reference field="11" count="3">
            <x v="0"/>
            <x v="1"/>
            <x v="2"/>
          </reference>
        </references>
      </pivotArea>
    </format>
    <format dxfId="618">
      <pivotArea type="all" dataOnly="0" outline="0" fieldPosition="0"/>
    </format>
    <format dxfId="619">
      <pivotArea outline="0" collapsedLevelsAreSubtotals="1" fieldPosition="0"/>
    </format>
    <format dxfId="620">
      <pivotArea type="origin" dataOnly="0" labelOnly="1" outline="0" fieldPosition="0"/>
    </format>
    <format dxfId="621">
      <pivotArea field="11" type="button" dataOnly="0" labelOnly="1" outline="0" axis="axisRow" fieldPosition="0"/>
    </format>
    <format dxfId="622">
      <pivotArea type="topRight" dataOnly="0" labelOnly="1" outline="0" fieldPosition="0"/>
    </format>
    <format dxfId="623">
      <pivotArea field="7" type="button" dataOnly="0" labelOnly="1" outline="0"/>
    </format>
    <format dxfId="624">
      <pivotArea dataOnly="0" labelOnly="1" fieldPosition="0">
        <references count="1">
          <reference field="11" count="0"/>
        </references>
      </pivotArea>
    </format>
    <format dxfId="625">
      <pivotArea type="origin" dataOnly="0" labelOnly="1" outline="0" fieldPosition="0"/>
    </format>
    <format dxfId="626">
      <pivotArea field="11" type="button" dataOnly="0" labelOnly="1" outline="0" axis="axisRow" fieldPosition="0"/>
    </format>
    <format dxfId="627">
      <pivotArea type="topRight" dataOnly="0" labelOnly="1" outline="0" fieldPosition="0"/>
    </format>
    <format dxfId="628">
      <pivotArea field="7" type="button" dataOnly="0" labelOnly="1" outline="0"/>
    </format>
    <format dxfId="629">
      <pivotArea dataOnly="0" labelOnly="1" fieldPosition="0">
        <references count="1">
          <reference field="11" count="0"/>
        </references>
      </pivotArea>
    </format>
    <format dxfId="630">
      <pivotArea outline="0" collapsedLevelsAreSubtotals="1" fieldPosition="0"/>
    </format>
    <format dxfId="631">
      <pivotArea type="all" dataOnly="0" outline="0" fieldPosition="0"/>
    </format>
    <format dxfId="632">
      <pivotArea outline="0" collapsedLevelsAreSubtotals="1" fieldPosition="0"/>
    </format>
    <format dxfId="633">
      <pivotArea field="11" type="button" dataOnly="0" labelOnly="1" outline="0" axis="axisRow" fieldPosition="0"/>
    </format>
    <format dxfId="634">
      <pivotArea dataOnly="0" labelOnly="1" fieldPosition="0">
        <references count="1">
          <reference field="11" count="0"/>
        </references>
      </pivotArea>
    </format>
    <format dxfId="635">
      <pivotArea dataOnly="0" labelOnly="1" outline="0" axis="axisValues" fieldPosition="0"/>
    </format>
    <format dxfId="636">
      <pivotArea outline="0" fieldPosition="0">
        <references count="1">
          <reference field="4294967294" count="1">
            <x v="0"/>
          </reference>
        </references>
      </pivotArea>
    </format>
    <format dxfId="637">
      <pivotArea type="all" dataOnly="0" outline="0" fieldPosition="0"/>
    </format>
    <format dxfId="638">
      <pivotArea outline="0" collapsedLevelsAreSubtotals="1" fieldPosition="0"/>
    </format>
    <format dxfId="639">
      <pivotArea field="11" type="button" dataOnly="0" labelOnly="1" outline="0" axis="axisRow" fieldPosition="0"/>
    </format>
    <format dxfId="640">
      <pivotArea dataOnly="0" labelOnly="1" fieldPosition="0">
        <references count="1">
          <reference field="11" count="0"/>
        </references>
      </pivotArea>
    </format>
    <format dxfId="641">
      <pivotArea dataOnly="0" labelOnly="1" outline="0" axis="axisValues" fieldPosition="0"/>
    </format>
    <format dxfId="642">
      <pivotArea outline="0" collapsedLevelsAreSubtotals="1" fieldPosition="0"/>
    </format>
    <format dxfId="643">
      <pivotArea type="all" dataOnly="0" outline="0" fieldPosition="0"/>
    </format>
    <format dxfId="644">
      <pivotArea outline="0" collapsedLevelsAreSubtotals="1" fieldPosition="0"/>
    </format>
    <format dxfId="645">
      <pivotArea field="11" type="button" dataOnly="0" labelOnly="1" outline="0" axis="axisRow" fieldPosition="0"/>
    </format>
    <format dxfId="646">
      <pivotArea dataOnly="0" labelOnly="1" fieldPosition="0">
        <references count="1">
          <reference field="11" count="0"/>
        </references>
      </pivotArea>
    </format>
    <format dxfId="647">
      <pivotArea dataOnly="0" labelOnly="1" outline="0" axis="axisValues" fieldPosition="0"/>
    </format>
  </formats>
  <chartFormats count="12">
    <chartFormat chart="0" format="6" series="1">
      <pivotArea type="data" outline="0" fieldPosition="0">
        <references count="1">
          <reference field="11" count="1" selected="0">
            <x v="1"/>
          </reference>
        </references>
      </pivotArea>
    </chartFormat>
    <chartFormat chart="0" format="7" series="1">
      <pivotArea type="data" outline="0" fieldPosition="0">
        <references count="1">
          <reference field="11" count="1" selected="0">
            <x v="2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7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04A9A5-09EF-4D52-9685-05B63C8E65D8}" name="TablaDinámica2" cacheId="1146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9">
  <location ref="H113:I115" firstHeaderRow="1" firstDataRow="1" firstDataCol="1"/>
  <pivotFields count="29">
    <pivotField showAll="0"/>
    <pivotField showAll="0"/>
    <pivotField showAll="0"/>
    <pivotField showAll="0"/>
    <pivotField showAll="0"/>
    <pivotField showAll="0"/>
    <pivotField dataField="1" showAll="0"/>
    <pivotField showAll="0">
      <items count="143">
        <item m="1" x="133"/>
        <item m="1" x="80"/>
        <item x="23"/>
        <item m="1" x="116"/>
        <item x="21"/>
        <item x="11"/>
        <item x="0"/>
        <item x="18"/>
        <item m="1" x="82"/>
        <item m="1" x="41"/>
        <item x="4"/>
        <item m="1" x="37"/>
        <item m="1" x="90"/>
        <item x="7"/>
        <item m="1" x="120"/>
        <item m="1" x="60"/>
        <item x="33"/>
        <item m="1" x="115"/>
        <item x="20"/>
        <item m="1" x="84"/>
        <item x="31"/>
        <item x="13"/>
        <item x="22"/>
        <item m="1" x="78"/>
        <item m="1" x="93"/>
        <item m="1" x="114"/>
        <item x="8"/>
        <item x="6"/>
        <item m="1" x="101"/>
        <item m="1" x="38"/>
        <item m="1" x="85"/>
        <item x="29"/>
        <item m="1" x="40"/>
        <item m="1" x="77"/>
        <item m="1" x="96"/>
        <item m="1" x="91"/>
        <item m="1" x="86"/>
        <item m="1" x="51"/>
        <item m="1" x="138"/>
        <item x="32"/>
        <item m="1" x="125"/>
        <item m="1" x="107"/>
        <item m="1" x="39"/>
        <item m="1" x="137"/>
        <item m="1" x="97"/>
        <item m="1" x="46"/>
        <item m="1" x="35"/>
        <item m="1" x="88"/>
        <item m="1" x="98"/>
        <item m="1" x="136"/>
        <item m="1" x="100"/>
        <item m="1" x="83"/>
        <item m="1" x="87"/>
        <item m="1" x="92"/>
        <item m="1" x="130"/>
        <item m="1" x="58"/>
        <item m="1" x="95"/>
        <item m="1" x="79"/>
        <item m="1" x="104"/>
        <item m="1" x="102"/>
        <item m="1" x="135"/>
        <item m="1" x="134"/>
        <item m="1" x="103"/>
        <item m="1" x="139"/>
        <item m="1" x="140"/>
        <item m="1" x="50"/>
        <item m="1" x="117"/>
        <item x="17"/>
        <item m="1" x="141"/>
        <item m="1" x="131"/>
        <item m="1" x="132"/>
        <item m="1" x="121"/>
        <item m="1" x="52"/>
        <item m="1" x="56"/>
        <item m="1" x="128"/>
        <item m="1" x="113"/>
        <item m="1" x="129"/>
        <item m="1" x="59"/>
        <item m="1" x="73"/>
        <item m="1" x="64"/>
        <item m="1" x="127"/>
        <item x="9"/>
        <item m="1" x="123"/>
        <item m="1" x="124"/>
        <item m="1" x="105"/>
        <item m="1" x="99"/>
        <item m="1" x="126"/>
        <item m="1" x="89"/>
        <item m="1" x="110"/>
        <item m="1" x="122"/>
        <item m="1" x="118"/>
        <item m="1" x="119"/>
        <item m="1" x="106"/>
        <item m="1" x="108"/>
        <item m="1" x="109"/>
        <item m="1" x="111"/>
        <item m="1" x="112"/>
        <item m="1" x="69"/>
        <item m="1" x="94"/>
        <item x="1"/>
        <item x="3"/>
        <item x="16"/>
        <item m="1" x="36"/>
        <item x="27"/>
        <item m="1" x="72"/>
        <item x="10"/>
        <item x="2"/>
        <item x="12"/>
        <item x="5"/>
        <item x="24"/>
        <item m="1" x="66"/>
        <item m="1" x="81"/>
        <item m="1" x="34"/>
        <item x="30"/>
        <item m="1" x="67"/>
        <item m="1" x="68"/>
        <item m="1" x="70"/>
        <item m="1" x="71"/>
        <item x="26"/>
        <item m="1" x="63"/>
        <item m="1" x="74"/>
        <item m="1" x="62"/>
        <item m="1" x="75"/>
        <item m="1" x="61"/>
        <item m="1" x="76"/>
        <item x="14"/>
        <item x="25"/>
        <item m="1" x="65"/>
        <item x="19"/>
        <item m="1" x="47"/>
        <item m="1" x="55"/>
        <item m="1" x="57"/>
        <item m="1" x="48"/>
        <item m="1" x="49"/>
        <item m="1" x="53"/>
        <item m="1" x="54"/>
        <item m="1" x="42"/>
        <item m="1" x="43"/>
        <item m="1" x="44"/>
        <item m="1" x="45"/>
        <item x="15"/>
        <item x="28"/>
        <item t="default"/>
      </items>
    </pivotField>
    <pivotField showAll="0"/>
    <pivotField showAll="0"/>
    <pivotField axis="axisRow" showAll="0" sortType="ascending">
      <items count="5">
        <item x="1"/>
        <item x="0"/>
        <item h="1" m="1" x="3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</pivotFields>
  <rowFields count="1">
    <field x="10"/>
  </rowFields>
  <rowItems count="2">
    <i>
      <x/>
    </i>
    <i>
      <x v="1"/>
    </i>
  </rowItems>
  <colItems count="1">
    <i/>
  </colItems>
  <dataFields count="1">
    <dataField name="Suma de T.TOTAL" fld="6" baseField="10" baseItem="0" numFmtId="166"/>
  </dataFields>
  <formats count="28">
    <format dxfId="584">
      <pivotArea type="all" dataOnly="0" outline="0" fieldPosition="0"/>
    </format>
    <format dxfId="585">
      <pivotArea outline="0" collapsedLevelsAreSubtotals="1" fieldPosition="0"/>
    </format>
    <format dxfId="586">
      <pivotArea type="origin" dataOnly="0" labelOnly="1" outline="0" fieldPosition="0"/>
    </format>
    <format dxfId="587">
      <pivotArea field="10" type="button" dataOnly="0" labelOnly="1" outline="0" axis="axisRow" fieldPosition="0"/>
    </format>
    <format dxfId="588">
      <pivotArea type="topRight" dataOnly="0" labelOnly="1" outline="0" fieldPosition="0"/>
    </format>
    <format dxfId="589">
      <pivotArea field="7" type="button" dataOnly="0" labelOnly="1" outline="0"/>
    </format>
    <format dxfId="590">
      <pivotArea dataOnly="0" labelOnly="1" fieldPosition="0">
        <references count="1">
          <reference field="10" count="0"/>
        </references>
      </pivotArea>
    </format>
    <format dxfId="591">
      <pivotArea type="all" dataOnly="0" outline="0" fieldPosition="0"/>
    </format>
    <format dxfId="592">
      <pivotArea outline="0" collapsedLevelsAreSubtotals="1" fieldPosition="0"/>
    </format>
    <format dxfId="593">
      <pivotArea type="origin" dataOnly="0" labelOnly="1" outline="0" fieldPosition="0"/>
    </format>
    <format dxfId="594">
      <pivotArea field="10" type="button" dataOnly="0" labelOnly="1" outline="0" axis="axisRow" fieldPosition="0"/>
    </format>
    <format dxfId="595">
      <pivotArea type="topRight" dataOnly="0" labelOnly="1" outline="0" fieldPosition="0"/>
    </format>
    <format dxfId="596">
      <pivotArea field="7" type="button" dataOnly="0" labelOnly="1" outline="0"/>
    </format>
    <format dxfId="597">
      <pivotArea dataOnly="0" labelOnly="1" fieldPosition="0">
        <references count="1">
          <reference field="10" count="0"/>
        </references>
      </pivotArea>
    </format>
    <format dxfId="598">
      <pivotArea type="origin" dataOnly="0" labelOnly="1" outline="0" fieldPosition="0"/>
    </format>
    <format dxfId="599">
      <pivotArea field="10" type="button" dataOnly="0" labelOnly="1" outline="0" axis="axisRow" fieldPosition="0"/>
    </format>
    <format dxfId="600">
      <pivotArea type="topRight" dataOnly="0" labelOnly="1" outline="0" fieldPosition="0"/>
    </format>
    <format dxfId="601">
      <pivotArea field="7" type="button" dataOnly="0" labelOnly="1" outline="0"/>
    </format>
    <format dxfId="602">
      <pivotArea dataOnly="0" labelOnly="1" fieldPosition="0">
        <references count="1">
          <reference field="10" count="0"/>
        </references>
      </pivotArea>
    </format>
    <format dxfId="603">
      <pivotArea outline="0" collapsedLevelsAreSubtotals="1" fieldPosition="0"/>
    </format>
    <format dxfId="604">
      <pivotArea outline="0" collapsedLevelsAreSubtotals="1" fieldPosition="0"/>
    </format>
    <format dxfId="605">
      <pivotArea outline="0" fieldPosition="0">
        <references count="1">
          <reference field="4294967294" count="1">
            <x v="0"/>
          </reference>
        </references>
      </pivotArea>
    </format>
    <format dxfId="606">
      <pivotArea type="all" dataOnly="0" outline="0" fieldPosition="0"/>
    </format>
    <format dxfId="607">
      <pivotArea outline="0" collapsedLevelsAreSubtotals="1" fieldPosition="0"/>
    </format>
    <format dxfId="608">
      <pivotArea field="10" type="button" dataOnly="0" labelOnly="1" outline="0" axis="axisRow" fieldPosition="0"/>
    </format>
    <format dxfId="609">
      <pivotArea dataOnly="0" labelOnly="1" fieldPosition="0">
        <references count="1">
          <reference field="10" count="0"/>
        </references>
      </pivotArea>
    </format>
    <format dxfId="610">
      <pivotArea dataOnly="0" labelOnly="1" outline="0" axis="axisValues" fieldPosition="0"/>
    </format>
    <format dxfId="611">
      <pivotArea outline="0" collapsedLevelsAreSubtotals="1" fieldPosition="0"/>
    </format>
  </formats>
  <chartFormats count="11">
    <chartFormat chart="0" format="4" series="1">
      <pivotArea type="data" outline="0" fieldPosition="0">
        <references count="1">
          <reference field="10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10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28225A-5EF3-4FB1-834E-63A386995C7A}" name="TablaDinámica10" cacheId="1146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 chartFormat="3">
  <location ref="B9:J15" firstHeaderRow="1" firstDataRow="2" firstDataCol="1" rowPageCount="1" colPageCount="1"/>
  <pivotFields count="29">
    <pivotField showAll="0"/>
    <pivotField numFmtId="14" showAll="0"/>
    <pivotField showAll="0"/>
    <pivotField showAll="0">
      <items count="5">
        <item x="1"/>
        <item x="0"/>
        <item x="2"/>
        <item x="3"/>
        <item t="default"/>
      </items>
    </pivotField>
    <pivotField numFmtId="164" showAll="0"/>
    <pivotField numFmtId="164" showAll="0"/>
    <pivotField dataField="1" numFmtId="164" showAll="0"/>
    <pivotField axis="axisRow" showAll="0" measureFilter="1" sortType="descending">
      <items count="143">
        <item m="1" x="133"/>
        <item m="1" x="80"/>
        <item x="23"/>
        <item m="1" x="116"/>
        <item m="1" x="114"/>
        <item x="31"/>
        <item x="8"/>
        <item x="21"/>
        <item x="22"/>
        <item x="11"/>
        <item x="0"/>
        <item x="18"/>
        <item m="1" x="78"/>
        <item m="1" x="93"/>
        <item m="1" x="125"/>
        <item m="1" x="82"/>
        <item m="1" x="84"/>
        <item m="1" x="85"/>
        <item m="1" x="41"/>
        <item m="1" x="141"/>
        <item m="1" x="87"/>
        <item m="1" x="115"/>
        <item x="4"/>
        <item x="17"/>
        <item m="1" x="37"/>
        <item x="13"/>
        <item m="1" x="38"/>
        <item m="1" x="90"/>
        <item x="7"/>
        <item m="1" x="120"/>
        <item m="1" x="60"/>
        <item x="20"/>
        <item m="1" x="117"/>
        <item x="6"/>
        <item m="1" x="101"/>
        <item x="29"/>
        <item m="1" x="40"/>
        <item m="1" x="77"/>
        <item m="1" x="96"/>
        <item m="1" x="91"/>
        <item m="1" x="86"/>
        <item x="33"/>
        <item m="1" x="51"/>
        <item m="1" x="138"/>
        <item x="32"/>
        <item m="1" x="139"/>
        <item m="1" x="107"/>
        <item m="1" x="140"/>
        <item m="1" x="50"/>
        <item m="1" x="39"/>
        <item m="1" x="137"/>
        <item m="1" x="97"/>
        <item m="1" x="46"/>
        <item m="1" x="35"/>
        <item m="1" x="103"/>
        <item m="1" x="88"/>
        <item m="1" x="130"/>
        <item m="1" x="98"/>
        <item m="1" x="58"/>
        <item m="1" x="136"/>
        <item m="1" x="100"/>
        <item m="1" x="83"/>
        <item m="1" x="92"/>
        <item m="1" x="95"/>
        <item m="1" x="79"/>
        <item m="1" x="104"/>
        <item m="1" x="102"/>
        <item m="1" x="135"/>
        <item m="1" x="134"/>
        <item m="1" x="131"/>
        <item m="1" x="132"/>
        <item m="1" x="121"/>
        <item m="1" x="52"/>
        <item m="1" x="56"/>
        <item m="1" x="128"/>
        <item m="1" x="113"/>
        <item m="1" x="129"/>
        <item m="1" x="59"/>
        <item m="1" x="73"/>
        <item m="1" x="64"/>
        <item m="1" x="127"/>
        <item x="9"/>
        <item m="1" x="123"/>
        <item m="1" x="124"/>
        <item m="1" x="105"/>
        <item m="1" x="99"/>
        <item m="1" x="126"/>
        <item m="1" x="89"/>
        <item m="1" x="110"/>
        <item m="1" x="122"/>
        <item m="1" x="118"/>
        <item m="1" x="119"/>
        <item m="1" x="106"/>
        <item m="1" x="108"/>
        <item m="1" x="109"/>
        <item m="1" x="111"/>
        <item m="1" x="112"/>
        <item m="1" x="69"/>
        <item m="1" x="94"/>
        <item x="1"/>
        <item x="3"/>
        <item x="16"/>
        <item m="1" x="36"/>
        <item x="27"/>
        <item m="1" x="72"/>
        <item x="10"/>
        <item x="2"/>
        <item x="12"/>
        <item x="5"/>
        <item x="24"/>
        <item m="1" x="66"/>
        <item m="1" x="81"/>
        <item m="1" x="34"/>
        <item x="30"/>
        <item m="1" x="67"/>
        <item m="1" x="68"/>
        <item m="1" x="70"/>
        <item m="1" x="71"/>
        <item x="26"/>
        <item m="1" x="63"/>
        <item m="1" x="74"/>
        <item m="1" x="62"/>
        <item m="1" x="75"/>
        <item m="1" x="61"/>
        <item m="1" x="76"/>
        <item x="14"/>
        <item x="25"/>
        <item m="1" x="65"/>
        <item x="19"/>
        <item m="1" x="47"/>
        <item m="1" x="55"/>
        <item m="1" x="57"/>
        <item m="1" x="48"/>
        <item m="1" x="49"/>
        <item m="1" x="53"/>
        <item m="1" x="54"/>
        <item m="1" x="42"/>
        <item m="1" x="43"/>
        <item m="1" x="44"/>
        <item m="1" x="45"/>
        <item x="15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10">
        <item h="1" x="1"/>
        <item h="1" m="1" x="6"/>
        <item h="1" x="2"/>
        <item x="0"/>
        <item h="1" x="3"/>
        <item h="1" m="1" x="5"/>
        <item h="1" m="1" x="8"/>
        <item h="1" m="1" x="7"/>
        <item h="1" x="4"/>
        <item t="default"/>
      </items>
    </pivotField>
    <pivotField axis="axisCol" showAll="0">
      <items count="16">
        <item x="1"/>
        <item x="6"/>
        <item x="0"/>
        <item x="8"/>
        <item x="7"/>
        <item m="1" x="11"/>
        <item m="1" x="14"/>
        <item m="1" x="12"/>
        <item x="4"/>
        <item x="5"/>
        <item x="2"/>
        <item x="10"/>
        <item x="9"/>
        <item x="3"/>
        <item m="1"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</pivotFields>
  <rowFields count="1">
    <field x="7"/>
  </rowFields>
  <rowItems count="5">
    <i>
      <x v="99"/>
    </i>
    <i>
      <x v="9"/>
    </i>
    <i>
      <x v="109"/>
    </i>
    <i>
      <x v="10"/>
    </i>
    <i>
      <x v="100"/>
    </i>
  </rowItems>
  <colFields count="1">
    <field x="9"/>
  </colFields>
  <colItems count="8">
    <i>
      <x/>
    </i>
    <i>
      <x v="2"/>
    </i>
    <i>
      <x v="3"/>
    </i>
    <i>
      <x v="4"/>
    </i>
    <i>
      <x v="8"/>
    </i>
    <i>
      <x v="9"/>
    </i>
    <i>
      <x v="13"/>
    </i>
    <i t="grand">
      <x/>
    </i>
  </colItems>
  <pageFields count="1">
    <pageField fld="8" hier="-1"/>
  </pageFields>
  <dataFields count="1">
    <dataField name="Suma de T.TOTAL" fld="6" baseField="7" baseItem="9" numFmtId="166"/>
  </dataFields>
  <formats count="62">
    <format dxfId="522">
      <pivotArea type="all" dataOnly="0" outline="0" fieldPosition="0"/>
    </format>
    <format dxfId="523">
      <pivotArea outline="0" collapsedLevelsAreSubtotals="1" fieldPosition="0"/>
    </format>
    <format dxfId="524">
      <pivotArea type="origin" dataOnly="0" labelOnly="1" outline="0" fieldPosition="0"/>
    </format>
    <format dxfId="525">
      <pivotArea field="3" type="button" dataOnly="0" labelOnly="1" outline="0"/>
    </format>
    <format dxfId="526">
      <pivotArea type="topRight" dataOnly="0" labelOnly="1" outline="0" fieldPosition="0"/>
    </format>
    <format dxfId="527">
      <pivotArea field="7" type="button" dataOnly="0" labelOnly="1" outline="0" axis="axisRow" fieldPosition="0"/>
    </format>
    <format dxfId="528">
      <pivotArea dataOnly="0" labelOnly="1" fieldPosition="0">
        <references count="1">
          <reference field="7" count="0"/>
        </references>
      </pivotArea>
    </format>
    <format dxfId="529">
      <pivotArea dataOnly="0" labelOnly="1" grandRow="1" outline="0" fieldPosition="0"/>
    </format>
    <format dxfId="530">
      <pivotArea dataOnly="0" labelOnly="1" grandCol="1" outline="0" fieldPosition="0"/>
    </format>
    <format dxfId="531">
      <pivotArea type="all" dataOnly="0" outline="0" fieldPosition="0"/>
    </format>
    <format dxfId="532">
      <pivotArea outline="0" collapsedLevelsAreSubtotals="1" fieldPosition="0"/>
    </format>
    <format dxfId="533">
      <pivotArea type="origin" dataOnly="0" labelOnly="1" outline="0" fieldPosition="0"/>
    </format>
    <format dxfId="534">
      <pivotArea field="3" type="button" dataOnly="0" labelOnly="1" outline="0"/>
    </format>
    <format dxfId="535">
      <pivotArea field="7" type="button" dataOnly="0" labelOnly="1" outline="0" axis="axisRow" fieldPosition="0"/>
    </format>
    <format dxfId="536">
      <pivotArea dataOnly="0" labelOnly="1" fieldPosition="0">
        <references count="1">
          <reference field="7" count="0"/>
        </references>
      </pivotArea>
    </format>
    <format dxfId="537">
      <pivotArea dataOnly="0" labelOnly="1" grandRow="1" outline="0" fieldPosition="0"/>
    </format>
    <format dxfId="538">
      <pivotArea dataOnly="0" labelOnly="1" grandCol="1" outline="0" fieldPosition="0"/>
    </format>
    <format dxfId="539">
      <pivotArea outline="0" collapsedLevelsAreSubtotals="1" fieldPosition="0">
        <references count="1">
          <reference field="9" count="1" selected="0">
            <x v="6"/>
          </reference>
        </references>
      </pivotArea>
    </format>
    <format dxfId="540">
      <pivotArea outline="0" collapsedLevelsAreSubtotals="1" fieldPosition="0">
        <references count="1">
          <reference field="9" count="1" selected="0">
            <x v="6"/>
          </reference>
        </references>
      </pivotArea>
    </format>
    <format dxfId="541">
      <pivotArea outline="0" collapsedLevelsAreSubtotals="1" fieldPosition="0">
        <references count="1">
          <reference field="9" count="1" selected="0">
            <x v="0"/>
          </reference>
        </references>
      </pivotArea>
    </format>
    <format dxfId="542">
      <pivotArea field="9" type="button" dataOnly="0" labelOnly="1" outline="0" axis="axisCol" fieldPosition="0"/>
    </format>
    <format dxfId="543">
      <pivotArea dataOnly="0" labelOnly="1" fieldPosition="0">
        <references count="1">
          <reference field="7" count="0"/>
        </references>
      </pivotArea>
    </format>
    <format dxfId="544">
      <pivotArea field="8" type="button" dataOnly="0" labelOnly="1" outline="0" axis="axisPage" fieldPosition="0"/>
    </format>
    <format dxfId="545">
      <pivotArea type="origin" dataOnly="0" labelOnly="1" outline="0" fieldPosition="0"/>
    </format>
    <format dxfId="546">
      <pivotArea field="7" type="button" dataOnly="0" labelOnly="1" outline="0" axis="axisRow" fieldPosition="0"/>
    </format>
    <format dxfId="547">
      <pivotArea dataOnly="0" labelOnly="1" fieldPosition="0">
        <references count="1">
          <reference field="7" count="10">
            <x v="1"/>
            <x v="2"/>
            <x v="9"/>
            <x v="10"/>
            <x v="12"/>
            <x v="15"/>
            <x v="16"/>
            <x v="17"/>
            <x v="24"/>
            <x v="29"/>
          </reference>
        </references>
      </pivotArea>
    </format>
    <format dxfId="548">
      <pivotArea field="8" type="button" dataOnly="0" labelOnly="1" outline="0" axis="axisPage" fieldPosition="0"/>
    </format>
    <format dxfId="549">
      <pivotArea type="origin" dataOnly="0" labelOnly="1" outline="0" fieldPosition="0"/>
    </format>
    <format dxfId="550">
      <pivotArea field="7" type="button" dataOnly="0" labelOnly="1" outline="0" axis="axisRow" fieldPosition="0"/>
    </format>
    <format dxfId="551">
      <pivotArea dataOnly="0" labelOnly="1" fieldPosition="0">
        <references count="1">
          <reference field="7" count="10">
            <x v="1"/>
            <x v="2"/>
            <x v="9"/>
            <x v="10"/>
            <x v="12"/>
            <x v="15"/>
            <x v="16"/>
            <x v="17"/>
            <x v="24"/>
            <x v="29"/>
          </reference>
        </references>
      </pivotArea>
    </format>
    <format dxfId="552">
      <pivotArea outline="0" collapsedLevelsAreSubtotals="1" fieldPosition="0"/>
    </format>
    <format dxfId="553">
      <pivotArea field="7" type="button" dataOnly="0" labelOnly="1" outline="0" axis="axisRow" fieldPosition="0"/>
    </format>
    <format dxfId="554">
      <pivotArea dataOnly="0" labelOnly="1" fieldPosition="0">
        <references count="1">
          <reference field="9" count="10">
            <x v="0"/>
            <x v="1"/>
            <x v="2"/>
            <x v="3"/>
            <x v="4"/>
            <x v="5"/>
            <x v="7"/>
            <x v="8"/>
            <x v="9"/>
            <x v="12"/>
          </reference>
        </references>
      </pivotArea>
    </format>
    <format dxfId="555">
      <pivotArea dataOnly="0" labelOnly="1" grandCol="1" outline="0" fieldPosition="0"/>
    </format>
    <format dxfId="556">
      <pivotArea dataOnly="0" labelOnly="1" fieldPosition="0">
        <references count="1">
          <reference field="7" count="12">
            <x v="1"/>
            <x v="2"/>
            <x v="6"/>
            <x v="8"/>
            <x v="9"/>
            <x v="10"/>
            <x v="11"/>
            <x v="13"/>
            <x v="15"/>
            <x v="16"/>
            <x v="17"/>
            <x v="53"/>
          </reference>
        </references>
      </pivotArea>
    </format>
    <format dxfId="557">
      <pivotArea outline="0" collapsedLevelsAreSubtotals="1" fieldPosition="0"/>
    </format>
    <format dxfId="558">
      <pivotArea dataOnly="0" labelOnly="1" outline="0" fieldPosition="0">
        <references count="1">
          <reference field="8" count="0"/>
        </references>
      </pivotArea>
    </format>
    <format dxfId="559">
      <pivotArea field="9" type="button" dataOnly="0" labelOnly="1" outline="0" axis="axisCol" fieldPosition="0"/>
    </format>
    <format dxfId="560">
      <pivotArea type="topRight" dataOnly="0" labelOnly="1" outline="0" fieldPosition="0"/>
    </format>
    <format dxfId="561">
      <pivotArea dataOnly="0" labelOnly="1" fieldPosition="0">
        <references count="1">
          <reference field="9" count="10">
            <x v="0"/>
            <x v="1"/>
            <x v="2"/>
            <x v="3"/>
            <x v="4"/>
            <x v="5"/>
            <x v="7"/>
            <x v="8"/>
            <x v="9"/>
            <x v="12"/>
          </reference>
        </references>
      </pivotArea>
    </format>
    <format dxfId="562">
      <pivotArea dataOnly="0" labelOnly="1" grandCol="1" outline="0" fieldPosition="0"/>
    </format>
    <format dxfId="563">
      <pivotArea dataOnly="0" labelOnly="1" outline="0" fieldPosition="0">
        <references count="1">
          <reference field="8" count="0"/>
        </references>
      </pivotArea>
    </format>
    <format dxfId="564">
      <pivotArea type="origin" dataOnly="0" labelOnly="1" outline="0" fieldPosition="0"/>
    </format>
    <format dxfId="565">
      <pivotArea field="7" type="button" dataOnly="0" labelOnly="1" outline="0" axis="axisRow" fieldPosition="0"/>
    </format>
    <format dxfId="566">
      <pivotArea dataOnly="0" labelOnly="1" fieldPosition="0">
        <references count="1">
          <reference field="7" count="12">
            <x v="1"/>
            <x v="2"/>
            <x v="6"/>
            <x v="8"/>
            <x v="9"/>
            <x v="10"/>
            <x v="11"/>
            <x v="13"/>
            <x v="15"/>
            <x v="16"/>
            <x v="17"/>
            <x v="53"/>
          </reference>
        </references>
      </pivotArea>
    </format>
    <format dxfId="567">
      <pivotArea type="all" dataOnly="0" outline="0" fieldPosition="0"/>
    </format>
    <format dxfId="568">
      <pivotArea outline="0" collapsedLevelsAreSubtotals="1" fieldPosition="0"/>
    </format>
    <format dxfId="569">
      <pivotArea type="origin" dataOnly="0" labelOnly="1" outline="0" fieldPosition="0"/>
    </format>
    <format dxfId="570">
      <pivotArea field="9" type="button" dataOnly="0" labelOnly="1" outline="0" axis="axisCol" fieldPosition="0"/>
    </format>
    <format dxfId="571">
      <pivotArea type="topRight" dataOnly="0" labelOnly="1" outline="0" fieldPosition="0"/>
    </format>
    <format dxfId="572">
      <pivotArea dataOnly="0" labelOnly="1" fieldPosition="0">
        <references count="1">
          <reference field="7" count="12">
            <x v="1"/>
            <x v="2"/>
            <x v="6"/>
            <x v="8"/>
            <x v="9"/>
            <x v="10"/>
            <x v="11"/>
            <x v="13"/>
            <x v="15"/>
            <x v="16"/>
            <x v="17"/>
            <x v="53"/>
          </reference>
        </references>
      </pivotArea>
    </format>
    <format dxfId="573">
      <pivotArea dataOnly="0" labelOnly="1" fieldPosition="0">
        <references count="1">
          <reference field="9" count="10">
            <x v="0"/>
            <x v="1"/>
            <x v="2"/>
            <x v="3"/>
            <x v="4"/>
            <x v="5"/>
            <x v="7"/>
            <x v="8"/>
            <x v="9"/>
            <x v="12"/>
          </reference>
        </references>
      </pivotArea>
    </format>
    <format dxfId="574">
      <pivotArea field="7" type="button" dataOnly="0" labelOnly="1" outline="0" axis="axisRow" fieldPosition="0"/>
    </format>
    <format dxfId="575">
      <pivotArea dataOnly="0" labelOnly="1" fieldPosition="0">
        <references count="1">
          <reference field="9" count="8">
            <x v="0"/>
            <x v="1"/>
            <x v="2"/>
            <x v="3"/>
            <x v="5"/>
            <x v="7"/>
            <x v="8"/>
            <x v="9"/>
          </reference>
        </references>
      </pivotArea>
    </format>
    <format dxfId="576">
      <pivotArea dataOnly="0" labelOnly="1" grandCol="1" outline="0" fieldPosition="0"/>
    </format>
    <format dxfId="577">
      <pivotArea field="7" type="button" dataOnly="0" labelOnly="1" outline="0" axis="axisRow" fieldPosition="0"/>
    </format>
    <format dxfId="578">
      <pivotArea dataOnly="0" labelOnly="1" fieldPosition="0">
        <references count="1">
          <reference field="9" count="8">
            <x v="0"/>
            <x v="1"/>
            <x v="2"/>
            <x v="3"/>
            <x v="5"/>
            <x v="7"/>
            <x v="8"/>
            <x v="9"/>
          </reference>
        </references>
      </pivotArea>
    </format>
    <format dxfId="579">
      <pivotArea dataOnly="0" labelOnly="1" grandCol="1" outline="0" fieldPosition="0"/>
    </format>
    <format dxfId="580">
      <pivotArea field="7" type="button" dataOnly="0" labelOnly="1" outline="0" axis="axisRow" fieldPosition="0"/>
    </format>
    <format dxfId="581">
      <pivotArea dataOnly="0" labelOnly="1" fieldPosition="0">
        <references count="1">
          <reference field="9" count="8">
            <x v="0"/>
            <x v="1"/>
            <x v="2"/>
            <x v="3"/>
            <x v="5"/>
            <x v="7"/>
            <x v="8"/>
            <x v="9"/>
          </reference>
        </references>
      </pivotArea>
    </format>
    <format dxfId="582">
      <pivotArea dataOnly="0" labelOnly="1" grandCol="1" outline="0" fieldPosition="0"/>
    </format>
    <format dxfId="583">
      <pivotArea dataOnly="0" labelOnly="1" fieldPosition="0">
        <references count="1">
          <reference field="7" count="4">
            <x v="9"/>
            <x v="10"/>
            <x v="99"/>
            <x v="100"/>
          </reference>
        </references>
      </pivotArea>
    </format>
  </formats>
  <chartFormats count="1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2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3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4"/>
          </reference>
        </references>
      </pivotArea>
    </chartFormat>
  </chartFormats>
  <pivotTableStyleInfo name="PivotStyleMedium2" showRowHeaders="1" showColHeaders="1" showRowStripes="0" showColStripes="0" showLastColumn="1"/>
  <filters count="1">
    <filter fld="7" type="valueGreaterThan" evalOrder="-1" id="3" iMeasureFld="0">
      <autoFilter ref="A1">
        <filterColumn colId="0">
          <customFilters>
            <customFilter operator="greaterThan" val="8.3333333333333329E-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80B3EC-8B34-42DA-9780-88D9FF5F17B4}" name="TablaDinámica23" cacheId="11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O355:Q381" firstHeaderRow="0" firstDataRow="1" firstDataCol="1" rowPageCount="1" colPageCount="1"/>
  <pivotFields count="32">
    <pivotField axis="axisRow" numFmtId="14" showAll="0">
      <items count="2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t="default"/>
      </items>
    </pivotField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showAll="0"/>
    <pivotField showAll="0"/>
    <pivotField dataField="1" numFmtId="4" showAll="0"/>
    <pivotField numFmtId="4" showAll="0"/>
    <pivotField numFmtId="4" showAll="0"/>
    <pivotField showAll="0"/>
    <pivotField numFmtId="4" showAll="0"/>
    <pivotField numFmtId="4" showAll="0"/>
    <pivotField numFmtId="4" showAll="0"/>
    <pivotField showAll="0"/>
    <pivotField numFmtId="4" showAll="0"/>
    <pivotField numFmtId="9" showAll="0"/>
    <pivotField showAll="0"/>
    <pivotField numFmtId="3" showAll="0"/>
    <pivotField numFmtId="3" showAll="0"/>
    <pivotField axis="axisPage" multipleItemSelectionAllowed="1" showAll="0">
      <items count="14">
        <item h="1" x="3"/>
        <item h="1" x="4"/>
        <item h="1" x="5"/>
        <item h="1" x="0"/>
        <item h="1" x="1"/>
        <item h="1" x="2"/>
        <item h="1" x="6"/>
        <item h="1" x="7"/>
        <item h="1" x="8"/>
        <item h="1" x="9"/>
        <item h="1" x="10"/>
        <item x="11"/>
        <item h="1" x="12"/>
        <item t="default"/>
      </items>
    </pivotField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5">
        <item sd="0" x="0"/>
        <item sd="0" x="1"/>
        <item sd="0" x="2"/>
        <item x="3"/>
        <item t="default"/>
      </items>
    </pivotField>
  </pivotFields>
  <rowFields count="1">
    <field x="0"/>
  </rowFields>
  <rowItems count="26"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 t="grand">
      <x/>
    </i>
  </rowItems>
  <colFields count="1">
    <field x="-2"/>
  </colFields>
  <colItems count="2">
    <i>
      <x/>
    </i>
    <i i="1">
      <x v="1"/>
    </i>
  </colItems>
  <pageFields count="1">
    <pageField fld="25" hier="-1"/>
  </pageFields>
  <dataFields count="2">
    <dataField name="Suma de GENERAL_x000a_CAL" fld="12" baseField="0" baseItem="0" numFmtId="4"/>
    <dataField name="Suma de LCC _x000a_GENERAL" fld="26" baseField="0" baseItem="0"/>
  </dataFields>
  <formats count="3">
    <format dxfId="519">
      <pivotArea dataOnly="0" labelOnly="1" fieldPosition="0">
        <references count="1">
          <reference field="0" count="20"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</reference>
        </references>
      </pivotArea>
    </format>
    <format dxfId="520">
      <pivotArea dataOnly="0" labelOnly="1" grandRow="1" outline="0" fieldPosition="0"/>
    </format>
    <format dxfId="521">
      <pivotArea collapsedLevelsAreSubtotals="1" fieldPosition="0">
        <references count="1">
          <reference field="0" count="20"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</reference>
        </references>
      </pivotArea>
    </format>
  </formats>
  <chartFormats count="4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EE3E75-D88A-451D-B333-2F95A58CDEE0}" name="TablaDinámica24" cacheId="11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S355:U381" firstHeaderRow="0" firstDataRow="1" firstDataCol="1" rowPageCount="1" colPageCount="1"/>
  <pivotFields count="32">
    <pivotField axis="axisRow" numFmtId="14" showAll="0">
      <items count="2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t="default"/>
      </items>
    </pivotField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dataField="1" showAll="0"/>
    <pivotField showAll="0"/>
    <pivotField numFmtId="4" showAll="0"/>
    <pivotField numFmtId="4" showAll="0"/>
    <pivotField numFmtId="4" showAll="0"/>
    <pivotField showAll="0"/>
    <pivotField numFmtId="4" showAll="0"/>
    <pivotField numFmtId="4" showAll="0"/>
    <pivotField numFmtId="4" showAll="0"/>
    <pivotField showAll="0"/>
    <pivotField numFmtId="4" showAll="0"/>
    <pivotField numFmtId="9" showAll="0"/>
    <pivotField showAll="0"/>
    <pivotField numFmtId="3" showAll="0"/>
    <pivotField numFmtId="3" showAll="0"/>
    <pivotField axis="axisPage" multipleItemSelectionAllowed="1" showAll="0">
      <items count="14">
        <item h="1" x="3"/>
        <item h="1" x="4"/>
        <item h="1" x="5"/>
        <item h="1" x="0"/>
        <item h="1" x="1"/>
        <item h="1" x="2"/>
        <item h="1" x="6"/>
        <item h="1" x="7"/>
        <item h="1" x="8"/>
        <item h="1" x="9"/>
        <item h="1" x="10"/>
        <item x="11"/>
        <item h="1" x="12"/>
        <item t="default"/>
      </items>
    </pivotField>
    <pivotField showAll="0"/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5">
        <item sd="0" x="0"/>
        <item sd="0" x="1"/>
        <item sd="0" x="2"/>
        <item x="3"/>
        <item t="default"/>
      </items>
    </pivotField>
  </pivotFields>
  <rowFields count="1">
    <field x="0"/>
  </rowFields>
  <rowItems count="26"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 t="grand">
      <x/>
    </i>
  </rowItems>
  <colFields count="1">
    <field x="-2"/>
  </colFields>
  <colItems count="2">
    <i>
      <x/>
    </i>
    <i i="1">
      <x v="1"/>
    </i>
  </colItems>
  <pageFields count="1">
    <pageField fld="25" hier="-1"/>
  </pageFields>
  <dataFields count="2">
    <dataField name="Suma de ENERGIA" fld="10" baseField="0" baseItem="0"/>
    <dataField name="Suma de LCC ENERGIA" fld="27" baseField="0" baseItem="0"/>
  </dataFields>
  <formats count="3">
    <format dxfId="516">
      <pivotArea dataOnly="0" labelOnly="1" fieldPosition="0">
        <references count="1">
          <reference field="0" count="20"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</reference>
        </references>
      </pivotArea>
    </format>
    <format dxfId="517">
      <pivotArea dataOnly="0" labelOnly="1" grandRow="1" outline="0" fieldPosition="0"/>
    </format>
    <format dxfId="518">
      <pivotArea collapsedLevelsAreSubtotals="1" fieldPosition="0">
        <references count="1">
          <reference field="0" count="20"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</reference>
        </references>
      </pivotArea>
    </format>
  </formats>
  <chartFormats count="4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DE9E78-00EA-49A5-BD3D-B3412EEBC063}" name="TablaDinámica2" cacheId="1148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compact="0" compactData="0" multipleFieldFilters="0">
  <location ref="Y7:Z11" firstHeaderRow="1" firstDataRow="1" firstDataCol="1" rowPageCount="1" colPageCount="1"/>
  <pivotFields count="16">
    <pivotField compact="0" outline="0" showAll="0" sortType="descending" defaultSubtotal="0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sortType="descending" defaultSubtotal="0">
      <items count="104">
        <item m="1" x="14"/>
        <item m="1" x="94"/>
        <item m="1" x="42"/>
        <item m="1" x="86"/>
        <item m="1" x="43"/>
        <item m="1" x="50"/>
        <item m="1" x="55"/>
        <item m="1" x="89"/>
        <item m="1" x="16"/>
        <item m="1" x="47"/>
        <item m="1" x="22"/>
        <item x="2"/>
        <item m="1" x="99"/>
        <item m="1" x="100"/>
        <item m="1" x="75"/>
        <item m="1" x="61"/>
        <item x="6"/>
        <item m="1" x="96"/>
        <item m="1" x="95"/>
        <item m="1" x="82"/>
        <item m="1" x="91"/>
        <item m="1" x="101"/>
        <item m="1" x="70"/>
        <item m="1" x="48"/>
        <item m="1" x="63"/>
        <item x="4"/>
        <item m="1" x="90"/>
        <item m="1" x="53"/>
        <item m="1" x="56"/>
        <item m="1" x="79"/>
        <item m="1" x="39"/>
        <item m="1" x="84"/>
        <item x="8"/>
        <item m="1" x="59"/>
        <item m="1" x="62"/>
        <item m="1" x="64"/>
        <item m="1" x="69"/>
        <item m="1" x="23"/>
        <item m="1" x="17"/>
        <item m="1" x="32"/>
        <item m="1" x="20"/>
        <item m="1" x="15"/>
        <item m="1" x="26"/>
        <item x="9"/>
        <item m="1" x="24"/>
        <item m="1" x="73"/>
        <item m="1" x="18"/>
        <item m="1" x="36"/>
        <item m="1" x="87"/>
        <item m="1" x="77"/>
        <item m="1" x="71"/>
        <item m="1" x="34"/>
        <item m="1" x="52"/>
        <item m="1" x="28"/>
        <item m="1" x="35"/>
        <item m="1" x="97"/>
        <item m="1" x="78"/>
        <item m="1" x="41"/>
        <item m="1" x="83"/>
        <item m="1" x="93"/>
        <item m="1" x="49"/>
        <item m="1" x="80"/>
        <item m="1" x="13"/>
        <item x="1"/>
        <item m="1" x="38"/>
        <item m="1" x="37"/>
        <item m="1" x="68"/>
        <item m="1" x="44"/>
        <item m="1" x="33"/>
        <item m="1" x="72"/>
        <item m="1" x="57"/>
        <item m="1" x="88"/>
        <item m="1" x="11"/>
        <item x="7"/>
        <item m="1" x="12"/>
        <item x="0"/>
        <item m="1" x="19"/>
        <item m="1" x="81"/>
        <item m="1" x="54"/>
        <item x="5"/>
        <item m="1" x="27"/>
        <item m="1" x="29"/>
        <item m="1" x="103"/>
        <item m="1" x="45"/>
        <item m="1" x="60"/>
        <item m="1" x="21"/>
        <item m="1" x="85"/>
        <item m="1" x="66"/>
        <item m="1" x="102"/>
        <item m="1" x="74"/>
        <item m="1" x="25"/>
        <item m="1" x="76"/>
        <item m="1" x="58"/>
        <item m="1" x="98"/>
        <item m="1" x="92"/>
        <item x="10"/>
        <item m="1" x="40"/>
        <item m="1" x="67"/>
        <item m="1" x="65"/>
        <item m="1" x="30"/>
        <item m="1" x="51"/>
        <item m="1" x="46"/>
        <item m="1" x="31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3">
        <item x="1"/>
        <item h="1" x="0"/>
        <item h="1" x="2"/>
      </items>
    </pivotField>
    <pivotField compact="0" outline="0" showAll="0" defaultSubtotal="0"/>
    <pivotField axis="axisRow" compact="0" outline="0" showAll="0" sortType="descending" defaultSubtotal="0">
      <items count="516">
        <item x="11"/>
        <item m="1" x="498"/>
        <item m="1" x="507"/>
        <item m="1" x="504"/>
        <item m="1" x="496"/>
        <item m="1" x="515"/>
        <item m="1" x="500"/>
        <item m="1" x="510"/>
        <item m="1" x="512"/>
        <item m="1" x="514"/>
        <item m="1" x="497"/>
        <item m="1" x="508"/>
        <item m="1" x="100"/>
        <item m="1" x="499"/>
        <item m="1" x="513"/>
        <item m="1" x="509"/>
        <item m="1" x="503"/>
        <item m="1" x="501"/>
        <item m="1" x="505"/>
        <item m="1" x="28"/>
        <item m="1" x="502"/>
        <item x="0"/>
        <item m="1" x="511"/>
        <item m="1" x="506"/>
        <item m="1" x="478"/>
        <item m="1" x="21"/>
        <item m="1" x="479"/>
        <item m="1" x="480"/>
        <item m="1" x="87"/>
        <item m="1" x="118"/>
        <item m="1" x="481"/>
        <item m="1" x="292"/>
        <item m="1" x="482"/>
        <item m="1" x="483"/>
        <item m="1" x="484"/>
        <item m="1" x="485"/>
        <item m="1" x="486"/>
        <item m="1" x="487"/>
        <item x="1"/>
        <item m="1" x="488"/>
        <item m="1" x="354"/>
        <item x="6"/>
        <item m="1" x="489"/>
        <item m="1" x="490"/>
        <item m="1" x="491"/>
        <item m="1" x="492"/>
        <item m="1" x="493"/>
        <item m="1" x="494"/>
        <item m="1" x="495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1"/>
        <item m="1" x="471"/>
        <item m="1" x="472"/>
        <item m="1" x="473"/>
        <item m="1" x="474"/>
        <item m="1" x="475"/>
        <item m="1" x="476"/>
        <item m="1" x="477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x="4"/>
        <item m="1" x="456"/>
        <item m="1" x="457"/>
        <item m="1" x="65"/>
        <item m="1" x="460"/>
        <item m="1" x="458"/>
        <item m="1" x="39"/>
        <item m="1" x="459"/>
        <item m="1" x="426"/>
        <item m="1" x="91"/>
        <item m="1" x="427"/>
        <item m="1" x="428"/>
        <item m="1" x="429"/>
        <item m="1" x="430"/>
        <item m="1" x="431"/>
        <item m="1" x="432"/>
        <item m="1" x="416"/>
        <item m="1" x="433"/>
        <item m="1" x="434"/>
        <item m="1" x="435"/>
        <item m="1" x="436"/>
        <item m="1" x="437"/>
        <item m="1" x="146"/>
        <item m="1" x="438"/>
        <item m="1" x="439"/>
        <item m="1" x="414"/>
        <item m="1" x="415"/>
        <item m="1" x="417"/>
        <item m="1" x="418"/>
        <item m="1" x="419"/>
        <item m="1" x="420"/>
        <item m="1" x="421"/>
        <item m="1" x="422"/>
        <item m="1" x="423"/>
        <item m="1" x="424"/>
        <item m="1" x="60"/>
        <item m="1" x="425"/>
        <item m="1" x="405"/>
        <item m="1" x="406"/>
        <item m="1" x="407"/>
        <item m="1" x="408"/>
        <item m="1" x="409"/>
        <item m="1" x="410"/>
        <item m="1" x="411"/>
        <item m="1" x="412"/>
        <item m="1" x="42"/>
        <item m="1" x="413"/>
        <item m="1" x="98"/>
        <item m="1" x="379"/>
        <item m="1" x="402"/>
        <item m="1" x="380"/>
        <item m="1" x="381"/>
        <item m="1" x="382"/>
        <item m="1" x="383"/>
        <item m="1" x="403"/>
        <item m="1" x="404"/>
        <item m="1" x="384"/>
        <item m="1" x="385"/>
        <item m="1" x="386"/>
        <item m="1" x="387"/>
        <item m="1" x="388"/>
        <item m="1" x="389"/>
        <item m="1" x="37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280"/>
        <item m="1" x="400"/>
        <item m="1" x="401"/>
        <item m="1" x="224"/>
        <item m="1" x="357"/>
        <item m="1" x="375"/>
        <item m="1" x="358"/>
        <item m="1" x="376"/>
        <item m="1" x="359"/>
        <item m="1" x="342"/>
        <item m="1" x="360"/>
        <item m="1" x="361"/>
        <item m="1" x="362"/>
        <item m="1" x="363"/>
        <item m="1" x="364"/>
        <item m="1" x="365"/>
        <item m="1" x="366"/>
        <item m="1" x="377"/>
        <item m="1" x="367"/>
        <item m="1" x="96"/>
        <item m="1" x="368"/>
        <item m="1" x="369"/>
        <item m="1" x="370"/>
        <item m="1" x="371"/>
        <item m="1" x="378"/>
        <item m="1" x="372"/>
        <item m="1" x="373"/>
        <item m="1" x="374"/>
        <item m="1" x="336"/>
        <item m="1" x="337"/>
        <item m="1" x="338"/>
        <item m="1" x="339"/>
        <item m="1" x="340"/>
        <item m="1" x="136"/>
        <item m="1" x="353"/>
        <item m="1" x="341"/>
        <item m="1" x="343"/>
        <item m="1" x="344"/>
        <item m="1" x="345"/>
        <item m="1" x="346"/>
        <item m="1" x="355"/>
        <item m="1" x="347"/>
        <item m="1" x="348"/>
        <item m="1" x="349"/>
        <item m="1" x="350"/>
        <item m="1" x="356"/>
        <item m="1" x="351"/>
        <item m="1" x="352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31"/>
        <item m="1" x="315"/>
        <item m="1" x="316"/>
        <item m="1" x="317"/>
        <item m="1" x="318"/>
        <item m="1" x="319"/>
        <item x="2"/>
        <item m="1" x="332"/>
        <item m="1" x="333"/>
        <item m="1" x="320"/>
        <item m="1" x="321"/>
        <item m="1" x="322"/>
        <item m="1" x="323"/>
        <item m="1" x="324"/>
        <item m="1" x="325"/>
        <item m="1" x="334"/>
        <item m="1" x="326"/>
        <item m="1" x="327"/>
        <item m="1" x="328"/>
        <item m="1" x="335"/>
        <item m="1" x="329"/>
        <item m="1" x="263"/>
        <item m="1" x="330"/>
        <item m="1" x="281"/>
        <item m="1" x="282"/>
        <item m="1" x="283"/>
        <item m="1" x="284"/>
        <item m="1" x="285"/>
        <item m="1" x="115"/>
        <item m="1" x="286"/>
        <item m="1" x="287"/>
        <item m="1" x="288"/>
        <item m="1" x="289"/>
        <item m="1" x="268"/>
        <item m="1" x="290"/>
        <item m="1" x="291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131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4"/>
        <item m="1" x="265"/>
        <item m="1" x="266"/>
        <item m="1" x="267"/>
        <item m="1" x="225"/>
        <item m="1" x="221"/>
        <item m="1" x="222"/>
        <item m="1" x="226"/>
        <item m="1" x="223"/>
        <item m="1" x="227"/>
        <item m="1" x="228"/>
        <item m="1" x="229"/>
        <item m="1" x="237"/>
        <item m="1" x="238"/>
        <item m="1" x="239"/>
        <item m="1" x="240"/>
        <item m="1" x="241"/>
        <item m="1" x="242"/>
        <item m="1" x="236"/>
        <item m="1" x="230"/>
        <item m="1" x="231"/>
        <item m="1" x="232"/>
        <item m="1" x="233"/>
        <item m="1" x="234"/>
        <item m="1" x="23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68"/>
        <item m="1" x="106"/>
        <item m="1" x="171"/>
        <item m="1" x="172"/>
        <item m="1" x="173"/>
        <item m="1" x="174"/>
        <item m="1" x="175"/>
        <item m="1" x="176"/>
        <item m="1" x="177"/>
        <item m="1" x="178"/>
        <item m="1" x="46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51"/>
        <item m="1" x="152"/>
        <item m="1" x="153"/>
        <item m="1" x="154"/>
        <item m="1" x="155"/>
        <item m="1" x="170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2"/>
        <item m="1" x="133"/>
        <item m="1" x="134"/>
        <item m="1" x="135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7"/>
        <item m="1" x="148"/>
        <item m="1" x="149"/>
        <item m="1" x="150"/>
        <item m="1" x="92"/>
        <item m="1" x="93"/>
        <item m="1" x="94"/>
        <item m="1" x="95"/>
        <item m="1" x="97"/>
        <item m="1" x="99"/>
        <item m="1" x="101"/>
        <item m="1" x="102"/>
        <item m="1" x="103"/>
        <item m="1" x="104"/>
        <item m="1" x="105"/>
        <item m="1" x="107"/>
        <item m="1" x="108"/>
        <item m="1" x="109"/>
        <item m="1" x="110"/>
        <item m="1" x="111"/>
        <item m="1" x="112"/>
        <item m="1" x="113"/>
        <item m="1" x="114"/>
        <item m="1" x="80"/>
        <item m="1" x="116"/>
        <item m="1" x="117"/>
        <item m="1" x="119"/>
        <item m="1" x="120"/>
        <item m="1" x="121"/>
        <item m="1" x="66"/>
        <item m="1" x="67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1"/>
        <item m="1" x="82"/>
        <item m="1" x="83"/>
        <item m="1" x="84"/>
        <item m="1" x="85"/>
        <item m="1" x="86"/>
        <item m="1" x="88"/>
        <item m="1" x="89"/>
        <item m="1" x="90"/>
        <item m="1" x="31"/>
        <item m="1" x="32"/>
        <item m="1" x="33"/>
        <item m="1" x="34"/>
        <item m="1" x="35"/>
        <item m="1" x="36"/>
        <item m="1" x="38"/>
        <item m="1" x="40"/>
        <item m="1" x="43"/>
        <item m="1" x="44"/>
        <item m="1" x="45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1"/>
        <item m="1" x="62"/>
        <item m="1" x="63"/>
        <item m="1" x="64"/>
        <item m="1" x="12"/>
        <item m="1" x="13"/>
        <item m="1" x="14"/>
        <item m="1" x="15"/>
        <item m="1" x="16"/>
        <item m="1" x="17"/>
        <item m="1" x="29"/>
        <item m="1" x="18"/>
        <item m="1" x="19"/>
        <item m="1" x="20"/>
        <item m="1" x="22"/>
        <item m="1" x="23"/>
        <item m="1" x="30"/>
        <item m="1" x="24"/>
        <item m="1" x="25"/>
        <item m="1" x="26"/>
        <item m="1" x="27"/>
        <item x="3"/>
        <item x="5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numFmtId="1" outline="0" showAll="0" defaultSubtotal="0"/>
    <pivotField compact="0" outline="0" subtotalTop="0" showAll="0" defaultSubtotal="0"/>
  </pivotFields>
  <rowFields count="1">
    <field x="12"/>
  </rowFields>
  <rowItems count="4">
    <i>
      <x v="515"/>
    </i>
    <i>
      <x v="514"/>
    </i>
    <i>
      <x v="510"/>
    </i>
    <i>
      <x v="511"/>
    </i>
  </rowItems>
  <colItems count="1">
    <i/>
  </colItems>
  <pageFields count="1">
    <pageField fld="10" hier="-1"/>
  </pageFields>
  <dataFields count="1">
    <dataField name="Suma de T.TOTAL" fld="6" baseField="7" baseItem="62" numFmtId="166"/>
  </dataFields>
  <formats count="26">
    <format dxfId="490">
      <pivotArea outline="0" collapsedLevelsAreSubtotals="1" fieldPosition="0"/>
    </format>
    <format dxfId="491">
      <pivotArea type="all" dataOnly="0" outline="0" fieldPosition="0"/>
    </format>
    <format dxfId="492">
      <pivotArea outline="0" collapsedLevelsAreSubtotals="1" fieldPosition="0"/>
    </format>
    <format dxfId="493">
      <pivotArea field="7" type="button" dataOnly="0" labelOnly="1" outline="0"/>
    </format>
    <format dxfId="494">
      <pivotArea dataOnly="0" labelOnly="1" grandRow="1" outline="0" fieldPosition="0"/>
    </format>
    <format dxfId="495">
      <pivotArea dataOnly="0" labelOnly="1" outline="0" axis="axisValues" fieldPosition="0"/>
    </format>
    <format dxfId="496">
      <pivotArea type="all" dataOnly="0" outline="0" fieldPosition="0"/>
    </format>
    <format dxfId="497">
      <pivotArea outline="0" collapsedLevelsAreSubtotals="1" fieldPosition="0"/>
    </format>
    <format dxfId="498">
      <pivotArea dataOnly="0" labelOnly="1" grandRow="1" outline="0" fieldPosition="0"/>
    </format>
    <format dxfId="499">
      <pivotArea dataOnly="0" labelOnly="1" outline="0" axis="axisValues" fieldPosition="0"/>
    </format>
    <format dxfId="500">
      <pivotArea field="12" type="button" dataOnly="0" labelOnly="1" outline="0" axis="axisRow" fieldPosition="0"/>
    </format>
    <format dxfId="501">
      <pivotArea field="7" type="button" dataOnly="0" labelOnly="1" outline="0"/>
    </format>
    <format dxfId="502">
      <pivotArea dataOnly="0" labelOnly="1" outline="0" fieldPosition="0">
        <references count="1">
          <reference field="12" count="8">
            <x v="2"/>
            <x v="3"/>
            <x v="7"/>
            <x v="8"/>
            <x v="9"/>
            <x v="10"/>
            <x v="13"/>
            <x v="17"/>
          </reference>
        </references>
      </pivotArea>
    </format>
    <format dxfId="503">
      <pivotArea dataOnly="0" labelOnly="1" outline="0" fieldPosition="0">
        <references count="1">
          <reference field="12" count="8" defaultSubtotal="1">
            <x v="2"/>
            <x v="3"/>
            <x v="7"/>
            <x v="8"/>
            <x v="9"/>
            <x v="10"/>
            <x v="13"/>
            <x v="17"/>
          </reference>
        </references>
      </pivotArea>
    </format>
    <format dxfId="504">
      <pivotArea field="12" type="button" dataOnly="0" labelOnly="1" outline="0" axis="axisRow" fieldPosition="0"/>
    </format>
    <format dxfId="505">
      <pivotArea field="7" type="button" dataOnly="0" labelOnly="1" outline="0"/>
    </format>
    <format dxfId="506">
      <pivotArea dataOnly="0" labelOnly="1" outline="0" fieldPosition="0">
        <references count="1">
          <reference field="12" count="8">
            <x v="2"/>
            <x v="3"/>
            <x v="7"/>
            <x v="8"/>
            <x v="9"/>
            <x v="10"/>
            <x v="13"/>
            <x v="17"/>
          </reference>
        </references>
      </pivotArea>
    </format>
    <format dxfId="507">
      <pivotArea dataOnly="0" labelOnly="1" outline="0" fieldPosition="0">
        <references count="1">
          <reference field="12" count="8" defaultSubtotal="1">
            <x v="2"/>
            <x v="3"/>
            <x v="7"/>
            <x v="8"/>
            <x v="9"/>
            <x v="10"/>
            <x v="13"/>
            <x v="17"/>
          </reference>
        </references>
      </pivotArea>
    </format>
    <format dxfId="508">
      <pivotArea field="12" type="button" dataOnly="0" labelOnly="1" outline="0" axis="axisRow" fieldPosition="0"/>
    </format>
    <format dxfId="509">
      <pivotArea field="7" type="button" dataOnly="0" labelOnly="1" outline="0"/>
    </format>
    <format dxfId="510">
      <pivotArea dataOnly="0" labelOnly="1" outline="0" fieldPosition="0">
        <references count="1">
          <reference field="12" count="8">
            <x v="2"/>
            <x v="3"/>
            <x v="7"/>
            <x v="8"/>
            <x v="9"/>
            <x v="10"/>
            <x v="13"/>
            <x v="17"/>
          </reference>
        </references>
      </pivotArea>
    </format>
    <format dxfId="511">
      <pivotArea dataOnly="0" labelOnly="1" outline="0" fieldPosition="0">
        <references count="1">
          <reference field="12" count="8" defaultSubtotal="1">
            <x v="2"/>
            <x v="3"/>
            <x v="7"/>
            <x v="8"/>
            <x v="9"/>
            <x v="10"/>
            <x v="13"/>
            <x v="17"/>
          </reference>
        </references>
      </pivotArea>
    </format>
    <format dxfId="512">
      <pivotArea outline="0" collapsedLevelsAreSubtotals="1" fieldPosition="0"/>
    </format>
    <format dxfId="513">
      <pivotArea dataOnly="0" labelOnly="1" outline="0" axis="axisValues" fieldPosition="0"/>
    </format>
    <format dxfId="514">
      <pivotArea field="12" type="button" dataOnly="0" labelOnly="1" outline="0" axis="axisRow" fieldPosition="0"/>
    </format>
    <format dxfId="51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0F5506-F0E8-471D-92AB-F2ACE683E3A1}" name="TablaDinámica1" cacheId="1148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>
  <location ref="V7:W11" firstHeaderRow="1" firstDataRow="1" firstDataCol="1" rowPageCount="1" colPageCount="1"/>
  <pivotFields count="16"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105">
        <item m="1" x="14"/>
        <item m="1" x="94"/>
        <item m="1" x="42"/>
        <item m="1" x="86"/>
        <item m="1" x="43"/>
        <item m="1" x="50"/>
        <item m="1" x="55"/>
        <item m="1" x="89"/>
        <item m="1" x="16"/>
        <item m="1" x="47"/>
        <item m="1" x="22"/>
        <item x="2"/>
        <item m="1" x="99"/>
        <item m="1" x="100"/>
        <item m="1" x="75"/>
        <item m="1" x="61"/>
        <item x="6"/>
        <item m="1" x="96"/>
        <item m="1" x="95"/>
        <item m="1" x="82"/>
        <item m="1" x="91"/>
        <item m="1" x="101"/>
        <item m="1" x="70"/>
        <item m="1" x="48"/>
        <item m="1" x="63"/>
        <item x="4"/>
        <item m="1" x="90"/>
        <item m="1" x="53"/>
        <item m="1" x="56"/>
        <item m="1" x="79"/>
        <item m="1" x="39"/>
        <item m="1" x="84"/>
        <item x="8"/>
        <item m="1" x="59"/>
        <item m="1" x="62"/>
        <item m="1" x="64"/>
        <item m="1" x="69"/>
        <item m="1" x="23"/>
        <item m="1" x="17"/>
        <item m="1" x="32"/>
        <item m="1" x="20"/>
        <item m="1" x="15"/>
        <item m="1" x="26"/>
        <item x="9"/>
        <item m="1" x="24"/>
        <item m="1" x="73"/>
        <item m="1" x="18"/>
        <item m="1" x="36"/>
        <item m="1" x="87"/>
        <item m="1" x="77"/>
        <item m="1" x="71"/>
        <item m="1" x="34"/>
        <item m="1" x="52"/>
        <item m="1" x="28"/>
        <item m="1" x="35"/>
        <item m="1" x="97"/>
        <item m="1" x="78"/>
        <item m="1" x="41"/>
        <item m="1" x="83"/>
        <item m="1" x="93"/>
        <item m="1" x="49"/>
        <item m="1" x="80"/>
        <item m="1" x="13"/>
        <item x="1"/>
        <item m="1" x="38"/>
        <item m="1" x="37"/>
        <item m="1" x="68"/>
        <item m="1" x="44"/>
        <item m="1" x="33"/>
        <item m="1" x="72"/>
        <item m="1" x="57"/>
        <item m="1" x="88"/>
        <item m="1" x="11"/>
        <item x="7"/>
        <item m="1" x="12"/>
        <item x="0"/>
        <item m="1" x="19"/>
        <item m="1" x="81"/>
        <item m="1" x="54"/>
        <item x="5"/>
        <item m="1" x="27"/>
        <item m="1" x="29"/>
        <item m="1" x="103"/>
        <item m="1" x="45"/>
        <item m="1" x="60"/>
        <item m="1" x="21"/>
        <item m="1" x="85"/>
        <item m="1" x="66"/>
        <item m="1" x="102"/>
        <item m="1" x="74"/>
        <item m="1" x="25"/>
        <item m="1" x="76"/>
        <item m="1" x="58"/>
        <item m="1" x="98"/>
        <item m="1" x="92"/>
        <item x="10"/>
        <item m="1" x="40"/>
        <item m="1" x="67"/>
        <item m="1" x="65"/>
        <item m="1" x="30"/>
        <item m="1" x="51"/>
        <item m="1" x="46"/>
        <item m="1" x="3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1" showAll="0"/>
    <pivotField showAll="0"/>
  </pivotFields>
  <rowFields count="1">
    <field x="7"/>
  </rowFields>
  <rowItems count="4">
    <i>
      <x v="43"/>
    </i>
    <i>
      <x v="32"/>
    </i>
    <i>
      <x v="103"/>
    </i>
    <i>
      <x v="79"/>
    </i>
  </rowItems>
  <colItems count="1">
    <i/>
  </colItems>
  <pageFields count="1">
    <pageField fld="10" hier="-1"/>
  </pageFields>
  <dataFields count="1">
    <dataField name="Suma de T.TOTAL" fld="6" baseField="0" baseItem="2" numFmtId="166"/>
  </dataFields>
  <formats count="32">
    <format dxfId="458">
      <pivotArea outline="0" collapsedLevelsAreSubtotals="1" fieldPosition="0"/>
    </format>
    <format dxfId="459">
      <pivotArea type="all" dataOnly="0" outline="0" fieldPosition="0"/>
    </format>
    <format dxfId="460">
      <pivotArea outline="0" collapsedLevelsAreSubtotals="1" fieldPosition="0"/>
    </format>
    <format dxfId="461">
      <pivotArea field="7" type="button" dataOnly="0" labelOnly="1" outline="0" axis="axisRow" fieldPosition="0"/>
    </format>
    <format dxfId="462">
      <pivotArea dataOnly="0" labelOnly="1" fieldPosition="0">
        <references count="1">
          <reference field="7" count="6">
            <x v="11"/>
            <x v="23"/>
            <x v="41"/>
            <x v="44"/>
            <x v="54"/>
            <x v="62"/>
          </reference>
        </references>
      </pivotArea>
    </format>
    <format dxfId="463">
      <pivotArea dataOnly="0" labelOnly="1" grandRow="1" outline="0" fieldPosition="0"/>
    </format>
    <format dxfId="464">
      <pivotArea dataOnly="0" labelOnly="1" outline="0" axis="axisValues" fieldPosition="0"/>
    </format>
    <format dxfId="465">
      <pivotArea type="all" dataOnly="0" outline="0" fieldPosition="0"/>
    </format>
    <format dxfId="466">
      <pivotArea outline="0" collapsedLevelsAreSubtotals="1" fieldPosition="0"/>
    </format>
    <format dxfId="467">
      <pivotArea field="7" type="button" dataOnly="0" labelOnly="1" outline="0" axis="axisRow" fieldPosition="0"/>
    </format>
    <format dxfId="468">
      <pivotArea dataOnly="0" labelOnly="1" fieldPosition="0">
        <references count="1">
          <reference field="7" count="6">
            <x v="11"/>
            <x v="23"/>
            <x v="41"/>
            <x v="44"/>
            <x v="54"/>
            <x v="62"/>
          </reference>
        </references>
      </pivotArea>
    </format>
    <format dxfId="469">
      <pivotArea dataOnly="0" labelOnly="1" grandRow="1" outline="0" fieldPosition="0"/>
    </format>
    <format dxfId="470">
      <pivotArea dataOnly="0" labelOnly="1" outline="0" axis="axisValues" fieldPosition="0"/>
    </format>
    <format dxfId="471">
      <pivotArea type="all" dataOnly="0" outline="0" fieldPosition="0"/>
    </format>
    <format dxfId="472">
      <pivotArea outline="0" collapsedLevelsAreSubtotals="1" fieldPosition="0"/>
    </format>
    <format dxfId="473">
      <pivotArea field="7" type="button" dataOnly="0" labelOnly="1" outline="0" axis="axisRow" fieldPosition="0"/>
    </format>
    <format dxfId="474">
      <pivotArea dataOnly="0" labelOnly="1" fieldPosition="0">
        <references count="1">
          <reference field="7" count="6">
            <x v="11"/>
            <x v="23"/>
            <x v="41"/>
            <x v="44"/>
            <x v="54"/>
            <x v="62"/>
          </reference>
        </references>
      </pivotArea>
    </format>
    <format dxfId="475">
      <pivotArea dataOnly="0" labelOnly="1" outline="0" axis="axisValues" fieldPosition="0"/>
    </format>
    <format dxfId="476">
      <pivotArea field="10" type="button" dataOnly="0" labelOnly="1" outline="0" axis="axisPage" fieldPosition="0"/>
    </format>
    <format dxfId="477">
      <pivotArea field="7" type="button" dataOnly="0" labelOnly="1" outline="0" axis="axisRow" fieldPosition="0"/>
    </format>
    <format dxfId="478">
      <pivotArea dataOnly="0" labelOnly="1" fieldPosition="0">
        <references count="1">
          <reference field="7" count="6">
            <x v="11"/>
            <x v="23"/>
            <x v="41"/>
            <x v="44"/>
            <x v="54"/>
            <x v="62"/>
          </reference>
        </references>
      </pivotArea>
    </format>
    <format dxfId="479">
      <pivotArea outline="0" collapsedLevelsAreSubtotals="1" fieldPosition="0"/>
    </format>
    <format dxfId="480">
      <pivotArea dataOnly="0" labelOnly="1" outline="0" fieldPosition="0">
        <references count="1">
          <reference field="10" count="0"/>
        </references>
      </pivotArea>
    </format>
    <format dxfId="481">
      <pivotArea dataOnly="0" labelOnly="1" outline="0" axis="axisValues" fieldPosition="0"/>
    </format>
    <format dxfId="482">
      <pivotArea outline="0" collapsedLevelsAreSubtotals="1" fieldPosition="0"/>
    </format>
    <format dxfId="483">
      <pivotArea dataOnly="0" labelOnly="1" outline="0" fieldPosition="0">
        <references count="1">
          <reference field="10" count="0"/>
        </references>
      </pivotArea>
    </format>
    <format dxfId="484">
      <pivotArea dataOnly="0" labelOnly="1" outline="0" axis="axisValues" fieldPosition="0"/>
    </format>
    <format dxfId="485">
      <pivotArea outline="0" collapsedLevelsAreSubtotals="1" fieldPosition="0"/>
    </format>
    <format dxfId="486">
      <pivotArea dataOnly="0" labelOnly="1" outline="0" fieldPosition="0">
        <references count="1">
          <reference field="10" count="0"/>
        </references>
      </pivotArea>
    </format>
    <format dxfId="487">
      <pivotArea dataOnly="0" labelOnly="1" outline="0" axis="axisValues" fieldPosition="0"/>
    </format>
    <format dxfId="488">
      <pivotArea field="7" type="button" dataOnly="0" labelOnly="1" outline="0" axis="axisRow" fieldPosition="0"/>
    </format>
    <format dxfId="48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BAD54A-B37F-47B1-9EA9-39347EDFFF23}" name="TablaDinámica67" cacheId="1148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54">
  <location ref="V24:W26" firstHeaderRow="1" firstDataRow="1" firstDataCol="1"/>
  <pivotFields count="16"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 sortType="descending">
      <items count="105">
        <item m="1" x="14"/>
        <item m="1" x="94"/>
        <item m="1" x="42"/>
        <item m="1" x="86"/>
        <item m="1" x="43"/>
        <item m="1" x="50"/>
        <item m="1" x="55"/>
        <item m="1" x="89"/>
        <item m="1" x="16"/>
        <item m="1" x="47"/>
        <item m="1" x="22"/>
        <item x="2"/>
        <item m="1" x="99"/>
        <item m="1" x="100"/>
        <item m="1" x="75"/>
        <item m="1" x="61"/>
        <item x="6"/>
        <item m="1" x="96"/>
        <item m="1" x="95"/>
        <item m="1" x="82"/>
        <item m="1" x="91"/>
        <item m="1" x="101"/>
        <item m="1" x="70"/>
        <item m="1" x="48"/>
        <item m="1" x="63"/>
        <item x="4"/>
        <item m="1" x="90"/>
        <item m="1" x="53"/>
        <item m="1" x="56"/>
        <item m="1" x="79"/>
        <item m="1" x="39"/>
        <item m="1" x="84"/>
        <item x="8"/>
        <item m="1" x="59"/>
        <item m="1" x="62"/>
        <item m="1" x="64"/>
        <item m="1" x="69"/>
        <item m="1" x="23"/>
        <item m="1" x="17"/>
        <item m="1" x="32"/>
        <item m="1" x="20"/>
        <item m="1" x="15"/>
        <item m="1" x="26"/>
        <item x="9"/>
        <item m="1" x="24"/>
        <item m="1" x="73"/>
        <item m="1" x="18"/>
        <item m="1" x="36"/>
        <item m="1" x="87"/>
        <item m="1" x="77"/>
        <item m="1" x="71"/>
        <item m="1" x="34"/>
        <item m="1" x="52"/>
        <item m="1" x="28"/>
        <item m="1" x="35"/>
        <item m="1" x="97"/>
        <item m="1" x="78"/>
        <item m="1" x="41"/>
        <item m="1" x="83"/>
        <item m="1" x="93"/>
        <item m="1" x="49"/>
        <item m="1" x="80"/>
        <item m="1" x="13"/>
        <item x="1"/>
        <item m="1" x="38"/>
        <item m="1" x="37"/>
        <item m="1" x="68"/>
        <item m="1" x="44"/>
        <item m="1" x="33"/>
        <item m="1" x="72"/>
        <item m="1" x="57"/>
        <item m="1" x="88"/>
        <item m="1" x="11"/>
        <item x="7"/>
        <item m="1" x="12"/>
        <item x="0"/>
        <item m="1" x="19"/>
        <item m="1" x="81"/>
        <item m="1" x="54"/>
        <item x="5"/>
        <item m="1" x="27"/>
        <item m="1" x="29"/>
        <item m="1" x="103"/>
        <item m="1" x="45"/>
        <item m="1" x="60"/>
        <item m="1" x="21"/>
        <item m="1" x="85"/>
        <item m="1" x="66"/>
        <item m="1" x="102"/>
        <item m="1" x="74"/>
        <item m="1" x="25"/>
        <item m="1" x="76"/>
        <item m="1" x="58"/>
        <item m="1" x="98"/>
        <item m="1" x="92"/>
        <item x="10"/>
        <item m="1" x="40"/>
        <item m="1" x="67"/>
        <item m="1" x="65"/>
        <item m="1" x="30"/>
        <item m="1" x="51"/>
        <item m="1" x="46"/>
        <item m="1" x="3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multipleItemSelectionAllowed="1" showAll="0">
      <items count="4">
        <item x="1"/>
        <item x="0"/>
        <item h="1" x="2"/>
        <item t="default"/>
      </items>
    </pivotField>
    <pivotField showAll="0"/>
    <pivotField showAll="0"/>
    <pivotField showAll="0"/>
    <pivotField numFmtId="1" showAll="0"/>
    <pivotField showAll="0"/>
  </pivotFields>
  <rowFields count="1">
    <field x="10"/>
  </rowFields>
  <rowItems count="2">
    <i>
      <x/>
    </i>
    <i>
      <x v="1"/>
    </i>
  </rowItems>
  <colItems count="1">
    <i/>
  </colItems>
  <dataFields count="1">
    <dataField name="Suma de T.TOTAL" fld="6" baseField="0" baseItem="2" numFmtId="166"/>
  </dataFields>
  <formats count="32">
    <format dxfId="426">
      <pivotArea outline="0" collapsedLevelsAreSubtotals="1" fieldPosition="0"/>
    </format>
    <format dxfId="427">
      <pivotArea type="all" dataOnly="0" outline="0" fieldPosition="0"/>
    </format>
    <format dxfId="428">
      <pivotArea outline="0" collapsedLevelsAreSubtotals="1" fieldPosition="0"/>
    </format>
    <format dxfId="429">
      <pivotArea field="7" type="button" dataOnly="0" labelOnly="1" outline="0"/>
    </format>
    <format dxfId="430">
      <pivotArea dataOnly="0" labelOnly="1" grandRow="1" outline="0" fieldPosition="0"/>
    </format>
    <format dxfId="431">
      <pivotArea dataOnly="0" labelOnly="1" outline="0" axis="axisValues" fieldPosition="0"/>
    </format>
    <format dxfId="432">
      <pivotArea type="all" dataOnly="0" outline="0" fieldPosition="0"/>
    </format>
    <format dxfId="433">
      <pivotArea outline="0" collapsedLevelsAreSubtotals="1" fieldPosition="0"/>
    </format>
    <format dxfId="434">
      <pivotArea field="7" type="button" dataOnly="0" labelOnly="1" outline="0"/>
    </format>
    <format dxfId="435">
      <pivotArea dataOnly="0" labelOnly="1" grandRow="1" outline="0" fieldPosition="0"/>
    </format>
    <format dxfId="436">
      <pivotArea dataOnly="0" labelOnly="1" outline="0" axis="axisValues" fieldPosition="0"/>
    </format>
    <format dxfId="437">
      <pivotArea type="all" dataOnly="0" outline="0" fieldPosition="0"/>
    </format>
    <format dxfId="438">
      <pivotArea outline="0" collapsedLevelsAreSubtotals="1" fieldPosition="0"/>
    </format>
    <format dxfId="439">
      <pivotArea field="7" type="button" dataOnly="0" labelOnly="1" outline="0"/>
    </format>
    <format dxfId="440">
      <pivotArea dataOnly="0" labelOnly="1" outline="0" axis="axisValues" fieldPosition="0"/>
    </format>
    <format dxfId="441">
      <pivotArea field="10" type="button" dataOnly="0" labelOnly="1" outline="0" axis="axisRow" fieldPosition="0"/>
    </format>
    <format dxfId="442">
      <pivotArea field="7" type="button" dataOnly="0" labelOnly="1" outline="0"/>
    </format>
    <format dxfId="443">
      <pivotArea outline="0" collapsedLevelsAreSubtotals="1" fieldPosition="0"/>
    </format>
    <format dxfId="444">
      <pivotArea dataOnly="0" labelOnly="1" outline="0" fieldPosition="0">
        <references count="1">
          <reference field="10" count="0"/>
        </references>
      </pivotArea>
    </format>
    <format dxfId="445">
      <pivotArea dataOnly="0" labelOnly="1" outline="0" axis="axisValues" fieldPosition="0"/>
    </format>
    <format dxfId="446">
      <pivotArea outline="0" collapsedLevelsAreSubtotals="1" fieldPosition="0"/>
    </format>
    <format dxfId="447">
      <pivotArea dataOnly="0" labelOnly="1" outline="0" fieldPosition="0">
        <references count="1">
          <reference field="10" count="0"/>
        </references>
      </pivotArea>
    </format>
    <format dxfId="448">
      <pivotArea dataOnly="0" labelOnly="1" outline="0" axis="axisValues" fieldPosition="0"/>
    </format>
    <format dxfId="449">
      <pivotArea outline="0" collapsedLevelsAreSubtotals="1" fieldPosition="0"/>
    </format>
    <format dxfId="450">
      <pivotArea dataOnly="0" labelOnly="1" outline="0" fieldPosition="0">
        <references count="1">
          <reference field="10" count="0"/>
        </references>
      </pivotArea>
    </format>
    <format dxfId="451">
      <pivotArea dataOnly="0" labelOnly="1" outline="0" axis="axisValues" fieldPosition="0"/>
    </format>
    <format dxfId="452">
      <pivotArea outline="0" collapsedLevelsAreSubtotals="1" fieldPosition="0"/>
    </format>
    <format dxfId="453">
      <pivotArea dataOnly="0" labelOnly="1" outline="0" axis="axisValues" fieldPosition="0"/>
    </format>
    <format dxfId="454">
      <pivotArea outline="0" collapsedLevelsAreSubtotals="1" fieldPosition="0"/>
    </format>
    <format dxfId="455">
      <pivotArea dataOnly="0" labelOnly="1" outline="0" axis="axisValues" fieldPosition="0"/>
    </format>
    <format dxfId="456">
      <pivotArea field="10" type="button" dataOnly="0" labelOnly="1" outline="0" axis="axisRow" fieldPosition="0"/>
    </format>
    <format dxfId="457">
      <pivotArea dataOnly="0" labelOnly="1" outline="0" axis="axisValues" fieldPosition="0"/>
    </format>
  </formats>
  <chartFormats count="42">
    <chartFormat chart="0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1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5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1" format="2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2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8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2" format="29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5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25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5" format="2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6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28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6" format="29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7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25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7" format="2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8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28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8" format="29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9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25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9" format="2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0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28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0" format="29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8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25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8" format="2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9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28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9" format="29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9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25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9" format="2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0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0" format="28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50" format="29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3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3" format="25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53" format="2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B35433-085F-4D17-A2B7-56C7E07CCA2C}" name="TablaDinámica69" cacheId="114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2">
  <location ref="N51:O58" firstHeaderRow="1" firstDataRow="1" firstDataCol="1" rowPageCount="1" colPageCount="1"/>
  <pivotFields count="16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sortType="ascending">
      <items count="20">
        <item m="1" x="17"/>
        <item x="4"/>
        <item m="1" x="12"/>
        <item m="1" x="8"/>
        <item x="2"/>
        <item m="1" x="15"/>
        <item x="1"/>
        <item m="1" x="9"/>
        <item x="6"/>
        <item x="5"/>
        <item m="1" x="14"/>
        <item x="7"/>
        <item m="1" x="16"/>
        <item m="1" x="10"/>
        <item x="0"/>
        <item m="1" x="11"/>
        <item m="1" x="18"/>
        <item m="1" x="13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4">
        <item x="1"/>
        <item x="0"/>
        <item h="1" x="2"/>
        <item t="default"/>
      </items>
    </pivotField>
    <pivotField showAll="0"/>
    <pivotField showAll="0"/>
    <pivotField showAll="0"/>
    <pivotField numFmtId="1" showAll="0"/>
    <pivotField showAll="0" sortType="descending">
      <items count="70">
        <item x="10"/>
        <item m="1" x="47"/>
        <item x="2"/>
        <item m="1" x="48"/>
        <item m="1" x="56"/>
        <item x="8"/>
        <item m="1" x="15"/>
        <item m="1" x="24"/>
        <item m="1" x="18"/>
        <item m="1" x="35"/>
        <item m="1" x="13"/>
        <item m="1" x="11"/>
        <item x="0"/>
        <item m="1" x="19"/>
        <item m="1" x="49"/>
        <item x="5"/>
        <item m="1" x="17"/>
        <item x="6"/>
        <item m="1" x="68"/>
        <item m="1" x="32"/>
        <item x="9"/>
        <item m="1" x="16"/>
        <item m="1" x="20"/>
        <item m="1" x="59"/>
        <item x="1"/>
        <item m="1" x="36"/>
        <item m="1" x="12"/>
        <item m="1" x="40"/>
        <item m="1" x="21"/>
        <item m="1" x="67"/>
        <item x="4"/>
        <item m="1" x="28"/>
        <item m="1" x="22"/>
        <item m="1" x="64"/>
        <item m="1" x="65"/>
        <item m="1" x="66"/>
        <item m="1" x="30"/>
        <item m="1" x="63"/>
        <item m="1" x="26"/>
        <item m="1" x="38"/>
        <item m="1" x="50"/>
        <item m="1" x="33"/>
        <item m="1" x="55"/>
        <item m="1" x="37"/>
        <item m="1" x="62"/>
        <item m="1" x="61"/>
        <item m="1" x="39"/>
        <item m="1" x="52"/>
        <item m="1" x="53"/>
        <item m="1" x="58"/>
        <item m="1" x="25"/>
        <item m="1" x="60"/>
        <item m="1" x="57"/>
        <item m="1" x="27"/>
        <item m="1" x="54"/>
        <item m="1" x="41"/>
        <item m="1" x="42"/>
        <item m="1" x="51"/>
        <item m="1" x="45"/>
        <item m="1" x="46"/>
        <item m="1" x="14"/>
        <item m="1" x="43"/>
        <item m="1" x="44"/>
        <item m="1" x="31"/>
        <item m="1" x="23"/>
        <item m="1" x="34"/>
        <item m="1" x="29"/>
        <item x="3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9"/>
  </rowFields>
  <rowItems count="7">
    <i>
      <x v="4"/>
    </i>
    <i>
      <x v="1"/>
    </i>
    <i>
      <x v="14"/>
    </i>
    <i>
      <x v="9"/>
    </i>
    <i>
      <x v="8"/>
    </i>
    <i>
      <x v="11"/>
    </i>
    <i>
      <x v="6"/>
    </i>
  </rowItems>
  <colItems count="1">
    <i/>
  </colItems>
  <pageFields count="1">
    <pageField fld="10" hier="-1"/>
  </pageFields>
  <dataFields count="1">
    <dataField name="Suma de T.TOTAL" fld="6" baseField="15" baseItem="0" numFmtId="166"/>
  </dataFields>
  <formats count="13">
    <format dxfId="413">
      <pivotArea outline="0" collapsedLevelsAreSubtotals="1" fieldPosition="0"/>
    </format>
    <format dxfId="414">
      <pivotArea type="all" dataOnly="0" outline="0" fieldPosition="0"/>
    </format>
    <format dxfId="415">
      <pivotArea outline="0" collapsedLevelsAreSubtotals="1" fieldPosition="0"/>
    </format>
    <format dxfId="416">
      <pivotArea field="15" type="button" dataOnly="0" labelOnly="1" outline="0"/>
    </format>
    <format dxfId="41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18">
      <pivotArea field="15" type="button" dataOnly="0" labelOnly="1" outline="0"/>
    </format>
    <format dxfId="419">
      <pivotArea dataOnly="0" labelOnly="1" outline="0" axis="axisValues" fieldPosition="0"/>
    </format>
    <format dxfId="420">
      <pivotArea field="15" type="button" dataOnly="0" labelOnly="1" outline="0"/>
    </format>
    <format dxfId="421">
      <pivotArea dataOnly="0" labelOnly="1" outline="0" axis="axisValues" fieldPosition="0"/>
    </format>
    <format dxfId="422">
      <pivotArea field="15" type="button" dataOnly="0" labelOnly="1" outline="0"/>
    </format>
    <format dxfId="423">
      <pivotArea dataOnly="0" labelOnly="1" outline="0" axis="axisValues" fieldPosition="0"/>
    </format>
    <format dxfId="424">
      <pivotArea field="9" type="button" dataOnly="0" labelOnly="1" outline="0" axis="axisRow" fieldPosition="0"/>
    </format>
    <format dxfId="425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A39A94-853D-49FF-99EE-BCBA829BD6AE}" name="TablaDinámica70" cacheId="114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">
  <location ref="Q51:R52" firstHeaderRow="1" firstDataRow="1" firstDataCol="1" rowPageCount="1" colPageCount="1"/>
  <pivotFields count="16">
    <pivotField showAll="0"/>
    <pivotField showAll="0"/>
    <pivotField showAll="0"/>
    <pivotField axis="axisRow" showAll="0">
      <items count="5">
        <item x="0"/>
        <item m="1" x="2"/>
        <item m="1" x="3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Page" multipleItemSelectionAllowed="1" showAll="0">
      <items count="4">
        <item x="1"/>
        <item x="0"/>
        <item h="1" x="2"/>
        <item t="default"/>
      </items>
    </pivotField>
    <pivotField showAll="0"/>
    <pivotField showAll="0"/>
    <pivotField showAll="0"/>
    <pivotField numFmtId="1" showAll="0"/>
    <pivotField showAll="0">
      <items count="70">
        <item x="10"/>
        <item m="1" x="47"/>
        <item x="2"/>
        <item m="1" x="48"/>
        <item m="1" x="56"/>
        <item x="8"/>
        <item m="1" x="15"/>
        <item m="1" x="24"/>
        <item m="1" x="18"/>
        <item m="1" x="35"/>
        <item m="1" x="13"/>
        <item m="1" x="11"/>
        <item x="0"/>
        <item m="1" x="19"/>
        <item m="1" x="49"/>
        <item x="5"/>
        <item m="1" x="17"/>
        <item x="6"/>
        <item m="1" x="68"/>
        <item m="1" x="32"/>
        <item x="9"/>
        <item m="1" x="16"/>
        <item m="1" x="20"/>
        <item m="1" x="59"/>
        <item x="1"/>
        <item m="1" x="36"/>
        <item m="1" x="12"/>
        <item m="1" x="40"/>
        <item m="1" x="21"/>
        <item m="1" x="67"/>
        <item x="4"/>
        <item m="1" x="28"/>
        <item m="1" x="22"/>
        <item m="1" x="64"/>
        <item m="1" x="65"/>
        <item m="1" x="66"/>
        <item m="1" x="30"/>
        <item m="1" x="63"/>
        <item m="1" x="26"/>
        <item m="1" x="38"/>
        <item m="1" x="50"/>
        <item m="1" x="33"/>
        <item m="1" x="55"/>
        <item m="1" x="37"/>
        <item m="1" x="62"/>
        <item m="1" x="61"/>
        <item m="1" x="39"/>
        <item m="1" x="52"/>
        <item m="1" x="53"/>
        <item m="1" x="58"/>
        <item m="1" x="25"/>
        <item m="1" x="60"/>
        <item m="1" x="57"/>
        <item m="1" x="27"/>
        <item m="1" x="54"/>
        <item m="1" x="41"/>
        <item m="1" x="42"/>
        <item m="1" x="51"/>
        <item m="1" x="45"/>
        <item m="1" x="46"/>
        <item m="1" x="14"/>
        <item m="1" x="43"/>
        <item m="1" x="44"/>
        <item m="1" x="31"/>
        <item m="1" x="23"/>
        <item m="1" x="34"/>
        <item m="1" x="29"/>
        <item x="3"/>
        <item x="7"/>
        <item t="default"/>
      </items>
    </pivotField>
  </pivotFields>
  <rowFields count="1">
    <field x="3"/>
  </rowFields>
  <rowItems count="1">
    <i>
      <x/>
    </i>
  </rowItems>
  <colItems count="1">
    <i/>
  </colItems>
  <pageFields count="1">
    <pageField fld="10" hier="-1"/>
  </pageFields>
  <dataFields count="1">
    <dataField name="Suma de T.TOTAL" fld="6" baseField="3" baseItem="0" numFmtId="166"/>
  </dataFields>
  <formats count="13">
    <format dxfId="400">
      <pivotArea outline="0" collapsedLevelsAreSubtotals="1" fieldPosition="0"/>
    </format>
    <format dxfId="401">
      <pivotArea type="all" dataOnly="0" outline="0" fieldPosition="0"/>
    </format>
    <format dxfId="402">
      <pivotArea outline="0" collapsedLevelsAreSubtotals="1" fieldPosition="0"/>
    </format>
    <format dxfId="403">
      <pivotArea field="15" type="button" dataOnly="0" labelOnly="1" outline="0"/>
    </format>
    <format dxfId="404">
      <pivotArea field="15" type="button" dataOnly="0" labelOnly="1" outline="0"/>
    </format>
    <format dxfId="405">
      <pivotArea dataOnly="0" labelOnly="1" outline="0" axis="axisValues" fieldPosition="0"/>
    </format>
    <format dxfId="406">
      <pivotArea field="15" type="button" dataOnly="0" labelOnly="1" outline="0"/>
    </format>
    <format dxfId="407">
      <pivotArea dataOnly="0" labelOnly="1" outline="0" axis="axisValues" fieldPosition="0"/>
    </format>
    <format dxfId="408">
      <pivotArea field="15" type="button" dataOnly="0" labelOnly="1" outline="0"/>
    </format>
    <format dxfId="409">
      <pivotArea dataOnly="0" labelOnly="1" outline="0" axis="axisValues" fieldPosition="0"/>
    </format>
    <format dxfId="410">
      <pivotArea outline="0" collapsedLevelsAreSubtotals="1" fieldPosition="0"/>
    </format>
    <format dxfId="411">
      <pivotArea field="3" type="button" dataOnly="0" labelOnly="1" outline="0" axis="axisRow" fieldPosition="0"/>
    </format>
    <format dxfId="41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8770F4-731D-4CAE-99D1-26AA6A3BDE8A}" name="TablaDinámica3" cacheId="114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N25:O29" firstHeaderRow="1" firstDataRow="1" firstDataCol="1" rowPageCount="1" colPageCount="1"/>
  <pivotFields count="16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1" showAll="0"/>
    <pivotField axis="axisRow" showAll="0" sortType="descending">
      <items count="70">
        <item x="10"/>
        <item m="1" x="47"/>
        <item x="2"/>
        <item m="1" x="48"/>
        <item m="1" x="56"/>
        <item x="8"/>
        <item m="1" x="15"/>
        <item m="1" x="24"/>
        <item m="1" x="18"/>
        <item m="1" x="35"/>
        <item m="1" x="13"/>
        <item m="1" x="11"/>
        <item x="0"/>
        <item m="1" x="19"/>
        <item m="1" x="49"/>
        <item x="5"/>
        <item m="1" x="17"/>
        <item x="6"/>
        <item m="1" x="68"/>
        <item m="1" x="32"/>
        <item x="9"/>
        <item m="1" x="16"/>
        <item m="1" x="20"/>
        <item m="1" x="59"/>
        <item x="1"/>
        <item m="1" x="36"/>
        <item m="1" x="12"/>
        <item m="1" x="40"/>
        <item m="1" x="21"/>
        <item m="1" x="67"/>
        <item x="4"/>
        <item m="1" x="28"/>
        <item m="1" x="22"/>
        <item m="1" x="64"/>
        <item m="1" x="65"/>
        <item m="1" x="66"/>
        <item m="1" x="30"/>
        <item m="1" x="63"/>
        <item m="1" x="26"/>
        <item m="1" x="38"/>
        <item m="1" x="50"/>
        <item m="1" x="33"/>
        <item m="1" x="55"/>
        <item m="1" x="37"/>
        <item m="1" x="62"/>
        <item m="1" x="61"/>
        <item m="1" x="39"/>
        <item m="1" x="52"/>
        <item m="1" x="53"/>
        <item m="1" x="58"/>
        <item m="1" x="25"/>
        <item m="1" x="60"/>
        <item m="1" x="57"/>
        <item m="1" x="27"/>
        <item m="1" x="54"/>
        <item m="1" x="41"/>
        <item m="1" x="42"/>
        <item m="1" x="51"/>
        <item m="1" x="45"/>
        <item m="1" x="46"/>
        <item m="1" x="14"/>
        <item m="1" x="43"/>
        <item m="1" x="44"/>
        <item m="1" x="31"/>
        <item m="1" x="23"/>
        <item m="1" x="34"/>
        <item m="1" x="29"/>
        <item x="3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5"/>
  </rowFields>
  <rowItems count="4">
    <i>
      <x v="20"/>
    </i>
    <i>
      <x v="5"/>
    </i>
    <i>
      <x v="67"/>
    </i>
    <i>
      <x v="15"/>
    </i>
  </rowItems>
  <colItems count="1">
    <i/>
  </colItems>
  <pageFields count="1">
    <pageField fld="10" hier="-1"/>
  </pageFields>
  <dataFields count="1">
    <dataField name="Suma de T.TOTAL" fld="6" baseField="15" baseItem="0" numFmtId="166"/>
  </dataFields>
  <formats count="14">
    <format dxfId="386">
      <pivotArea outline="0" collapsedLevelsAreSubtotals="1" fieldPosition="0"/>
    </format>
    <format dxfId="387">
      <pivotArea type="all" dataOnly="0" outline="0" fieldPosition="0"/>
    </format>
    <format dxfId="388">
      <pivotArea outline="0" collapsedLevelsAreSubtotals="1" fieldPosition="0"/>
    </format>
    <format dxfId="389">
      <pivotArea field="15" type="button" dataOnly="0" labelOnly="1" outline="0" axis="axisRow" fieldPosition="0"/>
    </format>
    <format dxfId="390">
      <pivotArea dataOnly="0" labelOnly="1" fieldPosition="0">
        <references count="1">
          <reference field="15" count="6">
            <x v="2"/>
            <x v="3"/>
            <x v="6"/>
            <x v="7"/>
            <x v="9"/>
            <x v="10"/>
          </reference>
        </references>
      </pivotArea>
    </format>
    <format dxfId="39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92">
      <pivotArea field="15" type="button" dataOnly="0" labelOnly="1" outline="0" axis="axisRow" fieldPosition="0"/>
    </format>
    <format dxfId="393">
      <pivotArea dataOnly="0" labelOnly="1" outline="0" axis="axisValues" fieldPosition="0"/>
    </format>
    <format dxfId="394">
      <pivotArea field="15" type="button" dataOnly="0" labelOnly="1" outline="0" axis="axisRow" fieldPosition="0"/>
    </format>
    <format dxfId="395">
      <pivotArea dataOnly="0" labelOnly="1" outline="0" axis="axisValues" fieldPosition="0"/>
    </format>
    <format dxfId="396">
      <pivotArea field="15" type="button" dataOnly="0" labelOnly="1" outline="0" axis="axisRow" fieldPosition="0"/>
    </format>
    <format dxfId="397">
      <pivotArea dataOnly="0" labelOnly="1" outline="0" axis="axisValues" fieldPosition="0"/>
    </format>
    <format dxfId="398">
      <pivotArea field="15" type="button" dataOnly="0" labelOnly="1" outline="0" axis="axisRow" fieldPosition="0"/>
    </format>
    <format dxfId="39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D973E8-D99D-4032-BB58-AB9FD6413764}" name="TablaDinámica25" cacheId="11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W355:Y381" firstHeaderRow="0" firstDataRow="1" firstDataCol="1" rowPageCount="1" colPageCount="1"/>
  <pivotFields count="32">
    <pivotField axis="axisRow" numFmtId="14" showAll="0">
      <items count="2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t="default"/>
      </items>
    </pivotField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showAll="0"/>
    <pivotField dataField="1" showAll="0"/>
    <pivotField numFmtId="4" showAll="0"/>
    <pivotField numFmtId="4" showAll="0"/>
    <pivotField numFmtId="4" showAll="0"/>
    <pivotField showAll="0"/>
    <pivotField numFmtId="4" showAll="0"/>
    <pivotField numFmtId="4" showAll="0"/>
    <pivotField numFmtId="4" showAll="0"/>
    <pivotField showAll="0"/>
    <pivotField numFmtId="4" showAll="0"/>
    <pivotField numFmtId="9" showAll="0"/>
    <pivotField showAll="0"/>
    <pivotField numFmtId="3" showAll="0"/>
    <pivotField numFmtId="3" showAll="0"/>
    <pivotField axis="axisPage" multipleItemSelectionAllowed="1" showAll="0">
      <items count="14">
        <item h="1" x="3"/>
        <item h="1" x="4"/>
        <item h="1" x="5"/>
        <item h="1" x="0"/>
        <item h="1" x="1"/>
        <item h="1" x="2"/>
        <item h="1" x="6"/>
        <item h="1" x="7"/>
        <item h="1" x="8"/>
        <item h="1" x="9"/>
        <item h="1" x="10"/>
        <item x="11"/>
        <item h="1" x="12"/>
        <item t="default"/>
      </items>
    </pivotField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5">
        <item sd="0" x="0"/>
        <item sd="0" x="1"/>
        <item sd="0" x="2"/>
        <item x="3"/>
        <item t="default"/>
      </items>
    </pivotField>
  </pivotFields>
  <rowFields count="1">
    <field x="0"/>
  </rowFields>
  <rowItems count="26"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 t="grand">
      <x/>
    </i>
  </rowItems>
  <colFields count="1">
    <field x="-2"/>
  </colFields>
  <colItems count="2">
    <i>
      <x/>
    </i>
    <i i="1">
      <x v="1"/>
    </i>
  </colItems>
  <pageFields count="1">
    <pageField fld="25" hier="-1"/>
  </pageFields>
  <dataFields count="2">
    <dataField name="Suma de P.ACTIVA" fld="11" baseField="0" baseItem="0"/>
    <dataField name="Suma de LCC  P.ACTIVA" fld="28" baseField="0" baseItem="0"/>
  </dataFields>
  <formats count="3">
    <format dxfId="383">
      <pivotArea dataOnly="0" labelOnly="1" fieldPosition="0">
        <references count="1">
          <reference field="0" count="20"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</reference>
        </references>
      </pivotArea>
    </format>
    <format dxfId="384">
      <pivotArea dataOnly="0" labelOnly="1" grandRow="1" outline="0" fieldPosition="0"/>
    </format>
    <format dxfId="385">
      <pivotArea collapsedLevelsAreSubtotals="1" fieldPosition="0">
        <references count="1">
          <reference field="0" count="20"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</reference>
        </references>
      </pivotArea>
    </format>
  </formats>
  <chartFormats count="4"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2C6D61-578C-4991-A784-D5F3CB6F976C}" name="TablaDinámica68" cacheId="1148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7">
  <location ref="V32:W35" firstHeaderRow="1" firstDataRow="1" firstDataCol="1"/>
  <pivotFields count="16"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 sortType="descending">
      <items count="105">
        <item m="1" x="14"/>
        <item m="1" x="94"/>
        <item m="1" x="42"/>
        <item m="1" x="86"/>
        <item m="1" x="43"/>
        <item m="1" x="50"/>
        <item m="1" x="55"/>
        <item m="1" x="89"/>
        <item m="1" x="16"/>
        <item m="1" x="47"/>
        <item m="1" x="22"/>
        <item x="2"/>
        <item m="1" x="99"/>
        <item m="1" x="100"/>
        <item m="1" x="75"/>
        <item m="1" x="61"/>
        <item x="6"/>
        <item m="1" x="96"/>
        <item m="1" x="95"/>
        <item m="1" x="82"/>
        <item m="1" x="91"/>
        <item m="1" x="101"/>
        <item m="1" x="70"/>
        <item m="1" x="48"/>
        <item m="1" x="63"/>
        <item x="4"/>
        <item m="1" x="90"/>
        <item m="1" x="53"/>
        <item m="1" x="56"/>
        <item m="1" x="79"/>
        <item m="1" x="39"/>
        <item m="1" x="84"/>
        <item x="8"/>
        <item m="1" x="59"/>
        <item m="1" x="62"/>
        <item m="1" x="64"/>
        <item m="1" x="69"/>
        <item m="1" x="23"/>
        <item m="1" x="17"/>
        <item m="1" x="32"/>
        <item m="1" x="20"/>
        <item m="1" x="15"/>
        <item m="1" x="26"/>
        <item x="9"/>
        <item m="1" x="24"/>
        <item m="1" x="73"/>
        <item m="1" x="18"/>
        <item m="1" x="36"/>
        <item m="1" x="87"/>
        <item m="1" x="77"/>
        <item m="1" x="71"/>
        <item m="1" x="34"/>
        <item m="1" x="52"/>
        <item m="1" x="28"/>
        <item m="1" x="35"/>
        <item m="1" x="97"/>
        <item m="1" x="78"/>
        <item m="1" x="41"/>
        <item m="1" x="83"/>
        <item m="1" x="93"/>
        <item m="1" x="49"/>
        <item m="1" x="80"/>
        <item m="1" x="13"/>
        <item x="1"/>
        <item m="1" x="38"/>
        <item m="1" x="37"/>
        <item m="1" x="68"/>
        <item m="1" x="44"/>
        <item m="1" x="33"/>
        <item m="1" x="72"/>
        <item m="1" x="57"/>
        <item m="1" x="88"/>
        <item m="1" x="11"/>
        <item x="7"/>
        <item m="1" x="12"/>
        <item x="0"/>
        <item m="1" x="19"/>
        <item m="1" x="81"/>
        <item m="1" x="54"/>
        <item x="5"/>
        <item m="1" x="27"/>
        <item m="1" x="29"/>
        <item m="1" x="103"/>
        <item m="1" x="45"/>
        <item m="1" x="60"/>
        <item m="1" x="21"/>
        <item m="1" x="85"/>
        <item m="1" x="66"/>
        <item m="1" x="102"/>
        <item m="1" x="74"/>
        <item m="1" x="25"/>
        <item m="1" x="76"/>
        <item m="1" x="58"/>
        <item m="1" x="98"/>
        <item m="1" x="92"/>
        <item x="10"/>
        <item m="1" x="40"/>
        <item m="1" x="67"/>
        <item m="1" x="65"/>
        <item m="1" x="30"/>
        <item m="1" x="51"/>
        <item m="1" x="46"/>
        <item m="1" x="3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multipleItemSelectionAllowed="1" showAll="0">
      <items count="4">
        <item x="1"/>
        <item x="0"/>
        <item h="1" x="2"/>
        <item t="default"/>
      </items>
    </pivotField>
    <pivotField axis="axisRow" showAll="0">
      <items count="6">
        <item m="1" x="4"/>
        <item m="1" x="3"/>
        <item x="1"/>
        <item x="2"/>
        <item x="0"/>
        <item t="default"/>
      </items>
    </pivotField>
    <pivotField showAll="0"/>
    <pivotField showAll="0"/>
    <pivotField numFmtId="1" showAll="0"/>
    <pivotField showAll="0"/>
  </pivotFields>
  <rowFields count="1">
    <field x="11"/>
  </rowFields>
  <rowItems count="3">
    <i>
      <x v="2"/>
    </i>
    <i>
      <x v="3"/>
    </i>
    <i>
      <x v="4"/>
    </i>
  </rowItems>
  <colItems count="1">
    <i/>
  </colItems>
  <dataFields count="1">
    <dataField name="Suma de T.TOTAL" fld="6" baseField="0" baseItem="2" numFmtId="166"/>
  </dataFields>
  <formats count="29">
    <format dxfId="354">
      <pivotArea outline="0" collapsedLevelsAreSubtotals="1" fieldPosition="0"/>
    </format>
    <format dxfId="355">
      <pivotArea type="all" dataOnly="0" outline="0" fieldPosition="0"/>
    </format>
    <format dxfId="356">
      <pivotArea outline="0" collapsedLevelsAreSubtotals="1" fieldPosition="0"/>
    </format>
    <format dxfId="357">
      <pivotArea field="7" type="button" dataOnly="0" labelOnly="1" outline="0"/>
    </format>
    <format dxfId="358">
      <pivotArea dataOnly="0" labelOnly="1" grandRow="1" outline="0" fieldPosition="0"/>
    </format>
    <format dxfId="359">
      <pivotArea dataOnly="0" labelOnly="1" outline="0" axis="axisValues" fieldPosition="0"/>
    </format>
    <format dxfId="360">
      <pivotArea type="all" dataOnly="0" outline="0" fieldPosition="0"/>
    </format>
    <format dxfId="361">
      <pivotArea outline="0" collapsedLevelsAreSubtotals="1" fieldPosition="0"/>
    </format>
    <format dxfId="362">
      <pivotArea field="7" type="button" dataOnly="0" labelOnly="1" outline="0"/>
    </format>
    <format dxfId="363">
      <pivotArea dataOnly="0" labelOnly="1" grandRow="1" outline="0" fieldPosition="0"/>
    </format>
    <format dxfId="364">
      <pivotArea dataOnly="0" labelOnly="1" outline="0" axis="axisValues" fieldPosition="0"/>
    </format>
    <format dxfId="365">
      <pivotArea type="all" dataOnly="0" outline="0" fieldPosition="0"/>
    </format>
    <format dxfId="366">
      <pivotArea outline="0" collapsedLevelsAreSubtotals="1" fieldPosition="0"/>
    </format>
    <format dxfId="367">
      <pivotArea field="7" type="button" dataOnly="0" labelOnly="1" outline="0"/>
    </format>
    <format dxfId="368">
      <pivotArea dataOnly="0" labelOnly="1" outline="0" axis="axisValues" fieldPosition="0"/>
    </format>
    <format dxfId="369">
      <pivotArea field="10" type="button" dataOnly="0" labelOnly="1" outline="0"/>
    </format>
    <format dxfId="370">
      <pivotArea field="7" type="button" dataOnly="0" labelOnly="1" outline="0"/>
    </format>
    <format dxfId="371">
      <pivotArea outline="0" collapsedLevelsAreSubtotals="1" fieldPosition="0"/>
    </format>
    <format dxfId="372">
      <pivotArea dataOnly="0" labelOnly="1" outline="0" axis="axisValues" fieldPosition="0"/>
    </format>
    <format dxfId="373">
      <pivotArea outline="0" collapsedLevelsAreSubtotals="1" fieldPosition="0"/>
    </format>
    <format dxfId="374">
      <pivotArea dataOnly="0" labelOnly="1" outline="0" axis="axisValues" fieldPosition="0"/>
    </format>
    <format dxfId="375">
      <pivotArea outline="0" collapsedLevelsAreSubtotals="1" fieldPosition="0"/>
    </format>
    <format dxfId="376">
      <pivotArea dataOnly="0" labelOnly="1" outline="0" axis="axisValues" fieldPosition="0"/>
    </format>
    <format dxfId="377">
      <pivotArea outline="0" collapsedLevelsAreSubtotals="1" fieldPosition="0"/>
    </format>
    <format dxfId="378">
      <pivotArea dataOnly="0" labelOnly="1" outline="0" axis="axisValues" fieldPosition="0"/>
    </format>
    <format dxfId="379">
      <pivotArea outline="0" collapsedLevelsAreSubtotals="1" fieldPosition="0"/>
    </format>
    <format dxfId="380">
      <pivotArea dataOnly="0" labelOnly="1" outline="0" axis="axisValues" fieldPosition="0"/>
    </format>
    <format dxfId="381">
      <pivotArea field="11" type="button" dataOnly="0" labelOnly="1" outline="0" axis="axisRow" fieldPosition="0"/>
    </format>
    <format dxfId="382">
      <pivotArea dataOnly="0" labelOnly="1" outline="0" axis="axisValues" fieldPosition="0"/>
    </format>
  </formats>
  <chartFormats count="1">
    <chartFormat chart="0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B28082-FA02-4CF4-9ED3-F592788D7271}" name="TablaDinámica1" cacheId="1147" applyNumberFormats="0" applyBorderFormats="0" applyFontFormats="0" applyPatternFormats="0" applyAlignmentFormats="0" applyWidthHeightFormats="1" dataCaption="Valores" updatedVersion="8" minRefreshableVersion="3" colGrandTotals="0" itemPrintTitles="1" createdVersion="8" indent="0" compact="0" compactData="0" multipleFieldFilters="0" chartFormat="1">
  <location ref="B5:E7" firstHeaderRow="0" firstDataRow="1" firstDataCol="2"/>
  <pivotFields count="21">
    <pivotField compact="0" outline="0" subtotalTop="0" showAll="0" defaultSubtotal="0">
      <items count="1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6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4"/>
        <item x="73"/>
        <item x="75"/>
        <item x="76"/>
        <item x="77"/>
        <item x="78"/>
        <item x="81"/>
        <item x="79"/>
        <item x="80"/>
        <item x="82"/>
        <item x="83"/>
        <item x="84"/>
        <item x="85"/>
        <item x="86"/>
        <item x="87"/>
        <item x="88"/>
        <item x="90"/>
        <item x="89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</items>
    </pivotField>
    <pivotField compact="0" outline="0" subtotalTop="0" showAll="0" defaultSubtotal="0"/>
    <pivotField compact="0" outline="0" subtotalTop="0" showAll="0" defaultSubtotal="0"/>
    <pivotField compact="0" numFmtId="164" outline="0" subtotalTop="0" showAll="0" defaultSubtotal="0"/>
    <pivotField compact="0" numFmtId="164" outline="0" subtotalTop="0" showAll="0" defaultSubtotal="0"/>
    <pivotField dataField="1" compact="0" outline="0" subtotalTop="0" showAll="0" defaultSubtotal="0"/>
    <pivotField compact="0" outline="0" subtotalTop="0" showAll="0" defaultSubtotal="0">
      <items count="117">
        <item h="1" m="1" x="116"/>
        <item h="1" x="23"/>
        <item h="1" x="54"/>
        <item h="1" x="74"/>
        <item h="1" x="68"/>
        <item h="1" x="9"/>
        <item h="1" x="94"/>
        <item h="1" x="86"/>
        <item h="1" x="96"/>
        <item h="1" x="82"/>
        <item h="1" x="50"/>
        <item h="1" x="49"/>
        <item h="1" x="76"/>
        <item h="1" x="1"/>
        <item h="1" x="17"/>
        <item h="1" x="60"/>
        <item h="1" x="33"/>
        <item h="1" x="37"/>
        <item h="1" x="63"/>
        <item h="1" x="98"/>
        <item h="1" x="45"/>
        <item h="1" x="31"/>
        <item h="1" x="46"/>
        <item h="1" x="61"/>
        <item h="1" x="53"/>
        <item h="1" x="78"/>
        <item h="1" x="24"/>
        <item h="1" x="114"/>
        <item h="1" x="20"/>
        <item h="1" x="30"/>
        <item h="1" x="58"/>
        <item h="1" x="59"/>
        <item h="1" x="108"/>
        <item h="1" x="80"/>
        <item h="1" x="16"/>
        <item h="1" x="35"/>
        <item h="1" x="87"/>
        <item h="1" x="95"/>
        <item h="1" x="99"/>
        <item h="1" x="51"/>
        <item h="1" x="8"/>
        <item h="1" x="97"/>
        <item h="1" x="40"/>
        <item h="1" x="36"/>
        <item h="1" x="70"/>
        <item h="1" x="34"/>
        <item h="1" x="26"/>
        <item h="1" x="13"/>
        <item h="1" x="55"/>
        <item h="1" x="3"/>
        <item h="1" x="27"/>
        <item h="1" x="5"/>
        <item h="1" x="29"/>
        <item h="1" x="77"/>
        <item h="1" x="28"/>
        <item h="1" x="71"/>
        <item h="1" x="109"/>
        <item h="1" x="91"/>
        <item h="1" x="62"/>
        <item h="1" x="75"/>
        <item h="1" x="115"/>
        <item h="1" x="56"/>
        <item h="1" x="6"/>
        <item h="1" x="92"/>
        <item h="1" x="22"/>
        <item h="1" x="67"/>
        <item h="1" x="89"/>
        <item h="1" x="48"/>
        <item h="1" x="4"/>
        <item h="1" x="73"/>
        <item h="1" x="111"/>
        <item h="1" x="90"/>
        <item x="2"/>
        <item h="1" x="10"/>
        <item h="1" x="69"/>
        <item h="1" x="84"/>
        <item h="1" x="102"/>
        <item h="1" x="15"/>
        <item h="1" x="47"/>
        <item h="1" x="39"/>
        <item h="1" x="113"/>
        <item h="1" x="7"/>
        <item h="1" x="42"/>
        <item h="1" x="12"/>
        <item h="1" x="105"/>
        <item h="1" x="32"/>
        <item h="1" x="79"/>
        <item h="1" x="11"/>
        <item h="1" x="65"/>
        <item h="1" x="0"/>
        <item h="1" x="93"/>
        <item h="1" x="21"/>
        <item h="1" x="83"/>
        <item h="1" x="43"/>
        <item h="1" x="18"/>
        <item h="1" x="19"/>
        <item h="1" x="103"/>
        <item h="1" x="25"/>
        <item h="1" x="41"/>
        <item h="1" x="106"/>
        <item h="1" x="66"/>
        <item h="1" x="85"/>
        <item h="1" x="112"/>
        <item h="1" x="101"/>
        <item h="1" x="52"/>
        <item h="1" x="72"/>
        <item h="1" x="100"/>
        <item h="1" x="110"/>
        <item h="1" x="57"/>
        <item h="1" x="81"/>
        <item h="1" x="14"/>
        <item h="1" x="44"/>
        <item h="1" x="107"/>
        <item h="1" x="104"/>
        <item h="1" x="88"/>
        <item h="1" x="38"/>
        <item h="1" x="64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>
      <items count="4">
        <item x="1"/>
        <item h="1" x="0"/>
        <item h="1" m="1" x="3"/>
        <item h="1" x="2"/>
      </items>
    </pivotField>
    <pivotField compact="0" outline="0" subtotalTop="0" showAll="0" defaultSubtotal="0">
      <items count="6">
        <item x="0"/>
        <item m="1" x="4"/>
        <item x="2"/>
        <item x="1"/>
        <item m="1" x="5"/>
        <item x="3"/>
      </items>
    </pivotField>
    <pivotField compact="0" outline="0" subtotalTop="0" showAll="0" defaultSubtotal="0"/>
    <pivotField compact="0" outline="0" subtotalTop="0" showAll="0" defaultSubtotal="0"/>
    <pivotField axis="axisRow" dataField="1" compact="0" outline="0" subtotalTop="0" showAll="0" sortType="ascending" defaultSubtotal="0">
      <items count="1032">
        <item x="0"/>
        <item m="1" x="774"/>
        <item m="1" x="701"/>
        <item m="1" x="143"/>
        <item m="1" x="610"/>
        <item m="1" x="637"/>
        <item m="1" x="260"/>
        <item m="1" x="710"/>
        <item m="1" x="554"/>
        <item m="1" x="586"/>
        <item m="1" x="559"/>
        <item m="1" x="592"/>
        <item m="1" x="765"/>
        <item m="1" x="602"/>
        <item m="1" x="869"/>
        <item m="1" x="872"/>
        <item m="1" x="874"/>
        <item m="1" x="870"/>
        <item m="1" x="873"/>
        <item m="1" x="871"/>
        <item m="1" x="723"/>
        <item m="1" x="727"/>
        <item m="1" x="423"/>
        <item m="1" x="678"/>
        <item m="1" x="164"/>
        <item m="1" x="340"/>
        <item m="1" x="724"/>
        <item m="1" x="719"/>
        <item m="1" x="766"/>
        <item m="1" x="615"/>
        <item m="1" x="570"/>
        <item x="29"/>
        <item m="1" x="660"/>
        <item m="1" x="850"/>
        <item x="46"/>
        <item x="24"/>
        <item m="1" x="826"/>
        <item m="1" x="364"/>
        <item x="96"/>
        <item m="1" x="989"/>
        <item m="1" x="526"/>
        <item m="1" x="968"/>
        <item m="1" x="207"/>
        <item m="1" x="741"/>
        <item m="1" x="372"/>
        <item m="1" x="208"/>
        <item m="1" x="253"/>
        <item m="1" x="210"/>
        <item m="1" x="974"/>
        <item m="1" x="205"/>
        <item m="1" x="697"/>
        <item m="1" x="411"/>
        <item m="1" x="693"/>
        <item m="1" x="863"/>
        <item m="1" x="614"/>
        <item m="1" x="346"/>
        <item m="1" x="368"/>
        <item m="1" x="577"/>
        <item m="1" x="144"/>
        <item m="1" x="283"/>
        <item m="1" x="496"/>
        <item m="1" x="909"/>
        <item m="1" x="498"/>
        <item m="1" x="389"/>
        <item m="1" x="458"/>
        <item m="1" x="699"/>
        <item m="1" x="427"/>
        <item m="1" x="442"/>
        <item x="87"/>
        <item m="1" x="459"/>
        <item m="1" x="494"/>
        <item m="1" x="426"/>
        <item m="1" x="492"/>
        <item m="1" x="698"/>
        <item m="1" x="673"/>
        <item m="1" x="435"/>
        <item m="1" x="587"/>
        <item m="1" x="1016"/>
        <item m="1" x="457"/>
        <item m="1" x="643"/>
        <item x="15"/>
        <item m="1" x="649"/>
        <item m="1" x="657"/>
        <item m="1" x="214"/>
        <item x="85"/>
        <item m="1" x="484"/>
        <item m="1" x="703"/>
        <item x="18"/>
        <item m="1" x="629"/>
        <item m="1" x="642"/>
        <item m="1" x="742"/>
        <item m="1" x="424"/>
        <item m="1" x="775"/>
        <item m="1" x="142"/>
        <item m="1" x="545"/>
        <item m="1" x="445"/>
        <item m="1" x="556"/>
        <item m="1" x="391"/>
        <item m="1" x="769"/>
        <item m="1" x="632"/>
        <item m="1" x="508"/>
        <item m="1" x="274"/>
        <item m="1" x="497"/>
        <item m="1" x="468"/>
        <item m="1" x="469"/>
        <item m="1" x="429"/>
        <item m="1" x="277"/>
        <item m="1" x="481"/>
        <item m="1" x="431"/>
        <item m="1" x="187"/>
        <item m="1" x="752"/>
        <item m="1" x="488"/>
        <item m="1" x="437"/>
        <item m="1" x="131"/>
        <item m="1" x="318"/>
        <item m="1" x="648"/>
        <item m="1" x="684"/>
        <item m="1" x="1020"/>
        <item m="1" x="671"/>
        <item m="1" x="153"/>
        <item x="9"/>
        <item m="1" x="591"/>
        <item m="1" x="711"/>
        <item m="1" x="689"/>
        <item m="1" x="465"/>
        <item x="22"/>
        <item m="1" x="738"/>
        <item m="1" x="935"/>
        <item m="1" x="911"/>
        <item m="1" x="1009"/>
        <item m="1" x="943"/>
        <item m="1" x="297"/>
        <item m="1" x="835"/>
        <item m="1" x="173"/>
        <item m="1" x="219"/>
        <item m="1" x="130"/>
        <item m="1" x="525"/>
        <item m="1" x="864"/>
        <item m="1" x="373"/>
        <item m="1" x="338"/>
        <item m="1" x="513"/>
        <item m="1" x="696"/>
        <item m="1" x="262"/>
        <item m="1" x="584"/>
        <item m="1" x="927"/>
        <item m="1" x="938"/>
        <item m="1" x="665"/>
        <item x="88"/>
        <item x="41"/>
        <item m="1" x="553"/>
        <item m="1" x="168"/>
        <item m="1" x="536"/>
        <item m="1" x="520"/>
        <item m="1" x="599"/>
        <item m="1" x="690"/>
        <item m="1" x="714"/>
        <item m="1" x="239"/>
        <item x="73"/>
        <item x="11"/>
        <item m="1" x="461"/>
        <item m="1" x="355"/>
        <item m="1" x="315"/>
        <item m="1" x="398"/>
        <item m="1" x="408"/>
        <item m="1" x="472"/>
        <item m="1" x="551"/>
        <item m="1" x="779"/>
        <item m="1" x="725"/>
        <item m="1" x="702"/>
        <item m="1" x="726"/>
        <item x="63"/>
        <item m="1" x="185"/>
        <item m="1" x="664"/>
        <item m="1" x="661"/>
        <item m="1" x="692"/>
        <item m="1" x="280"/>
        <item x="54"/>
        <item m="1" x="261"/>
        <item m="1" x="762"/>
        <item m="1" x="221"/>
        <item m="1" x="730"/>
        <item x="30"/>
        <item x="44"/>
        <item m="1" x="473"/>
        <item m="1" x="511"/>
        <item m="1" x="475"/>
        <item m="1" x="747"/>
        <item x="129"/>
        <item x="23"/>
        <item m="1" x="756"/>
        <item m="1" x="292"/>
        <item m="1" x="594"/>
        <item m="1" x="877"/>
        <item m="1" x="371"/>
        <item x="60"/>
        <item m="1" x="300"/>
        <item x="21"/>
        <item m="1" x="923"/>
        <item m="1" x="314"/>
        <item m="1" x="717"/>
        <item m="1" x="288"/>
        <item m="1" x="190"/>
        <item x="32"/>
        <item m="1" x="679"/>
        <item m="1" x="581"/>
        <item m="1" x="552"/>
        <item m="1" x="503"/>
        <item m="1" x="428"/>
        <item m="1" x="425"/>
        <item m="1" x="654"/>
        <item m="1" x="988"/>
        <item m="1" x="934"/>
        <item m="1" x="1007"/>
        <item m="1" x="669"/>
        <item m="1" x="583"/>
        <item m="1" x="601"/>
        <item m="1" x="856"/>
        <item m="1" x="979"/>
        <item x="126"/>
        <item m="1" x="670"/>
        <item m="1" x="443"/>
        <item m="1" x="194"/>
        <item m="1" x="409"/>
        <item m="1" x="454"/>
        <item m="1" x="705"/>
        <item m="1" x="369"/>
        <item m="1" x="832"/>
        <item m="1" x="580"/>
        <item m="1" x="716"/>
        <item m="1" x="613"/>
        <item m="1" x="493"/>
        <item m="1" x="900"/>
        <item m="1" x="396"/>
        <item m="1" x="446"/>
        <item m="1" x="895"/>
        <item m="1" x="535"/>
        <item m="1" x="1031"/>
        <item m="1" x="728"/>
        <item m="1" x="276"/>
        <item m="1" x="595"/>
        <item m="1" x="430"/>
        <item m="1" x="466"/>
        <item m="1" x="504"/>
        <item m="1" x="287"/>
        <item m="1" x="386"/>
        <item m="1" x="936"/>
        <item m="1" x="922"/>
        <item m="1" x="776"/>
        <item m="1" x="700"/>
        <item m="1" x="784"/>
        <item m="1" x="593"/>
        <item m="1" x="631"/>
        <item m="1" x="467"/>
        <item m="1" x="480"/>
        <item m="1" x="597"/>
        <item m="1" x="838"/>
        <item m="1" x="898"/>
        <item m="1" x="984"/>
        <item m="1" x="575"/>
        <item m="1" x="471"/>
        <item m="1" x="883"/>
        <item m="1" x="708"/>
        <item m="1" x="549"/>
        <item x="80"/>
        <item m="1" x="311"/>
        <item m="1" x="299"/>
        <item m="1" x="356"/>
        <item m="1" x="811"/>
        <item m="1" x="804"/>
        <item m="1" x="360"/>
        <item m="1" x="268"/>
        <item m="1" x="357"/>
        <item m="1" x="154"/>
        <item m="1" x="400"/>
        <item x="67"/>
        <item x="115"/>
        <item m="1" x="1017"/>
        <item m="1" x="1025"/>
        <item m="1" x="235"/>
        <item m="1" x="772"/>
        <item m="1" x="413"/>
        <item m="1" x="729"/>
        <item m="1" x="189"/>
        <item m="1" x="247"/>
        <item m="1" x="275"/>
        <item m="1" x="265"/>
        <item m="1" x="241"/>
        <item m="1" x="358"/>
        <item m="1" x="313"/>
        <item m="1" x="240"/>
        <item m="1" x="604"/>
        <item m="1" x="232"/>
        <item m="1" x="639"/>
        <item m="1" x="749"/>
        <item m="1" x="271"/>
        <item x="121"/>
        <item m="1" x="797"/>
        <item m="1" x="834"/>
        <item m="1" x="141"/>
        <item m="1" x="777"/>
        <item m="1" x="148"/>
        <item m="1" x="555"/>
        <item x="66"/>
        <item m="1" x="412"/>
        <item m="1" x="416"/>
        <item m="1" x="414"/>
        <item x="56"/>
        <item m="1" x="633"/>
        <item m="1" x="361"/>
        <item x="65"/>
        <item m="1" x="139"/>
        <item m="1" x="598"/>
        <item m="1" x="627"/>
        <item m="1" x="378"/>
        <item m="1" x="564"/>
        <item m="1" x="565"/>
        <item x="26"/>
        <item m="1" x="258"/>
        <item m="1" x="270"/>
        <item m="1" x="298"/>
        <item m="1" x="167"/>
        <item m="1" x="279"/>
        <item m="1" x="256"/>
        <item m="1" x="659"/>
        <item m="1" x="417"/>
        <item m="1" x="773"/>
        <item m="1" x="420"/>
        <item m="1" x="731"/>
        <item m="1" x="212"/>
        <item m="1" x="571"/>
        <item m="1" x="181"/>
        <item x="14"/>
        <item m="1" x="544"/>
        <item m="1" x="223"/>
        <item x="71"/>
        <item x="55"/>
        <item m="1" x="444"/>
        <item m="1" x="646"/>
        <item x="95"/>
        <item x="62"/>
        <item m="1" x="1000"/>
        <item m="1" x="973"/>
        <item m="1" x="397"/>
        <item m="1" x="667"/>
        <item m="1" x="394"/>
        <item m="1" x="624"/>
        <item m="1" x="176"/>
        <item m="1" x="566"/>
        <item m="1" x="229"/>
        <item m="1" x="884"/>
        <item m="1" x="464"/>
        <item m="1" x="197"/>
        <item m="1" x="328"/>
        <item m="1" x="367"/>
        <item m="1" x="589"/>
        <item m="1" x="172"/>
        <item m="1" x="234"/>
        <item m="1" x="345"/>
        <item x="20"/>
        <item m="1" x="969"/>
        <item m="1" x="336"/>
        <item m="1" x="322"/>
        <item x="118"/>
        <item m="1" x="263"/>
        <item m="1" x="540"/>
        <item m="1" x="184"/>
        <item x="108"/>
        <item m="1" x="304"/>
        <item m="1" x="537"/>
        <item m="1" x="230"/>
        <item m="1" x="307"/>
        <item m="1" x="541"/>
        <item m="1" x="325"/>
        <item m="1" x="158"/>
        <item m="1" x="140"/>
        <item m="1" x="770"/>
        <item m="1" x="401"/>
        <item x="76"/>
        <item m="1" x="343"/>
        <item m="1" x="971"/>
        <item m="1" x="198"/>
        <item m="1" x="344"/>
        <item m="1" x="562"/>
        <item x="107"/>
        <item x="69"/>
        <item x="102"/>
        <item m="1" x="243"/>
        <item m="1" x="531"/>
        <item m="1" x="316"/>
        <item m="1" x="720"/>
        <item m="1" x="470"/>
        <item m="1" x="755"/>
        <item m="1" x="502"/>
        <item m="1" x="721"/>
        <item m="1" x="557"/>
        <item m="1" x="603"/>
        <item x="31"/>
        <item m="1" x="618"/>
        <item m="1" x="672"/>
        <item m="1" x="362"/>
        <item m="1" x="1027"/>
        <item m="1" x="946"/>
        <item x="114"/>
        <item m="1" x="406"/>
        <item m="1" x="685"/>
        <item m="1" x="547"/>
        <item m="1" x="709"/>
        <item m="1" x="285"/>
        <item m="1" x="255"/>
        <item m="1" x="447"/>
        <item m="1" x="910"/>
        <item m="1" x="712"/>
        <item m="1" x="694"/>
        <item x="94"/>
        <item m="1" x="651"/>
        <item m="1" x="347"/>
        <item m="1" x="150"/>
        <item m="1" x="433"/>
        <item m="1" x="479"/>
        <item x="109"/>
        <item m="1" x="516"/>
        <item m="1" x="713"/>
        <item m="1" x="865"/>
        <item m="1" x="903"/>
        <item m="1" x="1028"/>
        <item m="1" x="448"/>
        <item m="1" x="645"/>
        <item m="1" x="291"/>
        <item m="1" x="305"/>
        <item m="1" x="500"/>
        <item m="1" x="879"/>
        <item x="92"/>
        <item m="1" x="341"/>
        <item m="1" x="460"/>
        <item m="1" x="282"/>
        <item x="74"/>
        <item m="1" x="543"/>
        <item x="33"/>
        <item m="1" x="324"/>
        <item m="1" x="962"/>
        <item x="45"/>
        <item m="1" x="512"/>
        <item m="1" x="1006"/>
        <item m="1" x="744"/>
        <item m="1" x="432"/>
        <item m="1" x="522"/>
        <item m="1" x="330"/>
        <item m="1" x="808"/>
        <item x="127"/>
        <item m="1" x="885"/>
        <item m="1" x="644"/>
        <item m="1" x="264"/>
        <item m="1" x="686"/>
        <item x="81"/>
        <item m="1" x="619"/>
        <item m="1" x="889"/>
        <item x="5"/>
        <item m="1" x="156"/>
        <item x="86"/>
        <item m="1" x="948"/>
        <item m="1" x="953"/>
        <item m="1" x="915"/>
        <item m="1" x="1030"/>
        <item m="1" x="949"/>
        <item m="1" x="1005"/>
        <item m="1" x="924"/>
        <item m="1" x="961"/>
        <item m="1" x="926"/>
        <item m="1" x="1014"/>
        <item m="1" x="992"/>
        <item m="1" x="920"/>
        <item m="1" x="945"/>
        <item m="1" x="986"/>
        <item m="1" x="1010"/>
        <item m="1" x="1024"/>
        <item m="1" x="919"/>
        <item m="1" x="303"/>
        <item m="1" x="998"/>
        <item m="1" x="985"/>
        <item m="1" x="950"/>
        <item m="1" x="1021"/>
        <item m="1" x="940"/>
        <item m="1" x="999"/>
        <item m="1" x="928"/>
        <item m="1" x="958"/>
        <item m="1" x="1019"/>
        <item m="1" x="1011"/>
        <item m="1" x="952"/>
        <item m="1" x="1029"/>
        <item m="1" x="951"/>
        <item m="1" x="965"/>
        <item m="1" x="404"/>
        <item m="1" x="957"/>
        <item m="1" x="907"/>
        <item m="1" x="918"/>
        <item m="1" x="991"/>
        <item m="1" x="993"/>
        <item m="1" x="1023"/>
        <item m="1" x="933"/>
        <item m="1" x="1015"/>
        <item m="1" x="990"/>
        <item m="1" x="302"/>
        <item m="1" x="746"/>
        <item m="1" x="767"/>
        <item m="1" x="623"/>
        <item m="1" x="1012"/>
        <item x="90"/>
        <item m="1" x="846"/>
        <item m="1" x="759"/>
        <item m="1" x="519"/>
        <item m="1" x="748"/>
        <item m="1" x="455"/>
        <item m="1" x="745"/>
        <item m="1" x="449"/>
        <item m="1" x="758"/>
        <item m="1" x="312"/>
        <item m="1" x="778"/>
        <item m="1" x="715"/>
        <item m="1" x="764"/>
        <item m="1" x="578"/>
        <item m="1" x="743"/>
        <item m="1" x="248"/>
        <item m="1" x="761"/>
        <item m="1" x="529"/>
        <item m="1" x="740"/>
        <item x="125"/>
        <item m="1" x="656"/>
        <item m="1" x="652"/>
        <item x="84"/>
        <item m="1" x="377"/>
        <item m="1" x="600"/>
        <item m="1" x="530"/>
        <item m="1" x="626"/>
        <item m="1" x="507"/>
        <item m="1" x="941"/>
        <item m="1" x="568"/>
        <item m="1" x="363"/>
        <item m="1" x="983"/>
        <item m="1" x="704"/>
        <item m="1" x="635"/>
        <item m="1" x="1004"/>
        <item m="1" x="739"/>
        <item x="52"/>
        <item m="1" x="456"/>
        <item m="1" x="904"/>
        <item m="1" x="518"/>
        <item m="1" x="893"/>
        <item m="1" x="963"/>
        <item m="1" x="574"/>
        <item m="1" x="675"/>
        <item m="1" x="135"/>
        <item m="1" x="352"/>
        <item x="28"/>
        <item x="42"/>
        <item m="1" x="242"/>
        <item m="1" x="640"/>
        <item m="1" x="658"/>
        <item m="1" x="174"/>
        <item m="1" x="236"/>
        <item m="1" x="474"/>
        <item m="1" x="722"/>
        <item m="1" x="539"/>
        <item m="1" x="482"/>
        <item m="1" x="254"/>
        <item m="1" x="415"/>
        <item m="1" x="323"/>
        <item m="1" x="582"/>
        <item m="1" x="981"/>
        <item m="1" x="666"/>
        <item m="1" x="897"/>
        <item m="1" x="612"/>
        <item m="1" x="257"/>
        <item m="1" x="463"/>
        <item m="1" x="332"/>
        <item m="1" x="147"/>
        <item m="1" x="707"/>
        <item m="1" x="523"/>
        <item x="64"/>
        <item m="1" x="781"/>
        <item m="1" x="815"/>
        <item m="1" x="841"/>
        <item m="1" x="809"/>
        <item m="1" x="1026"/>
        <item m="1" x="980"/>
        <item m="1" x="833"/>
        <item m="1" x="1001"/>
        <item m="1" x="1013"/>
        <item m="1" x="987"/>
        <item m="1" x="852"/>
        <item m="1" x="783"/>
        <item m="1" x="825"/>
        <item m="1" x="812"/>
        <item m="1" x="886"/>
        <item m="1" x="840"/>
        <item m="1" x="791"/>
        <item m="1" x="795"/>
        <item m="1" x="813"/>
        <item m="1" x="862"/>
        <item m="1" x="853"/>
        <item m="1" x="796"/>
        <item m="1" x="824"/>
        <item m="1" x="967"/>
        <item m="1" x="867"/>
        <item m="1" x="851"/>
        <item m="1" x="860"/>
        <item m="1" x="800"/>
        <item m="1" x="836"/>
        <item m="1" x="816"/>
        <item m="1" x="793"/>
        <item m="1" x="925"/>
        <item m="1" x="802"/>
        <item m="1" x="837"/>
        <item m="1" x="787"/>
        <item m="1" x="807"/>
        <item m="1" x="866"/>
        <item x="70"/>
        <item x="1"/>
        <item m="1" x="916"/>
        <item m="1" x="683"/>
        <item x="79"/>
        <item m="1" x="353"/>
        <item x="75"/>
        <item m="1" x="331"/>
        <item m="1" x="289"/>
        <item m="1" x="421"/>
        <item m="1" x="663"/>
        <item m="1" x="611"/>
        <item m="1" x="418"/>
        <item m="1" x="393"/>
        <item m="1" x="317"/>
        <item m="1" x="563"/>
        <item m="1" x="561"/>
        <item m="1" x="608"/>
        <item x="124"/>
        <item x="12"/>
        <item m="1" x="676"/>
        <item m="1" x="453"/>
        <item m="1" x="517"/>
        <item m="1" x="596"/>
        <item m="1" x="162"/>
        <item m="1" x="441"/>
        <item m="1" x="854"/>
        <item m="1" x="550"/>
        <item m="1" x="733"/>
        <item m="1" x="621"/>
        <item x="104"/>
        <item m="1" x="964"/>
        <item m="1" x="505"/>
        <item m="1" x="622"/>
        <item m="1" x="768"/>
        <item m="1" x="630"/>
        <item m="1" x="337"/>
        <item m="1" x="521"/>
        <item m="1" x="997"/>
        <item m="1" x="636"/>
        <item m="1" x="882"/>
        <item m="1" x="204"/>
        <item m="1" x="209"/>
        <item m="1" x="203"/>
        <item m="1" x="436"/>
        <item m="1" x="588"/>
        <item m="1" x="908"/>
        <item m="1" x="982"/>
        <item m="1" x="939"/>
        <item x="101"/>
        <item m="1" x="995"/>
        <item m="1" x="329"/>
        <item m="1" x="688"/>
        <item m="1" x="970"/>
        <item m="1" x="996"/>
        <item m="1" x="944"/>
        <item m="1" x="977"/>
        <item m="1" x="956"/>
        <item m="1" x="200"/>
        <item x="57"/>
        <item m="1" x="231"/>
        <item m="1" x="434"/>
        <item x="10"/>
        <item m="1" x="166"/>
        <item m="1" x="273"/>
        <item m="1" x="634"/>
        <item x="128"/>
        <item m="1" x="607"/>
        <item x="25"/>
        <item m="1" x="653"/>
        <item m="1" x="546"/>
        <item m="1" x="687"/>
        <item m="1" x="220"/>
        <item m="1" x="175"/>
        <item m="1" x="682"/>
        <item m="1" x="295"/>
        <item m="1" x="585"/>
        <item m="1" x="387"/>
        <item m="1" x="495"/>
        <item m="1" x="605"/>
        <item m="1" x="293"/>
        <item m="1" x="947"/>
        <item x="98"/>
        <item x="17"/>
        <item x="93"/>
        <item x="37"/>
        <item m="1" x="251"/>
        <item m="1" x="320"/>
        <item m="1" x="309"/>
        <item m="1" x="349"/>
        <item m="1" x="976"/>
        <item m="1" x="146"/>
        <item m="1" x="817"/>
        <item m="1" x="819"/>
        <item x="89"/>
        <item x="51"/>
        <item m="1" x="751"/>
        <item m="1" x="278"/>
        <item m="1" x="375"/>
        <item m="1" x="737"/>
        <item x="49"/>
        <item m="1" x="771"/>
        <item m="1" x="674"/>
        <item m="1" x="514"/>
        <item x="38"/>
        <item m="1" x="638"/>
        <item m="1" x="419"/>
        <item m="1" x="195"/>
        <item m="1" x="439"/>
        <item m="1" x="790"/>
        <item m="1" x="616"/>
        <item m="1" x="450"/>
        <item m="1" x="994"/>
        <item x="36"/>
        <item m="1" x="892"/>
        <item x="123"/>
        <item m="1" x="225"/>
        <item x="100"/>
        <item m="1" x="680"/>
        <item m="1" x="438"/>
        <item m="1" x="233"/>
        <item m="1" x="691"/>
        <item m="1" x="878"/>
        <item m="1" x="217"/>
        <item m="1" x="533"/>
        <item m="1" x="486"/>
        <item x="47"/>
        <item m="1" x="858"/>
        <item m="1" x="786"/>
        <item m="1" x="134"/>
        <item m="1" x="326"/>
        <item m="1" x="385"/>
        <item m="1" x="891"/>
        <item m="1" x="532"/>
        <item x="58"/>
        <item m="1" x="572"/>
        <item m="1" x="374"/>
        <item m="1" x="376"/>
        <item m="1" x="351"/>
        <item m="1" x="132"/>
        <item m="1" x="380"/>
        <item x="119"/>
        <item m="1" x="252"/>
        <item m="1" x="399"/>
        <item x="53"/>
        <item m="1" x="403"/>
        <item x="7"/>
        <item m="1" x="695"/>
        <item x="83"/>
        <item m="1" x="560"/>
        <item m="1" x="641"/>
        <item m="1" x="224"/>
        <item m="1" x="266"/>
        <item x="43"/>
        <item m="1" x="238"/>
        <item m="1" x="259"/>
        <item m="1" x="365"/>
        <item m="1" x="917"/>
        <item x="50"/>
        <item x="4"/>
        <item x="106"/>
        <item m="1" x="528"/>
        <item m="1" x="359"/>
        <item m="1" x="753"/>
        <item m="1" x="157"/>
        <item m="1" x="350"/>
        <item m="1" x="177"/>
        <item x="112"/>
        <item m="1" x="506"/>
        <item m="1" x="681"/>
        <item m="1" x="760"/>
        <item m="1" x="524"/>
        <item m="1" x="609"/>
        <item x="19"/>
        <item m="1" x="476"/>
        <item m="1" x="218"/>
        <item m="1" x="617"/>
        <item m="1" x="650"/>
        <item m="1" x="133"/>
        <item m="1" x="655"/>
        <item m="1" x="735"/>
        <item m="1" x="718"/>
        <item m="1" x="734"/>
        <item m="1" x="155"/>
        <item m="1" x="306"/>
        <item m="1" x="183"/>
        <item m="1" x="192"/>
        <item m="1" x="199"/>
        <item m="1" x="159"/>
        <item m="1" x="888"/>
        <item m="1" x="959"/>
        <item m="1" x="576"/>
        <item m="1" x="422"/>
        <item m="1" x="211"/>
        <item x="82"/>
        <item m="1" x="379"/>
        <item m="1" x="788"/>
        <item m="1" x="839"/>
        <item m="1" x="868"/>
        <item m="1" x="844"/>
        <item m="1" x="579"/>
        <item m="1" x="451"/>
        <item m="1" x="196"/>
        <item m="1" x="294"/>
        <item x="68"/>
        <item m="1" x="930"/>
        <item m="1" x="527"/>
        <item m="1" x="186"/>
        <item m="1" x="452"/>
        <item m="1" x="490"/>
        <item m="1" x="477"/>
        <item x="34"/>
        <item m="1" x="222"/>
        <item m="1" x="182"/>
        <item m="1" x="1003"/>
        <item m="1" x="509"/>
        <item m="1" x="628"/>
        <item m="1" x="1002"/>
        <item m="1" x="567"/>
        <item m="1" x="246"/>
        <item m="1" x="829"/>
        <item m="1" x="894"/>
        <item m="1" x="975"/>
        <item m="1" x="286"/>
        <item m="1" x="382"/>
        <item x="27"/>
        <item m="1" x="736"/>
        <item m="1" x="780"/>
        <item m="1" x="160"/>
        <item m="1" x="228"/>
        <item m="1" x="668"/>
        <item m="1" x="558"/>
        <item m="1" x="170"/>
        <item m="1" x="310"/>
        <item m="1" x="1008"/>
        <item m="1" x="810"/>
        <item m="1" x="606"/>
        <item m="1" x="193"/>
        <item x="111"/>
        <item m="1" x="913"/>
        <item m="1" x="226"/>
        <item m="1" x="296"/>
        <item m="1" x="321"/>
        <item m="1" x="269"/>
        <item x="2"/>
        <item m="1" x="830"/>
        <item m="1" x="799"/>
        <item m="1" x="847"/>
        <item m="1" x="899"/>
        <item x="105"/>
        <item m="1" x="489"/>
        <item m="1" x="462"/>
        <item m="1" x="906"/>
        <item m="1" x="929"/>
        <item m="1" x="932"/>
        <item m="1" x="905"/>
        <item m="1" x="178"/>
        <item m="1" x="272"/>
        <item x="13"/>
        <item m="1" x="677"/>
        <item m="1" x="845"/>
        <item m="1" x="706"/>
        <item m="1" x="855"/>
        <item m="1" x="901"/>
        <item m="1" x="880"/>
        <item m="1" x="794"/>
        <item m="1" x="216"/>
        <item x="117"/>
        <item m="1" x="501"/>
        <item m="1" x="887"/>
        <item m="1" x="1018"/>
        <item m="1" x="921"/>
        <item x="16"/>
        <item m="1" x="960"/>
        <item m="1" x="281"/>
        <item m="1" x="548"/>
        <item m="1" x="569"/>
        <item m="1" x="902"/>
        <item m="1" x="538"/>
        <item x="3"/>
        <item m="1" x="333"/>
        <item m="1" x="801"/>
        <item x="61"/>
        <item m="1" x="485"/>
        <item x="59"/>
        <item m="1" x="327"/>
        <item m="1" x="267"/>
        <item m="1" x="647"/>
        <item x="8"/>
        <item m="1" x="407"/>
        <item m="1" x="388"/>
        <item m="1" x="384"/>
        <item m="1" x="814"/>
        <item m="1" x="483"/>
        <item m="1" x="822"/>
        <item m="1" x="798"/>
        <item m="1" x="806"/>
        <item m="1" x="823"/>
        <item m="1" x="792"/>
        <item m="1" x="861"/>
        <item m="1" x="912"/>
        <item x="99"/>
        <item m="1" x="859"/>
        <item x="122"/>
        <item m="1" x="534"/>
        <item m="1" x="370"/>
        <item m="1" x="165"/>
        <item m="1" x="875"/>
        <item x="72"/>
        <item m="1" x="573"/>
        <item m="1" x="818"/>
        <item m="1" x="191"/>
        <item m="1" x="732"/>
        <item m="1" x="201"/>
        <item m="1" x="227"/>
        <item x="120"/>
        <item m="1" x="169"/>
        <item m="1" x="136"/>
        <item m="1" x="244"/>
        <item m="1" x="440"/>
        <item x="97"/>
        <item m="1" x="383"/>
        <item m="1" x="402"/>
        <item m="1" x="620"/>
        <item m="1" x="151"/>
        <item x="35"/>
        <item m="1" x="319"/>
        <item m="1" x="249"/>
        <item m="1" x="942"/>
        <item m="1" x="955"/>
        <item x="39"/>
        <item m="1" x="750"/>
        <item x="103"/>
        <item m="1" x="179"/>
        <item m="1" x="215"/>
        <item m="1" x="754"/>
        <item m="1" x="499"/>
        <item m="1" x="757"/>
        <item m="1" x="510"/>
        <item m="1" x="763"/>
        <item m="1" x="339"/>
        <item m="1" x="245"/>
        <item m="1" x="188"/>
        <item x="6"/>
        <item m="1" x="237"/>
        <item m="1" x="881"/>
        <item m="1" x="491"/>
        <item m="1" x="138"/>
        <item m="1" x="250"/>
        <item m="1" x="914"/>
        <item m="1" x="590"/>
        <item m="1" x="180"/>
        <item x="116"/>
        <item m="1" x="308"/>
        <item m="1" x="161"/>
        <item m="1" x="487"/>
        <item m="1" x="354"/>
        <item m="1" x="876"/>
        <item m="1" x="966"/>
        <item m="1" x="896"/>
        <item m="1" x="890"/>
        <item x="40"/>
        <item m="1" x="954"/>
        <item m="1" x="931"/>
        <item m="1" x="662"/>
        <item m="1" x="972"/>
        <item m="1" x="334"/>
        <item m="1" x="335"/>
        <item m="1" x="405"/>
        <item m="1" x="625"/>
        <item m="1" x="342"/>
        <item m="1" x="163"/>
        <item m="1" x="348"/>
        <item m="1" x="390"/>
        <item x="78"/>
        <item m="1" x="542"/>
        <item m="1" x="284"/>
        <item m="1" x="978"/>
        <item m="1" x="171"/>
        <item x="113"/>
        <item m="1" x="392"/>
        <item m="1" x="152"/>
        <item m="1" x="478"/>
        <item m="1" x="301"/>
        <item m="1" x="149"/>
        <item m="1" x="831"/>
        <item m="1" x="782"/>
        <item m="1" x="789"/>
        <item m="1" x="827"/>
        <item m="1" x="849"/>
        <item m="1" x="820"/>
        <item m="1" x="821"/>
        <item m="1" x="828"/>
        <item m="1" x="843"/>
        <item m="1" x="857"/>
        <item m="1" x="842"/>
        <item m="1" x="785"/>
        <item m="1" x="803"/>
        <item m="1" x="805"/>
        <item m="1" x="848"/>
        <item m="1" x="206"/>
        <item m="1" x="213"/>
        <item x="110"/>
        <item m="1" x="410"/>
        <item x="48"/>
        <item m="1" x="1022"/>
        <item m="1" x="381"/>
        <item x="91"/>
        <item m="1" x="202"/>
        <item m="1" x="290"/>
        <item m="1" x="145"/>
        <item m="1" x="137"/>
        <item m="1" x="395"/>
        <item x="77"/>
        <item m="1" x="937"/>
        <item m="1" x="366"/>
        <item m="1" x="515"/>
      </items>
    </pivotField>
    <pivotField compact="0" outline="0" subtotalTop="0" showAll="0" defaultSubtotal="0">
      <items count="174">
        <item x="0"/>
        <item m="1" x="162"/>
        <item m="1" x="170"/>
        <item m="1" x="168"/>
        <item m="1" x="154"/>
        <item m="1" x="160"/>
        <item m="1" x="156"/>
        <item m="1" x="161"/>
        <item m="1" x="167"/>
        <item m="1" x="166"/>
        <item m="1" x="135"/>
        <item m="1" x="163"/>
        <item m="1" x="77"/>
        <item m="1" x="79"/>
        <item m="1" x="141"/>
        <item m="1" x="171"/>
        <item m="1" x="148"/>
        <item m="1" x="164"/>
        <item m="1" x="165"/>
        <item m="1" x="169"/>
        <item m="1" x="130"/>
        <item m="1" x="155"/>
        <item m="1" x="147"/>
        <item m="1" x="131"/>
        <item m="1" x="138"/>
        <item m="1" x="139"/>
        <item m="1" x="132"/>
        <item m="1" x="144"/>
        <item m="1" x="133"/>
        <item m="1" x="143"/>
        <item m="1" x="73"/>
        <item m="1" x="157"/>
        <item m="1" x="158"/>
        <item m="1" x="59"/>
        <item m="1" x="78"/>
        <item m="1" x="152"/>
        <item m="1" x="80"/>
        <item m="1" x="86"/>
        <item m="1" x="153"/>
        <item m="1" x="142"/>
        <item m="1" x="87"/>
        <item m="1" x="82"/>
        <item x="7"/>
        <item x="27"/>
        <item x="13"/>
        <item x="2"/>
        <item m="1" x="109"/>
        <item m="1" x="66"/>
        <item m="1" x="111"/>
        <item m="1" x="88"/>
        <item m="1" x="83"/>
        <item x="16"/>
        <item m="1" x="64"/>
        <item m="1" x="85"/>
        <item x="8"/>
        <item m="1" x="149"/>
        <item m="1" x="74"/>
        <item m="1" x="150"/>
        <item x="14"/>
        <item m="1" x="92"/>
        <item m="1" x="36"/>
        <item m="1" x="145"/>
        <item m="1" x="53"/>
        <item m="1" x="58"/>
        <item m="1" x="99"/>
        <item m="1" x="137"/>
        <item m="1" x="151"/>
        <item m="1" x="68"/>
        <item x="4"/>
        <item m="1" x="105"/>
        <item m="1" x="84"/>
        <item m="1" x="46"/>
        <item m="1" x="159"/>
        <item m="1" x="52"/>
        <item x="26"/>
        <item m="1" x="104"/>
        <item m="1" x="136"/>
        <item x="23"/>
        <item m="1" x="134"/>
        <item m="1" x="54"/>
        <item m="1" x="29"/>
        <item x="1"/>
        <item m="1" x="100"/>
        <item m="1" x="81"/>
        <item m="1" x="49"/>
        <item m="1" x="40"/>
        <item m="1" x="45"/>
        <item m="1" x="33"/>
        <item m="1" x="56"/>
        <item m="1" x="121"/>
        <item m="1" x="126"/>
        <item m="1" x="119"/>
        <item m="1" x="107"/>
        <item m="1" x="94"/>
        <item m="1" x="112"/>
        <item m="1" x="90"/>
        <item m="1" x="55"/>
        <item m="1" x="67"/>
        <item m="1" x="140"/>
        <item x="18"/>
        <item m="1" x="32"/>
        <item m="1" x="62"/>
        <item m="1" x="65"/>
        <item m="1" x="113"/>
        <item m="1" x="118"/>
        <item m="1" x="125"/>
        <item m="1" x="71"/>
        <item m="1" x="51"/>
        <item x="9"/>
        <item m="1" x="95"/>
        <item m="1" x="128"/>
        <item m="1" x="47"/>
        <item x="12"/>
        <item m="1" x="38"/>
        <item x="19"/>
        <item m="1" x="146"/>
        <item m="1" x="173"/>
        <item m="1" x="172"/>
        <item m="1" x="60"/>
        <item m="1" x="110"/>
        <item m="1" x="97"/>
        <item m="1" x="76"/>
        <item m="1" x="41"/>
        <item x="3"/>
        <item m="1" x="123"/>
        <item m="1" x="124"/>
        <item m="1" x="129"/>
        <item x="5"/>
        <item m="1" x="63"/>
        <item x="11"/>
        <item m="1" x="96"/>
        <item m="1" x="115"/>
        <item m="1" x="116"/>
        <item m="1" x="114"/>
        <item m="1" x="127"/>
        <item m="1" x="103"/>
        <item m="1" x="50"/>
        <item m="1" x="69"/>
        <item m="1" x="57"/>
        <item m="1" x="120"/>
        <item m="1" x="98"/>
        <item x="6"/>
        <item m="1" x="122"/>
        <item m="1" x="101"/>
        <item m="1" x="106"/>
        <item m="1" x="28"/>
        <item m="1" x="44"/>
        <item m="1" x="108"/>
        <item m="1" x="117"/>
        <item m="1" x="72"/>
        <item x="17"/>
        <item m="1" x="102"/>
        <item m="1" x="61"/>
        <item m="1" x="70"/>
        <item m="1" x="75"/>
        <item m="1" x="89"/>
        <item m="1" x="91"/>
        <item x="21"/>
        <item m="1" x="93"/>
        <item x="10"/>
        <item x="15"/>
        <item m="1" x="42"/>
        <item m="1" x="43"/>
        <item m="1" x="48"/>
        <item m="1" x="30"/>
        <item m="1" x="31"/>
        <item m="1" x="34"/>
        <item m="1" x="35"/>
        <item m="1" x="37"/>
        <item x="22"/>
        <item m="1" x="39"/>
        <item x="20"/>
        <item x="24"/>
        <item x="25"/>
      </items>
    </pivotField>
    <pivotField compact="0" outline="0" subtotalTop="0" showAll="0" sortType="ascending" defaultSubtotal="0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ubtotalTop="0" showAll="0" defaultSubtotal="0"/>
    <pivotField compact="0" outline="0" subtotalTop="0" showAll="0" defaultSubtotal="0"/>
    <pivotField axis="axisRow" compact="0" outline="0" subtotalTop="0" showAll="0" sortType="ascending" defaultSubtotal="0">
      <items count="864">
        <item x="0"/>
        <item x="13"/>
        <item h="1" x="211"/>
        <item h="1" m="1" x="384"/>
        <item m="1" x="627"/>
        <item m="1" x="528"/>
        <item m="1" x="601"/>
        <item m="1" x="831"/>
        <item h="1" m="1" x="380"/>
        <item m="1" x="663"/>
        <item m="1" x="803"/>
        <item h="1" m="1" x="680"/>
        <item m="1" x="425"/>
        <item h="1" m="1" x="422"/>
        <item h="1" m="1" x="424"/>
        <item m="1" x="315"/>
        <item h="1" m="1" x="463"/>
        <item h="1" x="110"/>
        <item x="31"/>
        <item m="1" x="320"/>
        <item m="1" x="838"/>
        <item m="1" x="804"/>
        <item h="1" m="1" x="715"/>
        <item m="1" x="270"/>
        <item x="10"/>
        <item m="1" x="272"/>
        <item h="1" m="1" x="469"/>
        <item h="1" x="125"/>
        <item m="1" x="618"/>
        <item m="1" x="547"/>
        <item m="1" x="669"/>
        <item h="1" x="119"/>
        <item h="1" m="1" x="484"/>
        <item m="1" x="720"/>
        <item m="1" x="587"/>
        <item m="1" x="729"/>
        <item m="1" x="793"/>
        <item m="1" x="742"/>
        <item h="1" x="53"/>
        <item m="1" x="303"/>
        <item h="1" m="1" x="383"/>
        <item x="185"/>
        <item m="1" x="276"/>
        <item h="1" x="180"/>
        <item x="157"/>
        <item h="1" m="1" x="417"/>
        <item m="1" x="621"/>
        <item h="1" m="1" x="503"/>
        <item m="1" x="334"/>
        <item h="1" x="227"/>
        <item m="1" x="286"/>
        <item x="102"/>
        <item m="1" x="597"/>
        <item m="1" x="589"/>
        <item m="1" x="630"/>
        <item h="1" x="74"/>
        <item h="1" m="1" x="395"/>
        <item m="1" x="684"/>
        <item m="1" x="851"/>
        <item m="1" x="600"/>
        <item h="1" x="171"/>
        <item x="47"/>
        <item m="1" x="667"/>
        <item m="1" x="512"/>
        <item m="1" x="774"/>
        <item h="1" x="212"/>
        <item x="118"/>
        <item h="1" m="1" x="527"/>
        <item h="1" m="1" x="407"/>
        <item x="144"/>
        <item m="1" x="410"/>
        <item h="1" x="159"/>
        <item m="1" x="612"/>
        <item h="1" m="1" x="366"/>
        <item m="1" x="814"/>
        <item m="1" x="574"/>
        <item m="1" x="598"/>
        <item m="1" x="750"/>
        <item x="179"/>
        <item h="1" m="1" x="521"/>
        <item m="1" x="470"/>
        <item x="242"/>
        <item m="1" x="784"/>
        <item h="1" m="1" x="500"/>
        <item m="1" x="689"/>
        <item h="1" m="1" x="350"/>
        <item h="1" x="77"/>
        <item h="1" x="205"/>
        <item m="1" x="365"/>
        <item m="1" x="596"/>
        <item h="1" x="146"/>
        <item h="1" m="1" x="406"/>
        <item h="1" m="1" x="451"/>
        <item h="1" x="158"/>
        <item h="1" m="1" x="363"/>
        <item h="1" x="57"/>
        <item h="1" m="1" x="452"/>
        <item h="1" x="127"/>
        <item x="194"/>
        <item m="1" x="813"/>
        <item h="1" x="216"/>
        <item h="1" m="1" x="358"/>
        <item h="1" x="97"/>
        <item h="1" m="1" x="262"/>
        <item m="1" x="568"/>
        <item h="1" x="139"/>
        <item m="1" x="843"/>
        <item m="1" x="274"/>
        <item h="1" x="156"/>
        <item x="91"/>
        <item m="1" x="691"/>
        <item m="1" x="661"/>
        <item m="1" x="683"/>
        <item m="1" x="586"/>
        <item h="1" m="1" x="418"/>
        <item h="1" m="1" x="505"/>
        <item m="1" x="840"/>
        <item m="1" x="731"/>
        <item h="1" m="1" x="345"/>
        <item h="1" x="100"/>
        <item h="1" x="131"/>
        <item h="1" m="1" x="261"/>
        <item m="1" x="283"/>
        <item x="196"/>
        <item m="1" x="553"/>
        <item h="1" m="1" x="488"/>
        <item m="1" x="562"/>
        <item h="1" m="1" x="435"/>
        <item m="1" x="545"/>
        <item x="150"/>
        <item m="1" x="777"/>
        <item m="1" x="778"/>
        <item m="1" x="278"/>
        <item m="1" x="837"/>
        <item m="1" x="802"/>
        <item m="1" x="835"/>
        <item m="1" x="701"/>
        <item x="165"/>
        <item m="1" x="284"/>
        <item m="1" x="735"/>
        <item m="1" x="823"/>
        <item m="1" x="619"/>
        <item m="1" x="711"/>
        <item x="135"/>
        <item m="1" x="569"/>
        <item h="1" x="235"/>
        <item x="25"/>
        <item m="1" x="709"/>
        <item h="1" x="67"/>
        <item h="1" x="61"/>
        <item h="1" x="59"/>
        <item h="1" m="1" x="394"/>
        <item m="1" x="317"/>
        <item h="1" x="248"/>
        <item x="136"/>
        <item h="1" m="1" x="436"/>
        <item x="82"/>
        <item x="56"/>
        <item h="1" x="209"/>
        <item h="1" m="1" x="414"/>
        <item h="1" m="1" x="443"/>
        <item x="28"/>
        <item x="120"/>
        <item h="1" m="1" x="514"/>
        <item x="93"/>
        <item m="1" x="856"/>
        <item m="1" x="693"/>
        <item h="1" x="222"/>
        <item h="1" x="46"/>
        <item x="99"/>
        <item h="1" x="245"/>
        <item m="1" x="310"/>
        <item m="1" x="656"/>
        <item h="1" x="203"/>
        <item h="1" m="1" x="405"/>
        <item m="1" x="593"/>
        <item m="1" x="662"/>
        <item m="1" x="642"/>
        <item x="88"/>
        <item x="111"/>
        <item x="112"/>
        <item h="1" m="1" x="359"/>
        <item h="1" m="1" x="477"/>
        <item m="1" x="544"/>
        <item h="1" m="1" x="481"/>
        <item h="1" m="1" x="432"/>
        <item m="1" x="765"/>
        <item h="1" m="1" x="487"/>
        <item m="1" x="572"/>
        <item m="1" x="849"/>
        <item h="1" x="140"/>
        <item h="1" x="145"/>
        <item h="1" x="246"/>
        <item m="1" x="748"/>
        <item m="1" x="277"/>
        <item h="1" x="92"/>
        <item h="1" x="201"/>
        <item h="1" m="1" x="258"/>
        <item h="1" m="1" x="476"/>
        <item m="1" x="673"/>
        <item h="1" m="1" x="362"/>
        <item m="1" x="335"/>
        <item x="7"/>
        <item h="1" m="1" x="473"/>
        <item h="1" m="1" x="420"/>
        <item h="1" m="1" x="398"/>
        <item x="163"/>
        <item h="1" x="15"/>
        <item m="1" x="703"/>
        <item m="1" x="429"/>
        <item m="1" x="811"/>
        <item m="1" x="623"/>
        <item h="1" m="1" x="523"/>
        <item x="98"/>
        <item h="1" m="1" x="411"/>
        <item m="1" x="264"/>
        <item m="1" x="678"/>
        <item x="253"/>
        <item h="1" x="143"/>
        <item h="1" m="1" x="449"/>
        <item m="1" x="824"/>
        <item m="1" x="858"/>
        <item m="1" x="841"/>
        <item m="1" x="833"/>
        <item m="1" x="817"/>
        <item m="1" x="827"/>
        <item m="1" x="807"/>
        <item m="1" x="806"/>
        <item m="1" x="834"/>
        <item m="1" x="828"/>
        <item m="1" x="836"/>
        <item m="1" x="818"/>
        <item m="1" x="832"/>
        <item m="1" x="842"/>
        <item h="1" x="2"/>
        <item m="1" x="847"/>
        <item m="1" x="860"/>
        <item m="1" x="861"/>
        <item m="1" x="855"/>
        <item m="1" x="852"/>
        <item m="1" x="862"/>
        <item h="1" m="1" x="753"/>
        <item x="223"/>
        <item m="1" x="635"/>
        <item m="1" x="733"/>
        <item h="1" x="183"/>
        <item h="1" x="174"/>
        <item h="1" m="1" x="423"/>
        <item m="1" x="780"/>
        <item x="210"/>
        <item m="1" x="670"/>
        <item m="1" x="637"/>
        <item x="39"/>
        <item h="1" x="38"/>
        <item m="1" x="290"/>
        <item x="177"/>
        <item h="1" x="232"/>
        <item h="1" m="1" x="472"/>
        <item h="1" x="202"/>
        <item h="1" x="160"/>
        <item m="1" x="625"/>
        <item m="1" x="328"/>
        <item h="1" x="55"/>
        <item m="1" x="700"/>
        <item m="1" x="694"/>
        <item m="1" x="273"/>
        <item m="1" x="491"/>
        <item h="1" x="214"/>
        <item m="1" x="844"/>
        <item x="121"/>
        <item m="1" x="640"/>
        <item m="1" x="655"/>
        <item h="1" m="1" x="466"/>
        <item x="11"/>
        <item m="1" x="744"/>
        <item m="1" x="696"/>
        <item m="1" x="565"/>
        <item m="1" x="333"/>
        <item m="1" x="319"/>
        <item m="1" x="768"/>
        <item m="1" x="403"/>
        <item m="1" x="378"/>
        <item m="1" x="792"/>
        <item x="22"/>
        <item m="1" x="269"/>
        <item h="1" x="226"/>
        <item m="1" x="617"/>
        <item m="1" x="631"/>
        <item m="1" x="578"/>
        <item m="1" x="759"/>
        <item x="87"/>
        <item m="1" x="550"/>
        <item m="1" x="549"/>
        <item m="1" x="743"/>
        <item m="1" x="752"/>
        <item m="1" x="698"/>
        <item m="1" x="714"/>
        <item m="1" x="548"/>
        <item m="1" x="579"/>
        <item h="1" m="1" x="499"/>
        <item m="1" x="305"/>
        <item h="1" m="1" x="522"/>
        <item h="1" m="1" x="386"/>
        <item h="1" m="1" x="412"/>
        <item m="1" x="616"/>
        <item m="1" x="541"/>
        <item x="85"/>
        <item h="1" x="228"/>
        <item h="1" m="1" x="501"/>
        <item m="1" x="509"/>
        <item m="1" x="599"/>
        <item m="1" x="304"/>
        <item h="1" x="45"/>
        <item m="1" x="741"/>
        <item m="1" x="795"/>
        <item m="1" x="318"/>
        <item h="1" x="231"/>
        <item h="1" x="114"/>
        <item m="1" x="321"/>
        <item x="80"/>
        <item m="1" x="306"/>
        <item m="1" x="692"/>
        <item h="1" m="1" x="450"/>
        <item m="1" x="267"/>
        <item m="1" x="820"/>
        <item h="1" x="68"/>
        <item m="1" x="781"/>
        <item m="1" x="294"/>
        <item x="36"/>
        <item m="1" x="789"/>
        <item m="1" x="323"/>
        <item h="1" m="1" x="389"/>
        <item x="197"/>
        <item m="1" x="721"/>
        <item m="1" x="604"/>
        <item x="198"/>
        <item h="1" m="1" x="392"/>
        <item x="193"/>
        <item x="4"/>
        <item m="1" x="517"/>
        <item m="1" x="510"/>
        <item x="129"/>
        <item h="1" m="1" x="515"/>
        <item x="104"/>
        <item m="1" x="607"/>
        <item m="1" x="301"/>
        <item x="19"/>
        <item x="8"/>
        <item m="1" x="511"/>
        <item h="1" x="107"/>
        <item m="1" x="641"/>
        <item m="1" x="797"/>
        <item m="1" x="471"/>
        <item m="1" x="582"/>
        <item m="1" x="338"/>
        <item m="1" x="786"/>
        <item m="1" x="556"/>
        <item m="1" x="702"/>
        <item h="1" x="182"/>
        <item m="1" x="297"/>
        <item m="1" x="654"/>
        <item x="251"/>
        <item m="1" x="624"/>
        <item x="241"/>
        <item m="1" x="707"/>
        <item m="1" x="580"/>
        <item m="1" x="757"/>
        <item m="1" x="342"/>
        <item m="1" x="337"/>
        <item h="1" x="255"/>
        <item m="1" x="584"/>
        <item x="71"/>
        <item m="1" x="620"/>
        <item h="1" m="1" x="415"/>
        <item m="1" x="442"/>
        <item x="76"/>
        <item m="1" x="312"/>
        <item h="1" m="1" x="495"/>
        <item m="1" x="775"/>
        <item x="72"/>
        <item x="116"/>
        <item h="1" m="1" x="520"/>
        <item m="1" x="650"/>
        <item m="1" x="788"/>
        <item m="1" x="531"/>
        <item m="1" x="722"/>
        <item h="1" m="1" x="413"/>
        <item m="1" x="853"/>
        <item m="1" x="498"/>
        <item h="1" m="1" x="431"/>
        <item m="1" x="610"/>
        <item m="1" x="734"/>
        <item m="1" x="570"/>
        <item m="1" x="280"/>
        <item x="35"/>
        <item h="1" m="1" x="401"/>
        <item m="1" x="708"/>
        <item x="34"/>
        <item m="1" x="316"/>
        <item m="1" x="651"/>
        <item m="1" x="590"/>
        <item x="188"/>
        <item m="1" x="293"/>
        <item h="1" x="161"/>
        <item m="1" x="266"/>
        <item m="1" x="536"/>
        <item m="1" x="648"/>
        <item x="124"/>
        <item h="1" m="1" x="760"/>
        <item x="5"/>
        <item h="1" m="1" x="336"/>
        <item m="1" x="801"/>
        <item m="1" x="796"/>
        <item m="1" x="285"/>
        <item h="1" m="1" x="356"/>
        <item h="1" m="1" x="465"/>
        <item h="1" m="1" x="340"/>
        <item h="1" m="1" x="348"/>
        <item h="1" m="1" x="402"/>
        <item m="1" x="559"/>
        <item h="1" m="1" x="464"/>
        <item m="1" x="779"/>
        <item m="1" x="763"/>
        <item m="1" x="299"/>
        <item m="1" x="268"/>
        <item x="215"/>
        <item h="1" x="200"/>
        <item h="1" m="1" x="448"/>
        <item m="1" x="755"/>
        <item m="1" x="799"/>
        <item h="1" m="1" x="339"/>
        <item m="1" x="638"/>
        <item h="1" x="23"/>
        <item m="1" x="770"/>
        <item m="1" x="373"/>
        <item m="1" x="257"/>
        <item m="1" x="260"/>
        <item h="1" m="1" x="437"/>
        <item m="1" x="848"/>
        <item h="1" m="1" x="439"/>
        <item m="1" x="769"/>
        <item x="6"/>
        <item m="1" x="859"/>
        <item m="1" x="810"/>
        <item m="1" x="746"/>
        <item m="1" x="281"/>
        <item h="1" x="109"/>
        <item m="1" x="271"/>
        <item m="1" x="371"/>
        <item h="1" x="247"/>
        <item m="1" x="381"/>
        <item x="220"/>
        <item h="1" m="1" x="508"/>
        <item m="1" x="658"/>
        <item m="1" x="634"/>
        <item m="1" x="740"/>
        <item m="1" x="726"/>
        <item m="1" x="513"/>
        <item h="1" m="1" x="409"/>
        <item x="206"/>
        <item m="1" x="573"/>
        <item x="213"/>
        <item m="1" x="529"/>
        <item m="1" x="732"/>
        <item x="187"/>
        <item h="1" x="236"/>
        <item m="1" x="474"/>
        <item m="1" x="566"/>
        <item m="1" x="289"/>
        <item h="1" m="1" x="525"/>
        <item x="240"/>
        <item m="1" x="728"/>
        <item m="1" x="719"/>
        <item m="1" x="761"/>
        <item m="1" x="674"/>
        <item m="1" x="830"/>
        <item m="1" x="822"/>
        <item m="1" x="615"/>
        <item m="1" x="462"/>
        <item h="1" m="1" x="399"/>
        <item h="1" x="138"/>
        <item m="1" x="311"/>
        <item m="1" x="551"/>
        <item m="1" x="646"/>
        <item m="1" x="766"/>
        <item h="1" x="221"/>
        <item x="132"/>
        <item h="1" m="1" x="447"/>
        <item m="1" x="695"/>
        <item x="105"/>
        <item h="1" x="70"/>
        <item m="1" x="724"/>
        <item x="108"/>
        <item m="1" x="608"/>
        <item x="252"/>
        <item m="1" x="657"/>
        <item m="1" x="530"/>
        <item m="1" x="846"/>
        <item h="1" m="1" x="467"/>
        <item h="1" m="1" x="404"/>
        <item m="1" x="567"/>
        <item m="1" x="595"/>
        <item m="1" x="805"/>
        <item h="1" m="1" x="772"/>
        <item h="1" m="1" x="490"/>
        <item m="1" x="614"/>
        <item m="1" x="577"/>
        <item h="1" m="1" x="387"/>
        <item h="1" m="1" x="459"/>
        <item x="103"/>
        <item x="250"/>
        <item x="162"/>
        <item h="1" m="1" x="485"/>
        <item h="1" m="1" x="497"/>
        <item m="1" x="605"/>
        <item m="1" x="829"/>
        <item m="1" x="839"/>
        <item m="1" x="664"/>
        <item m="1" x="727"/>
        <item m="1" x="819"/>
        <item m="1" x="592"/>
        <item m="1" x="603"/>
        <item m="1" x="539"/>
        <item m="1" x="613"/>
        <item m="1" x="675"/>
        <item m="1" x="609"/>
        <item m="1" x="863"/>
        <item m="1" x="606"/>
        <item x="1"/>
        <item m="1" x="611"/>
        <item m="1" x="445"/>
        <item x="33"/>
        <item x="101"/>
        <item m="1" x="288"/>
        <item m="1" x="535"/>
        <item h="1" m="1" x="483"/>
        <item h="1" x="137"/>
        <item m="1" x="446"/>
        <item h="1" x="224"/>
        <item h="1" m="1" x="369"/>
        <item h="1" x="184"/>
        <item x="26"/>
        <item m="1" x="330"/>
        <item x="18"/>
        <item x="191"/>
        <item x="115"/>
        <item h="1" m="1" x="502"/>
        <item m="1" x="633"/>
        <item h="1" m="1" x="396"/>
        <item m="1" x="697"/>
        <item m="1" x="307"/>
        <item h="1" m="1" x="519"/>
        <item h="1" x="208"/>
        <item m="1" x="718"/>
        <item h="1" x="254"/>
        <item x="69"/>
        <item h="1" x="217"/>
        <item m="1" x="713"/>
        <item m="1" x="758"/>
        <item h="1" x="78"/>
        <item m="1" x="329"/>
        <item m="1" x="771"/>
        <item x="126"/>
        <item h="1" m="1" x="357"/>
        <item h="1" x="186"/>
        <item m="1" x="563"/>
        <item m="1" x="533"/>
        <item m="1" x="745"/>
        <item x="189"/>
        <item h="1" m="1" x="349"/>
        <item x="60"/>
        <item h="1" m="1" x="455"/>
        <item m="1" x="444"/>
        <item h="1" m="1" x="783"/>
        <item m="1" x="279"/>
        <item h="1" x="64"/>
        <item m="1" x="309"/>
        <item h="1" m="1" x="430"/>
        <item h="1" m="1" x="433"/>
        <item m="1" x="379"/>
        <item h="1" x="128"/>
        <item x="32"/>
        <item h="1" m="1" x="492"/>
        <item m="1" x="826"/>
        <item m="1" x="390"/>
        <item h="1" m="1" x="468"/>
        <item x="50"/>
        <item m="1" x="626"/>
        <item m="1" x="552"/>
        <item m="1" x="672"/>
        <item m="1" x="314"/>
        <item h="1" x="153"/>
        <item h="1" m="1" x="428"/>
        <item x="42"/>
        <item m="1" x="275"/>
        <item m="1" x="723"/>
        <item m="1" x="602"/>
        <item x="234"/>
        <item m="1" x="643"/>
        <item m="1" x="653"/>
        <item h="1" x="169"/>
        <item m="1" x="800"/>
        <item m="1" x="538"/>
        <item x="81"/>
        <item m="1" x="368"/>
        <item h="1" x="192"/>
        <item m="1" x="438"/>
        <item h="1" m="1" x="400"/>
        <item h="1" x="195"/>
        <item m="1" x="632"/>
        <item x="175"/>
        <item x="113"/>
        <item h="1" x="51"/>
        <item m="1" x="628"/>
        <item x="244"/>
        <item x="164"/>
        <item m="1" x="588"/>
        <item h="1" m="1" x="367"/>
        <item h="1" x="141"/>
        <item h="1" m="1" x="352"/>
        <item h="1" m="1" x="453"/>
        <item m="1" x="787"/>
        <item m="1" x="558"/>
        <item h="1" m="1" x="489"/>
        <item m="1" x="652"/>
        <item x="44"/>
        <item m="1" x="313"/>
        <item m="1" x="688"/>
        <item h="1" x="166"/>
        <item h="1" m="1" x="456"/>
        <item m="1" x="324"/>
        <item m="1" x="705"/>
        <item x="148"/>
        <item m="1" x="546"/>
        <item h="1" m="1" x="516"/>
        <item x="147"/>
        <item h="1" m="1" x="343"/>
        <item h="1" m="1" x="354"/>
        <item m="1" x="585"/>
        <item h="1" m="1" x="393"/>
        <item m="1" x="331"/>
        <item m="1" x="360"/>
        <item m="1" x="762"/>
        <item m="1" x="639"/>
        <item m="1" x="542"/>
        <item m="1" x="671"/>
        <item x="40"/>
        <item m="1" x="571"/>
        <item m="1" x="506"/>
        <item m="1" x="816"/>
        <item h="1" x="233"/>
        <item m="1" x="591"/>
        <item m="1" x="710"/>
        <item h="1" m="1" x="504"/>
        <item m="1" x="561"/>
        <item x="256"/>
        <item m="1" x="332"/>
        <item m="1" x="756"/>
        <item m="1" x="555"/>
        <item x="66"/>
        <item m="1" x="686"/>
        <item h="1" x="75"/>
        <item h="1" m="1" x="496"/>
        <item m="1" x="677"/>
        <item m="1" x="576"/>
        <item m="1" x="575"/>
        <item x="16"/>
        <item m="1" x="666"/>
        <item m="1" x="687"/>
        <item x="181"/>
        <item h="1" x="207"/>
        <item m="1" x="292"/>
        <item h="1" m="1" x="291"/>
        <item m="1" x="747"/>
        <item m="1" x="351"/>
        <item h="1" m="1" x="524"/>
        <item h="1" x="199"/>
        <item m="1" x="790"/>
        <item x="43"/>
        <item m="1" x="764"/>
        <item m="1" x="717"/>
        <item h="1" m="1" x="480"/>
        <item x="37"/>
        <item h="1" x="218"/>
        <item h="1" m="1" x="341"/>
        <item h="1" m="1" x="364"/>
        <item m="1" x="388"/>
        <item m="1" x="263"/>
        <item m="1" x="557"/>
        <item m="1" x="647"/>
        <item m="1" x="725"/>
        <item m="1" x="690"/>
        <item m="1" x="649"/>
        <item m="1" x="361"/>
        <item m="1" x="564"/>
        <item m="1" x="808"/>
        <item m="1" x="857"/>
        <item m="1" x="845"/>
        <item x="52"/>
        <item m="1" x="298"/>
        <item h="1" x="219"/>
        <item m="1" x="754"/>
        <item m="1" x="344"/>
        <item m="1" x="532"/>
        <item x="83"/>
        <item h="1" m="1" x="458"/>
        <item x="12"/>
        <item h="1" m="1" x="347"/>
        <item m="1" x="659"/>
        <item h="1" m="1" x="461"/>
        <item m="1" x="308"/>
        <item h="1" x="190"/>
        <item m="1" x="782"/>
        <item x="243"/>
        <item m="1" x="325"/>
        <item x="151"/>
        <item h="1" m="1" x="482"/>
        <item m="1" x="296"/>
        <item m="1" x="809"/>
        <item x="73"/>
        <item h="1" m="1" x="526"/>
        <item m="1" x="475"/>
        <item m="1" x="791"/>
        <item m="1" x="629"/>
        <item x="58"/>
        <item h="1" m="1" x="377"/>
        <item x="230"/>
        <item x="249"/>
        <item h="1" x="30"/>
        <item h="1" x="152"/>
        <item m="1" x="738"/>
        <item h="1" m="1" x="419"/>
        <item h="1" m="1" x="382"/>
        <item m="1" x="704"/>
        <item m="1" x="825"/>
        <item m="1" x="812"/>
        <item m="1" x="560"/>
        <item m="1" x="282"/>
        <item h="1" m="1" x="736"/>
        <item m="1" x="685"/>
        <item m="1" x="259"/>
        <item h="1" x="239"/>
        <item m="1" x="594"/>
        <item h="1" m="1" x="441"/>
        <item h="1" x="41"/>
        <item m="1" x="540"/>
        <item h="1" m="1" x="370"/>
        <item m="1" x="300"/>
        <item h="1" m="1" x="385"/>
        <item x="20"/>
        <item x="21"/>
        <item h="1" x="155"/>
        <item m="1" x="716"/>
        <item m="1" x="798"/>
        <item x="237"/>
        <item x="84"/>
        <item x="9"/>
        <item m="1" x="554"/>
        <item h="1" m="1" x="460"/>
        <item x="29"/>
        <item m="1" x="681"/>
        <item h="1" x="204"/>
        <item x="149"/>
        <item m="1" x="287"/>
        <item x="122"/>
        <item m="1" x="543"/>
        <item m="1" x="421"/>
        <item m="1" x="302"/>
        <item h="1" m="1" x="376"/>
        <item x="123"/>
        <item m="1" x="583"/>
        <item h="1" m="1" x="427"/>
        <item m="1" x="581"/>
        <item m="1" x="346"/>
        <item x="54"/>
        <item h="1" m="1" x="454"/>
        <item m="1" x="767"/>
        <item m="1" x="751"/>
        <item m="1" x="665"/>
        <item x="17"/>
        <item h="1" m="1" x="374"/>
        <item m="1" x="776"/>
        <item m="1" x="322"/>
        <item h="1" m="1" x="478"/>
        <item h="1" x="154"/>
        <item m="1" x="679"/>
        <item m="1" x="821"/>
        <item x="27"/>
        <item x="79"/>
        <item m="1" x="794"/>
        <item m="1" x="636"/>
        <item m="1" x="537"/>
        <item h="1" m="1" x="391"/>
        <item m="1" x="749"/>
        <item m="1" x="265"/>
        <item h="1" m="1" x="375"/>
        <item h="1" m="1" x="355"/>
        <item x="24"/>
        <item h="1" x="86"/>
        <item m="1" x="850"/>
        <item x="167"/>
        <item x="89"/>
        <item h="1" x="178"/>
        <item h="1" m="1" x="353"/>
        <item m="1" x="676"/>
        <item m="1" x="295"/>
        <item m="1" x="699"/>
        <item m="1" x="706"/>
        <item m="1" x="773"/>
        <item x="170"/>
        <item h="1" m="1" x="507"/>
        <item h="1" m="1" x="440"/>
        <item h="1" x="172"/>
        <item m="1" x="660"/>
        <item m="1" x="494"/>
        <item m="1" x="737"/>
        <item x="3"/>
        <item h="1" m="1" x="479"/>
        <item x="90"/>
        <item h="1" x="173"/>
        <item h="1" x="63"/>
        <item h="1" m="1" x="518"/>
        <item x="133"/>
        <item m="1" x="534"/>
        <item x="238"/>
        <item h="1" x="229"/>
        <item h="1" m="1" x="408"/>
        <item m="1" x="785"/>
        <item x="142"/>
        <item x="168"/>
        <item h="1" m="1" x="486"/>
        <item x="117"/>
        <item m="1" x="712"/>
        <item x="62"/>
        <item h="1" m="1" x="372"/>
        <item m="1" x="416"/>
        <item m="1" x="327"/>
        <item h="1" m="1" x="426"/>
        <item m="1" x="644"/>
        <item m="1" x="434"/>
        <item x="134"/>
        <item h="1" m="1" x="457"/>
        <item x="94"/>
        <item m="1" x="682"/>
        <item x="49"/>
        <item h="1" x="176"/>
        <item m="1" x="854"/>
        <item h="1" x="130"/>
        <item m="1" x="326"/>
        <item m="1" x="622"/>
        <item m="1" x="397"/>
        <item m="1" x="645"/>
        <item x="14"/>
        <item h="1" x="225"/>
        <item m="1" x="493"/>
        <item h="1" x="48"/>
        <item m="1" x="668"/>
        <item m="1" x="815"/>
        <item x="96"/>
        <item h="1" m="1" x="730"/>
        <item x="65"/>
        <item m="1" x="739"/>
        <item x="95"/>
        <item x="106"/>
      </items>
    </pivotField>
    <pivotField compact="0" outline="0" subtotalTop="0" showAll="0" defaultSubtotal="0">
      <items count="2">
        <item x="1"/>
        <item h="1" x="0"/>
      </items>
    </pivotField>
    <pivotField compact="0" outline="0" subtotalTop="0" showAll="0" defaultSubtotal="0">
      <items count="110">
        <item m="1" x="66"/>
        <item m="1" x="32"/>
        <item x="6"/>
        <item m="1" x="67"/>
        <item m="1" x="33"/>
        <item x="7"/>
        <item x="0"/>
        <item m="1" x="68"/>
        <item m="1" x="34"/>
        <item x="8"/>
        <item m="1" x="69"/>
        <item m="1" x="35"/>
        <item x="9"/>
        <item m="1" x="70"/>
        <item m="1" x="36"/>
        <item x="10"/>
        <item m="1" x="71"/>
        <item m="1" x="37"/>
        <item x="11"/>
        <item m="1" x="72"/>
        <item m="1" x="38"/>
        <item x="12"/>
        <item m="1" x="73"/>
        <item m="1" x="39"/>
        <item x="13"/>
        <item m="1" x="74"/>
        <item m="1" x="40"/>
        <item x="14"/>
        <item m="1" x="75"/>
        <item m="1" x="41"/>
        <item x="15"/>
        <item m="1" x="76"/>
        <item m="1" x="42"/>
        <item x="16"/>
        <item m="1" x="77"/>
        <item m="1" x="43"/>
        <item x="17"/>
        <item m="1" x="24"/>
        <item x="1"/>
        <item m="1" x="78"/>
        <item m="1" x="44"/>
        <item x="18"/>
        <item m="1" x="79"/>
        <item m="1" x="45"/>
        <item x="19"/>
        <item m="1" x="80"/>
        <item m="1" x="46"/>
        <item x="20"/>
        <item m="1" x="81"/>
        <item m="1" x="47"/>
        <item x="21"/>
        <item m="1" x="82"/>
        <item m="1" x="48"/>
        <item x="22"/>
        <item m="1" x="83"/>
        <item m="1" x="49"/>
        <item x="23"/>
        <item m="1" x="84"/>
        <item m="1" x="50"/>
        <item m="1" x="85"/>
        <item m="1" x="51"/>
        <item m="1" x="86"/>
        <item m="1" x="52"/>
        <item m="1" x="87"/>
        <item m="1" x="53"/>
        <item m="1" x="25"/>
        <item x="2"/>
        <item m="1" x="88"/>
        <item m="1" x="54"/>
        <item m="1" x="89"/>
        <item m="1" x="55"/>
        <item m="1" x="90"/>
        <item m="1" x="56"/>
        <item m="1" x="91"/>
        <item m="1" x="57"/>
        <item m="1" x="92"/>
        <item m="1" x="58"/>
        <item m="1" x="93"/>
        <item m="1" x="59"/>
        <item m="1" x="94"/>
        <item m="1" x="60"/>
        <item m="1" x="95"/>
        <item m="1" x="61"/>
        <item m="1" x="96"/>
        <item m="1" x="97"/>
        <item m="1" x="62"/>
        <item m="1" x="26"/>
        <item m="1" x="98"/>
        <item m="1" x="63"/>
        <item m="1" x="99"/>
        <item m="1" x="64"/>
        <item m="1" x="100"/>
        <item m="1" x="101"/>
        <item m="1" x="102"/>
        <item m="1" x="103"/>
        <item m="1" x="104"/>
        <item m="1" x="105"/>
        <item m="1" x="106"/>
        <item m="1" x="107"/>
        <item m="1" x="27"/>
        <item m="1" x="108"/>
        <item m="1" x="109"/>
        <item m="1" x="28"/>
        <item m="1" x="29"/>
        <item x="3"/>
        <item m="1" x="30"/>
        <item x="4"/>
        <item m="1" x="65"/>
        <item m="1" x="31"/>
        <item x="5"/>
      </items>
    </pivotField>
  </pivotFields>
  <rowFields count="2">
    <field x="13"/>
    <field x="18"/>
  </rowFields>
  <rowItems count="2">
    <i>
      <x/>
      <x v="860"/>
    </i>
    <i t="grand">
      <x/>
    </i>
  </rowItems>
  <colFields count="1">
    <field x="-2"/>
  </colFields>
  <colItems count="2">
    <i>
      <x/>
    </i>
    <i i="1">
      <x v="1"/>
    </i>
  </colItems>
  <dataFields count="2">
    <dataField name="T.Total." fld="5" baseField="18" baseItem="310" numFmtId="164"/>
    <dataField name="FREC." fld="13" subtotal="count" baseField="18" baseItem="310"/>
  </dataFields>
  <formats count="21">
    <format dxfId="333">
      <pivotArea type="all" dataOnly="0" outline="0" fieldPosition="0"/>
    </format>
    <format dxfId="334">
      <pivotArea outline="0" collapsedLevelsAreSubtotals="1" fieldPosition="0"/>
    </format>
    <format dxfId="335">
      <pivotArea type="origin" dataOnly="0" labelOnly="1" outline="0" fieldPosition="0"/>
    </format>
    <format dxfId="336">
      <pivotArea field="0" type="button" dataOnly="0" labelOnly="1" outline="0"/>
    </format>
    <format dxfId="337">
      <pivotArea type="topRight" dataOnly="0" labelOnly="1" outline="0" fieldPosition="0"/>
    </format>
    <format dxfId="338">
      <pivotArea field="13" type="button" dataOnly="0" labelOnly="1" outline="0" axis="axisRow" fieldPosition="0"/>
    </format>
    <format dxfId="339">
      <pivotArea field="14" type="button" dataOnly="0" labelOnly="1" outline="0"/>
    </format>
    <format dxfId="340">
      <pivotArea field="18" type="button" dataOnly="0" labelOnly="1" outline="0" axis="axisRow" fieldPosition="1"/>
    </format>
    <format dxfId="341">
      <pivotArea dataOnly="0" labelOnly="1" outline="0" fieldPosition="0">
        <references count="1">
          <reference field="13" count="21">
            <x v="0"/>
            <x v="7"/>
            <x v="86"/>
            <x v="101"/>
            <x v="120"/>
            <x v="270"/>
            <x v="299"/>
            <x v="373"/>
            <x v="578"/>
            <x v="697"/>
            <x v="698"/>
            <x v="793"/>
            <x v="842"/>
            <x v="873"/>
            <x v="875"/>
            <x v="903"/>
            <x v="946"/>
            <x v="999"/>
            <x v="1004"/>
            <x v="1019"/>
            <x v="1022"/>
          </reference>
        </references>
      </pivotArea>
    </format>
    <format dxfId="342">
      <pivotArea dataOnly="0" labelOnly="1" grandCol="1" outline="0" fieldPosition="0"/>
    </format>
    <format dxfId="343">
      <pivotArea type="all" dataOnly="0" outline="0" fieldPosition="0"/>
    </format>
    <format dxfId="344">
      <pivotArea outline="0" collapsedLevelsAreSubtotals="1" fieldPosition="0"/>
    </format>
    <format dxfId="345">
      <pivotArea type="origin" dataOnly="0" labelOnly="1" outline="0" fieldPosition="0"/>
    </format>
    <format dxfId="346">
      <pivotArea field="0" type="button" dataOnly="0" labelOnly="1" outline="0"/>
    </format>
    <format dxfId="347">
      <pivotArea type="topRight" dataOnly="0" labelOnly="1" outline="0" fieldPosition="0"/>
    </format>
    <format dxfId="348">
      <pivotArea field="13" type="button" dataOnly="0" labelOnly="1" outline="0" axis="axisRow" fieldPosition="0"/>
    </format>
    <format dxfId="349">
      <pivotArea field="14" type="button" dataOnly="0" labelOnly="1" outline="0"/>
    </format>
    <format dxfId="350">
      <pivotArea field="18" type="button" dataOnly="0" labelOnly="1" outline="0" axis="axisRow" fieldPosition="1"/>
    </format>
    <format dxfId="351">
      <pivotArea dataOnly="0" labelOnly="1" outline="0" fieldPosition="0">
        <references count="1">
          <reference field="13" count="21">
            <x v="0"/>
            <x v="7"/>
            <x v="86"/>
            <x v="101"/>
            <x v="120"/>
            <x v="270"/>
            <x v="299"/>
            <x v="373"/>
            <x v="578"/>
            <x v="697"/>
            <x v="698"/>
            <x v="793"/>
            <x v="842"/>
            <x v="873"/>
            <x v="875"/>
            <x v="903"/>
            <x v="946"/>
            <x v="999"/>
            <x v="1004"/>
            <x v="1019"/>
            <x v="1022"/>
          </reference>
        </references>
      </pivotArea>
    </format>
    <format dxfId="352">
      <pivotArea dataOnly="0" labelOnly="1" grandCol="1" outline="0" fieldPosition="0"/>
    </format>
    <format dxfId="353">
      <pivotArea outline="0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- 2026-06-23T082334.128" backgroundRefresh="0" connectionId="1" xr16:uid="{83A6BF69-7F55-4554-8796-4B4EB95922AC}" autoFormatId="16" applyNumberFormats="0" applyBorderFormats="0" applyFontFormats="0" applyPatternFormats="0" applyAlignmentFormats="0" applyWidthHeightFormats="0">
  <queryTableRefresh nextId="32" unboundColumnsRight="4">
    <queryTableFields count="29">
      <queryTableField id="1" name="FECHA REGISTRO" tableColumnId="1"/>
      <queryTableField id="7" name="GENERAL" tableColumnId="2"/>
      <queryTableField id="3" name="POZOSYOFICINAS" tableColumnId="3"/>
      <queryTableField id="4" name="BAÑOSYOFICINAS" tableColumnId="4"/>
      <queryTableField id="5" name="CALDERAS" tableColumnId="5"/>
      <queryTableField id="6" name="PTAR" tableColumnId="6"/>
      <queryTableField id="2" name="SEDAPAR - GENERAL" tableColumnId="7"/>
      <queryTableField id="8" name="MV6" tableColumnId="8"/>
      <queryTableField id="9" name="MV9" tableColumnId="9"/>
      <queryTableField id="10" name="MV12" tableColumnId="10"/>
      <queryTableField id="24" name="ENERGIA" tableColumnId="11"/>
      <queryTableField id="25" name="P.ACTIVA" tableColumnId="12"/>
      <queryTableField id="11" name="GENERAL_CAL" tableColumnId="13"/>
      <queryTableField id="12" name="POZOS_CAL" tableColumnId="14"/>
      <queryTableField id="13" name="BAÑOS_CAL" tableColumnId="15"/>
      <queryTableField id="14" name="CALDERAS_CAL" tableColumnId="16"/>
      <queryTableField id="15" name="PTAR_CAL" tableColumnId="17"/>
      <queryTableField id="16" name="SEDAPAR_CAL" tableColumnId="18"/>
      <queryTableField id="17" name="MV6_CAL" tableColumnId="19"/>
      <queryTableField id="18" name="MV9_CAL" tableColumnId="20"/>
      <queryTableField id="19" name="MV12_CAL" tableColumnId="21"/>
      <queryTableField id="20" name="TANQUE DE GLP" tableColumnId="22"/>
      <queryTableField id="21" name="SEMANA" tableColumnId="23"/>
      <queryTableField id="22" name="AÑO" tableColumnId="24"/>
      <queryTableField id="23" name="MES" tableColumnId="25"/>
      <queryTableField id="28" dataBound="0" tableColumnId="28"/>
      <queryTableField id="29" dataBound="0" tableColumnId="29"/>
      <queryTableField id="30" dataBound="0" tableColumnId="30"/>
      <queryTableField id="31" dataBound="0" tableColumnId="31"/>
    </queryTableFields>
    <queryTableDeletedFields count="2">
      <deletedField name="Tipo de elemento"/>
      <deletedField name="Ruta de acceso"/>
    </queryTableDeletedFields>
  </queryTableRefresh>
</queryTable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AQUINA_AREA_EQUIPO" xr10:uid="{8A3D7AAB-F862-45EB-86D9-30C63C4FCD13}" sourceName="MAQUINA/AREA/EQUIPO">
  <pivotTables>
    <pivotTable tabId="63" name="TablaDinámica1"/>
  </pivotTables>
  <data>
    <tabular pivotCacheId="732453305">
      <items count="117">
        <i x="23"/>
        <i x="54"/>
        <i x="74"/>
        <i x="50"/>
        <i x="17"/>
        <i x="20"/>
        <i x="30"/>
        <i x="58"/>
        <i x="59"/>
        <i x="51"/>
        <i x="40"/>
        <i x="26"/>
        <i x="55"/>
        <i x="3"/>
        <i x="27"/>
        <i x="29"/>
        <i x="71"/>
        <i x="62"/>
        <i x="22"/>
        <i x="67"/>
        <i x="73"/>
        <i x="90"/>
        <i x="2" s="1"/>
        <i x="15"/>
        <i x="47"/>
        <i x="39"/>
        <i x="32"/>
        <i x="72"/>
        <i x="57"/>
        <i x="81"/>
        <i x="38"/>
        <i x="116" nd="1"/>
        <i x="68" nd="1"/>
        <i x="9" nd="1"/>
        <i x="94" nd="1"/>
        <i x="86" nd="1"/>
        <i x="96" nd="1"/>
        <i x="82" nd="1"/>
        <i x="49" nd="1"/>
        <i x="76" nd="1"/>
        <i x="1" nd="1"/>
        <i x="60" nd="1"/>
        <i x="33" nd="1"/>
        <i x="37" nd="1"/>
        <i x="63" nd="1"/>
        <i x="98" nd="1"/>
        <i x="45" nd="1"/>
        <i x="31" nd="1"/>
        <i x="46" nd="1"/>
        <i x="61" nd="1"/>
        <i x="53" nd="1"/>
        <i x="78" nd="1"/>
        <i x="24" nd="1"/>
        <i x="114" nd="1"/>
        <i x="108" nd="1"/>
        <i x="80" nd="1"/>
        <i x="16" nd="1"/>
        <i x="35" nd="1"/>
        <i x="87" nd="1"/>
        <i x="95" nd="1"/>
        <i x="99" nd="1"/>
        <i x="8" nd="1"/>
        <i x="97" nd="1"/>
        <i x="36" nd="1"/>
        <i x="70" nd="1"/>
        <i x="34" nd="1"/>
        <i x="13" nd="1"/>
        <i x="5" nd="1"/>
        <i x="77" nd="1"/>
        <i x="28" nd="1"/>
        <i x="109" nd="1"/>
        <i x="91" nd="1"/>
        <i x="75" nd="1"/>
        <i x="115" nd="1"/>
        <i x="56" nd="1"/>
        <i x="6" nd="1"/>
        <i x="92" nd="1"/>
        <i x="89" nd="1"/>
        <i x="48" nd="1"/>
        <i x="4" nd="1"/>
        <i x="111" nd="1"/>
        <i x="10" nd="1"/>
        <i x="69" nd="1"/>
        <i x="84" nd="1"/>
        <i x="102" nd="1"/>
        <i x="113" nd="1"/>
        <i x="7" nd="1"/>
        <i x="42" nd="1"/>
        <i x="12" nd="1"/>
        <i x="105" nd="1"/>
        <i x="79" nd="1"/>
        <i x="11" nd="1"/>
        <i x="65" nd="1"/>
        <i x="0" nd="1"/>
        <i x="93" nd="1"/>
        <i x="21" nd="1"/>
        <i x="83" nd="1"/>
        <i x="43" nd="1"/>
        <i x="18" nd="1"/>
        <i x="19" nd="1"/>
        <i x="103" nd="1"/>
        <i x="25" nd="1"/>
        <i x="41" nd="1"/>
        <i x="106" nd="1"/>
        <i x="66" nd="1"/>
        <i x="85" nd="1"/>
        <i x="112" nd="1"/>
        <i x="101" nd="1"/>
        <i x="52" nd="1"/>
        <i x="100" nd="1"/>
        <i x="110" nd="1"/>
        <i x="14" nd="1"/>
        <i x="44" nd="1"/>
        <i x="107" nd="1"/>
        <i x="104" nd="1"/>
        <i x="88" nd="1"/>
        <i x="64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_NP" xr10:uid="{56CE86FB-E0BC-48B7-A021-D8EDB383FA0C}" sourceName="P/NP">
  <pivotTables>
    <pivotTable tabId="63" name="TablaDinámica1"/>
  </pivotTables>
  <data>
    <tabular pivotCacheId="732453305">
      <items count="4">
        <i x="1" s="1"/>
        <i x="0"/>
        <i x="3" nd="1"/>
        <i x="2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_E" xr10:uid="{0D988ACE-742A-4EB6-B666-3CE10AC6A78C}" sourceName="M/E">
  <pivotTables>
    <pivotTable tabId="63" name="TablaDinámica1"/>
  </pivotTables>
  <data>
    <tabular pivotCacheId="732453305">
      <items count="6">
        <i x="1" s="1"/>
        <i x="0" s="1" nd="1"/>
        <i x="4" s="1" nd="1"/>
        <i x="2" s="1" nd="1"/>
        <i x="5" s="1" nd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1" xr10:uid="{EEC13B4D-8FA8-4AAF-8219-E87FF3DB8FC0}" sourceName="FECHA">
  <pivotTables>
    <pivotTable tabId="63" name="TablaDinámica1"/>
  </pivotTables>
  <data>
    <tabular pivotCacheId="732453305">
      <items count="107">
        <i x="23" s="1"/>
        <i x="0" s="1" nd="1"/>
        <i x="1" s="1" nd="1"/>
        <i x="2" s="1" nd="1"/>
        <i x="3" s="1" nd="1"/>
        <i x="4" s="1" nd="1"/>
        <i x="5" s="1" nd="1"/>
        <i x="6" s="1" nd="1"/>
        <i x="7" s="1" nd="1"/>
        <i x="8" s="1" nd="1"/>
        <i x="9" s="1" nd="1"/>
        <i x="10" s="1" nd="1"/>
        <i x="11" s="1" nd="1"/>
        <i x="12" s="1" nd="1"/>
        <i x="13" s="1" nd="1"/>
        <i x="14" s="1" nd="1"/>
        <i x="15" s="1" nd="1"/>
        <i x="16" s="1" nd="1"/>
        <i x="17" s="1" nd="1"/>
        <i x="18" s="1" nd="1"/>
        <i x="19" s="1" nd="1"/>
        <i x="20" s="1" nd="1"/>
        <i x="21" s="1" nd="1"/>
        <i x="22" s="1" nd="1"/>
        <i x="24" s="1" nd="1"/>
        <i x="25" s="1" nd="1"/>
        <i x="26" s="1" nd="1"/>
        <i x="27" s="1" nd="1"/>
        <i x="28" s="1" nd="1"/>
        <i x="29" s="1" nd="1"/>
        <i x="30" s="1" nd="1"/>
        <i x="31" s="1" nd="1"/>
        <i x="32" s="1" nd="1"/>
        <i x="33" s="1" nd="1"/>
        <i x="34" s="1" nd="1"/>
        <i x="35" s="1" nd="1"/>
        <i x="36" s="1" nd="1"/>
        <i x="37" s="1" nd="1"/>
        <i x="38" s="1" nd="1"/>
        <i x="39" s="1" nd="1"/>
        <i x="40" s="1" nd="1"/>
        <i x="41" s="1" nd="1"/>
        <i x="42" s="1" nd="1"/>
        <i x="43" s="1" nd="1"/>
        <i x="44" s="1" nd="1"/>
        <i x="45" s="1" nd="1"/>
        <i x="46" s="1" nd="1"/>
        <i x="47" s="1" nd="1"/>
        <i x="48" s="1" nd="1"/>
        <i x="49" s="1" nd="1"/>
        <i x="50" s="1" nd="1"/>
        <i x="51" s="1" nd="1"/>
        <i x="52" s="1" nd="1"/>
        <i x="53" s="1" nd="1"/>
        <i x="54" s="1" nd="1"/>
        <i x="55" s="1" nd="1"/>
        <i x="56" s="1" nd="1"/>
        <i x="57" s="1" nd="1"/>
        <i x="58" s="1" nd="1"/>
        <i x="59" s="1" nd="1"/>
        <i x="60" s="1" nd="1"/>
        <i x="61" s="1" nd="1"/>
        <i x="62" s="1" nd="1"/>
        <i x="63" s="1" nd="1"/>
        <i x="64" s="1" nd="1"/>
        <i x="65" s="1" nd="1"/>
        <i x="66" s="1" nd="1"/>
        <i x="67" s="1" nd="1"/>
        <i x="68" s="1" nd="1"/>
        <i x="69" s="1" nd="1"/>
        <i x="70" s="1" nd="1"/>
        <i x="71" s="1" nd="1"/>
        <i x="72" s="1" nd="1"/>
        <i x="73" s="1" nd="1"/>
        <i x="74" s="1" nd="1"/>
        <i x="75" s="1" nd="1"/>
        <i x="76" s="1" nd="1"/>
        <i x="77" s="1" nd="1"/>
        <i x="78" s="1" nd="1"/>
        <i x="79" s="1" nd="1"/>
        <i x="80" s="1" nd="1"/>
        <i x="81" s="1" nd="1"/>
        <i x="82" s="1" nd="1"/>
        <i x="83" s="1" nd="1"/>
        <i x="84" s="1" nd="1"/>
        <i x="85" s="1" nd="1"/>
        <i x="86" s="1" nd="1"/>
        <i x="87" s="1" nd="1"/>
        <i x="88" s="1" nd="1"/>
        <i x="89" s="1" nd="1"/>
        <i x="90" s="1" nd="1"/>
        <i x="91" s="1" nd="1"/>
        <i x="92" s="1" nd="1"/>
        <i x="93" s="1" nd="1"/>
        <i x="94" s="1" nd="1"/>
        <i x="95" s="1" nd="1"/>
        <i x="96" s="1" nd="1"/>
        <i x="97" s="1" nd="1"/>
        <i x="98" s="1" nd="1"/>
        <i x="99" s="1" nd="1"/>
        <i x="100" s="1" nd="1"/>
        <i x="101" s="1" nd="1"/>
        <i x="102" s="1" nd="1"/>
        <i x="103" s="1" nd="1"/>
        <i x="104" s="1" nd="1"/>
        <i x="105" s="1" nd="1"/>
        <i x="10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CUM" xr10:uid="{736DE1F3-5E3B-4C31-8FDA-F7DC1D37A340}" sourceName="ACUM">
  <pivotTables>
    <pivotTable tabId="63" name="TablaDinámica1"/>
  </pivotTables>
  <data>
    <tabular pivotCacheId="732453305">
      <items count="110">
        <i x="6" s="1"/>
        <i x="66" s="1" nd="1"/>
        <i x="32" s="1" nd="1"/>
        <i x="67" s="1" nd="1"/>
        <i x="33" s="1" nd="1"/>
        <i x="7" s="1" nd="1"/>
        <i x="0" s="1" nd="1"/>
        <i x="68" s="1" nd="1"/>
        <i x="34" s="1" nd="1"/>
        <i x="8" s="1" nd="1"/>
        <i x="69" s="1" nd="1"/>
        <i x="35" s="1" nd="1"/>
        <i x="9" s="1" nd="1"/>
        <i x="70" s="1" nd="1"/>
        <i x="36" s="1" nd="1"/>
        <i x="10" s="1" nd="1"/>
        <i x="71" s="1" nd="1"/>
        <i x="37" s="1" nd="1"/>
        <i x="11" s="1" nd="1"/>
        <i x="72" s="1" nd="1"/>
        <i x="38" s="1" nd="1"/>
        <i x="12" s="1" nd="1"/>
        <i x="73" s="1" nd="1"/>
        <i x="39" s="1" nd="1"/>
        <i x="13" s="1" nd="1"/>
        <i x="74" s="1" nd="1"/>
        <i x="40" s="1" nd="1"/>
        <i x="14" s="1" nd="1"/>
        <i x="75" s="1" nd="1"/>
        <i x="41" s="1" nd="1"/>
        <i x="15" s="1" nd="1"/>
        <i x="76" s="1" nd="1"/>
        <i x="42" s="1" nd="1"/>
        <i x="16" s="1" nd="1"/>
        <i x="77" s="1" nd="1"/>
        <i x="43" s="1" nd="1"/>
        <i x="17" s="1" nd="1"/>
        <i x="24" s="1" nd="1"/>
        <i x="1" s="1" nd="1"/>
        <i x="78" s="1" nd="1"/>
        <i x="44" s="1" nd="1"/>
        <i x="18" s="1" nd="1"/>
        <i x="79" s="1" nd="1"/>
        <i x="45" s="1" nd="1"/>
        <i x="19" s="1" nd="1"/>
        <i x="80" s="1" nd="1"/>
        <i x="46" s="1" nd="1"/>
        <i x="20" s="1" nd="1"/>
        <i x="81" s="1" nd="1"/>
        <i x="47" s="1" nd="1"/>
        <i x="21" s="1" nd="1"/>
        <i x="82" s="1" nd="1"/>
        <i x="48" s="1" nd="1"/>
        <i x="22" s="1" nd="1"/>
        <i x="83" s="1" nd="1"/>
        <i x="49" s="1" nd="1"/>
        <i x="23" s="1" nd="1"/>
        <i x="84" s="1" nd="1"/>
        <i x="50" s="1" nd="1"/>
        <i x="85" s="1" nd="1"/>
        <i x="51" s="1" nd="1"/>
        <i x="86" s="1" nd="1"/>
        <i x="52" s="1" nd="1"/>
        <i x="87" s="1" nd="1"/>
        <i x="53" s="1" nd="1"/>
        <i x="25" s="1" nd="1"/>
        <i x="2" s="1" nd="1"/>
        <i x="88" s="1" nd="1"/>
        <i x="54" s="1" nd="1"/>
        <i x="89" s="1" nd="1"/>
        <i x="55" s="1" nd="1"/>
        <i x="90" s="1" nd="1"/>
        <i x="56" s="1" nd="1"/>
        <i x="91" s="1" nd="1"/>
        <i x="57" s="1" nd="1"/>
        <i x="92" s="1" nd="1"/>
        <i x="58" s="1" nd="1"/>
        <i x="93" s="1" nd="1"/>
        <i x="59" s="1" nd="1"/>
        <i x="94" s="1" nd="1"/>
        <i x="60" s="1" nd="1"/>
        <i x="95" s="1" nd="1"/>
        <i x="61" s="1" nd="1"/>
        <i x="96" s="1" nd="1"/>
        <i x="97" s="1" nd="1"/>
        <i x="62" s="1" nd="1"/>
        <i x="26" s="1" nd="1"/>
        <i x="98" s="1" nd="1"/>
        <i x="63" s="1" nd="1"/>
        <i x="99" s="1" nd="1"/>
        <i x="64" s="1" nd="1"/>
        <i x="100" s="1" nd="1"/>
        <i x="101" s="1" nd="1"/>
        <i x="102" s="1" nd="1"/>
        <i x="103" s="1" nd="1"/>
        <i x="104" s="1" nd="1"/>
        <i x="105" s="1" nd="1"/>
        <i x="106" s="1" nd="1"/>
        <i x="107" s="1" nd="1"/>
        <i x="27" s="1" nd="1"/>
        <i x="108" s="1" nd="1"/>
        <i x="109" s="1" nd="1"/>
        <i x="28" s="1" nd="1"/>
        <i x="29" s="1" nd="1"/>
        <i x="3" s="1" nd="1"/>
        <i x="30" s="1" nd="1"/>
        <i x="4" s="1" nd="1"/>
        <i x="65" s="1" nd="1"/>
        <i x="31" s="1" nd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IEZA___PARTE" xr10:uid="{B0B00D16-6C4A-46DE-86F9-5584271B06F6}" sourceName="PIEZA - PARTE">
  <pivotTables>
    <pivotTable tabId="63" name="TablaDinámica1"/>
  </pivotTables>
  <data>
    <tabular pivotCacheId="732453305">
      <items count="2">
        <i x="1" s="1"/>
        <i x="0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" xr10:uid="{0FB525E1-2142-4F4C-9E85-A42284ADB31E}" sourceName="FECHA">
  <extLst>
    <x:ext xmlns:x15="http://schemas.microsoft.com/office/spreadsheetml/2010/11/main" uri="{2F2917AC-EB37-4324-AD4E-5DD8C200BD13}">
      <x15:tableSlicerCache tableId="8" column="1"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AQUINA_AREA_EQUIPO1" xr10:uid="{C30E3F4B-99F3-4C7D-B3F4-7DF89DA4B287}" sourceName="MAQUINA/AREA/EQUIPO">
  <extLst>
    <x:ext xmlns:x15="http://schemas.microsoft.com/office/spreadsheetml/2010/11/main" uri="{2F2917AC-EB37-4324-AD4E-5DD8C200BD13}">
      <x15:tableSlicerCache tableId="8" column="7"/>
    </x:ext>
  </extLst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ACTIVIDAD" xr10:uid="{7336F81E-7C6A-4758-B119-08282B06A64E}" sourceName="TIPO ACTIVIDAD">
  <extLst>
    <x:ext xmlns:x15="http://schemas.microsoft.com/office/spreadsheetml/2010/11/main" uri="{2F2917AC-EB37-4324-AD4E-5DD8C200BD13}">
      <x15:tableSlicerCache tableId="8" column="9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ECHA" xr10:uid="{70CF9DA1-F0AF-4F8A-90CB-7B701E2C0097}" cache="SegmentaciónDeDatos_FECHA" caption="FECHA" startItem="80" columnCount="4" lockedPosition="1" rowHeight="228600"/>
  <slicer name="MAQUINA/AREA/EQUIPO 1" xr10:uid="{BB4D7AE4-E8BC-43EB-9807-9D79F0E3E4C8}" cache="SegmentaciónDeDatos_MAQUINA_AREA_EQUIPO1" caption="MAQUINA/AREA/EQUIPO" startItem="40" columnCount="4" lockedPosition="1" rowHeight="241300"/>
  <slicer name="TIPO ACTIVIDAD" xr10:uid="{ABC305BD-24B3-4EF9-83A2-1B15385852E2}" cache="SegmentaciónDeDatos_TIPO_ACTIVIDAD" caption="TIPO ACTIVIDAD" columnCount="4" lockedPosition="1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QUINA/AREA/EQUIPO" xr10:uid="{0D7E5FD0-2294-4437-BA91-04D5C9511654}" cache="SegmentaciónDeDatos_MAQUINA_AREA_EQUIPO" caption="MAQUINA/AREA/EQUIPO" startItem="7" columnCount="7" lockedPosition="1" rowHeight="241300"/>
  <slicer name="P/NP" xr10:uid="{46626937-8720-4802-A249-33EA61D3C7E0}" cache="SegmentaciónDeDatos_P_NP" caption="P/NP" lockedPosition="1" rowHeight="241300"/>
  <slicer name="M/E" xr10:uid="{D591709D-2DBA-4A89-9CE4-392DB1F46D03}" cache="SegmentaciónDeDatos_M_E" caption="M/E" lockedPosition="1" rowHeight="241300"/>
  <slicer name="FECHA 1" xr10:uid="{330FFEAF-F0E5-4701-8D57-A3A9B3CA78D1}" cache="SegmentaciónDeDatos_FECHA1" caption="FECHA" lockedPosition="1" rowHeight="241300"/>
  <slicer name="ACUM" xr10:uid="{DA161A0D-80BD-4539-9517-1342537DDD02}" cache="SegmentaciónDeDatos_ACUM" caption="ACUM" lockedPosition="1" rowHeight="241300"/>
  <slicer name="PIEZA - PARTE" xr10:uid="{DD54F2CD-DB1A-4E20-B52C-E8D1BF4D39A9}" cache="SegmentaciónDeDatos_PIEZA___PARTE" caption="PIEZA - PARTE" rowHeight="241300"/>
</slicer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1AA1DDC-0203-49F5-805A-A2351B87A284}" name="Tabla8" displayName="Tabla8" ref="A4:U2070" totalsRowShown="0" headerRowDxfId="331" tableBorderDxfId="330">
  <autoFilter ref="A4:U2070" xr:uid="{F1AA1DDC-0203-49F5-805A-A2351B87A284}"/>
  <sortState xmlns:xlrd2="http://schemas.microsoft.com/office/spreadsheetml/2017/richdata2" ref="A5:U2025">
    <sortCondition ref="A4:A2025"/>
  </sortState>
  <tableColumns count="21">
    <tableColumn id="1" xr3:uid="{35CD0F8B-2A06-4834-9C9A-B3E11B0B1C6C}" name="FECHA" dataDxfId="329"/>
    <tableColumn id="2" xr3:uid="{3B711EEB-63E0-47C1-BD4A-74B192AA3254}" name="TECNICO" dataDxfId="328"/>
    <tableColumn id="3" xr3:uid="{192C1309-095E-4A2A-B0F1-DA6C7ACBC423}" name="TURNO" dataDxfId="327"/>
    <tableColumn id="4" xr3:uid="{F95FEE9D-07C7-45A9-A048-5EC0AB3E897D}" name="HR. INICIO" dataDxfId="326"/>
    <tableColumn id="5" xr3:uid="{C165FF7A-ED1F-425D-9C32-47156ED043D4}" name="HR. FIN" dataDxfId="325"/>
    <tableColumn id="6" xr3:uid="{CD9F26BC-0C4D-4A39-BA2E-A402DC83C5A7}" name="T.Total" dataDxfId="324">
      <calculatedColumnFormula>+MOD(Tabla8[[#This Row],[HR. FIN]]-Tabla8[[#This Row],[HR. INICIO]],1)</calculatedColumnFormula>
    </tableColumn>
    <tableColumn id="7" xr3:uid="{49F634D5-80C8-4CD9-A130-06F3D359888F}" name="MAQUINA/AREA/EQUIPO" dataDxfId="323"/>
    <tableColumn id="8" xr3:uid="{879E51F1-1980-4E96-9EF7-14866FE8F438}" name="CLASIFICACIÓN" dataDxfId="322">
      <calculatedColumnFormula>IFERROR(VLOOKUP(G5,DATOS!$M$2:$N$219,2,FALSE),"")</calculatedColumnFormula>
    </tableColumn>
    <tableColumn id="9" xr3:uid="{A467083D-C064-4E5A-B2C7-17EFBAEA19BC}" name="TIPO ACTIVIDAD" dataDxfId="321"/>
    <tableColumn id="10" xr3:uid="{F2746655-00D1-489C-89D1-831DE915F7E0}" name="P/NP" dataDxfId="320">
      <calculatedColumnFormula>+VLOOKUP($I5,Tabla7[#All],2,FALSE)</calculatedColumnFormula>
    </tableColumn>
    <tableColumn id="11" xr3:uid="{C2CE930F-5C24-430E-B52A-C360B46DBB1C}" name="M/E" dataDxfId="319">
      <calculatedColumnFormula>IF(VLOOKUP(I5,Tabla7[#All],3,FALSE)=0,"",VLOOKUP(I5,Tabla7[#All],3,FALSE))</calculatedColumnFormula>
    </tableColumn>
    <tableColumn id="12" xr3:uid="{3707941E-03F7-42D8-BA52-0CFCC6C6AC52}" name="DESCRIPCION DE TRABAJO" dataDxfId="318"/>
    <tableColumn id="13" xr3:uid="{B7D51892-8ED9-4BFB-9CE1-5C1CAB248E90}" name="ACTIVIDAD CORRECTIVO" dataDxfId="317"/>
    <tableColumn id="14" xr3:uid="{115E66F7-132F-41D3-AF7C-CB9CEF70EF9C}" name="PIEZA" dataDxfId="316">
      <calculatedColumnFormula array="1">IFERROR(IF(Tabla8[[#This Row],[P/NP]]="NO PROGRAMADA","",_xlfn.TEXTJOIN(", ",TRUE,_xlfn._xlws.FILTER(Tabla4[[#All],[PIEZA]],ISNUMBER(SEARCH(Tabla4[[#All],[PCLAVE]],Tabla8[[#This Row],[DESCRIPCION DE TRABAJO]])),""))),"")</calculatedColumnFormula>
    </tableColumn>
    <tableColumn id="15" xr3:uid="{0C2A9F19-2920-4B09-AA36-D13CC3E03DE7}" name="PARTE" dataDxfId="315">
      <calculatedColumnFormula array="1">_xlfn.TEXTJOIN(", ",TRUE,_xlfn._xlws.FILTER(Tabla28[[#All],[PARTE]],ISNUMBER(SEARCH(Tabla28[[#All],[PCLAVE2]],Tabla8[[#This Row],[DESCRIPCION DE TRABAJO]])),""))</calculatedColumnFormula>
    </tableColumn>
    <tableColumn id="30" xr3:uid="{909AC0D6-1D7B-447C-A8F0-0A9C75B5D9D5}" name="PARTE 1" dataDxfId="314">
      <calculatedColumnFormula>IFERROR(LEFT(O5, FIND(",", O5)-1), O5)</calculatedColumnFormula>
    </tableColumn>
    <tableColumn id="29" xr3:uid="{69357939-6760-489E-B64C-350F21055501}" name="PARTE 2" dataDxfId="313">
      <calculatedColumnFormula>IFERROR(IF(ISERROR(FIND(",", O5, FIND(",", O5)+1)), RIGHT(O5, LEN(O5)-FIND(",", O5)-1), MID(O5, FIND(",", O5)+2, FIND(",", O5, FIND(",", O5)+1)-FIND(",", O5)-2)), "")</calculatedColumnFormula>
    </tableColumn>
    <tableColumn id="27" xr3:uid="{DECF923C-E754-4564-A704-186F544C007B}" name="PARTE 3" dataDxfId="312">
      <calculatedColumnFormula>IFERROR(RIGHT(O5, LEN(O5)-FIND(",", O5, FIND(",", O5)+1)-1), "")</calculatedColumnFormula>
    </tableColumn>
    <tableColumn id="16" xr3:uid="{AEFE01CC-75C0-4109-A6F4-9EA1103ADD4F}" name="DETALLE" dataDxfId="311">
      <calculatedColumnFormula array="1">_xlfn.TEXTJOIN(", ",TRUE,_xlfn._xlws.FILTER(Tabla29[[#All],[PARTE]],ISNUMBER(SEARCH(Tabla29[[#All],[PCLAVE3]],Tabla8[[#This Row],[DESCRIPCION DE TRABAJO]])),""))</calculatedColumnFormula>
    </tableColumn>
    <tableColumn id="26" xr3:uid="{005E09DB-1C9B-4D3C-AED7-FEF062ED6DF1}" name="PIEZA - PARTE" dataDxfId="310">
      <calculatedColumnFormula>IF(AND(Tabla8[[#This Row],[PIEZA]]="",Tabla8[[#This Row],[PARTE]]=""),"VACIO","OK")</calculatedColumnFormula>
    </tableColumn>
    <tableColumn id="17" xr3:uid="{21BE0837-78F7-4925-9EBF-59D903D56DFD}" name="ACUM" dataDxfId="309">
      <calculatedColumnFormula>+CONCATENATE(WEEKNUM(Tabla8[[#This Row],[FECHA]]),"-",YEAR(Tabla8[[#This Row],[FECHA]]))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7C4A83D-45EB-4CFE-9ED6-27AE9F053D80}" name="Tabla107" displayName="Tabla107" ref="B2:Q62" totalsRowShown="0" headerRowDxfId="292" dataDxfId="291" headerRowBorderDxfId="289" tableBorderDxfId="290" totalsRowBorderDxfId="288">
  <autoFilter ref="B2:Q62" xr:uid="{AFEA2518-4457-49C2-95AA-7E23FD576AC0}"/>
  <sortState xmlns:xlrd2="http://schemas.microsoft.com/office/spreadsheetml/2017/richdata2" ref="B3:Q62">
    <sortCondition ref="F2:F62"/>
  </sortState>
  <tableColumns count="16">
    <tableColumn id="1" xr3:uid="{9DD58FDE-2EAC-4661-8773-EC5F6D305751}" name="CONTEO-NOMBRE" dataDxfId="287">
      <calculatedColumnFormula>IF(I3="","",CONCATENATE(I3,"-",P3))</calculatedColumnFormula>
    </tableColumn>
    <tableColumn id="2" xr3:uid="{4C39EA1B-3990-464A-B818-2E9B1E5DD052}" name="FECHA" dataDxfId="286"/>
    <tableColumn id="3" xr3:uid="{3E1FEA40-DC8A-4A47-89D9-2BDDF86E651A}" name="TECNICO" dataDxfId="285"/>
    <tableColumn id="4" xr3:uid="{95F7D7C6-A573-412F-9946-1D28B1329B7B}" name="TURNO" dataDxfId="284"/>
    <tableColumn id="5" xr3:uid="{7C962060-EBE3-4D01-9F37-0247D63A96F1}" name="INICIO" dataDxfId="283"/>
    <tableColumn id="6" xr3:uid="{7EB9CE49-5937-4402-9B97-1B1E6FD3F6F3}" name="FIN" dataDxfId="282"/>
    <tableColumn id="7" xr3:uid="{590DAA3B-2D89-4BEF-ADCA-DEBA4718157C}" name="T.TOTAL" dataDxfId="281">
      <calculatedColumnFormula>+MOD(Tabla8[[#This Row],[HR. FIN]]-Tabla8[[#This Row],[HR. INICIO]],1)</calculatedColumnFormula>
    </tableColumn>
    <tableColumn id="8" xr3:uid="{FB129576-8278-427A-9241-082DB94C7A93}" name="MAQUINA / EQUIPO" dataDxfId="280"/>
    <tableColumn id="9" xr3:uid="{87DE2C44-A53D-479E-8795-E333CF8749D4}" name="CLASIFICACION" dataDxfId="279">
      <calculatedColumnFormula>IFERROR(VLOOKUP(I3,DATOS!$M$2:$N$219,2,FALSE),"")</calculatedColumnFormula>
    </tableColumn>
    <tableColumn id="10" xr3:uid="{09E4AA68-1074-4060-B7E8-FF0A1B9B19B3}" name="TIPO" dataDxfId="278"/>
    <tableColumn id="11" xr3:uid="{91017EE8-707F-44E8-A966-264200D78961}" name="P/NP" dataDxfId="277">
      <calculatedColumnFormula>+VLOOKUP(#REF!,Tabla7[#All],2,FALSE)</calculatedColumnFormula>
    </tableColumn>
    <tableColumn id="12" xr3:uid="{B4E6018E-EB73-47E8-8C8A-87A3E6267BC6}" name="M/E" dataDxfId="276">
      <calculatedColumnFormula>IF(VLOOKUP(K3,Tabla7[#All],3,FALSE)=0,"",VLOOKUP(K3,Tabla7[#All],3,FALSE))</calculatedColumnFormula>
    </tableColumn>
    <tableColumn id="13" xr3:uid="{8DB25F9C-FE5E-4890-A3D2-4973267EBD71}" name="OBSERVACION" dataDxfId="275"/>
    <tableColumn id="14" xr3:uid="{C1798E05-C6D8-45C5-9CB1-CCF7A72E8F81}" name="ACT. CORRECTIVA" dataDxfId="274"/>
    <tableColumn id="15" xr3:uid="{8EEEDB73-E610-407C-82D5-2B740BB7BDF1}" name="CONTEO" dataDxfId="273">
      <calculatedColumnFormula>COUNTIF($I$3:I3,I3)</calculatedColumnFormula>
    </tableColumn>
    <tableColumn id="16" xr3:uid="{CCB3CED7-DB54-43F5-B6D5-5698A393B3D6}" name="Maq." dataDxfId="272">
      <calculatedColumnFormula>IF(Tabla107[[#This Row],[MAQUINA / EQUIPO]]="","",Tabla107[[#This Row],[MAQUINA / EQUIPO]])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428EEE0-B15A-4D05-8571-D7487CAF48EA}" name="Tabla912" displayName="Tabla912" ref="AC231:AD235" totalsRowShown="0" headerRowDxfId="271" dataDxfId="270" tableBorderDxfId="269">
  <autoFilter ref="AC231:AD235" xr:uid="{109DF47A-1EFC-4865-9C16-341BC9EC04E7}"/>
  <tableColumns count="2">
    <tableColumn id="1" xr3:uid="{AAA8AE09-99CB-4FD5-A6E2-079D7C4D0E96}" name="DETALLE" dataDxfId="268"/>
    <tableColumn id="2" xr3:uid="{1B179FD5-54E9-472D-80E1-6ABD1A532142}" name="RANGO" dataDxfId="26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647D6FA-BCFA-4130-B18E-40DD1BC69D49}" name="Tabla12" displayName="Tabla12" ref="P25:T45" totalsRowShown="0" headerRowDxfId="249" headerRowBorderDxfId="247" tableBorderDxfId="248" totalsRowBorderDxfId="246">
  <autoFilter ref="P25:T45" xr:uid="{6647D6FA-BCFA-4130-B18E-40DD1BC69D49}"/>
  <tableColumns count="5">
    <tableColumn id="1" xr3:uid="{E4F656DF-D082-4CCD-BDA8-09A6C4381FE1}" name="Equipo" dataDxfId="245">
      <calculatedColumnFormula>IF(ISBLANK(N26),"",N26)</calculatedColumnFormula>
    </tableColumn>
    <tableColumn id="2" xr3:uid="{00B8C098-593B-439C-830D-DF6786687895}" name="Total" dataDxfId="244">
      <calculatedColumnFormula>IF(ISBLANK(O26),"",O26)</calculatedColumnFormula>
    </tableColumn>
    <tableColumn id="3" xr3:uid="{1A78387F-F0C2-4E27-92A8-5377CDAA31D9}" name="Tiempo" dataDxfId="243">
      <calculatedColumnFormula>IF(ISBLANK(O26),"",(O26*24))</calculatedColumnFormula>
    </tableColumn>
    <tableColumn id="4" xr3:uid="{7D7029C7-5145-4A8B-A76E-E3356B150205}" name="Porcentaje (%)" dataDxfId="242" dataCellStyle="Porcentaje">
      <calculatedColumnFormula>IFERROR(R26/$R$24,"")</calculatedColumnFormula>
    </tableColumn>
    <tableColumn id="5" xr3:uid="{678AD2EE-942A-4596-95FB-7369B1C57AEF}" name="Acumulado" dataDxfId="241">
      <calculatedColumnFormula>IFERROR(T25+S26,"")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73010CE-2974-4FA9-AC6E-7217C97F9079}" name="Tabla_query___2026_06_23T082334.128" displayName="Tabla_query___2026_06_23T082334.128" ref="B2:AD293" tableType="queryTable" totalsRowShown="0" headerRowDxfId="228" dataDxfId="227" headerRowBorderDxfId="225" tableBorderDxfId="226" totalsRowBorderDxfId="224">
  <autoFilter ref="B2:AD293" xr:uid="{A73010CE-2974-4FA9-AC6E-7217C97F9079}"/>
  <sortState xmlns:xlrd2="http://schemas.microsoft.com/office/spreadsheetml/2017/richdata2" ref="B3:AD291">
    <sortCondition ref="B2:B291"/>
  </sortState>
  <tableColumns count="29">
    <tableColumn id="1" xr3:uid="{EA947689-8FED-4E82-800A-198A6212219C}" uniqueName="FECHAREGISTRO" name="FECHA REGISTRO" queryTableFieldId="1" dataDxfId="223"/>
    <tableColumn id="2" xr3:uid="{12710188-258E-482E-962D-750953C05249}" uniqueName="GENERAL" name="GENERAL" queryTableFieldId="7" dataDxfId="222"/>
    <tableColumn id="3" xr3:uid="{12C9837E-A9B3-42DF-A622-5EFC48BD2D43}" uniqueName="POZOSYOFICINAS" name="POZOS Y OFICINAS" queryTableFieldId="3" dataDxfId="221"/>
    <tableColumn id="4" xr3:uid="{0C0664AE-1E97-4DD9-8764-CBE30AA448E6}" uniqueName="BA_x005f_x00d1_OSYOFICINAS" name="BAÑOS Y OFICINAS" queryTableFieldId="4" dataDxfId="220"/>
    <tableColumn id="5" xr3:uid="{8A140440-15B8-4A42-8B5F-36C1DFD6CF74}" uniqueName="CALDERAS" name="CALDERAS" queryTableFieldId="5" dataDxfId="219"/>
    <tableColumn id="6" xr3:uid="{A8640769-5A9B-4C90-A4A9-C68DA5270D49}" uniqueName="PTAR" name="PTAR" queryTableFieldId="6" dataDxfId="218"/>
    <tableColumn id="7" xr3:uid="{C913C47C-3ABD-4A41-80AC-5DE562128366}" uniqueName="SEDAPAR_x005f_x002d_GENERAL" name="SEDAPAR_x000a_GENERAL" queryTableFieldId="2" dataDxfId="217"/>
    <tableColumn id="8" xr3:uid="{0FFD1A77-F36A-44BF-92E0-6252B046C60A}" uniqueName="_x005f_x004d_V6" name="MV6" queryTableFieldId="8" dataDxfId="216"/>
    <tableColumn id="9" xr3:uid="{1BEA91A5-0AC5-4AD9-AB42-A8AF74B08AAD}" uniqueName="_x005f_x004d_V9" name="MV9" queryTableFieldId="9" dataDxfId="215"/>
    <tableColumn id="10" xr3:uid="{D66CD78F-6846-4C5E-9A8E-3BC25D98446B}" uniqueName="_x005f_x004d_V12" name="MV12" queryTableFieldId="10" dataDxfId="214"/>
    <tableColumn id="11" xr3:uid="{A3D664F9-762B-4D32-AAA6-18E45DD48674}" uniqueName="ENERGIA" name="ENERGIA" queryTableFieldId="24" dataDxfId="213"/>
    <tableColumn id="12" xr3:uid="{447B9366-5727-411A-BC4F-6D67EB139320}" uniqueName="POTENCIAACTIVA" name="P.ACTIVA" queryTableFieldId="25" dataDxfId="212"/>
    <tableColumn id="13" xr3:uid="{6ED91023-1309-4733-A28D-E1262BD0FBB3}" uniqueName="GENERAL_CAL" name="GENERAL_x000a_CAL" queryTableFieldId="11" dataDxfId="211"/>
    <tableColumn id="14" xr3:uid="{85ED8F84-D92E-4A77-B3BF-A8F96856F920}" uniqueName="POZOS_CAL" name="POZOS_x000a_CAL" queryTableFieldId="12" dataDxfId="210"/>
    <tableColumn id="15" xr3:uid="{A93D744D-6A2B-4195-BA2C-03E70F9A2BC6}" uniqueName="BA_x005f_x00d1_OS_CAL" name="BAÑOS_x000a_CAL" queryTableFieldId="13" dataDxfId="209"/>
    <tableColumn id="16" xr3:uid="{D781DCA9-1610-49E3-88B2-B1B0D9C247EB}" uniqueName="CALDERAS_CAL" name="CALDERAS_x000a_CAL" queryTableFieldId="14" dataDxfId="208"/>
    <tableColumn id="17" xr3:uid="{75553733-BA11-4B9A-92C5-0D767EE025FF}" uniqueName="PTAR_CAL" name="PTAR_x000a_CAL" queryTableFieldId="15" dataDxfId="207"/>
    <tableColumn id="18" xr3:uid="{9A030301-B2FD-43C3-BE2A-9E6C4F02770C}" uniqueName="SEDAPAR_CAL" name="SEDAPAR_x000a_CAL" queryTableFieldId="16" dataDxfId="206"/>
    <tableColumn id="19" xr3:uid="{77002F2C-86E1-4EEA-9E16-210CF211A4B1}" uniqueName="MV6_CAL" name="MV6_x000a_CAL" queryTableFieldId="17" dataDxfId="205"/>
    <tableColumn id="20" xr3:uid="{6E4D6728-A97F-4E97-A03C-EC4A2D8CEDCA}" uniqueName="MV9_CAL" name="MV9_x000a_CAL" queryTableFieldId="18" dataDxfId="204"/>
    <tableColumn id="21" xr3:uid="{6420B8CC-1209-4E43-A006-72CCDC5B7DBE}" uniqueName="MV12_CAL" name="MV12_x000a_CAL" queryTableFieldId="19" dataDxfId="203"/>
    <tableColumn id="22" xr3:uid="{02355269-4CF6-405A-852B-5AECBB60F35C}" uniqueName="TANQUEDEGLP" name="TANQUE DE GLP" queryTableFieldId="20" dataDxfId="202"/>
    <tableColumn id="23" xr3:uid="{3E63A8B5-C770-4C68-A605-BAF84B172B2B}" uniqueName="SEMANA" name="SEMANA" queryTableFieldId="21" dataDxfId="201"/>
    <tableColumn id="24" xr3:uid="{23892222-16D8-4E9A-884B-0D916DF6644A}" uniqueName="MES" name="AÑO" queryTableFieldId="22" dataDxfId="200"/>
    <tableColumn id="25" xr3:uid="{212DFD8C-E280-4BAC-8148-DDAEA1EA9EF6}" uniqueName="MES0" name="MES" queryTableFieldId="23" dataDxfId="199"/>
    <tableColumn id="28" xr3:uid="{B5F03952-1543-49BF-91C3-83F63C193885}" uniqueName="28" name="CONCAT" queryTableFieldId="28" dataDxfId="198">
      <calculatedColumnFormula>+Tabla_query___2026_06_23T082334.128[[#This Row],[AÑO]]&amp;" - "&amp;Tabla_query___2026_06_23T082334.128[[#This Row],[MES]]</calculatedColumnFormula>
    </tableColumn>
    <tableColumn id="29" xr3:uid="{A9DE8CDF-E44C-4C4E-AFE5-27EFD7A8E4A0}" uniqueName="29" name="LCC _x000a_GENERAL" queryTableFieldId="29" dataDxfId="197">
      <calculatedColumnFormula>+$AB$1</calculatedColumnFormula>
    </tableColumn>
    <tableColumn id="30" xr3:uid="{8986973F-5A68-4D4E-9909-CAD449DE4A3B}" uniqueName="30" name="LCC ENERGIA" queryTableFieldId="30" dataDxfId="196">
      <calculatedColumnFormula>+$AC$1</calculatedColumnFormula>
    </tableColumn>
    <tableColumn id="31" xr3:uid="{BC26E12C-4C1E-4186-890D-94E325180F44}" uniqueName="31" name="LCC  P.ACTIVA" queryTableFieldId="31" dataDxfId="195">
      <calculatedColumnFormula>+$AD$1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CD39D55-712D-4333-AA5F-351F9FC267A8}" name="Tabla17" displayName="Tabla17" ref="K2:K11" totalsRowShown="0" headerRowBorderDxfId="193" tableBorderDxfId="194" totalsRowBorderDxfId="192">
  <autoFilter ref="K2:K11" xr:uid="{8CD39D55-712D-4333-AA5F-351F9FC267A8}"/>
  <tableColumns count="1">
    <tableColumn id="1" xr3:uid="{51483A4A-E78C-4B28-85FE-2EF9FF991096}" name="Columna1" dataDxfId="19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832BC29-4503-4261-A588-05A4C91FCA6B}" name="Tabla19" displayName="Tabla19" ref="M2:N219" totalsRowShown="0" headerRowDxfId="190" headerRowBorderDxfId="188" tableBorderDxfId="189" totalsRowBorderDxfId="187">
  <autoFilter ref="M2:N219" xr:uid="{F832BC29-4503-4261-A588-05A4C91FCA6B}"/>
  <tableColumns count="2">
    <tableColumn id="4" xr3:uid="{B99B75D7-F7C7-4152-9155-26BF296D3644}" name="Maquina2" dataDxfId="186"/>
    <tableColumn id="2" xr3:uid="{26DE9E60-AB5D-4E59-82C6-E3B9A463E192}" name="Clasificacion" dataDxfId="18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BE8BF554-CDB7-494F-A46E-81CB8149EB65}" name="Tabla21" displayName="Tabla21" ref="I2:I5" totalsRowShown="0" headerRowDxfId="184" dataDxfId="183" headerRowBorderDxfId="181" tableBorderDxfId="182" totalsRowBorderDxfId="180">
  <autoFilter ref="I2:I5" xr:uid="{BE8BF554-CDB7-494F-A46E-81CB8149EB65}"/>
  <tableColumns count="1">
    <tableColumn id="1" xr3:uid="{DCB16E2D-04BF-4A55-946E-C1D230A0DFB3}" name="Turno" dataDxfId="17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8A7185C8-0019-4F7F-870D-769284FE03C9}" name="Tabla22" displayName="Tabla22" ref="G2:G8" totalsRowShown="0" headerRowDxfId="178" dataDxfId="177" headerRowBorderDxfId="175" tableBorderDxfId="176" totalsRowBorderDxfId="174">
  <autoFilter ref="G2:G8" xr:uid="{8A7185C8-0019-4F7F-870D-769284FE03C9}"/>
  <tableColumns count="1">
    <tableColumn id="1" xr3:uid="{3F4B8092-FC15-47C5-9832-EA0FB0B76F80}" name="Tecnicos" dataDxfId="17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45BF31C6-7A00-4A23-AF8F-0A4CAD07097E}" name="Tabla23" displayName="Tabla23" ref="P2:P17" totalsRowShown="0" dataDxfId="172" tableBorderDxfId="171">
  <autoFilter ref="P2:P17" xr:uid="{45BF31C6-7A00-4A23-AF8F-0A4CAD07097E}"/>
  <tableColumns count="1">
    <tableColumn id="1" xr3:uid="{A14AAF77-C620-4639-A34B-03B495DB901F}" name="TIPO DE ACTIVIDAD" dataDxfId="17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9D1413A-B891-414F-A3FA-BCD16174467A}" name="Tabla24" displayName="Tabla24" ref="R2:S14" totalsRowShown="0" headerRowDxfId="169" headerRowBorderDxfId="167" tableBorderDxfId="168" totalsRowBorderDxfId="166">
  <autoFilter ref="R2:S14" xr:uid="{99D1413A-B891-414F-A3FA-BCD16174467A}"/>
  <tableColumns count="2">
    <tableColumn id="1" xr3:uid="{74307C1B-6CD8-45D7-B561-16023C1EB46A}" name="Nº" dataDxfId="165"/>
    <tableColumn id="2" xr3:uid="{FA073EF0-76FC-4623-9F3B-64B216440AE8}" name="Mes" dataDxfId="164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4EF37C3-FE65-47BF-BFFF-0E909A7D3498}" name="Tabla7" displayName="Tabla7" ref="G14:I29" totalsRowShown="0" headerRowDxfId="163" headerRowBorderDxfId="161" tableBorderDxfId="162" totalsRowBorderDxfId="160">
  <autoFilter ref="G14:I29" xr:uid="{54EF37C3-FE65-47BF-BFFF-0E909A7D3498}"/>
  <sortState xmlns:xlrd2="http://schemas.microsoft.com/office/spreadsheetml/2017/richdata2" ref="G15:I29">
    <sortCondition ref="G14:G29"/>
  </sortState>
  <tableColumns count="3">
    <tableColumn id="1" xr3:uid="{467437F3-F3E6-44D6-B527-8574D93A9C8E}" name="TIPO DE ACTIVIDAD" dataDxfId="159"/>
    <tableColumn id="2" xr3:uid="{8F8D139A-D4CE-4133-A2DA-513EAE5C7F35}" name="P/NP" dataDxfId="158"/>
    <tableColumn id="3" xr3:uid="{41B13508-7D7D-4EE6-BE6B-8A1D6A5CE6F5}" name="M/E" dataDxfId="157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CFD5ACB-01C6-4F17-B5F3-5E461CEC2956}" name="Tabla16" displayName="Tabla16" ref="U2:X263" totalsRowShown="0" headerRowDxfId="156" headerRowBorderDxfId="155">
  <autoFilter ref="U2:X263" xr:uid="{0CFD5ACB-01C6-4F17-B5F3-5E461CEC2956}"/>
  <tableColumns count="4">
    <tableColumn id="1" xr3:uid="{5BE81297-F7C2-4EB7-9BCC-D970C64F6917}" name="SEMANA"/>
    <tableColumn id="2" xr3:uid="{A6597C86-1FE2-4DD8-9786-AF5755754FD0}" name="AÑO"/>
    <tableColumn id="3" xr3:uid="{EA38F2A1-0641-4DFC-A918-F92F4FDE5665}" name="SEM-AÑO"/>
    <tableColumn id="4" xr3:uid="{A31B1C5D-AD81-4E44-993E-DCB613D4D66A}" name="CONTEO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227FF9-7C52-4EF8-BA31-CDA0F7D5972D}" name="Tabla2" displayName="Tabla2" ref="G32:H39" totalsRowShown="0">
  <autoFilter ref="G32:H39" xr:uid="{23227FF9-7C52-4EF8-BA31-CDA0F7D5972D}"/>
  <tableColumns count="2">
    <tableColumn id="1" xr3:uid="{50586134-05B2-4CC8-A51A-B6A44BE34473}" name="  "/>
    <tableColumn id="2" xr3:uid="{B0F89E68-BB20-4D90-9535-F4C890FAE9F6}" name=" 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C2D7DB83-44E2-4C9C-A6EA-32F7D29785C4}" name="Tabla26" displayName="Tabla26" ref="L7:O12" totalsRowShown="0" headerRowDxfId="139" dataDxfId="138">
  <autoFilter ref="L7:O12" xr:uid="{C2D7DB83-44E2-4C9C-A6EA-32F7D29785C4}"/>
  <tableColumns count="4">
    <tableColumn id="1" xr3:uid="{39CCFC32-0D7D-4C19-9975-0DB0A2BF4237}" name="PCLAVE" dataDxfId="137"/>
    <tableColumn id="2" xr3:uid="{CF64228D-A24E-414E-AADB-B3CABB944698}" name="PIEZA" dataDxfId="136"/>
    <tableColumn id="3" xr3:uid="{BF199ED5-DD7B-4070-8738-B148A45D0461}" name="PCLAVE2" dataDxfId="135"/>
    <tableColumn id="4" xr3:uid="{FAC1452B-EF3D-4AB3-A85E-9355A6196F4F}" name="PARTE" dataDxfId="134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D3A4259-6DB4-426A-AE43-EE40F53D1CFD}" name="Tabla27" displayName="Tabla27" ref="Q7:R12" totalsRowShown="0" headerRowDxfId="133" dataDxfId="132" tableBorderDxfId="131">
  <autoFilter ref="Q7:R12" xr:uid="{1D3A4259-6DB4-426A-AE43-EE40F53D1CFD}"/>
  <tableColumns count="2">
    <tableColumn id="1" xr3:uid="{2C73893A-374F-488B-A80D-77E4370504AE}" name="DETALLE" dataDxfId="130"/>
    <tableColumn id="2" xr3:uid="{9B483E87-D8AA-49B7-8556-68FB675EAD19}" name="SECCION" dataDxfId="129">
      <calculatedColumnFormula array="1">_xlfn.TEXTJOIN(", ",TRUE,_xlfn._xlws.FILTER(Tabla26[PIEZA],ISNUMBER(SEARCH(Tabla26[PCLAVE],Q8)),"No encontrado"))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A38EFE0-F8FD-4269-A14C-5F0F7737F244}" name="Tabla4" displayName="Tabla4" ref="B8:C227" totalsRowShown="0" headerRowDxfId="128" headerRowBorderDxfId="126" tableBorderDxfId="127" totalsRowBorderDxfId="125">
  <autoFilter ref="B8:C227" xr:uid="{2A38EFE0-F8FD-4269-A14C-5F0F7737F244}"/>
  <sortState xmlns:xlrd2="http://schemas.microsoft.com/office/spreadsheetml/2017/richdata2" ref="B9:C212">
    <sortCondition ref="C8:C212"/>
  </sortState>
  <tableColumns count="2">
    <tableColumn id="1" xr3:uid="{3994DF86-C3B4-409A-B577-CB360F10282B}" name="PCLAVE"/>
    <tableColumn id="2" xr3:uid="{1B5BCD48-4037-456B-B2CE-85CFE46287C9}" name="PIEZA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571F620F-0D0F-4FF3-81B0-CA1FA4FCF8B1}" name="Tabla28" displayName="Tabla28" ref="F8:G39" totalsRowShown="0" headerRowDxfId="124" headerRowBorderDxfId="122" tableBorderDxfId="123" totalsRowBorderDxfId="121">
  <autoFilter ref="F8:G39" xr:uid="{571F620F-0D0F-4FF3-81B0-CA1FA4FCF8B1}"/>
  <sortState xmlns:xlrd2="http://schemas.microsoft.com/office/spreadsheetml/2017/richdata2" ref="F9:G54">
    <sortCondition ref="F8:F54"/>
  </sortState>
  <tableColumns count="2">
    <tableColumn id="1" xr3:uid="{D9FAB093-3412-45FB-8E4D-8F71C1925061}" name="PCLAVE2"/>
    <tableColumn id="2" xr3:uid="{A12AB957-ED52-4D58-8E85-DB297ED304CA}" name="PART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D30282C7-5D06-4583-81DC-C2FC27C97A5C}" name="Tabla29" displayName="Tabla29" ref="I8:J179" totalsRowShown="0" headerRowDxfId="120" headerRowBorderDxfId="118" tableBorderDxfId="119" totalsRowBorderDxfId="117">
  <autoFilter ref="I8:J179" xr:uid="{D30282C7-5D06-4583-81DC-C2FC27C97A5C}"/>
  <sortState xmlns:xlrd2="http://schemas.microsoft.com/office/spreadsheetml/2017/richdata2" ref="I9:J178">
    <sortCondition ref="J8:J178"/>
  </sortState>
  <tableColumns count="2">
    <tableColumn id="1" xr3:uid="{E17BA57E-9ED3-4B31-BDCD-20325A284404}" name="PCLAVE3" dataDxfId="116"/>
    <tableColumn id="2" xr3:uid="{01D39669-B7B2-4CAD-8701-6AFCF054A3EC}" name="PART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3C85E0B-6F42-4B83-8EFD-35364E361BA2}" name="Tabla5" displayName="Tabla5" ref="A2:N156" totalsRowShown="0" headerRowDxfId="115" headerRowBorderDxfId="113" tableBorderDxfId="114" totalsRowBorderDxfId="112">
  <autoFilter ref="A2:N156" xr:uid="{E3C85E0B-6F42-4B83-8EFD-35364E361BA2}"/>
  <tableColumns count="14">
    <tableColumn id="1" xr3:uid="{ECF6BB5D-BEEE-4F3A-AF58-BC1B395B4856}" name="Fecha de registro" dataDxfId="111"/>
    <tableColumn id="2" xr3:uid="{935A53E7-E3AC-4550-8299-E51F430123F1}" name="Tecnico" dataDxfId="110"/>
    <tableColumn id="3" xr3:uid="{CECAEC8B-4F25-4C8C-8052-F177656B0232}" name="turno" dataDxfId="109"/>
    <tableColumn id="4" xr3:uid="{72CE14D9-B7CB-4E9C-A2E6-A8B0EC3A8800}" name="Hora inicio" dataDxfId="108"/>
    <tableColumn id="5" xr3:uid="{C5229811-2CF7-4404-8266-4E739F7359F1}" name="Hora de termino" dataDxfId="107"/>
    <tableColumn id="6" xr3:uid="{8474E32F-0582-47B0-BF0A-F22E4501D754}" name="Maquina" dataDxfId="106"/>
    <tableColumn id="7" xr3:uid="{690F8C1E-F6C6-4316-8168-EE3B4C215139}" name="Descripción de trabajo" dataDxfId="105"/>
    <tableColumn id="8" xr3:uid="{448B10FD-F7F8-4CBD-9BE7-19630059EAA9}" name="Accion correctiva" dataDxfId="104"/>
    <tableColumn id="9" xr3:uid="{D304B3D0-6931-4823-950D-0E375712180C}" name="Fecha" dataDxfId="103"/>
    <tableColumn id="10" xr3:uid="{55E1B529-6236-4946-B384-CA89481FD402}" name="Modificado" dataDxfId="102"/>
    <tableColumn id="11" xr3:uid="{FDAACBF7-E0DC-472B-B147-A8A44211FA0A}" name="Creado" dataDxfId="101"/>
    <tableColumn id="12" xr3:uid="{F4802398-7F87-443D-81A8-DAA7F859C0F3}" name="Tipo de elemento" dataDxfId="100"/>
    <tableColumn id="13" xr3:uid="{5035CAF5-67A3-4118-BBD9-F4B3C0F9D119}" name="Ruta de acceso" dataDxfId="99"/>
    <tableColumn id="14" xr3:uid="{695A7258-2B8D-4D9C-9D78-0BA1697B8735}" name="Hora Fin" dataDxfId="9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3B16EDD-EA4C-44ED-97AA-4D7F06038AF5}" name="Tabla1015" displayName="Tabla1015" ref="S3:AU306" totalsRowShown="0" headerRowDxfId="77" dataDxfId="76" headerRowBorderDxfId="74" tableBorderDxfId="75" totalsRowBorderDxfId="73">
  <autoFilter ref="S3:AU306" xr:uid="{AFEA2518-4457-49C2-95AA-7E23FD576AC0}"/>
  <sortState xmlns:xlrd2="http://schemas.microsoft.com/office/spreadsheetml/2017/richdata2" ref="S4:AU306">
    <sortCondition ref="T3:T306"/>
  </sortState>
  <tableColumns count="29">
    <tableColumn id="1" xr3:uid="{621B3C1B-7AC8-4172-9FDE-C8BFAD98F3F6}" name="CONTEO-NOMBRE" dataDxfId="72">
      <calculatedColumnFormula>IF(Z4="","",CONCATENATE(Z4,"-",AU4))</calculatedColumnFormula>
    </tableColumn>
    <tableColumn id="2" xr3:uid="{B9C237DE-3227-49F7-A71B-8D1CE65D3DC8}" name="FECHA" dataDxfId="71"/>
    <tableColumn id="3" xr3:uid="{DF3F9463-B2F4-40D2-BF2C-4A676015DDDD}" name="TECNICO" dataDxfId="70"/>
    <tableColumn id="4" xr3:uid="{6BF1F7E2-DD7D-419D-B3EB-ED09347FF4A5}" name="TURNO" dataDxfId="69"/>
    <tableColumn id="5" xr3:uid="{C6983F89-DC7B-43F3-9952-1372964010A5}" name="INICIO" dataDxfId="68"/>
    <tableColumn id="6" xr3:uid="{6B6F401D-72B9-4427-A460-51101F6EF78A}" name="FIN" dataDxfId="67"/>
    <tableColumn id="7" xr3:uid="{4A996E62-C76C-4811-85B8-8EFB0C11B198}" name="T.TOTAL" dataDxfId="66"/>
    <tableColumn id="8" xr3:uid="{7829F0DB-CEEE-4EEE-8A73-2658B1718F8E}" name="MAQUINA / EQUIPO" dataDxfId="65"/>
    <tableColumn id="9" xr3:uid="{71F59E71-9697-43A9-B924-440018238206}" name="CLASIFICACION" dataDxfId="64">
      <calculatedColumnFormula>IFERROR(VLOOKUP(Z4,DATOS!$M$2:$N$219,2,FALSE),"")</calculatedColumnFormula>
    </tableColumn>
    <tableColumn id="10" xr3:uid="{181DE802-7F07-4E69-9D8A-4BFE1ECDDA9B}" name="TIPO" dataDxfId="63"/>
    <tableColumn id="11" xr3:uid="{B806C671-2A1C-449C-B06C-F2FCDEC19C37}" name="P/NP" dataDxfId="62"/>
    <tableColumn id="12" xr3:uid="{DBF1C53E-436D-49FE-A21A-30D164073481}" name="M/E" dataDxfId="61"/>
    <tableColumn id="13" xr3:uid="{F98FE390-9506-44C9-A291-5F3974DE6F49}" name="OBSERVACION" dataDxfId="60"/>
    <tableColumn id="14" xr3:uid="{033115F2-ABE0-449C-8571-67B65D9C3DB9}" name="ACT. CORRECTIVA" dataDxfId="59"/>
    <tableColumn id="16" xr3:uid="{63C8D427-3C73-4CC7-98FB-E46E24803788}" name="PARTE/AREA" dataDxfId="58"/>
    <tableColumn id="25" xr3:uid="{63E5ECBA-2E17-473D-8A6D-CCB817FA461F}" name="DESCRIPCION" dataDxfId="57"/>
    <tableColumn id="26" xr3:uid="{C14CEC21-4E4E-4104-B325-90926CA40FBB}" name="SOLUCION" dataDxfId="56"/>
    <tableColumn id="27" xr3:uid="{98A58FBB-2BB3-4497-A1D6-EDB3398EE1B9}" name="SEM" dataDxfId="55"/>
    <tableColumn id="28" xr3:uid="{A19B1C70-5C47-48F5-8EDE-9B9F1089E8A8}" name="MES" dataDxfId="54"/>
    <tableColumn id="21" xr3:uid="{87D3E475-928D-49BD-95FE-A067D7D7EF52}" name="MES2" dataDxfId="53"/>
    <tableColumn id="22" xr3:uid="{D718816C-8E35-43A2-A4D0-70688177C704}" name="Horas" dataDxfId="52"/>
    <tableColumn id="23" xr3:uid="{8F291B5F-7C45-403F-B7DA-26A91886E99C}" name="Año" dataDxfId="51"/>
    <tableColumn id="24" xr3:uid="{89EA1142-F248-4141-B9FC-CF78BBD1274F}" name="Mes-Año" dataDxfId="50"/>
    <tableColumn id="19" xr3:uid="{F1DEBBEB-DA5E-495F-93E5-473917C40635}" name="Año-Sem" dataDxfId="49"/>
    <tableColumn id="20" xr3:uid="{51E9BA05-B543-4920-8641-7464454B9C52}" name="CONTAR" dataDxfId="48"/>
    <tableColumn id="29" xr3:uid="{38938E9D-DBCE-47BD-B6DB-A62D29E3EB05}" name="CONTADOR 2" dataDxfId="47"/>
    <tableColumn id="30" xr3:uid="{C430F854-6FFB-424D-B4B9-E0A5BA670205}" name="Tiempo (min)" dataDxfId="46"/>
    <tableColumn id="18" xr3:uid="{50F338DC-3FF1-48C3-AC3A-7FDE6B71572B}" name="dia-text" dataDxfId="45">
      <calculatedColumnFormula>IF(Tabla1015[[#This Row],[FECHA]]="","",VLOOKUP(TEXT(Tabla1015[[#This Row],[FECHA]],"[$-C0A]dddd"),Tabla2[#All],2,FALSE)&amp;"-"&amp;TEXT(Tabla1015[[#This Row],[FECHA]],"[$-C0A]dddd"))</calculatedColumnFormula>
    </tableColumn>
    <tableColumn id="15" xr3:uid="{66BBA28C-8EFB-4F63-A8EF-3264535781FE}" name="CONTEO" dataDxfId="44">
      <calculatedColumnFormula>COUNTIF($Z$4:Z4,Z4)</calculatedColumnFormula>
    </tableColumn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DE4CF8-0015-46DE-88C9-A5A631D927C4}" name="Tabla1216" displayName="Tabla1216" ref="P25:T45" totalsRowShown="0" headerRowDxfId="26" headerRowBorderDxfId="24" tableBorderDxfId="25" totalsRowBorderDxfId="23">
  <autoFilter ref="P25:T45" xr:uid="{6647D6FA-BCFA-4130-B18E-40DD1BC69D49}"/>
  <tableColumns count="5">
    <tableColumn id="1" xr3:uid="{B624B46E-3449-4D21-971A-453AB7E82792}" name="Equipo" dataDxfId="22">
      <calculatedColumnFormula>IF(ISBLANK(N26),"",N26)</calculatedColumnFormula>
    </tableColumn>
    <tableColumn id="2" xr3:uid="{49F3DAE7-5127-4C58-A55D-70673543F9CD}" name="Total" dataDxfId="21">
      <calculatedColumnFormula>IF(ISBLANK(O26),"",O26)</calculatedColumnFormula>
    </tableColumn>
    <tableColumn id="3" xr3:uid="{92F98C6C-DB6E-40C4-A26E-3A4F827A25ED}" name="Tiempo" dataDxfId="20">
      <calculatedColumnFormula>IF(ISBLANK(O26),"",(O26*24))</calculatedColumnFormula>
    </tableColumn>
    <tableColumn id="4" xr3:uid="{F80AA3CB-0F3F-4C2B-89E7-25DA9F20096E}" name="Porcentaje (%)" dataDxfId="19" dataCellStyle="Porcentaje">
      <calculatedColumnFormula>IFERROR(R26/$R$24,"")</calculatedColumnFormula>
    </tableColumn>
    <tableColumn id="5" xr3:uid="{EE288ECD-8E8F-422C-A74B-5F91FBD21AD0}" name="Acumulado" dataDxfId="18">
      <calculatedColumnFormula>IFERROR(T25+S26,"")</calculatedColumnFormula>
    </tableColumn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B6972B-FFF8-45E7-9023-30AE52DE3CAE}" name="Tabla1" displayName="Tabla1" ref="A1:D144" totalsRowShown="0" headerRowDxfId="17">
  <autoFilter ref="A1:D144" xr:uid="{8CB6972B-FFF8-45E7-9023-30AE52DE3CAE}"/>
  <tableColumns count="4">
    <tableColumn id="1" xr3:uid="{A5E1EA46-4EB3-4C1A-9D73-88E67454687A}" name="COD"/>
    <tableColumn id="2" xr3:uid="{0BAF186F-EF41-4D9C-9858-F974BC07B9B2}" name="MAQUINA"/>
    <tableColumn id="3" xr3:uid="{CD878459-5BDA-4BC9-9EF6-054731157CDD}" name="LINEA"/>
    <tableColumn id="4" xr3:uid="{8D54061A-67F8-4762-A699-7FD3CF19DC2A}" name="ABREVIATURA"/>
  </tableColumns>
  <tableStyleInfo name="TableStyleMedium23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0AE34F-1EB0-47E6-A8D0-254B6DFE161D}" name="Tabla3" displayName="Tabla3" ref="G1:H184" totalsRowShown="0">
  <autoFilter ref="G1:H184" xr:uid="{240AE34F-1EB0-47E6-A8D0-254B6DFE161D}"/>
  <tableColumns count="2">
    <tableColumn id="1" xr3:uid="{A2F514BD-47A8-4F51-B708-CC2A3155AFBA}" name="S-A" dataDxfId="16"/>
    <tableColumn id="2" xr3:uid="{1C7008D2-85DE-48C5-B835-BD61CA34265B}" name="M-A" dataDxfId="15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11" dT="2026-05-19T17:42:02.88" personId="{0826005D-8375-4AC0-88F9-0A2D85D80C80}" id="{9B8CA1FA-539F-49C1-9B5D-27CCE90D7543}">
    <text>Actividades programadas / Actividades totales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11" dT="2026-05-19T17:42:02.88" personId="{0826005D-8375-4AC0-88F9-0A2D85D80C80}" id="{1BE165A5-45FA-4894-B911-9C814DD5FA43}">
    <text>Actividades programadas / Actividades totales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3.xml"/><Relationship Id="rId13" Type="http://schemas.openxmlformats.org/officeDocument/2006/relationships/vmlDrawing" Target="../drawings/vmlDrawing1.vml"/><Relationship Id="rId3" Type="http://schemas.openxmlformats.org/officeDocument/2006/relationships/pivotTable" Target="../pivotTables/pivotTable8.xml"/><Relationship Id="rId7" Type="http://schemas.openxmlformats.org/officeDocument/2006/relationships/pivotTable" Target="../pivotTables/pivotTable12.xml"/><Relationship Id="rId12" Type="http://schemas.openxmlformats.org/officeDocument/2006/relationships/drawing" Target="../drawings/drawing2.xml"/><Relationship Id="rId2" Type="http://schemas.openxmlformats.org/officeDocument/2006/relationships/pivotTable" Target="../pivotTables/pivotTable7.xml"/><Relationship Id="rId16" Type="http://schemas.microsoft.com/office/2017/10/relationships/threadedComment" Target="../threadedComments/threadedComment1.xml"/><Relationship Id="rId1" Type="http://schemas.openxmlformats.org/officeDocument/2006/relationships/pivotTable" Target="../pivotTables/pivotTable6.xml"/><Relationship Id="rId6" Type="http://schemas.openxmlformats.org/officeDocument/2006/relationships/pivotTable" Target="../pivotTables/pivotTable11.xml"/><Relationship Id="rId11" Type="http://schemas.openxmlformats.org/officeDocument/2006/relationships/printerSettings" Target="../printerSettings/printerSettings3.bin"/><Relationship Id="rId5" Type="http://schemas.openxmlformats.org/officeDocument/2006/relationships/pivotTable" Target="../pivotTables/pivotTable10.xml"/><Relationship Id="rId15" Type="http://schemas.openxmlformats.org/officeDocument/2006/relationships/comments" Target="../comments1.xml"/><Relationship Id="rId10" Type="http://schemas.openxmlformats.org/officeDocument/2006/relationships/pivotTable" Target="../pivotTables/pivotTable15.xml"/><Relationship Id="rId4" Type="http://schemas.openxmlformats.org/officeDocument/2006/relationships/pivotTable" Target="../pivotTables/pivotTable9.xml"/><Relationship Id="rId9" Type="http://schemas.openxmlformats.org/officeDocument/2006/relationships/pivotTable" Target="../pivotTables/pivotTable14.xml"/><Relationship Id="rId1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3.xml"/><Relationship Id="rId3" Type="http://schemas.openxmlformats.org/officeDocument/2006/relationships/pivotTable" Target="../pivotTables/pivotTable18.xml"/><Relationship Id="rId7" Type="http://schemas.openxmlformats.org/officeDocument/2006/relationships/pivotTable" Target="../pivotTables/pivotTable22.xml"/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Relationship Id="rId6" Type="http://schemas.openxmlformats.org/officeDocument/2006/relationships/pivotTable" Target="../pivotTables/pivotTable21.xml"/><Relationship Id="rId5" Type="http://schemas.openxmlformats.org/officeDocument/2006/relationships/pivotTable" Target="../pivotTables/pivotTable20.xml"/><Relationship Id="rId4" Type="http://schemas.openxmlformats.org/officeDocument/2006/relationships/pivotTable" Target="../pivotTables/pivotTable19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3.xml"/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Relationship Id="rId9" Type="http://schemas.openxmlformats.org/officeDocument/2006/relationships/table" Target="../tables/table1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table" Target="../tables/table15.xml"/><Relationship Id="rId5" Type="http://schemas.openxmlformats.org/officeDocument/2006/relationships/table" Target="../tables/table19.xml"/><Relationship Id="rId4" Type="http://schemas.openxmlformats.org/officeDocument/2006/relationships/table" Target="../tables/table1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31.xml"/><Relationship Id="rId13" Type="http://schemas.openxmlformats.org/officeDocument/2006/relationships/vmlDrawing" Target="../drawings/vmlDrawing2.vml"/><Relationship Id="rId3" Type="http://schemas.openxmlformats.org/officeDocument/2006/relationships/pivotTable" Target="../pivotTables/pivotTable26.xml"/><Relationship Id="rId7" Type="http://schemas.openxmlformats.org/officeDocument/2006/relationships/pivotTable" Target="../pivotTables/pivotTable30.xml"/><Relationship Id="rId12" Type="http://schemas.openxmlformats.org/officeDocument/2006/relationships/drawing" Target="../drawings/drawing7.xml"/><Relationship Id="rId2" Type="http://schemas.openxmlformats.org/officeDocument/2006/relationships/pivotTable" Target="../pivotTables/pivotTable25.xml"/><Relationship Id="rId16" Type="http://schemas.microsoft.com/office/2017/10/relationships/threadedComment" Target="../threadedComments/threadedComment2.xml"/><Relationship Id="rId1" Type="http://schemas.openxmlformats.org/officeDocument/2006/relationships/pivotTable" Target="../pivotTables/pivotTable24.xml"/><Relationship Id="rId6" Type="http://schemas.openxmlformats.org/officeDocument/2006/relationships/pivotTable" Target="../pivotTables/pivotTable29.xml"/><Relationship Id="rId11" Type="http://schemas.openxmlformats.org/officeDocument/2006/relationships/printerSettings" Target="../printerSettings/printerSettings6.bin"/><Relationship Id="rId5" Type="http://schemas.openxmlformats.org/officeDocument/2006/relationships/pivotTable" Target="../pivotTables/pivotTable28.xml"/><Relationship Id="rId15" Type="http://schemas.openxmlformats.org/officeDocument/2006/relationships/comments" Target="../comments2.xml"/><Relationship Id="rId10" Type="http://schemas.openxmlformats.org/officeDocument/2006/relationships/pivotTable" Target="../pivotTables/pivotTable33.xml"/><Relationship Id="rId4" Type="http://schemas.openxmlformats.org/officeDocument/2006/relationships/pivotTable" Target="../pivotTables/pivotTable27.xml"/><Relationship Id="rId9" Type="http://schemas.openxmlformats.org/officeDocument/2006/relationships/pivotTable" Target="../pivotTables/pivotTable32.xml"/><Relationship Id="rId14" Type="http://schemas.openxmlformats.org/officeDocument/2006/relationships/table" Target="../tables/table22.x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3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table" Target="../tables/table2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60322-C102-4022-9DAB-D05F051D1B65}">
  <sheetPr>
    <tabColor rgb="FFC00000"/>
  </sheetPr>
  <dimension ref="A2:U2070"/>
  <sheetViews>
    <sheetView showGridLines="0" tabSelected="1" zoomScaleNormal="100" workbookViewId="0">
      <pane ySplit="4" topLeftCell="A2026" activePane="bottomLeft" state="frozen"/>
      <selection pane="bottomLeft" activeCell="C2034" sqref="C2034"/>
    </sheetView>
  </sheetViews>
  <sheetFormatPr defaultColWidth="9.140625" defaultRowHeight="15" customHeight="1"/>
  <cols>
    <col min="1" max="1" width="11.85546875" style="4" bestFit="1" customWidth="1"/>
    <col min="2" max="2" width="13.5703125" customWidth="1"/>
    <col min="3" max="3" width="9.42578125" customWidth="1"/>
    <col min="4" max="4" width="7.42578125" customWidth="1"/>
    <col min="5" max="5" width="8" customWidth="1"/>
    <col min="6" max="6" width="11.5703125" style="107" customWidth="1"/>
    <col min="7" max="7" width="30.7109375" customWidth="1"/>
    <col min="8" max="8" width="19" style="24" bestFit="1" customWidth="1"/>
    <col min="9" max="9" width="28.85546875" bestFit="1" customWidth="1"/>
    <col min="10" max="10" width="19.28515625" customWidth="1"/>
    <col min="11" max="11" width="12.42578125" customWidth="1"/>
    <col min="12" max="12" width="57.140625" style="14" customWidth="1"/>
    <col min="13" max="13" width="53.28515625" style="14" customWidth="1"/>
    <col min="14" max="14" width="26.5703125" style="14" customWidth="1"/>
    <col min="15" max="15" width="23.5703125" style="14" customWidth="1"/>
    <col min="16" max="18" width="13.5703125" style="14" customWidth="1"/>
    <col min="19" max="19" width="51.85546875" style="14" customWidth="1"/>
    <col min="20" max="21" width="18.140625" style="14" customWidth="1"/>
    <col min="23" max="26" width="12.42578125" bestFit="1" customWidth="1"/>
    <col min="33" max="34" width="6.85546875" customWidth="1"/>
    <col min="35" max="35" width="41.28515625" bestFit="1" customWidth="1"/>
  </cols>
  <sheetData>
    <row r="2" spans="1:21" ht="112.9" customHeight="1"/>
    <row r="3" spans="1:21" ht="24.75" customHeight="1">
      <c r="A3" s="709" t="s">
        <v>0</v>
      </c>
      <c r="B3" s="709"/>
      <c r="C3" s="709"/>
      <c r="D3" s="709"/>
      <c r="E3" s="709"/>
      <c r="F3" s="709"/>
      <c r="G3" s="709"/>
      <c r="H3" s="709"/>
      <c r="I3" s="709"/>
      <c r="J3" s="709"/>
      <c r="K3" s="709"/>
      <c r="L3" s="709"/>
      <c r="M3" s="709"/>
      <c r="N3" s="76"/>
      <c r="O3" s="76"/>
      <c r="P3" s="76"/>
      <c r="Q3" s="76"/>
      <c r="R3" s="76"/>
      <c r="S3" s="76"/>
      <c r="T3" s="76"/>
      <c r="U3" s="76"/>
    </row>
    <row r="4" spans="1:21" s="287" customFormat="1" ht="40.5" customHeight="1">
      <c r="A4" s="282" t="s">
        <v>1</v>
      </c>
      <c r="B4" s="283" t="s">
        <v>2</v>
      </c>
      <c r="C4" s="283" t="s">
        <v>3</v>
      </c>
      <c r="D4" s="283" t="s">
        <v>4</v>
      </c>
      <c r="E4" s="283" t="s">
        <v>5</v>
      </c>
      <c r="F4" s="283" t="s">
        <v>6</v>
      </c>
      <c r="G4" s="283" t="s">
        <v>7</v>
      </c>
      <c r="H4" s="79" t="s">
        <v>8</v>
      </c>
      <c r="I4" s="283" t="s">
        <v>9</v>
      </c>
      <c r="J4" s="283" t="s">
        <v>10</v>
      </c>
      <c r="K4" s="283" t="s">
        <v>11</v>
      </c>
      <c r="L4" s="284" t="s">
        <v>12</v>
      </c>
      <c r="M4" s="285" t="s">
        <v>13</v>
      </c>
      <c r="N4" s="286" t="s">
        <v>14</v>
      </c>
      <c r="O4" s="286" t="s">
        <v>15</v>
      </c>
      <c r="P4" s="286" t="s">
        <v>16</v>
      </c>
      <c r="Q4" s="286" t="s">
        <v>17</v>
      </c>
      <c r="R4" s="286" t="s">
        <v>18</v>
      </c>
      <c r="S4" s="286" t="s">
        <v>19</v>
      </c>
      <c r="T4" s="300" t="s">
        <v>20</v>
      </c>
      <c r="U4" s="300" t="s">
        <v>21</v>
      </c>
    </row>
    <row r="5" spans="1:21" ht="15" customHeight="1">
      <c r="A5" s="22">
        <v>45659</v>
      </c>
      <c r="B5" s="16" t="s">
        <v>22</v>
      </c>
      <c r="C5" s="10" t="s">
        <v>23</v>
      </c>
      <c r="D5" s="381">
        <v>0.95833333333333337</v>
      </c>
      <c r="E5" s="381">
        <v>0.16666666666666666</v>
      </c>
      <c r="F5" s="380">
        <f>+MOD(Tabla8[[#This Row],[HR. FIN]]-Tabla8[[#This Row],[HR. INICIO]],1)</f>
        <v>0.20833333333333326</v>
      </c>
      <c r="G5" s="16" t="s">
        <v>24</v>
      </c>
      <c r="H5" s="343" t="str">
        <f>IFERROR(VLOOKUP(G5,DATOS!$M$2:$N$219,2,FALSE),"")</f>
        <v>Maquinaria</v>
      </c>
      <c r="I5" s="330" t="s">
        <v>25</v>
      </c>
      <c r="J5" s="330" t="str">
        <f>+VLOOKUP($I5,Tabla7[#All],2,FALSE)</f>
        <v>PROGRAMADA</v>
      </c>
      <c r="K5" s="114" t="str">
        <f>IF(VLOOKUP(I5,Tabla7[#All],3,FALSE)=0,"",VLOOKUP(I5,Tabla7[#All],3,FALSE))</f>
        <v/>
      </c>
      <c r="L5" s="35" t="s">
        <v>26</v>
      </c>
      <c r="M5" s="35"/>
      <c r="N5" s="35" t="str" cm="1">
        <f t="array" ref="N5">IFERROR(IF(Tabla8[[#This Row],[P/NP]]="NO PROGRAMADA","",_xlfn.TEXTJOIN(", ",TRUE,_xlfn._xlws.FILTER(Tabla4[[#All],[PIEZA]],ISNUMBER(SEARCH(Tabla4[[#All],[PCLAVE]],Tabla8[[#This Row],[DESCRIPCION DE TRABAJO]])),""))),"")</f>
        <v>Polin De Arrastre</v>
      </c>
      <c r="O5" s="35" t="str" cm="1">
        <f t="array" ref="O5">_xlfn.TEXTJOIN(", ",TRUE,_xlfn._xlws.FILTER(Tabla28[[#All],[PARTE]],ISNUMBER(SEARCH(Tabla28[[#All],[PCLAVE2]],Tabla8[[#This Row],[DESCRIPCION DE TRABAJO]])),""))</f>
        <v/>
      </c>
      <c r="P5" s="303" t="str">
        <f>IFERROR(LEFT(O5, FIND(",", O5)-1), O5)</f>
        <v/>
      </c>
      <c r="Q5" s="303" t="str">
        <f>IFERROR(IF(ISERROR(FIND(",", O5, FIND(",", O5)+1)), RIGHT(O5, LEN(O5)-FIND(",", O5)-1), MID(O5, FIND(",", O5)+2, FIND(",", O5, FIND(",", O5)+1)-FIND(",", O5)-2)), "")</f>
        <v/>
      </c>
      <c r="R5" s="303" t="str">
        <f>IFERROR(RIGHT(O5, LEN(O5)-FIND(",", O5, FIND(",", O5)+1)-1), "")</f>
        <v/>
      </c>
      <c r="S5" s="35" t="str" cm="1">
        <f t="array" ref="S5">_xlfn.TEXTJOIN(", ",TRUE,_xlfn._xlws.FILTER(Tabla29[[#All],[PARTE]],ISNUMBER(SEARCH(Tabla29[[#All],[PCLAVE3]],Tabla8[[#This Row],[DESCRIPCION DE TRABAJO]])),""))</f>
        <v>Dañado, Sustitucion</v>
      </c>
      <c r="T5" s="34" t="str">
        <f>IF(AND(Tabla8[[#This Row],[PIEZA]]="",Tabla8[[#This Row],[PARTE]]=""),"VACIO","OK")</f>
        <v>OK</v>
      </c>
      <c r="U5" s="303" t="str">
        <f>+CONCATENATE(WEEKNUM(Tabla8[[#This Row],[FECHA]]),"-",YEAR(Tabla8[[#This Row],[FECHA]]))</f>
        <v>1-2025</v>
      </c>
    </row>
    <row r="6" spans="1:21" ht="15" customHeight="1">
      <c r="A6" s="22">
        <v>45659</v>
      </c>
      <c r="B6" s="16" t="s">
        <v>22</v>
      </c>
      <c r="C6" s="10" t="s">
        <v>23</v>
      </c>
      <c r="D6" s="381">
        <v>0.61111111111111116</v>
      </c>
      <c r="E6" s="381">
        <v>0.71875</v>
      </c>
      <c r="F6" s="380">
        <f>+MOD(Tabla8[[#This Row],[HR. FIN]]-Tabla8[[#This Row],[HR. INICIO]],1)</f>
        <v>0.10763888888888884</v>
      </c>
      <c r="G6" s="16" t="s">
        <v>27</v>
      </c>
      <c r="H6" s="343" t="str">
        <f>IFERROR(VLOOKUP(G6,DATOS!$M$2:$N$219,2,FALSE),"")</f>
        <v>Maquinaria</v>
      </c>
      <c r="I6" s="115" t="s">
        <v>28</v>
      </c>
      <c r="J6" s="115" t="str">
        <f>+VLOOKUP($I6,Tabla7[#All],2,FALSE)</f>
        <v>NO PROGRAMADA</v>
      </c>
      <c r="K6" s="114" t="str">
        <f>IF(VLOOKUP(I6,Tabla7[#All],3,FALSE)=0,"",VLOOKUP(I6,Tabla7[#All],3,FALSE))</f>
        <v>ELÉCTRICA</v>
      </c>
      <c r="L6" s="35" t="s">
        <v>29</v>
      </c>
      <c r="M6" s="35" t="s">
        <v>30</v>
      </c>
      <c r="N6" s="35" t="str" cm="1">
        <f t="array" ref="N6">IFERROR(IF(Tabla8[[#This Row],[P/NP]]="NO PROGRAMADA","",_xlfn.TEXTJOIN(", ",TRUE,_xlfn._xlws.FILTER(Tabla4[[#All],[PIEZA]],ISNUMBER(SEARCH(Tabla4[[#All],[PCLAVE]],Tabla8[[#This Row],[DESCRIPCION DE TRABAJO]])),""))),"")</f>
        <v/>
      </c>
      <c r="O6" s="35" t="str" cm="1">
        <f t="array" ref="O6">_xlfn.TEXTJOIN(", ",TRUE,_xlfn._xlws.FILTER(Tabla28[[#All],[PARTE]],ISNUMBER(SEARCH(Tabla28[[#All],[PCLAVE2]],Tabla8[[#This Row],[DESCRIPCION DE TRABAJO]])),""))</f>
        <v/>
      </c>
      <c r="P6" s="303" t="str">
        <f>IFERROR(LEFT(O6, FIND(",", O6)-1), O6)</f>
        <v/>
      </c>
      <c r="Q6" s="303" t="str">
        <f>IFERROR(IF(ISERROR(FIND(",", O6, FIND(",", O6)+1)), RIGHT(O6, LEN(O6)-FIND(",", O6)-1), MID(O6, FIND(",", O6)+2, FIND(",", O6, FIND(",", O6)+1)-FIND(",", O6)-2)), "")</f>
        <v/>
      </c>
      <c r="R6" s="303" t="str">
        <f>IFERROR(RIGHT(O6, LEN(O6)-FIND(",", O6, FIND(",", O6)+1)-1), "")</f>
        <v/>
      </c>
      <c r="S6" s="35" t="str" cm="1">
        <f t="array" ref="S6">_xlfn.TEXTJOIN(", ",TRUE,_xlfn._xlws.FILTER(Tabla29[[#All],[PARTE]],ISNUMBER(SEARCH(Tabla29[[#All],[PCLAVE3]],Tabla8[[#This Row],[DESCRIPCION DE TRABAJO]])),""))</f>
        <v>Error</v>
      </c>
      <c r="T6" s="34" t="str">
        <f>IF(AND(Tabla8[[#This Row],[PIEZA]]="",Tabla8[[#This Row],[PARTE]]=""),"VACIO","OK")</f>
        <v>VACIO</v>
      </c>
      <c r="U6" s="303" t="str">
        <f>+CONCATENATE(WEEKNUM(Tabla8[[#This Row],[FECHA]]),"-",YEAR(Tabla8[[#This Row],[FECHA]]))</f>
        <v>1-2025</v>
      </c>
    </row>
    <row r="7" spans="1:21" ht="15" customHeight="1">
      <c r="A7" s="22">
        <v>45659</v>
      </c>
      <c r="B7" s="16" t="s">
        <v>22</v>
      </c>
      <c r="C7" s="10" t="s">
        <v>23</v>
      </c>
      <c r="D7" s="381">
        <v>0.79861111111111116</v>
      </c>
      <c r="E7" s="381">
        <v>0.84722222222222221</v>
      </c>
      <c r="F7" s="380">
        <f>+MOD(Tabla8[[#This Row],[HR. FIN]]-Tabla8[[#This Row],[HR. INICIO]],1)</f>
        <v>4.8611111111111049E-2</v>
      </c>
      <c r="G7" s="16" t="s">
        <v>31</v>
      </c>
      <c r="H7" s="343" t="str">
        <f>IFERROR(VLOOKUP(G7,DATOS!$M$2:$N$219,2,FALSE),"")</f>
        <v>Maquinaria</v>
      </c>
      <c r="I7" s="115" t="s">
        <v>32</v>
      </c>
      <c r="J7" s="115" t="str">
        <f>+VLOOKUP($I7,Tabla7[#All],2,FALSE)</f>
        <v>PROGRAMADA</v>
      </c>
      <c r="K7" s="114" t="str">
        <f>IF(VLOOKUP(I7,Tabla7[#All],3,FALSE)=0,"",VLOOKUP(I7,Tabla7[#All],3,FALSE))</f>
        <v/>
      </c>
      <c r="L7" s="35" t="s">
        <v>33</v>
      </c>
      <c r="M7" s="35" t="s">
        <v>34</v>
      </c>
      <c r="N7" s="35" t="str" cm="1">
        <f t="array" ref="N7">IFERROR(IF(Tabla8[[#This Row],[P/NP]]="NO PROGRAMADA","",_xlfn.TEXTJOIN(", ",TRUE,_xlfn._xlws.FILTER(Tabla4[[#All],[PIEZA]],ISNUMBER(SEARCH(Tabla4[[#All],[PCLAVE]],Tabla8[[#This Row],[DESCRIPCION DE TRABAJO]])),""))),"")</f>
        <v/>
      </c>
      <c r="O7" s="35" t="str" cm="1">
        <f t="array" ref="O7">_xlfn.TEXTJOIN(", ",TRUE,_xlfn._xlws.FILTER(Tabla28[[#All],[PARTE]],ISNUMBER(SEARCH(Tabla28[[#All],[PCLAVE2]],Tabla8[[#This Row],[DESCRIPCION DE TRABAJO]])),""))</f>
        <v/>
      </c>
      <c r="P7" s="303" t="str">
        <f>IFERROR(LEFT(O7, FIND(",", O7)-1), O7)</f>
        <v/>
      </c>
      <c r="Q7" s="303" t="str">
        <f>IFERROR(IF(ISERROR(FIND(",", O7, FIND(",", O7)+1)), RIGHT(O7, LEN(O7)-FIND(",", O7)-1), MID(O7, FIND(",", O7)+2, FIND(",", O7, FIND(",", O7)+1)-FIND(",", O7)-2)), "")</f>
        <v/>
      </c>
      <c r="R7" s="303" t="str">
        <f>IFERROR(RIGHT(O7, LEN(O7)-FIND(",", O7, FIND(",", O7)+1)-1), "")</f>
        <v/>
      </c>
      <c r="S7" s="35" t="str" cm="1">
        <f t="array" ref="S7">_xlfn.TEXTJOIN(", ",TRUE,_xlfn._xlws.FILTER(Tabla29[[#All],[PARTE]],ISNUMBER(SEARCH(Tabla29[[#All],[PCLAVE3]],Tabla8[[#This Row],[DESCRIPCION DE TRABAJO]])),""))</f>
        <v>Cambio De Formato</v>
      </c>
      <c r="T7" s="34" t="str">
        <f>IF(AND(Tabla8[[#This Row],[PIEZA]]="",Tabla8[[#This Row],[PARTE]]=""),"VACIO","OK")</f>
        <v>VACIO</v>
      </c>
      <c r="U7" s="303" t="str">
        <f>+CONCATENATE(WEEKNUM(Tabla8[[#This Row],[FECHA]]),"-",YEAR(Tabla8[[#This Row],[FECHA]]))</f>
        <v>1-2025</v>
      </c>
    </row>
    <row r="8" spans="1:21" ht="15" customHeight="1">
      <c r="A8" s="22">
        <v>45659</v>
      </c>
      <c r="B8" s="16" t="s">
        <v>35</v>
      </c>
      <c r="C8" s="10" t="s">
        <v>36</v>
      </c>
      <c r="D8" s="381">
        <v>0.32291666666666669</v>
      </c>
      <c r="E8" s="381">
        <v>0.36527777777777776</v>
      </c>
      <c r="F8" s="380">
        <f>+MOD(Tabla8[[#This Row],[HR. FIN]]-Tabla8[[#This Row],[HR. INICIO]],1)</f>
        <v>4.2361111111111072E-2</v>
      </c>
      <c r="G8" s="16" t="s">
        <v>31</v>
      </c>
      <c r="H8" s="343" t="str">
        <f>IFERROR(VLOOKUP(G8,DATOS!$M$2:$N$219,2,FALSE),"")</f>
        <v>Maquinaria</v>
      </c>
      <c r="I8" s="115" t="s">
        <v>32</v>
      </c>
      <c r="J8" s="115" t="str">
        <f>+VLOOKUP($I8,Tabla7[#All],2,FALSE)</f>
        <v>PROGRAMADA</v>
      </c>
      <c r="K8" s="114" t="str">
        <f>IF(VLOOKUP(I8,Tabla7[#All],3,FALSE)=0,"",VLOOKUP(I8,Tabla7[#All],3,FALSE))</f>
        <v/>
      </c>
      <c r="L8" s="35" t="s">
        <v>37</v>
      </c>
      <c r="M8" s="35"/>
      <c r="N8" s="35" t="str" cm="1">
        <f t="array" ref="N8">IFERROR(IF(Tabla8[[#This Row],[P/NP]]="NO PROGRAMADA","",_xlfn.TEXTJOIN(", ",TRUE,_xlfn._xlws.FILTER(Tabla4[[#All],[PIEZA]],ISNUMBER(SEARCH(Tabla4[[#All],[PCLAVE]],Tabla8[[#This Row],[DESCRIPCION DE TRABAJO]])),""))),"")</f>
        <v>Mordaza</v>
      </c>
      <c r="O8" s="35" t="str" cm="1">
        <f t="array" ref="O8">_xlfn.TEXTJOIN(", ",TRUE,_xlfn._xlws.FILTER(Tabla28[[#All],[PARTE]],ISNUMBER(SEARCH(Tabla28[[#All],[PCLAVE2]],Tabla8[[#This Row],[DESCRIPCION DE TRABAJO]])),""))</f>
        <v/>
      </c>
      <c r="P8" s="303" t="str">
        <f>IFERROR(LEFT(O8, FIND(",", O8)-1), O8)</f>
        <v/>
      </c>
      <c r="Q8" s="303" t="str">
        <f>IFERROR(IF(ISERROR(FIND(",", O8, FIND(",", O8)+1)), RIGHT(O8, LEN(O8)-FIND(",", O8)-1), MID(O8, FIND(",", O8)+2, FIND(",", O8, FIND(",", O8)+1)-FIND(",", O8)-2)), "")</f>
        <v/>
      </c>
      <c r="R8" s="303" t="str">
        <f>IFERROR(RIGHT(O8, LEN(O8)-FIND(",", O8, FIND(",", O8)+1)-1), "")</f>
        <v/>
      </c>
      <c r="S8" s="35" t="str" cm="1">
        <f t="array" ref="S8">_xlfn.TEXTJOIN(", ",TRUE,_xlfn._xlws.FILTER(Tabla29[[#All],[PARTE]],ISNUMBER(SEARCH(Tabla29[[#All],[PCLAVE3]],Tabla8[[#This Row],[DESCRIPCION DE TRABAJO]])),""))</f>
        <v/>
      </c>
      <c r="T8" s="34" t="str">
        <f>IF(AND(Tabla8[[#This Row],[PIEZA]]="",Tabla8[[#This Row],[PARTE]]=""),"VACIO","OK")</f>
        <v>OK</v>
      </c>
      <c r="U8" s="303" t="str">
        <f>+CONCATENATE(WEEKNUM(Tabla8[[#This Row],[FECHA]]),"-",YEAR(Tabla8[[#This Row],[FECHA]]))</f>
        <v>1-2025</v>
      </c>
    </row>
    <row r="9" spans="1:21" ht="15" customHeight="1">
      <c r="A9" s="22">
        <v>45659</v>
      </c>
      <c r="B9" s="16" t="s">
        <v>38</v>
      </c>
      <c r="C9" s="10" t="s">
        <v>39</v>
      </c>
      <c r="D9" s="381">
        <v>0.97222222222222221</v>
      </c>
      <c r="E9" s="381">
        <v>1.0118055555555556</v>
      </c>
      <c r="F9" s="380">
        <f>+MOD(Tabla8[[#This Row],[HR. FIN]]-Tabla8[[#This Row],[HR. INICIO]],1)</f>
        <v>3.9583333333333415E-2</v>
      </c>
      <c r="G9" s="16" t="s">
        <v>27</v>
      </c>
      <c r="H9" s="343" t="str">
        <f>IFERROR(VLOOKUP(G9,DATOS!$M$2:$N$219,2,FALSE),"")</f>
        <v>Maquinaria</v>
      </c>
      <c r="I9" s="115" t="s">
        <v>32</v>
      </c>
      <c r="J9" s="115" t="str">
        <f>+VLOOKUP($I9,Tabla7[#All],2,FALSE)</f>
        <v>PROGRAMADA</v>
      </c>
      <c r="K9" s="114" t="str">
        <f>IF(VLOOKUP(I9,Tabla7[#All],3,FALSE)=0,"",VLOOKUP(I9,Tabla7[#All],3,FALSE))</f>
        <v/>
      </c>
      <c r="L9" s="35" t="s">
        <v>40</v>
      </c>
      <c r="M9" s="35" t="s">
        <v>41</v>
      </c>
      <c r="N9" s="35" t="str" cm="1">
        <f t="array" ref="N9">IFERROR(IF(Tabla8[[#This Row],[P/NP]]="NO PROGRAMADA","",_xlfn.TEXTJOIN(", ",TRUE,_xlfn._xlws.FILTER(Tabla4[[#All],[PIEZA]],ISNUMBER(SEARCH(Tabla4[[#All],[PCLAVE]],Tabla8[[#This Row],[DESCRIPCION DE TRABAJO]])),""))),"")</f>
        <v/>
      </c>
      <c r="O9" s="35" t="str" cm="1">
        <f t="array" ref="O9">_xlfn.TEXTJOIN(", ",TRUE,_xlfn._xlws.FILTER(Tabla28[[#All],[PARTE]],ISNUMBER(SEARCH(Tabla28[[#All],[PCLAVE2]],Tabla8[[#This Row],[DESCRIPCION DE TRABAJO]])),""))</f>
        <v/>
      </c>
      <c r="P9" s="303" t="str">
        <f>IFERROR(LEFT(O9, FIND(",", O9)-1), O9)</f>
        <v/>
      </c>
      <c r="Q9" s="303" t="str">
        <f>IFERROR(IF(ISERROR(FIND(",", O9, FIND(",", O9)+1)), RIGHT(O9, LEN(O9)-FIND(",", O9)-1), MID(O9, FIND(",", O9)+2, FIND(",", O9, FIND(",", O9)+1)-FIND(",", O9)-2)), "")</f>
        <v/>
      </c>
      <c r="R9" s="303" t="str">
        <f>IFERROR(RIGHT(O9, LEN(O9)-FIND(",", O9, FIND(",", O9)+1)-1), "")</f>
        <v/>
      </c>
      <c r="S9" s="35" t="str" cm="1">
        <f t="array" ref="S9">_xlfn.TEXTJOIN(", ",TRUE,_xlfn._xlws.FILTER(Tabla29[[#All],[PARTE]],ISNUMBER(SEARCH(Tabla29[[#All],[PCLAVE3]],Tabla8[[#This Row],[DESCRIPCION DE TRABAJO]])),""))</f>
        <v>Cambio De Formato</v>
      </c>
      <c r="T9" s="34" t="str">
        <f>IF(AND(Tabla8[[#This Row],[PIEZA]]="",Tabla8[[#This Row],[PARTE]]=""),"VACIO","OK")</f>
        <v>VACIO</v>
      </c>
      <c r="U9" s="303" t="str">
        <f>+CONCATENATE(WEEKNUM(Tabla8[[#This Row],[FECHA]]),"-",YEAR(Tabla8[[#This Row],[FECHA]]))</f>
        <v>1-2025</v>
      </c>
    </row>
    <row r="10" spans="1:21" ht="15" customHeight="1">
      <c r="A10" s="22">
        <v>45659</v>
      </c>
      <c r="B10" s="16" t="s">
        <v>35</v>
      </c>
      <c r="C10" s="10" t="s">
        <v>36</v>
      </c>
      <c r="D10" s="381">
        <v>0.23333333333333334</v>
      </c>
      <c r="E10" s="381">
        <v>0.26458333333333334</v>
      </c>
      <c r="F10" s="380">
        <f>+MOD(Tabla8[[#This Row],[HR. FIN]]-Tabla8[[#This Row],[HR. INICIO]],1)</f>
        <v>3.125E-2</v>
      </c>
      <c r="G10" s="16" t="s">
        <v>42</v>
      </c>
      <c r="H10" s="343" t="str">
        <f>IFERROR(VLOOKUP(G10,DATOS!$M$2:$N$219,2,FALSE),"")</f>
        <v>Maquinaria</v>
      </c>
      <c r="I10" s="115" t="s">
        <v>43</v>
      </c>
      <c r="J10" s="115" t="str">
        <f>+VLOOKUP($I10,Tabla7[#All],2,FALSE)</f>
        <v>PROGRAMADA</v>
      </c>
      <c r="K10" s="114" t="str">
        <f>IF(VLOOKUP(I10,Tabla7[#All],3,FALSE)=0,"",VLOOKUP(I10,Tabla7[#All],3,FALSE))</f>
        <v/>
      </c>
      <c r="L10" s="35" t="s">
        <v>44</v>
      </c>
      <c r="M10" s="35"/>
      <c r="N10" s="35" t="str" cm="1">
        <f t="array" ref="N10">IFERROR(IF(Tabla8[[#This Row],[P/NP]]="NO PROGRAMADA","",_xlfn.TEXTJOIN(", ",TRUE,_xlfn._xlws.FILTER(Tabla4[[#All],[PIEZA]],ISNUMBER(SEARCH(Tabla4[[#All],[PCLAVE]],Tabla8[[#This Row],[DESCRIPCION DE TRABAJO]])),""))),"")</f>
        <v/>
      </c>
      <c r="O10" s="35" t="str" cm="1">
        <f t="array" ref="O10">_xlfn.TEXTJOIN(", ",TRUE,_xlfn._xlws.FILTER(Tabla28[[#All],[PARTE]],ISNUMBER(SEARCH(Tabla28[[#All],[PCLAVE2]],Tabla8[[#This Row],[DESCRIPCION DE TRABAJO]])),""))</f>
        <v/>
      </c>
      <c r="P10" s="303" t="str">
        <f>IFERROR(LEFT(O10, FIND(",", O10)-1), O10)</f>
        <v/>
      </c>
      <c r="Q10" s="303" t="str">
        <f>IFERROR(IF(ISERROR(FIND(",", O10, FIND(",", O10)+1)), RIGHT(O10, LEN(O10)-FIND(",", O10)-1), MID(O10, FIND(",", O10)+2, FIND(",", O10, FIND(",", O10)+1)-FIND(",", O10)-2)), "")</f>
        <v/>
      </c>
      <c r="R10" s="303" t="str">
        <f>IFERROR(RIGHT(O10, LEN(O10)-FIND(",", O10, FIND(",", O10)+1)-1), "")</f>
        <v/>
      </c>
      <c r="S10" s="35" t="str" cm="1">
        <f t="array" ref="S10">_xlfn.TEXTJOIN(", ",TRUE,_xlfn._xlws.FILTER(Tabla29[[#All],[PARTE]],ISNUMBER(SEARCH(Tabla29[[#All],[PCLAVE3]],Tabla8[[#This Row],[DESCRIPCION DE TRABAJO]])),""))</f>
        <v/>
      </c>
      <c r="T10" s="34" t="str">
        <f>IF(AND(Tabla8[[#This Row],[PIEZA]]="",Tabla8[[#This Row],[PARTE]]=""),"VACIO","OK")</f>
        <v>VACIO</v>
      </c>
      <c r="U10" s="303" t="str">
        <f>+CONCATENATE(WEEKNUM(Tabla8[[#This Row],[FECHA]]),"-",YEAR(Tabla8[[#This Row],[FECHA]]))</f>
        <v>1-2025</v>
      </c>
    </row>
    <row r="11" spans="1:21" ht="15" customHeight="1">
      <c r="A11" s="22">
        <v>45659</v>
      </c>
      <c r="B11" s="16" t="s">
        <v>35</v>
      </c>
      <c r="C11" s="10" t="s">
        <v>36</v>
      </c>
      <c r="D11" s="381">
        <v>0.2986111111111111</v>
      </c>
      <c r="E11" s="381">
        <v>0.32083333333333336</v>
      </c>
      <c r="F11" s="380">
        <f>+MOD(Tabla8[[#This Row],[HR. FIN]]-Tabla8[[#This Row],[HR. INICIO]],1)</f>
        <v>2.2222222222222254E-2</v>
      </c>
      <c r="G11" s="16" t="s">
        <v>27</v>
      </c>
      <c r="H11" s="343" t="str">
        <f>IFERROR(VLOOKUP(G11,DATOS!$M$2:$N$219,2,FALSE),"")</f>
        <v>Maquinaria</v>
      </c>
      <c r="I11" s="115" t="s">
        <v>32</v>
      </c>
      <c r="J11" s="115" t="str">
        <f>+VLOOKUP($I11,Tabla7[#All],2,FALSE)</f>
        <v>PROGRAMADA</v>
      </c>
      <c r="K11" s="114" t="str">
        <f>IF(VLOOKUP(I11,Tabla7[#All],3,FALSE)=0,"",VLOOKUP(I11,Tabla7[#All],3,FALSE))</f>
        <v/>
      </c>
      <c r="L11" s="35" t="s">
        <v>45</v>
      </c>
      <c r="M11" s="35"/>
      <c r="N11" s="35" t="str" cm="1">
        <f t="array" ref="N11">IFERROR(IF(Tabla8[[#This Row],[P/NP]]="NO PROGRAMADA","",_xlfn.TEXTJOIN(", ",TRUE,_xlfn._xlws.FILTER(Tabla4[[#All],[PIEZA]],ISNUMBER(SEARCH(Tabla4[[#All],[PCLAVE]],Tabla8[[#This Row],[DESCRIPCION DE TRABAJO]])),""))),"")</f>
        <v/>
      </c>
      <c r="O11" s="35" t="str" cm="1">
        <f t="array" ref="O11">_xlfn.TEXTJOIN(", ",TRUE,_xlfn._xlws.FILTER(Tabla28[[#All],[PARTE]],ISNUMBER(SEARCH(Tabla28[[#All],[PCLAVE2]],Tabla8[[#This Row],[DESCRIPCION DE TRABAJO]])),""))</f>
        <v>Mds</v>
      </c>
      <c r="P11" s="303" t="str">
        <f>IFERROR(LEFT(O11, FIND(",", O11)-1), O11)</f>
        <v>Mds</v>
      </c>
      <c r="Q11" s="303" t="str">
        <f>IFERROR(IF(ISERROR(FIND(",", O11, FIND(",", O11)+1)), RIGHT(O11, LEN(O11)-FIND(",", O11)-1), MID(O11, FIND(",", O11)+2, FIND(",", O11, FIND(",", O11)+1)-FIND(",", O11)-2)), "")</f>
        <v/>
      </c>
      <c r="R11" s="303" t="str">
        <f>IFERROR(RIGHT(O11, LEN(O11)-FIND(",", O11, FIND(",", O11)+1)-1), "")</f>
        <v/>
      </c>
      <c r="S11" s="35" t="str" cm="1">
        <f t="array" ref="S11">_xlfn.TEXTJOIN(", ",TRUE,_xlfn._xlws.FILTER(Tabla29[[#All],[PARTE]],ISNUMBER(SEARCH(Tabla29[[#All],[PCLAVE3]],Tabla8[[#This Row],[DESCRIPCION DE TRABAJO]])),""))</f>
        <v>Cambio De Formato</v>
      </c>
      <c r="T11" s="34" t="str">
        <f>IF(AND(Tabla8[[#This Row],[PIEZA]]="",Tabla8[[#This Row],[PARTE]]=""),"VACIO","OK")</f>
        <v>OK</v>
      </c>
      <c r="U11" s="303" t="str">
        <f>+CONCATENATE(WEEKNUM(Tabla8[[#This Row],[FECHA]]),"-",YEAR(Tabla8[[#This Row],[FECHA]]))</f>
        <v>1-2025</v>
      </c>
    </row>
    <row r="12" spans="1:21" ht="15" customHeight="1">
      <c r="A12" s="22">
        <v>45659</v>
      </c>
      <c r="B12" s="16" t="s">
        <v>35</v>
      </c>
      <c r="C12" s="10" t="s">
        <v>36</v>
      </c>
      <c r="D12" s="381">
        <v>0.50694444444444442</v>
      </c>
      <c r="E12" s="381">
        <v>0.52638888888888891</v>
      </c>
      <c r="F12" s="380">
        <f>+MOD(Tabla8[[#This Row],[HR. FIN]]-Tabla8[[#This Row],[HR. INICIO]],1)</f>
        <v>1.9444444444444486E-2</v>
      </c>
      <c r="G12" s="16" t="s">
        <v>27</v>
      </c>
      <c r="H12" s="343" t="str">
        <f>IFERROR(VLOOKUP(G12,DATOS!$M$2:$N$219,2,FALSE),"")</f>
        <v>Maquinaria</v>
      </c>
      <c r="I12" s="115" t="s">
        <v>32</v>
      </c>
      <c r="J12" s="115" t="str">
        <f>+VLOOKUP($I12,Tabla7[#All],2,FALSE)</f>
        <v>PROGRAMADA</v>
      </c>
      <c r="K12" s="114" t="str">
        <f>IF(VLOOKUP(I12,Tabla7[#All],3,FALSE)=0,"",VLOOKUP(I12,Tabla7[#All],3,FALSE))</f>
        <v/>
      </c>
      <c r="L12" s="35" t="s">
        <v>46</v>
      </c>
      <c r="M12" s="35"/>
      <c r="N12" s="35" t="str" cm="1">
        <f t="array" ref="N12">IFERROR(IF(Tabla8[[#This Row],[P/NP]]="NO PROGRAMADA","",_xlfn.TEXTJOIN(", ",TRUE,_xlfn._xlws.FILTER(Tabla4[[#All],[PIEZA]],ISNUMBER(SEARCH(Tabla4[[#All],[PCLAVE]],Tabla8[[#This Row],[DESCRIPCION DE TRABAJO]])),""))),"")</f>
        <v/>
      </c>
      <c r="O12" s="35" t="str" cm="1">
        <f t="array" ref="O12">_xlfn.TEXTJOIN(", ",TRUE,_xlfn._xlws.FILTER(Tabla28[[#All],[PARTE]],ISNUMBER(SEARCH(Tabla28[[#All],[PCLAVE2]],Tabla8[[#This Row],[DESCRIPCION DE TRABAJO]])),""))</f>
        <v>Mds</v>
      </c>
      <c r="P12" s="303" t="str">
        <f>IFERROR(LEFT(O12, FIND(",", O12)-1), O12)</f>
        <v>Mds</v>
      </c>
      <c r="Q12" s="303" t="str">
        <f>IFERROR(IF(ISERROR(FIND(",", O12, FIND(",", O12)+1)), RIGHT(O12, LEN(O12)-FIND(",", O12)-1), MID(O12, FIND(",", O12)+2, FIND(",", O12, FIND(",", O12)+1)-FIND(",", O12)-2)), "")</f>
        <v/>
      </c>
      <c r="R12" s="303" t="str">
        <f>IFERROR(RIGHT(O12, LEN(O12)-FIND(",", O12, FIND(",", O12)+1)-1), "")</f>
        <v/>
      </c>
      <c r="S12" s="35" t="str" cm="1">
        <f t="array" ref="S12">_xlfn.TEXTJOIN(", ",TRUE,_xlfn._xlws.FILTER(Tabla29[[#All],[PARTE]],ISNUMBER(SEARCH(Tabla29[[#All],[PCLAVE3]],Tabla8[[#This Row],[DESCRIPCION DE TRABAJO]])),""))</f>
        <v>Cambio De Formato</v>
      </c>
      <c r="T12" s="34" t="str">
        <f>IF(AND(Tabla8[[#This Row],[PIEZA]]="",Tabla8[[#This Row],[PARTE]]=""),"VACIO","OK")</f>
        <v>OK</v>
      </c>
      <c r="U12" s="303" t="str">
        <f>+CONCATENATE(WEEKNUM(Tabla8[[#This Row],[FECHA]]),"-",YEAR(Tabla8[[#This Row],[FECHA]]))</f>
        <v>1-2025</v>
      </c>
    </row>
    <row r="13" spans="1:21" ht="15" customHeight="1">
      <c r="A13" s="22">
        <v>45659</v>
      </c>
      <c r="B13" s="16" t="s">
        <v>35</v>
      </c>
      <c r="C13" s="10" t="s">
        <v>36</v>
      </c>
      <c r="D13" s="381">
        <v>0.48541666666666666</v>
      </c>
      <c r="E13" s="381">
        <v>0.50486111111111109</v>
      </c>
      <c r="F13" s="380">
        <f>+MOD(Tabla8[[#This Row],[HR. FIN]]-Tabla8[[#This Row],[HR. INICIO]],1)</f>
        <v>1.9444444444444431E-2</v>
      </c>
      <c r="G13" s="16" t="s">
        <v>27</v>
      </c>
      <c r="H13" s="343" t="str">
        <f>IFERROR(VLOOKUP(G13,DATOS!$M$2:$N$219,2,FALSE),"")</f>
        <v>Maquinaria</v>
      </c>
      <c r="I13" s="115" t="s">
        <v>32</v>
      </c>
      <c r="J13" s="115" t="str">
        <f>+VLOOKUP($I13,Tabla7[#All],2,FALSE)</f>
        <v>PROGRAMADA</v>
      </c>
      <c r="K13" s="114" t="str">
        <f>IF(VLOOKUP(I13,Tabla7[#All],3,FALSE)=0,"",VLOOKUP(I13,Tabla7[#All],3,FALSE))</f>
        <v/>
      </c>
      <c r="L13" s="35" t="s">
        <v>47</v>
      </c>
      <c r="M13" s="35"/>
      <c r="N13" s="35" t="str" cm="1">
        <f t="array" ref="N13">IFERROR(IF(Tabla8[[#This Row],[P/NP]]="NO PROGRAMADA","",_xlfn.TEXTJOIN(", ",TRUE,_xlfn._xlws.FILTER(Tabla4[[#All],[PIEZA]],ISNUMBER(SEARCH(Tabla4[[#All],[PCLAVE]],Tabla8[[#This Row],[DESCRIPCION DE TRABAJO]])),""))),"")</f>
        <v/>
      </c>
      <c r="O13" s="35" t="str" cm="1">
        <f t="array" ref="O13">_xlfn.TEXTJOIN(", ",TRUE,_xlfn._xlws.FILTER(Tabla28[[#All],[PARTE]],ISNUMBER(SEARCH(Tabla28[[#All],[PCLAVE2]],Tabla8[[#This Row],[DESCRIPCION DE TRABAJO]])),""))</f>
        <v>Mds</v>
      </c>
      <c r="P13" s="303" t="str">
        <f>IFERROR(LEFT(O13, FIND(",", O13)-1), O13)</f>
        <v>Mds</v>
      </c>
      <c r="Q13" s="303" t="str">
        <f>IFERROR(IF(ISERROR(FIND(",", O13, FIND(",", O13)+1)), RIGHT(O13, LEN(O13)-FIND(",", O13)-1), MID(O13, FIND(",", O13)+2, FIND(",", O13, FIND(",", O13)+1)-FIND(",", O13)-2)), "")</f>
        <v/>
      </c>
      <c r="R13" s="303" t="str">
        <f>IFERROR(RIGHT(O13, LEN(O13)-FIND(",", O13, FIND(",", O13)+1)-1), "")</f>
        <v/>
      </c>
      <c r="S13" s="35" t="str" cm="1">
        <f t="array" ref="S13">_xlfn.TEXTJOIN(", ",TRUE,_xlfn._xlws.FILTER(Tabla29[[#All],[PARTE]],ISNUMBER(SEARCH(Tabla29[[#All],[PCLAVE3]],Tabla8[[#This Row],[DESCRIPCION DE TRABAJO]])),""))</f>
        <v>Cambio De Formato</v>
      </c>
      <c r="T13" s="34" t="str">
        <f>IF(AND(Tabla8[[#This Row],[PIEZA]]="",Tabla8[[#This Row],[PARTE]]=""),"VACIO","OK")</f>
        <v>OK</v>
      </c>
      <c r="U13" s="303" t="str">
        <f>+CONCATENATE(WEEKNUM(Tabla8[[#This Row],[FECHA]]),"-",YEAR(Tabla8[[#This Row],[FECHA]]))</f>
        <v>1-2025</v>
      </c>
    </row>
    <row r="14" spans="1:21" ht="15" customHeight="1">
      <c r="A14" s="22">
        <v>45659</v>
      </c>
      <c r="B14" s="16" t="s">
        <v>35</v>
      </c>
      <c r="C14" s="10" t="s">
        <v>36</v>
      </c>
      <c r="D14" s="381">
        <v>0.27569444444444446</v>
      </c>
      <c r="E14" s="381">
        <v>0.29444444444444445</v>
      </c>
      <c r="F14" s="380">
        <f>+MOD(Tabla8[[#This Row],[HR. FIN]]-Tabla8[[#This Row],[HR. INICIO]],1)</f>
        <v>1.8749999999999989E-2</v>
      </c>
      <c r="G14" s="16" t="s">
        <v>27</v>
      </c>
      <c r="H14" s="343" t="str">
        <f>IFERROR(VLOOKUP(G14,DATOS!$M$2:$N$219,2,FALSE),"")</f>
        <v>Maquinaria</v>
      </c>
      <c r="I14" s="115" t="s">
        <v>32</v>
      </c>
      <c r="J14" s="115" t="str">
        <f>+VLOOKUP($I14,Tabla7[#All],2,FALSE)</f>
        <v>PROGRAMADA</v>
      </c>
      <c r="K14" s="114" t="str">
        <f>IF(VLOOKUP(I14,Tabla7[#All],3,FALSE)=0,"",VLOOKUP(I14,Tabla7[#All],3,FALSE))</f>
        <v/>
      </c>
      <c r="L14" s="35" t="s">
        <v>48</v>
      </c>
      <c r="M14" s="35"/>
      <c r="N14" s="35" t="str" cm="1">
        <f t="array" ref="N14">IFERROR(IF(Tabla8[[#This Row],[P/NP]]="NO PROGRAMADA","",_xlfn.TEXTJOIN(", ",TRUE,_xlfn._xlws.FILTER(Tabla4[[#All],[PIEZA]],ISNUMBER(SEARCH(Tabla4[[#All],[PCLAVE]],Tabla8[[#This Row],[DESCRIPCION DE TRABAJO]])),""))),"")</f>
        <v/>
      </c>
      <c r="O14" s="35" t="str" cm="1">
        <f t="array" ref="O14">_xlfn.TEXTJOIN(", ",TRUE,_xlfn._xlws.FILTER(Tabla28[[#All],[PARTE]],ISNUMBER(SEARCH(Tabla28[[#All],[PCLAVE2]],Tabla8[[#This Row],[DESCRIPCION DE TRABAJO]])),""))</f>
        <v>Mds</v>
      </c>
      <c r="P14" s="303" t="str">
        <f>IFERROR(LEFT(O14, FIND(",", O14)-1), O14)</f>
        <v>Mds</v>
      </c>
      <c r="Q14" s="303" t="str">
        <f>IFERROR(IF(ISERROR(FIND(",", O14, FIND(",", O14)+1)), RIGHT(O14, LEN(O14)-FIND(",", O14)-1), MID(O14, FIND(",", O14)+2, FIND(",", O14, FIND(",", O14)+1)-FIND(",", O14)-2)), "")</f>
        <v/>
      </c>
      <c r="R14" s="303" t="str">
        <f>IFERROR(RIGHT(O14, LEN(O14)-FIND(",", O14, FIND(",", O14)+1)-1), "")</f>
        <v/>
      </c>
      <c r="S14" s="35" t="str" cm="1">
        <f t="array" ref="S14">_xlfn.TEXTJOIN(", ",TRUE,_xlfn._xlws.FILTER(Tabla29[[#All],[PARTE]],ISNUMBER(SEARCH(Tabla29[[#All],[PCLAVE3]],Tabla8[[#This Row],[DESCRIPCION DE TRABAJO]])),""))</f>
        <v>Cambio De Formato</v>
      </c>
      <c r="T14" s="34" t="str">
        <f>IF(AND(Tabla8[[#This Row],[PIEZA]]="",Tabla8[[#This Row],[PARTE]]=""),"VACIO","OK")</f>
        <v>OK</v>
      </c>
      <c r="U14" s="303" t="str">
        <f>+CONCATENATE(WEEKNUM(Tabla8[[#This Row],[FECHA]]),"-",YEAR(Tabla8[[#This Row],[FECHA]]))</f>
        <v>1-2025</v>
      </c>
    </row>
    <row r="15" spans="1:21" ht="15" customHeight="1">
      <c r="A15" s="22">
        <v>45659</v>
      </c>
      <c r="B15" s="16" t="s">
        <v>38</v>
      </c>
      <c r="C15" s="10" t="s">
        <v>39</v>
      </c>
      <c r="D15" s="381">
        <v>0.14861111111111111</v>
      </c>
      <c r="E15" s="381">
        <v>0.16666666666666666</v>
      </c>
      <c r="F15" s="380">
        <f>+MOD(Tabla8[[#This Row],[HR. FIN]]-Tabla8[[#This Row],[HR. INICIO]],1)</f>
        <v>1.8055555555555547E-2</v>
      </c>
      <c r="G15" s="16" t="s">
        <v>49</v>
      </c>
      <c r="H15" s="343" t="str">
        <f>IFERROR(VLOOKUP(G15,DATOS!$M$2:$N$219,2,FALSE),"")</f>
        <v>Area</v>
      </c>
      <c r="I15" s="115" t="s">
        <v>25</v>
      </c>
      <c r="J15" s="115" t="str">
        <f>+VLOOKUP($I15,Tabla7[#All],2,FALSE)</f>
        <v>PROGRAMADA</v>
      </c>
      <c r="K15" s="114" t="str">
        <f>IF(VLOOKUP(I15,Tabla7[#All],3,FALSE)=0,"",VLOOKUP(I15,Tabla7[#All],3,FALSE))</f>
        <v/>
      </c>
      <c r="L15" s="35" t="s">
        <v>50</v>
      </c>
      <c r="M15" s="35"/>
      <c r="N15" s="35" t="str" cm="1">
        <f t="array" ref="N15">IFERROR(IF(Tabla8[[#This Row],[P/NP]]="NO PROGRAMADA","",_xlfn.TEXTJOIN(", ",TRUE,_xlfn._xlws.FILTER(Tabla4[[#All],[PIEZA]],ISNUMBER(SEARCH(Tabla4[[#All],[PCLAVE]],Tabla8[[#This Row],[DESCRIPCION DE TRABAJO]])),""))),"")</f>
        <v>Dispensador</v>
      </c>
      <c r="O15" s="35" t="str" cm="1">
        <f t="array" ref="O15">_xlfn.TEXTJOIN(", ",TRUE,_xlfn._xlws.FILTER(Tabla28[[#All],[PARTE]],ISNUMBER(SEARCH(Tabla28[[#All],[PCLAVE2]],Tabla8[[#This Row],[DESCRIPCION DE TRABAJO]])),""))</f>
        <v/>
      </c>
      <c r="P15" s="303" t="str">
        <f>IFERROR(LEFT(O15, FIND(",", O15)-1), O15)</f>
        <v/>
      </c>
      <c r="Q15" s="303" t="str">
        <f>IFERROR(IF(ISERROR(FIND(",", O15, FIND(",", O15)+1)), RIGHT(O15, LEN(O15)-FIND(",", O15)-1), MID(O15, FIND(",", O15)+2, FIND(",", O15, FIND(",", O15)+1)-FIND(",", O15)-2)), "")</f>
        <v/>
      </c>
      <c r="R15" s="303" t="str">
        <f>IFERROR(RIGHT(O15, LEN(O15)-FIND(",", O15, FIND(",", O15)+1)-1), "")</f>
        <v/>
      </c>
      <c r="S15" s="35" t="str" cm="1">
        <f t="array" ref="S15">_xlfn.TEXTJOIN(", ",TRUE,_xlfn._xlws.FILTER(Tabla29[[#All],[PARTE]],ISNUMBER(SEARCH(Tabla29[[#All],[PCLAVE3]],Tabla8[[#This Row],[DESCRIPCION DE TRABAJO]])),""))</f>
        <v/>
      </c>
      <c r="T15" s="34" t="str">
        <f>IF(AND(Tabla8[[#This Row],[PIEZA]]="",Tabla8[[#This Row],[PARTE]]=""),"VACIO","OK")</f>
        <v>OK</v>
      </c>
      <c r="U15" s="303" t="str">
        <f>+CONCATENATE(WEEKNUM(Tabla8[[#This Row],[FECHA]]),"-",YEAR(Tabla8[[#This Row],[FECHA]]))</f>
        <v>1-2025</v>
      </c>
    </row>
    <row r="16" spans="1:21" ht="15" customHeight="1">
      <c r="A16" s="22">
        <v>45659</v>
      </c>
      <c r="B16" s="16" t="s">
        <v>38</v>
      </c>
      <c r="C16" s="10" t="s">
        <v>39</v>
      </c>
      <c r="D16" s="381">
        <v>0.90972222222222221</v>
      </c>
      <c r="E16" s="381">
        <v>0.92708333333333337</v>
      </c>
      <c r="F16" s="380">
        <f>+MOD(Tabla8[[#This Row],[HR. FIN]]-Tabla8[[#This Row],[HR. INICIO]],1)</f>
        <v>1.736111111111116E-2</v>
      </c>
      <c r="G16" s="16" t="s">
        <v>31</v>
      </c>
      <c r="H16" s="343" t="str">
        <f>IFERROR(VLOOKUP(G16,DATOS!$M$2:$N$219,2,FALSE),"")</f>
        <v>Maquinaria</v>
      </c>
      <c r="I16" s="115" t="s">
        <v>32</v>
      </c>
      <c r="J16" s="115" t="str">
        <f>+VLOOKUP($I16,Tabla7[#All],2,FALSE)</f>
        <v>PROGRAMADA</v>
      </c>
      <c r="K16" s="114" t="str">
        <f>IF(VLOOKUP(I16,Tabla7[#All],3,FALSE)=0,"",VLOOKUP(I16,Tabla7[#All],3,FALSE))</f>
        <v/>
      </c>
      <c r="L16" s="35" t="s">
        <v>51</v>
      </c>
      <c r="M16" s="35" t="s">
        <v>52</v>
      </c>
      <c r="N16" s="35" t="str" cm="1">
        <f t="array" ref="N16">IFERROR(IF(Tabla8[[#This Row],[P/NP]]="NO PROGRAMADA","",_xlfn.TEXTJOIN(", ",TRUE,_xlfn._xlws.FILTER(Tabla4[[#All],[PIEZA]],ISNUMBER(SEARCH(Tabla4[[#All],[PCLAVE]],Tabla8[[#This Row],[DESCRIPCION DE TRABAJO]])),""))),"")</f>
        <v/>
      </c>
      <c r="O16" s="35" t="str" cm="1">
        <f t="array" ref="O16">_xlfn.TEXTJOIN(", ",TRUE,_xlfn._xlws.FILTER(Tabla28[[#All],[PARTE]],ISNUMBER(SEARCH(Tabla28[[#All],[PCLAVE2]],Tabla8[[#This Row],[DESCRIPCION DE TRABAJO]])),""))</f>
        <v/>
      </c>
      <c r="P16" s="303" t="str">
        <f>IFERROR(LEFT(O16, FIND(",", O16)-1), O16)</f>
        <v/>
      </c>
      <c r="Q16" s="303" t="str">
        <f>IFERROR(IF(ISERROR(FIND(",", O16, FIND(",", O16)+1)), RIGHT(O16, LEN(O16)-FIND(",", O16)-1), MID(O16, FIND(",", O16)+2, FIND(",", O16, FIND(",", O16)+1)-FIND(",", O16)-2)), "")</f>
        <v/>
      </c>
      <c r="R16" s="303" t="str">
        <f>IFERROR(RIGHT(O16, LEN(O16)-FIND(",", O16, FIND(",", O16)+1)-1), "")</f>
        <v/>
      </c>
      <c r="S16" s="35" t="str" cm="1">
        <f t="array" ref="S16">_xlfn.TEXTJOIN(", ",TRUE,_xlfn._xlws.FILTER(Tabla29[[#All],[PARTE]],ISNUMBER(SEARCH(Tabla29[[#All],[PCLAVE3]],Tabla8[[#This Row],[DESCRIPCION DE TRABAJO]])),""))</f>
        <v>No Responde</v>
      </c>
      <c r="T16" s="34" t="str">
        <f>IF(AND(Tabla8[[#This Row],[PIEZA]]="",Tabla8[[#This Row],[PARTE]]=""),"VACIO","OK")</f>
        <v>VACIO</v>
      </c>
      <c r="U16" s="303" t="str">
        <f>+CONCATENATE(WEEKNUM(Tabla8[[#This Row],[FECHA]]),"-",YEAR(Tabla8[[#This Row],[FECHA]]))</f>
        <v>1-2025</v>
      </c>
    </row>
    <row r="17" spans="1:21" ht="15" customHeight="1">
      <c r="A17" s="22">
        <v>45659</v>
      </c>
      <c r="B17" s="16" t="s">
        <v>38</v>
      </c>
      <c r="C17" s="10" t="s">
        <v>39</v>
      </c>
      <c r="D17" s="381">
        <v>8.3333333333333329E-2</v>
      </c>
      <c r="E17" s="381">
        <v>0.10069444444444445</v>
      </c>
      <c r="F17" s="380">
        <f>+MOD(Tabla8[[#This Row],[HR. FIN]]-Tabla8[[#This Row],[HR. INICIO]],1)</f>
        <v>1.7361111111111119E-2</v>
      </c>
      <c r="G17" s="16" t="s">
        <v>49</v>
      </c>
      <c r="H17" s="343" t="str">
        <f>IFERROR(VLOOKUP(G17,DATOS!$M$2:$N$219,2,FALSE),"")</f>
        <v>Area</v>
      </c>
      <c r="I17" s="115" t="s">
        <v>25</v>
      </c>
      <c r="J17" s="115" t="str">
        <f>+VLOOKUP($I17,Tabla7[#All],2,FALSE)</f>
        <v>PROGRAMADA</v>
      </c>
      <c r="K17" s="114" t="str">
        <f>IF(VLOOKUP(I17,Tabla7[#All],3,FALSE)=0,"",VLOOKUP(I17,Tabla7[#All],3,FALSE))</f>
        <v/>
      </c>
      <c r="L17" s="35" t="s">
        <v>53</v>
      </c>
      <c r="M17" s="35"/>
      <c r="N17" s="35" t="str" cm="1">
        <f t="array" ref="N17">IFERROR(IF(Tabla8[[#This Row],[P/NP]]="NO PROGRAMADA","",_xlfn.TEXTJOIN(", ",TRUE,_xlfn._xlws.FILTER(Tabla4[[#All],[PIEZA]],ISNUMBER(SEARCH(Tabla4[[#All],[PCLAVE]],Tabla8[[#This Row],[DESCRIPCION DE TRABAJO]])),""))),"")</f>
        <v>Dispensador</v>
      </c>
      <c r="O17" s="35" t="str" cm="1">
        <f t="array" ref="O17">_xlfn.TEXTJOIN(", ",TRUE,_xlfn._xlws.FILTER(Tabla28[[#All],[PARTE]],ISNUMBER(SEARCH(Tabla28[[#All],[PCLAVE2]],Tabla8[[#This Row],[DESCRIPCION DE TRABAJO]])),""))</f>
        <v/>
      </c>
      <c r="P17" s="303" t="str">
        <f>IFERROR(LEFT(O17, FIND(",", O17)-1), O17)</f>
        <v/>
      </c>
      <c r="Q17" s="303" t="str">
        <f>IFERROR(IF(ISERROR(FIND(",", O17, FIND(",", O17)+1)), RIGHT(O17, LEN(O17)-FIND(",", O17)-1), MID(O17, FIND(",", O17)+2, FIND(",", O17, FIND(",", O17)+1)-FIND(",", O17)-2)), "")</f>
        <v/>
      </c>
      <c r="R17" s="303" t="str">
        <f>IFERROR(RIGHT(O17, LEN(O17)-FIND(",", O17, FIND(",", O17)+1)-1), "")</f>
        <v/>
      </c>
      <c r="S17" s="35" t="str" cm="1">
        <f t="array" ref="S17">_xlfn.TEXTJOIN(", ",TRUE,_xlfn._xlws.FILTER(Tabla29[[#All],[PARTE]],ISNUMBER(SEARCH(Tabla29[[#All],[PCLAVE3]],Tabla8[[#This Row],[DESCRIPCION DE TRABAJO]])),""))</f>
        <v/>
      </c>
      <c r="T17" s="34" t="str">
        <f>IF(AND(Tabla8[[#This Row],[PIEZA]]="",Tabla8[[#This Row],[PARTE]]=""),"VACIO","OK")</f>
        <v>OK</v>
      </c>
      <c r="U17" s="303" t="str">
        <f>+CONCATENATE(WEEKNUM(Tabla8[[#This Row],[FECHA]]),"-",YEAR(Tabla8[[#This Row],[FECHA]]))</f>
        <v>1-2025</v>
      </c>
    </row>
    <row r="18" spans="1:21" ht="15" customHeight="1">
      <c r="A18" s="22">
        <v>45659</v>
      </c>
      <c r="B18" s="16" t="s">
        <v>38</v>
      </c>
      <c r="C18" s="10" t="s">
        <v>39</v>
      </c>
      <c r="D18" s="381">
        <v>0.17708333333333334</v>
      </c>
      <c r="E18" s="381">
        <v>0.19444444444444445</v>
      </c>
      <c r="F18" s="380">
        <f>+MOD(Tabla8[[#This Row],[HR. FIN]]-Tabla8[[#This Row],[HR. INICIO]],1)</f>
        <v>1.7361111111111105E-2</v>
      </c>
      <c r="G18" s="16" t="s">
        <v>31</v>
      </c>
      <c r="H18" s="343" t="str">
        <f>IFERROR(VLOOKUP(G18,DATOS!$M$2:$N$219,2,FALSE),"")</f>
        <v>Maquinaria</v>
      </c>
      <c r="I18" s="115" t="s">
        <v>54</v>
      </c>
      <c r="J18" s="115" t="str">
        <f>+VLOOKUP($I18,Tabla7[#All],2,FALSE)</f>
        <v>PROGRAMADA</v>
      </c>
      <c r="K18" s="114" t="str">
        <f>IF(VLOOKUP(I18,Tabla7[#All],3,FALSE)=0,"",VLOOKUP(I18,Tabla7[#All],3,FALSE))</f>
        <v/>
      </c>
      <c r="L18" s="35" t="s">
        <v>55</v>
      </c>
      <c r="M18" s="35"/>
      <c r="N18" s="35" t="str" cm="1">
        <f t="array" ref="N18">IFERROR(IF(Tabla8[[#This Row],[P/NP]]="NO PROGRAMADA","",_xlfn.TEXTJOIN(", ",TRUE,_xlfn._xlws.FILTER(Tabla4[[#All],[PIEZA]],ISNUMBER(SEARCH(Tabla4[[#All],[PCLAVE]],Tabla8[[#This Row],[DESCRIPCION DE TRABAJO]])),""))),"")</f>
        <v/>
      </c>
      <c r="O18" s="35" t="str" cm="1">
        <f t="array" ref="O18">_xlfn.TEXTJOIN(", ",TRUE,_xlfn._xlws.FILTER(Tabla28[[#All],[PARTE]],ISNUMBER(SEARCH(Tabla28[[#All],[PCLAVE2]],Tabla8[[#This Row],[DESCRIPCION DE TRABAJO]])),""))</f>
        <v/>
      </c>
      <c r="P18" s="303" t="str">
        <f>IFERROR(LEFT(O18, FIND(",", O18)-1), O18)</f>
        <v/>
      </c>
      <c r="Q18" s="303" t="str">
        <f>IFERROR(IF(ISERROR(FIND(",", O18, FIND(",", O18)+1)), RIGHT(O18, LEN(O18)-FIND(",", O18)-1), MID(O18, FIND(",", O18)+2, FIND(",", O18, FIND(",", O18)+1)-FIND(",", O18)-2)), "")</f>
        <v/>
      </c>
      <c r="R18" s="303" t="str">
        <f>IFERROR(RIGHT(O18, LEN(O18)-FIND(",", O18, FIND(",", O18)+1)-1), "")</f>
        <v/>
      </c>
      <c r="S18" s="35" t="str" cm="1">
        <f t="array" ref="S18">_xlfn.TEXTJOIN(", ",TRUE,_xlfn._xlws.FILTER(Tabla29[[#All],[PARTE]],ISNUMBER(SEARCH(Tabla29[[#All],[PCLAVE3]],Tabla8[[#This Row],[DESCRIPCION DE TRABAJO]])),""))</f>
        <v/>
      </c>
      <c r="T18" s="34" t="str">
        <f>IF(AND(Tabla8[[#This Row],[PIEZA]]="",Tabla8[[#This Row],[PARTE]]=""),"VACIO","OK")</f>
        <v>VACIO</v>
      </c>
      <c r="U18" s="303" t="str">
        <f>+CONCATENATE(WEEKNUM(Tabla8[[#This Row],[FECHA]]),"-",YEAR(Tabla8[[#This Row],[FECHA]]))</f>
        <v>1-2025</v>
      </c>
    </row>
    <row r="19" spans="1:21" ht="15" customHeight="1">
      <c r="A19" s="22">
        <v>45659</v>
      </c>
      <c r="B19" s="16" t="s">
        <v>22</v>
      </c>
      <c r="C19" s="10" t="s">
        <v>23</v>
      </c>
      <c r="D19" s="381">
        <v>0.55902777777777779</v>
      </c>
      <c r="E19" s="381">
        <v>0.57638888888888884</v>
      </c>
      <c r="F19" s="380">
        <f>+MOD(Tabla8[[#This Row],[HR. FIN]]-Tabla8[[#This Row],[HR. INICIO]],1)</f>
        <v>1.7361111111111049E-2</v>
      </c>
      <c r="G19" s="16" t="s">
        <v>56</v>
      </c>
      <c r="H19" s="343" t="str">
        <f>IFERROR(VLOOKUP(G19,DATOS!$M$2:$N$219,2,FALSE),"")</f>
        <v>Maquinaria</v>
      </c>
      <c r="I19" s="115" t="s">
        <v>57</v>
      </c>
      <c r="J19" s="115" t="str">
        <f>+VLOOKUP($I19,Tabla7[#All],2,FALSE)</f>
        <v>NO PROGRAMADA</v>
      </c>
      <c r="K19" s="114" t="str">
        <f>IF(VLOOKUP(I19,Tabla7[#All],3,FALSE)=0,"",VLOOKUP(I19,Tabla7[#All],3,FALSE))</f>
        <v>MECÁNICA</v>
      </c>
      <c r="L19" s="35" t="s">
        <v>58</v>
      </c>
      <c r="M19" s="35" t="s">
        <v>59</v>
      </c>
      <c r="N19" s="35" t="str" cm="1">
        <f t="array" ref="N19">IFERROR(IF(Tabla8[[#This Row],[P/NP]]="NO PROGRAMADA","",_xlfn.TEXTJOIN(", ",TRUE,_xlfn._xlws.FILTER(Tabla4[[#All],[PIEZA]],ISNUMBER(SEARCH(Tabla4[[#All],[PCLAVE]],Tabla8[[#This Row],[DESCRIPCION DE TRABAJO]])),""))),"")</f>
        <v/>
      </c>
      <c r="O19" s="35" t="str" cm="1">
        <f t="array" ref="O19">_xlfn.TEXTJOIN(", ",TRUE,_xlfn._xlws.FILTER(Tabla28[[#All],[PARTE]],ISNUMBER(SEARCH(Tabla28[[#All],[PCLAVE2]],Tabla8[[#This Row],[DESCRIPCION DE TRABAJO]])),""))</f>
        <v/>
      </c>
      <c r="P19" s="303" t="str">
        <f>IFERROR(LEFT(O19, FIND(",", O19)-1), O19)</f>
        <v/>
      </c>
      <c r="Q19" s="303" t="str">
        <f>IFERROR(IF(ISERROR(FIND(",", O19, FIND(",", O19)+1)), RIGHT(O19, LEN(O19)-FIND(",", O19)-1), MID(O19, FIND(",", O19)+2, FIND(",", O19, FIND(",", O19)+1)-FIND(",", O19)-2)), "")</f>
        <v/>
      </c>
      <c r="R19" s="303" t="str">
        <f>IFERROR(RIGHT(O19, LEN(O19)-FIND(",", O19, FIND(",", O19)+1)-1), "")</f>
        <v/>
      </c>
      <c r="S19" s="35" t="str" cm="1">
        <f t="array" ref="S19">_xlfn.TEXTJOIN(", ",TRUE,_xlfn._xlws.FILTER(Tabla29[[#All],[PARTE]],ISNUMBER(SEARCH(Tabla29[[#All],[PCLAVE3]],Tabla8[[#This Row],[DESCRIPCION DE TRABAJO]])),""))</f>
        <v>Detenido, Detenido</v>
      </c>
      <c r="T19" s="34" t="str">
        <f>IF(AND(Tabla8[[#This Row],[PIEZA]]="",Tabla8[[#This Row],[PARTE]]=""),"VACIO","OK")</f>
        <v>VACIO</v>
      </c>
      <c r="U19" s="303" t="str">
        <f>+CONCATENATE(WEEKNUM(Tabla8[[#This Row],[FECHA]]),"-",YEAR(Tabla8[[#This Row],[FECHA]]))</f>
        <v>1-2025</v>
      </c>
    </row>
    <row r="20" spans="1:21" ht="15" customHeight="1">
      <c r="A20" s="22">
        <v>45659</v>
      </c>
      <c r="B20" s="16" t="s">
        <v>22</v>
      </c>
      <c r="C20" s="10" t="s">
        <v>23</v>
      </c>
      <c r="D20" s="381">
        <v>0.72222222222222221</v>
      </c>
      <c r="E20" s="381">
        <v>0.73611111111111116</v>
      </c>
      <c r="F20" s="380">
        <f>+MOD(Tabla8[[#This Row],[HR. FIN]]-Tabla8[[#This Row],[HR. INICIO]],1)</f>
        <v>1.3888888888888951E-2</v>
      </c>
      <c r="G20" s="16" t="s">
        <v>60</v>
      </c>
      <c r="H20" s="343" t="str">
        <f>IFERROR(VLOOKUP(G20,DATOS!$M$2:$N$219,2,FALSE),"")</f>
        <v>Maquinaria</v>
      </c>
      <c r="I20" s="115" t="s">
        <v>61</v>
      </c>
      <c r="J20" s="115" t="str">
        <f>+VLOOKUP($I20,Tabla7[#All],2,FALSE)</f>
        <v>PROGRAMADA</v>
      </c>
      <c r="K20" s="114" t="str">
        <f>IF(VLOOKUP(I20,Tabla7[#All],3,FALSE)=0,"",VLOOKUP(I20,Tabla7[#All],3,FALSE))</f>
        <v/>
      </c>
      <c r="L20" s="35" t="s">
        <v>62</v>
      </c>
      <c r="M20" s="35"/>
      <c r="N20" s="35" t="str" cm="1">
        <f t="array" ref="N20">IFERROR(IF(Tabla8[[#This Row],[P/NP]]="NO PROGRAMADA","",_xlfn.TEXTJOIN(", ",TRUE,_xlfn._xlws.FILTER(Tabla4[[#All],[PIEZA]],ISNUMBER(SEARCH(Tabla4[[#All],[PCLAVE]],Tabla8[[#This Row],[DESCRIPCION DE TRABAJO]])),""))),"")</f>
        <v/>
      </c>
      <c r="O20" s="35" t="str" cm="1">
        <f t="array" ref="O20">_xlfn.TEXTJOIN(", ",TRUE,_xlfn._xlws.FILTER(Tabla28[[#All],[PARTE]],ISNUMBER(SEARCH(Tabla28[[#All],[PCLAVE2]],Tabla8[[#This Row],[DESCRIPCION DE TRABAJO]])),""))</f>
        <v/>
      </c>
      <c r="P20" s="303" t="str">
        <f>IFERROR(LEFT(O20, FIND(",", O20)-1), O20)</f>
        <v/>
      </c>
      <c r="Q20" s="303" t="str">
        <f>IFERROR(IF(ISERROR(FIND(",", O20, FIND(",", O20)+1)), RIGHT(O20, LEN(O20)-FIND(",", O20)-1), MID(O20, FIND(",", O20)+2, FIND(",", O20, FIND(",", O20)+1)-FIND(",", O20)-2)), "")</f>
        <v/>
      </c>
      <c r="R20" s="303" t="str">
        <f>IFERROR(RIGHT(O20, LEN(O20)-FIND(",", O20, FIND(",", O20)+1)-1), "")</f>
        <v/>
      </c>
      <c r="S20" s="35" t="str" cm="1">
        <f t="array" ref="S20">_xlfn.TEXTJOIN(", ",TRUE,_xlfn._xlws.FILTER(Tabla29[[#All],[PARTE]],ISNUMBER(SEARCH(Tabla29[[#All],[PCLAVE3]],Tabla8[[#This Row],[DESCRIPCION DE TRABAJO]])),""))</f>
        <v/>
      </c>
      <c r="T20" s="34" t="str">
        <f>IF(AND(Tabla8[[#This Row],[PIEZA]]="",Tabla8[[#This Row],[PARTE]]=""),"VACIO","OK")</f>
        <v>VACIO</v>
      </c>
      <c r="U20" s="303" t="str">
        <f>+CONCATENATE(WEEKNUM(Tabla8[[#This Row],[FECHA]]),"-",YEAR(Tabla8[[#This Row],[FECHA]]))</f>
        <v>1-2025</v>
      </c>
    </row>
    <row r="21" spans="1:21" ht="15" customHeight="1">
      <c r="A21" s="22">
        <v>45659</v>
      </c>
      <c r="B21" s="16" t="s">
        <v>38</v>
      </c>
      <c r="C21" s="10" t="s">
        <v>39</v>
      </c>
      <c r="D21" s="381">
        <v>5.5555555555555552E-2</v>
      </c>
      <c r="E21" s="381">
        <v>6.9444444444444448E-2</v>
      </c>
      <c r="F21" s="380">
        <f>+MOD(Tabla8[[#This Row],[HR. FIN]]-Tabla8[[#This Row],[HR. INICIO]],1)</f>
        <v>1.3888888888888895E-2</v>
      </c>
      <c r="G21" s="16" t="s">
        <v>27</v>
      </c>
      <c r="H21" s="343" t="str">
        <f>IFERROR(VLOOKUP(G21,DATOS!$M$2:$N$219,2,FALSE),"")</f>
        <v>Maquinaria</v>
      </c>
      <c r="I21" s="115" t="s">
        <v>54</v>
      </c>
      <c r="J21" s="115" t="str">
        <f>+VLOOKUP($I21,Tabla7[#All],2,FALSE)</f>
        <v>PROGRAMADA</v>
      </c>
      <c r="K21" s="114" t="str">
        <f>IF(VLOOKUP(I21,Tabla7[#All],3,FALSE)=0,"",VLOOKUP(I21,Tabla7[#All],3,FALSE))</f>
        <v/>
      </c>
      <c r="L21" s="35" t="s">
        <v>63</v>
      </c>
      <c r="M21" s="35"/>
      <c r="N21" s="35" t="str" cm="1">
        <f t="array" ref="N21">IFERROR(IF(Tabla8[[#This Row],[P/NP]]="NO PROGRAMADA","",_xlfn.TEXTJOIN(", ",TRUE,_xlfn._xlws.FILTER(Tabla4[[#All],[PIEZA]],ISNUMBER(SEARCH(Tabla4[[#All],[PCLAVE]],Tabla8[[#This Row],[DESCRIPCION DE TRABAJO]])),""))),"")</f>
        <v/>
      </c>
      <c r="O21" s="35" t="str" cm="1">
        <f t="array" ref="O21">_xlfn.TEXTJOIN(", ",TRUE,_xlfn._xlws.FILTER(Tabla28[[#All],[PARTE]],ISNUMBER(SEARCH(Tabla28[[#All],[PCLAVE2]],Tabla8[[#This Row],[DESCRIPCION DE TRABAJO]])),""))</f>
        <v/>
      </c>
      <c r="P21" s="303" t="str">
        <f>IFERROR(LEFT(O21, FIND(",", O21)-1), O21)</f>
        <v/>
      </c>
      <c r="Q21" s="303" t="str">
        <f>IFERROR(IF(ISERROR(FIND(",", O21, FIND(",", O21)+1)), RIGHT(O21, LEN(O21)-FIND(",", O21)-1), MID(O21, FIND(",", O21)+2, FIND(",", O21, FIND(",", O21)+1)-FIND(",", O21)-2)), "")</f>
        <v/>
      </c>
      <c r="R21" s="303" t="str">
        <f>IFERROR(RIGHT(O21, LEN(O21)-FIND(",", O21, FIND(",", O21)+1)-1), "")</f>
        <v/>
      </c>
      <c r="S21" s="35" t="str" cm="1">
        <f t="array" ref="S21">_xlfn.TEXTJOIN(", ",TRUE,_xlfn._xlws.FILTER(Tabla29[[#All],[PARTE]],ISNUMBER(SEARCH(Tabla29[[#All],[PCLAVE3]],Tabla8[[#This Row],[DESCRIPCION DE TRABAJO]])),""))</f>
        <v/>
      </c>
      <c r="T21" s="34" t="str">
        <f>IF(AND(Tabla8[[#This Row],[PIEZA]]="",Tabla8[[#This Row],[PARTE]]=""),"VACIO","OK")</f>
        <v>VACIO</v>
      </c>
      <c r="U21" s="303" t="str">
        <f>+CONCATENATE(WEEKNUM(Tabla8[[#This Row],[FECHA]]),"-",YEAR(Tabla8[[#This Row],[FECHA]]))</f>
        <v>1-2025</v>
      </c>
    </row>
    <row r="22" spans="1:21" ht="15" customHeight="1">
      <c r="A22" s="22">
        <v>45659</v>
      </c>
      <c r="B22" s="16" t="s">
        <v>38</v>
      </c>
      <c r="C22" s="10" t="s">
        <v>39</v>
      </c>
      <c r="D22" s="381">
        <v>0.9375</v>
      </c>
      <c r="E22" s="381">
        <v>0.95138888888888884</v>
      </c>
      <c r="F22" s="380">
        <f>+MOD(Tabla8[[#This Row],[HR. FIN]]-Tabla8[[#This Row],[HR. INICIO]],1)</f>
        <v>1.388888888888884E-2</v>
      </c>
      <c r="G22" s="16" t="s">
        <v>64</v>
      </c>
      <c r="H22" s="343" t="str">
        <f>IFERROR(VLOOKUP(G22,DATOS!$M$2:$N$219,2,FALSE),"")</f>
        <v>Maquinaria</v>
      </c>
      <c r="I22" s="115" t="s">
        <v>54</v>
      </c>
      <c r="J22" s="115" t="str">
        <f>+VLOOKUP($I22,Tabla7[#All],2,FALSE)</f>
        <v>PROGRAMADA</v>
      </c>
      <c r="K22" s="114" t="str">
        <f>IF(VLOOKUP(I22,Tabla7[#All],3,FALSE)=0,"",VLOOKUP(I22,Tabla7[#All],3,FALSE))</f>
        <v/>
      </c>
      <c r="L22" s="35" t="s">
        <v>55</v>
      </c>
      <c r="M22" s="35"/>
      <c r="N22" s="35" t="str" cm="1">
        <f t="array" ref="N22">IFERROR(IF(Tabla8[[#This Row],[P/NP]]="NO PROGRAMADA","",_xlfn.TEXTJOIN(", ",TRUE,_xlfn._xlws.FILTER(Tabla4[[#All],[PIEZA]],ISNUMBER(SEARCH(Tabla4[[#All],[PCLAVE]],Tabla8[[#This Row],[DESCRIPCION DE TRABAJO]])),""))),"")</f>
        <v/>
      </c>
      <c r="O22" s="35" t="str" cm="1">
        <f t="array" ref="O22">_xlfn.TEXTJOIN(", ",TRUE,_xlfn._xlws.FILTER(Tabla28[[#All],[PARTE]],ISNUMBER(SEARCH(Tabla28[[#All],[PCLAVE2]],Tabla8[[#This Row],[DESCRIPCION DE TRABAJO]])),""))</f>
        <v/>
      </c>
      <c r="P22" s="303" t="str">
        <f>IFERROR(LEFT(O22, FIND(",", O22)-1), O22)</f>
        <v/>
      </c>
      <c r="Q22" s="303" t="str">
        <f>IFERROR(IF(ISERROR(FIND(",", O22, FIND(",", O22)+1)), RIGHT(O22, LEN(O22)-FIND(",", O22)-1), MID(O22, FIND(",", O22)+2, FIND(",", O22, FIND(",", O22)+1)-FIND(",", O22)-2)), "")</f>
        <v/>
      </c>
      <c r="R22" s="303" t="str">
        <f>IFERROR(RIGHT(O22, LEN(O22)-FIND(",", O22, FIND(",", O22)+1)-1), "")</f>
        <v/>
      </c>
      <c r="S22" s="35" t="str" cm="1">
        <f t="array" ref="S22">_xlfn.TEXTJOIN(", ",TRUE,_xlfn._xlws.FILTER(Tabla29[[#All],[PARTE]],ISNUMBER(SEARCH(Tabla29[[#All],[PCLAVE3]],Tabla8[[#This Row],[DESCRIPCION DE TRABAJO]])),""))</f>
        <v/>
      </c>
      <c r="T22" s="34" t="str">
        <f>IF(AND(Tabla8[[#This Row],[PIEZA]]="",Tabla8[[#This Row],[PARTE]]=""),"VACIO","OK")</f>
        <v>VACIO</v>
      </c>
      <c r="U22" s="303" t="str">
        <f>+CONCATENATE(WEEKNUM(Tabla8[[#This Row],[FECHA]]),"-",YEAR(Tabla8[[#This Row],[FECHA]]))</f>
        <v>1-2025</v>
      </c>
    </row>
    <row r="23" spans="1:21" ht="15" customHeight="1">
      <c r="A23" s="22">
        <v>45659</v>
      </c>
      <c r="B23" s="16" t="s">
        <v>35</v>
      </c>
      <c r="C23" s="10" t="s">
        <v>36</v>
      </c>
      <c r="D23" s="381">
        <v>0.37777777777777777</v>
      </c>
      <c r="E23" s="381">
        <v>0.39097222222222222</v>
      </c>
      <c r="F23" s="380">
        <f>+MOD(Tabla8[[#This Row],[HR. FIN]]-Tabla8[[#This Row],[HR. INICIO]],1)</f>
        <v>1.3194444444444453E-2</v>
      </c>
      <c r="G23" s="16" t="s">
        <v>31</v>
      </c>
      <c r="H23" s="343" t="str">
        <f>IFERROR(VLOOKUP(G23,DATOS!$M$2:$N$219,2,FALSE),"")</f>
        <v>Maquinaria</v>
      </c>
      <c r="I23" s="115" t="s">
        <v>57</v>
      </c>
      <c r="J23" s="115" t="str">
        <f>+VLOOKUP($I23,Tabla7[#All],2,FALSE)</f>
        <v>NO PROGRAMADA</v>
      </c>
      <c r="K23" s="114" t="str">
        <f>IF(VLOOKUP(I23,Tabla7[#All],3,FALSE)=0,"",VLOOKUP(I23,Tabla7[#All],3,FALSE))</f>
        <v>MECÁNICA</v>
      </c>
      <c r="L23" s="35" t="s">
        <v>65</v>
      </c>
      <c r="M23" s="35" t="s">
        <v>66</v>
      </c>
      <c r="N23" s="35" t="str" cm="1">
        <f t="array" ref="N23">IFERROR(IF(Tabla8[[#This Row],[P/NP]]="NO PROGRAMADA","",_xlfn.TEXTJOIN(", ",TRUE,_xlfn._xlws.FILTER(Tabla4[[#All],[PIEZA]],ISNUMBER(SEARCH(Tabla4[[#All],[PCLAVE]],Tabla8[[#This Row],[DESCRIPCION DE TRABAJO]])),""))),"")</f>
        <v/>
      </c>
      <c r="O23" s="35" t="str" cm="1">
        <f t="array" ref="O23">_xlfn.TEXTJOIN(", ",TRUE,_xlfn._xlws.FILTER(Tabla28[[#All],[PARTE]],ISNUMBER(SEARCH(Tabla28[[#All],[PCLAVE2]],Tabla8[[#This Row],[DESCRIPCION DE TRABAJO]])),""))</f>
        <v/>
      </c>
      <c r="P23" s="303" t="str">
        <f>IFERROR(LEFT(O23, FIND(",", O23)-1), O23)</f>
        <v/>
      </c>
      <c r="Q23" s="303" t="str">
        <f>IFERROR(IF(ISERROR(FIND(",", O23, FIND(",", O23)+1)), RIGHT(O23, LEN(O23)-FIND(",", O23)-1), MID(O23, FIND(",", O23)+2, FIND(",", O23, FIND(",", O23)+1)-FIND(",", O23)-2)), "")</f>
        <v/>
      </c>
      <c r="R23" s="303" t="str">
        <f>IFERROR(RIGHT(O23, LEN(O23)-FIND(",", O23, FIND(",", O23)+1)-1), "")</f>
        <v/>
      </c>
      <c r="S23" s="35" t="str" cm="1">
        <f t="array" ref="S23">_xlfn.TEXTJOIN(", ",TRUE,_xlfn._xlws.FILTER(Tabla29[[#All],[PARTE]],ISNUMBER(SEARCH(Tabla29[[#All],[PCLAVE3]],Tabla8[[#This Row],[DESCRIPCION DE TRABAJO]])),""))</f>
        <v>Calibracion, Laminado</v>
      </c>
      <c r="T23" s="34" t="str">
        <f>IF(AND(Tabla8[[#This Row],[PIEZA]]="",Tabla8[[#This Row],[PARTE]]=""),"VACIO","OK")</f>
        <v>VACIO</v>
      </c>
      <c r="U23" s="303" t="str">
        <f>+CONCATENATE(WEEKNUM(Tabla8[[#This Row],[FECHA]]),"-",YEAR(Tabla8[[#This Row],[FECHA]]))</f>
        <v>1-2025</v>
      </c>
    </row>
    <row r="24" spans="1:21" ht="15" customHeight="1">
      <c r="A24" s="22">
        <v>45659</v>
      </c>
      <c r="B24" s="16" t="s">
        <v>38</v>
      </c>
      <c r="C24" s="10" t="s">
        <v>39</v>
      </c>
      <c r="D24" s="381">
        <v>0.9555555555555556</v>
      </c>
      <c r="E24" s="381">
        <v>0.96875</v>
      </c>
      <c r="F24" s="380">
        <f>+MOD(Tabla8[[#This Row],[HR. FIN]]-Tabla8[[#This Row],[HR. INICIO]],1)</f>
        <v>1.3194444444444398E-2</v>
      </c>
      <c r="G24" s="16" t="s">
        <v>67</v>
      </c>
      <c r="H24" s="343" t="str">
        <f>IFERROR(VLOOKUP(G24,DATOS!$M$2:$N$219,2,FALSE),"")</f>
        <v>Maquinaria</v>
      </c>
      <c r="I24" s="115" t="s">
        <v>57</v>
      </c>
      <c r="J24" s="115" t="str">
        <f>+VLOOKUP($I24,Tabla7[#All],2,FALSE)</f>
        <v>NO PROGRAMADA</v>
      </c>
      <c r="K24" s="114" t="str">
        <f>IF(VLOOKUP(I24,Tabla7[#All],3,FALSE)=0,"",VLOOKUP(I24,Tabla7[#All],3,FALSE))</f>
        <v>MECÁNICA</v>
      </c>
      <c r="L24" s="35" t="s">
        <v>68</v>
      </c>
      <c r="M24" s="35" t="s">
        <v>69</v>
      </c>
      <c r="N24" s="35" t="str" cm="1">
        <f t="array" ref="N24">IFERROR(IF(Tabla8[[#This Row],[P/NP]]="NO PROGRAMADA","",_xlfn.TEXTJOIN(", ",TRUE,_xlfn._xlws.FILTER(Tabla4[[#All],[PIEZA]],ISNUMBER(SEARCH(Tabla4[[#All],[PCLAVE]],Tabla8[[#This Row],[DESCRIPCION DE TRABAJO]])),""))),"")</f>
        <v/>
      </c>
      <c r="O24" s="35" t="str" cm="1">
        <f t="array" ref="O24">_xlfn.TEXTJOIN(", ",TRUE,_xlfn._xlws.FILTER(Tabla28[[#All],[PARTE]],ISNUMBER(SEARCH(Tabla28[[#All],[PCLAVE2]],Tabla8[[#This Row],[DESCRIPCION DE TRABAJO]])),""))</f>
        <v/>
      </c>
      <c r="P24" s="303" t="str">
        <f>IFERROR(LEFT(O24, FIND(",", O24)-1), O24)</f>
        <v/>
      </c>
      <c r="Q24" s="303" t="str">
        <f>IFERROR(IF(ISERROR(FIND(",", O24, FIND(",", O24)+1)), RIGHT(O24, LEN(O24)-FIND(",", O24)-1), MID(O24, FIND(",", O24)+2, FIND(",", O24, FIND(",", O24)+1)-FIND(",", O24)-2)), "")</f>
        <v/>
      </c>
      <c r="R24" s="303" t="str">
        <f>IFERROR(RIGHT(O24, LEN(O24)-FIND(",", O24, FIND(",", O24)+1)-1), "")</f>
        <v/>
      </c>
      <c r="S24" s="35" t="str" cm="1">
        <f t="array" ref="S24">_xlfn.TEXTJOIN(", ",TRUE,_xlfn._xlws.FILTER(Tabla29[[#All],[PARTE]],ISNUMBER(SEARCH(Tabla29[[#All],[PCLAVE3]],Tabla8[[#This Row],[DESCRIPCION DE TRABAJO]])),""))</f>
        <v>Con Agujeros</v>
      </c>
      <c r="T24" s="34" t="str">
        <f>IF(AND(Tabla8[[#This Row],[PIEZA]]="",Tabla8[[#This Row],[PARTE]]=""),"VACIO","OK")</f>
        <v>VACIO</v>
      </c>
      <c r="U24" s="303" t="str">
        <f>+CONCATENATE(WEEKNUM(Tabla8[[#This Row],[FECHA]]),"-",YEAR(Tabla8[[#This Row],[FECHA]]))</f>
        <v>1-2025</v>
      </c>
    </row>
    <row r="25" spans="1:21" ht="15" customHeight="1">
      <c r="A25" s="22">
        <v>45659</v>
      </c>
      <c r="B25" s="16" t="s">
        <v>38</v>
      </c>
      <c r="C25" s="10" t="s">
        <v>39</v>
      </c>
      <c r="D25" s="381">
        <v>1.0277777777777777</v>
      </c>
      <c r="E25" s="381">
        <v>1.0402777777777779</v>
      </c>
      <c r="F25" s="380">
        <f>+MOD(Tabla8[[#This Row],[HR. FIN]]-Tabla8[[#This Row],[HR. INICIO]],1)</f>
        <v>1.2500000000000178E-2</v>
      </c>
      <c r="G25" s="16" t="s">
        <v>70</v>
      </c>
      <c r="H25" s="343" t="str">
        <f>IFERROR(VLOOKUP(G25,DATOS!$M$2:$N$219,2,FALSE),"")</f>
        <v>Maquinaria</v>
      </c>
      <c r="I25" s="115" t="s">
        <v>61</v>
      </c>
      <c r="J25" s="115" t="str">
        <f>+VLOOKUP($I25,Tabla7[#All],2,FALSE)</f>
        <v>PROGRAMADA</v>
      </c>
      <c r="K25" s="114" t="str">
        <f>IF(VLOOKUP(I25,Tabla7[#All],3,FALSE)=0,"",VLOOKUP(I25,Tabla7[#All],3,FALSE))</f>
        <v/>
      </c>
      <c r="L25" s="35" t="s">
        <v>71</v>
      </c>
      <c r="M25" s="35" t="s">
        <v>72</v>
      </c>
      <c r="N25" s="35" t="str" cm="1">
        <f t="array" ref="N25">IFERROR(IF(Tabla8[[#This Row],[P/NP]]="NO PROGRAMADA","",_xlfn.TEXTJOIN(", ",TRUE,_xlfn._xlws.FILTER(Tabla4[[#All],[PIEZA]],ISNUMBER(SEARCH(Tabla4[[#All],[PCLAVE]],Tabla8[[#This Row],[DESCRIPCION DE TRABAJO]])),""))),"")</f>
        <v/>
      </c>
      <c r="O25" s="35" t="str" cm="1">
        <f t="array" ref="O25">_xlfn.TEXTJOIN(", ",TRUE,_xlfn._xlws.FILTER(Tabla28[[#All],[PARTE]],ISNUMBER(SEARCH(Tabla28[[#All],[PCLAVE2]],Tabla8[[#This Row],[DESCRIPCION DE TRABAJO]])),""))</f>
        <v/>
      </c>
      <c r="P25" s="303" t="str">
        <f>IFERROR(LEFT(O25, FIND(",", O25)-1), O25)</f>
        <v/>
      </c>
      <c r="Q25" s="303" t="str">
        <f>IFERROR(IF(ISERROR(FIND(",", O25, FIND(",", O25)+1)), RIGHT(O25, LEN(O25)-FIND(",", O25)-1), MID(O25, FIND(",", O25)+2, FIND(",", O25, FIND(",", O25)+1)-FIND(",", O25)-2)), "")</f>
        <v/>
      </c>
      <c r="R25" s="303" t="str">
        <f>IFERROR(RIGHT(O25, LEN(O25)-FIND(",", O25, FIND(",", O25)+1)-1), "")</f>
        <v/>
      </c>
      <c r="S25" s="35" t="str" cm="1">
        <f t="array" ref="S25">_xlfn.TEXTJOIN(", ",TRUE,_xlfn._xlws.FILTER(Tabla29[[#All],[PARTE]],ISNUMBER(SEARCH(Tabla29[[#All],[PCLAVE3]],Tabla8[[#This Row],[DESCRIPCION DE TRABAJO]])),""))</f>
        <v>Alarma</v>
      </c>
      <c r="T25" s="34" t="str">
        <f>IF(AND(Tabla8[[#This Row],[PIEZA]]="",Tabla8[[#This Row],[PARTE]]=""),"VACIO","OK")</f>
        <v>VACIO</v>
      </c>
      <c r="U25" s="303" t="str">
        <f>+CONCATENATE(WEEKNUM(Tabla8[[#This Row],[FECHA]]),"-",YEAR(Tabla8[[#This Row],[FECHA]]))</f>
        <v>1-2025</v>
      </c>
    </row>
    <row r="26" spans="1:21" ht="15" customHeight="1">
      <c r="A26" s="22">
        <v>45659</v>
      </c>
      <c r="B26" s="16" t="s">
        <v>35</v>
      </c>
      <c r="C26" s="10" t="s">
        <v>36</v>
      </c>
      <c r="D26" s="381">
        <v>0.47083333333333333</v>
      </c>
      <c r="E26" s="381">
        <v>0.48333333333333334</v>
      </c>
      <c r="F26" s="380">
        <f>+MOD(Tabla8[[#This Row],[HR. FIN]]-Tabla8[[#This Row],[HR. INICIO]],1)</f>
        <v>1.2500000000000011E-2</v>
      </c>
      <c r="G26" s="16" t="s">
        <v>73</v>
      </c>
      <c r="H26" s="343" t="str">
        <f>IFERROR(VLOOKUP(G26,DATOS!$M$2:$N$219,2,FALSE),"")</f>
        <v>Maquinaria</v>
      </c>
      <c r="I26" s="115" t="s">
        <v>54</v>
      </c>
      <c r="J26" s="115" t="str">
        <f>+VLOOKUP($I26,Tabla7[#All],2,FALSE)</f>
        <v>PROGRAMADA</v>
      </c>
      <c r="K26" s="114" t="str">
        <f>IF(VLOOKUP(I26,Tabla7[#All],3,FALSE)=0,"",VLOOKUP(I26,Tabla7[#All],3,FALSE))</f>
        <v/>
      </c>
      <c r="L26" s="35" t="s">
        <v>74</v>
      </c>
      <c r="M26" s="35"/>
      <c r="N26" s="35" t="str" cm="1">
        <f t="array" ref="N26">IFERROR(IF(Tabla8[[#This Row],[P/NP]]="NO PROGRAMADA","",_xlfn.TEXTJOIN(", ",TRUE,_xlfn._xlws.FILTER(Tabla4[[#All],[PIEZA]],ISNUMBER(SEARCH(Tabla4[[#All],[PCLAVE]],Tabla8[[#This Row],[DESCRIPCION DE TRABAJO]])),""))),"")</f>
        <v/>
      </c>
      <c r="O26" s="35" t="str" cm="1">
        <f t="array" ref="O26">_xlfn.TEXTJOIN(", ",TRUE,_xlfn._xlws.FILTER(Tabla28[[#All],[PARTE]],ISNUMBER(SEARCH(Tabla28[[#All],[PCLAVE2]],Tabla8[[#This Row],[DESCRIPCION DE TRABAJO]])),""))</f>
        <v/>
      </c>
      <c r="P26" s="303" t="str">
        <f>IFERROR(LEFT(O26, FIND(",", O26)-1), O26)</f>
        <v/>
      </c>
      <c r="Q26" s="303" t="str">
        <f>IFERROR(IF(ISERROR(FIND(",", O26, FIND(",", O26)+1)), RIGHT(O26, LEN(O26)-FIND(",", O26)-1), MID(O26, FIND(",", O26)+2, FIND(",", O26, FIND(",", O26)+1)-FIND(",", O26)-2)), "")</f>
        <v/>
      </c>
      <c r="R26" s="303" t="str">
        <f>IFERROR(RIGHT(O26, LEN(O26)-FIND(",", O26, FIND(",", O26)+1)-1), "")</f>
        <v/>
      </c>
      <c r="S26" s="35" t="str" cm="1">
        <f t="array" ref="S26">_xlfn.TEXTJOIN(", ",TRUE,_xlfn._xlws.FILTER(Tabla29[[#All],[PARTE]],ISNUMBER(SEARCH(Tabla29[[#All],[PCLAVE3]],Tabla8[[#This Row],[DESCRIPCION DE TRABAJO]])),""))</f>
        <v/>
      </c>
      <c r="T26" s="34" t="str">
        <f>IF(AND(Tabla8[[#This Row],[PIEZA]]="",Tabla8[[#This Row],[PARTE]]=""),"VACIO","OK")</f>
        <v>VACIO</v>
      </c>
      <c r="U26" s="303" t="str">
        <f>+CONCATENATE(WEEKNUM(Tabla8[[#This Row],[FECHA]]),"-",YEAR(Tabla8[[#This Row],[FECHA]]))</f>
        <v>1-2025</v>
      </c>
    </row>
    <row r="27" spans="1:21" ht="15" customHeight="1">
      <c r="A27" s="22">
        <v>45659</v>
      </c>
      <c r="B27" s="16" t="s">
        <v>35</v>
      </c>
      <c r="C27" s="10" t="s">
        <v>36</v>
      </c>
      <c r="D27" s="381">
        <v>0.39305555555555555</v>
      </c>
      <c r="E27" s="381">
        <v>0.40555555555555556</v>
      </c>
      <c r="F27" s="380">
        <f>+MOD(Tabla8[[#This Row],[HR. FIN]]-Tabla8[[#This Row],[HR. INICIO]],1)</f>
        <v>1.2500000000000011E-2</v>
      </c>
      <c r="G27" s="16" t="s">
        <v>31</v>
      </c>
      <c r="H27" s="343" t="str">
        <f>IFERROR(VLOOKUP(G27,DATOS!$M$2:$N$219,2,FALSE),"")</f>
        <v>Maquinaria</v>
      </c>
      <c r="I27" s="115" t="s">
        <v>57</v>
      </c>
      <c r="J27" s="115" t="str">
        <f>+VLOOKUP($I27,Tabla7[#All],2,FALSE)</f>
        <v>NO PROGRAMADA</v>
      </c>
      <c r="K27" s="114" t="str">
        <f>IF(VLOOKUP(I27,Tabla7[#All],3,FALSE)=0,"",VLOOKUP(I27,Tabla7[#All],3,FALSE))</f>
        <v>MECÁNICA</v>
      </c>
      <c r="L27" s="35" t="s">
        <v>75</v>
      </c>
      <c r="M27" s="35"/>
      <c r="N27" s="35" t="str" cm="1">
        <f t="array" ref="N27">IFERROR(IF(Tabla8[[#This Row],[P/NP]]="NO PROGRAMADA","",_xlfn.TEXTJOIN(", ",TRUE,_xlfn._xlws.FILTER(Tabla4[[#All],[PIEZA]],ISNUMBER(SEARCH(Tabla4[[#All],[PCLAVE]],Tabla8[[#This Row],[DESCRIPCION DE TRABAJO]])),""))),"")</f>
        <v/>
      </c>
      <c r="O27" s="35" t="str" cm="1">
        <f t="array" ref="O27">_xlfn.TEXTJOIN(", ",TRUE,_xlfn._xlws.FILTER(Tabla28[[#All],[PARTE]],ISNUMBER(SEARCH(Tabla28[[#All],[PCLAVE2]],Tabla8[[#This Row],[DESCRIPCION DE TRABAJO]])),""))</f>
        <v/>
      </c>
      <c r="P27" s="303" t="str">
        <f>IFERROR(LEFT(O27, FIND(",", O27)-1), O27)</f>
        <v/>
      </c>
      <c r="Q27" s="303" t="str">
        <f>IFERROR(IF(ISERROR(FIND(",", O27, FIND(",", O27)+1)), RIGHT(O27, LEN(O27)-FIND(",", O27)-1), MID(O27, FIND(",", O27)+2, FIND(",", O27, FIND(",", O27)+1)-FIND(",", O27)-2)), "")</f>
        <v/>
      </c>
      <c r="R27" s="303" t="str">
        <f>IFERROR(RIGHT(O27, LEN(O27)-FIND(",", O27, FIND(",", O27)+1)-1), "")</f>
        <v/>
      </c>
      <c r="S27" s="35" t="str" cm="1">
        <f t="array" ref="S27">_xlfn.TEXTJOIN(", ",TRUE,_xlfn._xlws.FILTER(Tabla29[[#All],[PARTE]],ISNUMBER(SEARCH(Tabla29[[#All],[PCLAVE3]],Tabla8[[#This Row],[DESCRIPCION DE TRABAJO]])),""))</f>
        <v>Desalineado</v>
      </c>
      <c r="T27" s="34" t="str">
        <f>IF(AND(Tabla8[[#This Row],[PIEZA]]="",Tabla8[[#This Row],[PARTE]]=""),"VACIO","OK")</f>
        <v>VACIO</v>
      </c>
      <c r="U27" s="303" t="str">
        <f>+CONCATENATE(WEEKNUM(Tabla8[[#This Row],[FECHA]]),"-",YEAR(Tabla8[[#This Row],[FECHA]]))</f>
        <v>1-2025</v>
      </c>
    </row>
    <row r="28" spans="1:21" ht="15" customHeight="1">
      <c r="A28" s="22">
        <v>45659</v>
      </c>
      <c r="B28" s="16" t="s">
        <v>22</v>
      </c>
      <c r="C28" s="10" t="s">
        <v>23</v>
      </c>
      <c r="D28" s="381">
        <v>0.54166666666666663</v>
      </c>
      <c r="E28" s="381">
        <v>0.55208333333333337</v>
      </c>
      <c r="F28" s="380">
        <f>+MOD(Tabla8[[#This Row],[HR. FIN]]-Tabla8[[#This Row],[HR. INICIO]],1)</f>
        <v>1.0416666666666741E-2</v>
      </c>
      <c r="G28" s="16" t="s">
        <v>60</v>
      </c>
      <c r="H28" s="343" t="str">
        <f>IFERROR(VLOOKUP(G28,DATOS!$M$2:$N$219,2,FALSE),"")</f>
        <v>Maquinaria</v>
      </c>
      <c r="I28" s="115" t="s">
        <v>32</v>
      </c>
      <c r="J28" s="115" t="str">
        <f>+VLOOKUP($I28,Tabla7[#All],2,FALSE)</f>
        <v>PROGRAMADA</v>
      </c>
      <c r="K28" s="114" t="str">
        <f>IF(VLOOKUP(I28,Tabla7[#All],3,FALSE)=0,"",VLOOKUP(I28,Tabla7[#All],3,FALSE))</f>
        <v/>
      </c>
      <c r="L28" s="35" t="s">
        <v>76</v>
      </c>
      <c r="M28" s="35"/>
      <c r="N28" s="35" t="str" cm="1">
        <f t="array" ref="N28">IFERROR(IF(Tabla8[[#This Row],[P/NP]]="NO PROGRAMADA","",_xlfn.TEXTJOIN(", ",TRUE,_xlfn._xlws.FILTER(Tabla4[[#All],[PIEZA]],ISNUMBER(SEARCH(Tabla4[[#All],[PCLAVE]],Tabla8[[#This Row],[DESCRIPCION DE TRABAJO]])),""))),"")</f>
        <v/>
      </c>
      <c r="O28" s="35" t="str" cm="1">
        <f t="array" ref="O28">_xlfn.TEXTJOIN(", ",TRUE,_xlfn._xlws.FILTER(Tabla28[[#All],[PARTE]],ISNUMBER(SEARCH(Tabla28[[#All],[PCLAVE2]],Tabla8[[#This Row],[DESCRIPCION DE TRABAJO]])),""))</f>
        <v/>
      </c>
      <c r="P28" s="303" t="str">
        <f>IFERROR(LEFT(O28, FIND(",", O28)-1), O28)</f>
        <v/>
      </c>
      <c r="Q28" s="303" t="str">
        <f>IFERROR(IF(ISERROR(FIND(",", O28, FIND(",", O28)+1)), RIGHT(O28, LEN(O28)-FIND(",", O28)-1), MID(O28, FIND(",", O28)+2, FIND(",", O28, FIND(",", O28)+1)-FIND(",", O28)-2)), "")</f>
        <v/>
      </c>
      <c r="R28" s="303" t="str">
        <f>IFERROR(RIGHT(O28, LEN(O28)-FIND(",", O28, FIND(",", O28)+1)-1), "")</f>
        <v/>
      </c>
      <c r="S28" s="35" t="str" cm="1">
        <f t="array" ref="S28">_xlfn.TEXTJOIN(", ",TRUE,_xlfn._xlws.FILTER(Tabla29[[#All],[PARTE]],ISNUMBER(SEARCH(Tabla29[[#All],[PCLAVE3]],Tabla8[[#This Row],[DESCRIPCION DE TRABAJO]])),""))</f>
        <v/>
      </c>
      <c r="T28" s="34" t="str">
        <f>IF(AND(Tabla8[[#This Row],[PIEZA]]="",Tabla8[[#This Row],[PARTE]]=""),"VACIO","OK")</f>
        <v>VACIO</v>
      </c>
      <c r="U28" s="303" t="str">
        <f>+CONCATENATE(WEEKNUM(Tabla8[[#This Row],[FECHA]]),"-",YEAR(Tabla8[[#This Row],[FECHA]]))</f>
        <v>1-2025</v>
      </c>
    </row>
    <row r="29" spans="1:21" ht="15" customHeight="1">
      <c r="A29" s="22">
        <v>45659</v>
      </c>
      <c r="B29" s="16" t="s">
        <v>22</v>
      </c>
      <c r="C29" s="10" t="s">
        <v>23</v>
      </c>
      <c r="D29" s="381">
        <v>0.85416666666666663</v>
      </c>
      <c r="E29" s="381">
        <v>0.86458333333333337</v>
      </c>
      <c r="F29" s="380">
        <f>+MOD(Tabla8[[#This Row],[HR. FIN]]-Tabla8[[#This Row],[HR. INICIO]],1)</f>
        <v>1.0416666666666741E-2</v>
      </c>
      <c r="G29" s="16" t="s">
        <v>77</v>
      </c>
      <c r="H29" s="343" t="str">
        <f>IFERROR(VLOOKUP(G29,DATOS!$M$2:$N$219,2,FALSE),"")</f>
        <v>Maquinaria</v>
      </c>
      <c r="I29" s="115" t="s">
        <v>54</v>
      </c>
      <c r="J29" s="115" t="str">
        <f>+VLOOKUP($I29,Tabla7[#All],2,FALSE)</f>
        <v>PROGRAMADA</v>
      </c>
      <c r="K29" s="114" t="str">
        <f>IF(VLOOKUP(I29,Tabla7[#All],3,FALSE)=0,"",VLOOKUP(I29,Tabla7[#All],3,FALSE))</f>
        <v/>
      </c>
      <c r="L29" s="35" t="s">
        <v>78</v>
      </c>
      <c r="M29" s="35" t="s">
        <v>79</v>
      </c>
      <c r="N29" s="35" t="str" cm="1">
        <f t="array" ref="N29">IFERROR(IF(Tabla8[[#This Row],[P/NP]]="NO PROGRAMADA","",_xlfn.TEXTJOIN(", ",TRUE,_xlfn._xlws.FILTER(Tabla4[[#All],[PIEZA]],ISNUMBER(SEARCH(Tabla4[[#All],[PCLAVE]],Tabla8[[#This Row],[DESCRIPCION DE TRABAJO]])),""))),"")</f>
        <v/>
      </c>
      <c r="O29" s="35" t="str" cm="1">
        <f t="array" ref="O29">_xlfn.TEXTJOIN(", ",TRUE,_xlfn._xlws.FILTER(Tabla28[[#All],[PARTE]],ISNUMBER(SEARCH(Tabla28[[#All],[PCLAVE2]],Tabla8[[#This Row],[DESCRIPCION DE TRABAJO]])),""))</f>
        <v/>
      </c>
      <c r="P29" s="303" t="str">
        <f>IFERROR(LEFT(O29, FIND(",", O29)-1), O29)</f>
        <v/>
      </c>
      <c r="Q29" s="303" t="str">
        <f>IFERROR(IF(ISERROR(FIND(",", O29, FIND(",", O29)+1)), RIGHT(O29, LEN(O29)-FIND(",", O29)-1), MID(O29, FIND(",", O29)+2, FIND(",", O29, FIND(",", O29)+1)-FIND(",", O29)-2)), "")</f>
        <v/>
      </c>
      <c r="R29" s="303" t="str">
        <f>IFERROR(RIGHT(O29, LEN(O29)-FIND(",", O29, FIND(",", O29)+1)-1), "")</f>
        <v/>
      </c>
      <c r="S29" s="35" t="str" cm="1">
        <f t="array" ref="S29">_xlfn.TEXTJOIN(", ",TRUE,_xlfn._xlws.FILTER(Tabla29[[#All],[PARTE]],ISNUMBER(SEARCH(Tabla29[[#All],[PCLAVE3]],Tabla8[[#This Row],[DESCRIPCION DE TRABAJO]])),""))</f>
        <v>Ruido</v>
      </c>
      <c r="T29" s="34" t="str">
        <f>IF(AND(Tabla8[[#This Row],[PIEZA]]="",Tabla8[[#This Row],[PARTE]]=""),"VACIO","OK")</f>
        <v>VACIO</v>
      </c>
      <c r="U29" s="303" t="str">
        <f>+CONCATENATE(WEEKNUM(Tabla8[[#This Row],[FECHA]]),"-",YEAR(Tabla8[[#This Row],[FECHA]]))</f>
        <v>1-2025</v>
      </c>
    </row>
    <row r="30" spans="1:21" ht="15" customHeight="1">
      <c r="A30" s="22">
        <v>45659</v>
      </c>
      <c r="B30" s="16" t="s">
        <v>22</v>
      </c>
      <c r="C30" s="10" t="s">
        <v>23</v>
      </c>
      <c r="D30" s="381">
        <v>0.78125</v>
      </c>
      <c r="E30" s="381">
        <v>0.79166666666666663</v>
      </c>
      <c r="F30" s="380">
        <f>+MOD(Tabla8[[#This Row],[HR. FIN]]-Tabla8[[#This Row],[HR. INICIO]],1)</f>
        <v>1.041666666666663E-2</v>
      </c>
      <c r="G30" s="16" t="s">
        <v>27</v>
      </c>
      <c r="H30" s="343" t="str">
        <f>IFERROR(VLOOKUP(G30,DATOS!$M$2:$N$219,2,FALSE),"")</f>
        <v>Maquinaria</v>
      </c>
      <c r="I30" s="115" t="s">
        <v>54</v>
      </c>
      <c r="J30" s="115" t="str">
        <f>+VLOOKUP($I30,Tabla7[#All],2,FALSE)</f>
        <v>PROGRAMADA</v>
      </c>
      <c r="K30" s="114" t="str">
        <f>IF(VLOOKUP(I30,Tabla7[#All],3,FALSE)=0,"",VLOOKUP(I30,Tabla7[#All],3,FALSE))</f>
        <v/>
      </c>
      <c r="L30" s="35" t="s">
        <v>80</v>
      </c>
      <c r="M30" s="35"/>
      <c r="N30" s="35" t="str" cm="1">
        <f t="array" ref="N30">IFERROR(IF(Tabla8[[#This Row],[P/NP]]="NO PROGRAMADA","",_xlfn.TEXTJOIN(", ",TRUE,_xlfn._xlws.FILTER(Tabla4[[#All],[PIEZA]],ISNUMBER(SEARCH(Tabla4[[#All],[PCLAVE]],Tabla8[[#This Row],[DESCRIPCION DE TRABAJO]])),""))),"")</f>
        <v>Piston(es)</v>
      </c>
      <c r="O30" s="35" t="str" cm="1">
        <f t="array" ref="O30">_xlfn.TEXTJOIN(", ",TRUE,_xlfn._xlws.FILTER(Tabla28[[#All],[PARTE]],ISNUMBER(SEARCH(Tabla28[[#All],[PCLAVE2]],Tabla8[[#This Row],[DESCRIPCION DE TRABAJO]])),""))</f>
        <v/>
      </c>
      <c r="P30" s="303" t="str">
        <f>IFERROR(LEFT(O30, FIND(",", O30)-1), O30)</f>
        <v/>
      </c>
      <c r="Q30" s="303" t="str">
        <f>IFERROR(IF(ISERROR(FIND(",", O30, FIND(",", O30)+1)), RIGHT(O30, LEN(O30)-FIND(",", O30)-1), MID(O30, FIND(",", O30)+2, FIND(",", O30, FIND(",", O30)+1)-FIND(",", O30)-2)), "")</f>
        <v/>
      </c>
      <c r="R30" s="303" t="str">
        <f>IFERROR(RIGHT(O30, LEN(O30)-FIND(",", O30, FIND(",", O30)+1)-1), "")</f>
        <v/>
      </c>
      <c r="S30" s="35" t="str" cm="1">
        <f t="array" ref="S30">_xlfn.TEXTJOIN(", ",TRUE,_xlfn._xlws.FILTER(Tabla29[[#All],[PARTE]],ISNUMBER(SEARCH(Tabla29[[#All],[PCLAVE3]],Tabla8[[#This Row],[DESCRIPCION DE TRABAJO]])),""))</f>
        <v/>
      </c>
      <c r="T30" s="34" t="str">
        <f>IF(AND(Tabla8[[#This Row],[PIEZA]]="",Tabla8[[#This Row],[PARTE]]=""),"VACIO","OK")</f>
        <v>OK</v>
      </c>
      <c r="U30" s="303" t="str">
        <f>+CONCATENATE(WEEKNUM(Tabla8[[#This Row],[FECHA]]),"-",YEAR(Tabla8[[#This Row],[FECHA]]))</f>
        <v>1-2025</v>
      </c>
    </row>
    <row r="31" spans="1:21" ht="15" customHeight="1">
      <c r="A31" s="22">
        <v>45659</v>
      </c>
      <c r="B31" s="16" t="s">
        <v>38</v>
      </c>
      <c r="C31" s="10" t="s">
        <v>39</v>
      </c>
      <c r="D31" s="381">
        <v>1.0138888888888888</v>
      </c>
      <c r="E31" s="381">
        <v>1.023611111111111</v>
      </c>
      <c r="F31" s="380">
        <f>+MOD(Tabla8[[#This Row],[HR. FIN]]-Tabla8[[#This Row],[HR. INICIO]],1)</f>
        <v>9.7222222222221877E-3</v>
      </c>
      <c r="G31" s="16" t="s">
        <v>81</v>
      </c>
      <c r="H31" s="343" t="str">
        <f>IFERROR(VLOOKUP(G31,DATOS!$M$2:$N$219,2,FALSE),"")</f>
        <v>Maquinaria</v>
      </c>
      <c r="I31" s="115" t="s">
        <v>57</v>
      </c>
      <c r="J31" s="115" t="str">
        <f>+VLOOKUP($I31,Tabla7[#All],2,FALSE)</f>
        <v>NO PROGRAMADA</v>
      </c>
      <c r="K31" s="114" t="str">
        <f>IF(VLOOKUP(I31,Tabla7[#All],3,FALSE)=0,"",VLOOKUP(I31,Tabla7[#All],3,FALSE))</f>
        <v>MECÁNICA</v>
      </c>
      <c r="L31" s="35" t="s">
        <v>82</v>
      </c>
      <c r="M31" s="35" t="s">
        <v>83</v>
      </c>
      <c r="N31" s="35" t="str" cm="1">
        <f t="array" ref="N31">IFERROR(IF(Tabla8[[#This Row],[P/NP]]="NO PROGRAMADA","",_xlfn.TEXTJOIN(", ",TRUE,_xlfn._xlws.FILTER(Tabla4[[#All],[PIEZA]],ISNUMBER(SEARCH(Tabla4[[#All],[PCLAVE]],Tabla8[[#This Row],[DESCRIPCION DE TRABAJO]])),""))),"")</f>
        <v/>
      </c>
      <c r="O31" s="35" t="str" cm="1">
        <f t="array" ref="O31">_xlfn.TEXTJOIN(", ",TRUE,_xlfn._xlws.FILTER(Tabla28[[#All],[PARTE]],ISNUMBER(SEARCH(Tabla28[[#All],[PCLAVE2]],Tabla8[[#This Row],[DESCRIPCION DE TRABAJO]])),""))</f>
        <v/>
      </c>
      <c r="P31" s="303" t="str">
        <f>IFERROR(LEFT(O31, FIND(",", O31)-1), O31)</f>
        <v/>
      </c>
      <c r="Q31" s="303" t="str">
        <f>IFERROR(IF(ISERROR(FIND(",", O31, FIND(",", O31)+1)), RIGHT(O31, LEN(O31)-FIND(",", O31)-1), MID(O31, FIND(",", O31)+2, FIND(",", O31, FIND(",", O31)+1)-FIND(",", O31)-2)), "")</f>
        <v/>
      </c>
      <c r="R31" s="303" t="str">
        <f>IFERROR(RIGHT(O31, LEN(O31)-FIND(",", O31, FIND(",", O31)+1)-1), "")</f>
        <v/>
      </c>
      <c r="S31" s="35" t="str" cm="1">
        <f t="array" ref="S31">_xlfn.TEXTJOIN(", ",TRUE,_xlfn._xlws.FILTER(Tabla29[[#All],[PARTE]],ISNUMBER(SEARCH(Tabla29[[#All],[PCLAVE3]],Tabla8[[#This Row],[DESCRIPCION DE TRABAJO]])),""))</f>
        <v>No Corta</v>
      </c>
      <c r="T31" s="34" t="str">
        <f>IF(AND(Tabla8[[#This Row],[PIEZA]]="",Tabla8[[#This Row],[PARTE]]=""),"VACIO","OK")</f>
        <v>VACIO</v>
      </c>
      <c r="U31" s="303" t="str">
        <f>+CONCATENATE(WEEKNUM(Tabla8[[#This Row],[FECHA]]),"-",YEAR(Tabla8[[#This Row],[FECHA]]))</f>
        <v>1-2025</v>
      </c>
    </row>
    <row r="32" spans="1:21" ht="15" customHeight="1">
      <c r="A32" s="22">
        <v>45659</v>
      </c>
      <c r="B32" s="16" t="s">
        <v>35</v>
      </c>
      <c r="C32" s="10" t="s">
        <v>36</v>
      </c>
      <c r="D32" s="381">
        <v>0.36666666666666664</v>
      </c>
      <c r="E32" s="381">
        <v>0.37430555555555556</v>
      </c>
      <c r="F32" s="380">
        <f>+MOD(Tabla8[[#This Row],[HR. FIN]]-Tabla8[[#This Row],[HR. INICIO]],1)</f>
        <v>7.6388888888889173E-3</v>
      </c>
      <c r="G32" s="16" t="s">
        <v>27</v>
      </c>
      <c r="H32" s="343" t="str">
        <f>IFERROR(VLOOKUP(G32,DATOS!$M$2:$N$219,2,FALSE),"")</f>
        <v>Maquinaria</v>
      </c>
      <c r="I32" s="115" t="s">
        <v>54</v>
      </c>
      <c r="J32" s="115" t="str">
        <f>+VLOOKUP($I32,Tabla7[#All],2,FALSE)</f>
        <v>PROGRAMADA</v>
      </c>
      <c r="K32" s="114" t="str">
        <f>IF(VLOOKUP(I32,Tabla7[#All],3,FALSE)=0,"",VLOOKUP(I32,Tabla7[#All],3,FALSE))</f>
        <v/>
      </c>
      <c r="L32" s="35" t="s">
        <v>84</v>
      </c>
      <c r="M32" s="35" t="s">
        <v>85</v>
      </c>
      <c r="N32" s="35" t="str" cm="1">
        <f t="array" ref="N32">IFERROR(IF(Tabla8[[#This Row],[P/NP]]="NO PROGRAMADA","",_xlfn.TEXTJOIN(", ",TRUE,_xlfn._xlws.FILTER(Tabla4[[#All],[PIEZA]],ISNUMBER(SEARCH(Tabla4[[#All],[PCLAVE]],Tabla8[[#This Row],[DESCRIPCION DE TRABAJO]])),""))),"")</f>
        <v/>
      </c>
      <c r="O32" s="35" t="str" cm="1">
        <f t="array" ref="O32">_xlfn.TEXTJOIN(", ",TRUE,_xlfn._xlws.FILTER(Tabla28[[#All],[PARTE]],ISNUMBER(SEARCH(Tabla28[[#All],[PCLAVE2]],Tabla8[[#This Row],[DESCRIPCION DE TRABAJO]])),""))</f>
        <v>Columna</v>
      </c>
      <c r="P32" s="303" t="str">
        <f>IFERROR(LEFT(O32, FIND(",", O32)-1), O32)</f>
        <v>Columna</v>
      </c>
      <c r="Q32" s="303" t="str">
        <f>IFERROR(IF(ISERROR(FIND(",", O32, FIND(",", O32)+1)), RIGHT(O32, LEN(O32)-FIND(",", O32)-1), MID(O32, FIND(",", O32)+2, FIND(",", O32, FIND(",", O32)+1)-FIND(",", O32)-2)), "")</f>
        <v/>
      </c>
      <c r="R32" s="303" t="str">
        <f>IFERROR(RIGHT(O32, LEN(O32)-FIND(",", O32, FIND(",", O32)+1)-1), "")</f>
        <v/>
      </c>
      <c r="S32" s="35" t="str" cm="1">
        <f t="array" ref="S32">_xlfn.TEXTJOIN(", ",TRUE,_xlfn._xlws.FILTER(Tabla29[[#All],[PARTE]],ISNUMBER(SEARCH(Tabla29[[#All],[PCLAVE3]],Tabla8[[#This Row],[DESCRIPCION DE TRABAJO]])),""))</f>
        <v/>
      </c>
      <c r="T32" s="34" t="str">
        <f>IF(AND(Tabla8[[#This Row],[PIEZA]]="",Tabla8[[#This Row],[PARTE]]=""),"VACIO","OK")</f>
        <v>OK</v>
      </c>
      <c r="U32" s="303" t="str">
        <f>+CONCATENATE(WEEKNUM(Tabla8[[#This Row],[FECHA]]),"-",YEAR(Tabla8[[#This Row],[FECHA]]))</f>
        <v>1-2025</v>
      </c>
    </row>
    <row r="33" spans="1:21" ht="15" customHeight="1">
      <c r="A33" s="22">
        <v>45659</v>
      </c>
      <c r="B33" s="16" t="s">
        <v>22</v>
      </c>
      <c r="C33" s="10" t="s">
        <v>23</v>
      </c>
      <c r="D33" s="381">
        <v>0.60069444444444442</v>
      </c>
      <c r="E33" s="381">
        <v>0.60763888888888884</v>
      </c>
      <c r="F33" s="380">
        <f>+MOD(Tabla8[[#This Row],[HR. FIN]]-Tabla8[[#This Row],[HR. INICIO]],1)</f>
        <v>6.9444444444444198E-3</v>
      </c>
      <c r="G33" s="16" t="s">
        <v>86</v>
      </c>
      <c r="H33" s="343" t="str">
        <f>IFERROR(VLOOKUP(G33,DATOS!$M$2:$N$219,2,FALSE),"")</f>
        <v>Maquinaria</v>
      </c>
      <c r="I33" s="115" t="s">
        <v>61</v>
      </c>
      <c r="J33" s="115" t="str">
        <f>+VLOOKUP($I33,Tabla7[#All],2,FALSE)</f>
        <v>PROGRAMADA</v>
      </c>
      <c r="K33" s="114" t="str">
        <f>IF(VLOOKUP(I33,Tabla7[#All],3,FALSE)=0,"",VLOOKUP(I33,Tabla7[#All],3,FALSE))</f>
        <v/>
      </c>
      <c r="L33" s="35" t="s">
        <v>87</v>
      </c>
      <c r="M33" s="35"/>
      <c r="N33" s="35" t="str" cm="1">
        <f t="array" ref="N33">IFERROR(IF(Tabla8[[#This Row],[P/NP]]="NO PROGRAMADA","",_xlfn.TEXTJOIN(", ",TRUE,_xlfn._xlws.FILTER(Tabla4[[#All],[PIEZA]],ISNUMBER(SEARCH(Tabla4[[#All],[PCLAVE]],Tabla8[[#This Row],[DESCRIPCION DE TRABAJO]])),""))),"")</f>
        <v>Filtro</v>
      </c>
      <c r="O33" s="35" t="str" cm="1">
        <f t="array" ref="O33">_xlfn.TEXTJOIN(", ",TRUE,_xlfn._xlws.FILTER(Tabla28[[#All],[PARTE]],ISNUMBER(SEARCH(Tabla28[[#All],[PCLAVE2]],Tabla8[[#This Row],[DESCRIPCION DE TRABAJO]])),""))</f>
        <v/>
      </c>
      <c r="P33" s="303" t="str">
        <f>IFERROR(LEFT(O33, FIND(",", O33)-1), O33)</f>
        <v/>
      </c>
      <c r="Q33" s="303" t="str">
        <f>IFERROR(IF(ISERROR(FIND(",", O33, FIND(",", O33)+1)), RIGHT(O33, LEN(O33)-FIND(",", O33)-1), MID(O33, FIND(",", O33)+2, FIND(",", O33, FIND(",", O33)+1)-FIND(",", O33)-2)), "")</f>
        <v/>
      </c>
      <c r="R33" s="303" t="str">
        <f>IFERROR(RIGHT(O33, LEN(O33)-FIND(",", O33, FIND(",", O33)+1)-1), "")</f>
        <v/>
      </c>
      <c r="S33" s="35" t="str" cm="1">
        <f t="array" ref="S33">_xlfn.TEXTJOIN(", ",TRUE,_xlfn._xlws.FILTER(Tabla29[[#All],[PARTE]],ISNUMBER(SEARCH(Tabla29[[#All],[PCLAVE3]],Tabla8[[#This Row],[DESCRIPCION DE TRABAJO]])),""))</f>
        <v>Filtracion, Sustitucion</v>
      </c>
      <c r="T33" s="34" t="str">
        <f>IF(AND(Tabla8[[#This Row],[PIEZA]]="",Tabla8[[#This Row],[PARTE]]=""),"VACIO","OK")</f>
        <v>OK</v>
      </c>
      <c r="U33" s="303" t="str">
        <f>+CONCATENATE(WEEKNUM(Tabla8[[#This Row],[FECHA]]),"-",YEAR(Tabla8[[#This Row],[FECHA]]))</f>
        <v>1-2025</v>
      </c>
    </row>
    <row r="34" spans="1:21" ht="15" customHeight="1">
      <c r="A34" s="22">
        <v>46027</v>
      </c>
      <c r="B34" s="16" t="s">
        <v>88</v>
      </c>
      <c r="C34" s="10" t="s">
        <v>36</v>
      </c>
      <c r="D34" s="381" t="s">
        <v>89</v>
      </c>
      <c r="E34" s="381" t="s">
        <v>90</v>
      </c>
      <c r="F34" s="380">
        <f>+MOD(Tabla8[[#This Row],[HR. FIN]]-Tabla8[[#This Row],[HR. INICIO]],1)</f>
        <v>5.5555555555555525E-2</v>
      </c>
      <c r="G34" s="16" t="s">
        <v>91</v>
      </c>
      <c r="H34" s="343" t="str">
        <f>IFERROR(VLOOKUP(G34,DATOS!$M$2:$N$219,2,FALSE),"")</f>
        <v>Area</v>
      </c>
      <c r="I34" s="115" t="s">
        <v>32</v>
      </c>
      <c r="J34" s="115" t="s">
        <v>92</v>
      </c>
      <c r="K34" s="114" t="s">
        <v>93</v>
      </c>
      <c r="L34" s="35" t="s">
        <v>94</v>
      </c>
      <c r="M34" s="35" t="s">
        <v>95</v>
      </c>
      <c r="N34" s="35" t="str" cm="1">
        <f t="array" ref="N34">IFERROR(IF(Tabla8[[#This Row],[P/NP]]="NO PROGRAMADA","",_xlfn.TEXTJOIN(", ",TRUE,_xlfn._xlws.FILTER(Tabla4[[#All],[PIEZA]],ISNUMBER(SEARCH(Tabla4[[#All],[PCLAVE]],Tabla8[[#This Row],[DESCRIPCION DE TRABAJO]])),""))),"")</f>
        <v/>
      </c>
      <c r="O34" s="35" t="str" cm="1">
        <f t="array" ref="O34">_xlfn.TEXTJOIN(", ",TRUE,_xlfn._xlws.FILTER(Tabla28[[#All],[PARTE]],ISNUMBER(SEARCH(Tabla28[[#All],[PCLAVE2]],Tabla8[[#This Row],[DESCRIPCION DE TRABAJO]])),""))</f>
        <v>Tanque</v>
      </c>
      <c r="P34" s="303" t="str">
        <f>IFERROR(LEFT(O34, FIND(",", O34)-1), O34)</f>
        <v>Tanque</v>
      </c>
      <c r="Q34" s="303" t="str">
        <f>IFERROR(IF(ISERROR(FIND(",", O34, FIND(",", O34)+1)), RIGHT(O34, LEN(O34)-FIND(",", O34)-1), MID(O34, FIND(",", O34)+2, FIND(",", O34, FIND(",", O34)+1)-FIND(",", O34)-2)), "")</f>
        <v/>
      </c>
      <c r="R34" s="303" t="str">
        <f>IFERROR(RIGHT(O34, LEN(O34)-FIND(",", O34, FIND(",", O34)+1)-1), "")</f>
        <v/>
      </c>
      <c r="S34" s="35" t="str" cm="1">
        <f t="array" ref="S34">_xlfn.TEXTJOIN(", ",TRUE,_xlfn._xlws.FILTER(Tabla29[[#All],[PARTE]],ISNUMBER(SEARCH(Tabla29[[#All],[PCLAVE3]],Tabla8[[#This Row],[DESCRIPCION DE TRABAJO]])),""))</f>
        <v>Obstruido, Ruido</v>
      </c>
      <c r="T34" s="34" t="str">
        <f>IF(AND(Tabla8[[#This Row],[PIEZA]]="",Tabla8[[#This Row],[PARTE]]=""),"VACIO","OK")</f>
        <v>OK</v>
      </c>
      <c r="U34" s="303" t="str">
        <f>+CONCATENATE(WEEKNUM(Tabla8[[#This Row],[FECHA]]),"-",YEAR(Tabla8[[#This Row],[FECHA]]))</f>
        <v>2-2026</v>
      </c>
    </row>
    <row r="35" spans="1:21" ht="15" customHeight="1">
      <c r="A35" s="22">
        <v>46027</v>
      </c>
      <c r="B35" s="16" t="s">
        <v>88</v>
      </c>
      <c r="C35" s="10" t="s">
        <v>36</v>
      </c>
      <c r="D35" s="381" t="s">
        <v>96</v>
      </c>
      <c r="E35" s="381" t="s">
        <v>97</v>
      </c>
      <c r="F35" s="380">
        <f>+MOD(Tabla8[[#This Row],[HR. FIN]]-Tabla8[[#This Row],[HR. INICIO]],1)</f>
        <v>4.166666666666663E-2</v>
      </c>
      <c r="G35" s="16" t="s">
        <v>98</v>
      </c>
      <c r="H35" s="343" t="str">
        <f>IFERROR(VLOOKUP(G35,DATOS!$M$2:$N$219,2,FALSE),"")</f>
        <v>Maquinaria</v>
      </c>
      <c r="I35" s="115" t="s">
        <v>32</v>
      </c>
      <c r="J35" s="115" t="str">
        <f>+VLOOKUP($I35,Tabla7[#All],2,FALSE)</f>
        <v>PROGRAMADA</v>
      </c>
      <c r="K35" s="114" t="str">
        <f>IF(VLOOKUP(I35,Tabla7[#All],3,FALSE)=0,"",VLOOKUP(I35,Tabla7[#All],3,FALSE))</f>
        <v/>
      </c>
      <c r="L35" s="35" t="s">
        <v>99</v>
      </c>
      <c r="M35" s="35" t="s">
        <v>100</v>
      </c>
      <c r="N35" s="35" t="str" cm="1">
        <f t="array" ref="N35">IFERROR(IF(Tabla8[[#This Row],[P/NP]]="NO PROGRAMADA","",_xlfn.TEXTJOIN(", ",TRUE,_xlfn._xlws.FILTER(Tabla4[[#All],[PIEZA]],ISNUMBER(SEARCH(Tabla4[[#All],[PCLAVE]],Tabla8[[#This Row],[DESCRIPCION DE TRABAJO]])),""))),"")</f>
        <v/>
      </c>
      <c r="O35" s="35" t="str" cm="1">
        <f t="array" ref="O35">_xlfn.TEXTJOIN(", ",TRUE,_xlfn._xlws.FILTER(Tabla28[[#All],[PARTE]],ISNUMBER(SEARCH(Tabla28[[#All],[PCLAVE2]],Tabla8[[#This Row],[DESCRIPCION DE TRABAJO]])),""))</f>
        <v/>
      </c>
      <c r="P35" s="303" t="str">
        <f>IFERROR(LEFT(O35, FIND(",", O35)-1), O35)</f>
        <v/>
      </c>
      <c r="Q35" s="303" t="str">
        <f>IFERROR(IF(ISERROR(FIND(",", O35, FIND(",", O35)+1)), RIGHT(O35, LEN(O35)-FIND(",", O35)-1), MID(O35, FIND(",", O35)+2, FIND(",", O35, FIND(",", O35)+1)-FIND(",", O35)-2)), "")</f>
        <v/>
      </c>
      <c r="R35" s="303" t="str">
        <f>IFERROR(RIGHT(O35, LEN(O35)-FIND(",", O35, FIND(",", O35)+1)-1), "")</f>
        <v/>
      </c>
      <c r="S35" s="35" t="str" cm="1">
        <f t="array" ref="S35">_xlfn.TEXTJOIN(", ",TRUE,_xlfn._xlws.FILTER(Tabla29[[#All],[PARTE]],ISNUMBER(SEARCH(Tabla29[[#All],[PCLAVE3]],Tabla8[[#This Row],[DESCRIPCION DE TRABAJO]])),""))</f>
        <v/>
      </c>
      <c r="T35" s="34" t="str">
        <f>IF(AND(Tabla8[[#This Row],[PIEZA]]="",Tabla8[[#This Row],[PARTE]]=""),"VACIO","OK")</f>
        <v>VACIO</v>
      </c>
      <c r="U35" s="303" t="str">
        <f>+CONCATENATE(WEEKNUM(Tabla8[[#This Row],[FECHA]]),"-",YEAR(Tabla8[[#This Row],[FECHA]]))</f>
        <v>2-2026</v>
      </c>
    </row>
    <row r="36" spans="1:21" ht="15" customHeight="1">
      <c r="A36" s="22">
        <v>46027</v>
      </c>
      <c r="B36" s="16" t="s">
        <v>88</v>
      </c>
      <c r="C36" s="10" t="s">
        <v>36</v>
      </c>
      <c r="D36" s="381" t="s">
        <v>101</v>
      </c>
      <c r="E36" s="381" t="s">
        <v>102</v>
      </c>
      <c r="F36" s="380">
        <f>+MOD(Tabla8[[#This Row],[HR. FIN]]-Tabla8[[#This Row],[HR. INICIO]],1)</f>
        <v>3.4722222222222238E-2</v>
      </c>
      <c r="G36" s="16" t="s">
        <v>103</v>
      </c>
      <c r="H36" s="343" t="str">
        <f>IFERROR(VLOOKUP(G36,DATOS!$M$2:$N$219,2,FALSE),"")</f>
        <v>Area</v>
      </c>
      <c r="I36" s="115" t="s">
        <v>43</v>
      </c>
      <c r="J36" s="115" t="str">
        <f>+VLOOKUP($I36,Tabla7[#All],2,FALSE)</f>
        <v>PROGRAMADA</v>
      </c>
      <c r="K36" s="114" t="str">
        <f>IF(VLOOKUP(I36,Tabla7[#All],3,FALSE)=0,"",VLOOKUP(I36,Tabla7[#All],3,FALSE))</f>
        <v/>
      </c>
      <c r="L36" s="35" t="s">
        <v>104</v>
      </c>
      <c r="M36" s="35" t="s">
        <v>105</v>
      </c>
      <c r="N36" s="35" t="str" cm="1">
        <f t="array" ref="N36">IFERROR(IF(Tabla8[[#This Row],[P/NP]]="NO PROGRAMADA","",_xlfn.TEXTJOIN(", ",TRUE,_xlfn._xlws.FILTER(Tabla4[[#All],[PIEZA]],ISNUMBER(SEARCH(Tabla4[[#All],[PCLAVE]],Tabla8[[#This Row],[DESCRIPCION DE TRABAJO]])),""))),"")</f>
        <v/>
      </c>
      <c r="O36" s="35" t="str" cm="1">
        <f t="array" ref="O36">_xlfn.TEXTJOIN(", ",TRUE,_xlfn._xlws.FILTER(Tabla28[[#All],[PARTE]],ISNUMBER(SEARCH(Tabla28[[#All],[PCLAVE2]],Tabla8[[#This Row],[DESCRIPCION DE TRABAJO]])),""))</f>
        <v/>
      </c>
      <c r="P36" s="303" t="str">
        <f>IFERROR(LEFT(O36, FIND(",", O36)-1), O36)</f>
        <v/>
      </c>
      <c r="Q36" s="303" t="str">
        <f>IFERROR(IF(ISERROR(FIND(",", O36, FIND(",", O36)+1)), RIGHT(O36, LEN(O36)-FIND(",", O36)-1), MID(O36, FIND(",", O36)+2, FIND(",", O36, FIND(",", O36)+1)-FIND(",", O36)-2)), "")</f>
        <v/>
      </c>
      <c r="R36" s="303" t="str">
        <f>IFERROR(RIGHT(O36, LEN(O36)-FIND(",", O36, FIND(",", O36)+1)-1), "")</f>
        <v/>
      </c>
      <c r="S36" s="35" t="str" cm="1">
        <f t="array" ref="S36">_xlfn.TEXTJOIN(", ",TRUE,_xlfn._xlws.FILTER(Tabla29[[#All],[PARTE]],ISNUMBER(SEARCH(Tabla29[[#All],[PCLAVE3]],Tabla8[[#This Row],[DESCRIPCION DE TRABAJO]])),""))</f>
        <v/>
      </c>
      <c r="T36" s="34" t="str">
        <f>IF(AND(Tabla8[[#This Row],[PIEZA]]="",Tabla8[[#This Row],[PARTE]]=""),"VACIO","OK")</f>
        <v>VACIO</v>
      </c>
      <c r="U36" s="303" t="str">
        <f>+CONCATENATE(WEEKNUM(Tabla8[[#This Row],[FECHA]]),"-",YEAR(Tabla8[[#This Row],[FECHA]]))</f>
        <v>2-2026</v>
      </c>
    </row>
    <row r="37" spans="1:21" ht="15" customHeight="1">
      <c r="A37" s="22">
        <v>46027</v>
      </c>
      <c r="B37" s="16" t="s">
        <v>88</v>
      </c>
      <c r="C37" s="10" t="s">
        <v>36</v>
      </c>
      <c r="D37" s="381" t="s">
        <v>106</v>
      </c>
      <c r="E37" s="381" t="s">
        <v>107</v>
      </c>
      <c r="F37" s="380">
        <f>+MOD(Tabla8[[#This Row],[HR. FIN]]-Tabla8[[#This Row],[HR. INICIO]],1)</f>
        <v>3.472222222222221E-2</v>
      </c>
      <c r="G37" s="16" t="s">
        <v>108</v>
      </c>
      <c r="H37" s="343" t="str">
        <f>IFERROR(VLOOKUP(G37,DATOS!$M$2:$N$219,2,FALSE),"")</f>
        <v>Maquinaria</v>
      </c>
      <c r="I37" s="115" t="s">
        <v>28</v>
      </c>
      <c r="J37" s="115" t="str">
        <f>+VLOOKUP($I37,Tabla7[#All],2,FALSE)</f>
        <v>NO PROGRAMADA</v>
      </c>
      <c r="K37" s="114" t="s">
        <v>93</v>
      </c>
      <c r="L37" s="35" t="s">
        <v>109</v>
      </c>
      <c r="M37" s="35" t="s">
        <v>110</v>
      </c>
      <c r="N37" s="35" t="str" cm="1">
        <f t="array" ref="N37">IFERROR(IF(Tabla8[[#This Row],[P/NP]]="NO PROGRAMADA","",_xlfn.TEXTJOIN(", ",TRUE,_xlfn._xlws.FILTER(Tabla4[[#All],[PIEZA]],ISNUMBER(SEARCH(Tabla4[[#All],[PCLAVE]],Tabla8[[#This Row],[DESCRIPCION DE TRABAJO]])),""))),"")</f>
        <v/>
      </c>
      <c r="O37" s="35" t="str" cm="1">
        <f t="array" ref="O37">_xlfn.TEXTJOIN(", ",TRUE,_xlfn._xlws.FILTER(Tabla28[[#All],[PARTE]],ISNUMBER(SEARCH(Tabla28[[#All],[PCLAVE2]],Tabla8[[#This Row],[DESCRIPCION DE TRABAJO]])),""))</f>
        <v/>
      </c>
      <c r="P37" s="303" t="str">
        <f>IFERROR(LEFT(O37, FIND(",", O37)-1), O37)</f>
        <v/>
      </c>
      <c r="Q37" s="303" t="str">
        <f>IFERROR(IF(ISERROR(FIND(",", O37, FIND(",", O37)+1)), RIGHT(O37, LEN(O37)-FIND(",", O37)-1), MID(O37, FIND(",", O37)+2, FIND(",", O37, FIND(",", O37)+1)-FIND(",", O37)-2)), "")</f>
        <v/>
      </c>
      <c r="R37" s="303" t="str">
        <f>IFERROR(RIGHT(O37, LEN(O37)-FIND(",", O37, FIND(",", O37)+1)-1), "")</f>
        <v/>
      </c>
      <c r="S37" s="35" t="str" cm="1">
        <f t="array" ref="S37">_xlfn.TEXTJOIN(", ",TRUE,_xlfn._xlws.FILTER(Tabla29[[#All],[PARTE]],ISNUMBER(SEARCH(Tabla29[[#All],[PCLAVE3]],Tabla8[[#This Row],[DESCRIPCION DE TRABAJO]])),""))</f>
        <v>Fuga</v>
      </c>
      <c r="T37" s="34" t="str">
        <f>IF(AND(Tabla8[[#This Row],[PIEZA]]="",Tabla8[[#This Row],[PARTE]]=""),"VACIO","OK")</f>
        <v>VACIO</v>
      </c>
      <c r="U37" s="303" t="str">
        <f>+CONCATENATE(WEEKNUM(Tabla8[[#This Row],[FECHA]]),"-",YEAR(Tabla8[[#This Row],[FECHA]]))</f>
        <v>2-2026</v>
      </c>
    </row>
    <row r="38" spans="1:21" ht="15" customHeight="1">
      <c r="A38" s="22">
        <v>46027</v>
      </c>
      <c r="B38" s="16" t="s">
        <v>111</v>
      </c>
      <c r="C38" s="10" t="s">
        <v>39</v>
      </c>
      <c r="D38" s="381" t="s">
        <v>112</v>
      </c>
      <c r="E38" s="381" t="s">
        <v>113</v>
      </c>
      <c r="F38" s="380">
        <f>+MOD(Tabla8[[#This Row],[HR. FIN]]-Tabla8[[#This Row],[HR. INICIO]],1)</f>
        <v>3.1250000000000007E-2</v>
      </c>
      <c r="G38" s="16" t="s">
        <v>114</v>
      </c>
      <c r="H38" s="343" t="str">
        <f>IFERROR(VLOOKUP(G38,DATOS!$M$2:$N$219,2,FALSE),"")</f>
        <v>Maquinaria</v>
      </c>
      <c r="I38" s="115" t="s">
        <v>57</v>
      </c>
      <c r="J38" s="115" t="str">
        <f>+VLOOKUP($I38,Tabla7[#All],2,FALSE)</f>
        <v>NO PROGRAMADA</v>
      </c>
      <c r="K38" s="114" t="str">
        <f>IF(VLOOKUP(I38,Tabla7[#All],3,FALSE)=0,"",VLOOKUP(I38,Tabla7[#All],3,FALSE))</f>
        <v>MECÁNICA</v>
      </c>
      <c r="L38" s="35" t="s">
        <v>115</v>
      </c>
      <c r="M38" s="35" t="s">
        <v>116</v>
      </c>
      <c r="N38" s="35" t="str" cm="1">
        <f t="array" ref="N38">IFERROR(IF(Tabla8[[#This Row],[P/NP]]="NO PROGRAMADA","",_xlfn.TEXTJOIN(", ",TRUE,_xlfn._xlws.FILTER(Tabla4[[#All],[PIEZA]],ISNUMBER(SEARCH(Tabla4[[#All],[PCLAVE]],Tabla8[[#This Row],[DESCRIPCION DE TRABAJO]])),""))),"")</f>
        <v/>
      </c>
      <c r="O38" s="35" t="str" cm="1">
        <f t="array" ref="O38">_xlfn.TEXTJOIN(", ",TRUE,_xlfn._xlws.FILTER(Tabla28[[#All],[PARTE]],ISNUMBER(SEARCH(Tabla28[[#All],[PCLAVE2]],Tabla8[[#This Row],[DESCRIPCION DE TRABAJO]])),""))</f>
        <v/>
      </c>
      <c r="P38" s="303" t="str">
        <f>IFERROR(LEFT(O38, FIND(",", O38)-1), O38)</f>
        <v/>
      </c>
      <c r="Q38" s="303" t="str">
        <f>IFERROR(IF(ISERROR(FIND(",", O38, FIND(",", O38)+1)), RIGHT(O38, LEN(O38)-FIND(",", O38)-1), MID(O38, FIND(",", O38)+2, FIND(",", O38, FIND(",", O38)+1)-FIND(",", O38)-2)), "")</f>
        <v/>
      </c>
      <c r="R38" s="303" t="str">
        <f>IFERROR(RIGHT(O38, LEN(O38)-FIND(",", O38, FIND(",", O38)+1)-1), "")</f>
        <v/>
      </c>
      <c r="S38" s="35" t="str" cm="1">
        <f t="array" ref="S38">_xlfn.TEXTJOIN(", ",TRUE,_xlfn._xlws.FILTER(Tabla29[[#All],[PARTE]],ISNUMBER(SEARCH(Tabla29[[#All],[PCLAVE3]],Tabla8[[#This Row],[DESCRIPCION DE TRABAJO]])),""))</f>
        <v/>
      </c>
      <c r="T38" s="34" t="str">
        <f>IF(AND(Tabla8[[#This Row],[PIEZA]]="",Tabla8[[#This Row],[PARTE]]=""),"VACIO","OK")</f>
        <v>VACIO</v>
      </c>
      <c r="U38" s="303" t="str">
        <f>+CONCATENATE(WEEKNUM(Tabla8[[#This Row],[FECHA]]),"-",YEAR(Tabla8[[#This Row],[FECHA]]))</f>
        <v>2-2026</v>
      </c>
    </row>
    <row r="39" spans="1:21" ht="15" customHeight="1">
      <c r="A39" s="22">
        <v>46027</v>
      </c>
      <c r="B39" s="16" t="s">
        <v>111</v>
      </c>
      <c r="C39" s="10" t="s">
        <v>39</v>
      </c>
      <c r="D39" s="381" t="s">
        <v>117</v>
      </c>
      <c r="E39" s="381" t="s">
        <v>118</v>
      </c>
      <c r="F39" s="380">
        <f>+MOD(Tabla8[[#This Row],[HR. FIN]]-Tabla8[[#This Row],[HR. INICIO]],1)</f>
        <v>2.083333333333337E-2</v>
      </c>
      <c r="G39" s="16" t="s">
        <v>119</v>
      </c>
      <c r="H39" s="343" t="str">
        <f>IFERROR(VLOOKUP(G39,DATOS!$M$2:$N$219,2,FALSE),"")</f>
        <v>Maquinaria</v>
      </c>
      <c r="I39" s="115" t="s">
        <v>32</v>
      </c>
      <c r="J39" s="115" t="str">
        <f>+VLOOKUP($I39,Tabla7[#All],2,FALSE)</f>
        <v>PROGRAMADA</v>
      </c>
      <c r="K39" s="114" t="str">
        <f>IF(VLOOKUP(I39,Tabla7[#All],3,FALSE)=0,"",VLOOKUP(I39,Tabla7[#All],3,FALSE))</f>
        <v/>
      </c>
      <c r="L39" s="35" t="s">
        <v>120</v>
      </c>
      <c r="M39" s="35" t="s">
        <v>121</v>
      </c>
      <c r="N39" s="35" t="str" cm="1">
        <f t="array" ref="N39">IFERROR(IF(Tabla8[[#This Row],[P/NP]]="NO PROGRAMADA","",_xlfn.TEXTJOIN(", ",TRUE,_xlfn._xlws.FILTER(Tabla4[[#All],[PIEZA]],ISNUMBER(SEARCH(Tabla4[[#All],[PCLAVE]],Tabla8[[#This Row],[DESCRIPCION DE TRABAJO]])),""))),"")</f>
        <v/>
      </c>
      <c r="O39" s="35" t="str" cm="1">
        <f t="array" ref="O39">_xlfn.TEXTJOIN(", ",TRUE,_xlfn._xlws.FILTER(Tabla28[[#All],[PARTE]],ISNUMBER(SEARCH(Tabla28[[#All],[PCLAVE2]],Tabla8[[#This Row],[DESCRIPCION DE TRABAJO]])),""))</f>
        <v>Mds</v>
      </c>
      <c r="P39" s="303" t="str">
        <f>IFERROR(LEFT(O39, FIND(",", O39)-1), O39)</f>
        <v>Mds</v>
      </c>
      <c r="Q39" s="303" t="str">
        <f>IFERROR(IF(ISERROR(FIND(",", O39, FIND(",", O39)+1)), RIGHT(O39, LEN(O39)-FIND(",", O39)-1), MID(O39, FIND(",", O39)+2, FIND(",", O39, FIND(",", O39)+1)-FIND(",", O39)-2)), "")</f>
        <v/>
      </c>
      <c r="R39" s="303" t="str">
        <f>IFERROR(RIGHT(O39, LEN(O39)-FIND(",", O39, FIND(",", O39)+1)-1), "")</f>
        <v/>
      </c>
      <c r="S39" s="35" t="str" cm="1">
        <f t="array" ref="S39">_xlfn.TEXTJOIN(", ",TRUE,_xlfn._xlws.FILTER(Tabla29[[#All],[PARTE]],ISNUMBER(SEARCH(Tabla29[[#All],[PCLAVE3]],Tabla8[[#This Row],[DESCRIPCION DE TRABAJO]])),""))</f>
        <v>Cambio De Formato</v>
      </c>
      <c r="T39" s="34" t="str">
        <f>IF(AND(Tabla8[[#This Row],[PIEZA]]="",Tabla8[[#This Row],[PARTE]]=""),"VACIO","OK")</f>
        <v>OK</v>
      </c>
      <c r="U39" s="303" t="str">
        <f>+CONCATENATE(WEEKNUM(Tabla8[[#This Row],[FECHA]]),"-",YEAR(Tabla8[[#This Row],[FECHA]]))</f>
        <v>2-2026</v>
      </c>
    </row>
    <row r="40" spans="1:21" ht="15" customHeight="1">
      <c r="A40" s="22">
        <v>46027</v>
      </c>
      <c r="B40" s="16" t="s">
        <v>88</v>
      </c>
      <c r="C40" s="10" t="s">
        <v>36</v>
      </c>
      <c r="D40" s="381" t="s">
        <v>122</v>
      </c>
      <c r="E40" s="381" t="s">
        <v>123</v>
      </c>
      <c r="F40" s="380">
        <f>+MOD(Tabla8[[#This Row],[HR. FIN]]-Tabla8[[#This Row],[HR. INICIO]],1)</f>
        <v>2.083333333333337E-2</v>
      </c>
      <c r="G40" s="16" t="s">
        <v>119</v>
      </c>
      <c r="H40" s="343" t="str">
        <f>IFERROR(VLOOKUP(G40,DATOS!$M$2:$N$219,2,FALSE),"")</f>
        <v>Maquinaria</v>
      </c>
      <c r="I40" s="115" t="s">
        <v>32</v>
      </c>
      <c r="J40" s="115" t="str">
        <f>+VLOOKUP($I40,Tabla7[#All],2,FALSE)</f>
        <v>PROGRAMADA</v>
      </c>
      <c r="K40" s="114" t="str">
        <f>IF(VLOOKUP(I40,Tabla7[#All],3,FALSE)=0,"",VLOOKUP(I40,Tabla7[#All],3,FALSE))</f>
        <v/>
      </c>
      <c r="L40" s="35" t="s">
        <v>124</v>
      </c>
      <c r="M40" s="35" t="s">
        <v>125</v>
      </c>
      <c r="N40" s="35" t="str" cm="1">
        <f t="array" ref="N40">IFERROR(IF(Tabla8[[#This Row],[P/NP]]="NO PROGRAMADA","",_xlfn.TEXTJOIN(", ",TRUE,_xlfn._xlws.FILTER(Tabla4[[#All],[PIEZA]],ISNUMBER(SEARCH(Tabla4[[#All],[PCLAVE]],Tabla8[[#This Row],[DESCRIPCION DE TRABAJO]])),""))),"")</f>
        <v/>
      </c>
      <c r="O40" s="35" t="str" cm="1">
        <f t="array" ref="O40">_xlfn.TEXTJOIN(", ",TRUE,_xlfn._xlws.FILTER(Tabla28[[#All],[PARTE]],ISNUMBER(SEARCH(Tabla28[[#All],[PCLAVE2]],Tabla8[[#This Row],[DESCRIPCION DE TRABAJO]])),""))</f>
        <v>Mds</v>
      </c>
      <c r="P40" s="303" t="str">
        <f>IFERROR(LEFT(O40, FIND(",", O40)-1), O40)</f>
        <v>Mds</v>
      </c>
      <c r="Q40" s="303" t="str">
        <f>IFERROR(IF(ISERROR(FIND(",", O40, FIND(",", O40)+1)), RIGHT(O40, LEN(O40)-FIND(",", O40)-1), MID(O40, FIND(",", O40)+2, FIND(",", O40, FIND(",", O40)+1)-FIND(",", O40)-2)), "")</f>
        <v/>
      </c>
      <c r="R40" s="303" t="str">
        <f>IFERROR(RIGHT(O40, LEN(O40)-FIND(",", O40, FIND(",", O40)+1)-1), "")</f>
        <v/>
      </c>
      <c r="S40" s="35" t="str" cm="1">
        <f t="array" ref="S40">_xlfn.TEXTJOIN(", ",TRUE,_xlfn._xlws.FILTER(Tabla29[[#All],[PARTE]],ISNUMBER(SEARCH(Tabla29[[#All],[PCLAVE3]],Tabla8[[#This Row],[DESCRIPCION DE TRABAJO]])),""))</f>
        <v/>
      </c>
      <c r="T40" s="34" t="str">
        <f>IF(AND(Tabla8[[#This Row],[PIEZA]]="",Tabla8[[#This Row],[PARTE]]=""),"VACIO","OK")</f>
        <v>OK</v>
      </c>
      <c r="U40" s="303" t="str">
        <f>+CONCATENATE(WEEKNUM(Tabla8[[#This Row],[FECHA]]),"-",YEAR(Tabla8[[#This Row],[FECHA]]))</f>
        <v>2-2026</v>
      </c>
    </row>
    <row r="41" spans="1:21" ht="15" customHeight="1">
      <c r="A41" s="22">
        <v>46027</v>
      </c>
      <c r="B41" s="16" t="s">
        <v>88</v>
      </c>
      <c r="C41" s="10" t="s">
        <v>36</v>
      </c>
      <c r="D41" s="381" t="s">
        <v>126</v>
      </c>
      <c r="E41" s="381" t="s">
        <v>127</v>
      </c>
      <c r="F41" s="380">
        <f>+MOD(Tabla8[[#This Row],[HR. FIN]]-Tabla8[[#This Row],[HR. INICIO]],1)</f>
        <v>2.0833333333333315E-2</v>
      </c>
      <c r="G41" s="16" t="s">
        <v>128</v>
      </c>
      <c r="H41" s="343" t="str">
        <f>IFERROR(VLOOKUP(G41,DATOS!$M$2:$N$219,2,FALSE),"")</f>
        <v>Maquinaria</v>
      </c>
      <c r="I41" s="115" t="s">
        <v>54</v>
      </c>
      <c r="J41" s="115" t="str">
        <f>+VLOOKUP($I41,Tabla7[#All],2,FALSE)</f>
        <v>PROGRAMADA</v>
      </c>
      <c r="K41" s="114" t="str">
        <f>IF(VLOOKUP(I41,Tabla7[#All],3,FALSE)=0,"",VLOOKUP(I41,Tabla7[#All],3,FALSE))</f>
        <v/>
      </c>
      <c r="L41" s="35" t="s">
        <v>129</v>
      </c>
      <c r="M41" s="35" t="s">
        <v>130</v>
      </c>
      <c r="N41" s="35" t="str" cm="1">
        <f t="array" ref="N41">IFERROR(IF(Tabla8[[#This Row],[P/NP]]="NO PROGRAMADA","",_xlfn.TEXTJOIN(", ",TRUE,_xlfn._xlws.FILTER(Tabla4[[#All],[PIEZA]],ISNUMBER(SEARCH(Tabla4[[#All],[PCLAVE]],Tabla8[[#This Row],[DESCRIPCION DE TRABAJO]])),""))),"")</f>
        <v/>
      </c>
      <c r="O41" s="35" t="str" cm="1">
        <f t="array" ref="O41">_xlfn.TEXTJOIN(", ",TRUE,_xlfn._xlws.FILTER(Tabla28[[#All],[PARTE]],ISNUMBER(SEARCH(Tabla28[[#All],[PCLAVE2]],Tabla8[[#This Row],[DESCRIPCION DE TRABAJO]])),""))</f>
        <v/>
      </c>
      <c r="P41" s="303" t="str">
        <f>IFERROR(LEFT(O41, FIND(",", O41)-1), O41)</f>
        <v/>
      </c>
      <c r="Q41" s="303" t="str">
        <f>IFERROR(IF(ISERROR(FIND(",", O41, FIND(",", O41)+1)), RIGHT(O41, LEN(O41)-FIND(",", O41)-1), MID(O41, FIND(",", O41)+2, FIND(",", O41, FIND(",", O41)+1)-FIND(",", O41)-2)), "")</f>
        <v/>
      </c>
      <c r="R41" s="303" t="str">
        <f>IFERROR(RIGHT(O41, LEN(O41)-FIND(",", O41, FIND(",", O41)+1)-1), "")</f>
        <v/>
      </c>
      <c r="S41" s="35" t="str" cm="1">
        <f t="array" ref="S41">_xlfn.TEXTJOIN(", ",TRUE,_xlfn._xlws.FILTER(Tabla29[[#All],[PARTE]],ISNUMBER(SEARCH(Tabla29[[#All],[PCLAVE3]],Tabla8[[#This Row],[DESCRIPCION DE TRABAJO]])),""))</f>
        <v/>
      </c>
      <c r="T41" s="34" t="str">
        <f>IF(AND(Tabla8[[#This Row],[PIEZA]]="",Tabla8[[#This Row],[PARTE]]=""),"VACIO","OK")</f>
        <v>VACIO</v>
      </c>
      <c r="U41" s="303" t="str">
        <f>+CONCATENATE(WEEKNUM(Tabla8[[#This Row],[FECHA]]),"-",YEAR(Tabla8[[#This Row],[FECHA]]))</f>
        <v>2-2026</v>
      </c>
    </row>
    <row r="42" spans="1:21" ht="15" customHeight="1">
      <c r="A42" s="22">
        <v>46027</v>
      </c>
      <c r="B42" s="16" t="s">
        <v>131</v>
      </c>
      <c r="C42" s="10" t="s">
        <v>36</v>
      </c>
      <c r="D42" s="381" t="s">
        <v>132</v>
      </c>
      <c r="E42" s="381" t="s">
        <v>89</v>
      </c>
      <c r="F42" s="380">
        <f>+MOD(Tabla8[[#This Row],[HR. FIN]]-Tabla8[[#This Row],[HR. INICIO]],1)</f>
        <v>1.8750000000000044E-2</v>
      </c>
      <c r="G42" s="16" t="s">
        <v>119</v>
      </c>
      <c r="H42" s="343" t="str">
        <f>IFERROR(VLOOKUP(G42,DATOS!$M$2:$N$219,2,FALSE),"")</f>
        <v>Maquinaria</v>
      </c>
      <c r="I42" s="115" t="s">
        <v>32</v>
      </c>
      <c r="J42" s="115" t="str">
        <f>+VLOOKUP($I42,Tabla7[#All],2,FALSE)</f>
        <v>PROGRAMADA</v>
      </c>
      <c r="K42" s="114" t="str">
        <f>IF(VLOOKUP(I42,Tabla7[#All],3,FALSE)=0,"",VLOOKUP(I42,Tabla7[#All],3,FALSE))</f>
        <v/>
      </c>
      <c r="L42" s="35" t="s">
        <v>133</v>
      </c>
      <c r="M42" s="35" t="s">
        <v>121</v>
      </c>
      <c r="N42" s="35" t="str" cm="1">
        <f t="array" ref="N42">IFERROR(IF(Tabla8[[#This Row],[P/NP]]="NO PROGRAMADA","",_xlfn.TEXTJOIN(", ",TRUE,_xlfn._xlws.FILTER(Tabla4[[#All],[PIEZA]],ISNUMBER(SEARCH(Tabla4[[#All],[PCLAVE]],Tabla8[[#This Row],[DESCRIPCION DE TRABAJO]])),""))),"")</f>
        <v/>
      </c>
      <c r="O42" s="35" t="str" cm="1">
        <f t="array" ref="O42">_xlfn.TEXTJOIN(", ",TRUE,_xlfn._xlws.FILTER(Tabla28[[#All],[PARTE]],ISNUMBER(SEARCH(Tabla28[[#All],[PCLAVE2]],Tabla8[[#This Row],[DESCRIPCION DE TRABAJO]])),""))</f>
        <v>Mds</v>
      </c>
      <c r="P42" s="303" t="str">
        <f>IFERROR(LEFT(O42, FIND(",", O42)-1), O42)</f>
        <v>Mds</v>
      </c>
      <c r="Q42" s="303" t="str">
        <f>IFERROR(IF(ISERROR(FIND(",", O42, FIND(",", O42)+1)), RIGHT(O42, LEN(O42)-FIND(",", O42)-1), MID(O42, FIND(",", O42)+2, FIND(",", O42, FIND(",", O42)+1)-FIND(",", O42)-2)), "")</f>
        <v/>
      </c>
      <c r="R42" s="303" t="str">
        <f>IFERROR(RIGHT(O42, LEN(O42)-FIND(",", O42, FIND(",", O42)+1)-1), "")</f>
        <v/>
      </c>
      <c r="S42" s="35" t="str" cm="1">
        <f t="array" ref="S42">_xlfn.TEXTJOIN(", ",TRUE,_xlfn._xlws.FILTER(Tabla29[[#All],[PARTE]],ISNUMBER(SEARCH(Tabla29[[#All],[PCLAVE3]],Tabla8[[#This Row],[DESCRIPCION DE TRABAJO]])),""))</f>
        <v>Cambio De Formato</v>
      </c>
      <c r="T42" s="34" t="str">
        <f>IF(AND(Tabla8[[#This Row],[PIEZA]]="",Tabla8[[#This Row],[PARTE]]=""),"VACIO","OK")</f>
        <v>OK</v>
      </c>
      <c r="U42" s="303" t="str">
        <f>+CONCATENATE(WEEKNUM(Tabla8[[#This Row],[FECHA]]),"-",YEAR(Tabla8[[#This Row],[FECHA]]))</f>
        <v>2-2026</v>
      </c>
    </row>
    <row r="43" spans="1:21" ht="15" customHeight="1">
      <c r="A43" s="22">
        <v>46027</v>
      </c>
      <c r="B43" s="16" t="s">
        <v>111</v>
      </c>
      <c r="C43" s="10" t="s">
        <v>39</v>
      </c>
      <c r="D43" s="381" t="s">
        <v>134</v>
      </c>
      <c r="E43" s="381" t="s">
        <v>135</v>
      </c>
      <c r="F43" s="380">
        <f>+MOD(Tabla8[[#This Row],[HR. FIN]]-Tabla8[[#This Row],[HR. INICIO]],1)</f>
        <v>1.6666666666666718E-2</v>
      </c>
      <c r="G43" s="16" t="s">
        <v>136</v>
      </c>
      <c r="H43" s="343" t="str">
        <f>IFERROR(VLOOKUP(G43,DATOS!$M$2:$N$219,2,FALSE),"")</f>
        <v>Maquinaria</v>
      </c>
      <c r="I43" s="115" t="s">
        <v>32</v>
      </c>
      <c r="J43" s="115" t="str">
        <f>+VLOOKUP($I43,Tabla7[#All],2,FALSE)</f>
        <v>PROGRAMADA</v>
      </c>
      <c r="K43" s="114" t="str">
        <f>IF(VLOOKUP(I43,Tabla7[#All],3,FALSE)=0,"",VLOOKUP(I43,Tabla7[#All],3,FALSE))</f>
        <v/>
      </c>
      <c r="L43" s="35" t="s">
        <v>137</v>
      </c>
      <c r="M43" s="35" t="s">
        <v>121</v>
      </c>
      <c r="N43" s="35" t="str" cm="1">
        <f t="array" ref="N43">IFERROR(IF(Tabla8[[#This Row],[P/NP]]="NO PROGRAMADA","",_xlfn.TEXTJOIN(", ",TRUE,_xlfn._xlws.FILTER(Tabla4[[#All],[PIEZA]],ISNUMBER(SEARCH(Tabla4[[#All],[PCLAVE]],Tabla8[[#This Row],[DESCRIPCION DE TRABAJO]])),""))),"")</f>
        <v>Rejilla, Tapa</v>
      </c>
      <c r="O43" s="35" t="str" cm="1">
        <f t="array" ref="O43">_xlfn.TEXTJOIN(", ",TRUE,_xlfn._xlws.FILTER(Tabla28[[#All],[PARTE]],ISNUMBER(SEARCH(Tabla28[[#All],[PCLAVE2]],Tabla8[[#This Row],[DESCRIPCION DE TRABAJO]])),""))</f>
        <v/>
      </c>
      <c r="P43" s="303" t="str">
        <f>IFERROR(LEFT(O43, FIND(",", O43)-1), O43)</f>
        <v/>
      </c>
      <c r="Q43" s="303" t="str">
        <f>IFERROR(IF(ISERROR(FIND(",", O43, FIND(",", O43)+1)), RIGHT(O43, LEN(O43)-FIND(",", O43)-1), MID(O43, FIND(",", O43)+2, FIND(",", O43, FIND(",", O43)+1)-FIND(",", O43)-2)), "")</f>
        <v/>
      </c>
      <c r="R43" s="303" t="str">
        <f>IFERROR(RIGHT(O43, LEN(O43)-FIND(",", O43, FIND(",", O43)+1)-1), "")</f>
        <v/>
      </c>
      <c r="S43" s="35" t="str" cm="1">
        <f t="array" ref="S43">_xlfn.TEXTJOIN(", ",TRUE,_xlfn._xlws.FILTER(Tabla29[[#All],[PARTE]],ISNUMBER(SEARCH(Tabla29[[#All],[PCLAVE3]],Tabla8[[#This Row],[DESCRIPCION DE TRABAJO]])),""))</f>
        <v>Sustitucion</v>
      </c>
      <c r="T43" s="34" t="str">
        <f>IF(AND(Tabla8[[#This Row],[PIEZA]]="",Tabla8[[#This Row],[PARTE]]=""),"VACIO","OK")</f>
        <v>OK</v>
      </c>
      <c r="U43" s="303" t="str">
        <f>+CONCATENATE(WEEKNUM(Tabla8[[#This Row],[FECHA]]),"-",YEAR(Tabla8[[#This Row],[FECHA]]))</f>
        <v>2-2026</v>
      </c>
    </row>
    <row r="44" spans="1:21" ht="15" customHeight="1">
      <c r="A44" s="22">
        <v>46027</v>
      </c>
      <c r="B44" s="16" t="s">
        <v>131</v>
      </c>
      <c r="C44" s="10" t="s">
        <v>36</v>
      </c>
      <c r="D44" s="381" t="s">
        <v>138</v>
      </c>
      <c r="E44" s="381" t="s">
        <v>139</v>
      </c>
      <c r="F44" s="380">
        <f>+MOD(Tabla8[[#This Row],[HR. FIN]]-Tabla8[[#This Row],[HR. INICIO]],1)</f>
        <v>1.6666666666666718E-2</v>
      </c>
      <c r="G44" s="16" t="s">
        <v>140</v>
      </c>
      <c r="H44" s="343" t="str">
        <f>IFERROR(VLOOKUP(G44,DATOS!$M$2:$N$219,2,FALSE),"")</f>
        <v>Maquinaria</v>
      </c>
      <c r="I44" s="115" t="s">
        <v>32</v>
      </c>
      <c r="J44" s="115" t="str">
        <f>+VLOOKUP($I44,Tabla7[#All],2,FALSE)</f>
        <v>PROGRAMADA</v>
      </c>
      <c r="K44" s="114" t="str">
        <f>IF(VLOOKUP(I44,Tabla7[#All],3,FALSE)=0,"",VLOOKUP(I44,Tabla7[#All],3,FALSE))</f>
        <v/>
      </c>
      <c r="L44" s="35" t="s">
        <v>141</v>
      </c>
      <c r="M44" s="35" t="s">
        <v>121</v>
      </c>
      <c r="N44" s="35" t="str" cm="1">
        <f t="array" ref="N44">IFERROR(IF(Tabla8[[#This Row],[P/NP]]="NO PROGRAMADA","",_xlfn.TEXTJOIN(", ",TRUE,_xlfn._xlws.FILTER(Tabla4[[#All],[PIEZA]],ISNUMBER(SEARCH(Tabla4[[#All],[PCLAVE]],Tabla8[[#This Row],[DESCRIPCION DE TRABAJO]])),""))),"")</f>
        <v/>
      </c>
      <c r="O44" s="35" t="str" cm="1">
        <f t="array" ref="O44">_xlfn.TEXTJOIN(", ",TRUE,_xlfn._xlws.FILTER(Tabla28[[#All],[PARTE]],ISNUMBER(SEARCH(Tabla28[[#All],[PCLAVE2]],Tabla8[[#This Row],[DESCRIPCION DE TRABAJO]])),""))</f>
        <v/>
      </c>
      <c r="P44" s="303" t="str">
        <f>IFERROR(LEFT(O44, FIND(",", O44)-1), O44)</f>
        <v/>
      </c>
      <c r="Q44" s="303" t="str">
        <f>IFERROR(IF(ISERROR(FIND(",", O44, FIND(",", O44)+1)), RIGHT(O44, LEN(O44)-FIND(",", O44)-1), MID(O44, FIND(",", O44)+2, FIND(",", O44, FIND(",", O44)+1)-FIND(",", O44)-2)), "")</f>
        <v/>
      </c>
      <c r="R44" s="303" t="str">
        <f>IFERROR(RIGHT(O44, LEN(O44)-FIND(",", O44, FIND(",", O44)+1)-1), "")</f>
        <v/>
      </c>
      <c r="S44" s="35" t="str" cm="1">
        <f t="array" ref="S44">_xlfn.TEXTJOIN(", ",TRUE,_xlfn._xlws.FILTER(Tabla29[[#All],[PARTE]],ISNUMBER(SEARCH(Tabla29[[#All],[PCLAVE3]],Tabla8[[#This Row],[DESCRIPCION DE TRABAJO]])),""))</f>
        <v/>
      </c>
      <c r="T44" s="34" t="str">
        <f>IF(AND(Tabla8[[#This Row],[PIEZA]]="",Tabla8[[#This Row],[PARTE]]=""),"VACIO","OK")</f>
        <v>VACIO</v>
      </c>
      <c r="U44" s="303" t="str">
        <f>+CONCATENATE(WEEKNUM(Tabla8[[#This Row],[FECHA]]),"-",YEAR(Tabla8[[#This Row],[FECHA]]))</f>
        <v>2-2026</v>
      </c>
    </row>
    <row r="45" spans="1:21" ht="15" customHeight="1">
      <c r="A45" s="22">
        <v>46027</v>
      </c>
      <c r="B45" s="16" t="s">
        <v>111</v>
      </c>
      <c r="C45" s="10" t="s">
        <v>39</v>
      </c>
      <c r="D45" s="381" t="s">
        <v>142</v>
      </c>
      <c r="E45" s="381" t="s">
        <v>143</v>
      </c>
      <c r="F45" s="380">
        <f>+MOD(Tabla8[[#This Row],[HR. FIN]]-Tabla8[[#This Row],[HR. INICIO]],1)</f>
        <v>1.3888888888888895E-2</v>
      </c>
      <c r="G45" s="16" t="s">
        <v>98</v>
      </c>
      <c r="H45" s="343" t="str">
        <f>IFERROR(VLOOKUP(G45,DATOS!$M$2:$N$219,2,FALSE),"")</f>
        <v>Maquinaria</v>
      </c>
      <c r="I45" s="115" t="s">
        <v>54</v>
      </c>
      <c r="J45" s="115" t="str">
        <f>+VLOOKUP($I45,Tabla7[#All],2,FALSE)</f>
        <v>PROGRAMADA</v>
      </c>
      <c r="K45" s="114" t="str">
        <f>IF(VLOOKUP(I45,Tabla7[#All],3,FALSE)=0,"",VLOOKUP(I45,Tabla7[#All],3,FALSE))</f>
        <v/>
      </c>
      <c r="L45" s="35" t="s">
        <v>144</v>
      </c>
      <c r="M45" s="35" t="s">
        <v>121</v>
      </c>
      <c r="N45" s="35" t="str" cm="1">
        <f t="array" ref="N45">IFERROR(IF(Tabla8[[#This Row],[P/NP]]="NO PROGRAMADA","",_xlfn.TEXTJOIN(", ",TRUE,_xlfn._xlws.FILTER(Tabla4[[#All],[PIEZA]],ISNUMBER(SEARCH(Tabla4[[#All],[PCLAVE]],Tabla8[[#This Row],[DESCRIPCION DE TRABAJO]])),""))),"")</f>
        <v>Producto</v>
      </c>
      <c r="O45" s="35" t="str" cm="1">
        <f t="array" ref="O45">_xlfn.TEXTJOIN(", ",TRUE,_xlfn._xlws.FILTER(Tabla28[[#All],[PARTE]],ISNUMBER(SEARCH(Tabla28[[#All],[PCLAVE2]],Tabla8[[#This Row],[DESCRIPCION DE TRABAJO]])),""))</f>
        <v>Tanque</v>
      </c>
      <c r="P45" s="303" t="str">
        <f>IFERROR(LEFT(O45, FIND(",", O45)-1), O45)</f>
        <v>Tanque</v>
      </c>
      <c r="Q45" s="303" t="str">
        <f>IFERROR(IF(ISERROR(FIND(",", O45, FIND(",", O45)+1)), RIGHT(O45, LEN(O45)-FIND(",", O45)-1), MID(O45, FIND(",", O45)+2, FIND(",", O45, FIND(",", O45)+1)-FIND(",", O45)-2)), "")</f>
        <v/>
      </c>
      <c r="R45" s="303" t="str">
        <f>IFERROR(RIGHT(O45, LEN(O45)-FIND(",", O45, FIND(",", O45)+1)-1), "")</f>
        <v/>
      </c>
      <c r="S45" s="35" t="str" cm="1">
        <f t="array" ref="S45">_xlfn.TEXTJOIN(", ",TRUE,_xlfn._xlws.FILTER(Tabla29[[#All],[PARTE]],ISNUMBER(SEARCH(Tabla29[[#All],[PCLAVE3]],Tabla8[[#This Row],[DESCRIPCION DE TRABAJO]])),""))</f>
        <v>Nivel</v>
      </c>
      <c r="T45" s="34" t="str">
        <f>IF(AND(Tabla8[[#This Row],[PIEZA]]="",Tabla8[[#This Row],[PARTE]]=""),"VACIO","OK")</f>
        <v>OK</v>
      </c>
      <c r="U45" s="303" t="str">
        <f>+CONCATENATE(WEEKNUM(Tabla8[[#This Row],[FECHA]]),"-",YEAR(Tabla8[[#This Row],[FECHA]]))</f>
        <v>2-2026</v>
      </c>
    </row>
    <row r="46" spans="1:21" ht="15" customHeight="1">
      <c r="A46" s="22">
        <v>46027</v>
      </c>
      <c r="B46" s="16" t="s">
        <v>111</v>
      </c>
      <c r="C46" s="10" t="s">
        <v>39</v>
      </c>
      <c r="D46" s="381" t="s">
        <v>145</v>
      </c>
      <c r="E46" s="381" t="s">
        <v>146</v>
      </c>
      <c r="F46" s="380">
        <f>+MOD(Tabla8[[#This Row],[HR. FIN]]-Tabla8[[#This Row],[HR. INICIO]],1)</f>
        <v>1.3888888888888895E-2</v>
      </c>
      <c r="G46" s="16" t="s">
        <v>147</v>
      </c>
      <c r="H46" s="343" t="str">
        <f>IFERROR(VLOOKUP(G46,DATOS!$M$2:$N$219,2,FALSE),"")</f>
        <v>Maquinaria</v>
      </c>
      <c r="I46" s="115" t="s">
        <v>32</v>
      </c>
      <c r="J46" s="115" t="s">
        <v>92</v>
      </c>
      <c r="K46" s="114" t="s">
        <v>148</v>
      </c>
      <c r="L46" s="35" t="s">
        <v>149</v>
      </c>
      <c r="M46" s="35" t="s">
        <v>150</v>
      </c>
      <c r="N46" s="35" t="str" cm="1">
        <f t="array" ref="N46">IFERROR(IF(Tabla8[[#This Row],[P/NP]]="NO PROGRAMADA","",_xlfn.TEXTJOIN(", ",TRUE,_xlfn._xlws.FILTER(Tabla4[[#All],[PIEZA]],ISNUMBER(SEARCH(Tabla4[[#All],[PCLAVE]],Tabla8[[#This Row],[DESCRIPCION DE TRABAJO]])),""))),"")</f>
        <v/>
      </c>
      <c r="O46" s="35" t="str" cm="1">
        <f t="array" ref="O46">_xlfn.TEXTJOIN(", ",TRUE,_xlfn._xlws.FILTER(Tabla28[[#All],[PARTE]],ISNUMBER(SEARCH(Tabla28[[#All],[PCLAVE2]],Tabla8[[#This Row],[DESCRIPCION DE TRABAJO]])),""))</f>
        <v/>
      </c>
      <c r="P46" s="303" t="str">
        <f>IFERROR(LEFT(O46, FIND(",", O46)-1), O46)</f>
        <v/>
      </c>
      <c r="Q46" s="303" t="str">
        <f>IFERROR(IF(ISERROR(FIND(",", O46, FIND(",", O46)+1)), RIGHT(O46, LEN(O46)-FIND(",", O46)-1), MID(O46, FIND(",", O46)+2, FIND(",", O46, FIND(",", O46)+1)-FIND(",", O46)-2)), "")</f>
        <v/>
      </c>
      <c r="R46" s="303" t="str">
        <f>IFERROR(RIGHT(O46, LEN(O46)-FIND(",", O46, FIND(",", O46)+1)-1), "")</f>
        <v/>
      </c>
      <c r="S46" s="35" t="str" cm="1">
        <f t="array" ref="S46">_xlfn.TEXTJOIN(", ",TRUE,_xlfn._xlws.FILTER(Tabla29[[#All],[PARTE]],ISNUMBER(SEARCH(Tabla29[[#All],[PCLAVE3]],Tabla8[[#This Row],[DESCRIPCION DE TRABAJO]])),""))</f>
        <v/>
      </c>
      <c r="T46" s="34" t="str">
        <f>IF(AND(Tabla8[[#This Row],[PIEZA]]="",Tabla8[[#This Row],[PARTE]]=""),"VACIO","OK")</f>
        <v>VACIO</v>
      </c>
      <c r="U46" s="303" t="str">
        <f>+CONCATENATE(WEEKNUM(Tabla8[[#This Row],[FECHA]]),"-",YEAR(Tabla8[[#This Row],[FECHA]]))</f>
        <v>2-2026</v>
      </c>
    </row>
    <row r="47" spans="1:21" ht="15" customHeight="1">
      <c r="A47" s="22">
        <v>46027</v>
      </c>
      <c r="B47" s="16" t="s">
        <v>131</v>
      </c>
      <c r="C47" s="10" t="s">
        <v>36</v>
      </c>
      <c r="D47" s="381" t="s">
        <v>151</v>
      </c>
      <c r="E47" s="381" t="s">
        <v>152</v>
      </c>
      <c r="F47" s="380">
        <f>+MOD(Tabla8[[#This Row],[HR. FIN]]-Tabla8[[#This Row],[HR. INICIO]],1)</f>
        <v>1.3888888888888895E-2</v>
      </c>
      <c r="G47" s="16" t="s">
        <v>153</v>
      </c>
      <c r="H47" s="343" t="str">
        <f>IFERROR(VLOOKUP(G47,DATOS!$M$2:$N$219,2,FALSE),"")</f>
        <v>Maquinaria</v>
      </c>
      <c r="I47" s="115" t="s">
        <v>54</v>
      </c>
      <c r="J47" s="115" t="str">
        <f>+VLOOKUP($I47,Tabla7[#All],2,FALSE)</f>
        <v>PROGRAMADA</v>
      </c>
      <c r="K47" s="114" t="str">
        <f>IF(VLOOKUP(I47,Tabla7[#All],3,FALSE)=0,"",VLOOKUP(I47,Tabla7[#All],3,FALSE))</f>
        <v/>
      </c>
      <c r="L47" s="35" t="s">
        <v>154</v>
      </c>
      <c r="M47" s="35" t="s">
        <v>121</v>
      </c>
      <c r="N47" s="35" t="str" cm="1">
        <f t="array" ref="N47">IFERROR(IF(Tabla8[[#This Row],[P/NP]]="NO PROGRAMADA","",_xlfn.TEXTJOIN(", ",TRUE,_xlfn._xlws.FILTER(Tabla4[[#All],[PIEZA]],ISNUMBER(SEARCH(Tabla4[[#All],[PCLAVE]],Tabla8[[#This Row],[DESCRIPCION DE TRABAJO]])),""))),"")</f>
        <v/>
      </c>
      <c r="O47" s="35" t="str" cm="1">
        <f t="array" ref="O47">_xlfn.TEXTJOIN(", ",TRUE,_xlfn._xlws.FILTER(Tabla28[[#All],[PARTE]],ISNUMBER(SEARCH(Tabla28[[#All],[PCLAVE2]],Tabla8[[#This Row],[DESCRIPCION DE TRABAJO]])),""))</f>
        <v/>
      </c>
      <c r="P47" s="303" t="str">
        <f>IFERROR(LEFT(O47, FIND(",", O47)-1), O47)</f>
        <v/>
      </c>
      <c r="Q47" s="303" t="str">
        <f>IFERROR(IF(ISERROR(FIND(",", O47, FIND(",", O47)+1)), RIGHT(O47, LEN(O47)-FIND(",", O47)-1), MID(O47, FIND(",", O47)+2, FIND(",", O47, FIND(",", O47)+1)-FIND(",", O47)-2)), "")</f>
        <v/>
      </c>
      <c r="R47" s="303" t="str">
        <f>IFERROR(RIGHT(O47, LEN(O47)-FIND(",", O47, FIND(",", O47)+1)-1), "")</f>
        <v/>
      </c>
      <c r="S47" s="35" t="str" cm="1">
        <f t="array" ref="S47">_xlfn.TEXTJOIN(", ",TRUE,_xlfn._xlws.FILTER(Tabla29[[#All],[PARTE]],ISNUMBER(SEARCH(Tabla29[[#All],[PCLAVE3]],Tabla8[[#This Row],[DESCRIPCION DE TRABAJO]])),""))</f>
        <v/>
      </c>
      <c r="T47" s="34" t="str">
        <f>IF(AND(Tabla8[[#This Row],[PIEZA]]="",Tabla8[[#This Row],[PARTE]]=""),"VACIO","OK")</f>
        <v>VACIO</v>
      </c>
      <c r="U47" s="303" t="str">
        <f>+CONCATENATE(WEEKNUM(Tabla8[[#This Row],[FECHA]]),"-",YEAR(Tabla8[[#This Row],[FECHA]]))</f>
        <v>2-2026</v>
      </c>
    </row>
    <row r="48" spans="1:21" ht="15" customHeight="1">
      <c r="A48" s="22">
        <v>46027</v>
      </c>
      <c r="B48" s="16" t="s">
        <v>111</v>
      </c>
      <c r="C48" s="10" t="s">
        <v>39</v>
      </c>
      <c r="D48" s="381" t="s">
        <v>155</v>
      </c>
      <c r="E48" s="381" t="s">
        <v>156</v>
      </c>
      <c r="F48" s="380">
        <f>+MOD(Tabla8[[#This Row],[HR. FIN]]-Tabla8[[#This Row],[HR. INICIO]],1)</f>
        <v>1.1805555555555555E-2</v>
      </c>
      <c r="G48" s="16" t="s">
        <v>98</v>
      </c>
      <c r="H48" s="343" t="str">
        <f>IFERROR(VLOOKUP(G48,DATOS!$M$2:$N$219,2,FALSE),"")</f>
        <v>Maquinaria</v>
      </c>
      <c r="I48" s="115" t="s">
        <v>57</v>
      </c>
      <c r="J48" s="115" t="s">
        <v>157</v>
      </c>
      <c r="K48" s="114"/>
      <c r="L48" s="35" t="s">
        <v>158</v>
      </c>
      <c r="M48" s="35" t="s">
        <v>121</v>
      </c>
      <c r="N48" s="35" t="str" cm="1">
        <f t="array" ref="N48">IFERROR(IF(Tabla8[[#This Row],[P/NP]]="NO PROGRAMADA","",_xlfn.TEXTJOIN(", ",TRUE,_xlfn._xlws.FILTER(Tabla4[[#All],[PIEZA]],ISNUMBER(SEARCH(Tabla4[[#All],[PCLAVE]],Tabla8[[#This Row],[DESCRIPCION DE TRABAJO]])),""))),"")</f>
        <v>Manguera, Producto</v>
      </c>
      <c r="O48" s="35" t="str" cm="1">
        <f t="array" ref="O48">_xlfn.TEXTJOIN(", ",TRUE,_xlfn._xlws.FILTER(Tabla28[[#All],[PARTE]],ISNUMBER(SEARCH(Tabla28[[#All],[PCLAVE2]],Tabla8[[#This Row],[DESCRIPCION DE TRABAJO]])),""))</f>
        <v>Tanque</v>
      </c>
      <c r="P48" s="303" t="str">
        <f>IFERROR(LEFT(O48, FIND(",", O48)-1), O48)</f>
        <v>Tanque</v>
      </c>
      <c r="Q48" s="303" t="str">
        <f>IFERROR(IF(ISERROR(FIND(",", O48, FIND(",", O48)+1)), RIGHT(O48, LEN(O48)-FIND(",", O48)-1), MID(O48, FIND(",", O48)+2, FIND(",", O48, FIND(",", O48)+1)-FIND(",", O48)-2)), "")</f>
        <v/>
      </c>
      <c r="R48" s="303" t="str">
        <f>IFERROR(RIGHT(O48, LEN(O48)-FIND(",", O48, FIND(",", O48)+1)-1), "")</f>
        <v/>
      </c>
      <c r="S48" s="35" t="str" cm="1">
        <f t="array" ref="S48">_xlfn.TEXTJOIN(", ",TRUE,_xlfn._xlws.FILTER(Tabla29[[#All],[PARTE]],ISNUMBER(SEARCH(Tabla29[[#All],[PCLAVE3]],Tabla8[[#This Row],[DESCRIPCION DE TRABAJO]])),""))</f>
        <v>Calibracion, Nivel</v>
      </c>
      <c r="T48" s="34" t="str">
        <f>IF(AND(Tabla8[[#This Row],[PIEZA]]="",Tabla8[[#This Row],[PARTE]]=""),"VACIO","OK")</f>
        <v>OK</v>
      </c>
      <c r="U48" s="303" t="str">
        <f>+CONCATENATE(WEEKNUM(Tabla8[[#This Row],[FECHA]]),"-",YEAR(Tabla8[[#This Row],[FECHA]]))</f>
        <v>2-2026</v>
      </c>
    </row>
    <row r="49" spans="1:21" ht="15" customHeight="1">
      <c r="A49" s="22">
        <v>46027</v>
      </c>
      <c r="B49" s="16" t="s">
        <v>131</v>
      </c>
      <c r="C49" s="10" t="s">
        <v>36</v>
      </c>
      <c r="D49" s="381" t="s">
        <v>159</v>
      </c>
      <c r="E49" s="381" t="s">
        <v>160</v>
      </c>
      <c r="F49" s="380">
        <f>+MOD(Tabla8[[#This Row],[HR. FIN]]-Tabla8[[#This Row],[HR. INICIO]],1)</f>
        <v>1.1111111111111127E-2</v>
      </c>
      <c r="G49" s="16" t="s">
        <v>119</v>
      </c>
      <c r="H49" s="343" t="str">
        <f>IFERROR(VLOOKUP(G49,DATOS!$M$2:$N$219,2,FALSE),"")</f>
        <v>Maquinaria</v>
      </c>
      <c r="I49" s="115" t="s">
        <v>32</v>
      </c>
      <c r="J49" s="115" t="s">
        <v>92</v>
      </c>
      <c r="K49" s="114" t="s">
        <v>93</v>
      </c>
      <c r="L49" s="35" t="s">
        <v>161</v>
      </c>
      <c r="M49" s="35" t="s">
        <v>162</v>
      </c>
      <c r="N49" s="35" t="str" cm="1">
        <f t="array" ref="N49">IFERROR(IF(Tabla8[[#This Row],[P/NP]]="NO PROGRAMADA","",_xlfn.TEXTJOIN(", ",TRUE,_xlfn._xlws.FILTER(Tabla4[[#All],[PIEZA]],ISNUMBER(SEARCH(Tabla4[[#All],[PCLAVE]],Tabla8[[#This Row],[DESCRIPCION DE TRABAJO]])),""))),"")</f>
        <v/>
      </c>
      <c r="O49" s="35" t="str" cm="1">
        <f t="array" ref="O49">_xlfn.TEXTJOIN(", ",TRUE,_xlfn._xlws.FILTER(Tabla28[[#All],[PARTE]],ISNUMBER(SEARCH(Tabla28[[#All],[PCLAVE2]],Tabla8[[#This Row],[DESCRIPCION DE TRABAJO]])),""))</f>
        <v/>
      </c>
      <c r="P49" s="303" t="str">
        <f>IFERROR(LEFT(O49, FIND(",", O49)-1), O49)</f>
        <v/>
      </c>
      <c r="Q49" s="303" t="str">
        <f>IFERROR(IF(ISERROR(FIND(",", O49, FIND(",", O49)+1)), RIGHT(O49, LEN(O49)-FIND(",", O49)-1), MID(O49, FIND(",", O49)+2, FIND(",", O49, FIND(",", O49)+1)-FIND(",", O49)-2)), "")</f>
        <v/>
      </c>
      <c r="R49" s="303" t="str">
        <f>IFERROR(RIGHT(O49, LEN(O49)-FIND(",", O49, FIND(",", O49)+1)-1), "")</f>
        <v/>
      </c>
      <c r="S49" s="35" t="str" cm="1">
        <f t="array" ref="S49">_xlfn.TEXTJOIN(", ",TRUE,_xlfn._xlws.FILTER(Tabla29[[#All],[PARTE]],ISNUMBER(SEARCH(Tabla29[[#All],[PCLAVE3]],Tabla8[[#This Row],[DESCRIPCION DE TRABAJO]])),""))</f>
        <v>Demora, Temperatura</v>
      </c>
      <c r="T49" s="34" t="str">
        <f>IF(AND(Tabla8[[#This Row],[PIEZA]]="",Tabla8[[#This Row],[PARTE]]=""),"VACIO","OK")</f>
        <v>VACIO</v>
      </c>
      <c r="U49" s="303" t="str">
        <f>+CONCATENATE(WEEKNUM(Tabla8[[#This Row],[FECHA]]),"-",YEAR(Tabla8[[#This Row],[FECHA]]))</f>
        <v>2-2026</v>
      </c>
    </row>
    <row r="50" spans="1:21" ht="15" customHeight="1">
      <c r="A50" s="22">
        <v>46027</v>
      </c>
      <c r="B50" s="16" t="s">
        <v>131</v>
      </c>
      <c r="C50" s="10" t="s">
        <v>36</v>
      </c>
      <c r="D50" s="381" t="s">
        <v>163</v>
      </c>
      <c r="E50" s="381" t="s">
        <v>164</v>
      </c>
      <c r="F50" s="380">
        <f>+MOD(Tabla8[[#This Row],[HR. FIN]]-Tabla8[[#This Row],[HR. INICIO]],1)</f>
        <v>1.0416666666666685E-2</v>
      </c>
      <c r="G50" s="16" t="s">
        <v>165</v>
      </c>
      <c r="H50" s="343" t="str">
        <f>IFERROR(VLOOKUP(G50,DATOS!$M$2:$N$219,2,FALSE),"")</f>
        <v>Maquinaria</v>
      </c>
      <c r="I50" s="115" t="s">
        <v>61</v>
      </c>
      <c r="J50" s="115" t="str">
        <f>+VLOOKUP($I50,Tabla7[#All],2,FALSE)</f>
        <v>PROGRAMADA</v>
      </c>
      <c r="K50" s="114" t="str">
        <f>IF(VLOOKUP(I50,Tabla7[#All],3,FALSE)=0,"",VLOOKUP(I50,Tabla7[#All],3,FALSE))</f>
        <v/>
      </c>
      <c r="L50" s="35" t="s">
        <v>166</v>
      </c>
      <c r="M50" s="35" t="s">
        <v>121</v>
      </c>
      <c r="N50" s="35" t="str" cm="1">
        <f t="array" ref="N50">IFERROR(IF(Tabla8[[#This Row],[P/NP]]="NO PROGRAMADA","",_xlfn.TEXTJOIN(", ",TRUE,_xlfn._xlws.FILTER(Tabla4[[#All],[PIEZA]],ISNUMBER(SEARCH(Tabla4[[#All],[PCLAVE]],Tabla8[[#This Row],[DESCRIPCION DE TRABAJO]])),""))),"")</f>
        <v>Banda</v>
      </c>
      <c r="O50" s="35" t="str" cm="1">
        <f t="array" ref="O50">_xlfn.TEXTJOIN(", ",TRUE,_xlfn._xlws.FILTER(Tabla28[[#All],[PARTE]],ISNUMBER(SEARCH(Tabla28[[#All],[PCLAVE2]],Tabla8[[#This Row],[DESCRIPCION DE TRABAJO]])),""))</f>
        <v/>
      </c>
      <c r="P50" s="303" t="str">
        <f>IFERROR(LEFT(O50, FIND(",", O50)-1), O50)</f>
        <v/>
      </c>
      <c r="Q50" s="303" t="str">
        <f>IFERROR(IF(ISERROR(FIND(",", O50, FIND(",", O50)+1)), RIGHT(O50, LEN(O50)-FIND(",", O50)-1), MID(O50, FIND(",", O50)+2, FIND(",", O50, FIND(",", O50)+1)-FIND(",", O50)-2)), "")</f>
        <v/>
      </c>
      <c r="R50" s="303" t="str">
        <f>IFERROR(RIGHT(O50, LEN(O50)-FIND(",", O50, FIND(",", O50)+1)-1), "")</f>
        <v/>
      </c>
      <c r="S50" s="35" t="str" cm="1">
        <f t="array" ref="S50">_xlfn.TEXTJOIN(", ",TRUE,_xlfn._xlws.FILTER(Tabla29[[#All],[PARTE]],ISNUMBER(SEARCH(Tabla29[[#All],[PCLAVE3]],Tabla8[[#This Row],[DESCRIPCION DE TRABAJO]])),""))</f>
        <v>Sustitucion</v>
      </c>
      <c r="T50" s="34" t="str">
        <f>IF(AND(Tabla8[[#This Row],[PIEZA]]="",Tabla8[[#This Row],[PARTE]]=""),"VACIO","OK")</f>
        <v>OK</v>
      </c>
      <c r="U50" s="303" t="str">
        <f>+CONCATENATE(WEEKNUM(Tabla8[[#This Row],[FECHA]]),"-",YEAR(Tabla8[[#This Row],[FECHA]]))</f>
        <v>2-2026</v>
      </c>
    </row>
    <row r="51" spans="1:21" ht="15" customHeight="1">
      <c r="A51" s="22">
        <v>46027</v>
      </c>
      <c r="B51" s="16" t="s">
        <v>111</v>
      </c>
      <c r="C51" s="10" t="s">
        <v>39</v>
      </c>
      <c r="D51" s="381" t="s">
        <v>167</v>
      </c>
      <c r="E51" s="381" t="s">
        <v>168</v>
      </c>
      <c r="F51" s="380">
        <f>+MOD(Tabla8[[#This Row],[HR. FIN]]-Tabla8[[#This Row],[HR. INICIO]],1)</f>
        <v>1.0416666666666668E-2</v>
      </c>
      <c r="G51" s="16" t="s">
        <v>169</v>
      </c>
      <c r="H51" s="343" t="str">
        <f>IFERROR(VLOOKUP(G51,DATOS!$M$2:$N$219,2,FALSE),"")</f>
        <v>Maquinaria</v>
      </c>
      <c r="I51" s="115" t="s">
        <v>32</v>
      </c>
      <c r="J51" s="115" t="str">
        <f>+VLOOKUP($I51,Tabla7[#All],2,FALSE)</f>
        <v>PROGRAMADA</v>
      </c>
      <c r="K51" s="114" t="str">
        <f>IF(VLOOKUP(I51,Tabla7[#All],3,FALSE)=0,"",VLOOKUP(I51,Tabla7[#All],3,FALSE))</f>
        <v/>
      </c>
      <c r="L51" s="35" t="s">
        <v>170</v>
      </c>
      <c r="M51" s="35" t="s">
        <v>121</v>
      </c>
      <c r="N51" s="35" t="str" cm="1">
        <f t="array" ref="N51">IFERROR(IF(Tabla8[[#This Row],[P/NP]]="NO PROGRAMADA","",_xlfn.TEXTJOIN(", ",TRUE,_xlfn._xlws.FILTER(Tabla4[[#All],[PIEZA]],ISNUMBER(SEARCH(Tabla4[[#All],[PCLAVE]],Tabla8[[#This Row],[DESCRIPCION DE TRABAJO]])),""))),"")</f>
        <v/>
      </c>
      <c r="O51" s="35" t="str" cm="1">
        <f t="array" ref="O51">_xlfn.TEXTJOIN(", ",TRUE,_xlfn._xlws.FILTER(Tabla28[[#All],[PARTE]],ISNUMBER(SEARCH(Tabla28[[#All],[PCLAVE2]],Tabla8[[#This Row],[DESCRIPCION DE TRABAJO]])),""))</f>
        <v/>
      </c>
      <c r="P51" s="303" t="str">
        <f>IFERROR(LEFT(O51, FIND(",", O51)-1), O51)</f>
        <v/>
      </c>
      <c r="Q51" s="303" t="str">
        <f>IFERROR(IF(ISERROR(FIND(",", O51, FIND(",", O51)+1)), RIGHT(O51, LEN(O51)-FIND(",", O51)-1), MID(O51, FIND(",", O51)+2, FIND(",", O51, FIND(",", O51)+1)-FIND(",", O51)-2)), "")</f>
        <v/>
      </c>
      <c r="R51" s="303" t="str">
        <f>IFERROR(RIGHT(O51, LEN(O51)-FIND(",", O51, FIND(",", O51)+1)-1), "")</f>
        <v/>
      </c>
      <c r="S51" s="35" t="str" cm="1">
        <f t="array" ref="S51">_xlfn.TEXTJOIN(", ",TRUE,_xlfn._xlws.FILTER(Tabla29[[#All],[PARTE]],ISNUMBER(SEARCH(Tabla29[[#All],[PCLAVE3]],Tabla8[[#This Row],[DESCRIPCION DE TRABAJO]])),""))</f>
        <v/>
      </c>
      <c r="T51" s="34" t="str">
        <f>IF(AND(Tabla8[[#This Row],[PIEZA]]="",Tabla8[[#This Row],[PARTE]]=""),"VACIO","OK")</f>
        <v>VACIO</v>
      </c>
      <c r="U51" s="303" t="str">
        <f>+CONCATENATE(WEEKNUM(Tabla8[[#This Row],[FECHA]]),"-",YEAR(Tabla8[[#This Row],[FECHA]]))</f>
        <v>2-2026</v>
      </c>
    </row>
    <row r="52" spans="1:21" ht="15" customHeight="1">
      <c r="A52" s="22">
        <v>46027</v>
      </c>
      <c r="B52" s="16" t="s">
        <v>111</v>
      </c>
      <c r="C52" s="10" t="s">
        <v>39</v>
      </c>
      <c r="D52" s="381" t="s">
        <v>171</v>
      </c>
      <c r="E52" s="381" t="s">
        <v>172</v>
      </c>
      <c r="F52" s="380">
        <f>+MOD(Tabla8[[#This Row],[HR. FIN]]-Tabla8[[#This Row],[HR. INICIO]],1)</f>
        <v>1.041666666666663E-2</v>
      </c>
      <c r="G52" s="16" t="s">
        <v>173</v>
      </c>
      <c r="H52" s="343" t="str">
        <f>IFERROR(VLOOKUP(G52,DATOS!$M$2:$N$219,2,FALSE),"")</f>
        <v>Maquinaria</v>
      </c>
      <c r="I52" s="115" t="s">
        <v>54</v>
      </c>
      <c r="J52" s="115" t="str">
        <f>+VLOOKUP($I52,Tabla7[#All],2,FALSE)</f>
        <v>PROGRAMADA</v>
      </c>
      <c r="K52" s="114" t="str">
        <f>IF(VLOOKUP(I52,Tabla7[#All],3,FALSE)=0,"",VLOOKUP(I52,Tabla7[#All],3,FALSE))</f>
        <v/>
      </c>
      <c r="L52" s="35" t="s">
        <v>174</v>
      </c>
      <c r="M52" s="35" t="s">
        <v>175</v>
      </c>
      <c r="N52" s="35" t="str" cm="1">
        <f t="array" ref="N52">IFERROR(IF(Tabla8[[#This Row],[P/NP]]="NO PROGRAMADA","",_xlfn.TEXTJOIN(", ",TRUE,_xlfn._xlws.FILTER(Tabla4[[#All],[PIEZA]],ISNUMBER(SEARCH(Tabla4[[#All],[PCLAVE]],Tabla8[[#This Row],[DESCRIPCION DE TRABAJO]])),""))),"")</f>
        <v/>
      </c>
      <c r="O52" s="35" t="str" cm="1">
        <f t="array" ref="O52">_xlfn.TEXTJOIN(", ",TRUE,_xlfn._xlws.FILTER(Tabla28[[#All],[PARTE]],ISNUMBER(SEARCH(Tabla28[[#All],[PCLAVE2]],Tabla8[[#This Row],[DESCRIPCION DE TRABAJO]])),""))</f>
        <v/>
      </c>
      <c r="P52" s="303" t="str">
        <f>IFERROR(LEFT(O52, FIND(",", O52)-1), O52)</f>
        <v/>
      </c>
      <c r="Q52" s="303" t="str">
        <f>IFERROR(IF(ISERROR(FIND(",", O52, FIND(",", O52)+1)), RIGHT(O52, LEN(O52)-FIND(",", O52)-1), MID(O52, FIND(",", O52)+2, FIND(",", O52, FIND(",", O52)+1)-FIND(",", O52)-2)), "")</f>
        <v/>
      </c>
      <c r="R52" s="303" t="str">
        <f>IFERROR(RIGHT(O52, LEN(O52)-FIND(",", O52, FIND(",", O52)+1)-1), "")</f>
        <v/>
      </c>
      <c r="S52" s="35" t="str" cm="1">
        <f t="array" ref="S52">_xlfn.TEXTJOIN(", ",TRUE,_xlfn._xlws.FILTER(Tabla29[[#All],[PARTE]],ISNUMBER(SEARCH(Tabla29[[#All],[PCLAVE3]],Tabla8[[#This Row],[DESCRIPCION DE TRABAJO]])),""))</f>
        <v>Abierto</v>
      </c>
      <c r="T52" s="34" t="str">
        <f>IF(AND(Tabla8[[#This Row],[PIEZA]]="",Tabla8[[#This Row],[PARTE]]=""),"VACIO","OK")</f>
        <v>VACIO</v>
      </c>
      <c r="U52" s="303" t="str">
        <f>+CONCATENATE(WEEKNUM(Tabla8[[#This Row],[FECHA]]),"-",YEAR(Tabla8[[#This Row],[FECHA]]))</f>
        <v>2-2026</v>
      </c>
    </row>
    <row r="53" spans="1:21" ht="15" customHeight="1">
      <c r="A53" s="22">
        <v>46027</v>
      </c>
      <c r="B53" s="16" t="s">
        <v>131</v>
      </c>
      <c r="C53" s="10" t="s">
        <v>36</v>
      </c>
      <c r="D53" s="381" t="s">
        <v>176</v>
      </c>
      <c r="E53" s="381" t="s">
        <v>177</v>
      </c>
      <c r="F53" s="380">
        <f>+MOD(Tabla8[[#This Row],[HR. FIN]]-Tabla8[[#This Row],[HR. INICIO]],1)</f>
        <v>9.0277777777777457E-3</v>
      </c>
      <c r="G53" s="16" t="s">
        <v>165</v>
      </c>
      <c r="H53" s="343" t="str">
        <f>IFERROR(VLOOKUP(G53,DATOS!$M$2:$N$219,2,FALSE),"")</f>
        <v>Maquinaria</v>
      </c>
      <c r="I53" s="115" t="s">
        <v>32</v>
      </c>
      <c r="J53" s="115" t="str">
        <f>+VLOOKUP($I53,Tabla7[#All],2,FALSE)</f>
        <v>PROGRAMADA</v>
      </c>
      <c r="K53" s="114" t="str">
        <f>IF(VLOOKUP(I53,Tabla7[#All],3,FALSE)=0,"",VLOOKUP(I53,Tabla7[#All],3,FALSE))</f>
        <v/>
      </c>
      <c r="L53" s="35" t="s">
        <v>178</v>
      </c>
      <c r="M53" s="35" t="s">
        <v>121</v>
      </c>
      <c r="N53" s="35" t="str" cm="1">
        <f t="array" ref="N53">IFERROR(IF(Tabla8[[#This Row],[P/NP]]="NO PROGRAMADA","",_xlfn.TEXTJOIN(", ",TRUE,_xlfn._xlws.FILTER(Tabla4[[#All],[PIEZA]],ISNUMBER(SEARCH(Tabla4[[#All],[PCLAVE]],Tabla8[[#This Row],[DESCRIPCION DE TRABAJO]])),""))),"")</f>
        <v>Banda</v>
      </c>
      <c r="O53" s="35" t="str" cm="1">
        <f t="array" ref="O53">_xlfn.TEXTJOIN(", ",TRUE,_xlfn._xlws.FILTER(Tabla28[[#All],[PARTE]],ISNUMBER(SEARCH(Tabla28[[#All],[PCLAVE2]],Tabla8[[#This Row],[DESCRIPCION DE TRABAJO]])),""))</f>
        <v/>
      </c>
      <c r="P53" s="303" t="str">
        <f>IFERROR(LEFT(O53, FIND(",", O53)-1), O53)</f>
        <v/>
      </c>
      <c r="Q53" s="303" t="str">
        <f>IFERROR(IF(ISERROR(FIND(",", O53, FIND(",", O53)+1)), RIGHT(O53, LEN(O53)-FIND(",", O53)-1), MID(O53, FIND(",", O53)+2, FIND(",", O53, FIND(",", O53)+1)-FIND(",", O53)-2)), "")</f>
        <v/>
      </c>
      <c r="R53" s="303" t="str">
        <f>IFERROR(RIGHT(O53, LEN(O53)-FIND(",", O53, FIND(",", O53)+1)-1), "")</f>
        <v/>
      </c>
      <c r="S53" s="35" t="str" cm="1">
        <f t="array" ref="S53">_xlfn.TEXTJOIN(", ",TRUE,_xlfn._xlws.FILTER(Tabla29[[#All],[PARTE]],ISNUMBER(SEARCH(Tabla29[[#All],[PCLAVE3]],Tabla8[[#This Row],[DESCRIPCION DE TRABAJO]])),""))</f>
        <v/>
      </c>
      <c r="T53" s="34" t="str">
        <f>IF(AND(Tabla8[[#This Row],[PIEZA]]="",Tabla8[[#This Row],[PARTE]]=""),"VACIO","OK")</f>
        <v>OK</v>
      </c>
      <c r="U53" s="303" t="str">
        <f>+CONCATENATE(WEEKNUM(Tabla8[[#This Row],[FECHA]]),"-",YEAR(Tabla8[[#This Row],[FECHA]]))</f>
        <v>2-2026</v>
      </c>
    </row>
    <row r="54" spans="1:21" ht="15" customHeight="1">
      <c r="A54" s="22">
        <v>46028</v>
      </c>
      <c r="B54" s="16" t="s">
        <v>179</v>
      </c>
      <c r="C54" s="10" t="s">
        <v>23</v>
      </c>
      <c r="D54" s="381">
        <v>0.86944444444444446</v>
      </c>
      <c r="E54" s="381">
        <v>0</v>
      </c>
      <c r="F54" s="380">
        <f>+MOD(Tabla8[[#This Row],[HR. FIN]]-Tabla8[[#This Row],[HR. INICIO]],1)</f>
        <v>0.13055555555555554</v>
      </c>
      <c r="G54" s="16" t="s">
        <v>91</v>
      </c>
      <c r="H54" s="343" t="str">
        <f>IFERROR(VLOOKUP(G54,DATOS!$M$2:$N$219,2,FALSE),"")</f>
        <v>Area</v>
      </c>
      <c r="I54" s="115" t="s">
        <v>32</v>
      </c>
      <c r="J54" s="115" t="str">
        <f>+VLOOKUP($I54,Tabla7[#All],2,FALSE)</f>
        <v>PROGRAMADA</v>
      </c>
      <c r="K54" s="114" t="str">
        <f>IF(VLOOKUP(I54,Tabla7[#All],3,FALSE)=0,"",VLOOKUP(I54,Tabla7[#All],3,FALSE))</f>
        <v/>
      </c>
      <c r="L54" s="35" t="s">
        <v>180</v>
      </c>
      <c r="M54" s="35" t="s">
        <v>181</v>
      </c>
      <c r="N54" s="35" t="str" cm="1">
        <f t="array" ref="N54">IFERROR(IF(Tabla8[[#This Row],[P/NP]]="NO PROGRAMADA","",_xlfn.TEXTJOIN(", ",TRUE,_xlfn._xlws.FILTER(Tabla4[[#All],[PIEZA]],ISNUMBER(SEARCH(Tabla4[[#All],[PCLAVE]],Tabla8[[#This Row],[DESCRIPCION DE TRABAJO]])),""))),"")</f>
        <v/>
      </c>
      <c r="O54" s="35" t="str" cm="1">
        <f t="array" ref="O54">_xlfn.TEXTJOIN(", ",TRUE,_xlfn._xlws.FILTER(Tabla28[[#All],[PARTE]],ISNUMBER(SEARCH(Tabla28[[#All],[PCLAVE2]],Tabla8[[#This Row],[DESCRIPCION DE TRABAJO]])),""))</f>
        <v>Extension</v>
      </c>
      <c r="P54" s="303" t="str">
        <f>IFERROR(LEFT(O54, FIND(",", O54)-1), O54)</f>
        <v>Extension</v>
      </c>
      <c r="Q54" s="303" t="str">
        <f>IFERROR(IF(ISERROR(FIND(",", O54, FIND(",", O54)+1)), RIGHT(O54, LEN(O54)-FIND(",", O54)-1), MID(O54, FIND(",", O54)+2, FIND(",", O54, FIND(",", O54)+1)-FIND(",", O54)-2)), "")</f>
        <v/>
      </c>
      <c r="R54" s="303" t="str">
        <f>IFERROR(RIGHT(O54, LEN(O54)-FIND(",", O54, FIND(",", O54)+1)-1), "")</f>
        <v/>
      </c>
      <c r="S54" s="35" t="str" cm="1">
        <f t="array" ref="S54">_xlfn.TEXTJOIN(", ",TRUE,_xlfn._xlws.FILTER(Tabla29[[#All],[PARTE]],ISNUMBER(SEARCH(Tabla29[[#All],[PCLAVE3]],Tabla8[[#This Row],[DESCRIPCION DE TRABAJO]])),""))</f>
        <v/>
      </c>
      <c r="T54" s="34" t="str">
        <f>IF(AND(Tabla8[[#This Row],[PIEZA]]="",Tabla8[[#This Row],[PARTE]]=""),"VACIO","OK")</f>
        <v>OK</v>
      </c>
      <c r="U54" s="303" t="str">
        <f>+CONCATENATE(WEEKNUM(Tabla8[[#This Row],[FECHA]]),"-",YEAR(Tabla8[[#This Row],[FECHA]]))</f>
        <v>2-2026</v>
      </c>
    </row>
    <row r="55" spans="1:21" ht="15" customHeight="1">
      <c r="A55" s="22">
        <v>46028</v>
      </c>
      <c r="B55" s="16" t="s">
        <v>88</v>
      </c>
      <c r="C55" s="10" t="s">
        <v>36</v>
      </c>
      <c r="D55" s="381">
        <v>0.2638888888888889</v>
      </c>
      <c r="E55" s="381">
        <v>0.32291666666666669</v>
      </c>
      <c r="F55" s="380">
        <f>+MOD(Tabla8[[#This Row],[HR. FIN]]-Tabla8[[#This Row],[HR. INICIO]],1)</f>
        <v>5.902777777777779E-2</v>
      </c>
      <c r="G55" s="16" t="s">
        <v>182</v>
      </c>
      <c r="H55" s="343" t="str">
        <f>IFERROR(VLOOKUP(G55,DATOS!$M$2:$N$219,2,FALSE),"")</f>
        <v>Maquinaria</v>
      </c>
      <c r="I55" s="115" t="s">
        <v>32</v>
      </c>
      <c r="J55" s="115" t="str">
        <f>+VLOOKUP($I55,Tabla7[#All],2,FALSE)</f>
        <v>PROGRAMADA</v>
      </c>
      <c r="K55" s="114" t="str">
        <f>IF(VLOOKUP(I55,Tabla7[#All],3,FALSE)=0,"",VLOOKUP(I55,Tabla7[#All],3,FALSE))</f>
        <v/>
      </c>
      <c r="L55" s="35" t="s">
        <v>183</v>
      </c>
      <c r="M55" s="35" t="s">
        <v>184</v>
      </c>
      <c r="N55" s="35" t="str" cm="1">
        <f t="array" ref="N55">IFERROR(IF(Tabla8[[#This Row],[P/NP]]="NO PROGRAMADA","",_xlfn.TEXTJOIN(", ",TRUE,_xlfn._xlws.FILTER(Tabla4[[#All],[PIEZA]],ISNUMBER(SEARCH(Tabla4[[#All],[PCLAVE]],Tabla8[[#This Row],[DESCRIPCION DE TRABAJO]])),""))),"")</f>
        <v/>
      </c>
      <c r="O55" s="35" t="str" cm="1">
        <f t="array" ref="O55">_xlfn.TEXTJOIN(", ",TRUE,_xlfn._xlws.FILTER(Tabla28[[#All],[PARTE]],ISNUMBER(SEARCH(Tabla28[[#All],[PCLAVE2]],Tabla8[[#This Row],[DESCRIPCION DE TRABAJO]])),""))</f>
        <v/>
      </c>
      <c r="P55" s="303" t="str">
        <f>IFERROR(LEFT(O55, FIND(",", O55)-1), O55)</f>
        <v/>
      </c>
      <c r="Q55" s="303" t="str">
        <f>IFERROR(IF(ISERROR(FIND(",", O55, FIND(",", O55)+1)), RIGHT(O55, LEN(O55)-FIND(",", O55)-1), MID(O55, FIND(",", O55)+2, FIND(",", O55, FIND(",", O55)+1)-FIND(",", O55)-2)), "")</f>
        <v/>
      </c>
      <c r="R55" s="303" t="str">
        <f>IFERROR(RIGHT(O55, LEN(O55)-FIND(",", O55, FIND(",", O55)+1)-1), "")</f>
        <v/>
      </c>
      <c r="S55" s="35" t="str" cm="1">
        <f t="array" ref="S55">_xlfn.TEXTJOIN(", ",TRUE,_xlfn._xlws.FILTER(Tabla29[[#All],[PARTE]],ISNUMBER(SEARCH(Tabla29[[#All],[PCLAVE3]],Tabla8[[#This Row],[DESCRIPCION DE TRABAJO]])),""))</f>
        <v>Cambio De Formato</v>
      </c>
      <c r="T55" s="34" t="str">
        <f>IF(AND(Tabla8[[#This Row],[PIEZA]]="",Tabla8[[#This Row],[PARTE]]=""),"VACIO","OK")</f>
        <v>VACIO</v>
      </c>
      <c r="U55" s="303" t="str">
        <f>+CONCATENATE(WEEKNUM(Tabla8[[#This Row],[FECHA]]),"-",YEAR(Tabla8[[#This Row],[FECHA]]))</f>
        <v>2-2026</v>
      </c>
    </row>
    <row r="56" spans="1:21" ht="15" customHeight="1">
      <c r="A56" s="22">
        <v>46028</v>
      </c>
      <c r="B56" s="16" t="s">
        <v>131</v>
      </c>
      <c r="C56" s="10" t="s">
        <v>36</v>
      </c>
      <c r="D56" s="381">
        <v>0.54861111111111116</v>
      </c>
      <c r="E56" s="381">
        <v>0.59027777777777779</v>
      </c>
      <c r="F56" s="380">
        <f>+MOD(Tabla8[[#This Row],[HR. FIN]]-Tabla8[[#This Row],[HR. INICIO]],1)</f>
        <v>4.166666666666663E-2</v>
      </c>
      <c r="G56" s="16" t="s">
        <v>185</v>
      </c>
      <c r="H56" s="343" t="str">
        <f>IFERROR(VLOOKUP(G56,DATOS!$M$2:$N$219,2,FALSE),"")</f>
        <v>Maquinaria</v>
      </c>
      <c r="I56" s="115" t="s">
        <v>186</v>
      </c>
      <c r="J56" s="115" t="str">
        <f>+VLOOKUP($I56,Tabla7[#All],2,FALSE)</f>
        <v>NO PROGRAMADA</v>
      </c>
      <c r="K56" s="114" t="s">
        <v>93</v>
      </c>
      <c r="L56" s="35" t="s">
        <v>187</v>
      </c>
      <c r="M56" s="35" t="s">
        <v>188</v>
      </c>
      <c r="N56" s="35" t="str" cm="1">
        <f t="array" ref="N56">IFERROR(IF(Tabla8[[#This Row],[P/NP]]="NO PROGRAMADA","",_xlfn.TEXTJOIN(", ",TRUE,_xlfn._xlws.FILTER(Tabla4[[#All],[PIEZA]],ISNUMBER(SEARCH(Tabla4[[#All],[PCLAVE]],Tabla8[[#This Row],[DESCRIPCION DE TRABAJO]])),""))),"")</f>
        <v/>
      </c>
      <c r="O56" s="35" t="str" cm="1">
        <f t="array" ref="O56">_xlfn.TEXTJOIN(", ",TRUE,_xlfn._xlws.FILTER(Tabla28[[#All],[PARTE]],ISNUMBER(SEARCH(Tabla28[[#All],[PCLAVE2]],Tabla8[[#This Row],[DESCRIPCION DE TRABAJO]])),""))</f>
        <v/>
      </c>
      <c r="P56" s="303" t="str">
        <f>IFERROR(LEFT(O56, FIND(",", O56)-1), O56)</f>
        <v/>
      </c>
      <c r="Q56" s="303" t="str">
        <f>IFERROR(IF(ISERROR(FIND(",", O56, FIND(",", O56)+1)), RIGHT(O56, LEN(O56)-FIND(",", O56)-1), MID(O56, FIND(",", O56)+2, FIND(",", O56, FIND(",", O56)+1)-FIND(",", O56)-2)), "")</f>
        <v/>
      </c>
      <c r="R56" s="303" t="str">
        <f>IFERROR(RIGHT(O56, LEN(O56)-FIND(",", O56, FIND(",", O56)+1)-1), "")</f>
        <v/>
      </c>
      <c r="S56" s="35" t="str" cm="1">
        <f t="array" ref="S56">_xlfn.TEXTJOIN(", ",TRUE,_xlfn._xlws.FILTER(Tabla29[[#All],[PARTE]],ISNUMBER(SEARCH(Tabla29[[#All],[PCLAVE3]],Tabla8[[#This Row],[DESCRIPCION DE TRABAJO]])),""))</f>
        <v/>
      </c>
      <c r="T56" s="34" t="str">
        <f>IF(AND(Tabla8[[#This Row],[PIEZA]]="",Tabla8[[#This Row],[PARTE]]=""),"VACIO","OK")</f>
        <v>VACIO</v>
      </c>
      <c r="U56" s="303" t="str">
        <f>+CONCATENATE(WEEKNUM(Tabla8[[#This Row],[FECHA]]),"-",YEAR(Tabla8[[#This Row],[FECHA]]))</f>
        <v>2-2026</v>
      </c>
    </row>
    <row r="57" spans="1:21" ht="15" customHeight="1">
      <c r="A57" s="22">
        <v>46028</v>
      </c>
      <c r="B57" s="16" t="s">
        <v>131</v>
      </c>
      <c r="C57" s="10" t="s">
        <v>36</v>
      </c>
      <c r="D57" s="381">
        <v>0.27916666666666667</v>
      </c>
      <c r="E57" s="381">
        <v>0.31944444444444442</v>
      </c>
      <c r="F57" s="380">
        <f>+MOD(Tabla8[[#This Row],[HR. FIN]]-Tabla8[[#This Row],[HR. INICIO]],1)</f>
        <v>4.0277777777777746E-2</v>
      </c>
      <c r="G57" s="16" t="s">
        <v>182</v>
      </c>
      <c r="H57" s="343" t="str">
        <f>IFERROR(VLOOKUP(G57,DATOS!$M$2:$N$219,2,FALSE),"")</f>
        <v>Maquinaria</v>
      </c>
      <c r="I57" s="115" t="s">
        <v>32</v>
      </c>
      <c r="J57" s="115" t="str">
        <f>+VLOOKUP($I57,Tabla7[#All],2,FALSE)</f>
        <v>PROGRAMADA</v>
      </c>
      <c r="K57" s="114" t="str">
        <f>IF(VLOOKUP(I57,Tabla7[#All],3,FALSE)=0,"",VLOOKUP(I57,Tabla7[#All],3,FALSE))</f>
        <v/>
      </c>
      <c r="L57" s="35" t="s">
        <v>189</v>
      </c>
      <c r="M57" s="35" t="s">
        <v>190</v>
      </c>
      <c r="N57" s="35" t="str" cm="1">
        <f t="array" ref="N57">IFERROR(IF(Tabla8[[#This Row],[P/NP]]="NO PROGRAMADA","",_xlfn.TEXTJOIN(", ",TRUE,_xlfn._xlws.FILTER(Tabla4[[#All],[PIEZA]],ISNUMBER(SEARCH(Tabla4[[#All],[PCLAVE]],Tabla8[[#This Row],[DESCRIPCION DE TRABAJO]])),""))),"")</f>
        <v/>
      </c>
      <c r="O57" s="35" t="str" cm="1">
        <f t="array" ref="O57">_xlfn.TEXTJOIN(", ",TRUE,_xlfn._xlws.FILTER(Tabla28[[#All],[PARTE]],ISNUMBER(SEARCH(Tabla28[[#All],[PCLAVE2]],Tabla8[[#This Row],[DESCRIPCION DE TRABAJO]])),""))</f>
        <v/>
      </c>
      <c r="P57" s="303" t="str">
        <f>IFERROR(LEFT(O57, FIND(",", O57)-1), O57)</f>
        <v/>
      </c>
      <c r="Q57" s="303" t="str">
        <f>IFERROR(IF(ISERROR(FIND(",", O57, FIND(",", O57)+1)), RIGHT(O57, LEN(O57)-FIND(",", O57)-1), MID(O57, FIND(",", O57)+2, FIND(",", O57, FIND(",", O57)+1)-FIND(",", O57)-2)), "")</f>
        <v/>
      </c>
      <c r="R57" s="303" t="str">
        <f>IFERROR(RIGHT(O57, LEN(O57)-FIND(",", O57, FIND(",", O57)+1)-1), "")</f>
        <v/>
      </c>
      <c r="S57" s="35" t="str" cm="1">
        <f t="array" ref="S57">_xlfn.TEXTJOIN(", ",TRUE,_xlfn._xlws.FILTER(Tabla29[[#All],[PARTE]],ISNUMBER(SEARCH(Tabla29[[#All],[PCLAVE3]],Tabla8[[#This Row],[DESCRIPCION DE TRABAJO]])),""))</f>
        <v>Cambio De Formato</v>
      </c>
      <c r="T57" s="34" t="str">
        <f>IF(AND(Tabla8[[#This Row],[PIEZA]]="",Tabla8[[#This Row],[PARTE]]=""),"VACIO","OK")</f>
        <v>VACIO</v>
      </c>
      <c r="U57" s="303" t="str">
        <f>+CONCATENATE(WEEKNUM(Tabla8[[#This Row],[FECHA]]),"-",YEAR(Tabla8[[#This Row],[FECHA]]))</f>
        <v>2-2026</v>
      </c>
    </row>
    <row r="58" spans="1:21" ht="15" customHeight="1">
      <c r="A58" s="22">
        <v>46028</v>
      </c>
      <c r="B58" s="16" t="s">
        <v>191</v>
      </c>
      <c r="C58" s="10" t="s">
        <v>23</v>
      </c>
      <c r="D58" s="381">
        <v>0.63611111111111107</v>
      </c>
      <c r="E58" s="381">
        <v>0.66180555555555554</v>
      </c>
      <c r="F58" s="380">
        <f>+MOD(Tabla8[[#This Row],[HR. FIN]]-Tabla8[[#This Row],[HR. INICIO]],1)</f>
        <v>2.5694444444444464E-2</v>
      </c>
      <c r="G58" s="16" t="s">
        <v>192</v>
      </c>
      <c r="H58" s="343" t="str">
        <f>IFERROR(VLOOKUP(G58,DATOS!$M$2:$N$219,2,FALSE),"")</f>
        <v>Maquinaria</v>
      </c>
      <c r="I58" s="115" t="s">
        <v>32</v>
      </c>
      <c r="J58" s="115" t="str">
        <f>+VLOOKUP($I58,Tabla7[#All],2,FALSE)</f>
        <v>PROGRAMADA</v>
      </c>
      <c r="K58" s="114" t="str">
        <f>IF(VLOOKUP(I58,Tabla7[#All],3,FALSE)=0,"",VLOOKUP(I58,Tabla7[#All],3,FALSE))</f>
        <v/>
      </c>
      <c r="L58" s="35" t="s">
        <v>193</v>
      </c>
      <c r="M58" s="35" t="s">
        <v>121</v>
      </c>
      <c r="N58" s="35" t="str" cm="1">
        <f t="array" ref="N58">IFERROR(IF(Tabla8[[#This Row],[P/NP]]="NO PROGRAMADA","",_xlfn.TEXTJOIN(", ",TRUE,_xlfn._xlws.FILTER(Tabla4[[#All],[PIEZA]],ISNUMBER(SEARCH(Tabla4[[#All],[PCLAVE]],Tabla8[[#This Row],[DESCRIPCION DE TRABAJO]])),""))),"")</f>
        <v/>
      </c>
      <c r="O58" s="35" t="str" cm="1">
        <f t="array" ref="O58">_xlfn.TEXTJOIN(", ",TRUE,_xlfn._xlws.FILTER(Tabla28[[#All],[PARTE]],ISNUMBER(SEARCH(Tabla28[[#All],[PCLAVE2]],Tabla8[[#This Row],[DESCRIPCION DE TRABAJO]])),""))</f>
        <v/>
      </c>
      <c r="P58" s="303" t="str">
        <f>IFERROR(LEFT(O58, FIND(",", O58)-1), O58)</f>
        <v/>
      </c>
      <c r="Q58" s="303" t="str">
        <f>IFERROR(IF(ISERROR(FIND(",", O58, FIND(",", O58)+1)), RIGHT(O58, LEN(O58)-FIND(",", O58)-1), MID(O58, FIND(",", O58)+2, FIND(",", O58, FIND(",", O58)+1)-FIND(",", O58)-2)), "")</f>
        <v/>
      </c>
      <c r="R58" s="303" t="str">
        <f>IFERROR(RIGHT(O58, LEN(O58)-FIND(",", O58, FIND(",", O58)+1)-1), "")</f>
        <v/>
      </c>
      <c r="S58" s="35" t="str" cm="1">
        <f t="array" ref="S58">_xlfn.TEXTJOIN(", ",TRUE,_xlfn._xlws.FILTER(Tabla29[[#All],[PARTE]],ISNUMBER(SEARCH(Tabla29[[#All],[PCLAVE3]],Tabla8[[#This Row],[DESCRIPCION DE TRABAJO]])),""))</f>
        <v>Cambio De Formato</v>
      </c>
      <c r="T58" s="34" t="str">
        <f>IF(AND(Tabla8[[#This Row],[PIEZA]]="",Tabla8[[#This Row],[PARTE]]=""),"VACIO","OK")</f>
        <v>VACIO</v>
      </c>
      <c r="U58" s="303" t="str">
        <f>+CONCATENATE(WEEKNUM(Tabla8[[#This Row],[FECHA]]),"-",YEAR(Tabla8[[#This Row],[FECHA]]))</f>
        <v>2-2026</v>
      </c>
    </row>
    <row r="59" spans="1:21" ht="15" customHeight="1">
      <c r="A59" s="22">
        <v>46028</v>
      </c>
      <c r="B59" s="16" t="s">
        <v>131</v>
      </c>
      <c r="C59" s="10" t="s">
        <v>36</v>
      </c>
      <c r="D59" s="381">
        <v>0.39930555555555558</v>
      </c>
      <c r="E59" s="381">
        <v>0.4236111111111111</v>
      </c>
      <c r="F59" s="380">
        <f>+MOD(Tabla8[[#This Row],[HR. FIN]]-Tabla8[[#This Row],[HR. INICIO]],1)</f>
        <v>2.4305555555555525E-2</v>
      </c>
      <c r="G59" s="16" t="s">
        <v>119</v>
      </c>
      <c r="H59" s="343" t="str">
        <f>IFERROR(VLOOKUP(G59,DATOS!$M$2:$N$219,2,FALSE),"")</f>
        <v>Maquinaria</v>
      </c>
      <c r="I59" s="115" t="s">
        <v>54</v>
      </c>
      <c r="J59" s="115" t="str">
        <f>+VLOOKUP($I59,Tabla7[#All],2,FALSE)</f>
        <v>PROGRAMADA</v>
      </c>
      <c r="K59" s="114" t="str">
        <f>IF(VLOOKUP(I59,Tabla7[#All],3,FALSE)=0,"",VLOOKUP(I59,Tabla7[#All],3,FALSE))</f>
        <v/>
      </c>
      <c r="L59" s="35" t="s">
        <v>194</v>
      </c>
      <c r="M59" s="35" t="s">
        <v>195</v>
      </c>
      <c r="N59" s="35" t="str" cm="1">
        <f t="array" ref="N59">IFERROR(IF(Tabla8[[#This Row],[P/NP]]="NO PROGRAMADA","",_xlfn.TEXTJOIN(", ",TRUE,_xlfn._xlws.FILTER(Tabla4[[#All],[PIEZA]],ISNUMBER(SEARCH(Tabla4[[#All],[PCLAVE]],Tabla8[[#This Row],[DESCRIPCION DE TRABAJO]])),""))),"")</f>
        <v>Guardamotor, Motor</v>
      </c>
      <c r="O59" s="35" t="str" cm="1">
        <f t="array" ref="O59">_xlfn.TEXTJOIN(", ",TRUE,_xlfn._xlws.FILTER(Tabla28[[#All],[PARTE]],ISNUMBER(SEARCH(Tabla28[[#All],[PCLAVE2]],Tabla8[[#This Row],[DESCRIPCION DE TRABAJO]])),""))</f>
        <v/>
      </c>
      <c r="P59" s="303" t="str">
        <f>IFERROR(LEFT(O59, FIND(",", O59)-1), O59)</f>
        <v/>
      </c>
      <c r="Q59" s="303" t="str">
        <f>IFERROR(IF(ISERROR(FIND(",", O59, FIND(",", O59)+1)), RIGHT(O59, LEN(O59)-FIND(",", O59)-1), MID(O59, FIND(",", O59)+2, FIND(",", O59, FIND(",", O59)+1)-FIND(",", O59)-2)), "")</f>
        <v/>
      </c>
      <c r="R59" s="303" t="str">
        <f>IFERROR(RIGHT(O59, LEN(O59)-FIND(",", O59, FIND(",", O59)+1)-1), "")</f>
        <v/>
      </c>
      <c r="S59" s="35" t="str" cm="1">
        <f t="array" ref="S59">_xlfn.TEXTJOIN(", ",TRUE,_xlfn._xlws.FILTER(Tabla29[[#All],[PARTE]],ISNUMBER(SEARCH(Tabla29[[#All],[PCLAVE3]],Tabla8[[#This Row],[DESCRIPCION DE TRABAJO]])),""))</f>
        <v>Rotura</v>
      </c>
      <c r="T59" s="34" t="str">
        <f>IF(AND(Tabla8[[#This Row],[PIEZA]]="",Tabla8[[#This Row],[PARTE]]=""),"VACIO","OK")</f>
        <v>OK</v>
      </c>
      <c r="U59" s="303" t="str">
        <f>+CONCATENATE(WEEKNUM(Tabla8[[#This Row],[FECHA]]),"-",YEAR(Tabla8[[#This Row],[FECHA]]))</f>
        <v>2-2026</v>
      </c>
    </row>
    <row r="60" spans="1:21" ht="15" customHeight="1">
      <c r="A60" s="22">
        <v>46028</v>
      </c>
      <c r="B60" s="16" t="s">
        <v>191</v>
      </c>
      <c r="C60" s="10" t="s">
        <v>23</v>
      </c>
      <c r="D60" s="381">
        <v>0.59097222222222223</v>
      </c>
      <c r="E60" s="381">
        <v>0.61250000000000004</v>
      </c>
      <c r="F60" s="380">
        <f>+MOD(Tabla8[[#This Row],[HR. FIN]]-Tabla8[[#This Row],[HR. INICIO]],1)</f>
        <v>2.1527777777777812E-2</v>
      </c>
      <c r="G60" s="16" t="s">
        <v>119</v>
      </c>
      <c r="H60" s="343" t="str">
        <f>IFERROR(VLOOKUP(G60,DATOS!$M$2:$N$219,2,FALSE),"")</f>
        <v>Maquinaria</v>
      </c>
      <c r="I60" s="115" t="s">
        <v>32</v>
      </c>
      <c r="J60" s="115" t="str">
        <f>+VLOOKUP($I60,Tabla7[#All],2,FALSE)</f>
        <v>PROGRAMADA</v>
      </c>
      <c r="K60" s="114" t="str">
        <f>IF(VLOOKUP(I60,Tabla7[#All],3,FALSE)=0,"",VLOOKUP(I60,Tabla7[#All],3,FALSE))</f>
        <v/>
      </c>
      <c r="L60" s="35" t="s">
        <v>196</v>
      </c>
      <c r="M60" s="35" t="s">
        <v>197</v>
      </c>
      <c r="N60" s="35" t="str" cm="1">
        <f t="array" ref="N60">IFERROR(IF(Tabla8[[#This Row],[P/NP]]="NO PROGRAMADA","",_xlfn.TEXTJOIN(", ",TRUE,_xlfn._xlws.FILTER(Tabla4[[#All],[PIEZA]],ISNUMBER(SEARCH(Tabla4[[#All],[PCLAVE]],Tabla8[[#This Row],[DESCRIPCION DE TRABAJO]])),""))),"")</f>
        <v/>
      </c>
      <c r="O60" s="35" t="str" cm="1">
        <f t="array" ref="O60">_xlfn.TEXTJOIN(", ",TRUE,_xlfn._xlws.FILTER(Tabla28[[#All],[PARTE]],ISNUMBER(SEARCH(Tabla28[[#All],[PCLAVE2]],Tabla8[[#This Row],[DESCRIPCION DE TRABAJO]])),""))</f>
        <v>Mds</v>
      </c>
      <c r="P60" s="303" t="str">
        <f>IFERROR(LEFT(O60, FIND(",", O60)-1), O60)</f>
        <v>Mds</v>
      </c>
      <c r="Q60" s="303" t="str">
        <f>IFERROR(IF(ISERROR(FIND(",", O60, FIND(",", O60)+1)), RIGHT(O60, LEN(O60)-FIND(",", O60)-1), MID(O60, FIND(",", O60)+2, FIND(",", O60, FIND(",", O60)+1)-FIND(",", O60)-2)), "")</f>
        <v/>
      </c>
      <c r="R60" s="303" t="str">
        <f>IFERROR(RIGHT(O60, LEN(O60)-FIND(",", O60, FIND(",", O60)+1)-1), "")</f>
        <v/>
      </c>
      <c r="S60" s="35" t="str" cm="1">
        <f t="array" ref="S60">_xlfn.TEXTJOIN(", ",TRUE,_xlfn._xlws.FILTER(Tabla29[[#All],[PARTE]],ISNUMBER(SEARCH(Tabla29[[#All],[PCLAVE3]],Tabla8[[#This Row],[DESCRIPCION DE TRABAJO]])),""))</f>
        <v/>
      </c>
      <c r="T60" s="34" t="str">
        <f>IF(AND(Tabla8[[#This Row],[PIEZA]]="",Tabla8[[#This Row],[PARTE]]=""),"VACIO","OK")</f>
        <v>OK</v>
      </c>
      <c r="U60" s="303" t="str">
        <f>+CONCATENATE(WEEKNUM(Tabla8[[#This Row],[FECHA]]),"-",YEAR(Tabla8[[#This Row],[FECHA]]))</f>
        <v>2-2026</v>
      </c>
    </row>
    <row r="61" spans="1:21" ht="15" customHeight="1">
      <c r="A61" s="22">
        <v>46028</v>
      </c>
      <c r="B61" s="16" t="s">
        <v>131</v>
      </c>
      <c r="C61" s="10" t="s">
        <v>36</v>
      </c>
      <c r="D61" s="381">
        <v>0.5</v>
      </c>
      <c r="E61" s="381">
        <v>0.52083333333333337</v>
      </c>
      <c r="F61" s="380">
        <f>+MOD(Tabla8[[#This Row],[HR. FIN]]-Tabla8[[#This Row],[HR. INICIO]],1)</f>
        <v>2.083333333333337E-2</v>
      </c>
      <c r="G61" s="16" t="s">
        <v>198</v>
      </c>
      <c r="H61" s="343" t="str">
        <f>IFERROR(VLOOKUP(G61,DATOS!$M$2:$N$219,2,FALSE),"")</f>
        <v>Maquinaria</v>
      </c>
      <c r="I61" s="115" t="s">
        <v>54</v>
      </c>
      <c r="J61" s="115" t="str">
        <f>+VLOOKUP($I61,Tabla7[#All],2,FALSE)</f>
        <v>PROGRAMADA</v>
      </c>
      <c r="K61" s="114" t="str">
        <f>IF(VLOOKUP(I61,Tabla7[#All],3,FALSE)=0,"",VLOOKUP(I61,Tabla7[#All],3,FALSE))</f>
        <v/>
      </c>
      <c r="L61" s="35" t="s">
        <v>154</v>
      </c>
      <c r="M61" s="35" t="s">
        <v>121</v>
      </c>
      <c r="N61" s="35" t="str" cm="1">
        <f t="array" ref="N61">IFERROR(IF(Tabla8[[#This Row],[P/NP]]="NO PROGRAMADA","",_xlfn.TEXTJOIN(", ",TRUE,_xlfn._xlws.FILTER(Tabla4[[#All],[PIEZA]],ISNUMBER(SEARCH(Tabla4[[#All],[PCLAVE]],Tabla8[[#This Row],[DESCRIPCION DE TRABAJO]])),""))),"")</f>
        <v/>
      </c>
      <c r="O61" s="35" t="str" cm="1">
        <f t="array" ref="O61">_xlfn.TEXTJOIN(", ",TRUE,_xlfn._xlws.FILTER(Tabla28[[#All],[PARTE]],ISNUMBER(SEARCH(Tabla28[[#All],[PCLAVE2]],Tabla8[[#This Row],[DESCRIPCION DE TRABAJO]])),""))</f>
        <v/>
      </c>
      <c r="P61" s="303" t="str">
        <f>IFERROR(LEFT(O61, FIND(",", O61)-1), O61)</f>
        <v/>
      </c>
      <c r="Q61" s="303" t="str">
        <f>IFERROR(IF(ISERROR(FIND(",", O61, FIND(",", O61)+1)), RIGHT(O61, LEN(O61)-FIND(",", O61)-1), MID(O61, FIND(",", O61)+2, FIND(",", O61, FIND(",", O61)+1)-FIND(",", O61)-2)), "")</f>
        <v/>
      </c>
      <c r="R61" s="303" t="str">
        <f>IFERROR(RIGHT(O61, LEN(O61)-FIND(",", O61, FIND(",", O61)+1)-1), "")</f>
        <v/>
      </c>
      <c r="S61" s="35" t="str" cm="1">
        <f t="array" ref="S61">_xlfn.TEXTJOIN(", ",TRUE,_xlfn._xlws.FILTER(Tabla29[[#All],[PARTE]],ISNUMBER(SEARCH(Tabla29[[#All],[PCLAVE3]],Tabla8[[#This Row],[DESCRIPCION DE TRABAJO]])),""))</f>
        <v/>
      </c>
      <c r="T61" s="34" t="str">
        <f>IF(AND(Tabla8[[#This Row],[PIEZA]]="",Tabla8[[#This Row],[PARTE]]=""),"VACIO","OK")</f>
        <v>VACIO</v>
      </c>
      <c r="U61" s="303" t="str">
        <f>+CONCATENATE(WEEKNUM(Tabla8[[#This Row],[FECHA]]),"-",YEAR(Tabla8[[#This Row],[FECHA]]))</f>
        <v>2-2026</v>
      </c>
    </row>
    <row r="62" spans="1:21" ht="15" customHeight="1">
      <c r="A62" s="22">
        <v>46028</v>
      </c>
      <c r="B62" s="16" t="s">
        <v>131</v>
      </c>
      <c r="C62" s="10" t="s">
        <v>36</v>
      </c>
      <c r="D62" s="381">
        <v>0.35416666666666669</v>
      </c>
      <c r="E62" s="381">
        <v>0.375</v>
      </c>
      <c r="F62" s="380">
        <f>+MOD(Tabla8[[#This Row],[HR. FIN]]-Tabla8[[#This Row],[HR. INICIO]],1)</f>
        <v>2.0833333333333315E-2</v>
      </c>
      <c r="G62" s="16" t="s">
        <v>114</v>
      </c>
      <c r="H62" s="343" t="str">
        <f>IFERROR(VLOOKUP(G62,DATOS!$M$2:$N$219,2,FALSE),"")</f>
        <v>Maquinaria</v>
      </c>
      <c r="I62" s="115" t="s">
        <v>57</v>
      </c>
      <c r="J62" s="115" t="s">
        <v>157</v>
      </c>
      <c r="K62" s="114"/>
      <c r="L62" s="35" t="s">
        <v>154</v>
      </c>
      <c r="M62" s="35" t="s">
        <v>199</v>
      </c>
      <c r="N62" s="35" t="str" cm="1">
        <f t="array" ref="N62">IFERROR(IF(Tabla8[[#This Row],[P/NP]]="NO PROGRAMADA","",_xlfn.TEXTJOIN(", ",TRUE,_xlfn._xlws.FILTER(Tabla4[[#All],[PIEZA]],ISNUMBER(SEARCH(Tabla4[[#All],[PCLAVE]],Tabla8[[#This Row],[DESCRIPCION DE TRABAJO]])),""))),"")</f>
        <v/>
      </c>
      <c r="O62" s="35" t="str" cm="1">
        <f t="array" ref="O62">_xlfn.TEXTJOIN(", ",TRUE,_xlfn._xlws.FILTER(Tabla28[[#All],[PARTE]],ISNUMBER(SEARCH(Tabla28[[#All],[PCLAVE2]],Tabla8[[#This Row],[DESCRIPCION DE TRABAJO]])),""))</f>
        <v/>
      </c>
      <c r="P62" s="303" t="str">
        <f>IFERROR(LEFT(O62, FIND(",", O62)-1), O62)</f>
        <v/>
      </c>
      <c r="Q62" s="303" t="str">
        <f>IFERROR(IF(ISERROR(FIND(",", O62, FIND(",", O62)+1)), RIGHT(O62, LEN(O62)-FIND(",", O62)-1), MID(O62, FIND(",", O62)+2, FIND(",", O62, FIND(",", O62)+1)-FIND(",", O62)-2)), "")</f>
        <v/>
      </c>
      <c r="R62" s="303" t="str">
        <f>IFERROR(RIGHT(O62, LEN(O62)-FIND(",", O62, FIND(",", O62)+1)-1), "")</f>
        <v/>
      </c>
      <c r="S62" s="35" t="str" cm="1">
        <f t="array" ref="S62">_xlfn.TEXTJOIN(", ",TRUE,_xlfn._xlws.FILTER(Tabla29[[#All],[PARTE]],ISNUMBER(SEARCH(Tabla29[[#All],[PCLAVE3]],Tabla8[[#This Row],[DESCRIPCION DE TRABAJO]])),""))</f>
        <v/>
      </c>
      <c r="T62" s="34" t="str">
        <f>IF(AND(Tabla8[[#This Row],[PIEZA]]="",Tabla8[[#This Row],[PARTE]]=""),"VACIO","OK")</f>
        <v>VACIO</v>
      </c>
      <c r="U62" s="303" t="str">
        <f>+CONCATENATE(WEEKNUM(Tabla8[[#This Row],[FECHA]]),"-",YEAR(Tabla8[[#This Row],[FECHA]]))</f>
        <v>2-2026</v>
      </c>
    </row>
    <row r="63" spans="1:21" ht="15" customHeight="1">
      <c r="A63" s="22">
        <v>46028</v>
      </c>
      <c r="B63" s="16" t="s">
        <v>179</v>
      </c>
      <c r="C63" s="10" t="s">
        <v>23</v>
      </c>
      <c r="D63" s="381">
        <v>0.70833333333333337</v>
      </c>
      <c r="E63" s="381">
        <v>0.72916666666666663</v>
      </c>
      <c r="F63" s="380">
        <f>+MOD(Tabla8[[#This Row],[HR. FIN]]-Tabla8[[#This Row],[HR. INICIO]],1)</f>
        <v>2.0833333333333259E-2</v>
      </c>
      <c r="G63" s="16" t="s">
        <v>153</v>
      </c>
      <c r="H63" s="343" t="str">
        <f>IFERROR(VLOOKUP(G63,DATOS!$M$2:$N$219,2,FALSE),"")</f>
        <v>Maquinaria</v>
      </c>
      <c r="I63" s="115" t="s">
        <v>57</v>
      </c>
      <c r="J63" s="115" t="str">
        <f>+VLOOKUP($I63,Tabla7[#All],2,FALSE)</f>
        <v>NO PROGRAMADA</v>
      </c>
      <c r="K63" s="114" t="str">
        <f>IF(VLOOKUP(I63,Tabla7[#All],3,FALSE)=0,"",VLOOKUP(I63,Tabla7[#All],3,FALSE))</f>
        <v>MECÁNICA</v>
      </c>
      <c r="L63" s="35" t="s">
        <v>200</v>
      </c>
      <c r="M63" s="35" t="s">
        <v>201</v>
      </c>
      <c r="N63" s="35" t="str" cm="1">
        <f t="array" ref="N63">IFERROR(IF(Tabla8[[#This Row],[P/NP]]="NO PROGRAMADA","",_xlfn.TEXTJOIN(", ",TRUE,_xlfn._xlws.FILTER(Tabla4[[#All],[PIEZA]],ISNUMBER(SEARCH(Tabla4[[#All],[PCLAVE]],Tabla8[[#This Row],[DESCRIPCION DE TRABAJO]])),""))),"")</f>
        <v/>
      </c>
      <c r="O63" s="35" t="str" cm="1">
        <f t="array" ref="O63">_xlfn.TEXTJOIN(", ",TRUE,_xlfn._xlws.FILTER(Tabla28[[#All],[PARTE]],ISNUMBER(SEARCH(Tabla28[[#All],[PCLAVE2]],Tabla8[[#This Row],[DESCRIPCION DE TRABAJO]])),""))</f>
        <v/>
      </c>
      <c r="P63" s="303" t="str">
        <f>IFERROR(LEFT(O63, FIND(",", O63)-1), O63)</f>
        <v/>
      </c>
      <c r="Q63" s="303" t="str">
        <f>IFERROR(IF(ISERROR(FIND(",", O63, FIND(",", O63)+1)), RIGHT(O63, LEN(O63)-FIND(",", O63)-1), MID(O63, FIND(",", O63)+2, FIND(",", O63, FIND(",", O63)+1)-FIND(",", O63)-2)), "")</f>
        <v/>
      </c>
      <c r="R63" s="303" t="str">
        <f>IFERROR(RIGHT(O63, LEN(O63)-FIND(",", O63, FIND(",", O63)+1)-1), "")</f>
        <v/>
      </c>
      <c r="S63" s="35" t="str" cm="1">
        <f t="array" ref="S63">_xlfn.TEXTJOIN(", ",TRUE,_xlfn._xlws.FILTER(Tabla29[[#All],[PARTE]],ISNUMBER(SEARCH(Tabla29[[#All],[PCLAVE3]],Tabla8[[#This Row],[DESCRIPCION DE TRABAJO]])),""))</f>
        <v>Doblada, Rajadura</v>
      </c>
      <c r="T63" s="34" t="str">
        <f>IF(AND(Tabla8[[#This Row],[PIEZA]]="",Tabla8[[#This Row],[PARTE]]=""),"VACIO","OK")</f>
        <v>VACIO</v>
      </c>
      <c r="U63" s="303" t="str">
        <f>+CONCATENATE(WEEKNUM(Tabla8[[#This Row],[FECHA]]),"-",YEAR(Tabla8[[#This Row],[FECHA]]))</f>
        <v>2-2026</v>
      </c>
    </row>
    <row r="64" spans="1:21" ht="15" customHeight="1">
      <c r="A64" s="22">
        <v>46028</v>
      </c>
      <c r="B64" s="16" t="s">
        <v>191</v>
      </c>
      <c r="C64" s="10" t="s">
        <v>23</v>
      </c>
      <c r="D64" s="381">
        <v>0.56458333333333333</v>
      </c>
      <c r="E64" s="381">
        <v>0.58263888888888893</v>
      </c>
      <c r="F64" s="380">
        <f>+MOD(Tabla8[[#This Row],[HR. FIN]]-Tabla8[[#This Row],[HR. INICIO]],1)</f>
        <v>1.8055555555555602E-2</v>
      </c>
      <c r="G64" s="16" t="s">
        <v>202</v>
      </c>
      <c r="H64" s="343" t="str">
        <f>IFERROR(VLOOKUP(G64,DATOS!$M$2:$N$219,2,FALSE),"")</f>
        <v>Maquinaria</v>
      </c>
      <c r="I64" s="115" t="s">
        <v>32</v>
      </c>
      <c r="J64" s="115" t="s">
        <v>92</v>
      </c>
      <c r="K64" s="114" t="s">
        <v>148</v>
      </c>
      <c r="L64" s="35" t="s">
        <v>203</v>
      </c>
      <c r="M64" s="35" t="s">
        <v>204</v>
      </c>
      <c r="N64" s="35" t="str" cm="1">
        <f t="array" ref="N64">IFERROR(IF(Tabla8[[#This Row],[P/NP]]="NO PROGRAMADA","",_xlfn.TEXTJOIN(", ",TRUE,_xlfn._xlws.FILTER(Tabla4[[#All],[PIEZA]],ISNUMBER(SEARCH(Tabla4[[#All],[PCLAVE]],Tabla8[[#This Row],[DESCRIPCION DE TRABAJO]])),""))),"")</f>
        <v/>
      </c>
      <c r="O64" s="35" t="str" cm="1">
        <f t="array" ref="O64">_xlfn.TEXTJOIN(", ",TRUE,_xlfn._xlws.FILTER(Tabla28[[#All],[PARTE]],ISNUMBER(SEARCH(Tabla28[[#All],[PCLAVE2]],Tabla8[[#This Row],[DESCRIPCION DE TRABAJO]])),""))</f>
        <v>Tanque</v>
      </c>
      <c r="P64" s="303" t="str">
        <f>IFERROR(LEFT(O64, FIND(",", O64)-1), O64)</f>
        <v>Tanque</v>
      </c>
      <c r="Q64" s="303" t="str">
        <f>IFERROR(IF(ISERROR(FIND(",", O64, FIND(",", O64)+1)), RIGHT(O64, LEN(O64)-FIND(",", O64)-1), MID(O64, FIND(",", O64)+2, FIND(",", O64, FIND(",", O64)+1)-FIND(",", O64)-2)), "")</f>
        <v/>
      </c>
      <c r="R64" s="303" t="str">
        <f>IFERROR(RIGHT(O64, LEN(O64)-FIND(",", O64, FIND(",", O64)+1)-1), "")</f>
        <v/>
      </c>
      <c r="S64" s="35" t="str" cm="1">
        <f t="array" ref="S64">_xlfn.TEXTJOIN(", ",TRUE,_xlfn._xlws.FILTER(Tabla29[[#All],[PARTE]],ISNUMBER(SEARCH(Tabla29[[#All],[PCLAVE3]],Tabla8[[#This Row],[DESCRIPCION DE TRABAJO]])),""))</f>
        <v>No Inicia</v>
      </c>
      <c r="T64" s="34" t="str">
        <f>IF(AND(Tabla8[[#This Row],[PIEZA]]="",Tabla8[[#This Row],[PARTE]]=""),"VACIO","OK")</f>
        <v>OK</v>
      </c>
      <c r="U64" s="303" t="str">
        <f>+CONCATENATE(WEEKNUM(Tabla8[[#This Row],[FECHA]]),"-",YEAR(Tabla8[[#This Row],[FECHA]]))</f>
        <v>2-2026</v>
      </c>
    </row>
    <row r="65" spans="1:21" ht="15" customHeight="1">
      <c r="A65" s="22">
        <v>46028</v>
      </c>
      <c r="B65" s="16" t="s">
        <v>191</v>
      </c>
      <c r="C65" s="10" t="s">
        <v>23</v>
      </c>
      <c r="D65" s="381">
        <v>0.61458333333333337</v>
      </c>
      <c r="E65" s="381">
        <v>0.63263888888888886</v>
      </c>
      <c r="F65" s="380">
        <f>+MOD(Tabla8[[#This Row],[HR. FIN]]-Tabla8[[#This Row],[HR. INICIO]],1)</f>
        <v>1.8055555555555491E-2</v>
      </c>
      <c r="G65" s="16" t="s">
        <v>205</v>
      </c>
      <c r="H65" s="343" t="str">
        <f>IFERROR(VLOOKUP(G65,DATOS!$M$2:$N$219,2,FALSE),"")</f>
        <v>Maquinaria</v>
      </c>
      <c r="I65" s="115" t="s">
        <v>61</v>
      </c>
      <c r="J65" s="115" t="str">
        <f>+VLOOKUP($I65,Tabla7[#All],2,FALSE)</f>
        <v>PROGRAMADA</v>
      </c>
      <c r="K65" s="114" t="str">
        <f>IF(VLOOKUP(I65,Tabla7[#All],3,FALSE)=0,"",VLOOKUP(I65,Tabla7[#All],3,FALSE))</f>
        <v/>
      </c>
      <c r="L65" s="35" t="s">
        <v>206</v>
      </c>
      <c r="M65" s="35" t="s">
        <v>207</v>
      </c>
      <c r="N65" s="35" t="str" cm="1">
        <f t="array" ref="N65">IFERROR(IF(Tabla8[[#This Row],[P/NP]]="NO PROGRAMADA","",_xlfn.TEXTJOIN(", ",TRUE,_xlfn._xlws.FILTER(Tabla4[[#All],[PIEZA]],ISNUMBER(SEARCH(Tabla4[[#All],[PCLAVE]],Tabla8[[#This Row],[DESCRIPCION DE TRABAJO]])),""))),"")</f>
        <v/>
      </c>
      <c r="O65" s="35" t="str" cm="1">
        <f t="array" ref="O65">_xlfn.TEXTJOIN(", ",TRUE,_xlfn._xlws.FILTER(Tabla28[[#All],[PARTE]],ISNUMBER(SEARCH(Tabla28[[#All],[PCLAVE2]],Tabla8[[#This Row],[DESCRIPCION DE TRABAJO]])),""))</f>
        <v/>
      </c>
      <c r="P65" s="303" t="str">
        <f>IFERROR(LEFT(O65, FIND(",", O65)-1), O65)</f>
        <v/>
      </c>
      <c r="Q65" s="303" t="str">
        <f>IFERROR(IF(ISERROR(FIND(",", O65, FIND(",", O65)+1)), RIGHT(O65, LEN(O65)-FIND(",", O65)-1), MID(O65, FIND(",", O65)+2, FIND(",", O65, FIND(",", O65)+1)-FIND(",", O65)-2)), "")</f>
        <v/>
      </c>
      <c r="R65" s="303" t="str">
        <f>IFERROR(RIGHT(O65, LEN(O65)-FIND(",", O65, FIND(",", O65)+1)-1), "")</f>
        <v/>
      </c>
      <c r="S65" s="35" t="str" cm="1">
        <f t="array" ref="S65">_xlfn.TEXTJOIN(", ",TRUE,_xlfn._xlws.FILTER(Tabla29[[#All],[PARTE]],ISNUMBER(SEARCH(Tabla29[[#All],[PCLAVE3]],Tabla8[[#This Row],[DESCRIPCION DE TRABAJO]])),""))</f>
        <v>No Imprime</v>
      </c>
      <c r="T65" s="34" t="str">
        <f>IF(AND(Tabla8[[#This Row],[PIEZA]]="",Tabla8[[#This Row],[PARTE]]=""),"VACIO","OK")</f>
        <v>VACIO</v>
      </c>
      <c r="U65" s="303" t="str">
        <f>+CONCATENATE(WEEKNUM(Tabla8[[#This Row],[FECHA]]),"-",YEAR(Tabla8[[#This Row],[FECHA]]))</f>
        <v>2-2026</v>
      </c>
    </row>
    <row r="66" spans="1:21" ht="15" customHeight="1">
      <c r="A66" s="22">
        <v>46028</v>
      </c>
      <c r="B66" s="16" t="s">
        <v>131</v>
      </c>
      <c r="C66" s="10" t="s">
        <v>36</v>
      </c>
      <c r="D66" s="381">
        <v>0.3298611111111111</v>
      </c>
      <c r="E66" s="381">
        <v>0.34722222222222221</v>
      </c>
      <c r="F66" s="380">
        <f>+MOD(Tabla8[[#This Row],[HR. FIN]]-Tabla8[[#This Row],[HR. INICIO]],1)</f>
        <v>1.7361111111111105E-2</v>
      </c>
      <c r="G66" s="16" t="s">
        <v>208</v>
      </c>
      <c r="H66" s="343" t="str">
        <f>IFERROR(VLOOKUP(G66,DATOS!$M$2:$N$219,2,FALSE),"")</f>
        <v>Maquinaria</v>
      </c>
      <c r="I66" s="115" t="s">
        <v>57</v>
      </c>
      <c r="J66" s="115" t="s">
        <v>157</v>
      </c>
      <c r="K66" s="114"/>
      <c r="L66" s="35" t="s">
        <v>209</v>
      </c>
      <c r="M66" s="35" t="s">
        <v>210</v>
      </c>
      <c r="N66" s="35" t="str" cm="1">
        <f t="array" ref="N66">IFERROR(IF(Tabla8[[#This Row],[P/NP]]="NO PROGRAMADA","",_xlfn.TEXTJOIN(", ",TRUE,_xlfn._xlws.FILTER(Tabla4[[#All],[PIEZA]],ISNUMBER(SEARCH(Tabla4[[#All],[PCLAVE]],Tabla8[[#This Row],[DESCRIPCION DE TRABAJO]])),""))),"")</f>
        <v/>
      </c>
      <c r="O66" s="35" t="str" cm="1">
        <f t="array" ref="O66">_xlfn.TEXTJOIN(", ",TRUE,_xlfn._xlws.FILTER(Tabla28[[#All],[PARTE]],ISNUMBER(SEARCH(Tabla28[[#All],[PCLAVE2]],Tabla8[[#This Row],[DESCRIPCION DE TRABAJO]])),""))</f>
        <v/>
      </c>
      <c r="P66" s="303" t="str">
        <f>IFERROR(LEFT(O66, FIND(",", O66)-1), O66)</f>
        <v/>
      </c>
      <c r="Q66" s="303" t="str">
        <f>IFERROR(IF(ISERROR(FIND(",", O66, FIND(",", O66)+1)), RIGHT(O66, LEN(O66)-FIND(",", O66)-1), MID(O66, FIND(",", O66)+2, FIND(",", O66, FIND(",", O66)+1)-FIND(",", O66)-2)), "")</f>
        <v/>
      </c>
      <c r="R66" s="303" t="str">
        <f>IFERROR(RIGHT(O66, LEN(O66)-FIND(",", O66, FIND(",", O66)+1)-1), "")</f>
        <v/>
      </c>
      <c r="S66" s="35" t="str" cm="1">
        <f t="array" ref="S66">_xlfn.TEXTJOIN(", ",TRUE,_xlfn._xlws.FILTER(Tabla29[[#All],[PARTE]],ISNUMBER(SEARCH(Tabla29[[#All],[PCLAVE3]],Tabla8[[#This Row],[DESCRIPCION DE TRABAJO]])),""))</f>
        <v/>
      </c>
      <c r="T66" s="34" t="str">
        <f>IF(AND(Tabla8[[#This Row],[PIEZA]]="",Tabla8[[#This Row],[PARTE]]=""),"VACIO","OK")</f>
        <v>VACIO</v>
      </c>
      <c r="U66" s="303" t="str">
        <f>+CONCATENATE(WEEKNUM(Tabla8[[#This Row],[FECHA]]),"-",YEAR(Tabla8[[#This Row],[FECHA]]))</f>
        <v>2-2026</v>
      </c>
    </row>
    <row r="67" spans="1:21" ht="15" customHeight="1">
      <c r="A67" s="22">
        <v>46028</v>
      </c>
      <c r="B67" s="16" t="s">
        <v>131</v>
      </c>
      <c r="C67" s="10" t="s">
        <v>36</v>
      </c>
      <c r="D67" s="381">
        <v>0.4375</v>
      </c>
      <c r="E67" s="381">
        <v>0.4513888888888889</v>
      </c>
      <c r="F67" s="380">
        <f>+MOD(Tabla8[[#This Row],[HR. FIN]]-Tabla8[[#This Row],[HR. INICIO]],1)</f>
        <v>1.3888888888888895E-2</v>
      </c>
      <c r="G67" s="16" t="s">
        <v>211</v>
      </c>
      <c r="H67" s="343" t="str">
        <f>IFERROR(VLOOKUP(G67,DATOS!$M$2:$N$219,2,FALSE),"")</f>
        <v>Maquinaria</v>
      </c>
      <c r="I67" s="115" t="s">
        <v>54</v>
      </c>
      <c r="J67" s="115" t="str">
        <f>+VLOOKUP($I67,Tabla7[#All],2,FALSE)</f>
        <v>PROGRAMADA</v>
      </c>
      <c r="K67" s="114" t="str">
        <f>IF(VLOOKUP(I67,Tabla7[#All],3,FALSE)=0,"",VLOOKUP(I67,Tabla7[#All],3,FALSE))</f>
        <v/>
      </c>
      <c r="L67" s="35" t="s">
        <v>212</v>
      </c>
      <c r="M67" s="35" t="s">
        <v>213</v>
      </c>
      <c r="N67" s="35" t="str" cm="1">
        <f t="array" ref="N67">IFERROR(IF(Tabla8[[#This Row],[P/NP]]="NO PROGRAMADA","",_xlfn.TEXTJOIN(", ",TRUE,_xlfn._xlws.FILTER(Tabla4[[#All],[PIEZA]],ISNUMBER(SEARCH(Tabla4[[#All],[PCLAVE]],Tabla8[[#This Row],[DESCRIPCION DE TRABAJO]])),""))),"")</f>
        <v/>
      </c>
      <c r="O67" s="35" t="str" cm="1">
        <f t="array" ref="O67">_xlfn.TEXTJOIN(", ",TRUE,_xlfn._xlws.FILTER(Tabla28[[#All],[PARTE]],ISNUMBER(SEARCH(Tabla28[[#All],[PCLAVE2]],Tabla8[[#This Row],[DESCRIPCION DE TRABAJO]])),""))</f>
        <v/>
      </c>
      <c r="P67" s="303" t="str">
        <f>IFERROR(LEFT(O67, FIND(",", O67)-1), O67)</f>
        <v/>
      </c>
      <c r="Q67" s="303" t="str">
        <f>IFERROR(IF(ISERROR(FIND(",", O67, FIND(",", O67)+1)), RIGHT(O67, LEN(O67)-FIND(",", O67)-1), MID(O67, FIND(",", O67)+2, FIND(",", O67, FIND(",", O67)+1)-FIND(",", O67)-2)), "")</f>
        <v/>
      </c>
      <c r="R67" s="303" t="str">
        <f>IFERROR(RIGHT(O67, LEN(O67)-FIND(",", O67, FIND(",", O67)+1)-1), "")</f>
        <v/>
      </c>
      <c r="S67" s="35" t="str" cm="1">
        <f t="array" ref="S67">_xlfn.TEXTJOIN(", ",TRUE,_xlfn._xlws.FILTER(Tabla29[[#All],[PARTE]],ISNUMBER(SEARCH(Tabla29[[#All],[PCLAVE3]],Tabla8[[#This Row],[DESCRIPCION DE TRABAJO]])),""))</f>
        <v/>
      </c>
      <c r="T67" s="34" t="str">
        <f>IF(AND(Tabla8[[#This Row],[PIEZA]]="",Tabla8[[#This Row],[PARTE]]=""),"VACIO","OK")</f>
        <v>VACIO</v>
      </c>
      <c r="U67" s="303" t="str">
        <f>+CONCATENATE(WEEKNUM(Tabla8[[#This Row],[FECHA]]),"-",YEAR(Tabla8[[#This Row],[FECHA]]))</f>
        <v>2-2026</v>
      </c>
    </row>
    <row r="68" spans="1:21" ht="15" customHeight="1">
      <c r="A68" s="22">
        <v>46028</v>
      </c>
      <c r="B68" s="16" t="s">
        <v>88</v>
      </c>
      <c r="C68" s="10" t="s">
        <v>36</v>
      </c>
      <c r="D68" s="381">
        <v>0.52777777777777779</v>
      </c>
      <c r="E68" s="381">
        <v>0.54166666666666663</v>
      </c>
      <c r="F68" s="380">
        <f>+MOD(Tabla8[[#This Row],[HR. FIN]]-Tabla8[[#This Row],[HR. INICIO]],1)</f>
        <v>1.388888888888884E-2</v>
      </c>
      <c r="G68" s="16" t="s">
        <v>119</v>
      </c>
      <c r="H68" s="343" t="str">
        <f>IFERROR(VLOOKUP(G68,DATOS!$M$2:$N$219,2,FALSE),"")</f>
        <v>Maquinaria</v>
      </c>
      <c r="I68" s="115" t="s">
        <v>54</v>
      </c>
      <c r="J68" s="115" t="str">
        <f>+VLOOKUP($I68,Tabla7[#All],2,FALSE)</f>
        <v>PROGRAMADA</v>
      </c>
      <c r="K68" s="114" t="str">
        <f>IF(VLOOKUP(I68,Tabla7[#All],3,FALSE)=0,"",VLOOKUP(I68,Tabla7[#All],3,FALSE))</f>
        <v/>
      </c>
      <c r="L68" s="35" t="s">
        <v>129</v>
      </c>
      <c r="M68" s="35" t="s">
        <v>214</v>
      </c>
      <c r="N68" s="35" t="str" cm="1">
        <f t="array" ref="N68">IFERROR(IF(Tabla8[[#This Row],[P/NP]]="NO PROGRAMADA","",_xlfn.TEXTJOIN(", ",TRUE,_xlfn._xlws.FILTER(Tabla4[[#All],[PIEZA]],ISNUMBER(SEARCH(Tabla4[[#All],[PCLAVE]],Tabla8[[#This Row],[DESCRIPCION DE TRABAJO]])),""))),"")</f>
        <v/>
      </c>
      <c r="O68" s="35" t="str" cm="1">
        <f t="array" ref="O68">_xlfn.TEXTJOIN(", ",TRUE,_xlfn._xlws.FILTER(Tabla28[[#All],[PARTE]],ISNUMBER(SEARCH(Tabla28[[#All],[PCLAVE2]],Tabla8[[#This Row],[DESCRIPCION DE TRABAJO]])),""))</f>
        <v/>
      </c>
      <c r="P68" s="303" t="str">
        <f>IFERROR(LEFT(O68, FIND(",", O68)-1), O68)</f>
        <v/>
      </c>
      <c r="Q68" s="303" t="str">
        <f>IFERROR(IF(ISERROR(FIND(",", O68, FIND(",", O68)+1)), RIGHT(O68, LEN(O68)-FIND(",", O68)-1), MID(O68, FIND(",", O68)+2, FIND(",", O68, FIND(",", O68)+1)-FIND(",", O68)-2)), "")</f>
        <v/>
      </c>
      <c r="R68" s="303" t="str">
        <f>IFERROR(RIGHT(O68, LEN(O68)-FIND(",", O68, FIND(",", O68)+1)-1), "")</f>
        <v/>
      </c>
      <c r="S68" s="35" t="str" cm="1">
        <f t="array" ref="S68">_xlfn.TEXTJOIN(", ",TRUE,_xlfn._xlws.FILTER(Tabla29[[#All],[PARTE]],ISNUMBER(SEARCH(Tabla29[[#All],[PCLAVE3]],Tabla8[[#This Row],[DESCRIPCION DE TRABAJO]])),""))</f>
        <v/>
      </c>
      <c r="T68" s="34" t="str">
        <f>IF(AND(Tabla8[[#This Row],[PIEZA]]="",Tabla8[[#This Row],[PARTE]]=""),"VACIO","OK")</f>
        <v>VACIO</v>
      </c>
      <c r="U68" s="303" t="str">
        <f>+CONCATENATE(WEEKNUM(Tabla8[[#This Row],[FECHA]]),"-",YEAR(Tabla8[[#This Row],[FECHA]]))</f>
        <v>2-2026</v>
      </c>
    </row>
    <row r="69" spans="1:21" ht="15" customHeight="1">
      <c r="A69" s="22">
        <v>46028</v>
      </c>
      <c r="B69" s="16" t="s">
        <v>191</v>
      </c>
      <c r="C69" s="10" t="s">
        <v>23</v>
      </c>
      <c r="D69" s="381">
        <v>0.52569444444444446</v>
      </c>
      <c r="E69" s="381">
        <v>0.53888888888888886</v>
      </c>
      <c r="F69" s="380">
        <f>+MOD(Tabla8[[#This Row],[HR. FIN]]-Tabla8[[#This Row],[HR. INICIO]],1)</f>
        <v>1.3194444444444398E-2</v>
      </c>
      <c r="G69" s="16" t="s">
        <v>215</v>
      </c>
      <c r="H69" s="343" t="str">
        <f>IFERROR(VLOOKUP(G69,DATOS!$M$2:$N$219,2,FALSE),"")</f>
        <v>Equipos auxiliares</v>
      </c>
      <c r="I69" s="115" t="s">
        <v>54</v>
      </c>
      <c r="J69" s="115" t="str">
        <f>+VLOOKUP($I69,Tabla7[#All],2,FALSE)</f>
        <v>PROGRAMADA</v>
      </c>
      <c r="K69" s="114" t="str">
        <f>IF(VLOOKUP(I69,Tabla7[#All],3,FALSE)=0,"",VLOOKUP(I69,Tabla7[#All],3,FALSE))</f>
        <v/>
      </c>
      <c r="L69" s="35" t="s">
        <v>216</v>
      </c>
      <c r="M69" s="35" t="s">
        <v>121</v>
      </c>
      <c r="N69" s="35" t="str" cm="1">
        <f t="array" ref="N69">IFERROR(IF(Tabla8[[#This Row],[P/NP]]="NO PROGRAMADA","",_xlfn.TEXTJOIN(", ",TRUE,_xlfn._xlws.FILTER(Tabla4[[#All],[PIEZA]],ISNUMBER(SEARCH(Tabla4[[#All],[PCLAVE]],Tabla8[[#This Row],[DESCRIPCION DE TRABAJO]])),""))),"")</f>
        <v/>
      </c>
      <c r="O69" s="35" t="str" cm="1">
        <f t="array" ref="O69">_xlfn.TEXTJOIN(", ",TRUE,_xlfn._xlws.FILTER(Tabla28[[#All],[PARTE]],ISNUMBER(SEARCH(Tabla28[[#All],[PCLAVE2]],Tabla8[[#This Row],[DESCRIPCION DE TRABAJO]])),""))</f>
        <v/>
      </c>
      <c r="P69" s="303" t="str">
        <f>IFERROR(LEFT(O69, FIND(",", O69)-1), O69)</f>
        <v/>
      </c>
      <c r="Q69" s="303" t="str">
        <f>IFERROR(IF(ISERROR(FIND(",", O69, FIND(",", O69)+1)), RIGHT(O69, LEN(O69)-FIND(",", O69)-1), MID(O69, FIND(",", O69)+2, FIND(",", O69, FIND(",", O69)+1)-FIND(",", O69)-2)), "")</f>
        <v/>
      </c>
      <c r="R69" s="303" t="str">
        <f>IFERROR(RIGHT(O69, LEN(O69)-FIND(",", O69, FIND(",", O69)+1)-1), "")</f>
        <v/>
      </c>
      <c r="S69" s="35" t="str" cm="1">
        <f t="array" ref="S69">_xlfn.TEXTJOIN(", ",TRUE,_xlfn._xlws.FILTER(Tabla29[[#All],[PARTE]],ISNUMBER(SEARCH(Tabla29[[#All],[PCLAVE3]],Tabla8[[#This Row],[DESCRIPCION DE TRABAJO]])),""))</f>
        <v/>
      </c>
      <c r="T69" s="34" t="str">
        <f>IF(AND(Tabla8[[#This Row],[PIEZA]]="",Tabla8[[#This Row],[PARTE]]=""),"VACIO","OK")</f>
        <v>VACIO</v>
      </c>
      <c r="U69" s="303" t="str">
        <f>+CONCATENATE(WEEKNUM(Tabla8[[#This Row],[FECHA]]),"-",YEAR(Tabla8[[#This Row],[FECHA]]))</f>
        <v>2-2026</v>
      </c>
    </row>
    <row r="70" spans="1:21" ht="15" customHeight="1">
      <c r="A70" s="22">
        <v>46028</v>
      </c>
      <c r="B70" s="16" t="s">
        <v>191</v>
      </c>
      <c r="C70" s="10" t="s">
        <v>23</v>
      </c>
      <c r="D70" s="381">
        <v>0.54791666666666672</v>
      </c>
      <c r="E70" s="381">
        <v>0.56111111111111112</v>
      </c>
      <c r="F70" s="380">
        <f>+MOD(Tabla8[[#This Row],[HR. FIN]]-Tabla8[[#This Row],[HR. INICIO]],1)</f>
        <v>1.3194444444444398E-2</v>
      </c>
      <c r="G70" s="16" t="s">
        <v>217</v>
      </c>
      <c r="H70" s="343" t="str">
        <f>IFERROR(VLOOKUP(G70,DATOS!$M$2:$N$219,2,FALSE),"")</f>
        <v>Maquinaria</v>
      </c>
      <c r="I70" s="115" t="s">
        <v>28</v>
      </c>
      <c r="J70" s="115" t="str">
        <f>+VLOOKUP($I70,Tabla7[#All],2,FALSE)</f>
        <v>NO PROGRAMADA</v>
      </c>
      <c r="K70" s="114" t="s">
        <v>93</v>
      </c>
      <c r="L70" s="35" t="s">
        <v>218</v>
      </c>
      <c r="M70" s="35" t="s">
        <v>219</v>
      </c>
      <c r="N70" s="35" t="str" cm="1">
        <f t="array" ref="N70">IFERROR(IF(Tabla8[[#This Row],[P/NP]]="NO PROGRAMADA","",_xlfn.TEXTJOIN(", ",TRUE,_xlfn._xlws.FILTER(Tabla4[[#All],[PIEZA]],ISNUMBER(SEARCH(Tabla4[[#All],[PCLAVE]],Tabla8[[#This Row],[DESCRIPCION DE TRABAJO]])),""))),"")</f>
        <v/>
      </c>
      <c r="O70" s="35" t="str" cm="1">
        <f t="array" ref="O70">_xlfn.TEXTJOIN(", ",TRUE,_xlfn._xlws.FILTER(Tabla28[[#All],[PARTE]],ISNUMBER(SEARCH(Tabla28[[#All],[PCLAVE2]],Tabla8[[#This Row],[DESCRIPCION DE TRABAJO]])),""))</f>
        <v/>
      </c>
      <c r="P70" s="303" t="str">
        <f>IFERROR(LEFT(O70, FIND(",", O70)-1), O70)</f>
        <v/>
      </c>
      <c r="Q70" s="303" t="str">
        <f>IFERROR(IF(ISERROR(FIND(",", O70, FIND(",", O70)+1)), RIGHT(O70, LEN(O70)-FIND(",", O70)-1), MID(O70, FIND(",", O70)+2, FIND(",", O70, FIND(",", O70)+1)-FIND(",", O70)-2)), "")</f>
        <v/>
      </c>
      <c r="R70" s="303" t="str">
        <f>IFERROR(RIGHT(O70, LEN(O70)-FIND(",", O70, FIND(",", O70)+1)-1), "")</f>
        <v/>
      </c>
      <c r="S70" s="35" t="str" cm="1">
        <f t="array" ref="S70">_xlfn.TEXTJOIN(", ",TRUE,_xlfn._xlws.FILTER(Tabla29[[#All],[PARTE]],ISNUMBER(SEARCH(Tabla29[[#All],[PCLAVE3]],Tabla8[[#This Row],[DESCRIPCION DE TRABAJO]])),""))</f>
        <v>Con Oxido</v>
      </c>
      <c r="T70" s="34" t="str">
        <f>IF(AND(Tabla8[[#This Row],[PIEZA]]="",Tabla8[[#This Row],[PARTE]]=""),"VACIO","OK")</f>
        <v>VACIO</v>
      </c>
      <c r="U70" s="303" t="str">
        <f>+CONCATENATE(WEEKNUM(Tabla8[[#This Row],[FECHA]]),"-",YEAR(Tabla8[[#This Row],[FECHA]]))</f>
        <v>2-2026</v>
      </c>
    </row>
    <row r="71" spans="1:21" ht="15" customHeight="1">
      <c r="A71" s="22">
        <v>46028</v>
      </c>
      <c r="B71" s="16" t="s">
        <v>131</v>
      </c>
      <c r="C71" s="10" t="s">
        <v>36</v>
      </c>
      <c r="D71" s="381">
        <v>0.26041666666666669</v>
      </c>
      <c r="E71" s="381">
        <v>0.27083333333333331</v>
      </c>
      <c r="F71" s="380">
        <f>+MOD(Tabla8[[#This Row],[HR. FIN]]-Tabla8[[#This Row],[HR. INICIO]],1)</f>
        <v>1.041666666666663E-2</v>
      </c>
      <c r="G71" s="16" t="s">
        <v>119</v>
      </c>
      <c r="H71" s="343" t="str">
        <f>IFERROR(VLOOKUP(G71,DATOS!$M$2:$N$219,2,FALSE),"")</f>
        <v>Maquinaria</v>
      </c>
      <c r="I71" s="115" t="s">
        <v>32</v>
      </c>
      <c r="J71" s="115" t="s">
        <v>92</v>
      </c>
      <c r="K71" s="114" t="s">
        <v>148</v>
      </c>
      <c r="L71" s="35" t="s">
        <v>220</v>
      </c>
      <c r="M71" s="35" t="s">
        <v>221</v>
      </c>
      <c r="N71" s="35" t="str" cm="1">
        <f t="array" ref="N71">IFERROR(IF(Tabla8[[#This Row],[P/NP]]="NO PROGRAMADA","",_xlfn.TEXTJOIN(", ",TRUE,_xlfn._xlws.FILTER(Tabla4[[#All],[PIEZA]],ISNUMBER(SEARCH(Tabla4[[#All],[PCLAVE]],Tabla8[[#This Row],[DESCRIPCION DE TRABAJO]])),""))),"")</f>
        <v/>
      </c>
      <c r="O71" s="35" t="str" cm="1">
        <f t="array" ref="O71">_xlfn.TEXTJOIN(", ",TRUE,_xlfn._xlws.FILTER(Tabla28[[#All],[PARTE]],ISNUMBER(SEARCH(Tabla28[[#All],[PCLAVE2]],Tabla8[[#This Row],[DESCRIPCION DE TRABAJO]])),""))</f>
        <v>Tanque, Temperadora</v>
      </c>
      <c r="P71" s="303" t="str">
        <f>IFERROR(LEFT(O71, FIND(",", O71)-1), O71)</f>
        <v>Tanque</v>
      </c>
      <c r="Q71" s="303" t="str">
        <f>IFERROR(IF(ISERROR(FIND(",", O71, FIND(",", O71)+1)), RIGHT(O71, LEN(O71)-FIND(",", O71)-1), MID(O71, FIND(",", O71)+2, FIND(",", O71, FIND(",", O71)+1)-FIND(",", O71)-2)), "")</f>
        <v>Temperadora</v>
      </c>
      <c r="R71" s="303" t="str">
        <f>IFERROR(RIGHT(O71, LEN(O71)-FIND(",", O71, FIND(",", O71)+1)-1), "")</f>
        <v/>
      </c>
      <c r="S71" s="35" t="str" cm="1">
        <f t="array" ref="S71">_xlfn.TEXTJOIN(", ",TRUE,_xlfn._xlws.FILTER(Tabla29[[#All],[PARTE]],ISNUMBER(SEARCH(Tabla29[[#All],[PCLAVE3]],Tabla8[[#This Row],[DESCRIPCION DE TRABAJO]])),""))</f>
        <v>Bloqueado</v>
      </c>
      <c r="T71" s="34" t="str">
        <f>IF(AND(Tabla8[[#This Row],[PIEZA]]="",Tabla8[[#This Row],[PARTE]]=""),"VACIO","OK")</f>
        <v>OK</v>
      </c>
      <c r="U71" s="303" t="str">
        <f>+CONCATENATE(WEEKNUM(Tabla8[[#This Row],[FECHA]]),"-",YEAR(Tabla8[[#This Row],[FECHA]]))</f>
        <v>2-2026</v>
      </c>
    </row>
    <row r="72" spans="1:21" ht="15" customHeight="1">
      <c r="A72" s="22">
        <v>46029</v>
      </c>
      <c r="B72" s="16" t="s">
        <v>88</v>
      </c>
      <c r="C72" s="10" t="s">
        <v>36</v>
      </c>
      <c r="D72" s="381">
        <v>0.39583333333333331</v>
      </c>
      <c r="E72" s="381">
        <v>0.4375</v>
      </c>
      <c r="F72" s="380">
        <f>+MOD(Tabla8[[#This Row],[HR. FIN]]-Tabla8[[#This Row],[HR. INICIO]],1)</f>
        <v>4.1666666666666685E-2</v>
      </c>
      <c r="G72" s="16" t="s">
        <v>222</v>
      </c>
      <c r="H72" s="343" t="str">
        <f>IFERROR(VLOOKUP(G72,DATOS!$M$2:$N$219,2,FALSE),"")</f>
        <v>Maquinaria</v>
      </c>
      <c r="I72" s="115" t="s">
        <v>57</v>
      </c>
      <c r="J72" s="115" t="str">
        <f>+VLOOKUP($I72,Tabla7[#All],2,FALSE)</f>
        <v>NO PROGRAMADA</v>
      </c>
      <c r="K72" s="114" t="str">
        <f>IF(VLOOKUP(I72,Tabla7[#All],3,FALSE)=0,"",VLOOKUP(I72,Tabla7[#All],3,FALSE))</f>
        <v>MECÁNICA</v>
      </c>
      <c r="L72" s="35" t="s">
        <v>223</v>
      </c>
      <c r="M72" s="35" t="s">
        <v>224</v>
      </c>
      <c r="N72" s="35" t="str" cm="1">
        <f t="array" ref="N72">IFERROR(IF(Tabla8[[#This Row],[P/NP]]="NO PROGRAMADA","",_xlfn.TEXTJOIN(", ",TRUE,_xlfn._xlws.FILTER(Tabla4[[#All],[PIEZA]],ISNUMBER(SEARCH(Tabla4[[#All],[PCLAVE]],Tabla8[[#This Row],[DESCRIPCION DE TRABAJO]])),""))),"")</f>
        <v/>
      </c>
      <c r="O72" s="35" t="str" cm="1">
        <f t="array" ref="O72">_xlfn.TEXTJOIN(", ",TRUE,_xlfn._xlws.FILTER(Tabla28[[#All],[PARTE]],ISNUMBER(SEARCH(Tabla28[[#All],[PCLAVE2]],Tabla8[[#This Row],[DESCRIPCION DE TRABAJO]])),""))</f>
        <v/>
      </c>
      <c r="P72" s="303" t="str">
        <f>IFERROR(LEFT(O72, FIND(",", O72)-1), O72)</f>
        <v/>
      </c>
      <c r="Q72" s="303" t="str">
        <f>IFERROR(IF(ISERROR(FIND(",", O72, FIND(",", O72)+1)), RIGHT(O72, LEN(O72)-FIND(",", O72)-1), MID(O72, FIND(",", O72)+2, FIND(",", O72, FIND(",", O72)+1)-FIND(",", O72)-2)), "")</f>
        <v/>
      </c>
      <c r="R72" s="303" t="str">
        <f>IFERROR(RIGHT(O72, LEN(O72)-FIND(",", O72, FIND(",", O72)+1)-1), "")</f>
        <v/>
      </c>
      <c r="S72" s="35" t="str" cm="1">
        <f t="array" ref="S72">_xlfn.TEXTJOIN(", ",TRUE,_xlfn._xlws.FILTER(Tabla29[[#All],[PARTE]],ISNUMBER(SEARCH(Tabla29[[#All],[PCLAVE3]],Tabla8[[#This Row],[DESCRIPCION DE TRABAJO]])),""))</f>
        <v>Error</v>
      </c>
      <c r="T72" s="34" t="str">
        <f>IF(AND(Tabla8[[#This Row],[PIEZA]]="",Tabla8[[#This Row],[PARTE]]=""),"VACIO","OK")</f>
        <v>VACIO</v>
      </c>
      <c r="U72" s="303" t="str">
        <f>+CONCATENATE(WEEKNUM(Tabla8[[#This Row],[FECHA]]),"-",YEAR(Tabla8[[#This Row],[FECHA]]))</f>
        <v>2-2026</v>
      </c>
    </row>
    <row r="73" spans="1:21" ht="15" customHeight="1">
      <c r="A73" s="22">
        <v>46029</v>
      </c>
      <c r="B73" s="16" t="s">
        <v>131</v>
      </c>
      <c r="C73" s="10" t="s">
        <v>36</v>
      </c>
      <c r="D73" s="381">
        <v>0.53472222222222221</v>
      </c>
      <c r="E73" s="381">
        <v>0.56597222222222221</v>
      </c>
      <c r="F73" s="380">
        <f>+MOD(Tabla8[[#This Row],[HR. FIN]]-Tabla8[[#This Row],[HR. INICIO]],1)</f>
        <v>3.125E-2</v>
      </c>
      <c r="G73" s="16" t="s">
        <v>192</v>
      </c>
      <c r="H73" s="343" t="str">
        <f>IFERROR(VLOOKUP(G73,DATOS!$M$2:$N$219,2,FALSE),"")</f>
        <v>Maquinaria</v>
      </c>
      <c r="I73" s="115" t="s">
        <v>32</v>
      </c>
      <c r="J73" s="115" t="str">
        <f>+VLOOKUP($I73,Tabla7[#All],2,FALSE)</f>
        <v>PROGRAMADA</v>
      </c>
      <c r="K73" s="114" t="str">
        <f>IF(VLOOKUP(I73,Tabla7[#All],3,FALSE)=0,"",VLOOKUP(I73,Tabla7[#All],3,FALSE))</f>
        <v/>
      </c>
      <c r="L73" s="35" t="s">
        <v>225</v>
      </c>
      <c r="M73" s="35" t="s">
        <v>226</v>
      </c>
      <c r="N73" s="35" t="str" cm="1">
        <f t="array" ref="N73">IFERROR(IF(Tabla8[[#This Row],[P/NP]]="NO PROGRAMADA","",_xlfn.TEXTJOIN(", ",TRUE,_xlfn._xlws.FILTER(Tabla4[[#All],[PIEZA]],ISNUMBER(SEARCH(Tabla4[[#All],[PCLAVE]],Tabla8[[#This Row],[DESCRIPCION DE TRABAJO]])),""))),"")</f>
        <v/>
      </c>
      <c r="O73" s="35" t="str" cm="1">
        <f t="array" ref="O73">_xlfn.TEXTJOIN(", ",TRUE,_xlfn._xlws.FILTER(Tabla28[[#All],[PARTE]],ISNUMBER(SEARCH(Tabla28[[#All],[PCLAVE2]],Tabla8[[#This Row],[DESCRIPCION DE TRABAJO]])),""))</f>
        <v/>
      </c>
      <c r="P73" s="303" t="str">
        <f>IFERROR(LEFT(O73, FIND(",", O73)-1), O73)</f>
        <v/>
      </c>
      <c r="Q73" s="303" t="str">
        <f>IFERROR(IF(ISERROR(FIND(",", O73, FIND(",", O73)+1)), RIGHT(O73, LEN(O73)-FIND(",", O73)-1), MID(O73, FIND(",", O73)+2, FIND(",", O73, FIND(",", O73)+1)-FIND(",", O73)-2)), "")</f>
        <v/>
      </c>
      <c r="R73" s="303" t="str">
        <f>IFERROR(RIGHT(O73, LEN(O73)-FIND(",", O73, FIND(",", O73)+1)-1), "")</f>
        <v/>
      </c>
      <c r="S73" s="35" t="str" cm="1">
        <f t="array" ref="S73">_xlfn.TEXTJOIN(", ",TRUE,_xlfn._xlws.FILTER(Tabla29[[#All],[PARTE]],ISNUMBER(SEARCH(Tabla29[[#All],[PCLAVE3]],Tabla8[[#This Row],[DESCRIPCION DE TRABAJO]])),""))</f>
        <v/>
      </c>
      <c r="T73" s="34" t="str">
        <f>IF(AND(Tabla8[[#This Row],[PIEZA]]="",Tabla8[[#This Row],[PARTE]]=""),"VACIO","OK")</f>
        <v>VACIO</v>
      </c>
      <c r="U73" s="303" t="str">
        <f>+CONCATENATE(WEEKNUM(Tabla8[[#This Row],[FECHA]]),"-",YEAR(Tabla8[[#This Row],[FECHA]]))</f>
        <v>2-2026</v>
      </c>
    </row>
    <row r="74" spans="1:21" ht="15" customHeight="1">
      <c r="A74" s="22">
        <v>46029</v>
      </c>
      <c r="B74" s="16" t="s">
        <v>131</v>
      </c>
      <c r="C74" s="10" t="s">
        <v>36</v>
      </c>
      <c r="D74" s="381">
        <v>0.34027777777777779</v>
      </c>
      <c r="E74" s="381">
        <v>0.36666666666666664</v>
      </c>
      <c r="F74" s="380">
        <f>+MOD(Tabla8[[#This Row],[HR. FIN]]-Tabla8[[#This Row],[HR. INICIO]],1)</f>
        <v>2.6388888888888851E-2</v>
      </c>
      <c r="G74" s="16" t="s">
        <v>165</v>
      </c>
      <c r="H74" s="343" t="str">
        <f>IFERROR(VLOOKUP(G74,DATOS!$M$2:$N$219,2,FALSE),"")</f>
        <v>Maquinaria</v>
      </c>
      <c r="I74" s="115" t="s">
        <v>54</v>
      </c>
      <c r="J74" s="115" t="s">
        <v>92</v>
      </c>
      <c r="K74" s="114" t="s">
        <v>148</v>
      </c>
      <c r="L74" s="35" t="s">
        <v>227</v>
      </c>
      <c r="M74" s="35" t="s">
        <v>228</v>
      </c>
      <c r="N74" s="35" t="str" cm="1">
        <f t="array" ref="N74">IFERROR(IF(Tabla8[[#This Row],[P/NP]]="NO PROGRAMADA","",_xlfn.TEXTJOIN(", ",TRUE,_xlfn._xlws.FILTER(Tabla4[[#All],[PIEZA]],ISNUMBER(SEARCH(Tabla4[[#All],[PCLAVE]],Tabla8[[#This Row],[DESCRIPCION DE TRABAJO]])),""))),"")</f>
        <v/>
      </c>
      <c r="O74" s="35" t="str" cm="1">
        <f t="array" ref="O74">_xlfn.TEXTJOIN(", ",TRUE,_xlfn._xlws.FILTER(Tabla28[[#All],[PARTE]],ISNUMBER(SEARCH(Tabla28[[#All],[PCLAVE2]],Tabla8[[#This Row],[DESCRIPCION DE TRABAJO]])),""))</f>
        <v/>
      </c>
      <c r="P74" s="303" t="str">
        <f>IFERROR(LEFT(O74, FIND(",", O74)-1), O74)</f>
        <v/>
      </c>
      <c r="Q74" s="303" t="str">
        <f>IFERROR(IF(ISERROR(FIND(",", O74, FIND(",", O74)+1)), RIGHT(O74, LEN(O74)-FIND(",", O74)-1), MID(O74, FIND(",", O74)+2, FIND(",", O74, FIND(",", O74)+1)-FIND(",", O74)-2)), "")</f>
        <v/>
      </c>
      <c r="R74" s="303" t="str">
        <f>IFERROR(RIGHT(O74, LEN(O74)-FIND(",", O74, FIND(",", O74)+1)-1), "")</f>
        <v/>
      </c>
      <c r="S74" s="35" t="str" cm="1">
        <f t="array" ref="S74">_xlfn.TEXTJOIN(", ",TRUE,_xlfn._xlws.FILTER(Tabla29[[#All],[PARTE]],ISNUMBER(SEARCH(Tabla29[[#All],[PCLAVE3]],Tabla8[[#This Row],[DESCRIPCION DE TRABAJO]])),""))</f>
        <v>No Enciende, Reset, Vibracion</v>
      </c>
      <c r="T74" s="34" t="str">
        <f>IF(AND(Tabla8[[#This Row],[PIEZA]]="",Tabla8[[#This Row],[PARTE]]=""),"VACIO","OK")</f>
        <v>VACIO</v>
      </c>
      <c r="U74" s="303" t="str">
        <f>+CONCATENATE(WEEKNUM(Tabla8[[#This Row],[FECHA]]),"-",YEAR(Tabla8[[#This Row],[FECHA]]))</f>
        <v>2-2026</v>
      </c>
    </row>
    <row r="75" spans="1:21" ht="15" customHeight="1">
      <c r="A75" s="22">
        <v>46029</v>
      </c>
      <c r="B75" s="16" t="s">
        <v>131</v>
      </c>
      <c r="C75" s="10" t="s">
        <v>36</v>
      </c>
      <c r="D75" s="381">
        <v>0.29166666666666669</v>
      </c>
      <c r="E75" s="381">
        <v>0.31597222222222221</v>
      </c>
      <c r="F75" s="380">
        <f>+MOD(Tabla8[[#This Row],[HR. FIN]]-Tabla8[[#This Row],[HR. INICIO]],1)</f>
        <v>2.4305555555555525E-2</v>
      </c>
      <c r="G75" s="16" t="s">
        <v>182</v>
      </c>
      <c r="H75" s="343" t="str">
        <f>IFERROR(VLOOKUP(G75,DATOS!$M$2:$N$219,2,FALSE),"")</f>
        <v>Maquinaria</v>
      </c>
      <c r="I75" s="115" t="s">
        <v>57</v>
      </c>
      <c r="J75" s="115" t="str">
        <f>+VLOOKUP($I75,Tabla7[#All],2,FALSE)</f>
        <v>NO PROGRAMADA</v>
      </c>
      <c r="K75" s="114" t="str">
        <f>IF(VLOOKUP(I75,Tabla7[#All],3,FALSE)=0,"",VLOOKUP(I75,Tabla7[#All],3,FALSE))</f>
        <v>MECÁNICA</v>
      </c>
      <c r="L75" s="35" t="s">
        <v>229</v>
      </c>
      <c r="M75" s="35" t="s">
        <v>230</v>
      </c>
      <c r="N75" s="35" t="str" cm="1">
        <f t="array" ref="N75">IFERROR(IF(Tabla8[[#This Row],[P/NP]]="NO PROGRAMADA","",_xlfn.TEXTJOIN(", ",TRUE,_xlfn._xlws.FILTER(Tabla4[[#All],[PIEZA]],ISNUMBER(SEARCH(Tabla4[[#All],[PCLAVE]],Tabla8[[#This Row],[DESCRIPCION DE TRABAJO]])),""))),"")</f>
        <v/>
      </c>
      <c r="O75" s="35" t="str" cm="1">
        <f t="array" ref="O75">_xlfn.TEXTJOIN(", ",TRUE,_xlfn._xlws.FILTER(Tabla28[[#All],[PARTE]],ISNUMBER(SEARCH(Tabla28[[#All],[PCLAVE2]],Tabla8[[#This Row],[DESCRIPCION DE TRABAJO]])),""))</f>
        <v/>
      </c>
      <c r="P75" s="303" t="str">
        <f>IFERROR(LEFT(O75, FIND(",", O75)-1), O75)</f>
        <v/>
      </c>
      <c r="Q75" s="303" t="str">
        <f>IFERROR(IF(ISERROR(FIND(",", O75, FIND(",", O75)+1)), RIGHT(O75, LEN(O75)-FIND(",", O75)-1), MID(O75, FIND(",", O75)+2, FIND(",", O75, FIND(",", O75)+1)-FIND(",", O75)-2)), "")</f>
        <v/>
      </c>
      <c r="R75" s="303" t="str">
        <f>IFERROR(RIGHT(O75, LEN(O75)-FIND(",", O75, FIND(",", O75)+1)-1), "")</f>
        <v/>
      </c>
      <c r="S75" s="35" t="str" cm="1">
        <f t="array" ref="S75">_xlfn.TEXTJOIN(", ",TRUE,_xlfn._xlws.FILTER(Tabla29[[#All],[PARTE]],ISNUMBER(SEARCH(Tabla29[[#All],[PCLAVE3]],Tabla8[[#This Row],[DESCRIPCION DE TRABAJO]])),""))</f>
        <v>No Sella</v>
      </c>
      <c r="T75" s="34" t="str">
        <f>IF(AND(Tabla8[[#This Row],[PIEZA]]="",Tabla8[[#This Row],[PARTE]]=""),"VACIO","OK")</f>
        <v>VACIO</v>
      </c>
      <c r="U75" s="303" t="str">
        <f>+CONCATENATE(WEEKNUM(Tabla8[[#This Row],[FECHA]]),"-",YEAR(Tabla8[[#This Row],[FECHA]]))</f>
        <v>2-2026</v>
      </c>
    </row>
    <row r="76" spans="1:21" ht="15" customHeight="1">
      <c r="A76" s="22">
        <v>46029</v>
      </c>
      <c r="B76" s="16" t="s">
        <v>131</v>
      </c>
      <c r="C76" s="10" t="s">
        <v>36</v>
      </c>
      <c r="D76" s="381">
        <v>0.38541666666666669</v>
      </c>
      <c r="E76" s="381">
        <v>0.40972222222222221</v>
      </c>
      <c r="F76" s="380">
        <f>+MOD(Tabla8[[#This Row],[HR. FIN]]-Tabla8[[#This Row],[HR. INICIO]],1)</f>
        <v>2.4305555555555525E-2</v>
      </c>
      <c r="G76" s="16" t="s">
        <v>222</v>
      </c>
      <c r="H76" s="343" t="str">
        <f>IFERROR(VLOOKUP(G76,DATOS!$M$2:$N$219,2,FALSE),"")</f>
        <v>Maquinaria</v>
      </c>
      <c r="I76" s="115" t="s">
        <v>61</v>
      </c>
      <c r="J76" s="115" t="s">
        <v>92</v>
      </c>
      <c r="K76" s="114" t="s">
        <v>93</v>
      </c>
      <c r="L76" s="35" t="s">
        <v>231</v>
      </c>
      <c r="M76" s="35" t="s">
        <v>232</v>
      </c>
      <c r="N76" s="35" t="str" cm="1">
        <f t="array" ref="N76">IFERROR(IF(Tabla8[[#This Row],[P/NP]]="NO PROGRAMADA","",_xlfn.TEXTJOIN(", ",TRUE,_xlfn._xlws.FILTER(Tabla4[[#All],[PIEZA]],ISNUMBER(SEARCH(Tabla4[[#All],[PCLAVE]],Tabla8[[#This Row],[DESCRIPCION DE TRABAJO]])),""))),"")</f>
        <v/>
      </c>
      <c r="O76" s="35" t="str" cm="1">
        <f t="array" ref="O76">_xlfn.TEXTJOIN(", ",TRUE,_xlfn._xlws.FILTER(Tabla28[[#All],[PARTE]],ISNUMBER(SEARCH(Tabla28[[#All],[PCLAVE2]],Tabla8[[#This Row],[DESCRIPCION DE TRABAJO]])),""))</f>
        <v/>
      </c>
      <c r="P76" s="303" t="str">
        <f>IFERROR(LEFT(O76, FIND(",", O76)-1), O76)</f>
        <v/>
      </c>
      <c r="Q76" s="303" t="str">
        <f>IFERROR(IF(ISERROR(FIND(",", O76, FIND(",", O76)+1)), RIGHT(O76, LEN(O76)-FIND(",", O76)-1), MID(O76, FIND(",", O76)+2, FIND(",", O76, FIND(",", O76)+1)-FIND(",", O76)-2)), "")</f>
        <v/>
      </c>
      <c r="R76" s="303" t="str">
        <f>IFERROR(RIGHT(O76, LEN(O76)-FIND(",", O76, FIND(",", O76)+1)-1), "")</f>
        <v/>
      </c>
      <c r="S76" s="35" t="str" cm="1">
        <f t="array" ref="S76">_xlfn.TEXTJOIN(", ",TRUE,_xlfn._xlws.FILTER(Tabla29[[#All],[PARTE]],ISNUMBER(SEARCH(Tabla29[[#All],[PCLAVE3]],Tabla8[[#This Row],[DESCRIPCION DE TRABAJO]])),""))</f>
        <v>Alarma</v>
      </c>
      <c r="T76" s="34" t="str">
        <f>IF(AND(Tabla8[[#This Row],[PIEZA]]="",Tabla8[[#This Row],[PARTE]]=""),"VACIO","OK")</f>
        <v>VACIO</v>
      </c>
      <c r="U76" s="303" t="str">
        <f>+CONCATENATE(WEEKNUM(Tabla8[[#This Row],[FECHA]]),"-",YEAR(Tabla8[[#This Row],[FECHA]]))</f>
        <v>2-2026</v>
      </c>
    </row>
    <row r="77" spans="1:21" ht="15" customHeight="1">
      <c r="A77" s="22">
        <v>46029</v>
      </c>
      <c r="B77" s="16" t="s">
        <v>191</v>
      </c>
      <c r="C77" s="10" t="s">
        <v>23</v>
      </c>
      <c r="D77" s="381">
        <v>0.55138888888888893</v>
      </c>
      <c r="E77" s="381">
        <v>0.57430555555555551</v>
      </c>
      <c r="F77" s="380">
        <f>+MOD(Tabla8[[#This Row],[HR. FIN]]-Tabla8[[#This Row],[HR. INICIO]],1)</f>
        <v>2.2916666666666585E-2</v>
      </c>
      <c r="G77" s="16" t="s">
        <v>119</v>
      </c>
      <c r="H77" s="343" t="str">
        <f>IFERROR(VLOOKUP(G77,DATOS!$M$2:$N$219,2,FALSE),"")</f>
        <v>Maquinaria</v>
      </c>
      <c r="I77" s="115" t="s">
        <v>32</v>
      </c>
      <c r="J77" s="115" t="str">
        <f>+VLOOKUP($I77,Tabla7[#All],2,FALSE)</f>
        <v>PROGRAMADA</v>
      </c>
      <c r="K77" s="114" t="str">
        <f>IF(VLOOKUP(I77,Tabla7[#All],3,FALSE)=0,"",VLOOKUP(I77,Tabla7[#All],3,FALSE))</f>
        <v/>
      </c>
      <c r="L77" s="35" t="s">
        <v>233</v>
      </c>
      <c r="M77" s="35" t="s">
        <v>121</v>
      </c>
      <c r="N77" s="35" t="str" cm="1">
        <f t="array" ref="N77">IFERROR(IF(Tabla8[[#This Row],[P/NP]]="NO PROGRAMADA","",_xlfn.TEXTJOIN(", ",TRUE,_xlfn._xlws.FILTER(Tabla4[[#All],[PIEZA]],ISNUMBER(SEARCH(Tabla4[[#All],[PCLAVE]],Tabla8[[#This Row],[DESCRIPCION DE TRABAJO]])),""))),"")</f>
        <v/>
      </c>
      <c r="O77" s="35" t="str" cm="1">
        <f t="array" ref="O77">_xlfn.TEXTJOIN(", ",TRUE,_xlfn._xlws.FILTER(Tabla28[[#All],[PARTE]],ISNUMBER(SEARCH(Tabla28[[#All],[PCLAVE2]],Tabla8[[#This Row],[DESCRIPCION DE TRABAJO]])),""))</f>
        <v>Mds</v>
      </c>
      <c r="P77" s="303" t="str">
        <f>IFERROR(LEFT(O77, FIND(",", O77)-1), O77)</f>
        <v>Mds</v>
      </c>
      <c r="Q77" s="303" t="str">
        <f>IFERROR(IF(ISERROR(FIND(",", O77, FIND(",", O77)+1)), RIGHT(O77, LEN(O77)-FIND(",", O77)-1), MID(O77, FIND(",", O77)+2, FIND(",", O77, FIND(",", O77)+1)-FIND(",", O77)-2)), "")</f>
        <v/>
      </c>
      <c r="R77" s="303" t="str">
        <f>IFERROR(RIGHT(O77, LEN(O77)-FIND(",", O77, FIND(",", O77)+1)-1), "")</f>
        <v/>
      </c>
      <c r="S77" s="35" t="str" cm="1">
        <f t="array" ref="S77">_xlfn.TEXTJOIN(", ",TRUE,_xlfn._xlws.FILTER(Tabla29[[#All],[PARTE]],ISNUMBER(SEARCH(Tabla29[[#All],[PCLAVE3]],Tabla8[[#This Row],[DESCRIPCION DE TRABAJO]])),""))</f>
        <v>Cambio De Formato</v>
      </c>
      <c r="T77" s="34" t="str">
        <f>IF(AND(Tabla8[[#This Row],[PIEZA]]="",Tabla8[[#This Row],[PARTE]]=""),"VACIO","OK")</f>
        <v>OK</v>
      </c>
      <c r="U77" s="303" t="str">
        <f>+CONCATENATE(WEEKNUM(Tabla8[[#This Row],[FECHA]]),"-",YEAR(Tabla8[[#This Row],[FECHA]]))</f>
        <v>2-2026</v>
      </c>
    </row>
    <row r="78" spans="1:21" ht="15" customHeight="1">
      <c r="A78" s="22">
        <v>46029</v>
      </c>
      <c r="B78" s="16" t="s">
        <v>111</v>
      </c>
      <c r="C78" s="10" t="s">
        <v>39</v>
      </c>
      <c r="D78" s="381">
        <v>0.12152777777777778</v>
      </c>
      <c r="E78" s="381">
        <v>0.1388888888888889</v>
      </c>
      <c r="F78" s="380">
        <f>+MOD(Tabla8[[#This Row],[HR. FIN]]-Tabla8[[#This Row],[HR. INICIO]],1)</f>
        <v>1.7361111111111119E-2</v>
      </c>
      <c r="G78" s="16" t="s">
        <v>182</v>
      </c>
      <c r="H78" s="343" t="str">
        <f>IFERROR(VLOOKUP(G78,DATOS!$M$2:$N$219,2,FALSE),"")</f>
        <v>Maquinaria</v>
      </c>
      <c r="I78" s="115" t="s">
        <v>57</v>
      </c>
      <c r="J78" s="115" t="str">
        <f>+VLOOKUP($I78,Tabla7[#All],2,FALSE)</f>
        <v>NO PROGRAMADA</v>
      </c>
      <c r="K78" s="114" t="str">
        <f>IF(VLOOKUP(I78,Tabla7[#All],3,FALSE)=0,"",VLOOKUP(I78,Tabla7[#All],3,FALSE))</f>
        <v>MECÁNICA</v>
      </c>
      <c r="L78" s="35" t="s">
        <v>234</v>
      </c>
      <c r="M78" s="35" t="s">
        <v>235</v>
      </c>
      <c r="N78" s="35" t="str" cm="1">
        <f t="array" ref="N78">IFERROR(IF(Tabla8[[#This Row],[P/NP]]="NO PROGRAMADA","",_xlfn.TEXTJOIN(", ",TRUE,_xlfn._xlws.FILTER(Tabla4[[#All],[PIEZA]],ISNUMBER(SEARCH(Tabla4[[#All],[PCLAVE]],Tabla8[[#This Row],[DESCRIPCION DE TRABAJO]])),""))),"")</f>
        <v/>
      </c>
      <c r="O78" s="35" t="str" cm="1">
        <f t="array" ref="O78">_xlfn.TEXTJOIN(", ",TRUE,_xlfn._xlws.FILTER(Tabla28[[#All],[PARTE]],ISNUMBER(SEARCH(Tabla28[[#All],[PCLAVE2]],Tabla8[[#This Row],[DESCRIPCION DE TRABAJO]])),""))</f>
        <v/>
      </c>
      <c r="P78" s="303" t="str">
        <f>IFERROR(LEFT(O78, FIND(",", O78)-1), O78)</f>
        <v/>
      </c>
      <c r="Q78" s="303" t="str">
        <f>IFERROR(IF(ISERROR(FIND(",", O78, FIND(",", O78)+1)), RIGHT(O78, LEN(O78)-FIND(",", O78)-1), MID(O78, FIND(",", O78)+2, FIND(",", O78, FIND(",", O78)+1)-FIND(",", O78)-2)), "")</f>
        <v/>
      </c>
      <c r="R78" s="303" t="str">
        <f>IFERROR(RIGHT(O78, LEN(O78)-FIND(",", O78, FIND(",", O78)+1)-1), "")</f>
        <v/>
      </c>
      <c r="S78" s="35" t="str" cm="1">
        <f t="array" ref="S78">_xlfn.TEXTJOIN(", ",TRUE,_xlfn._xlws.FILTER(Tabla29[[#All],[PARTE]],ISNUMBER(SEARCH(Tabla29[[#All],[PCLAVE3]],Tabla8[[#This Row],[DESCRIPCION DE TRABAJO]])),""))</f>
        <v/>
      </c>
      <c r="T78" s="34" t="str">
        <f>IF(AND(Tabla8[[#This Row],[PIEZA]]="",Tabla8[[#This Row],[PARTE]]=""),"VACIO","OK")</f>
        <v>VACIO</v>
      </c>
      <c r="U78" s="303" t="str">
        <f>+CONCATENATE(WEEKNUM(Tabla8[[#This Row],[FECHA]]),"-",YEAR(Tabla8[[#This Row],[FECHA]]))</f>
        <v>2-2026</v>
      </c>
    </row>
    <row r="79" spans="1:21" ht="15" customHeight="1">
      <c r="A79" s="22">
        <v>46029</v>
      </c>
      <c r="B79" s="16" t="s">
        <v>131</v>
      </c>
      <c r="C79" s="10" t="s">
        <v>36</v>
      </c>
      <c r="D79" s="381">
        <v>0.44097222222222221</v>
      </c>
      <c r="E79" s="381">
        <v>0.45555555555555555</v>
      </c>
      <c r="F79" s="380">
        <f>+MOD(Tabla8[[#This Row],[HR. FIN]]-Tabla8[[#This Row],[HR. INICIO]],1)</f>
        <v>1.4583333333333337E-2</v>
      </c>
      <c r="G79" s="16" t="s">
        <v>236</v>
      </c>
      <c r="H79" s="343" t="str">
        <f>IFERROR(VLOOKUP(G79,DATOS!$M$2:$N$219,2,FALSE),"")</f>
        <v>Sistema</v>
      </c>
      <c r="I79" s="115" t="s">
        <v>54</v>
      </c>
      <c r="J79" s="115" t="str">
        <f>+VLOOKUP($I79,Tabla7[#All],2,FALSE)</f>
        <v>PROGRAMADA</v>
      </c>
      <c r="K79" s="114" t="str">
        <f>IF(VLOOKUP(I79,Tabla7[#All],3,FALSE)=0,"",VLOOKUP(I79,Tabla7[#All],3,FALSE))</f>
        <v/>
      </c>
      <c r="L79" s="35" t="s">
        <v>237</v>
      </c>
      <c r="M79" s="35" t="s">
        <v>121</v>
      </c>
      <c r="N79" s="35" t="str" cm="1">
        <f t="array" ref="N79">IFERROR(IF(Tabla8[[#This Row],[P/NP]]="NO PROGRAMADA","",_xlfn.TEXTJOIN(", ",TRUE,_xlfn._xlws.FILTER(Tabla4[[#All],[PIEZA]],ISNUMBER(SEARCH(Tabla4[[#All],[PCLAVE]],Tabla8[[#This Row],[DESCRIPCION DE TRABAJO]])),""))),"")</f>
        <v/>
      </c>
      <c r="O79" s="35" t="str" cm="1">
        <f t="array" ref="O79">_xlfn.TEXTJOIN(", ",TRUE,_xlfn._xlws.FILTER(Tabla28[[#All],[PARTE]],ISNUMBER(SEARCH(Tabla28[[#All],[PCLAVE2]],Tabla8[[#This Row],[DESCRIPCION DE TRABAJO]])),""))</f>
        <v/>
      </c>
      <c r="P79" s="303" t="str">
        <f>IFERROR(LEFT(O79, FIND(",", O79)-1), O79)</f>
        <v/>
      </c>
      <c r="Q79" s="303" t="str">
        <f>IFERROR(IF(ISERROR(FIND(",", O79, FIND(",", O79)+1)), RIGHT(O79, LEN(O79)-FIND(",", O79)-1), MID(O79, FIND(",", O79)+2, FIND(",", O79, FIND(",", O79)+1)-FIND(",", O79)-2)), "")</f>
        <v/>
      </c>
      <c r="R79" s="303" t="str">
        <f>IFERROR(RIGHT(O79, LEN(O79)-FIND(",", O79, FIND(",", O79)+1)-1), "")</f>
        <v/>
      </c>
      <c r="S79" s="35" t="str" cm="1">
        <f t="array" ref="S79">_xlfn.TEXTJOIN(", ",TRUE,_xlfn._xlws.FILTER(Tabla29[[#All],[PARTE]],ISNUMBER(SEARCH(Tabla29[[#All],[PCLAVE3]],Tabla8[[#This Row],[DESCRIPCION DE TRABAJO]])),""))</f>
        <v>Nivel</v>
      </c>
      <c r="T79" s="34" t="str">
        <f>IF(AND(Tabla8[[#This Row],[PIEZA]]="",Tabla8[[#This Row],[PARTE]]=""),"VACIO","OK")</f>
        <v>VACIO</v>
      </c>
      <c r="U79" s="303" t="str">
        <f>+CONCATENATE(WEEKNUM(Tabla8[[#This Row],[FECHA]]),"-",YEAR(Tabla8[[#This Row],[FECHA]]))</f>
        <v>2-2026</v>
      </c>
    </row>
    <row r="80" spans="1:21" ht="15" customHeight="1">
      <c r="A80" s="22">
        <v>46029</v>
      </c>
      <c r="B80" s="16" t="s">
        <v>88</v>
      </c>
      <c r="C80" s="10" t="s">
        <v>36</v>
      </c>
      <c r="D80" s="381">
        <v>0.31944444444444442</v>
      </c>
      <c r="E80" s="381">
        <v>0.33333333333333331</v>
      </c>
      <c r="F80" s="380">
        <f>+MOD(Tabla8[[#This Row],[HR. FIN]]-Tabla8[[#This Row],[HR. INICIO]],1)</f>
        <v>1.3888888888888895E-2</v>
      </c>
      <c r="G80" s="16" t="s">
        <v>238</v>
      </c>
      <c r="H80" s="343" t="str">
        <f>IFERROR(VLOOKUP(G80,DATOS!$M$2:$N$219,2,FALSE),"")</f>
        <v>Maquinaria</v>
      </c>
      <c r="I80" s="115" t="s">
        <v>54</v>
      </c>
      <c r="J80" s="115" t="str">
        <f>+VLOOKUP($I80,Tabla7[#All],2,FALSE)</f>
        <v>PROGRAMADA</v>
      </c>
      <c r="K80" s="114" t="str">
        <f>IF(VLOOKUP(I80,Tabla7[#All],3,FALSE)=0,"",VLOOKUP(I80,Tabla7[#All],3,FALSE))</f>
        <v/>
      </c>
      <c r="L80" s="35" t="s">
        <v>129</v>
      </c>
      <c r="M80" s="35" t="s">
        <v>239</v>
      </c>
      <c r="N80" s="35" t="str" cm="1">
        <f t="array" ref="N80">IFERROR(IF(Tabla8[[#This Row],[P/NP]]="NO PROGRAMADA","",_xlfn.TEXTJOIN(", ",TRUE,_xlfn._xlws.FILTER(Tabla4[[#All],[PIEZA]],ISNUMBER(SEARCH(Tabla4[[#All],[PCLAVE]],Tabla8[[#This Row],[DESCRIPCION DE TRABAJO]])),""))),"")</f>
        <v/>
      </c>
      <c r="O80" s="35" t="str" cm="1">
        <f t="array" ref="O80">_xlfn.TEXTJOIN(", ",TRUE,_xlfn._xlws.FILTER(Tabla28[[#All],[PARTE]],ISNUMBER(SEARCH(Tabla28[[#All],[PCLAVE2]],Tabla8[[#This Row],[DESCRIPCION DE TRABAJO]])),""))</f>
        <v/>
      </c>
      <c r="P80" s="303" t="str">
        <f>IFERROR(LEFT(O80, FIND(",", O80)-1), O80)</f>
        <v/>
      </c>
      <c r="Q80" s="303" t="str">
        <f>IFERROR(IF(ISERROR(FIND(",", O80, FIND(",", O80)+1)), RIGHT(O80, LEN(O80)-FIND(",", O80)-1), MID(O80, FIND(",", O80)+2, FIND(",", O80, FIND(",", O80)+1)-FIND(",", O80)-2)), "")</f>
        <v/>
      </c>
      <c r="R80" s="303" t="str">
        <f>IFERROR(RIGHT(O80, LEN(O80)-FIND(",", O80, FIND(",", O80)+1)-1), "")</f>
        <v/>
      </c>
      <c r="S80" s="35" t="str" cm="1">
        <f t="array" ref="S80">_xlfn.TEXTJOIN(", ",TRUE,_xlfn._xlws.FILTER(Tabla29[[#All],[PARTE]],ISNUMBER(SEARCH(Tabla29[[#All],[PCLAVE3]],Tabla8[[#This Row],[DESCRIPCION DE TRABAJO]])),""))</f>
        <v/>
      </c>
      <c r="T80" s="34" t="str">
        <f>IF(AND(Tabla8[[#This Row],[PIEZA]]="",Tabla8[[#This Row],[PARTE]]=""),"VACIO","OK")</f>
        <v>VACIO</v>
      </c>
      <c r="U80" s="303" t="str">
        <f>+CONCATENATE(WEEKNUM(Tabla8[[#This Row],[FECHA]]),"-",YEAR(Tabla8[[#This Row],[FECHA]]))</f>
        <v>2-2026</v>
      </c>
    </row>
    <row r="81" spans="1:21" ht="15" customHeight="1">
      <c r="A81" s="22">
        <v>46029</v>
      </c>
      <c r="B81" s="16" t="s">
        <v>131</v>
      </c>
      <c r="C81" s="10" t="s">
        <v>36</v>
      </c>
      <c r="D81" s="381">
        <v>0.46527777777777779</v>
      </c>
      <c r="E81" s="381">
        <v>0.47916666666666669</v>
      </c>
      <c r="F81" s="380">
        <f>+MOD(Tabla8[[#This Row],[HR. FIN]]-Tabla8[[#This Row],[HR. INICIO]],1)</f>
        <v>1.3888888888888895E-2</v>
      </c>
      <c r="G81" s="16" t="s">
        <v>153</v>
      </c>
      <c r="H81" s="343" t="str">
        <f>IFERROR(VLOOKUP(G81,DATOS!$M$2:$N$219,2,FALSE),"")</f>
        <v>Maquinaria</v>
      </c>
      <c r="I81" s="115" t="s">
        <v>54</v>
      </c>
      <c r="J81" s="115" t="str">
        <f>+VLOOKUP($I81,Tabla7[#All],2,FALSE)</f>
        <v>PROGRAMADA</v>
      </c>
      <c r="K81" s="114" t="str">
        <f>IF(VLOOKUP(I81,Tabla7[#All],3,FALSE)=0,"",VLOOKUP(I81,Tabla7[#All],3,FALSE))</f>
        <v/>
      </c>
      <c r="L81" s="35" t="s">
        <v>240</v>
      </c>
      <c r="M81" s="35" t="s">
        <v>121</v>
      </c>
      <c r="N81" s="35" t="str" cm="1">
        <f t="array" ref="N81">IFERROR(IF(Tabla8[[#This Row],[P/NP]]="NO PROGRAMADA","",_xlfn.TEXTJOIN(", ",TRUE,_xlfn._xlws.FILTER(Tabla4[[#All],[PIEZA]],ISNUMBER(SEARCH(Tabla4[[#All],[PCLAVE]],Tabla8[[#This Row],[DESCRIPCION DE TRABAJO]])),""))),"")</f>
        <v/>
      </c>
      <c r="O81" s="35" t="str" cm="1">
        <f t="array" ref="O81">_xlfn.TEXTJOIN(", ",TRUE,_xlfn._xlws.FILTER(Tabla28[[#All],[PARTE]],ISNUMBER(SEARCH(Tabla28[[#All],[PCLAVE2]],Tabla8[[#This Row],[DESCRIPCION DE TRABAJO]])),""))</f>
        <v/>
      </c>
      <c r="P81" s="303" t="str">
        <f>IFERROR(LEFT(O81, FIND(",", O81)-1), O81)</f>
        <v/>
      </c>
      <c r="Q81" s="303" t="str">
        <f>IFERROR(IF(ISERROR(FIND(",", O81, FIND(",", O81)+1)), RIGHT(O81, LEN(O81)-FIND(",", O81)-1), MID(O81, FIND(",", O81)+2, FIND(",", O81, FIND(",", O81)+1)-FIND(",", O81)-2)), "")</f>
        <v/>
      </c>
      <c r="R81" s="303" t="str">
        <f>IFERROR(RIGHT(O81, LEN(O81)-FIND(",", O81, FIND(",", O81)+1)-1), "")</f>
        <v/>
      </c>
      <c r="S81" s="35" t="str" cm="1">
        <f t="array" ref="S81">_xlfn.TEXTJOIN(", ",TRUE,_xlfn._xlws.FILTER(Tabla29[[#All],[PARTE]],ISNUMBER(SEARCH(Tabla29[[#All],[PCLAVE3]],Tabla8[[#This Row],[DESCRIPCION DE TRABAJO]])),""))</f>
        <v/>
      </c>
      <c r="T81" s="34" t="str">
        <f>IF(AND(Tabla8[[#This Row],[PIEZA]]="",Tabla8[[#This Row],[PARTE]]=""),"VACIO","OK")</f>
        <v>VACIO</v>
      </c>
      <c r="U81" s="303" t="str">
        <f>+CONCATENATE(WEEKNUM(Tabla8[[#This Row],[FECHA]]),"-",YEAR(Tabla8[[#This Row],[FECHA]]))</f>
        <v>2-2026</v>
      </c>
    </row>
    <row r="82" spans="1:21" ht="15" customHeight="1">
      <c r="A82" s="22">
        <v>46029</v>
      </c>
      <c r="B82" s="16" t="s">
        <v>131</v>
      </c>
      <c r="C82" s="10" t="s">
        <v>36</v>
      </c>
      <c r="D82" s="381">
        <v>0.27083333333333331</v>
      </c>
      <c r="E82" s="381">
        <v>0.28472222222222221</v>
      </c>
      <c r="F82" s="380">
        <f>+MOD(Tabla8[[#This Row],[HR. FIN]]-Tabla8[[#This Row],[HR. INICIO]],1)</f>
        <v>1.3888888888888895E-2</v>
      </c>
      <c r="G82" s="16" t="s">
        <v>241</v>
      </c>
      <c r="H82" s="343" t="str">
        <f>IFERROR(VLOOKUP(G82,DATOS!$M$2:$N$219,2,FALSE),"")</f>
        <v>Maquinaria</v>
      </c>
      <c r="I82" s="115" t="s">
        <v>57</v>
      </c>
      <c r="J82" s="115" t="str">
        <f>+VLOOKUP($I82,Tabla7[#All],2,FALSE)</f>
        <v>NO PROGRAMADA</v>
      </c>
      <c r="K82" s="114" t="str">
        <f>IF(VLOOKUP(I82,Tabla7[#All],3,FALSE)=0,"",VLOOKUP(I82,Tabla7[#All],3,FALSE))</f>
        <v>MECÁNICA</v>
      </c>
      <c r="L82" s="35" t="s">
        <v>242</v>
      </c>
      <c r="M82" s="35" t="s">
        <v>243</v>
      </c>
      <c r="N82" s="35" t="str" cm="1">
        <f t="array" ref="N82">IFERROR(IF(Tabla8[[#This Row],[P/NP]]="NO PROGRAMADA","",_xlfn.TEXTJOIN(", ",TRUE,_xlfn._xlws.FILTER(Tabla4[[#All],[PIEZA]],ISNUMBER(SEARCH(Tabla4[[#All],[PCLAVE]],Tabla8[[#This Row],[DESCRIPCION DE TRABAJO]])),""))),"")</f>
        <v/>
      </c>
      <c r="O82" s="35" t="str" cm="1">
        <f t="array" ref="O82">_xlfn.TEXTJOIN(", ",TRUE,_xlfn._xlws.FILTER(Tabla28[[#All],[PARTE]],ISNUMBER(SEARCH(Tabla28[[#All],[PCLAVE2]],Tabla8[[#This Row],[DESCRIPCION DE TRABAJO]])),""))</f>
        <v/>
      </c>
      <c r="P82" s="303" t="str">
        <f>IFERROR(LEFT(O82, FIND(",", O82)-1), O82)</f>
        <v/>
      </c>
      <c r="Q82" s="303" t="str">
        <f>IFERROR(IF(ISERROR(FIND(",", O82, FIND(",", O82)+1)), RIGHT(O82, LEN(O82)-FIND(",", O82)-1), MID(O82, FIND(",", O82)+2, FIND(",", O82, FIND(",", O82)+1)-FIND(",", O82)-2)), "")</f>
        <v/>
      </c>
      <c r="R82" s="303" t="str">
        <f>IFERROR(RIGHT(O82, LEN(O82)-FIND(",", O82, FIND(",", O82)+1)-1), "")</f>
        <v/>
      </c>
      <c r="S82" s="35" t="str" cm="1">
        <f t="array" ref="S82">_xlfn.TEXTJOIN(", ",TRUE,_xlfn._xlws.FILTER(Tabla29[[#All],[PARTE]],ISNUMBER(SEARCH(Tabla29[[#All],[PCLAVE3]],Tabla8[[#This Row],[DESCRIPCION DE TRABAJO]])),""))</f>
        <v/>
      </c>
      <c r="T82" s="34" t="str">
        <f>IF(AND(Tabla8[[#This Row],[PIEZA]]="",Tabla8[[#This Row],[PARTE]]=""),"VACIO","OK")</f>
        <v>VACIO</v>
      </c>
      <c r="U82" s="303" t="str">
        <f>+CONCATENATE(WEEKNUM(Tabla8[[#This Row],[FECHA]]),"-",YEAR(Tabla8[[#This Row],[FECHA]]))</f>
        <v>2-2026</v>
      </c>
    </row>
    <row r="83" spans="1:21" ht="15" customHeight="1">
      <c r="A83" s="22">
        <v>46029</v>
      </c>
      <c r="B83" s="16" t="s">
        <v>191</v>
      </c>
      <c r="C83" s="10" t="s">
        <v>23</v>
      </c>
      <c r="D83" s="381">
        <v>0.58125000000000004</v>
      </c>
      <c r="E83" s="381">
        <v>0.59444444444444444</v>
      </c>
      <c r="F83" s="380">
        <f>+MOD(Tabla8[[#This Row],[HR. FIN]]-Tabla8[[#This Row],[HR. INICIO]],1)</f>
        <v>1.3194444444444398E-2</v>
      </c>
      <c r="G83" s="16" t="s">
        <v>244</v>
      </c>
      <c r="H83" s="343" t="str">
        <f>IFERROR(VLOOKUP(G83,DATOS!$M$2:$N$219,2,FALSE),"")</f>
        <v>Maquinaria</v>
      </c>
      <c r="I83" s="115" t="s">
        <v>245</v>
      </c>
      <c r="J83" s="115" t="str">
        <f>+VLOOKUP($I83,Tabla7[#All],2,FALSE)</f>
        <v>PROGRAMADA</v>
      </c>
      <c r="K83" s="114" t="str">
        <f>IF(VLOOKUP(I83,Tabla7[#All],3,FALSE)=0,"",VLOOKUP(I83,Tabla7[#All],3,FALSE))</f>
        <v/>
      </c>
      <c r="L83" s="35" t="s">
        <v>246</v>
      </c>
      <c r="M83" s="35" t="s">
        <v>247</v>
      </c>
      <c r="N83" s="35" t="str" cm="1">
        <f t="array" ref="N83">IFERROR(IF(Tabla8[[#This Row],[P/NP]]="NO PROGRAMADA","",_xlfn.TEXTJOIN(", ",TRUE,_xlfn._xlws.FILTER(Tabla4[[#All],[PIEZA]],ISNUMBER(SEARCH(Tabla4[[#All],[PCLAVE]],Tabla8[[#This Row],[DESCRIPCION DE TRABAJO]])),""))),"")</f>
        <v/>
      </c>
      <c r="O83" s="35" t="str" cm="1">
        <f t="array" ref="O83">_xlfn.TEXTJOIN(", ",TRUE,_xlfn._xlws.FILTER(Tabla28[[#All],[PARTE]],ISNUMBER(SEARCH(Tabla28[[#All],[PCLAVE2]],Tabla8[[#This Row],[DESCRIPCION DE TRABAJO]])),""))</f>
        <v/>
      </c>
      <c r="P83" s="303" t="str">
        <f>IFERROR(LEFT(O83, FIND(",", O83)-1), O83)</f>
        <v/>
      </c>
      <c r="Q83" s="303" t="str">
        <f>IFERROR(IF(ISERROR(FIND(",", O83, FIND(",", O83)+1)), RIGHT(O83, LEN(O83)-FIND(",", O83)-1), MID(O83, FIND(",", O83)+2, FIND(",", O83, FIND(",", O83)+1)-FIND(",", O83)-2)), "")</f>
        <v/>
      </c>
      <c r="R83" s="303" t="str">
        <f>IFERROR(RIGHT(O83, LEN(O83)-FIND(",", O83, FIND(",", O83)+1)-1), "")</f>
        <v/>
      </c>
      <c r="S83" s="35" t="str" cm="1">
        <f t="array" ref="S83">_xlfn.TEXTJOIN(", ",TRUE,_xlfn._xlws.FILTER(Tabla29[[#All],[PARTE]],ISNUMBER(SEARCH(Tabla29[[#All],[PCLAVE3]],Tabla8[[#This Row],[DESCRIPCION DE TRABAJO]])),""))</f>
        <v>Presencia De Grasa</v>
      </c>
      <c r="T83" s="34" t="str">
        <f>IF(AND(Tabla8[[#This Row],[PIEZA]]="",Tabla8[[#This Row],[PARTE]]=""),"VACIO","OK")</f>
        <v>VACIO</v>
      </c>
      <c r="U83" s="303" t="str">
        <f>+CONCATENATE(WEEKNUM(Tabla8[[#This Row],[FECHA]]),"-",YEAR(Tabla8[[#This Row],[FECHA]]))</f>
        <v>2-2026</v>
      </c>
    </row>
    <row r="84" spans="1:21" ht="15" customHeight="1">
      <c r="A84" s="22">
        <v>46029</v>
      </c>
      <c r="B84" s="16" t="s">
        <v>191</v>
      </c>
      <c r="C84" s="10" t="s">
        <v>23</v>
      </c>
      <c r="D84" s="381">
        <v>0.52708333333333335</v>
      </c>
      <c r="E84" s="381">
        <v>0.53819444444444442</v>
      </c>
      <c r="F84" s="380">
        <f>+MOD(Tabla8[[#This Row],[HR. FIN]]-Tabla8[[#This Row],[HR. INICIO]],1)</f>
        <v>1.1111111111111072E-2</v>
      </c>
      <c r="G84" s="16" t="s">
        <v>215</v>
      </c>
      <c r="H84" s="343" t="str">
        <f>IFERROR(VLOOKUP(G84,DATOS!$M$2:$N$219,2,FALSE),"")</f>
        <v>Equipos auxiliares</v>
      </c>
      <c r="I84" s="115" t="s">
        <v>54</v>
      </c>
      <c r="J84" s="115" t="str">
        <f>+VLOOKUP($I84,Tabla7[#All],2,FALSE)</f>
        <v>PROGRAMADA</v>
      </c>
      <c r="K84" s="114" t="str">
        <f>IF(VLOOKUP(I84,Tabla7[#All],3,FALSE)=0,"",VLOOKUP(I84,Tabla7[#All],3,FALSE))</f>
        <v/>
      </c>
      <c r="L84" s="35" t="s">
        <v>248</v>
      </c>
      <c r="M84" s="35" t="s">
        <v>121</v>
      </c>
      <c r="N84" s="35" t="str" cm="1">
        <f t="array" ref="N84">IFERROR(IF(Tabla8[[#This Row],[P/NP]]="NO PROGRAMADA","",_xlfn.TEXTJOIN(", ",TRUE,_xlfn._xlws.FILTER(Tabla4[[#All],[PIEZA]],ISNUMBER(SEARCH(Tabla4[[#All],[PCLAVE]],Tabla8[[#This Row],[DESCRIPCION DE TRABAJO]])),""))),"")</f>
        <v/>
      </c>
      <c r="O84" s="35" t="str" cm="1">
        <f t="array" ref="O84">_xlfn.TEXTJOIN(", ",TRUE,_xlfn._xlws.FILTER(Tabla28[[#All],[PARTE]],ISNUMBER(SEARCH(Tabla28[[#All],[PCLAVE2]],Tabla8[[#This Row],[DESCRIPCION DE TRABAJO]])),""))</f>
        <v/>
      </c>
      <c r="P84" s="303" t="str">
        <f>IFERROR(LEFT(O84, FIND(",", O84)-1), O84)</f>
        <v/>
      </c>
      <c r="Q84" s="303" t="str">
        <f>IFERROR(IF(ISERROR(FIND(",", O84, FIND(",", O84)+1)), RIGHT(O84, LEN(O84)-FIND(",", O84)-1), MID(O84, FIND(",", O84)+2, FIND(",", O84, FIND(",", O84)+1)-FIND(",", O84)-2)), "")</f>
        <v/>
      </c>
      <c r="R84" s="303" t="str">
        <f>IFERROR(RIGHT(O84, LEN(O84)-FIND(",", O84, FIND(",", O84)+1)-1), "")</f>
        <v/>
      </c>
      <c r="S84" s="35" t="str" cm="1">
        <f t="array" ref="S84">_xlfn.TEXTJOIN(", ",TRUE,_xlfn._xlws.FILTER(Tabla29[[#All],[PARTE]],ISNUMBER(SEARCH(Tabla29[[#All],[PCLAVE3]],Tabla8[[#This Row],[DESCRIPCION DE TRABAJO]])),""))</f>
        <v/>
      </c>
      <c r="T84" s="34" t="str">
        <f>IF(AND(Tabla8[[#This Row],[PIEZA]]="",Tabla8[[#This Row],[PARTE]]=""),"VACIO","OK")</f>
        <v>VACIO</v>
      </c>
      <c r="U84" s="303" t="str">
        <f>+CONCATENATE(WEEKNUM(Tabla8[[#This Row],[FECHA]]),"-",YEAR(Tabla8[[#This Row],[FECHA]]))</f>
        <v>2-2026</v>
      </c>
    </row>
    <row r="85" spans="1:21" ht="15" customHeight="1">
      <c r="A85" s="22">
        <v>46029</v>
      </c>
      <c r="B85" s="16" t="s">
        <v>131</v>
      </c>
      <c r="C85" s="10" t="s">
        <v>36</v>
      </c>
      <c r="D85" s="381">
        <v>0.4201388888888889</v>
      </c>
      <c r="E85" s="381">
        <v>0.43055555555555558</v>
      </c>
      <c r="F85" s="380">
        <f>+MOD(Tabla8[[#This Row],[HR. FIN]]-Tabla8[[#This Row],[HR. INICIO]],1)</f>
        <v>1.0416666666666685E-2</v>
      </c>
      <c r="G85" s="16" t="s">
        <v>192</v>
      </c>
      <c r="H85" s="343" t="str">
        <f>IFERROR(VLOOKUP(G85,DATOS!$M$2:$N$219,2,FALSE),"")</f>
        <v>Maquinaria</v>
      </c>
      <c r="I85" s="115" t="s">
        <v>32</v>
      </c>
      <c r="J85" s="115" t="str">
        <f>+VLOOKUP($I85,Tabla7[#All],2,FALSE)</f>
        <v>PROGRAMADA</v>
      </c>
      <c r="K85" s="114" t="str">
        <f>IF(VLOOKUP(I85,Tabla7[#All],3,FALSE)=0,"",VLOOKUP(I85,Tabla7[#All],3,FALSE))</f>
        <v/>
      </c>
      <c r="L85" s="35" t="s">
        <v>249</v>
      </c>
      <c r="M85" s="35" t="s">
        <v>121</v>
      </c>
      <c r="N85" s="35" t="str" cm="1">
        <f t="array" ref="N85">IFERROR(IF(Tabla8[[#This Row],[P/NP]]="NO PROGRAMADA","",_xlfn.TEXTJOIN(", ",TRUE,_xlfn._xlws.FILTER(Tabla4[[#All],[PIEZA]],ISNUMBER(SEARCH(Tabla4[[#All],[PCLAVE]],Tabla8[[#This Row],[DESCRIPCION DE TRABAJO]])),""))),"")</f>
        <v>Gomas</v>
      </c>
      <c r="O85" s="35" t="str" cm="1">
        <f t="array" ref="O85">_xlfn.TEXTJOIN(", ",TRUE,_xlfn._xlws.FILTER(Tabla28[[#All],[PARTE]],ISNUMBER(SEARCH(Tabla28[[#All],[PCLAVE2]],Tabla8[[#This Row],[DESCRIPCION DE TRABAJO]])),""))</f>
        <v/>
      </c>
      <c r="P85" s="303" t="str">
        <f>IFERROR(LEFT(O85, FIND(",", O85)-1), O85)</f>
        <v/>
      </c>
      <c r="Q85" s="303" t="str">
        <f>IFERROR(IF(ISERROR(FIND(",", O85, FIND(",", O85)+1)), RIGHT(O85, LEN(O85)-FIND(",", O85)-1), MID(O85, FIND(",", O85)+2, FIND(",", O85, FIND(",", O85)+1)-FIND(",", O85)-2)), "")</f>
        <v/>
      </c>
      <c r="R85" s="303" t="str">
        <f>IFERROR(RIGHT(O85, LEN(O85)-FIND(",", O85, FIND(",", O85)+1)-1), "")</f>
        <v/>
      </c>
      <c r="S85" s="35" t="str" cm="1">
        <f t="array" ref="S85">_xlfn.TEXTJOIN(", ",TRUE,_xlfn._xlws.FILTER(Tabla29[[#All],[PARTE]],ISNUMBER(SEARCH(Tabla29[[#All],[PCLAVE3]],Tabla8[[#This Row],[DESCRIPCION DE TRABAJO]])),""))</f>
        <v>Calibracion</v>
      </c>
      <c r="T85" s="34" t="str">
        <f>IF(AND(Tabla8[[#This Row],[PIEZA]]="",Tabla8[[#This Row],[PARTE]]=""),"VACIO","OK")</f>
        <v>OK</v>
      </c>
      <c r="U85" s="303" t="str">
        <f>+CONCATENATE(WEEKNUM(Tabla8[[#This Row],[FECHA]]),"-",YEAR(Tabla8[[#This Row],[FECHA]]))</f>
        <v>2-2026</v>
      </c>
    </row>
    <row r="86" spans="1:21" ht="15" customHeight="1">
      <c r="A86" s="22">
        <v>46029</v>
      </c>
      <c r="B86" s="16" t="s">
        <v>111</v>
      </c>
      <c r="C86" s="10" t="s">
        <v>39</v>
      </c>
      <c r="D86" s="381">
        <v>0.10416666666666667</v>
      </c>
      <c r="E86" s="381">
        <v>0.11458333333333333</v>
      </c>
      <c r="F86" s="380">
        <f>+MOD(Tabla8[[#This Row],[HR. FIN]]-Tabla8[[#This Row],[HR. INICIO]],1)</f>
        <v>1.0416666666666657E-2</v>
      </c>
      <c r="G86" s="16" t="s">
        <v>250</v>
      </c>
      <c r="H86" s="343" t="str">
        <f>IFERROR(VLOOKUP(G86,DATOS!$M$2:$N$219,2,FALSE),"")</f>
        <v>Maquinaria</v>
      </c>
      <c r="I86" s="115" t="s">
        <v>57</v>
      </c>
      <c r="J86" s="115" t="str">
        <f>+VLOOKUP($I86,Tabla7[#All],2,FALSE)</f>
        <v>NO PROGRAMADA</v>
      </c>
      <c r="K86" s="114" t="str">
        <f>IF(VLOOKUP(I86,Tabla7[#All],3,FALSE)=0,"",VLOOKUP(I86,Tabla7[#All],3,FALSE))</f>
        <v>MECÁNICA</v>
      </c>
      <c r="L86" s="35" t="s">
        <v>251</v>
      </c>
      <c r="M86" s="35" t="s">
        <v>252</v>
      </c>
      <c r="N86" s="35" t="str" cm="1">
        <f t="array" ref="N86">IFERROR(IF(Tabla8[[#This Row],[P/NP]]="NO PROGRAMADA","",_xlfn.TEXTJOIN(", ",TRUE,_xlfn._xlws.FILTER(Tabla4[[#All],[PIEZA]],ISNUMBER(SEARCH(Tabla4[[#All],[PCLAVE]],Tabla8[[#This Row],[DESCRIPCION DE TRABAJO]])),""))),"")</f>
        <v/>
      </c>
      <c r="O86" s="35" t="str" cm="1">
        <f t="array" ref="O86">_xlfn.TEXTJOIN(", ",TRUE,_xlfn._xlws.FILTER(Tabla28[[#All],[PARTE]],ISNUMBER(SEARCH(Tabla28[[#All],[PCLAVE2]],Tabla8[[#This Row],[DESCRIPCION DE TRABAJO]])),""))</f>
        <v>Tunel De Enfriamiento</v>
      </c>
      <c r="P86" s="303" t="str">
        <f>IFERROR(LEFT(O86, FIND(",", O86)-1), O86)</f>
        <v>Tunel De Enfriamiento</v>
      </c>
      <c r="Q86" s="303" t="str">
        <f>IFERROR(IF(ISERROR(FIND(",", O86, FIND(",", O86)+1)), RIGHT(O86, LEN(O86)-FIND(",", O86)-1), MID(O86, FIND(",", O86)+2, FIND(",", O86, FIND(",", O86)+1)-FIND(",", O86)-2)), "")</f>
        <v/>
      </c>
      <c r="R86" s="303" t="str">
        <f>IFERROR(RIGHT(O86, LEN(O86)-FIND(",", O86, FIND(",", O86)+1)-1), "")</f>
        <v/>
      </c>
      <c r="S86" s="35" t="str" cm="1">
        <f t="array" ref="S86">_xlfn.TEXTJOIN(", ",TRUE,_xlfn._xlws.FILTER(Tabla29[[#All],[PARTE]],ISNUMBER(SEARCH(Tabla29[[#All],[PCLAVE3]],Tabla8[[#This Row],[DESCRIPCION DE TRABAJO]])),""))</f>
        <v/>
      </c>
      <c r="T86" s="34" t="str">
        <f>IF(AND(Tabla8[[#This Row],[PIEZA]]="",Tabla8[[#This Row],[PARTE]]=""),"VACIO","OK")</f>
        <v>OK</v>
      </c>
      <c r="U86" s="303" t="str">
        <f>+CONCATENATE(WEEKNUM(Tabla8[[#This Row],[FECHA]]),"-",YEAR(Tabla8[[#This Row],[FECHA]]))</f>
        <v>2-2026</v>
      </c>
    </row>
    <row r="87" spans="1:21" ht="15" customHeight="1">
      <c r="A87" s="22">
        <v>46029</v>
      </c>
      <c r="B87" s="16" t="s">
        <v>111</v>
      </c>
      <c r="C87" s="10" t="s">
        <v>39</v>
      </c>
      <c r="D87" s="381">
        <v>6.1111111111111109E-2</v>
      </c>
      <c r="E87" s="381">
        <v>7.0833333333333331E-2</v>
      </c>
      <c r="F87" s="380">
        <f>+MOD(Tabla8[[#This Row],[HR. FIN]]-Tabla8[[#This Row],[HR. INICIO]],1)</f>
        <v>9.7222222222222224E-3</v>
      </c>
      <c r="G87" s="16" t="s">
        <v>192</v>
      </c>
      <c r="H87" s="343" t="str">
        <f>IFERROR(VLOOKUP(G87,DATOS!$M$2:$N$219,2,FALSE),"")</f>
        <v>Maquinaria</v>
      </c>
      <c r="I87" s="115" t="s">
        <v>57</v>
      </c>
      <c r="J87" s="115" t="str">
        <f>+VLOOKUP($I87,Tabla7[#All],2,FALSE)</f>
        <v>NO PROGRAMADA</v>
      </c>
      <c r="K87" s="114" t="str">
        <f>IF(VLOOKUP(I87,Tabla7[#All],3,FALSE)=0,"",VLOOKUP(I87,Tabla7[#All],3,FALSE))</f>
        <v>MECÁNICA</v>
      </c>
      <c r="L87" s="35" t="s">
        <v>253</v>
      </c>
      <c r="M87" s="35" t="s">
        <v>254</v>
      </c>
      <c r="N87" s="35" t="str" cm="1">
        <f t="array" ref="N87">IFERROR(IF(Tabla8[[#This Row],[P/NP]]="NO PROGRAMADA","",_xlfn.TEXTJOIN(", ",TRUE,_xlfn._xlws.FILTER(Tabla4[[#All],[PIEZA]],ISNUMBER(SEARCH(Tabla4[[#All],[PCLAVE]],Tabla8[[#This Row],[DESCRIPCION DE TRABAJO]])),""))),"")</f>
        <v/>
      </c>
      <c r="O87" s="35" t="str" cm="1">
        <f t="array" ref="O87">_xlfn.TEXTJOIN(", ",TRUE,_xlfn._xlws.FILTER(Tabla28[[#All],[PARTE]],ISNUMBER(SEARCH(Tabla28[[#All],[PCLAVE2]],Tabla8[[#This Row],[DESCRIPCION DE TRABAJO]])),""))</f>
        <v/>
      </c>
      <c r="P87" s="303" t="str">
        <f>IFERROR(LEFT(O87, FIND(",", O87)-1), O87)</f>
        <v/>
      </c>
      <c r="Q87" s="303" t="str">
        <f>IFERROR(IF(ISERROR(FIND(",", O87, FIND(",", O87)+1)), RIGHT(O87, LEN(O87)-FIND(",", O87)-1), MID(O87, FIND(",", O87)+2, FIND(",", O87, FIND(",", O87)+1)-FIND(",", O87)-2)), "")</f>
        <v/>
      </c>
      <c r="R87" s="303" t="str">
        <f>IFERROR(RIGHT(O87, LEN(O87)-FIND(",", O87, FIND(",", O87)+1)-1), "")</f>
        <v/>
      </c>
      <c r="S87" s="35" t="str" cm="1">
        <f t="array" ref="S87">_xlfn.TEXTJOIN(", ",TRUE,_xlfn._xlws.FILTER(Tabla29[[#All],[PARTE]],ISNUMBER(SEARCH(Tabla29[[#All],[PCLAVE3]],Tabla8[[#This Row],[DESCRIPCION DE TRABAJO]])),""))</f>
        <v>Fuera De Posicion, Soltura</v>
      </c>
      <c r="T87" s="34" t="str">
        <f>IF(AND(Tabla8[[#This Row],[PIEZA]]="",Tabla8[[#This Row],[PARTE]]=""),"VACIO","OK")</f>
        <v>VACIO</v>
      </c>
      <c r="U87" s="303" t="str">
        <f>+CONCATENATE(WEEKNUM(Tabla8[[#This Row],[FECHA]]),"-",YEAR(Tabla8[[#This Row],[FECHA]]))</f>
        <v>2-2026</v>
      </c>
    </row>
    <row r="88" spans="1:21" ht="15" customHeight="1">
      <c r="A88" s="22">
        <v>46029</v>
      </c>
      <c r="B88" s="16" t="s">
        <v>111</v>
      </c>
      <c r="C88" s="10" t="s">
        <v>39</v>
      </c>
      <c r="D88" s="381">
        <v>0.05</v>
      </c>
      <c r="E88" s="381">
        <v>5.6944444444444443E-2</v>
      </c>
      <c r="F88" s="380">
        <f>+MOD(Tabla8[[#This Row],[HR. FIN]]-Tabla8[[#This Row],[HR. INICIO]],1)</f>
        <v>6.9444444444444406E-3</v>
      </c>
      <c r="G88" s="16" t="s">
        <v>136</v>
      </c>
      <c r="H88" s="343" t="str">
        <f>IFERROR(VLOOKUP(G88,DATOS!$M$2:$N$219,2,FALSE),"")</f>
        <v>Maquinaria</v>
      </c>
      <c r="I88" s="115" t="s">
        <v>32</v>
      </c>
      <c r="J88" s="115" t="str">
        <f>+VLOOKUP($I88,Tabla7[#All],2,FALSE)</f>
        <v>PROGRAMADA</v>
      </c>
      <c r="K88" s="114" t="str">
        <f>IF(VLOOKUP(I88,Tabla7[#All],3,FALSE)=0,"",VLOOKUP(I88,Tabla7[#All],3,FALSE))</f>
        <v/>
      </c>
      <c r="L88" s="35" t="s">
        <v>255</v>
      </c>
      <c r="M88" s="35" t="s">
        <v>121</v>
      </c>
      <c r="N88" s="35" t="str" cm="1">
        <f t="array" ref="N88">IFERROR(IF(Tabla8[[#This Row],[P/NP]]="NO PROGRAMADA","",_xlfn.TEXTJOIN(", ",TRUE,_xlfn._xlws.FILTER(Tabla4[[#All],[PIEZA]],ISNUMBER(SEARCH(Tabla4[[#All],[PCLAVE]],Tabla8[[#This Row],[DESCRIPCION DE TRABAJO]])),""))),"")</f>
        <v>Banda, Motor</v>
      </c>
      <c r="O88" s="35" t="str" cm="1">
        <f t="array" ref="O88">_xlfn.TEXTJOIN(", ",TRUE,_xlfn._xlws.FILTER(Tabla28[[#All],[PARTE]],ISNUMBER(SEARCH(Tabla28[[#All],[PCLAVE2]],Tabla8[[#This Row],[DESCRIPCION DE TRABAJO]])),""))</f>
        <v/>
      </c>
      <c r="P88" s="303" t="str">
        <f>IFERROR(LEFT(O88, FIND(",", O88)-1), O88)</f>
        <v/>
      </c>
      <c r="Q88" s="303" t="str">
        <f>IFERROR(IF(ISERROR(FIND(",", O88, FIND(",", O88)+1)), RIGHT(O88, LEN(O88)-FIND(",", O88)-1), MID(O88, FIND(",", O88)+2, FIND(",", O88, FIND(",", O88)+1)-FIND(",", O88)-2)), "")</f>
        <v/>
      </c>
      <c r="R88" s="303" t="str">
        <f>IFERROR(RIGHT(O88, LEN(O88)-FIND(",", O88, FIND(",", O88)+1)-1), "")</f>
        <v/>
      </c>
      <c r="S88" s="35" t="str" cm="1">
        <f t="array" ref="S88">_xlfn.TEXTJOIN(", ",TRUE,_xlfn._xlws.FILTER(Tabla29[[#All],[PARTE]],ISNUMBER(SEARCH(Tabla29[[#All],[PCLAVE3]],Tabla8[[#This Row],[DESCRIPCION DE TRABAJO]])),""))</f>
        <v/>
      </c>
      <c r="T88" s="34" t="str">
        <f>IF(AND(Tabla8[[#This Row],[PIEZA]]="",Tabla8[[#This Row],[PARTE]]=""),"VACIO","OK")</f>
        <v>OK</v>
      </c>
      <c r="U88" s="303" t="str">
        <f>+CONCATENATE(WEEKNUM(Tabla8[[#This Row],[FECHA]]),"-",YEAR(Tabla8[[#This Row],[FECHA]]))</f>
        <v>2-2026</v>
      </c>
    </row>
    <row r="89" spans="1:21" ht="15" customHeight="1">
      <c r="A89" s="22">
        <v>46029</v>
      </c>
      <c r="B89" s="16" t="s">
        <v>111</v>
      </c>
      <c r="C89" s="10" t="s">
        <v>39</v>
      </c>
      <c r="D89" s="381">
        <v>7.6388888888888895E-2</v>
      </c>
      <c r="E89" s="381">
        <v>8.3333333333333329E-2</v>
      </c>
      <c r="F89" s="380">
        <f>+MOD(Tabla8[[#This Row],[HR. FIN]]-Tabla8[[#This Row],[HR. INICIO]],1)</f>
        <v>6.9444444444444337E-3</v>
      </c>
      <c r="G89" s="16" t="s">
        <v>256</v>
      </c>
      <c r="H89" s="343" t="str">
        <f>IFERROR(VLOOKUP(G89,DATOS!$M$2:$N$219,2,FALSE),"")</f>
        <v>Maquinaria</v>
      </c>
      <c r="I89" s="115" t="s">
        <v>57</v>
      </c>
      <c r="J89" s="115" t="s">
        <v>157</v>
      </c>
      <c r="K89" s="114"/>
      <c r="L89" s="35" t="s">
        <v>257</v>
      </c>
      <c r="M89" s="35" t="s">
        <v>258</v>
      </c>
      <c r="N89" s="35" t="str" cm="1">
        <f t="array" ref="N89">IFERROR(IF(Tabla8[[#This Row],[P/NP]]="NO PROGRAMADA","",_xlfn.TEXTJOIN(", ",TRUE,_xlfn._xlws.FILTER(Tabla4[[#All],[PIEZA]],ISNUMBER(SEARCH(Tabla4[[#All],[PCLAVE]],Tabla8[[#This Row],[DESCRIPCION DE TRABAJO]])),""))),"")</f>
        <v/>
      </c>
      <c r="O89" s="35" t="str" cm="1">
        <f t="array" ref="O89">_xlfn.TEXTJOIN(", ",TRUE,_xlfn._xlws.FILTER(Tabla28[[#All],[PARTE]],ISNUMBER(SEARCH(Tabla28[[#All],[PCLAVE2]],Tabla8[[#This Row],[DESCRIPCION DE TRABAJO]])),""))</f>
        <v/>
      </c>
      <c r="P89" s="303" t="str">
        <f>IFERROR(LEFT(O89, FIND(",", O89)-1), O89)</f>
        <v/>
      </c>
      <c r="Q89" s="303" t="str">
        <f>IFERROR(IF(ISERROR(FIND(",", O89, FIND(",", O89)+1)), RIGHT(O89, LEN(O89)-FIND(",", O89)-1), MID(O89, FIND(",", O89)+2, FIND(",", O89, FIND(",", O89)+1)-FIND(",", O89)-2)), "")</f>
        <v/>
      </c>
      <c r="R89" s="303" t="str">
        <f>IFERROR(RIGHT(O89, LEN(O89)-FIND(",", O89, FIND(",", O89)+1)-1), "")</f>
        <v/>
      </c>
      <c r="S89" s="35" t="str" cm="1">
        <f t="array" ref="S89">_xlfn.TEXTJOIN(", ",TRUE,_xlfn._xlws.FILTER(Tabla29[[#All],[PARTE]],ISNUMBER(SEARCH(Tabla29[[#All],[PCLAVE3]],Tabla8[[#This Row],[DESCRIPCION DE TRABAJO]])),""))</f>
        <v/>
      </c>
      <c r="T89" s="34" t="str">
        <f>IF(AND(Tabla8[[#This Row],[PIEZA]]="",Tabla8[[#This Row],[PARTE]]=""),"VACIO","OK")</f>
        <v>VACIO</v>
      </c>
      <c r="U89" s="303" t="str">
        <f>+CONCATENATE(WEEKNUM(Tabla8[[#This Row],[FECHA]]),"-",YEAR(Tabla8[[#This Row],[FECHA]]))</f>
        <v>2-2026</v>
      </c>
    </row>
    <row r="90" spans="1:21" ht="15" customHeight="1">
      <c r="A90" s="22">
        <v>46030</v>
      </c>
      <c r="B90" s="16" t="s">
        <v>111</v>
      </c>
      <c r="C90" s="10" t="s">
        <v>39</v>
      </c>
      <c r="D90" s="381" t="s">
        <v>112</v>
      </c>
      <c r="E90" s="381" t="s">
        <v>145</v>
      </c>
      <c r="F90" s="380">
        <f>+MOD(Tabla8[[#This Row],[HR. FIN]]-Tabla8[[#This Row],[HR. INICIO]],1)</f>
        <v>4.1666666666666664E-2</v>
      </c>
      <c r="G90" s="16" t="s">
        <v>103</v>
      </c>
      <c r="H90" s="343" t="str">
        <f>IFERROR(VLOOKUP(G90,DATOS!$M$2:$N$219,2,FALSE),"")</f>
        <v>Area</v>
      </c>
      <c r="I90" s="115" t="s">
        <v>54</v>
      </c>
      <c r="J90" s="115" t="str">
        <f>+VLOOKUP($I90,Tabla7[#All],2,FALSE)</f>
        <v>PROGRAMADA</v>
      </c>
      <c r="K90" s="114" t="str">
        <f>IF(VLOOKUP(I90,Tabla7[#All],3,FALSE)=0,"",VLOOKUP(I90,Tabla7[#All],3,FALSE))</f>
        <v/>
      </c>
      <c r="L90" s="35" t="s">
        <v>259</v>
      </c>
      <c r="M90" s="35" t="s">
        <v>121</v>
      </c>
      <c r="N90" s="35" t="str" cm="1">
        <f t="array" ref="N90">IFERROR(IF(Tabla8[[#This Row],[P/NP]]="NO PROGRAMADA","",_xlfn.TEXTJOIN(", ",TRUE,_xlfn._xlws.FILTER(Tabla4[[#All],[PIEZA]],ISNUMBER(SEARCH(Tabla4[[#All],[PCLAVE]],Tabla8[[#This Row],[DESCRIPCION DE TRABAJO]])),""))),"")</f>
        <v/>
      </c>
      <c r="O90" s="35" t="str" cm="1">
        <f t="array" ref="O90">_xlfn.TEXTJOIN(", ",TRUE,_xlfn._xlws.FILTER(Tabla28[[#All],[PARTE]],ISNUMBER(SEARCH(Tabla28[[#All],[PCLAVE2]],Tabla8[[#This Row],[DESCRIPCION DE TRABAJO]])),""))</f>
        <v/>
      </c>
      <c r="P90" s="303" t="str">
        <f>IFERROR(LEFT(O90, FIND(",", O90)-1), O90)</f>
        <v/>
      </c>
      <c r="Q90" s="303" t="str">
        <f>IFERROR(IF(ISERROR(FIND(",", O90, FIND(",", O90)+1)), RIGHT(O90, LEN(O90)-FIND(",", O90)-1), MID(O90, FIND(",", O90)+2, FIND(",", O90, FIND(",", O90)+1)-FIND(",", O90)-2)), "")</f>
        <v/>
      </c>
      <c r="R90" s="303" t="str">
        <f>IFERROR(RIGHT(O90, LEN(O90)-FIND(",", O90, FIND(",", O90)+1)-1), "")</f>
        <v/>
      </c>
      <c r="S90" s="35" t="str" cm="1">
        <f t="array" ref="S90">_xlfn.TEXTJOIN(", ",TRUE,_xlfn._xlws.FILTER(Tabla29[[#All],[PARTE]],ISNUMBER(SEARCH(Tabla29[[#All],[PCLAVE3]],Tabla8[[#This Row],[DESCRIPCION DE TRABAJO]])),""))</f>
        <v/>
      </c>
      <c r="T90" s="34" t="str">
        <f>IF(AND(Tabla8[[#This Row],[PIEZA]]="",Tabla8[[#This Row],[PARTE]]=""),"VACIO","OK")</f>
        <v>VACIO</v>
      </c>
      <c r="U90" s="303" t="str">
        <f>+CONCATENATE(WEEKNUM(Tabla8[[#This Row],[FECHA]]),"-",YEAR(Tabla8[[#This Row],[FECHA]]))</f>
        <v>2-2026</v>
      </c>
    </row>
    <row r="91" spans="1:21" ht="15" customHeight="1">
      <c r="A91" s="22">
        <v>46030</v>
      </c>
      <c r="B91" s="16" t="s">
        <v>191</v>
      </c>
      <c r="C91" s="10" t="s">
        <v>23</v>
      </c>
      <c r="D91" s="381" t="s">
        <v>260</v>
      </c>
      <c r="E91" s="381" t="s">
        <v>261</v>
      </c>
      <c r="F91" s="380">
        <f>+MOD(Tabla8[[#This Row],[HR. FIN]]-Tabla8[[#This Row],[HR. INICIO]],1)</f>
        <v>3.819444444444442E-2</v>
      </c>
      <c r="G91" s="16" t="s">
        <v>91</v>
      </c>
      <c r="H91" s="343" t="str">
        <f>IFERROR(VLOOKUP(G91,DATOS!$M$2:$N$219,2,FALSE),"")</f>
        <v>Area</v>
      </c>
      <c r="I91" s="115" t="s">
        <v>54</v>
      </c>
      <c r="J91" s="115" t="str">
        <f>+VLOOKUP($I91,Tabla7[#All],2,FALSE)</f>
        <v>PROGRAMADA</v>
      </c>
      <c r="K91" s="114" t="str">
        <f>IF(VLOOKUP(I91,Tabla7[#All],3,FALSE)=0,"",VLOOKUP(I91,Tabla7[#All],3,FALSE))</f>
        <v/>
      </c>
      <c r="L91" s="35" t="s">
        <v>262</v>
      </c>
      <c r="M91" s="35" t="s">
        <v>121</v>
      </c>
      <c r="N91" s="35" t="str" cm="1">
        <f t="array" ref="N91">IFERROR(IF(Tabla8[[#This Row],[P/NP]]="NO PROGRAMADA","",_xlfn.TEXTJOIN(", ",TRUE,_xlfn._xlws.FILTER(Tabla4[[#All],[PIEZA]],ISNUMBER(SEARCH(Tabla4[[#All],[PCLAVE]],Tabla8[[#This Row],[DESCRIPCION DE TRABAJO]])),""))),"")</f>
        <v/>
      </c>
      <c r="O91" s="35" t="str" cm="1">
        <f t="array" ref="O91">_xlfn.TEXTJOIN(", ",TRUE,_xlfn._xlws.FILTER(Tabla28[[#All],[PARTE]],ISNUMBER(SEARCH(Tabla28[[#All],[PCLAVE2]],Tabla8[[#This Row],[DESCRIPCION DE TRABAJO]])),""))</f>
        <v/>
      </c>
      <c r="P91" s="303" t="str">
        <f>IFERROR(LEFT(O91, FIND(",", O91)-1), O91)</f>
        <v/>
      </c>
      <c r="Q91" s="303" t="str">
        <f>IFERROR(IF(ISERROR(FIND(",", O91, FIND(",", O91)+1)), RIGHT(O91, LEN(O91)-FIND(",", O91)-1), MID(O91, FIND(",", O91)+2, FIND(",", O91, FIND(",", O91)+1)-FIND(",", O91)-2)), "")</f>
        <v/>
      </c>
      <c r="R91" s="303" t="str">
        <f>IFERROR(RIGHT(O91, LEN(O91)-FIND(",", O91, FIND(",", O91)+1)-1), "")</f>
        <v/>
      </c>
      <c r="S91" s="35" t="str" cm="1">
        <f t="array" ref="S91">_xlfn.TEXTJOIN(", ",TRUE,_xlfn._xlws.FILTER(Tabla29[[#All],[PARTE]],ISNUMBER(SEARCH(Tabla29[[#All],[PCLAVE3]],Tabla8[[#This Row],[DESCRIPCION DE TRABAJO]])),""))</f>
        <v/>
      </c>
      <c r="T91" s="34" t="str">
        <f>IF(AND(Tabla8[[#This Row],[PIEZA]]="",Tabla8[[#This Row],[PARTE]]=""),"VACIO","OK")</f>
        <v>VACIO</v>
      </c>
      <c r="U91" s="303" t="str">
        <f>+CONCATENATE(WEEKNUM(Tabla8[[#This Row],[FECHA]]),"-",YEAR(Tabla8[[#This Row],[FECHA]]))</f>
        <v>2-2026</v>
      </c>
    </row>
    <row r="92" spans="1:21" ht="15" customHeight="1">
      <c r="A92" s="22">
        <v>46030</v>
      </c>
      <c r="B92" s="16" t="s">
        <v>179</v>
      </c>
      <c r="C92" s="10" t="s">
        <v>23</v>
      </c>
      <c r="D92" s="381" t="s">
        <v>106</v>
      </c>
      <c r="E92" s="381" t="s">
        <v>107</v>
      </c>
      <c r="F92" s="380">
        <f>+MOD(Tabla8[[#This Row],[HR. FIN]]-Tabla8[[#This Row],[HR. INICIO]],1)</f>
        <v>3.472222222222221E-2</v>
      </c>
      <c r="G92" s="16" t="s">
        <v>91</v>
      </c>
      <c r="H92" s="343" t="str">
        <f>IFERROR(VLOOKUP(G92,DATOS!$M$2:$N$219,2,FALSE),"")</f>
        <v>Area</v>
      </c>
      <c r="I92" s="115" t="s">
        <v>54</v>
      </c>
      <c r="J92" s="115" t="str">
        <f>+VLOOKUP($I92,Tabla7[#All],2,FALSE)</f>
        <v>PROGRAMADA</v>
      </c>
      <c r="K92" s="114" t="str">
        <f>IF(VLOOKUP(I92,Tabla7[#All],3,FALSE)=0,"",VLOOKUP(I92,Tabla7[#All],3,FALSE))</f>
        <v/>
      </c>
      <c r="L92" s="35" t="s">
        <v>263</v>
      </c>
      <c r="M92" s="35" t="s">
        <v>121</v>
      </c>
      <c r="N92" s="35" t="str" cm="1">
        <f t="array" ref="N92">IFERROR(IF(Tabla8[[#This Row],[P/NP]]="NO PROGRAMADA","",_xlfn.TEXTJOIN(", ",TRUE,_xlfn._xlws.FILTER(Tabla4[[#All],[PIEZA]],ISNUMBER(SEARCH(Tabla4[[#All],[PCLAVE]],Tabla8[[#This Row],[DESCRIPCION DE TRABAJO]])),""))),"")</f>
        <v/>
      </c>
      <c r="O92" s="35" t="str" cm="1">
        <f t="array" ref="O92">_xlfn.TEXTJOIN(", ",TRUE,_xlfn._xlws.FILTER(Tabla28[[#All],[PARTE]],ISNUMBER(SEARCH(Tabla28[[#All],[PCLAVE2]],Tabla8[[#This Row],[DESCRIPCION DE TRABAJO]])),""))</f>
        <v/>
      </c>
      <c r="P92" s="303" t="str">
        <f>IFERROR(LEFT(O92, FIND(",", O92)-1), O92)</f>
        <v/>
      </c>
      <c r="Q92" s="303" t="str">
        <f>IFERROR(IF(ISERROR(FIND(",", O92, FIND(",", O92)+1)), RIGHT(O92, LEN(O92)-FIND(",", O92)-1), MID(O92, FIND(",", O92)+2, FIND(",", O92, FIND(",", O92)+1)-FIND(",", O92)-2)), "")</f>
        <v/>
      </c>
      <c r="R92" s="303" t="str">
        <f>IFERROR(RIGHT(O92, LEN(O92)-FIND(",", O92, FIND(",", O92)+1)-1), "")</f>
        <v/>
      </c>
      <c r="S92" s="35" t="str" cm="1">
        <f t="array" ref="S92">_xlfn.TEXTJOIN(", ",TRUE,_xlfn._xlws.FILTER(Tabla29[[#All],[PARTE]],ISNUMBER(SEARCH(Tabla29[[#All],[PCLAVE3]],Tabla8[[#This Row],[DESCRIPCION DE TRABAJO]])),""))</f>
        <v/>
      </c>
      <c r="T92" s="34" t="str">
        <f>IF(AND(Tabla8[[#This Row],[PIEZA]]="",Tabla8[[#This Row],[PARTE]]=""),"VACIO","OK")</f>
        <v>VACIO</v>
      </c>
      <c r="U92" s="303" t="str">
        <f>+CONCATENATE(WEEKNUM(Tabla8[[#This Row],[FECHA]]),"-",YEAR(Tabla8[[#This Row],[FECHA]]))</f>
        <v>2-2026</v>
      </c>
    </row>
    <row r="93" spans="1:21" ht="15" customHeight="1">
      <c r="A93" s="22">
        <v>46030</v>
      </c>
      <c r="B93" s="16" t="s">
        <v>179</v>
      </c>
      <c r="C93" s="10" t="s">
        <v>23</v>
      </c>
      <c r="D93" s="381" t="s">
        <v>264</v>
      </c>
      <c r="E93" s="381" t="s">
        <v>265</v>
      </c>
      <c r="F93" s="380">
        <f>+MOD(Tabla8[[#This Row],[HR. FIN]]-Tabla8[[#This Row],[HR. INICIO]],1)</f>
        <v>2.777777777777779E-2</v>
      </c>
      <c r="G93" s="16" t="s">
        <v>266</v>
      </c>
      <c r="H93" s="343" t="str">
        <f>IFERROR(VLOOKUP(G93,DATOS!$M$2:$N$219,2,FALSE),"")</f>
        <v>Maquinaria</v>
      </c>
      <c r="I93" s="115" t="s">
        <v>57</v>
      </c>
      <c r="J93" s="115" t="str">
        <f>+VLOOKUP($I93,Tabla7[#All],2,FALSE)</f>
        <v>NO PROGRAMADA</v>
      </c>
      <c r="K93" s="114" t="str">
        <f>IF(VLOOKUP(I93,Tabla7[#All],3,FALSE)=0,"",VLOOKUP(I93,Tabla7[#All],3,FALSE))</f>
        <v>MECÁNICA</v>
      </c>
      <c r="L93" s="35" t="s">
        <v>267</v>
      </c>
      <c r="M93" s="35" t="s">
        <v>121</v>
      </c>
      <c r="N93" s="35" t="str" cm="1">
        <f t="array" ref="N93">IFERROR(IF(Tabla8[[#This Row],[P/NP]]="NO PROGRAMADA","",_xlfn.TEXTJOIN(", ",TRUE,_xlfn._xlws.FILTER(Tabla4[[#All],[PIEZA]],ISNUMBER(SEARCH(Tabla4[[#All],[PCLAVE]],Tabla8[[#This Row],[DESCRIPCION DE TRABAJO]])),""))),"")</f>
        <v/>
      </c>
      <c r="O93" s="35" t="str" cm="1">
        <f t="array" ref="O93">_xlfn.TEXTJOIN(", ",TRUE,_xlfn._xlws.FILTER(Tabla28[[#All],[PARTE]],ISNUMBER(SEARCH(Tabla28[[#All],[PCLAVE2]],Tabla8[[#This Row],[DESCRIPCION DE TRABAJO]])),""))</f>
        <v/>
      </c>
      <c r="P93" s="303" t="str">
        <f>IFERROR(LEFT(O93, FIND(",", O93)-1), O93)</f>
        <v/>
      </c>
      <c r="Q93" s="303" t="str">
        <f>IFERROR(IF(ISERROR(FIND(",", O93, FIND(",", O93)+1)), RIGHT(O93, LEN(O93)-FIND(",", O93)-1), MID(O93, FIND(",", O93)+2, FIND(",", O93, FIND(",", O93)+1)-FIND(",", O93)-2)), "")</f>
        <v/>
      </c>
      <c r="R93" s="303" t="str">
        <f>IFERROR(RIGHT(O93, LEN(O93)-FIND(",", O93, FIND(",", O93)+1)-1), "")</f>
        <v/>
      </c>
      <c r="S93" s="35" t="str" cm="1">
        <f t="array" ref="S93">_xlfn.TEXTJOIN(", ",TRUE,_xlfn._xlws.FILTER(Tabla29[[#All],[PARTE]],ISNUMBER(SEARCH(Tabla29[[#All],[PCLAVE3]],Tabla8[[#This Row],[DESCRIPCION DE TRABAJO]])),""))</f>
        <v/>
      </c>
      <c r="T93" s="34" t="str">
        <f>IF(AND(Tabla8[[#This Row],[PIEZA]]="",Tabla8[[#This Row],[PARTE]]=""),"VACIO","OK")</f>
        <v>VACIO</v>
      </c>
      <c r="U93" s="303" t="str">
        <f>+CONCATENATE(WEEKNUM(Tabla8[[#This Row],[FECHA]]),"-",YEAR(Tabla8[[#This Row],[FECHA]]))</f>
        <v>2-2026</v>
      </c>
    </row>
    <row r="94" spans="1:21" ht="15" customHeight="1">
      <c r="A94" s="22">
        <v>46030</v>
      </c>
      <c r="B94" s="16" t="s">
        <v>179</v>
      </c>
      <c r="C94" s="10" t="s">
        <v>23</v>
      </c>
      <c r="D94" s="381" t="s">
        <v>268</v>
      </c>
      <c r="E94" s="381" t="s">
        <v>269</v>
      </c>
      <c r="F94" s="380">
        <f>+MOD(Tabla8[[#This Row],[HR. FIN]]-Tabla8[[#This Row],[HR. INICIO]],1)</f>
        <v>2.777777777777779E-2</v>
      </c>
      <c r="G94" s="16" t="s">
        <v>270</v>
      </c>
      <c r="H94" s="343" t="str">
        <f>IFERROR(VLOOKUP(G94,DATOS!$M$2:$N$219,2,FALSE),"")</f>
        <v>Maquinaria</v>
      </c>
      <c r="I94" s="115" t="s">
        <v>32</v>
      </c>
      <c r="J94" s="115" t="s">
        <v>92</v>
      </c>
      <c r="K94" s="114" t="s">
        <v>93</v>
      </c>
      <c r="L94" s="35" t="s">
        <v>271</v>
      </c>
      <c r="M94" s="35" t="s">
        <v>272</v>
      </c>
      <c r="N94" s="35" t="str" cm="1">
        <f t="array" ref="N94">IFERROR(IF(Tabla8[[#This Row],[P/NP]]="NO PROGRAMADA","",_xlfn.TEXTJOIN(", ",TRUE,_xlfn._xlws.FILTER(Tabla4[[#All],[PIEZA]],ISNUMBER(SEARCH(Tabla4[[#All],[PCLAVE]],Tabla8[[#This Row],[DESCRIPCION DE TRABAJO]])),""))),"")</f>
        <v/>
      </c>
      <c r="O94" s="35" t="str" cm="1">
        <f t="array" ref="O94">_xlfn.TEXTJOIN(", ",TRUE,_xlfn._xlws.FILTER(Tabla28[[#All],[PARTE]],ISNUMBER(SEARCH(Tabla28[[#All],[PCLAVE2]],Tabla8[[#This Row],[DESCRIPCION DE TRABAJO]])),""))</f>
        <v/>
      </c>
      <c r="P94" s="303" t="str">
        <f>IFERROR(LEFT(O94, FIND(",", O94)-1), O94)</f>
        <v/>
      </c>
      <c r="Q94" s="303" t="str">
        <f>IFERROR(IF(ISERROR(FIND(",", O94, FIND(",", O94)+1)), RIGHT(O94, LEN(O94)-FIND(",", O94)-1), MID(O94, FIND(",", O94)+2, FIND(",", O94, FIND(",", O94)+1)-FIND(",", O94)-2)), "")</f>
        <v/>
      </c>
      <c r="R94" s="303" t="str">
        <f>IFERROR(RIGHT(O94, LEN(O94)-FIND(",", O94, FIND(",", O94)+1)-1), "")</f>
        <v/>
      </c>
      <c r="S94" s="35" t="str" cm="1">
        <f t="array" ref="S94">_xlfn.TEXTJOIN(", ",TRUE,_xlfn._xlws.FILTER(Tabla29[[#All],[PARTE]],ISNUMBER(SEARCH(Tabla29[[#All],[PCLAVE3]],Tabla8[[#This Row],[DESCRIPCION DE TRABAJO]])),""))</f>
        <v/>
      </c>
      <c r="T94" s="34" t="str">
        <f>IF(AND(Tabla8[[#This Row],[PIEZA]]="",Tabla8[[#This Row],[PARTE]]=""),"VACIO","OK")</f>
        <v>VACIO</v>
      </c>
      <c r="U94" s="303" t="str">
        <f>+CONCATENATE(WEEKNUM(Tabla8[[#This Row],[FECHA]]),"-",YEAR(Tabla8[[#This Row],[FECHA]]))</f>
        <v>2-2026</v>
      </c>
    </row>
    <row r="95" spans="1:21" ht="15" customHeight="1">
      <c r="A95" s="22">
        <v>46030</v>
      </c>
      <c r="B95" s="16" t="s">
        <v>191</v>
      </c>
      <c r="C95" s="10" t="s">
        <v>23</v>
      </c>
      <c r="D95" s="381" t="s">
        <v>273</v>
      </c>
      <c r="E95" s="381" t="s">
        <v>274</v>
      </c>
      <c r="F95" s="380">
        <f>+MOD(Tabla8[[#This Row],[HR. FIN]]-Tabla8[[#This Row],[HR. INICIO]],1)</f>
        <v>2.5694444444444353E-2</v>
      </c>
      <c r="G95" s="16" t="s">
        <v>153</v>
      </c>
      <c r="H95" s="343" t="str">
        <f>IFERROR(VLOOKUP(G95,DATOS!$M$2:$N$219,2,FALSE),"")</f>
        <v>Maquinaria</v>
      </c>
      <c r="I95" s="115" t="s">
        <v>61</v>
      </c>
      <c r="J95" s="115" t="s">
        <v>92</v>
      </c>
      <c r="K95" s="114" t="s">
        <v>93</v>
      </c>
      <c r="L95" s="35" t="s">
        <v>275</v>
      </c>
      <c r="M95" s="35" t="s">
        <v>276</v>
      </c>
      <c r="N95" s="35" t="str" cm="1">
        <f t="array" ref="N95">IFERROR(IF(Tabla8[[#This Row],[P/NP]]="NO PROGRAMADA","",_xlfn.TEXTJOIN(", ",TRUE,_xlfn._xlws.FILTER(Tabla4[[#All],[PIEZA]],ISNUMBER(SEARCH(Tabla4[[#All],[PCLAVE]],Tabla8[[#This Row],[DESCRIPCION DE TRABAJO]])),""))),"")</f>
        <v/>
      </c>
      <c r="O95" s="35" t="str" cm="1">
        <f t="array" ref="O95">_xlfn.TEXTJOIN(", ",TRUE,_xlfn._xlws.FILTER(Tabla28[[#All],[PARTE]],ISNUMBER(SEARCH(Tabla28[[#All],[PCLAVE2]],Tabla8[[#This Row],[DESCRIPCION DE TRABAJO]])),""))</f>
        <v/>
      </c>
      <c r="P95" s="303" t="str">
        <f>IFERROR(LEFT(O95, FIND(",", O95)-1), O95)</f>
        <v/>
      </c>
      <c r="Q95" s="303" t="str">
        <f>IFERROR(IF(ISERROR(FIND(",", O95, FIND(",", O95)+1)), RIGHT(O95, LEN(O95)-FIND(",", O95)-1), MID(O95, FIND(",", O95)+2, FIND(",", O95, FIND(",", O95)+1)-FIND(",", O95)-2)), "")</f>
        <v/>
      </c>
      <c r="R95" s="303" t="str">
        <f>IFERROR(RIGHT(O95, LEN(O95)-FIND(",", O95, FIND(",", O95)+1)-1), "")</f>
        <v/>
      </c>
      <c r="S95" s="35" t="str" cm="1">
        <f t="array" ref="S95">_xlfn.TEXTJOIN(", ",TRUE,_xlfn._xlws.FILTER(Tabla29[[#All],[PARTE]],ISNUMBER(SEARCH(Tabla29[[#All],[PCLAVE3]],Tabla8[[#This Row],[DESCRIPCION DE TRABAJO]])),""))</f>
        <v/>
      </c>
      <c r="T95" s="34" t="str">
        <f>IF(AND(Tabla8[[#This Row],[PIEZA]]="",Tabla8[[#This Row],[PARTE]]=""),"VACIO","OK")</f>
        <v>VACIO</v>
      </c>
      <c r="U95" s="303" t="str">
        <f>+CONCATENATE(WEEKNUM(Tabla8[[#This Row],[FECHA]]),"-",YEAR(Tabla8[[#This Row],[FECHA]]))</f>
        <v>2-2026</v>
      </c>
    </row>
    <row r="96" spans="1:21" ht="15" customHeight="1">
      <c r="A96" s="22">
        <v>46030</v>
      </c>
      <c r="B96" s="16" t="s">
        <v>179</v>
      </c>
      <c r="C96" s="10" t="s">
        <v>23</v>
      </c>
      <c r="D96" s="381" t="s">
        <v>277</v>
      </c>
      <c r="E96" s="381" t="s">
        <v>278</v>
      </c>
      <c r="F96" s="380">
        <f>+MOD(Tabla8[[#This Row],[HR. FIN]]-Tabla8[[#This Row],[HR. INICIO]],1)</f>
        <v>2.430555555555558E-2</v>
      </c>
      <c r="G96" s="16" t="s">
        <v>153</v>
      </c>
      <c r="H96" s="343" t="str">
        <f>IFERROR(VLOOKUP(G96,DATOS!$M$2:$N$219,2,FALSE),"")</f>
        <v>Maquinaria</v>
      </c>
      <c r="I96" s="115" t="s">
        <v>61</v>
      </c>
      <c r="J96" s="115" t="s">
        <v>92</v>
      </c>
      <c r="K96" s="114" t="s">
        <v>93</v>
      </c>
      <c r="L96" s="35" t="s">
        <v>279</v>
      </c>
      <c r="M96" s="35" t="s">
        <v>280</v>
      </c>
      <c r="N96" s="35" t="str" cm="1">
        <f t="array" ref="N96">IFERROR(IF(Tabla8[[#This Row],[P/NP]]="NO PROGRAMADA","",_xlfn.TEXTJOIN(", ",TRUE,_xlfn._xlws.FILTER(Tabla4[[#All],[PIEZA]],ISNUMBER(SEARCH(Tabla4[[#All],[PCLAVE]],Tabla8[[#This Row],[DESCRIPCION DE TRABAJO]])),""))),"")</f>
        <v/>
      </c>
      <c r="O96" s="35" t="str" cm="1">
        <f t="array" ref="O96">_xlfn.TEXTJOIN(", ",TRUE,_xlfn._xlws.FILTER(Tabla28[[#All],[PARTE]],ISNUMBER(SEARCH(Tabla28[[#All],[PCLAVE2]],Tabla8[[#This Row],[DESCRIPCION DE TRABAJO]])),""))</f>
        <v/>
      </c>
      <c r="P96" s="303" t="str">
        <f>IFERROR(LEFT(O96, FIND(",", O96)-1), O96)</f>
        <v/>
      </c>
      <c r="Q96" s="303" t="str">
        <f>IFERROR(IF(ISERROR(FIND(",", O96, FIND(",", O96)+1)), RIGHT(O96, LEN(O96)-FIND(",", O96)-1), MID(O96, FIND(",", O96)+2, FIND(",", O96, FIND(",", O96)+1)-FIND(",", O96)-2)), "")</f>
        <v/>
      </c>
      <c r="R96" s="303" t="str">
        <f>IFERROR(RIGHT(O96, LEN(O96)-FIND(",", O96, FIND(",", O96)+1)-1), "")</f>
        <v/>
      </c>
      <c r="S96" s="35" t="str" cm="1">
        <f t="array" ref="S96">_xlfn.TEXTJOIN(", ",TRUE,_xlfn._xlws.FILTER(Tabla29[[#All],[PARTE]],ISNUMBER(SEARCH(Tabla29[[#All],[PCLAVE3]],Tabla8[[#This Row],[DESCRIPCION DE TRABAJO]])),""))</f>
        <v/>
      </c>
      <c r="T96" s="34" t="str">
        <f>IF(AND(Tabla8[[#This Row],[PIEZA]]="",Tabla8[[#This Row],[PARTE]]=""),"VACIO","OK")</f>
        <v>VACIO</v>
      </c>
      <c r="U96" s="303" t="str">
        <f>+CONCATENATE(WEEKNUM(Tabla8[[#This Row],[FECHA]]),"-",YEAR(Tabla8[[#This Row],[FECHA]]))</f>
        <v>2-2026</v>
      </c>
    </row>
    <row r="97" spans="1:21" ht="15" customHeight="1">
      <c r="A97" s="22">
        <v>46030</v>
      </c>
      <c r="B97" s="16" t="s">
        <v>179</v>
      </c>
      <c r="C97" s="10" t="s">
        <v>23</v>
      </c>
      <c r="D97" s="381" t="s">
        <v>281</v>
      </c>
      <c r="E97" s="381" t="s">
        <v>282</v>
      </c>
      <c r="F97" s="380">
        <f>+MOD(Tabla8[[#This Row],[HR. FIN]]-Tabla8[[#This Row],[HR. INICIO]],1)</f>
        <v>2.0833333333333259E-2</v>
      </c>
      <c r="G97" s="16" t="s">
        <v>27</v>
      </c>
      <c r="H97" s="343" t="str">
        <f>IFERROR(VLOOKUP(G97,DATOS!$M$2:$N$219,2,FALSE),"")</f>
        <v>Maquinaria</v>
      </c>
      <c r="I97" s="115" t="s">
        <v>32</v>
      </c>
      <c r="J97" s="115" t="str">
        <f>+VLOOKUP($I97,Tabla7[#All],2,FALSE)</f>
        <v>PROGRAMADA</v>
      </c>
      <c r="K97" s="114" t="str">
        <f>IF(VLOOKUP(I97,Tabla7[#All],3,FALSE)=0,"",VLOOKUP(I97,Tabla7[#All],3,FALSE))</f>
        <v/>
      </c>
      <c r="L97" s="35" t="s">
        <v>283</v>
      </c>
      <c r="M97" s="35" t="s">
        <v>121</v>
      </c>
      <c r="N97" s="35" t="str" cm="1">
        <f t="array" ref="N97">IFERROR(IF(Tabla8[[#This Row],[P/NP]]="NO PROGRAMADA","",_xlfn.TEXTJOIN(", ",TRUE,_xlfn._xlws.FILTER(Tabla4[[#All],[PIEZA]],ISNUMBER(SEARCH(Tabla4[[#All],[PCLAVE]],Tabla8[[#This Row],[DESCRIPCION DE TRABAJO]])),""))),"")</f>
        <v/>
      </c>
      <c r="O97" s="35" t="str" cm="1">
        <f t="array" ref="O97">_xlfn.TEXTJOIN(", ",TRUE,_xlfn._xlws.FILTER(Tabla28[[#All],[PARTE]],ISNUMBER(SEARCH(Tabla28[[#All],[PCLAVE2]],Tabla8[[#This Row],[DESCRIPCION DE TRABAJO]])),""))</f>
        <v>Mds</v>
      </c>
      <c r="P97" s="303" t="str">
        <f>IFERROR(LEFT(O97, FIND(",", O97)-1), O97)</f>
        <v>Mds</v>
      </c>
      <c r="Q97" s="303" t="str">
        <f>IFERROR(IF(ISERROR(FIND(",", O97, FIND(",", O97)+1)), RIGHT(O97, LEN(O97)-FIND(",", O97)-1), MID(O97, FIND(",", O97)+2, FIND(",", O97, FIND(",", O97)+1)-FIND(",", O97)-2)), "")</f>
        <v/>
      </c>
      <c r="R97" s="303" t="str">
        <f>IFERROR(RIGHT(O97, LEN(O97)-FIND(",", O97, FIND(",", O97)+1)-1), "")</f>
        <v/>
      </c>
      <c r="S97" s="35" t="str" cm="1">
        <f t="array" ref="S97">_xlfn.TEXTJOIN(", ",TRUE,_xlfn._xlws.FILTER(Tabla29[[#All],[PARTE]],ISNUMBER(SEARCH(Tabla29[[#All],[PCLAVE3]],Tabla8[[#This Row],[DESCRIPCION DE TRABAJO]])),""))</f>
        <v/>
      </c>
      <c r="T97" s="34" t="str">
        <f>IF(AND(Tabla8[[#This Row],[PIEZA]]="",Tabla8[[#This Row],[PARTE]]=""),"VACIO","OK")</f>
        <v>OK</v>
      </c>
      <c r="U97" s="303" t="str">
        <f>+CONCATENATE(WEEKNUM(Tabla8[[#This Row],[FECHA]]),"-",YEAR(Tabla8[[#This Row],[FECHA]]))</f>
        <v>2-2026</v>
      </c>
    </row>
    <row r="98" spans="1:21" ht="15" customHeight="1">
      <c r="A98" s="22">
        <v>46030</v>
      </c>
      <c r="B98" s="16" t="s">
        <v>191</v>
      </c>
      <c r="C98" s="10" t="s">
        <v>23</v>
      </c>
      <c r="D98" s="381" t="s">
        <v>284</v>
      </c>
      <c r="E98" s="381" t="s">
        <v>285</v>
      </c>
      <c r="F98" s="380">
        <f>+MOD(Tabla8[[#This Row],[HR. FIN]]-Tabla8[[#This Row],[HR. INICIO]],1)</f>
        <v>1.7361111111111049E-2</v>
      </c>
      <c r="G98" s="16" t="s">
        <v>286</v>
      </c>
      <c r="H98" s="343" t="str">
        <f>IFERROR(VLOOKUP(G98,DATOS!$M$2:$N$219,2,FALSE),"")</f>
        <v>Maquinaria</v>
      </c>
      <c r="I98" s="115" t="s">
        <v>32</v>
      </c>
      <c r="J98" s="115" t="str">
        <f>+VLOOKUP($I98,Tabla7[#All],2,FALSE)</f>
        <v>PROGRAMADA</v>
      </c>
      <c r="K98" s="114" t="str">
        <f>IF(VLOOKUP(I98,Tabla7[#All],3,FALSE)=0,"",VLOOKUP(I98,Tabla7[#All],3,FALSE))</f>
        <v/>
      </c>
      <c r="L98" s="35" t="s">
        <v>287</v>
      </c>
      <c r="M98" s="35" t="s">
        <v>288</v>
      </c>
      <c r="N98" s="35" t="str" cm="1">
        <f t="array" ref="N98">IFERROR(IF(Tabla8[[#This Row],[P/NP]]="NO PROGRAMADA","",_xlfn.TEXTJOIN(", ",TRUE,_xlfn._xlws.FILTER(Tabla4[[#All],[PIEZA]],ISNUMBER(SEARCH(Tabla4[[#All],[PCLAVE]],Tabla8[[#This Row],[DESCRIPCION DE TRABAJO]])),""))),"")</f>
        <v/>
      </c>
      <c r="O98" s="35" t="str" cm="1">
        <f t="array" ref="O98">_xlfn.TEXTJOIN(", ",TRUE,_xlfn._xlws.FILTER(Tabla28[[#All],[PARTE]],ISNUMBER(SEARCH(Tabla28[[#All],[PCLAVE2]],Tabla8[[#This Row],[DESCRIPCION DE TRABAJO]])),""))</f>
        <v>Camara De Temperado</v>
      </c>
      <c r="P98" s="303" t="str">
        <f>IFERROR(LEFT(O98, FIND(",", O98)-1), O98)</f>
        <v>Camara De Temperado</v>
      </c>
      <c r="Q98" s="303" t="str">
        <f>IFERROR(IF(ISERROR(FIND(",", O98, FIND(",", O98)+1)), RIGHT(O98, LEN(O98)-FIND(",", O98)-1), MID(O98, FIND(",", O98)+2, FIND(",", O98, FIND(",", O98)+1)-FIND(",", O98)-2)), "")</f>
        <v/>
      </c>
      <c r="R98" s="303" t="str">
        <f>IFERROR(RIGHT(O98, LEN(O98)-FIND(",", O98, FIND(",", O98)+1)-1), "")</f>
        <v/>
      </c>
      <c r="S98" s="35" t="str" cm="1">
        <f t="array" ref="S98">_xlfn.TEXTJOIN(", ",TRUE,_xlfn._xlws.FILTER(Tabla29[[#All],[PARTE]],ISNUMBER(SEARCH(Tabla29[[#All],[PCLAVE3]],Tabla8[[#This Row],[DESCRIPCION DE TRABAJO]])),""))</f>
        <v>Acumulacion De Producto</v>
      </c>
      <c r="T98" s="34" t="str">
        <f>IF(AND(Tabla8[[#This Row],[PIEZA]]="",Tabla8[[#This Row],[PARTE]]=""),"VACIO","OK")</f>
        <v>OK</v>
      </c>
      <c r="U98" s="303" t="str">
        <f>+CONCATENATE(WEEKNUM(Tabla8[[#This Row],[FECHA]]),"-",YEAR(Tabla8[[#This Row],[FECHA]]))</f>
        <v>2-2026</v>
      </c>
    </row>
    <row r="99" spans="1:21" ht="15" customHeight="1">
      <c r="A99" s="22">
        <v>46030</v>
      </c>
      <c r="B99" s="16" t="s">
        <v>191</v>
      </c>
      <c r="C99" s="10" t="s">
        <v>23</v>
      </c>
      <c r="D99" s="381" t="s">
        <v>285</v>
      </c>
      <c r="E99" s="381" t="s">
        <v>289</v>
      </c>
      <c r="F99" s="380">
        <f>+MOD(Tabla8[[#This Row],[HR. FIN]]-Tabla8[[#This Row],[HR. INICIO]],1)</f>
        <v>1.6666666666666718E-2</v>
      </c>
      <c r="G99" s="16" t="s">
        <v>270</v>
      </c>
      <c r="H99" s="343" t="str">
        <f>IFERROR(VLOOKUP(G99,DATOS!$M$2:$N$219,2,FALSE),"")</f>
        <v>Maquinaria</v>
      </c>
      <c r="I99" s="115" t="s">
        <v>57</v>
      </c>
      <c r="J99" s="115" t="str">
        <f>+VLOOKUP($I99,Tabla7[#All],2,FALSE)</f>
        <v>NO PROGRAMADA</v>
      </c>
      <c r="K99" s="114" t="str">
        <f>IF(VLOOKUP(I99,Tabla7[#All],3,FALSE)=0,"",VLOOKUP(I99,Tabla7[#All],3,FALSE))</f>
        <v>MECÁNICA</v>
      </c>
      <c r="L99" s="35" t="s">
        <v>290</v>
      </c>
      <c r="M99" s="35" t="s">
        <v>291</v>
      </c>
      <c r="N99" s="35" t="str" cm="1">
        <f t="array" ref="N99">IFERROR(IF(Tabla8[[#This Row],[P/NP]]="NO PROGRAMADA","",_xlfn.TEXTJOIN(", ",TRUE,_xlfn._xlws.FILTER(Tabla4[[#All],[PIEZA]],ISNUMBER(SEARCH(Tabla4[[#All],[PCLAVE]],Tabla8[[#This Row],[DESCRIPCION DE TRABAJO]])),""))),"")</f>
        <v/>
      </c>
      <c r="O99" s="35" t="str" cm="1">
        <f t="array" ref="O99">_xlfn.TEXTJOIN(", ",TRUE,_xlfn._xlws.FILTER(Tabla28[[#All],[PARTE]],ISNUMBER(SEARCH(Tabla28[[#All],[PCLAVE2]],Tabla8[[#This Row],[DESCRIPCION DE TRABAJO]])),""))</f>
        <v>Columna</v>
      </c>
      <c r="P99" s="303" t="str">
        <f>IFERROR(LEFT(O99, FIND(",", O99)-1), O99)</f>
        <v>Columna</v>
      </c>
      <c r="Q99" s="303" t="str">
        <f>IFERROR(IF(ISERROR(FIND(",", O99, FIND(",", O99)+1)), RIGHT(O99, LEN(O99)-FIND(",", O99)-1), MID(O99, FIND(",", O99)+2, FIND(",", O99, FIND(",", O99)+1)-FIND(",", O99)-2)), "")</f>
        <v/>
      </c>
      <c r="R99" s="303" t="str">
        <f>IFERROR(RIGHT(O99, LEN(O99)-FIND(",", O99, FIND(",", O99)+1)-1), "")</f>
        <v/>
      </c>
      <c r="S99" s="35" t="str" cm="1">
        <f t="array" ref="S99">_xlfn.TEXTJOIN(", ",TRUE,_xlfn._xlws.FILTER(Tabla29[[#All],[PARTE]],ISNUMBER(SEARCH(Tabla29[[#All],[PCLAVE3]],Tabla8[[#This Row],[DESCRIPCION DE TRABAJO]])),""))</f>
        <v>Juntos</v>
      </c>
      <c r="T99" s="34" t="str">
        <f>IF(AND(Tabla8[[#This Row],[PIEZA]]="",Tabla8[[#This Row],[PARTE]]=""),"VACIO","OK")</f>
        <v>OK</v>
      </c>
      <c r="U99" s="303" t="str">
        <f>+CONCATENATE(WEEKNUM(Tabla8[[#This Row],[FECHA]]),"-",YEAR(Tabla8[[#This Row],[FECHA]]))</f>
        <v>2-2026</v>
      </c>
    </row>
    <row r="100" spans="1:21" ht="15" customHeight="1">
      <c r="A100" s="22">
        <v>46030</v>
      </c>
      <c r="B100" s="16" t="s">
        <v>111</v>
      </c>
      <c r="C100" s="10" t="s">
        <v>39</v>
      </c>
      <c r="D100" s="381" t="s">
        <v>292</v>
      </c>
      <c r="E100" s="381" t="s">
        <v>142</v>
      </c>
      <c r="F100" s="380">
        <f>+MOD(Tabla8[[#This Row],[HR. FIN]]-Tabla8[[#This Row],[HR. INICIO]],1)</f>
        <v>1.3888888888888881E-2</v>
      </c>
      <c r="G100" s="16" t="s">
        <v>293</v>
      </c>
      <c r="H100" s="343" t="str">
        <f>IFERROR(VLOOKUP(G100,DATOS!$M$2:$N$219,2,FALSE),"")</f>
        <v>Equipos auxiliares</v>
      </c>
      <c r="I100" s="115" t="s">
        <v>32</v>
      </c>
      <c r="J100" s="115" t="s">
        <v>92</v>
      </c>
      <c r="K100" s="114" t="s">
        <v>148</v>
      </c>
      <c r="L100" s="35" t="s">
        <v>294</v>
      </c>
      <c r="M100" s="35" t="s">
        <v>295</v>
      </c>
      <c r="N100" s="35" t="str" cm="1">
        <f t="array" ref="N100">IFERROR(IF(Tabla8[[#This Row],[P/NP]]="NO PROGRAMADA","",_xlfn.TEXTJOIN(", ",TRUE,_xlfn._xlws.FILTER(Tabla4[[#All],[PIEZA]],ISNUMBER(SEARCH(Tabla4[[#All],[PCLAVE]],Tabla8[[#This Row],[DESCRIPCION DE TRABAJO]])),""))),"")</f>
        <v/>
      </c>
      <c r="O100" s="35" t="str" cm="1">
        <f t="array" ref="O100">_xlfn.TEXTJOIN(", ",TRUE,_xlfn._xlws.FILTER(Tabla28[[#All],[PARTE]],ISNUMBER(SEARCH(Tabla28[[#All],[PCLAVE2]],Tabla8[[#This Row],[DESCRIPCION DE TRABAJO]])),""))</f>
        <v/>
      </c>
      <c r="P100" s="303" t="str">
        <f>IFERROR(LEFT(O100, FIND(",", O100)-1), O100)</f>
        <v/>
      </c>
      <c r="Q100" s="303" t="str">
        <f>IFERROR(IF(ISERROR(FIND(",", O100, FIND(",", O100)+1)), RIGHT(O100, LEN(O100)-FIND(",", O100)-1), MID(O100, FIND(",", O100)+2, FIND(",", O100, FIND(",", O100)+1)-FIND(",", O100)-2)), "")</f>
        <v/>
      </c>
      <c r="R100" s="303" t="str">
        <f>IFERROR(RIGHT(O100, LEN(O100)-FIND(",", O100, FIND(",", O100)+1)-1), "")</f>
        <v/>
      </c>
      <c r="S100" s="35" t="str" cm="1">
        <f t="array" ref="S100">_xlfn.TEXTJOIN(", ",TRUE,_xlfn._xlws.FILTER(Tabla29[[#All],[PARTE]],ISNUMBER(SEARCH(Tabla29[[#All],[PCLAVE3]],Tabla8[[#This Row],[DESCRIPCION DE TRABAJO]])),""))</f>
        <v>Alarma</v>
      </c>
      <c r="T100" s="34" t="str">
        <f>IF(AND(Tabla8[[#This Row],[PIEZA]]="",Tabla8[[#This Row],[PARTE]]=""),"VACIO","OK")</f>
        <v>VACIO</v>
      </c>
      <c r="U100" s="303" t="str">
        <f>+CONCATENATE(WEEKNUM(Tabla8[[#This Row],[FECHA]]),"-",YEAR(Tabla8[[#This Row],[FECHA]]))</f>
        <v>2-2026</v>
      </c>
    </row>
    <row r="101" spans="1:21" ht="15" customHeight="1">
      <c r="A101" s="22">
        <v>46030</v>
      </c>
      <c r="B101" s="16" t="s">
        <v>179</v>
      </c>
      <c r="C101" s="10" t="s">
        <v>23</v>
      </c>
      <c r="D101" s="381" t="s">
        <v>296</v>
      </c>
      <c r="E101" s="381" t="s">
        <v>297</v>
      </c>
      <c r="F101" s="380">
        <f>+MOD(Tabla8[[#This Row],[HR. FIN]]-Tabla8[[#This Row],[HR. INICIO]],1)</f>
        <v>1.388888888888884E-2</v>
      </c>
      <c r="G101" s="16" t="s">
        <v>298</v>
      </c>
      <c r="H101" s="343" t="str">
        <f>IFERROR(VLOOKUP(G101,DATOS!$M$2:$N$219,2,FALSE),"")</f>
        <v>Area</v>
      </c>
      <c r="I101" s="115" t="s">
        <v>54</v>
      </c>
      <c r="J101" s="115" t="str">
        <f>+VLOOKUP($I101,Tabla7[#All],2,FALSE)</f>
        <v>PROGRAMADA</v>
      </c>
      <c r="K101" s="114" t="str">
        <f>IF(VLOOKUP(I101,Tabla7[#All],3,FALSE)=0,"",VLOOKUP(I101,Tabla7[#All],3,FALSE))</f>
        <v/>
      </c>
      <c r="L101" s="35" t="s">
        <v>299</v>
      </c>
      <c r="M101" s="35" t="s">
        <v>121</v>
      </c>
      <c r="N101" s="35" t="str" cm="1">
        <f t="array" ref="N101">IFERROR(IF(Tabla8[[#This Row],[P/NP]]="NO PROGRAMADA","",_xlfn.TEXTJOIN(", ",TRUE,_xlfn._xlws.FILTER(Tabla4[[#All],[PIEZA]],ISNUMBER(SEARCH(Tabla4[[#All],[PCLAVE]],Tabla8[[#This Row],[DESCRIPCION DE TRABAJO]])),""))),"")</f>
        <v/>
      </c>
      <c r="O101" s="35" t="str" cm="1">
        <f t="array" ref="O101">_xlfn.TEXTJOIN(", ",TRUE,_xlfn._xlws.FILTER(Tabla28[[#All],[PARTE]],ISNUMBER(SEARCH(Tabla28[[#All],[PCLAVE2]],Tabla8[[#This Row],[DESCRIPCION DE TRABAJO]])),""))</f>
        <v/>
      </c>
      <c r="P101" s="303" t="str">
        <f>IFERROR(LEFT(O101, FIND(",", O101)-1), O101)</f>
        <v/>
      </c>
      <c r="Q101" s="303" t="str">
        <f>IFERROR(IF(ISERROR(FIND(",", O101, FIND(",", O101)+1)), RIGHT(O101, LEN(O101)-FIND(",", O101)-1), MID(O101, FIND(",", O101)+2, FIND(",", O101, FIND(",", O101)+1)-FIND(",", O101)-2)), "")</f>
        <v/>
      </c>
      <c r="R101" s="303" t="str">
        <f>IFERROR(RIGHT(O101, LEN(O101)-FIND(",", O101, FIND(",", O101)+1)-1), "")</f>
        <v/>
      </c>
      <c r="S101" s="35" t="str" cm="1">
        <f t="array" ref="S101">_xlfn.TEXTJOIN(", ",TRUE,_xlfn._xlws.FILTER(Tabla29[[#All],[PARTE]],ISNUMBER(SEARCH(Tabla29[[#All],[PCLAVE3]],Tabla8[[#This Row],[DESCRIPCION DE TRABAJO]])),""))</f>
        <v/>
      </c>
      <c r="T101" s="34" t="str">
        <f>IF(AND(Tabla8[[#This Row],[PIEZA]]="",Tabla8[[#This Row],[PARTE]]=""),"VACIO","OK")</f>
        <v>VACIO</v>
      </c>
      <c r="U101" s="303" t="str">
        <f>+CONCATENATE(WEEKNUM(Tabla8[[#This Row],[FECHA]]),"-",YEAR(Tabla8[[#This Row],[FECHA]]))</f>
        <v>2-2026</v>
      </c>
    </row>
    <row r="102" spans="1:21" ht="15" customHeight="1">
      <c r="A102" s="22">
        <v>46030</v>
      </c>
      <c r="B102" s="16" t="s">
        <v>191</v>
      </c>
      <c r="C102" s="10" t="s">
        <v>23</v>
      </c>
      <c r="D102" s="381" t="s">
        <v>300</v>
      </c>
      <c r="E102" s="381" t="s">
        <v>301</v>
      </c>
      <c r="F102" s="380">
        <f>+MOD(Tabla8[[#This Row],[HR. FIN]]-Tabla8[[#This Row],[HR. INICIO]],1)</f>
        <v>1.3194444444444398E-2</v>
      </c>
      <c r="G102" s="16" t="s">
        <v>215</v>
      </c>
      <c r="H102" s="343" t="str">
        <f>IFERROR(VLOOKUP(G102,DATOS!$M$2:$N$219,2,FALSE),"")</f>
        <v>Equipos auxiliares</v>
      </c>
      <c r="I102" s="115" t="s">
        <v>54</v>
      </c>
      <c r="J102" s="115" t="str">
        <f>+VLOOKUP($I102,Tabla7[#All],2,FALSE)</f>
        <v>PROGRAMADA</v>
      </c>
      <c r="K102" s="114" t="str">
        <f>IF(VLOOKUP(I102,Tabla7[#All],3,FALSE)=0,"",VLOOKUP(I102,Tabla7[#All],3,FALSE))</f>
        <v/>
      </c>
      <c r="L102" s="35" t="s">
        <v>302</v>
      </c>
      <c r="M102" s="35" t="s">
        <v>121</v>
      </c>
      <c r="N102" s="35" t="str" cm="1">
        <f t="array" ref="N102">IFERROR(IF(Tabla8[[#This Row],[P/NP]]="NO PROGRAMADA","",_xlfn.TEXTJOIN(", ",TRUE,_xlfn._xlws.FILTER(Tabla4[[#All],[PIEZA]],ISNUMBER(SEARCH(Tabla4[[#All],[PCLAVE]],Tabla8[[#This Row],[DESCRIPCION DE TRABAJO]])),""))),"")</f>
        <v/>
      </c>
      <c r="O102" s="35" t="str" cm="1">
        <f t="array" ref="O102">_xlfn.TEXTJOIN(", ",TRUE,_xlfn._xlws.FILTER(Tabla28[[#All],[PARTE]],ISNUMBER(SEARCH(Tabla28[[#All],[PCLAVE2]],Tabla8[[#This Row],[DESCRIPCION DE TRABAJO]])),""))</f>
        <v/>
      </c>
      <c r="P102" s="303" t="str">
        <f>IFERROR(LEFT(O102, FIND(",", O102)-1), O102)</f>
        <v/>
      </c>
      <c r="Q102" s="303" t="str">
        <f>IFERROR(IF(ISERROR(FIND(",", O102, FIND(",", O102)+1)), RIGHT(O102, LEN(O102)-FIND(",", O102)-1), MID(O102, FIND(",", O102)+2, FIND(",", O102, FIND(",", O102)+1)-FIND(",", O102)-2)), "")</f>
        <v/>
      </c>
      <c r="R102" s="303" t="str">
        <f>IFERROR(RIGHT(O102, LEN(O102)-FIND(",", O102, FIND(",", O102)+1)-1), "")</f>
        <v/>
      </c>
      <c r="S102" s="35" t="str" cm="1">
        <f t="array" ref="S102">_xlfn.TEXTJOIN(", ",TRUE,_xlfn._xlws.FILTER(Tabla29[[#All],[PARTE]],ISNUMBER(SEARCH(Tabla29[[#All],[PCLAVE3]],Tabla8[[#This Row],[DESCRIPCION DE TRABAJO]])),""))</f>
        <v/>
      </c>
      <c r="T102" s="34" t="str">
        <f>IF(AND(Tabla8[[#This Row],[PIEZA]]="",Tabla8[[#This Row],[PARTE]]=""),"VACIO","OK")</f>
        <v>VACIO</v>
      </c>
      <c r="U102" s="303" t="str">
        <f>+CONCATENATE(WEEKNUM(Tabla8[[#This Row],[FECHA]]),"-",YEAR(Tabla8[[#This Row],[FECHA]]))</f>
        <v>2-2026</v>
      </c>
    </row>
    <row r="103" spans="1:21" ht="15" customHeight="1">
      <c r="A103" s="22">
        <v>46030</v>
      </c>
      <c r="B103" s="16" t="s">
        <v>111</v>
      </c>
      <c r="C103" s="10" t="s">
        <v>39</v>
      </c>
      <c r="D103" s="381" t="s">
        <v>303</v>
      </c>
      <c r="E103" s="381">
        <v>0.22083333333333333</v>
      </c>
      <c r="F103" s="380">
        <f>+MOD(Tabla8[[#This Row],[HR. FIN]]-Tabla8[[#This Row],[HR. INICIO]],1)</f>
        <v>1.2499999999999983E-2</v>
      </c>
      <c r="G103" s="16" t="s">
        <v>136</v>
      </c>
      <c r="H103" s="343" t="str">
        <f>IFERROR(VLOOKUP(G103,DATOS!$M$2:$N$219,2,FALSE),"")</f>
        <v>Maquinaria</v>
      </c>
      <c r="I103" s="115" t="s">
        <v>54</v>
      </c>
      <c r="J103" s="115" t="s">
        <v>92</v>
      </c>
      <c r="K103" s="114" t="s">
        <v>93</v>
      </c>
      <c r="L103" s="35" t="s">
        <v>304</v>
      </c>
      <c r="M103" s="35" t="s">
        <v>305</v>
      </c>
      <c r="N103" s="35" t="str" cm="1">
        <f t="array" ref="N103">IFERROR(IF(Tabla8[[#This Row],[P/NP]]="NO PROGRAMADA","",_xlfn.TEXTJOIN(", ",TRUE,_xlfn._xlws.FILTER(Tabla4[[#All],[PIEZA]],ISNUMBER(SEARCH(Tabla4[[#All],[PCLAVE]],Tabla8[[#This Row],[DESCRIPCION DE TRABAJO]])),""))),"")</f>
        <v/>
      </c>
      <c r="O103" s="35" t="str" cm="1">
        <f t="array" ref="O103">_xlfn.TEXTJOIN(", ",TRUE,_xlfn._xlws.FILTER(Tabla28[[#All],[PARTE]],ISNUMBER(SEARCH(Tabla28[[#All],[PCLAVE2]],Tabla8[[#This Row],[DESCRIPCION DE TRABAJO]])),""))</f>
        <v/>
      </c>
      <c r="P103" s="303" t="str">
        <f>IFERROR(LEFT(O103, FIND(",", O103)-1), O103)</f>
        <v/>
      </c>
      <c r="Q103" s="303" t="str">
        <f>IFERROR(IF(ISERROR(FIND(",", O103, FIND(",", O103)+1)), RIGHT(O103, LEN(O103)-FIND(",", O103)-1), MID(O103, FIND(",", O103)+2, FIND(",", O103, FIND(",", O103)+1)-FIND(",", O103)-2)), "")</f>
        <v/>
      </c>
      <c r="R103" s="303" t="str">
        <f>IFERROR(RIGHT(O103, LEN(O103)-FIND(",", O103, FIND(",", O103)+1)-1), "")</f>
        <v/>
      </c>
      <c r="S103" s="35" t="str" cm="1">
        <f t="array" ref="S103">_xlfn.TEXTJOIN(", ",TRUE,_xlfn._xlws.FILTER(Tabla29[[#All],[PARTE]],ISNUMBER(SEARCH(Tabla29[[#All],[PCLAVE3]],Tabla8[[#This Row],[DESCRIPCION DE TRABAJO]])),""))</f>
        <v>Ruido</v>
      </c>
      <c r="T103" s="34" t="str">
        <f>IF(AND(Tabla8[[#This Row],[PIEZA]]="",Tabla8[[#This Row],[PARTE]]=""),"VACIO","OK")</f>
        <v>VACIO</v>
      </c>
      <c r="U103" s="303" t="str">
        <f>+CONCATENATE(WEEKNUM(Tabla8[[#This Row],[FECHA]]),"-",YEAR(Tabla8[[#This Row],[FECHA]]))</f>
        <v>2-2026</v>
      </c>
    </row>
    <row r="104" spans="1:21" ht="15" customHeight="1">
      <c r="A104" s="22">
        <v>46030</v>
      </c>
      <c r="B104" s="16" t="s">
        <v>191</v>
      </c>
      <c r="C104" s="10" t="s">
        <v>23</v>
      </c>
      <c r="D104" s="381" t="s">
        <v>306</v>
      </c>
      <c r="E104" s="381" t="s">
        <v>307</v>
      </c>
      <c r="F104" s="380">
        <f>+MOD(Tabla8[[#This Row],[HR. FIN]]-Tabla8[[#This Row],[HR. INICIO]],1)</f>
        <v>1.1111111111111072E-2</v>
      </c>
      <c r="G104" s="16" t="s">
        <v>192</v>
      </c>
      <c r="H104" s="343" t="str">
        <f>IFERROR(VLOOKUP(G104,DATOS!$M$2:$N$219,2,FALSE),"")</f>
        <v>Maquinaria</v>
      </c>
      <c r="I104" s="115" t="s">
        <v>61</v>
      </c>
      <c r="J104" s="115" t="s">
        <v>92</v>
      </c>
      <c r="K104" s="114" t="s">
        <v>93</v>
      </c>
      <c r="L104" s="35" t="s">
        <v>308</v>
      </c>
      <c r="M104" s="35" t="s">
        <v>309</v>
      </c>
      <c r="N104" s="35" t="str" cm="1">
        <f t="array" ref="N104">IFERROR(IF(Tabla8[[#This Row],[P/NP]]="NO PROGRAMADA","",_xlfn.TEXTJOIN(", ",TRUE,_xlfn._xlws.FILTER(Tabla4[[#All],[PIEZA]],ISNUMBER(SEARCH(Tabla4[[#All],[PCLAVE]],Tabla8[[#This Row],[DESCRIPCION DE TRABAJO]])),""))),"")</f>
        <v/>
      </c>
      <c r="O104" s="35" t="str" cm="1">
        <f t="array" ref="O104">_xlfn.TEXTJOIN(", ",TRUE,_xlfn._xlws.FILTER(Tabla28[[#All],[PARTE]],ISNUMBER(SEARCH(Tabla28[[#All],[PCLAVE2]],Tabla8[[#This Row],[DESCRIPCION DE TRABAJO]])),""))</f>
        <v>Dosificador</v>
      </c>
      <c r="P104" s="303" t="str">
        <f>IFERROR(LEFT(O104, FIND(",", O104)-1), O104)</f>
        <v>Dosificador</v>
      </c>
      <c r="Q104" s="303" t="str">
        <f>IFERROR(IF(ISERROR(FIND(",", O104, FIND(",", O104)+1)), RIGHT(O104, LEN(O104)-FIND(",", O104)-1), MID(O104, FIND(",", O104)+2, FIND(",", O104, FIND(",", O104)+1)-FIND(",", O104)-2)), "")</f>
        <v/>
      </c>
      <c r="R104" s="303" t="str">
        <f>IFERROR(RIGHT(O104, LEN(O104)-FIND(",", O104, FIND(",", O104)+1)-1), "")</f>
        <v/>
      </c>
      <c r="S104" s="35" t="str" cm="1">
        <f t="array" ref="S104">_xlfn.TEXTJOIN(", ",TRUE,_xlfn._xlws.FILTER(Tabla29[[#All],[PARTE]],ISNUMBER(SEARCH(Tabla29[[#All],[PCLAVE3]],Tabla8[[#This Row],[DESCRIPCION DE TRABAJO]])),""))</f>
        <v/>
      </c>
      <c r="T104" s="34" t="str">
        <f>IF(AND(Tabla8[[#This Row],[PIEZA]]="",Tabla8[[#This Row],[PARTE]]=""),"VACIO","OK")</f>
        <v>OK</v>
      </c>
      <c r="U104" s="303" t="str">
        <f>+CONCATENATE(WEEKNUM(Tabla8[[#This Row],[FECHA]]),"-",YEAR(Tabla8[[#This Row],[FECHA]]))</f>
        <v>2-2026</v>
      </c>
    </row>
    <row r="105" spans="1:21" ht="15" customHeight="1">
      <c r="A105" s="22">
        <v>46030</v>
      </c>
      <c r="B105" s="16" t="s">
        <v>179</v>
      </c>
      <c r="C105" s="10" t="s">
        <v>23</v>
      </c>
      <c r="D105" s="381" t="s">
        <v>310</v>
      </c>
      <c r="E105" s="381" t="s">
        <v>311</v>
      </c>
      <c r="F105" s="380">
        <f>+MOD(Tabla8[[#This Row],[HR. FIN]]-Tabla8[[#This Row],[HR. INICIO]],1)</f>
        <v>1.0416666666666741E-2</v>
      </c>
      <c r="G105" s="16" t="s">
        <v>312</v>
      </c>
      <c r="H105" s="343" t="str">
        <f>IFERROR(VLOOKUP(G105,DATOS!$M$2:$N$219,2,FALSE),"")</f>
        <v>Maquinaria</v>
      </c>
      <c r="I105" s="115" t="s">
        <v>57</v>
      </c>
      <c r="J105" s="115" t="str">
        <f>+VLOOKUP($I105,Tabla7[#All],2,FALSE)</f>
        <v>NO PROGRAMADA</v>
      </c>
      <c r="K105" s="114" t="str">
        <f>IF(VLOOKUP(I105,Tabla7[#All],3,FALSE)=0,"",VLOOKUP(I105,Tabla7[#All],3,FALSE))</f>
        <v>MECÁNICA</v>
      </c>
      <c r="L105" s="35" t="s">
        <v>313</v>
      </c>
      <c r="M105" s="35" t="s">
        <v>314</v>
      </c>
      <c r="N105" s="35" t="str" cm="1">
        <f t="array" ref="N105">IFERROR(IF(Tabla8[[#This Row],[P/NP]]="NO PROGRAMADA","",_xlfn.TEXTJOIN(", ",TRUE,_xlfn._xlws.FILTER(Tabla4[[#All],[PIEZA]],ISNUMBER(SEARCH(Tabla4[[#All],[PCLAVE]],Tabla8[[#This Row],[DESCRIPCION DE TRABAJO]])),""))),"")</f>
        <v/>
      </c>
      <c r="O105" s="35" t="str" cm="1">
        <f t="array" ref="O105">_xlfn.TEXTJOIN(", ",TRUE,_xlfn._xlws.FILTER(Tabla28[[#All],[PARTE]],ISNUMBER(SEARCH(Tabla28[[#All],[PCLAVE2]],Tabla8[[#This Row],[DESCRIPCION DE TRABAJO]])),""))</f>
        <v/>
      </c>
      <c r="P105" s="303" t="str">
        <f>IFERROR(LEFT(O105, FIND(",", O105)-1), O105)</f>
        <v/>
      </c>
      <c r="Q105" s="303" t="str">
        <f>IFERROR(IF(ISERROR(FIND(",", O105, FIND(",", O105)+1)), RIGHT(O105, LEN(O105)-FIND(",", O105)-1), MID(O105, FIND(",", O105)+2, FIND(",", O105, FIND(",", O105)+1)-FIND(",", O105)-2)), "")</f>
        <v/>
      </c>
      <c r="R105" s="303" t="str">
        <f>IFERROR(RIGHT(O105, LEN(O105)-FIND(",", O105, FIND(",", O105)+1)-1), "")</f>
        <v/>
      </c>
      <c r="S105" s="35" t="str" cm="1">
        <f t="array" ref="S105">_xlfn.TEXTJOIN(", ",TRUE,_xlfn._xlws.FILTER(Tabla29[[#All],[PARTE]],ISNUMBER(SEARCH(Tabla29[[#All],[PCLAVE3]],Tabla8[[#This Row],[DESCRIPCION DE TRABAJO]])),""))</f>
        <v>Fuera De Posicion</v>
      </c>
      <c r="T105" s="34" t="str">
        <f>IF(AND(Tabla8[[#This Row],[PIEZA]]="",Tabla8[[#This Row],[PARTE]]=""),"VACIO","OK")</f>
        <v>VACIO</v>
      </c>
      <c r="U105" s="303" t="str">
        <f>+CONCATENATE(WEEKNUM(Tabla8[[#This Row],[FECHA]]),"-",YEAR(Tabla8[[#This Row],[FECHA]]))</f>
        <v>2-2026</v>
      </c>
    </row>
    <row r="106" spans="1:21" ht="15" customHeight="1">
      <c r="A106" s="22">
        <v>46030</v>
      </c>
      <c r="B106" s="16" t="s">
        <v>111</v>
      </c>
      <c r="C106" s="10" t="s">
        <v>39</v>
      </c>
      <c r="D106" s="381" t="s">
        <v>315</v>
      </c>
      <c r="E106" s="381" t="s">
        <v>316</v>
      </c>
      <c r="F106" s="380">
        <f>+MOD(Tabla8[[#This Row],[HR. FIN]]-Tabla8[[#This Row],[HR. INICIO]],1)</f>
        <v>1.0416666666666657E-2</v>
      </c>
      <c r="G106" s="16" t="s">
        <v>153</v>
      </c>
      <c r="H106" s="343" t="str">
        <f>IFERROR(VLOOKUP(G106,DATOS!$M$2:$N$219,2,FALSE),"")</f>
        <v>Maquinaria</v>
      </c>
      <c r="I106" s="115" t="s">
        <v>57</v>
      </c>
      <c r="J106" s="115" t="s">
        <v>157</v>
      </c>
      <c r="K106" s="114"/>
      <c r="L106" s="35" t="s">
        <v>317</v>
      </c>
      <c r="M106" s="35" t="s">
        <v>121</v>
      </c>
      <c r="N106" s="35" t="str" cm="1">
        <f t="array" ref="N106">IFERROR(IF(Tabla8[[#This Row],[P/NP]]="NO PROGRAMADA","",_xlfn.TEXTJOIN(", ",TRUE,_xlfn._xlws.FILTER(Tabla4[[#All],[PIEZA]],ISNUMBER(SEARCH(Tabla4[[#All],[PCLAVE]],Tabla8[[#This Row],[DESCRIPCION DE TRABAJO]])),""))),"")</f>
        <v/>
      </c>
      <c r="O106" s="35" t="str" cm="1">
        <f t="array" ref="O106">_xlfn.TEXTJOIN(", ",TRUE,_xlfn._xlws.FILTER(Tabla28[[#All],[PARTE]],ISNUMBER(SEARCH(Tabla28[[#All],[PCLAVE2]],Tabla8[[#This Row],[DESCRIPCION DE TRABAJO]])),""))</f>
        <v/>
      </c>
      <c r="P106" s="303" t="str">
        <f>IFERROR(LEFT(O106, FIND(",", O106)-1), O106)</f>
        <v/>
      </c>
      <c r="Q106" s="303" t="str">
        <f>IFERROR(IF(ISERROR(FIND(",", O106, FIND(",", O106)+1)), RIGHT(O106, LEN(O106)-FIND(",", O106)-1), MID(O106, FIND(",", O106)+2, FIND(",", O106, FIND(",", O106)+1)-FIND(",", O106)-2)), "")</f>
        <v/>
      </c>
      <c r="R106" s="303" t="str">
        <f>IFERROR(RIGHT(O106, LEN(O106)-FIND(",", O106, FIND(",", O106)+1)-1), "")</f>
        <v/>
      </c>
      <c r="S106" s="35" t="str" cm="1">
        <f t="array" ref="S106">_xlfn.TEXTJOIN(", ",TRUE,_xlfn._xlws.FILTER(Tabla29[[#All],[PARTE]],ISNUMBER(SEARCH(Tabla29[[#All],[PCLAVE3]],Tabla8[[#This Row],[DESCRIPCION DE TRABAJO]])),""))</f>
        <v/>
      </c>
      <c r="T106" s="34" t="str">
        <f>IF(AND(Tabla8[[#This Row],[PIEZA]]="",Tabla8[[#This Row],[PARTE]]=""),"VACIO","OK")</f>
        <v>VACIO</v>
      </c>
      <c r="U106" s="303" t="str">
        <f>+CONCATENATE(WEEKNUM(Tabla8[[#This Row],[FECHA]]),"-",YEAR(Tabla8[[#This Row],[FECHA]]))</f>
        <v>2-2026</v>
      </c>
    </row>
    <row r="107" spans="1:21" ht="15" customHeight="1">
      <c r="A107" s="22">
        <v>46030</v>
      </c>
      <c r="B107" s="16" t="s">
        <v>111</v>
      </c>
      <c r="C107" s="10" t="s">
        <v>39</v>
      </c>
      <c r="D107" s="381" t="s">
        <v>318</v>
      </c>
      <c r="E107" s="381" t="s">
        <v>319</v>
      </c>
      <c r="F107" s="380">
        <f>+MOD(Tabla8[[#This Row],[HR. FIN]]-Tabla8[[#This Row],[HR. INICIO]],1)</f>
        <v>9.7222222222222154E-3</v>
      </c>
      <c r="G107" s="16" t="s">
        <v>119</v>
      </c>
      <c r="H107" s="343" t="str">
        <f>IFERROR(VLOOKUP(G107,DATOS!$M$2:$N$219,2,FALSE),"")</f>
        <v>Maquinaria</v>
      </c>
      <c r="I107" s="115" t="s">
        <v>57</v>
      </c>
      <c r="J107" s="115" t="str">
        <f>+VLOOKUP($I107,Tabla7[#All],2,FALSE)</f>
        <v>NO PROGRAMADA</v>
      </c>
      <c r="K107" s="114" t="str">
        <f>IF(VLOOKUP(I107,Tabla7[#All],3,FALSE)=0,"",VLOOKUP(I107,Tabla7[#All],3,FALSE))</f>
        <v>MECÁNICA</v>
      </c>
      <c r="L107" s="35" t="s">
        <v>320</v>
      </c>
      <c r="M107" s="35" t="s">
        <v>321</v>
      </c>
      <c r="N107" s="35" t="str" cm="1">
        <f t="array" ref="N107">IFERROR(IF(Tabla8[[#This Row],[P/NP]]="NO PROGRAMADA","",_xlfn.TEXTJOIN(", ",TRUE,_xlfn._xlws.FILTER(Tabla4[[#All],[PIEZA]],ISNUMBER(SEARCH(Tabla4[[#All],[PCLAVE]],Tabla8[[#This Row],[DESCRIPCION DE TRABAJO]])),""))),"")</f>
        <v/>
      </c>
      <c r="O107" s="35" t="str" cm="1">
        <f t="array" ref="O107">_xlfn.TEXTJOIN(", ",TRUE,_xlfn._xlws.FILTER(Tabla28[[#All],[PARTE]],ISNUMBER(SEARCH(Tabla28[[#All],[PCLAVE2]],Tabla8[[#This Row],[DESCRIPCION DE TRABAJO]])),""))</f>
        <v/>
      </c>
      <c r="P107" s="303" t="str">
        <f>IFERROR(LEFT(O107, FIND(",", O107)-1), O107)</f>
        <v/>
      </c>
      <c r="Q107" s="303" t="str">
        <f>IFERROR(IF(ISERROR(FIND(",", O107, FIND(",", O107)+1)), RIGHT(O107, LEN(O107)-FIND(",", O107)-1), MID(O107, FIND(",", O107)+2, FIND(",", O107, FIND(",", O107)+1)-FIND(",", O107)-2)), "")</f>
        <v/>
      </c>
      <c r="R107" s="303" t="str">
        <f>IFERROR(RIGHT(O107, LEN(O107)-FIND(",", O107, FIND(",", O107)+1)-1), "")</f>
        <v/>
      </c>
      <c r="S107" s="35" t="str" cm="1">
        <f t="array" ref="S107">_xlfn.TEXTJOIN(", ",TRUE,_xlfn._xlws.FILTER(Tabla29[[#All],[PARTE]],ISNUMBER(SEARCH(Tabla29[[#All],[PCLAVE3]],Tabla8[[#This Row],[DESCRIPCION DE TRABAJO]])),""))</f>
        <v/>
      </c>
      <c r="T107" s="34" t="str">
        <f>IF(AND(Tabla8[[#This Row],[PIEZA]]="",Tabla8[[#This Row],[PARTE]]=""),"VACIO","OK")</f>
        <v>VACIO</v>
      </c>
      <c r="U107" s="303" t="str">
        <f>+CONCATENATE(WEEKNUM(Tabla8[[#This Row],[FECHA]]),"-",YEAR(Tabla8[[#This Row],[FECHA]]))</f>
        <v>2-2026</v>
      </c>
    </row>
    <row r="108" spans="1:21" ht="15" customHeight="1">
      <c r="A108" s="22">
        <v>46031</v>
      </c>
      <c r="B108" s="16" t="s">
        <v>111</v>
      </c>
      <c r="C108" s="10" t="s">
        <v>39</v>
      </c>
      <c r="D108" s="381">
        <v>0.92013888888888884</v>
      </c>
      <c r="E108" s="381">
        <v>2.0833333333333332E-2</v>
      </c>
      <c r="F108" s="380">
        <f>+MOD(Tabla8[[#This Row],[HR. FIN]]-Tabla8[[#This Row],[HR. INICIO]],1)</f>
        <v>0.10069444444444453</v>
      </c>
      <c r="G108" s="16" t="s">
        <v>270</v>
      </c>
      <c r="H108" s="343" t="str">
        <f>IFERROR(VLOOKUP(G108,DATOS!$M$2:$N$219,2,FALSE),"")</f>
        <v>Maquinaria</v>
      </c>
      <c r="I108" s="115" t="s">
        <v>57</v>
      </c>
      <c r="J108" s="115" t="str">
        <f>+VLOOKUP($I108,Tabla7[#All],2,FALSE)</f>
        <v>NO PROGRAMADA</v>
      </c>
      <c r="K108" s="114" t="str">
        <f>IF(VLOOKUP(I108,Tabla7[#All],3,FALSE)=0,"",VLOOKUP(I108,Tabla7[#All],3,FALSE))</f>
        <v>MECÁNICA</v>
      </c>
      <c r="L108" s="35" t="s">
        <v>322</v>
      </c>
      <c r="M108" s="35" t="s">
        <v>323</v>
      </c>
      <c r="N108" s="35" t="str" cm="1">
        <f t="array" ref="N108">IFERROR(IF(Tabla8[[#This Row],[P/NP]]="NO PROGRAMADA","",_xlfn.TEXTJOIN(", ",TRUE,_xlfn._xlws.FILTER(Tabla4[[#All],[PIEZA]],ISNUMBER(SEARCH(Tabla4[[#All],[PCLAVE]],Tabla8[[#This Row],[DESCRIPCION DE TRABAJO]])),""))),"")</f>
        <v/>
      </c>
      <c r="O108" s="35" t="str" cm="1">
        <f t="array" ref="O108">_xlfn.TEXTJOIN(", ",TRUE,_xlfn._xlws.FILTER(Tabla28[[#All],[PARTE]],ISNUMBER(SEARCH(Tabla28[[#All],[PCLAVE2]],Tabla8[[#This Row],[DESCRIPCION DE TRABAJO]])),""))</f>
        <v/>
      </c>
      <c r="P108" s="303" t="str">
        <f>IFERROR(LEFT(O108, FIND(",", O108)-1), O108)</f>
        <v/>
      </c>
      <c r="Q108" s="303" t="str">
        <f>IFERROR(IF(ISERROR(FIND(",", O108, FIND(",", O108)+1)), RIGHT(O108, LEN(O108)-FIND(",", O108)-1), MID(O108, FIND(",", O108)+2, FIND(",", O108, FIND(",", O108)+1)-FIND(",", O108)-2)), "")</f>
        <v/>
      </c>
      <c r="R108" s="303" t="str">
        <f>IFERROR(RIGHT(O108, LEN(O108)-FIND(",", O108, FIND(",", O108)+1)-1), "")</f>
        <v/>
      </c>
      <c r="S108" s="35" t="str" cm="1">
        <f t="array" ref="S108">_xlfn.TEXTJOIN(", ",TRUE,_xlfn._xlws.FILTER(Tabla29[[#All],[PARTE]],ISNUMBER(SEARCH(Tabla29[[#All],[PCLAVE3]],Tabla8[[#This Row],[DESCRIPCION DE TRABAJO]])),""))</f>
        <v>Dañado, Obstruido</v>
      </c>
      <c r="T108" s="34" t="str">
        <f>IF(AND(Tabla8[[#This Row],[PIEZA]]="",Tabla8[[#This Row],[PARTE]]=""),"VACIO","OK")</f>
        <v>VACIO</v>
      </c>
      <c r="U108" s="303" t="str">
        <f>+CONCATENATE(WEEKNUM(Tabla8[[#This Row],[FECHA]]),"-",YEAR(Tabla8[[#This Row],[FECHA]]))</f>
        <v>2-2026</v>
      </c>
    </row>
    <row r="109" spans="1:21" ht="15" customHeight="1">
      <c r="A109" s="22">
        <v>46031</v>
      </c>
      <c r="B109" s="16" t="s">
        <v>111</v>
      </c>
      <c r="C109" s="10" t="s">
        <v>39</v>
      </c>
      <c r="D109" s="381">
        <v>0.12152777777777778</v>
      </c>
      <c r="E109" s="381">
        <v>0.16666666666666666</v>
      </c>
      <c r="F109" s="380">
        <f>+MOD(Tabla8[[#This Row],[HR. FIN]]-Tabla8[[#This Row],[HR. INICIO]],1)</f>
        <v>4.5138888888888881E-2</v>
      </c>
      <c r="G109" s="16" t="s">
        <v>153</v>
      </c>
      <c r="H109" s="343" t="str">
        <f>IFERROR(VLOOKUP(G109,DATOS!$M$2:$N$219,2,FALSE),"")</f>
        <v>Maquinaria</v>
      </c>
      <c r="I109" s="115" t="s">
        <v>28</v>
      </c>
      <c r="J109" s="115" t="str">
        <f>+VLOOKUP($I109,Tabla7[#All],2,FALSE)</f>
        <v>NO PROGRAMADA</v>
      </c>
      <c r="K109" s="114" t="s">
        <v>93</v>
      </c>
      <c r="L109" s="35" t="s">
        <v>324</v>
      </c>
      <c r="M109" s="35" t="s">
        <v>325</v>
      </c>
      <c r="N109" s="35" t="str" cm="1">
        <f t="array" ref="N109">IFERROR(IF(Tabla8[[#This Row],[P/NP]]="NO PROGRAMADA","",_xlfn.TEXTJOIN(", ",TRUE,_xlfn._xlws.FILTER(Tabla4[[#All],[PIEZA]],ISNUMBER(SEARCH(Tabla4[[#All],[PCLAVE]],Tabla8[[#This Row],[DESCRIPCION DE TRABAJO]])),""))),"")</f>
        <v/>
      </c>
      <c r="O109" s="35" t="str" cm="1">
        <f t="array" ref="O109">_xlfn.TEXTJOIN(", ",TRUE,_xlfn._xlws.FILTER(Tabla28[[#All],[PARTE]],ISNUMBER(SEARCH(Tabla28[[#All],[PCLAVE2]],Tabla8[[#This Row],[DESCRIPCION DE TRABAJO]])),""))</f>
        <v/>
      </c>
      <c r="P109" s="303" t="str">
        <f>IFERROR(LEFT(O109, FIND(",", O109)-1), O109)</f>
        <v/>
      </c>
      <c r="Q109" s="303" t="str">
        <f>IFERROR(IF(ISERROR(FIND(",", O109, FIND(",", O109)+1)), RIGHT(O109, LEN(O109)-FIND(",", O109)-1), MID(O109, FIND(",", O109)+2, FIND(",", O109, FIND(",", O109)+1)-FIND(",", O109)-2)), "")</f>
        <v/>
      </c>
      <c r="R109" s="303" t="str">
        <f>IFERROR(RIGHT(O109, LEN(O109)-FIND(",", O109, FIND(",", O109)+1)-1), "")</f>
        <v/>
      </c>
      <c r="S109" s="35" t="str" cm="1">
        <f t="array" ref="S109">_xlfn.TEXTJOIN(", ",TRUE,_xlfn._xlws.FILTER(Tabla29[[#All],[PARTE]],ISNUMBER(SEARCH(Tabla29[[#All],[PCLAVE3]],Tabla8[[#This Row],[DESCRIPCION DE TRABAJO]])),""))</f>
        <v>Desgaste, Soltura</v>
      </c>
      <c r="T109" s="34" t="str">
        <f>IF(AND(Tabla8[[#This Row],[PIEZA]]="",Tabla8[[#This Row],[PARTE]]=""),"VACIO","OK")</f>
        <v>VACIO</v>
      </c>
      <c r="U109" s="303" t="str">
        <f>+CONCATENATE(WEEKNUM(Tabla8[[#This Row],[FECHA]]),"-",YEAR(Tabla8[[#This Row],[FECHA]]))</f>
        <v>2-2026</v>
      </c>
    </row>
    <row r="110" spans="1:21" ht="15" customHeight="1">
      <c r="A110" s="22">
        <v>46031</v>
      </c>
      <c r="B110" s="16" t="s">
        <v>88</v>
      </c>
      <c r="C110" s="10" t="s">
        <v>36</v>
      </c>
      <c r="D110" s="381">
        <v>0.41666666666666669</v>
      </c>
      <c r="E110" s="381">
        <v>0.45833333333333331</v>
      </c>
      <c r="F110" s="380">
        <f>+MOD(Tabla8[[#This Row],[HR. FIN]]-Tabla8[[#This Row],[HR. INICIO]],1)</f>
        <v>4.166666666666663E-2</v>
      </c>
      <c r="G110" s="16" t="s">
        <v>42</v>
      </c>
      <c r="H110" s="343" t="str">
        <f>IFERROR(VLOOKUP(G110,DATOS!$M$2:$N$219,2,FALSE),"")</f>
        <v>Maquinaria</v>
      </c>
      <c r="I110" s="115" t="s">
        <v>61</v>
      </c>
      <c r="J110" s="115" t="str">
        <f>+VLOOKUP($I110,Tabla7[#All],2,FALSE)</f>
        <v>PROGRAMADA</v>
      </c>
      <c r="K110" s="114" t="str">
        <f>IF(VLOOKUP(I110,Tabla7[#All],3,FALSE)=0,"",VLOOKUP(I110,Tabla7[#All],3,FALSE))</f>
        <v/>
      </c>
      <c r="L110" s="35" t="s">
        <v>326</v>
      </c>
      <c r="M110" s="35" t="s">
        <v>327</v>
      </c>
      <c r="N110" s="35" t="str" cm="1">
        <f t="array" ref="N110">IFERROR(IF(Tabla8[[#This Row],[P/NP]]="NO PROGRAMADA","",_xlfn.TEXTJOIN(", ",TRUE,_xlfn._xlws.FILTER(Tabla4[[#All],[PIEZA]],ISNUMBER(SEARCH(Tabla4[[#All],[PCLAVE]],Tabla8[[#This Row],[DESCRIPCION DE TRABAJO]])),""))),"")</f>
        <v/>
      </c>
      <c r="O110" s="35" t="str" cm="1">
        <f t="array" ref="O110">_xlfn.TEXTJOIN(", ",TRUE,_xlfn._xlws.FILTER(Tabla28[[#All],[PARTE]],ISNUMBER(SEARCH(Tabla28[[#All],[PCLAVE2]],Tabla8[[#This Row],[DESCRIPCION DE TRABAJO]])),""))</f>
        <v/>
      </c>
      <c r="P110" s="303" t="str">
        <f>IFERROR(LEFT(O110, FIND(",", O110)-1), O110)</f>
        <v/>
      </c>
      <c r="Q110" s="303" t="str">
        <f>IFERROR(IF(ISERROR(FIND(",", O110, FIND(",", O110)+1)), RIGHT(O110, LEN(O110)-FIND(",", O110)-1), MID(O110, FIND(",", O110)+2, FIND(",", O110, FIND(",", O110)+1)-FIND(",", O110)-2)), "")</f>
        <v/>
      </c>
      <c r="R110" s="303" t="str">
        <f>IFERROR(RIGHT(O110, LEN(O110)-FIND(",", O110, FIND(",", O110)+1)-1), "")</f>
        <v/>
      </c>
      <c r="S110" s="35" t="str" cm="1">
        <f t="array" ref="S110">_xlfn.TEXTJOIN(", ",TRUE,_xlfn._xlws.FILTER(Tabla29[[#All],[PARTE]],ISNUMBER(SEARCH(Tabla29[[#All],[PCLAVE3]],Tabla8[[#This Row],[DESCRIPCION DE TRABAJO]])),""))</f>
        <v>Carga/descarga</v>
      </c>
      <c r="T110" s="34" t="str">
        <f>IF(AND(Tabla8[[#This Row],[PIEZA]]="",Tabla8[[#This Row],[PARTE]]=""),"VACIO","OK")</f>
        <v>VACIO</v>
      </c>
      <c r="U110" s="303" t="str">
        <f>+CONCATENATE(WEEKNUM(Tabla8[[#This Row],[FECHA]]),"-",YEAR(Tabla8[[#This Row],[FECHA]]))</f>
        <v>2-2026</v>
      </c>
    </row>
    <row r="111" spans="1:21" ht="15" customHeight="1">
      <c r="A111" s="22">
        <v>46031</v>
      </c>
      <c r="B111" s="16" t="s">
        <v>88</v>
      </c>
      <c r="C111" s="10" t="s">
        <v>36</v>
      </c>
      <c r="D111" s="381">
        <v>0.53472222222222221</v>
      </c>
      <c r="E111" s="381">
        <v>0.55555555555555558</v>
      </c>
      <c r="F111" s="380">
        <f>+MOD(Tabla8[[#This Row],[HR. FIN]]-Tabla8[[#This Row],[HR. INICIO]],1)</f>
        <v>2.083333333333337E-2</v>
      </c>
      <c r="G111" s="16" t="s">
        <v>328</v>
      </c>
      <c r="H111" s="343" t="str">
        <f>IFERROR(VLOOKUP(G111,DATOS!$M$2:$N$219,2,FALSE),"")</f>
        <v>Area</v>
      </c>
      <c r="I111" s="115" t="s">
        <v>61</v>
      </c>
      <c r="J111" s="115" t="str">
        <f>+VLOOKUP($I111,Tabla7[#All],2,FALSE)</f>
        <v>PROGRAMADA</v>
      </c>
      <c r="K111" s="114" t="str">
        <f>IF(VLOOKUP(I111,Tabla7[#All],3,FALSE)=0,"",VLOOKUP(I111,Tabla7[#All],3,FALSE))</f>
        <v/>
      </c>
      <c r="L111" s="35" t="s">
        <v>329</v>
      </c>
      <c r="M111" s="35" t="s">
        <v>330</v>
      </c>
      <c r="N111" s="35" t="str" cm="1">
        <f t="array" ref="N111">IFERROR(IF(Tabla8[[#This Row],[P/NP]]="NO PROGRAMADA","",_xlfn.TEXTJOIN(", ",TRUE,_xlfn._xlws.FILTER(Tabla4[[#All],[PIEZA]],ISNUMBER(SEARCH(Tabla4[[#All],[PCLAVE]],Tabla8[[#This Row],[DESCRIPCION DE TRABAJO]])),""))),"")</f>
        <v/>
      </c>
      <c r="O111" s="35" t="str" cm="1">
        <f t="array" ref="O111">_xlfn.TEXTJOIN(", ",TRUE,_xlfn._xlws.FILTER(Tabla28[[#All],[PARTE]],ISNUMBER(SEARCH(Tabla28[[#All],[PCLAVE2]],Tabla8[[#This Row],[DESCRIPCION DE TRABAJO]])),""))</f>
        <v/>
      </c>
      <c r="P111" s="303" t="str">
        <f>IFERROR(LEFT(O111, FIND(",", O111)-1), O111)</f>
        <v/>
      </c>
      <c r="Q111" s="303" t="str">
        <f>IFERROR(IF(ISERROR(FIND(",", O111, FIND(",", O111)+1)), RIGHT(O111, LEN(O111)-FIND(",", O111)-1), MID(O111, FIND(",", O111)+2, FIND(",", O111, FIND(",", O111)+1)-FIND(",", O111)-2)), "")</f>
        <v/>
      </c>
      <c r="R111" s="303" t="str">
        <f>IFERROR(RIGHT(O111, LEN(O111)-FIND(",", O111, FIND(",", O111)+1)-1), "")</f>
        <v/>
      </c>
      <c r="S111" s="35" t="str" cm="1">
        <f t="array" ref="S111">_xlfn.TEXTJOIN(", ",TRUE,_xlfn._xlws.FILTER(Tabla29[[#All],[PARTE]],ISNUMBER(SEARCH(Tabla29[[#All],[PCLAVE3]],Tabla8[[#This Row],[DESCRIPCION DE TRABAJO]])),""))</f>
        <v/>
      </c>
      <c r="T111" s="34" t="str">
        <f>IF(AND(Tabla8[[#This Row],[PIEZA]]="",Tabla8[[#This Row],[PARTE]]=""),"VACIO","OK")</f>
        <v>VACIO</v>
      </c>
      <c r="U111" s="303" t="str">
        <f>+CONCATENATE(WEEKNUM(Tabla8[[#This Row],[FECHA]]),"-",YEAR(Tabla8[[#This Row],[FECHA]]))</f>
        <v>2-2026</v>
      </c>
    </row>
    <row r="112" spans="1:21" ht="15" customHeight="1">
      <c r="A112" s="22">
        <v>46031</v>
      </c>
      <c r="B112" s="16" t="s">
        <v>88</v>
      </c>
      <c r="C112" s="10" t="s">
        <v>36</v>
      </c>
      <c r="D112" s="381">
        <v>0.2986111111111111</v>
      </c>
      <c r="E112" s="381">
        <v>0.31597222222222221</v>
      </c>
      <c r="F112" s="380">
        <f>+MOD(Tabla8[[#This Row],[HR. FIN]]-Tabla8[[#This Row],[HR. INICIO]],1)</f>
        <v>1.7361111111111105E-2</v>
      </c>
      <c r="G112" s="16" t="s">
        <v>331</v>
      </c>
      <c r="H112" s="343" t="str">
        <f>IFERROR(VLOOKUP(G112,DATOS!$M$2:$N$219,2,FALSE),"")</f>
        <v>Maquinaria</v>
      </c>
      <c r="I112" s="115" t="s">
        <v>61</v>
      </c>
      <c r="J112" s="115" t="str">
        <f>+VLOOKUP($I112,Tabla7[#All],2,FALSE)</f>
        <v>PROGRAMADA</v>
      </c>
      <c r="K112" s="114" t="str">
        <f>IF(VLOOKUP(I112,Tabla7[#All],3,FALSE)=0,"",VLOOKUP(I112,Tabla7[#All],3,FALSE))</f>
        <v/>
      </c>
      <c r="L112" s="35" t="s">
        <v>332</v>
      </c>
      <c r="M112" s="35" t="s">
        <v>333</v>
      </c>
      <c r="N112" s="35" t="str" cm="1">
        <f t="array" ref="N112">IFERROR(IF(Tabla8[[#This Row],[P/NP]]="NO PROGRAMADA","",_xlfn.TEXTJOIN(", ",TRUE,_xlfn._xlws.FILTER(Tabla4[[#All],[PIEZA]],ISNUMBER(SEARCH(Tabla4[[#All],[PCLAVE]],Tabla8[[#This Row],[DESCRIPCION DE TRABAJO]])),""))),"")</f>
        <v/>
      </c>
      <c r="O112" s="35" t="str" cm="1">
        <f t="array" ref="O112">_xlfn.TEXTJOIN(", ",TRUE,_xlfn._xlws.FILTER(Tabla28[[#All],[PARTE]],ISNUMBER(SEARCH(Tabla28[[#All],[PCLAVE2]],Tabla8[[#This Row],[DESCRIPCION DE TRABAJO]])),""))</f>
        <v/>
      </c>
      <c r="P112" s="303" t="str">
        <f>IFERROR(LEFT(O112, FIND(",", O112)-1), O112)</f>
        <v/>
      </c>
      <c r="Q112" s="303" t="str">
        <f>IFERROR(IF(ISERROR(FIND(",", O112, FIND(",", O112)+1)), RIGHT(O112, LEN(O112)-FIND(",", O112)-1), MID(O112, FIND(",", O112)+2, FIND(",", O112, FIND(",", O112)+1)-FIND(",", O112)-2)), "")</f>
        <v/>
      </c>
      <c r="R112" s="303" t="str">
        <f>IFERROR(RIGHT(O112, LEN(O112)-FIND(",", O112, FIND(",", O112)+1)-1), "")</f>
        <v/>
      </c>
      <c r="S112" s="35" t="str" cm="1">
        <f t="array" ref="S112">_xlfn.TEXTJOIN(", ",TRUE,_xlfn._xlws.FILTER(Tabla29[[#All],[PARTE]],ISNUMBER(SEARCH(Tabla29[[#All],[PCLAVE3]],Tabla8[[#This Row],[DESCRIPCION DE TRABAJO]])),""))</f>
        <v>No Avanza</v>
      </c>
      <c r="T112" s="34" t="str">
        <f>IF(AND(Tabla8[[#This Row],[PIEZA]]="",Tabla8[[#This Row],[PARTE]]=""),"VACIO","OK")</f>
        <v>VACIO</v>
      </c>
      <c r="U112" s="303" t="str">
        <f>+CONCATENATE(WEEKNUM(Tabla8[[#This Row],[FECHA]]),"-",YEAR(Tabla8[[#This Row],[FECHA]]))</f>
        <v>2-2026</v>
      </c>
    </row>
    <row r="113" spans="1:21" ht="15" customHeight="1">
      <c r="A113" s="22">
        <v>46031</v>
      </c>
      <c r="B113" s="16" t="s">
        <v>88</v>
      </c>
      <c r="C113" s="10" t="s">
        <v>36</v>
      </c>
      <c r="D113" s="381">
        <v>0.25</v>
      </c>
      <c r="E113" s="381">
        <v>0.26458333333333334</v>
      </c>
      <c r="F113" s="380">
        <f>+MOD(Tabla8[[#This Row],[HR. FIN]]-Tabla8[[#This Row],[HR. INICIO]],1)</f>
        <v>1.4583333333333337E-2</v>
      </c>
      <c r="G113" s="16" t="s">
        <v>119</v>
      </c>
      <c r="H113" s="343" t="str">
        <f>IFERROR(VLOOKUP(G113,DATOS!$M$2:$N$219,2,FALSE),"")</f>
        <v>Maquinaria</v>
      </c>
      <c r="I113" s="115" t="s">
        <v>54</v>
      </c>
      <c r="J113" s="115" t="str">
        <f>+VLOOKUP($I113,Tabla7[#All],2,FALSE)</f>
        <v>PROGRAMADA</v>
      </c>
      <c r="K113" s="114" t="str">
        <f>IF(VLOOKUP(I113,Tabla7[#All],3,FALSE)=0,"",VLOOKUP(I113,Tabla7[#All],3,FALSE))</f>
        <v/>
      </c>
      <c r="L113" s="35" t="s">
        <v>334</v>
      </c>
      <c r="M113" s="35" t="s">
        <v>335</v>
      </c>
      <c r="N113" s="35" t="str" cm="1">
        <f t="array" ref="N113">IFERROR(IF(Tabla8[[#This Row],[P/NP]]="NO PROGRAMADA","",_xlfn.TEXTJOIN(", ",TRUE,_xlfn._xlws.FILTER(Tabla4[[#All],[PIEZA]],ISNUMBER(SEARCH(Tabla4[[#All],[PCLAVE]],Tabla8[[#This Row],[DESCRIPCION DE TRABAJO]])),""))),"")</f>
        <v/>
      </c>
      <c r="O113" s="35" t="str" cm="1">
        <f t="array" ref="O113">_xlfn.TEXTJOIN(", ",TRUE,_xlfn._xlws.FILTER(Tabla28[[#All],[PARTE]],ISNUMBER(SEARCH(Tabla28[[#All],[PCLAVE2]],Tabla8[[#This Row],[DESCRIPCION DE TRABAJO]])),""))</f>
        <v>Tanque</v>
      </c>
      <c r="P113" s="303" t="str">
        <f>IFERROR(LEFT(O113, FIND(",", O113)-1), O113)</f>
        <v>Tanque</v>
      </c>
      <c r="Q113" s="303" t="str">
        <f>IFERROR(IF(ISERROR(FIND(",", O113, FIND(",", O113)+1)), RIGHT(O113, LEN(O113)-FIND(",", O113)-1), MID(O113, FIND(",", O113)+2, FIND(",", O113, FIND(",", O113)+1)-FIND(",", O113)-2)), "")</f>
        <v/>
      </c>
      <c r="R113" s="303" t="str">
        <f>IFERROR(RIGHT(O113, LEN(O113)-FIND(",", O113, FIND(",", O113)+1)-1), "")</f>
        <v/>
      </c>
      <c r="S113" s="35" t="str" cm="1">
        <f t="array" ref="S113">_xlfn.TEXTJOIN(", ",TRUE,_xlfn._xlws.FILTER(Tabla29[[#All],[PARTE]],ISNUMBER(SEARCH(Tabla29[[#All],[PCLAVE3]],Tabla8[[#This Row],[DESCRIPCION DE TRABAJO]])),""))</f>
        <v>Nivel</v>
      </c>
      <c r="T113" s="34" t="str">
        <f>IF(AND(Tabla8[[#This Row],[PIEZA]]="",Tabla8[[#This Row],[PARTE]]=""),"VACIO","OK")</f>
        <v>OK</v>
      </c>
      <c r="U113" s="303" t="str">
        <f>+CONCATENATE(WEEKNUM(Tabla8[[#This Row],[FECHA]]),"-",YEAR(Tabla8[[#This Row],[FECHA]]))</f>
        <v>2-2026</v>
      </c>
    </row>
    <row r="114" spans="1:21" ht="15" customHeight="1">
      <c r="A114" s="22">
        <v>46031</v>
      </c>
      <c r="B114" s="16" t="s">
        <v>111</v>
      </c>
      <c r="C114" s="10" t="s">
        <v>39</v>
      </c>
      <c r="D114" s="381">
        <v>2.0833333333333332E-2</v>
      </c>
      <c r="E114" s="381">
        <v>3.4722222222222224E-2</v>
      </c>
      <c r="F114" s="380">
        <f>+MOD(Tabla8[[#This Row],[HR. FIN]]-Tabla8[[#This Row],[HR. INICIO]],1)</f>
        <v>1.3888888888888892E-2</v>
      </c>
      <c r="G114" s="16" t="s">
        <v>119</v>
      </c>
      <c r="H114" s="343" t="str">
        <f>IFERROR(VLOOKUP(G114,DATOS!$M$2:$N$219,2,FALSE),"")</f>
        <v>Maquinaria</v>
      </c>
      <c r="I114" s="115" t="s">
        <v>28</v>
      </c>
      <c r="J114" s="115" t="str">
        <f>+VLOOKUP($I114,Tabla7[#All],2,FALSE)</f>
        <v>NO PROGRAMADA</v>
      </c>
      <c r="K114" s="114" t="s">
        <v>93</v>
      </c>
      <c r="L114" s="35" t="s">
        <v>336</v>
      </c>
      <c r="M114" s="35" t="s">
        <v>337</v>
      </c>
      <c r="N114" s="35" t="str" cm="1">
        <f t="array" ref="N114">IFERROR(IF(Tabla8[[#This Row],[P/NP]]="NO PROGRAMADA","",_xlfn.TEXTJOIN(", ",TRUE,_xlfn._xlws.FILTER(Tabla4[[#All],[PIEZA]],ISNUMBER(SEARCH(Tabla4[[#All],[PCLAVE]],Tabla8[[#This Row],[DESCRIPCION DE TRABAJO]])),""))),"")</f>
        <v/>
      </c>
      <c r="O114" s="35" t="str" cm="1">
        <f t="array" ref="O114">_xlfn.TEXTJOIN(", ",TRUE,_xlfn._xlws.FILTER(Tabla28[[#All],[PARTE]],ISNUMBER(SEARCH(Tabla28[[#All],[PCLAVE2]],Tabla8[[#This Row],[DESCRIPCION DE TRABAJO]])),""))</f>
        <v>Robot</v>
      </c>
      <c r="P114" s="303" t="str">
        <f>IFERROR(LEFT(O114, FIND(",", O114)-1), O114)</f>
        <v>Robot</v>
      </c>
      <c r="Q114" s="303" t="str">
        <f>IFERROR(IF(ISERROR(FIND(",", O114, FIND(",", O114)+1)), RIGHT(O114, LEN(O114)-FIND(",", O114)-1), MID(O114, FIND(",", O114)+2, FIND(",", O114, FIND(",", O114)+1)-FIND(",", O114)-2)), "")</f>
        <v/>
      </c>
      <c r="R114" s="303" t="str">
        <f>IFERROR(RIGHT(O114, LEN(O114)-FIND(",", O114, FIND(",", O114)+1)-1), "")</f>
        <v/>
      </c>
      <c r="S114" s="35" t="str" cm="1">
        <f t="array" ref="S114">_xlfn.TEXTJOIN(", ",TRUE,_xlfn._xlws.FILTER(Tabla29[[#All],[PARTE]],ISNUMBER(SEARCH(Tabla29[[#All],[PCLAVE3]],Tabla8[[#This Row],[DESCRIPCION DE TRABAJO]])),""))</f>
        <v>Desmolde</v>
      </c>
      <c r="T114" s="34" t="str">
        <f>IF(AND(Tabla8[[#This Row],[PIEZA]]="",Tabla8[[#This Row],[PARTE]]=""),"VACIO","OK")</f>
        <v>OK</v>
      </c>
      <c r="U114" s="303" t="str">
        <f>+CONCATENATE(WEEKNUM(Tabla8[[#This Row],[FECHA]]),"-",YEAR(Tabla8[[#This Row],[FECHA]]))</f>
        <v>2-2026</v>
      </c>
    </row>
    <row r="115" spans="1:21" ht="15" customHeight="1">
      <c r="A115" s="22">
        <v>46031</v>
      </c>
      <c r="B115" s="16" t="s">
        <v>111</v>
      </c>
      <c r="C115" s="10" t="s">
        <v>39</v>
      </c>
      <c r="D115" s="381">
        <v>4.1666666666666664E-2</v>
      </c>
      <c r="E115" s="381">
        <v>5.5555555555555552E-2</v>
      </c>
      <c r="F115" s="380">
        <f>+MOD(Tabla8[[#This Row],[HR. FIN]]-Tabla8[[#This Row],[HR. INICIO]],1)</f>
        <v>1.3888888888888888E-2</v>
      </c>
      <c r="G115" s="16" t="s">
        <v>31</v>
      </c>
      <c r="H115" s="343" t="str">
        <f>IFERROR(VLOOKUP(G115,DATOS!$M$2:$N$219,2,FALSE),"")</f>
        <v>Maquinaria</v>
      </c>
      <c r="I115" s="115" t="s">
        <v>57</v>
      </c>
      <c r="J115" s="115" t="str">
        <f>+VLOOKUP($I115,Tabla7[#All],2,FALSE)</f>
        <v>NO PROGRAMADA</v>
      </c>
      <c r="K115" s="114" t="str">
        <f>IF(VLOOKUP(I115,Tabla7[#All],3,FALSE)=0,"",VLOOKUP(I115,Tabla7[#All],3,FALSE))</f>
        <v>MECÁNICA</v>
      </c>
      <c r="L115" s="35" t="s">
        <v>338</v>
      </c>
      <c r="M115" s="35" t="s">
        <v>339</v>
      </c>
      <c r="N115" s="35" t="str" cm="1">
        <f t="array" ref="N115">IFERROR(IF(Tabla8[[#This Row],[P/NP]]="NO PROGRAMADA","",_xlfn.TEXTJOIN(", ",TRUE,_xlfn._xlws.FILTER(Tabla4[[#All],[PIEZA]],ISNUMBER(SEARCH(Tabla4[[#All],[PCLAVE]],Tabla8[[#This Row],[DESCRIPCION DE TRABAJO]])),""))),"")</f>
        <v/>
      </c>
      <c r="O115" s="35" t="str" cm="1">
        <f t="array" ref="O115">_xlfn.TEXTJOIN(", ",TRUE,_xlfn._xlws.FILTER(Tabla28[[#All],[PARTE]],ISNUMBER(SEARCH(Tabla28[[#All],[PCLAVE2]],Tabla8[[#This Row],[DESCRIPCION DE TRABAJO]])),""))</f>
        <v/>
      </c>
      <c r="P115" s="303" t="str">
        <f>IFERROR(LEFT(O115, FIND(",", O115)-1), O115)</f>
        <v/>
      </c>
      <c r="Q115" s="303" t="str">
        <f>IFERROR(IF(ISERROR(FIND(",", O115, FIND(",", O115)+1)), RIGHT(O115, LEN(O115)-FIND(",", O115)-1), MID(O115, FIND(",", O115)+2, FIND(",", O115, FIND(",", O115)+1)-FIND(",", O115)-2)), "")</f>
        <v/>
      </c>
      <c r="R115" s="303" t="str">
        <f>IFERROR(RIGHT(O115, LEN(O115)-FIND(",", O115, FIND(",", O115)+1)-1), "")</f>
        <v/>
      </c>
      <c r="S115" s="35" t="str" cm="1">
        <f t="array" ref="S115">_xlfn.TEXTJOIN(", ",TRUE,_xlfn._xlws.FILTER(Tabla29[[#All],[PARTE]],ISNUMBER(SEARCH(Tabla29[[#All],[PCLAVE3]],Tabla8[[#This Row],[DESCRIPCION DE TRABAJO]])),""))</f>
        <v/>
      </c>
      <c r="T115" s="34" t="str">
        <f>IF(AND(Tabla8[[#This Row],[PIEZA]]="",Tabla8[[#This Row],[PARTE]]=""),"VACIO","OK")</f>
        <v>VACIO</v>
      </c>
      <c r="U115" s="303" t="str">
        <f>+CONCATENATE(WEEKNUM(Tabla8[[#This Row],[FECHA]]),"-",YEAR(Tabla8[[#This Row],[FECHA]]))</f>
        <v>2-2026</v>
      </c>
    </row>
    <row r="116" spans="1:21" ht="15" customHeight="1">
      <c r="A116" s="22">
        <v>46031</v>
      </c>
      <c r="B116" s="16" t="s">
        <v>111</v>
      </c>
      <c r="C116" s="10" t="s">
        <v>39</v>
      </c>
      <c r="D116" s="381">
        <v>7.6388888888888895E-2</v>
      </c>
      <c r="E116" s="381">
        <v>9.0277777777777776E-2</v>
      </c>
      <c r="F116" s="380">
        <f>+MOD(Tabla8[[#This Row],[HR. FIN]]-Tabla8[[#This Row],[HR. INICIO]],1)</f>
        <v>1.3888888888888881E-2</v>
      </c>
      <c r="G116" s="16" t="s">
        <v>119</v>
      </c>
      <c r="H116" s="343" t="str">
        <f>IFERROR(VLOOKUP(G116,DATOS!$M$2:$N$219,2,FALSE),"")</f>
        <v>Maquinaria</v>
      </c>
      <c r="I116" s="115" t="s">
        <v>32</v>
      </c>
      <c r="J116" s="115" t="str">
        <f>+VLOOKUP($I116,Tabla7[#All],2,FALSE)</f>
        <v>PROGRAMADA</v>
      </c>
      <c r="K116" s="114" t="str">
        <f>IF(VLOOKUP(I116,Tabla7[#All],3,FALSE)=0,"",VLOOKUP(I116,Tabla7[#All],3,FALSE))</f>
        <v/>
      </c>
      <c r="L116" s="35" t="s">
        <v>340</v>
      </c>
      <c r="M116" s="35" t="s">
        <v>121</v>
      </c>
      <c r="N116" s="35" t="str" cm="1">
        <f t="array" ref="N116">IFERROR(IF(Tabla8[[#This Row],[P/NP]]="NO PROGRAMADA","",_xlfn.TEXTJOIN(", ",TRUE,_xlfn._xlws.FILTER(Tabla4[[#All],[PIEZA]],ISNUMBER(SEARCH(Tabla4[[#All],[PCLAVE]],Tabla8[[#This Row],[DESCRIPCION DE TRABAJO]])),""))),"")</f>
        <v>Planchas</v>
      </c>
      <c r="O116" s="35" t="str" cm="1">
        <f t="array" ref="O116">_xlfn.TEXTJOIN(", ",TRUE,_xlfn._xlws.FILTER(Tabla28[[#All],[PARTE]],ISNUMBER(SEARCH(Tabla28[[#All],[PCLAVE2]],Tabla8[[#This Row],[DESCRIPCION DE TRABAJO]])),""))</f>
        <v>Mds</v>
      </c>
      <c r="P116" s="303" t="str">
        <f>IFERROR(LEFT(O116, FIND(",", O116)-1), O116)</f>
        <v>Mds</v>
      </c>
      <c r="Q116" s="303" t="str">
        <f>IFERROR(IF(ISERROR(FIND(",", O116, FIND(",", O116)+1)), RIGHT(O116, LEN(O116)-FIND(",", O116)-1), MID(O116, FIND(",", O116)+2, FIND(",", O116, FIND(",", O116)+1)-FIND(",", O116)-2)), "")</f>
        <v/>
      </c>
      <c r="R116" s="303" t="str">
        <f>IFERROR(RIGHT(O116, LEN(O116)-FIND(",", O116, FIND(",", O116)+1)-1), "")</f>
        <v/>
      </c>
      <c r="S116" s="35" t="str" cm="1">
        <f t="array" ref="S116">_xlfn.TEXTJOIN(", ",TRUE,_xlfn._xlws.FILTER(Tabla29[[#All],[PARTE]],ISNUMBER(SEARCH(Tabla29[[#All],[PCLAVE3]],Tabla8[[#This Row],[DESCRIPCION DE TRABAJO]])),""))</f>
        <v/>
      </c>
      <c r="T116" s="34" t="str">
        <f>IF(AND(Tabla8[[#This Row],[PIEZA]]="",Tabla8[[#This Row],[PARTE]]=""),"VACIO","OK")</f>
        <v>OK</v>
      </c>
      <c r="U116" s="303" t="str">
        <f>+CONCATENATE(WEEKNUM(Tabla8[[#This Row],[FECHA]]),"-",YEAR(Tabla8[[#This Row],[FECHA]]))</f>
        <v>2-2026</v>
      </c>
    </row>
    <row r="117" spans="1:21" ht="15" customHeight="1">
      <c r="A117" s="22">
        <v>46031</v>
      </c>
      <c r="B117" s="16" t="s">
        <v>88</v>
      </c>
      <c r="C117" s="10" t="s">
        <v>36</v>
      </c>
      <c r="D117" s="381">
        <v>0.5</v>
      </c>
      <c r="E117" s="381">
        <v>0.51388888888888884</v>
      </c>
      <c r="F117" s="380">
        <f>+MOD(Tabla8[[#This Row],[HR. FIN]]-Tabla8[[#This Row],[HR. INICIO]],1)</f>
        <v>1.388888888888884E-2</v>
      </c>
      <c r="G117" s="16" t="s">
        <v>119</v>
      </c>
      <c r="H117" s="343" t="str">
        <f>IFERROR(VLOOKUP(G117,DATOS!$M$2:$N$219,2,FALSE),"")</f>
        <v>Maquinaria</v>
      </c>
      <c r="I117" s="115" t="s">
        <v>54</v>
      </c>
      <c r="J117" s="115" t="str">
        <f>+VLOOKUP($I117,Tabla7[#All],2,FALSE)</f>
        <v>PROGRAMADA</v>
      </c>
      <c r="K117" s="114" t="str">
        <f>IF(VLOOKUP(I117,Tabla7[#All],3,FALSE)=0,"",VLOOKUP(I117,Tabla7[#All],3,FALSE))</f>
        <v/>
      </c>
      <c r="L117" s="35" t="s">
        <v>129</v>
      </c>
      <c r="M117" s="35" t="s">
        <v>341</v>
      </c>
      <c r="N117" s="35" t="str" cm="1">
        <f t="array" ref="N117">IFERROR(IF(Tabla8[[#This Row],[P/NP]]="NO PROGRAMADA","",_xlfn.TEXTJOIN(", ",TRUE,_xlfn._xlws.FILTER(Tabla4[[#All],[PIEZA]],ISNUMBER(SEARCH(Tabla4[[#All],[PCLAVE]],Tabla8[[#This Row],[DESCRIPCION DE TRABAJO]])),""))),"")</f>
        <v/>
      </c>
      <c r="O117" s="35" t="str" cm="1">
        <f t="array" ref="O117">_xlfn.TEXTJOIN(", ",TRUE,_xlfn._xlws.FILTER(Tabla28[[#All],[PARTE]],ISNUMBER(SEARCH(Tabla28[[#All],[PCLAVE2]],Tabla8[[#This Row],[DESCRIPCION DE TRABAJO]])),""))</f>
        <v/>
      </c>
      <c r="P117" s="303" t="str">
        <f>IFERROR(LEFT(O117, FIND(",", O117)-1), O117)</f>
        <v/>
      </c>
      <c r="Q117" s="303" t="str">
        <f>IFERROR(IF(ISERROR(FIND(",", O117, FIND(",", O117)+1)), RIGHT(O117, LEN(O117)-FIND(",", O117)-1), MID(O117, FIND(",", O117)+2, FIND(",", O117, FIND(",", O117)+1)-FIND(",", O117)-2)), "")</f>
        <v/>
      </c>
      <c r="R117" s="303" t="str">
        <f>IFERROR(RIGHT(O117, LEN(O117)-FIND(",", O117, FIND(",", O117)+1)-1), "")</f>
        <v/>
      </c>
      <c r="S117" s="35" t="str" cm="1">
        <f t="array" ref="S117">_xlfn.TEXTJOIN(", ",TRUE,_xlfn._xlws.FILTER(Tabla29[[#All],[PARTE]],ISNUMBER(SEARCH(Tabla29[[#All],[PCLAVE3]],Tabla8[[#This Row],[DESCRIPCION DE TRABAJO]])),""))</f>
        <v/>
      </c>
      <c r="T117" s="34" t="str">
        <f>IF(AND(Tabla8[[#This Row],[PIEZA]]="",Tabla8[[#This Row],[PARTE]]=""),"VACIO","OK")</f>
        <v>VACIO</v>
      </c>
      <c r="U117" s="303" t="str">
        <f>+CONCATENATE(WEEKNUM(Tabla8[[#This Row],[FECHA]]),"-",YEAR(Tabla8[[#This Row],[FECHA]]))</f>
        <v>2-2026</v>
      </c>
    </row>
    <row r="118" spans="1:21" ht="15" customHeight="1">
      <c r="A118" s="22">
        <v>46031</v>
      </c>
      <c r="B118" s="16" t="s">
        <v>111</v>
      </c>
      <c r="C118" s="10" t="s">
        <v>39</v>
      </c>
      <c r="D118" s="381">
        <v>2.7777777777777779E-3</v>
      </c>
      <c r="E118" s="381">
        <v>1.3888888888888888E-2</v>
      </c>
      <c r="F118" s="380">
        <f>+MOD(Tabla8[[#This Row],[HR. FIN]]-Tabla8[[#This Row],[HR. INICIO]],1)</f>
        <v>1.111111111111111E-2</v>
      </c>
      <c r="G118" s="16" t="s">
        <v>31</v>
      </c>
      <c r="H118" s="343" t="str">
        <f>IFERROR(VLOOKUP(G118,DATOS!$M$2:$N$219,2,FALSE),"")</f>
        <v>Maquinaria</v>
      </c>
      <c r="I118" s="115" t="s">
        <v>32</v>
      </c>
      <c r="J118" s="115" t="str">
        <f>+VLOOKUP($I118,Tabla7[#All],2,FALSE)</f>
        <v>PROGRAMADA</v>
      </c>
      <c r="K118" s="114" t="str">
        <f>IF(VLOOKUP(I118,Tabla7[#All],3,FALSE)=0,"",VLOOKUP(I118,Tabla7[#All],3,FALSE))</f>
        <v/>
      </c>
      <c r="L118" s="35" t="s">
        <v>342</v>
      </c>
      <c r="M118" s="35" t="s">
        <v>121</v>
      </c>
      <c r="N118" s="35" t="str" cm="1">
        <f t="array" ref="N118">IFERROR(IF(Tabla8[[#This Row],[P/NP]]="NO PROGRAMADA","",_xlfn.TEXTJOIN(", ",TRUE,_xlfn._xlws.FILTER(Tabla4[[#All],[PIEZA]],ISNUMBER(SEARCH(Tabla4[[#All],[PCLAVE]],Tabla8[[#This Row],[DESCRIPCION DE TRABAJO]])),""))),"")</f>
        <v/>
      </c>
      <c r="O118" s="35" t="str" cm="1">
        <f t="array" ref="O118">_xlfn.TEXTJOIN(", ",TRUE,_xlfn._xlws.FILTER(Tabla28[[#All],[PARTE]],ISNUMBER(SEARCH(Tabla28[[#All],[PCLAVE2]],Tabla8[[#This Row],[DESCRIPCION DE TRABAJO]])),""))</f>
        <v/>
      </c>
      <c r="P118" s="303" t="str">
        <f>IFERROR(LEFT(O118, FIND(",", O118)-1), O118)</f>
        <v/>
      </c>
      <c r="Q118" s="303" t="str">
        <f>IFERROR(IF(ISERROR(FIND(",", O118, FIND(",", O118)+1)), RIGHT(O118, LEN(O118)-FIND(",", O118)-1), MID(O118, FIND(",", O118)+2, FIND(",", O118, FIND(",", O118)+1)-FIND(",", O118)-2)), "")</f>
        <v/>
      </c>
      <c r="R118" s="303" t="str">
        <f>IFERROR(RIGHT(O118, LEN(O118)-FIND(",", O118, FIND(",", O118)+1)-1), "")</f>
        <v/>
      </c>
      <c r="S118" s="35" t="str" cm="1">
        <f t="array" ref="S118">_xlfn.TEXTJOIN(", ",TRUE,_xlfn._xlws.FILTER(Tabla29[[#All],[PARTE]],ISNUMBER(SEARCH(Tabla29[[#All],[PCLAVE3]],Tabla8[[#This Row],[DESCRIPCION DE TRABAJO]])),""))</f>
        <v>Cambio De Formato</v>
      </c>
      <c r="T118" s="34" t="str">
        <f>IF(AND(Tabla8[[#This Row],[PIEZA]]="",Tabla8[[#This Row],[PARTE]]=""),"VACIO","OK")</f>
        <v>VACIO</v>
      </c>
      <c r="U118" s="303" t="str">
        <f>+CONCATENATE(WEEKNUM(Tabla8[[#This Row],[FECHA]]),"-",YEAR(Tabla8[[#This Row],[FECHA]]))</f>
        <v>2-2026</v>
      </c>
    </row>
    <row r="119" spans="1:21" ht="15" customHeight="1">
      <c r="A119" s="22">
        <v>46031</v>
      </c>
      <c r="B119" s="16" t="s">
        <v>111</v>
      </c>
      <c r="C119" s="10" t="s">
        <v>39</v>
      </c>
      <c r="D119" s="381">
        <v>0.1701388888888889</v>
      </c>
      <c r="E119" s="381">
        <v>0.18055555555555555</v>
      </c>
      <c r="F119" s="380">
        <f>+MOD(Tabla8[[#This Row],[HR. FIN]]-Tabla8[[#This Row],[HR. INICIO]],1)</f>
        <v>1.0416666666666657E-2</v>
      </c>
      <c r="G119" s="16" t="s">
        <v>119</v>
      </c>
      <c r="H119" s="343" t="str">
        <f>IFERROR(VLOOKUP(G119,DATOS!$M$2:$N$219,2,FALSE),"")</f>
        <v>Maquinaria</v>
      </c>
      <c r="I119" s="115" t="s">
        <v>32</v>
      </c>
      <c r="J119" s="115" t="s">
        <v>92</v>
      </c>
      <c r="K119" s="114" t="s">
        <v>93</v>
      </c>
      <c r="L119" s="35" t="s">
        <v>343</v>
      </c>
      <c r="M119" s="35" t="s">
        <v>344</v>
      </c>
      <c r="N119" s="35" t="str" cm="1">
        <f t="array" ref="N119">IFERROR(IF(Tabla8[[#This Row],[P/NP]]="NO PROGRAMADA","",_xlfn.TEXTJOIN(", ",TRUE,_xlfn._xlws.FILTER(Tabla4[[#All],[PIEZA]],ISNUMBER(SEARCH(Tabla4[[#All],[PCLAVE]],Tabla8[[#This Row],[DESCRIPCION DE TRABAJO]])),""))),"")</f>
        <v/>
      </c>
      <c r="O119" s="35" t="str" cm="1">
        <f t="array" ref="O119">_xlfn.TEXTJOIN(", ",TRUE,_xlfn._xlws.FILTER(Tabla28[[#All],[PARTE]],ISNUMBER(SEARCH(Tabla28[[#All],[PCLAVE2]],Tabla8[[#This Row],[DESCRIPCION DE TRABAJO]])),""))</f>
        <v>Temperadora</v>
      </c>
      <c r="P119" s="303" t="str">
        <f>IFERROR(LEFT(O119, FIND(",", O119)-1), O119)</f>
        <v>Temperadora</v>
      </c>
      <c r="Q119" s="303" t="str">
        <f>IFERROR(IF(ISERROR(FIND(",", O119, FIND(",", O119)+1)), RIGHT(O119, LEN(O119)-FIND(",", O119)-1), MID(O119, FIND(",", O119)+2, FIND(",", O119, FIND(",", O119)+1)-FIND(",", O119)-2)), "")</f>
        <v/>
      </c>
      <c r="R119" s="303" t="str">
        <f>IFERROR(RIGHT(O119, LEN(O119)-FIND(",", O119, FIND(",", O119)+1)-1), "")</f>
        <v/>
      </c>
      <c r="S119" s="35" t="str" cm="1">
        <f t="array" ref="S119">_xlfn.TEXTJOIN(", ",TRUE,_xlfn._xlws.FILTER(Tabla29[[#All],[PARTE]],ISNUMBER(SEARCH(Tabla29[[#All],[PCLAVE3]],Tabla8[[#This Row],[DESCRIPCION DE TRABAJO]])),""))</f>
        <v>Bloqueado</v>
      </c>
      <c r="T119" s="34" t="str">
        <f>IF(AND(Tabla8[[#This Row],[PIEZA]]="",Tabla8[[#This Row],[PARTE]]=""),"VACIO","OK")</f>
        <v>OK</v>
      </c>
      <c r="U119" s="303" t="str">
        <f>+CONCATENATE(WEEKNUM(Tabla8[[#This Row],[FECHA]]),"-",YEAR(Tabla8[[#This Row],[FECHA]]))</f>
        <v>2-2026</v>
      </c>
    </row>
    <row r="120" spans="1:21" ht="15" customHeight="1">
      <c r="A120" s="22">
        <v>46031</v>
      </c>
      <c r="B120" s="16" t="s">
        <v>111</v>
      </c>
      <c r="C120" s="10" t="s">
        <v>39</v>
      </c>
      <c r="D120" s="381">
        <v>0.1111111111111111</v>
      </c>
      <c r="E120" s="381">
        <v>0.11805555555555555</v>
      </c>
      <c r="F120" s="380">
        <f>+MOD(Tabla8[[#This Row],[HR. FIN]]-Tabla8[[#This Row],[HR. INICIO]],1)</f>
        <v>6.9444444444444475E-3</v>
      </c>
      <c r="G120" s="16" t="s">
        <v>119</v>
      </c>
      <c r="H120" s="343" t="str">
        <f>IFERROR(VLOOKUP(G120,DATOS!$M$2:$N$219,2,FALSE),"")</f>
        <v>Maquinaria</v>
      </c>
      <c r="I120" s="115" t="s">
        <v>61</v>
      </c>
      <c r="J120" s="115" t="s">
        <v>92</v>
      </c>
      <c r="K120" s="114" t="s">
        <v>93</v>
      </c>
      <c r="L120" s="35" t="s">
        <v>345</v>
      </c>
      <c r="M120" s="35" t="s">
        <v>346</v>
      </c>
      <c r="N120" s="35" t="str" cm="1">
        <f t="array" ref="N120">IFERROR(IF(Tabla8[[#This Row],[P/NP]]="NO PROGRAMADA","",_xlfn.TEXTJOIN(", ",TRUE,_xlfn._xlws.FILTER(Tabla4[[#All],[PIEZA]],ISNUMBER(SEARCH(Tabla4[[#All],[PCLAVE]],Tabla8[[#This Row],[DESCRIPCION DE TRABAJO]])),""))),"")</f>
        <v/>
      </c>
      <c r="O120" s="35" t="str" cm="1">
        <f t="array" ref="O120">_xlfn.TEXTJOIN(", ",TRUE,_xlfn._xlws.FILTER(Tabla28[[#All],[PARTE]],ISNUMBER(SEARCH(Tabla28[[#All],[PCLAVE2]],Tabla8[[#This Row],[DESCRIPCION DE TRABAJO]])),""))</f>
        <v>Intercambiador De Moldes</v>
      </c>
      <c r="P120" s="303" t="str">
        <f>IFERROR(LEFT(O120, FIND(",", O120)-1), O120)</f>
        <v>Intercambiador De Moldes</v>
      </c>
      <c r="Q120" s="303" t="str">
        <f>IFERROR(IF(ISERROR(FIND(",", O120, FIND(",", O120)+1)), RIGHT(O120, LEN(O120)-FIND(",", O120)-1), MID(O120, FIND(",", O120)+2, FIND(",", O120, FIND(",", O120)+1)-FIND(",", O120)-2)), "")</f>
        <v/>
      </c>
      <c r="R120" s="303" t="str">
        <f>IFERROR(RIGHT(O120, LEN(O120)-FIND(",", O120, FIND(",", O120)+1)-1), "")</f>
        <v/>
      </c>
      <c r="S120" s="35" t="str" cm="1">
        <f t="array" ref="S120">_xlfn.TEXTJOIN(", ",TRUE,_xlfn._xlws.FILTER(Tabla29[[#All],[PARTE]],ISNUMBER(SEARCH(Tabla29[[#All],[PCLAVE3]],Tabla8[[#This Row],[DESCRIPCION DE TRABAJO]])),""))</f>
        <v/>
      </c>
      <c r="T120" s="34" t="str">
        <f>IF(AND(Tabla8[[#This Row],[PIEZA]]="",Tabla8[[#This Row],[PARTE]]=""),"VACIO","OK")</f>
        <v>OK</v>
      </c>
      <c r="U120" s="303" t="str">
        <f>+CONCATENATE(WEEKNUM(Tabla8[[#This Row],[FECHA]]),"-",YEAR(Tabla8[[#This Row],[FECHA]]))</f>
        <v>2-2026</v>
      </c>
    </row>
    <row r="121" spans="1:21" ht="15" customHeight="1">
      <c r="A121" s="22">
        <v>46032</v>
      </c>
      <c r="B121" s="16" t="s">
        <v>111</v>
      </c>
      <c r="C121" s="10" t="s">
        <v>39</v>
      </c>
      <c r="D121" s="381">
        <v>7.6388888888888895E-2</v>
      </c>
      <c r="E121" s="381">
        <v>0.1423611111111111</v>
      </c>
      <c r="F121" s="380">
        <f>+MOD(Tabla8[[#This Row],[HR. FIN]]-Tabla8[[#This Row],[HR. INICIO]],1)</f>
        <v>6.597222222222221E-2</v>
      </c>
      <c r="G121" s="16" t="s">
        <v>182</v>
      </c>
      <c r="H121" s="343" t="str">
        <f>IFERROR(VLOOKUP(G121,DATOS!$M$2:$N$219,2,FALSE),"")</f>
        <v>Maquinaria</v>
      </c>
      <c r="I121" s="115" t="s">
        <v>32</v>
      </c>
      <c r="J121" s="115" t="str">
        <f>+VLOOKUP($I121,Tabla7[#All],2,FALSE)</f>
        <v>PROGRAMADA</v>
      </c>
      <c r="K121" s="114" t="str">
        <f>IF(VLOOKUP(I121,Tabla7[#All],3,FALSE)=0,"",VLOOKUP(I121,Tabla7[#All],3,FALSE))</f>
        <v/>
      </c>
      <c r="L121" s="35" t="s">
        <v>347</v>
      </c>
      <c r="M121" s="35" t="s">
        <v>121</v>
      </c>
      <c r="N121" s="35" t="str" cm="1">
        <f t="array" ref="N121">IFERROR(IF(Tabla8[[#This Row],[P/NP]]="NO PROGRAMADA","",_xlfn.TEXTJOIN(", ",TRUE,_xlfn._xlws.FILTER(Tabla4[[#All],[PIEZA]],ISNUMBER(SEARCH(Tabla4[[#All],[PCLAVE]],Tabla8[[#This Row],[DESCRIPCION DE TRABAJO]])),""))),"")</f>
        <v/>
      </c>
      <c r="O121" s="35" t="str" cm="1">
        <f t="array" ref="O121">_xlfn.TEXTJOIN(", ",TRUE,_xlfn._xlws.FILTER(Tabla28[[#All],[PARTE]],ISNUMBER(SEARCH(Tabla28[[#All],[PCLAVE2]],Tabla8[[#This Row],[DESCRIPCION DE TRABAJO]])),""))</f>
        <v/>
      </c>
      <c r="P121" s="303" t="str">
        <f>IFERROR(LEFT(O121, FIND(",", O121)-1), O121)</f>
        <v/>
      </c>
      <c r="Q121" s="303" t="str">
        <f>IFERROR(IF(ISERROR(FIND(",", O121, FIND(",", O121)+1)), RIGHT(O121, LEN(O121)-FIND(",", O121)-1), MID(O121, FIND(",", O121)+2, FIND(",", O121, FIND(",", O121)+1)-FIND(",", O121)-2)), "")</f>
        <v/>
      </c>
      <c r="R121" s="303" t="str">
        <f>IFERROR(RIGHT(O121, LEN(O121)-FIND(",", O121, FIND(",", O121)+1)-1), "")</f>
        <v/>
      </c>
      <c r="S121" s="35" t="str" cm="1">
        <f t="array" ref="S121">_xlfn.TEXTJOIN(", ",TRUE,_xlfn._xlws.FILTER(Tabla29[[#All],[PARTE]],ISNUMBER(SEARCH(Tabla29[[#All],[PCLAVE3]],Tabla8[[#This Row],[DESCRIPCION DE TRABAJO]])),""))</f>
        <v>Cambio De Formato</v>
      </c>
      <c r="T121" s="34" t="str">
        <f>IF(AND(Tabla8[[#This Row],[PIEZA]]="",Tabla8[[#This Row],[PARTE]]=""),"VACIO","OK")</f>
        <v>VACIO</v>
      </c>
      <c r="U121" s="303" t="str">
        <f>+CONCATENATE(WEEKNUM(Tabla8[[#This Row],[FECHA]]),"-",YEAR(Tabla8[[#This Row],[FECHA]]))</f>
        <v>2-2026</v>
      </c>
    </row>
    <row r="122" spans="1:21" ht="15" customHeight="1">
      <c r="A122" s="22">
        <v>46032</v>
      </c>
      <c r="B122" s="16" t="s">
        <v>111</v>
      </c>
      <c r="C122" s="10" t="s">
        <v>39</v>
      </c>
      <c r="D122" s="381">
        <v>0.92013888888888884</v>
      </c>
      <c r="E122" s="381">
        <v>0.96180555555555558</v>
      </c>
      <c r="F122" s="380">
        <f>+MOD(Tabla8[[#This Row],[HR. FIN]]-Tabla8[[#This Row],[HR. INICIO]],1)</f>
        <v>4.1666666666666741E-2</v>
      </c>
      <c r="G122" s="16" t="s">
        <v>328</v>
      </c>
      <c r="H122" s="343" t="str">
        <f>IFERROR(VLOOKUP(G122,DATOS!$M$2:$N$219,2,FALSE),"")</f>
        <v>Area</v>
      </c>
      <c r="I122" s="115" t="s">
        <v>348</v>
      </c>
      <c r="J122" s="115" t="str">
        <f>+VLOOKUP($I122,Tabla7[#All],2,FALSE)</f>
        <v>PROGRAMADA</v>
      </c>
      <c r="K122" s="114" t="str">
        <f>IF(VLOOKUP(I122,Tabla7[#All],3,FALSE)=0,"",VLOOKUP(I122,Tabla7[#All],3,FALSE))</f>
        <v/>
      </c>
      <c r="L122" s="35" t="s">
        <v>349</v>
      </c>
      <c r="M122" s="35" t="s">
        <v>121</v>
      </c>
      <c r="N122" s="35" t="str" cm="1">
        <f t="array" ref="N122">IFERROR(IF(Tabla8[[#This Row],[P/NP]]="NO PROGRAMADA","",_xlfn.TEXTJOIN(", ",TRUE,_xlfn._xlws.FILTER(Tabla4[[#All],[PIEZA]],ISNUMBER(SEARCH(Tabla4[[#All],[PCLAVE]],Tabla8[[#This Row],[DESCRIPCION DE TRABAJO]])),""))),"")</f>
        <v/>
      </c>
      <c r="O122" s="35" t="str" cm="1">
        <f t="array" ref="O122">_xlfn.TEXTJOIN(", ",TRUE,_xlfn._xlws.FILTER(Tabla28[[#All],[PARTE]],ISNUMBER(SEARCH(Tabla28[[#All],[PCLAVE2]],Tabla8[[#This Row],[DESCRIPCION DE TRABAJO]])),""))</f>
        <v/>
      </c>
      <c r="P122" s="303" t="str">
        <f>IFERROR(LEFT(O122, FIND(",", O122)-1), O122)</f>
        <v/>
      </c>
      <c r="Q122" s="303" t="str">
        <f>IFERROR(IF(ISERROR(FIND(",", O122, FIND(",", O122)+1)), RIGHT(O122, LEN(O122)-FIND(",", O122)-1), MID(O122, FIND(",", O122)+2, FIND(",", O122, FIND(",", O122)+1)-FIND(",", O122)-2)), "")</f>
        <v/>
      </c>
      <c r="R122" s="303" t="str">
        <f>IFERROR(RIGHT(O122, LEN(O122)-FIND(",", O122, FIND(",", O122)+1)-1), "")</f>
        <v/>
      </c>
      <c r="S122" s="35" t="str" cm="1">
        <f t="array" ref="S122">_xlfn.TEXTJOIN(", ",TRUE,_xlfn._xlws.FILTER(Tabla29[[#All],[PARTE]],ISNUMBER(SEARCH(Tabla29[[#All],[PCLAVE3]],Tabla8[[#This Row],[DESCRIPCION DE TRABAJO]])),""))</f>
        <v>Cambio De Formato</v>
      </c>
      <c r="T122" s="34" t="str">
        <f>IF(AND(Tabla8[[#This Row],[PIEZA]]="",Tabla8[[#This Row],[PARTE]]=""),"VACIO","OK")</f>
        <v>VACIO</v>
      </c>
      <c r="U122" s="303" t="str">
        <f>+CONCATENATE(WEEKNUM(Tabla8[[#This Row],[FECHA]]),"-",YEAR(Tabla8[[#This Row],[FECHA]]))</f>
        <v>2-2026</v>
      </c>
    </row>
    <row r="123" spans="1:21" ht="15" customHeight="1">
      <c r="A123" s="22">
        <v>46032</v>
      </c>
      <c r="B123" s="16" t="s">
        <v>88</v>
      </c>
      <c r="C123" s="10" t="s">
        <v>36</v>
      </c>
      <c r="D123" s="381">
        <v>0.41666666666666669</v>
      </c>
      <c r="E123" s="381">
        <v>0.45833333333333331</v>
      </c>
      <c r="F123" s="380">
        <f>+MOD(Tabla8[[#This Row],[HR. FIN]]-Tabla8[[#This Row],[HR. INICIO]],1)</f>
        <v>4.166666666666663E-2</v>
      </c>
      <c r="G123" s="16" t="s">
        <v>42</v>
      </c>
      <c r="H123" s="343" t="str">
        <f>IFERROR(VLOOKUP(G123,DATOS!$M$2:$N$219,2,FALSE),"")</f>
        <v>Maquinaria</v>
      </c>
      <c r="I123" s="115" t="s">
        <v>61</v>
      </c>
      <c r="J123" s="115" t="str">
        <f>+VLOOKUP($I123,Tabla7[#All],2,FALSE)</f>
        <v>PROGRAMADA</v>
      </c>
      <c r="K123" s="114" t="str">
        <f>IF(VLOOKUP(I123,Tabla7[#All],3,FALSE)=0,"",VLOOKUP(I123,Tabla7[#All],3,FALSE))</f>
        <v/>
      </c>
      <c r="L123" s="35" t="s">
        <v>350</v>
      </c>
      <c r="M123" s="35" t="s">
        <v>351</v>
      </c>
      <c r="N123" s="35" t="str" cm="1">
        <f t="array" ref="N123">IFERROR(IF(Tabla8[[#This Row],[P/NP]]="NO PROGRAMADA","",_xlfn.TEXTJOIN(", ",TRUE,_xlfn._xlws.FILTER(Tabla4[[#All],[PIEZA]],ISNUMBER(SEARCH(Tabla4[[#All],[PCLAVE]],Tabla8[[#This Row],[DESCRIPCION DE TRABAJO]])),""))),"")</f>
        <v>Apilador</v>
      </c>
      <c r="O123" s="35" t="str" cm="1">
        <f t="array" ref="O123">_xlfn.TEXTJOIN(", ",TRUE,_xlfn._xlws.FILTER(Tabla28[[#All],[PARTE]],ISNUMBER(SEARCH(Tabla28[[#All],[PCLAVE2]],Tabla8[[#This Row],[DESCRIPCION DE TRABAJO]])),""))</f>
        <v/>
      </c>
      <c r="P123" s="303" t="str">
        <f>IFERROR(LEFT(O123, FIND(",", O123)-1), O123)</f>
        <v/>
      </c>
      <c r="Q123" s="303" t="str">
        <f>IFERROR(IF(ISERROR(FIND(",", O123, FIND(",", O123)+1)), RIGHT(O123, LEN(O123)-FIND(",", O123)-1), MID(O123, FIND(",", O123)+2, FIND(",", O123, FIND(",", O123)+1)-FIND(",", O123)-2)), "")</f>
        <v/>
      </c>
      <c r="R123" s="303" t="str">
        <f>IFERROR(RIGHT(O123, LEN(O123)-FIND(",", O123, FIND(",", O123)+1)-1), "")</f>
        <v/>
      </c>
      <c r="S123" s="35" t="str" cm="1">
        <f t="array" ref="S123">_xlfn.TEXTJOIN(", ",TRUE,_xlfn._xlws.FILTER(Tabla29[[#All],[PARTE]],ISNUMBER(SEARCH(Tabla29[[#All],[PCLAVE3]],Tabla8[[#This Row],[DESCRIPCION DE TRABAJO]])),""))</f>
        <v>Carga/descarga</v>
      </c>
      <c r="T123" s="34" t="str">
        <f>IF(AND(Tabla8[[#This Row],[PIEZA]]="",Tabla8[[#This Row],[PARTE]]=""),"VACIO","OK")</f>
        <v>OK</v>
      </c>
      <c r="U123" s="303" t="str">
        <f>+CONCATENATE(WEEKNUM(Tabla8[[#This Row],[FECHA]]),"-",YEAR(Tabla8[[#This Row],[FECHA]]))</f>
        <v>2-2026</v>
      </c>
    </row>
    <row r="124" spans="1:21" ht="15" customHeight="1">
      <c r="A124" s="22">
        <v>46032</v>
      </c>
      <c r="B124" s="16" t="s">
        <v>111</v>
      </c>
      <c r="C124" s="10" t="s">
        <v>39</v>
      </c>
      <c r="D124" s="381">
        <v>2.0833333333333332E-2</v>
      </c>
      <c r="E124" s="381">
        <v>5.5555555555555552E-2</v>
      </c>
      <c r="F124" s="380">
        <f>+MOD(Tabla8[[#This Row],[HR. FIN]]-Tabla8[[#This Row],[HR. INICIO]],1)</f>
        <v>3.4722222222222224E-2</v>
      </c>
      <c r="G124" s="16" t="s">
        <v>119</v>
      </c>
      <c r="H124" s="343" t="str">
        <f>IFERROR(VLOOKUP(G124,DATOS!$M$2:$N$219,2,FALSE),"")</f>
        <v>Maquinaria</v>
      </c>
      <c r="I124" s="115" t="s">
        <v>32</v>
      </c>
      <c r="J124" s="115" t="str">
        <f>+VLOOKUP($I124,Tabla7[#All],2,FALSE)</f>
        <v>PROGRAMADA</v>
      </c>
      <c r="K124" s="114" t="str">
        <f>IF(VLOOKUP(I124,Tabla7[#All],3,FALSE)=0,"",VLOOKUP(I124,Tabla7[#All],3,FALSE))</f>
        <v/>
      </c>
      <c r="L124" s="35" t="s">
        <v>352</v>
      </c>
      <c r="M124" s="35" t="s">
        <v>353</v>
      </c>
      <c r="N124" s="35" t="str" cm="1">
        <f t="array" ref="N124">IFERROR(IF(Tabla8[[#This Row],[P/NP]]="NO PROGRAMADA","",_xlfn.TEXTJOIN(", ",TRUE,_xlfn._xlws.FILTER(Tabla4[[#All],[PIEZA]],ISNUMBER(SEARCH(Tabla4[[#All],[PCLAVE]],Tabla8[[#This Row],[DESCRIPCION DE TRABAJO]])),""))),"")</f>
        <v/>
      </c>
      <c r="O124" s="35" t="str" cm="1">
        <f t="array" ref="O124">_xlfn.TEXTJOIN(", ",TRUE,_xlfn._xlws.FILTER(Tabla28[[#All],[PARTE]],ISNUMBER(SEARCH(Tabla28[[#All],[PCLAVE2]],Tabla8[[#This Row],[DESCRIPCION DE TRABAJO]])),""))</f>
        <v>Mds</v>
      </c>
      <c r="P124" s="303" t="str">
        <f>IFERROR(LEFT(O124, FIND(",", O124)-1), O124)</f>
        <v>Mds</v>
      </c>
      <c r="Q124" s="303" t="str">
        <f>IFERROR(IF(ISERROR(FIND(",", O124, FIND(",", O124)+1)), RIGHT(O124, LEN(O124)-FIND(",", O124)-1), MID(O124, FIND(",", O124)+2, FIND(",", O124, FIND(",", O124)+1)-FIND(",", O124)-2)), "")</f>
        <v/>
      </c>
      <c r="R124" s="303" t="str">
        <f>IFERROR(RIGHT(O124, LEN(O124)-FIND(",", O124, FIND(",", O124)+1)-1), "")</f>
        <v/>
      </c>
      <c r="S124" s="35" t="str" cm="1">
        <f t="array" ref="S124">_xlfn.TEXTJOIN(", ",TRUE,_xlfn._xlws.FILTER(Tabla29[[#All],[PARTE]],ISNUMBER(SEARCH(Tabla29[[#All],[PCLAVE3]],Tabla8[[#This Row],[DESCRIPCION DE TRABAJO]])),""))</f>
        <v>Cambio De Formato</v>
      </c>
      <c r="T124" s="34" t="str">
        <f>IF(AND(Tabla8[[#This Row],[PIEZA]]="",Tabla8[[#This Row],[PARTE]]=""),"VACIO","OK")</f>
        <v>OK</v>
      </c>
      <c r="U124" s="303" t="str">
        <f>+CONCATENATE(WEEKNUM(Tabla8[[#This Row],[FECHA]]),"-",YEAR(Tabla8[[#This Row],[FECHA]]))</f>
        <v>2-2026</v>
      </c>
    </row>
    <row r="125" spans="1:21" ht="15" customHeight="1">
      <c r="A125" s="22">
        <v>46032</v>
      </c>
      <c r="B125" s="16" t="s">
        <v>111</v>
      </c>
      <c r="C125" s="10" t="s">
        <v>39</v>
      </c>
      <c r="D125" s="381">
        <v>0.89583333333333337</v>
      </c>
      <c r="E125" s="381">
        <v>0.92361111111111116</v>
      </c>
      <c r="F125" s="380">
        <f>+MOD(Tabla8[[#This Row],[HR. FIN]]-Tabla8[[#This Row],[HR. INICIO]],1)</f>
        <v>2.777777777777779E-2</v>
      </c>
      <c r="G125" s="16" t="s">
        <v>24</v>
      </c>
      <c r="H125" s="343" t="str">
        <f>IFERROR(VLOOKUP(G125,DATOS!$M$2:$N$219,2,FALSE),"")</f>
        <v>Maquinaria</v>
      </c>
      <c r="I125" s="115" t="s">
        <v>54</v>
      </c>
      <c r="J125" s="115" t="str">
        <f>+VLOOKUP($I125,Tabla7[#All],2,FALSE)</f>
        <v>PROGRAMADA</v>
      </c>
      <c r="K125" s="114" t="str">
        <f>IF(VLOOKUP(I125,Tabla7[#All],3,FALSE)=0,"",VLOOKUP(I125,Tabla7[#All],3,FALSE))</f>
        <v/>
      </c>
      <c r="L125" s="35" t="s">
        <v>354</v>
      </c>
      <c r="M125" s="35" t="s">
        <v>355</v>
      </c>
      <c r="N125" s="35" t="str" cm="1">
        <f t="array" ref="N125">IFERROR(IF(Tabla8[[#This Row],[P/NP]]="NO PROGRAMADA","",_xlfn.TEXTJOIN(", ",TRUE,_xlfn._xlws.FILTER(Tabla4[[#All],[PIEZA]],ISNUMBER(SEARCH(Tabla4[[#All],[PCLAVE]],Tabla8[[#This Row],[DESCRIPCION DE TRABAJO]])),""))),"")</f>
        <v/>
      </c>
      <c r="O125" s="35" t="str" cm="1">
        <f t="array" ref="O125">_xlfn.TEXTJOIN(", ",TRUE,_xlfn._xlws.FILTER(Tabla28[[#All],[PARTE]],ISNUMBER(SEARCH(Tabla28[[#All],[PCLAVE2]],Tabla8[[#This Row],[DESCRIPCION DE TRABAJO]])),""))</f>
        <v/>
      </c>
      <c r="P125" s="303" t="str">
        <f>IFERROR(LEFT(O125, FIND(",", O125)-1), O125)</f>
        <v/>
      </c>
      <c r="Q125" s="303" t="str">
        <f>IFERROR(IF(ISERROR(FIND(",", O125, FIND(",", O125)+1)), RIGHT(O125, LEN(O125)-FIND(",", O125)-1), MID(O125, FIND(",", O125)+2, FIND(",", O125, FIND(",", O125)+1)-FIND(",", O125)-2)), "")</f>
        <v/>
      </c>
      <c r="R125" s="303" t="str">
        <f>IFERROR(RIGHT(O125, LEN(O125)-FIND(",", O125, FIND(",", O125)+1)-1), "")</f>
        <v/>
      </c>
      <c r="S125" s="35" t="str" cm="1">
        <f t="array" ref="S125">_xlfn.TEXTJOIN(", ",TRUE,_xlfn._xlws.FILTER(Tabla29[[#All],[PARTE]],ISNUMBER(SEARCH(Tabla29[[#All],[PCLAVE3]],Tabla8[[#This Row],[DESCRIPCION DE TRABAJO]])),""))</f>
        <v>Ruido</v>
      </c>
      <c r="T125" s="34" t="str">
        <f>IF(AND(Tabla8[[#This Row],[PIEZA]]="",Tabla8[[#This Row],[PARTE]]=""),"VACIO","OK")</f>
        <v>VACIO</v>
      </c>
      <c r="U125" s="303" t="str">
        <f>+CONCATENATE(WEEKNUM(Tabla8[[#This Row],[FECHA]]),"-",YEAR(Tabla8[[#This Row],[FECHA]]))</f>
        <v>2-2026</v>
      </c>
    </row>
    <row r="126" spans="1:21" ht="15" customHeight="1">
      <c r="A126" s="22">
        <v>46032</v>
      </c>
      <c r="B126" s="16" t="s">
        <v>111</v>
      </c>
      <c r="C126" s="10" t="s">
        <v>39</v>
      </c>
      <c r="D126" s="381">
        <v>0.14583333333333334</v>
      </c>
      <c r="E126" s="381">
        <v>0.1736111111111111</v>
      </c>
      <c r="F126" s="380">
        <f>+MOD(Tabla8[[#This Row],[HR. FIN]]-Tabla8[[#This Row],[HR. INICIO]],1)</f>
        <v>2.7777777777777762E-2</v>
      </c>
      <c r="G126" s="16" t="s">
        <v>270</v>
      </c>
      <c r="H126" s="343" t="str">
        <f>IFERROR(VLOOKUP(G126,DATOS!$M$2:$N$219,2,FALSE),"")</f>
        <v>Maquinaria</v>
      </c>
      <c r="I126" s="115" t="s">
        <v>32</v>
      </c>
      <c r="J126" s="115" t="str">
        <f>+VLOOKUP($I126,Tabla7[#All],2,FALSE)</f>
        <v>PROGRAMADA</v>
      </c>
      <c r="K126" s="114" t="str">
        <f>IF(VLOOKUP(I126,Tabla7[#All],3,FALSE)=0,"",VLOOKUP(I126,Tabla7[#All],3,FALSE))</f>
        <v/>
      </c>
      <c r="L126" s="35" t="s">
        <v>356</v>
      </c>
      <c r="M126" s="35" t="s">
        <v>121</v>
      </c>
      <c r="N126" s="35" t="str" cm="1">
        <f t="array" ref="N126">IFERROR(IF(Tabla8[[#This Row],[P/NP]]="NO PROGRAMADA","",_xlfn.TEXTJOIN(", ",TRUE,_xlfn._xlws.FILTER(Tabla4[[#All],[PIEZA]],ISNUMBER(SEARCH(Tabla4[[#All],[PCLAVE]],Tabla8[[#This Row],[DESCRIPCION DE TRABAJO]])),""))),"")</f>
        <v>Cadena</v>
      </c>
      <c r="O126" s="35" t="str" cm="1">
        <f t="array" ref="O126">_xlfn.TEXTJOIN(", ",TRUE,_xlfn._xlws.FILTER(Tabla28[[#All],[PARTE]],ISNUMBER(SEARCH(Tabla28[[#All],[PCLAVE2]],Tabla8[[#This Row],[DESCRIPCION DE TRABAJO]])),""))</f>
        <v/>
      </c>
      <c r="P126" s="303" t="str">
        <f>IFERROR(LEFT(O126, FIND(",", O126)-1), O126)</f>
        <v/>
      </c>
      <c r="Q126" s="303" t="str">
        <f>IFERROR(IF(ISERROR(FIND(",", O126, FIND(",", O126)+1)), RIGHT(O126, LEN(O126)-FIND(",", O126)-1), MID(O126, FIND(",", O126)+2, FIND(",", O126, FIND(",", O126)+1)-FIND(",", O126)-2)), "")</f>
        <v/>
      </c>
      <c r="R126" s="303" t="str">
        <f>IFERROR(RIGHT(O126, LEN(O126)-FIND(",", O126, FIND(",", O126)+1)-1), "")</f>
        <v/>
      </c>
      <c r="S126" s="35" t="str" cm="1">
        <f t="array" ref="S126">_xlfn.TEXTJOIN(", ",TRUE,_xlfn._xlws.FILTER(Tabla29[[#All],[PARTE]],ISNUMBER(SEARCH(Tabla29[[#All],[PCLAVE3]],Tabla8[[#This Row],[DESCRIPCION DE TRABAJO]])),""))</f>
        <v>Dañado, Sustitucion</v>
      </c>
      <c r="T126" s="34" t="str">
        <f>IF(AND(Tabla8[[#This Row],[PIEZA]]="",Tabla8[[#This Row],[PARTE]]=""),"VACIO","OK")</f>
        <v>OK</v>
      </c>
      <c r="U126" s="303" t="str">
        <f>+CONCATENATE(WEEKNUM(Tabla8[[#This Row],[FECHA]]),"-",YEAR(Tabla8[[#This Row],[FECHA]]))</f>
        <v>2-2026</v>
      </c>
    </row>
    <row r="127" spans="1:21" ht="15" customHeight="1">
      <c r="A127" s="22">
        <v>46032</v>
      </c>
      <c r="B127" s="16" t="s">
        <v>111</v>
      </c>
      <c r="C127" s="10" t="s">
        <v>39</v>
      </c>
      <c r="D127" s="381">
        <v>5.9027777777777776E-2</v>
      </c>
      <c r="E127" s="381">
        <v>6.9444444444444448E-2</v>
      </c>
      <c r="F127" s="380">
        <f>+MOD(Tabla8[[#This Row],[HR. FIN]]-Tabla8[[#This Row],[HR. INICIO]],1)</f>
        <v>1.0416666666666671E-2</v>
      </c>
      <c r="G127" s="16" t="s">
        <v>153</v>
      </c>
      <c r="H127" s="343" t="str">
        <f>IFERROR(VLOOKUP(G127,DATOS!$M$2:$N$219,2,FALSE),"")</f>
        <v>Maquinaria</v>
      </c>
      <c r="I127" s="115" t="s">
        <v>28</v>
      </c>
      <c r="J127" s="115" t="str">
        <f>+VLOOKUP($I127,Tabla7[#All],2,FALSE)</f>
        <v>NO PROGRAMADA</v>
      </c>
      <c r="K127" s="114" t="s">
        <v>93</v>
      </c>
      <c r="L127" s="35" t="s">
        <v>357</v>
      </c>
      <c r="M127" s="35" t="s">
        <v>358</v>
      </c>
      <c r="N127" s="35" t="str" cm="1">
        <f t="array" ref="N127">IFERROR(IF(Tabla8[[#This Row],[P/NP]]="NO PROGRAMADA","",_xlfn.TEXTJOIN(", ",TRUE,_xlfn._xlws.FILTER(Tabla4[[#All],[PIEZA]],ISNUMBER(SEARCH(Tabla4[[#All],[PCLAVE]],Tabla8[[#This Row],[DESCRIPCION DE TRABAJO]])),""))),"")</f>
        <v/>
      </c>
      <c r="O127" s="35" t="str" cm="1">
        <f t="array" ref="O127">_xlfn.TEXTJOIN(", ",TRUE,_xlfn._xlws.FILTER(Tabla28[[#All],[PARTE]],ISNUMBER(SEARCH(Tabla28[[#All],[PCLAVE2]],Tabla8[[#This Row],[DESCRIPCION DE TRABAJO]])),""))</f>
        <v/>
      </c>
      <c r="P127" s="303" t="str">
        <f>IFERROR(LEFT(O127, FIND(",", O127)-1), O127)</f>
        <v/>
      </c>
      <c r="Q127" s="303" t="str">
        <f>IFERROR(IF(ISERROR(FIND(",", O127, FIND(",", O127)+1)), RIGHT(O127, LEN(O127)-FIND(",", O127)-1), MID(O127, FIND(",", O127)+2, FIND(",", O127, FIND(",", O127)+1)-FIND(",", O127)-2)), "")</f>
        <v/>
      </c>
      <c r="R127" s="303" t="str">
        <f>IFERROR(RIGHT(O127, LEN(O127)-FIND(",", O127, FIND(",", O127)+1)-1), "")</f>
        <v/>
      </c>
      <c r="S127" s="35" t="str" cm="1">
        <f t="array" ref="S127">_xlfn.TEXTJOIN(", ",TRUE,_xlfn._xlws.FILTER(Tabla29[[#All],[PARTE]],ISNUMBER(SEARCH(Tabla29[[#All],[PCLAVE3]],Tabla8[[#This Row],[DESCRIPCION DE TRABAJO]])),""))</f>
        <v>Sustitucion</v>
      </c>
      <c r="T127" s="34" t="str">
        <f>IF(AND(Tabla8[[#This Row],[PIEZA]]="",Tabla8[[#This Row],[PARTE]]=""),"VACIO","OK")</f>
        <v>VACIO</v>
      </c>
      <c r="U127" s="303" t="str">
        <f>+CONCATENATE(WEEKNUM(Tabla8[[#This Row],[FECHA]]),"-",YEAR(Tabla8[[#This Row],[FECHA]]))</f>
        <v>2-2026</v>
      </c>
    </row>
    <row r="128" spans="1:21" ht="15" customHeight="1">
      <c r="A128" s="22">
        <v>46034</v>
      </c>
      <c r="B128" s="16" t="s">
        <v>131</v>
      </c>
      <c r="C128" s="10" t="s">
        <v>39</v>
      </c>
      <c r="D128" s="381">
        <v>0.98958333333333337</v>
      </c>
      <c r="E128" s="381">
        <v>4.583333333333333E-2</v>
      </c>
      <c r="F128" s="380">
        <f>+MOD(Tabla8[[#This Row],[HR. FIN]]-Tabla8[[#This Row],[HR. INICIO]],1)</f>
        <v>5.6249999999999911E-2</v>
      </c>
      <c r="G128" s="16" t="s">
        <v>119</v>
      </c>
      <c r="H128" s="343" t="str">
        <f>IFERROR(VLOOKUP(G128,DATOS!$M$2:$N$219,2,FALSE),"")</f>
        <v>Maquinaria</v>
      </c>
      <c r="I128" s="115" t="s">
        <v>32</v>
      </c>
      <c r="J128" s="115" t="str">
        <f>+VLOOKUP($I128,Tabla7[#All],2,FALSE)</f>
        <v>PROGRAMADA</v>
      </c>
      <c r="K128" s="114" t="str">
        <f>IF(VLOOKUP(I128,Tabla7[#All],3,FALSE)=0,"",VLOOKUP(I128,Tabla7[#All],3,FALSE))</f>
        <v/>
      </c>
      <c r="L128" s="35" t="s">
        <v>359</v>
      </c>
      <c r="M128" s="35" t="s">
        <v>121</v>
      </c>
      <c r="N128" s="35" t="str" cm="1">
        <f t="array" ref="N128">IFERROR(IF(Tabla8[[#This Row],[P/NP]]="NO PROGRAMADA","",_xlfn.TEXTJOIN(", ",TRUE,_xlfn._xlws.FILTER(Tabla4[[#All],[PIEZA]],ISNUMBER(SEARCH(Tabla4[[#All],[PCLAVE]],Tabla8[[#This Row],[DESCRIPCION DE TRABAJO]])),""))),"")</f>
        <v/>
      </c>
      <c r="O128" s="35" t="str" cm="1">
        <f t="array" ref="O128">_xlfn.TEXTJOIN(", ",TRUE,_xlfn._xlws.FILTER(Tabla28[[#All],[PARTE]],ISNUMBER(SEARCH(Tabla28[[#All],[PCLAVE2]],Tabla8[[#This Row],[DESCRIPCION DE TRABAJO]])),""))</f>
        <v>Mds</v>
      </c>
      <c r="P128" s="303" t="str">
        <f>IFERROR(LEFT(O128, FIND(",", O128)-1), O128)</f>
        <v>Mds</v>
      </c>
      <c r="Q128" s="303" t="str">
        <f>IFERROR(IF(ISERROR(FIND(",", O128, FIND(",", O128)+1)), RIGHT(O128, LEN(O128)-FIND(",", O128)-1), MID(O128, FIND(",", O128)+2, FIND(",", O128, FIND(",", O128)+1)-FIND(",", O128)-2)), "")</f>
        <v/>
      </c>
      <c r="R128" s="303" t="str">
        <f>IFERROR(RIGHT(O128, LEN(O128)-FIND(",", O128, FIND(",", O128)+1)-1), "")</f>
        <v/>
      </c>
      <c r="S128" s="35" t="str" cm="1">
        <f t="array" ref="S128">_xlfn.TEXTJOIN(", ",TRUE,_xlfn._xlws.FILTER(Tabla29[[#All],[PARTE]],ISNUMBER(SEARCH(Tabla29[[#All],[PCLAVE3]],Tabla8[[#This Row],[DESCRIPCION DE TRABAJO]])),""))</f>
        <v>Cambio De Formato</v>
      </c>
      <c r="T128" s="34" t="str">
        <f>IF(AND(Tabla8[[#This Row],[PIEZA]]="",Tabla8[[#This Row],[PARTE]]=""),"VACIO","OK")</f>
        <v>OK</v>
      </c>
      <c r="U128" s="303" t="str">
        <f>+CONCATENATE(WEEKNUM(Tabla8[[#This Row],[FECHA]]),"-",YEAR(Tabla8[[#This Row],[FECHA]]))</f>
        <v>3-2026</v>
      </c>
    </row>
    <row r="129" spans="1:21" ht="15" customHeight="1">
      <c r="A129" s="22">
        <v>46034</v>
      </c>
      <c r="B129" s="16" t="s">
        <v>191</v>
      </c>
      <c r="C129" s="10" t="s">
        <v>36</v>
      </c>
      <c r="D129" s="381">
        <v>0.23125000000000001</v>
      </c>
      <c r="E129" s="381">
        <v>0.27430555555555558</v>
      </c>
      <c r="F129" s="380">
        <f>+MOD(Tabla8[[#This Row],[HR. FIN]]-Tabla8[[#This Row],[HR. INICIO]],1)</f>
        <v>4.3055555555555569E-2</v>
      </c>
      <c r="G129" s="16" t="s">
        <v>103</v>
      </c>
      <c r="H129" s="343" t="str">
        <f>IFERROR(VLOOKUP(G129,DATOS!$M$2:$N$219,2,FALSE),"")</f>
        <v>Area</v>
      </c>
      <c r="I129" s="115" t="s">
        <v>43</v>
      </c>
      <c r="J129" s="115" t="str">
        <f>+VLOOKUP($I129,Tabla7[#All],2,FALSE)</f>
        <v>PROGRAMADA</v>
      </c>
      <c r="K129" s="114" t="str">
        <f>IF(VLOOKUP(I129,Tabla7[#All],3,FALSE)=0,"",VLOOKUP(I129,Tabla7[#All],3,FALSE))</f>
        <v/>
      </c>
      <c r="L129" s="35" t="s">
        <v>360</v>
      </c>
      <c r="M129" s="35" t="s">
        <v>121</v>
      </c>
      <c r="N129" s="35" t="str" cm="1">
        <f t="array" ref="N129">IFERROR(IF(Tabla8[[#This Row],[P/NP]]="NO PROGRAMADA","",_xlfn.TEXTJOIN(", ",TRUE,_xlfn._xlws.FILTER(Tabla4[[#All],[PIEZA]],ISNUMBER(SEARCH(Tabla4[[#All],[PCLAVE]],Tabla8[[#This Row],[DESCRIPCION DE TRABAJO]])),""))),"")</f>
        <v/>
      </c>
      <c r="O129" s="35" t="str" cm="1">
        <f t="array" ref="O129">_xlfn.TEXTJOIN(", ",TRUE,_xlfn._xlws.FILTER(Tabla28[[#All],[PARTE]],ISNUMBER(SEARCH(Tabla28[[#All],[PCLAVE2]],Tabla8[[#This Row],[DESCRIPCION DE TRABAJO]])),""))</f>
        <v/>
      </c>
      <c r="P129" s="303" t="str">
        <f>IFERROR(LEFT(O129, FIND(",", O129)-1), O129)</f>
        <v/>
      </c>
      <c r="Q129" s="303" t="str">
        <f>IFERROR(IF(ISERROR(FIND(",", O129, FIND(",", O129)+1)), RIGHT(O129, LEN(O129)-FIND(",", O129)-1), MID(O129, FIND(",", O129)+2, FIND(",", O129, FIND(",", O129)+1)-FIND(",", O129)-2)), "")</f>
        <v/>
      </c>
      <c r="R129" s="303" t="str">
        <f>IFERROR(RIGHT(O129, LEN(O129)-FIND(",", O129, FIND(",", O129)+1)-1), "")</f>
        <v/>
      </c>
      <c r="S129" s="35" t="str" cm="1">
        <f t="array" ref="S129">_xlfn.TEXTJOIN(", ",TRUE,_xlfn._xlws.FILTER(Tabla29[[#All],[PARTE]],ISNUMBER(SEARCH(Tabla29[[#All],[PCLAVE3]],Tabla8[[#This Row],[DESCRIPCION DE TRABAJO]])),""))</f>
        <v>Nivel</v>
      </c>
      <c r="T129" s="34" t="str">
        <f>IF(AND(Tabla8[[#This Row],[PIEZA]]="",Tabla8[[#This Row],[PARTE]]=""),"VACIO","OK")</f>
        <v>VACIO</v>
      </c>
      <c r="U129" s="303" t="str">
        <f>+CONCATENATE(WEEKNUM(Tabla8[[#This Row],[FECHA]]),"-",YEAR(Tabla8[[#This Row],[FECHA]]))</f>
        <v>3-2026</v>
      </c>
    </row>
    <row r="130" spans="1:21" ht="15" customHeight="1">
      <c r="A130" s="22">
        <v>46034</v>
      </c>
      <c r="B130" s="16" t="s">
        <v>88</v>
      </c>
      <c r="C130" s="10" t="s">
        <v>36</v>
      </c>
      <c r="D130" s="381">
        <v>0.35416666666666669</v>
      </c>
      <c r="E130" s="381">
        <v>0.39583333333333331</v>
      </c>
      <c r="F130" s="380">
        <f>+MOD(Tabla8[[#This Row],[HR. FIN]]-Tabla8[[#This Row],[HR. INICIO]],1)</f>
        <v>4.166666666666663E-2</v>
      </c>
      <c r="G130" s="16" t="s">
        <v>98</v>
      </c>
      <c r="H130" s="343" t="str">
        <f>IFERROR(VLOOKUP(G130,DATOS!$M$2:$N$219,2,FALSE),"")</f>
        <v>Maquinaria</v>
      </c>
      <c r="I130" s="115" t="s">
        <v>32</v>
      </c>
      <c r="J130" s="115" t="str">
        <f>+VLOOKUP($I130,Tabla7[#All],2,FALSE)</f>
        <v>PROGRAMADA</v>
      </c>
      <c r="K130" s="114" t="str">
        <f>IF(VLOOKUP(I130,Tabla7[#All],3,FALSE)=0,"",VLOOKUP(I130,Tabla7[#All],3,FALSE))</f>
        <v/>
      </c>
      <c r="L130" s="35" t="s">
        <v>361</v>
      </c>
      <c r="M130" s="35" t="s">
        <v>362</v>
      </c>
      <c r="N130" s="35" t="str" cm="1">
        <f t="array" ref="N130">IFERROR(IF(Tabla8[[#This Row],[P/NP]]="NO PROGRAMADA","",_xlfn.TEXTJOIN(", ",TRUE,_xlfn._xlws.FILTER(Tabla4[[#All],[PIEZA]],ISNUMBER(SEARCH(Tabla4[[#All],[PCLAVE]],Tabla8[[#This Row],[DESCRIPCION DE TRABAJO]])),""))),"")</f>
        <v/>
      </c>
      <c r="O130" s="35" t="str" cm="1">
        <f t="array" ref="O130">_xlfn.TEXTJOIN(", ",TRUE,_xlfn._xlws.FILTER(Tabla28[[#All],[PARTE]],ISNUMBER(SEARCH(Tabla28[[#All],[PCLAVE2]],Tabla8[[#This Row],[DESCRIPCION DE TRABAJO]])),""))</f>
        <v/>
      </c>
      <c r="P130" s="303" t="str">
        <f>IFERROR(LEFT(O130, FIND(",", O130)-1), O130)</f>
        <v/>
      </c>
      <c r="Q130" s="303" t="str">
        <f>IFERROR(IF(ISERROR(FIND(",", O130, FIND(",", O130)+1)), RIGHT(O130, LEN(O130)-FIND(",", O130)-1), MID(O130, FIND(",", O130)+2, FIND(",", O130, FIND(",", O130)+1)-FIND(",", O130)-2)), "")</f>
        <v/>
      </c>
      <c r="R130" s="303" t="str">
        <f>IFERROR(RIGHT(O130, LEN(O130)-FIND(",", O130, FIND(",", O130)+1)-1), "")</f>
        <v/>
      </c>
      <c r="S130" s="35" t="str" cm="1">
        <f t="array" ref="S130">_xlfn.TEXTJOIN(", ",TRUE,_xlfn._xlws.FILTER(Tabla29[[#All],[PARTE]],ISNUMBER(SEARCH(Tabla29[[#All],[PCLAVE3]],Tabla8[[#This Row],[DESCRIPCION DE TRABAJO]])),""))</f>
        <v/>
      </c>
      <c r="T130" s="34" t="str">
        <f>IF(AND(Tabla8[[#This Row],[PIEZA]]="",Tabla8[[#This Row],[PARTE]]=""),"VACIO","OK")</f>
        <v>VACIO</v>
      </c>
      <c r="U130" s="303" t="str">
        <f>+CONCATENATE(WEEKNUM(Tabla8[[#This Row],[FECHA]]),"-",YEAR(Tabla8[[#This Row],[FECHA]]))</f>
        <v>3-2026</v>
      </c>
    </row>
    <row r="131" spans="1:21" ht="15" customHeight="1">
      <c r="A131" s="22">
        <v>46034</v>
      </c>
      <c r="B131" s="16" t="s">
        <v>131</v>
      </c>
      <c r="C131" s="10" t="s">
        <v>39</v>
      </c>
      <c r="D131" s="381">
        <v>0.13819444444444445</v>
      </c>
      <c r="E131" s="381">
        <v>0.15972222222222221</v>
      </c>
      <c r="F131" s="380">
        <f>+MOD(Tabla8[[#This Row],[HR. FIN]]-Tabla8[[#This Row],[HR. INICIO]],1)</f>
        <v>2.1527777777777757E-2</v>
      </c>
      <c r="G131" s="16" t="s">
        <v>114</v>
      </c>
      <c r="H131" s="343" t="str">
        <f>IFERROR(VLOOKUP(G131,DATOS!$M$2:$N$219,2,FALSE),"")</f>
        <v>Maquinaria</v>
      </c>
      <c r="I131" s="115" t="s">
        <v>28</v>
      </c>
      <c r="J131" s="115" t="str">
        <f>+VLOOKUP($I131,Tabla7[#All],2,FALSE)</f>
        <v>NO PROGRAMADA</v>
      </c>
      <c r="K131" s="114" t="s">
        <v>93</v>
      </c>
      <c r="L131" s="35" t="s">
        <v>363</v>
      </c>
      <c r="M131" s="35" t="s">
        <v>364</v>
      </c>
      <c r="N131" s="35" t="str" cm="1">
        <f t="array" ref="N131">IFERROR(IF(Tabla8[[#This Row],[P/NP]]="NO PROGRAMADA","",_xlfn.TEXTJOIN(", ",TRUE,_xlfn._xlws.FILTER(Tabla4[[#All],[PIEZA]],ISNUMBER(SEARCH(Tabla4[[#All],[PCLAVE]],Tabla8[[#This Row],[DESCRIPCION DE TRABAJO]])),""))),"")</f>
        <v/>
      </c>
      <c r="O131" s="35" t="str" cm="1">
        <f t="array" ref="O131">_xlfn.TEXTJOIN(", ",TRUE,_xlfn._xlws.FILTER(Tabla28[[#All],[PARTE]],ISNUMBER(SEARCH(Tabla28[[#All],[PCLAVE2]],Tabla8[[#This Row],[DESCRIPCION DE TRABAJO]])),""))</f>
        <v/>
      </c>
      <c r="P131" s="303" t="str">
        <f>IFERROR(LEFT(O131, FIND(",", O131)-1), O131)</f>
        <v/>
      </c>
      <c r="Q131" s="303" t="str">
        <f>IFERROR(IF(ISERROR(FIND(",", O131, FIND(",", O131)+1)), RIGHT(O131, LEN(O131)-FIND(",", O131)-1), MID(O131, FIND(",", O131)+2, FIND(",", O131, FIND(",", O131)+1)-FIND(",", O131)-2)), "")</f>
        <v/>
      </c>
      <c r="R131" s="303" t="str">
        <f>IFERROR(RIGHT(O131, LEN(O131)-FIND(",", O131, FIND(",", O131)+1)-1), "")</f>
        <v/>
      </c>
      <c r="S131" s="35" t="str" cm="1">
        <f t="array" ref="S131">_xlfn.TEXTJOIN(", ",TRUE,_xlfn._xlws.FILTER(Tabla29[[#All],[PARTE]],ISNUMBER(SEARCH(Tabla29[[#All],[PCLAVE3]],Tabla8[[#This Row],[DESCRIPCION DE TRABAJO]])),""))</f>
        <v>No Gira, Rotura</v>
      </c>
      <c r="T131" s="34" t="str">
        <f>IF(AND(Tabla8[[#This Row],[PIEZA]]="",Tabla8[[#This Row],[PARTE]]=""),"VACIO","OK")</f>
        <v>VACIO</v>
      </c>
      <c r="U131" s="303" t="str">
        <f>+CONCATENATE(WEEKNUM(Tabla8[[#This Row],[FECHA]]),"-",YEAR(Tabla8[[#This Row],[FECHA]]))</f>
        <v>3-2026</v>
      </c>
    </row>
    <row r="132" spans="1:21" ht="15" customHeight="1">
      <c r="A132" s="22">
        <v>46034</v>
      </c>
      <c r="B132" s="16" t="s">
        <v>179</v>
      </c>
      <c r="C132" s="10" t="s">
        <v>23</v>
      </c>
      <c r="D132" s="381">
        <v>0.60416666666666663</v>
      </c>
      <c r="E132" s="381">
        <v>0.625</v>
      </c>
      <c r="F132" s="380">
        <f>+MOD(Tabla8[[#This Row],[HR. FIN]]-Tabla8[[#This Row],[HR. INICIO]],1)</f>
        <v>2.083333333333337E-2</v>
      </c>
      <c r="G132" s="16" t="s">
        <v>365</v>
      </c>
      <c r="H132" s="343" t="str">
        <f>IFERROR(VLOOKUP(G132,DATOS!$M$2:$N$219,2,FALSE),"")</f>
        <v>Area</v>
      </c>
      <c r="I132" s="115" t="s">
        <v>32</v>
      </c>
      <c r="J132" s="115" t="str">
        <f>+VLOOKUP($I132,Tabla7[#All],2,FALSE)</f>
        <v>PROGRAMADA</v>
      </c>
      <c r="K132" s="114" t="str">
        <f>IF(VLOOKUP(I132,Tabla7[#All],3,FALSE)=0,"",VLOOKUP(I132,Tabla7[#All],3,FALSE))</f>
        <v/>
      </c>
      <c r="L132" s="35" t="s">
        <v>366</v>
      </c>
      <c r="M132" s="35" t="s">
        <v>121</v>
      </c>
      <c r="N132" s="35" t="str" cm="1">
        <f t="array" ref="N132">IFERROR(IF(Tabla8[[#This Row],[P/NP]]="NO PROGRAMADA","",_xlfn.TEXTJOIN(", ",TRUE,_xlfn._xlws.FILTER(Tabla4[[#All],[PIEZA]],ISNUMBER(SEARCH(Tabla4[[#All],[PCLAVE]],Tabla8[[#This Row],[DESCRIPCION DE TRABAJO]])),""))),"")</f>
        <v/>
      </c>
      <c r="O132" s="35" t="str" cm="1">
        <f t="array" ref="O132">_xlfn.TEXTJOIN(", ",TRUE,_xlfn._xlws.FILTER(Tabla28[[#All],[PARTE]],ISNUMBER(SEARCH(Tabla28[[#All],[PCLAVE2]],Tabla8[[#This Row],[DESCRIPCION DE TRABAJO]])),""))</f>
        <v>Mds</v>
      </c>
      <c r="P132" s="303" t="str">
        <f>IFERROR(LEFT(O132, FIND(",", O132)-1), O132)</f>
        <v>Mds</v>
      </c>
      <c r="Q132" s="303" t="str">
        <f>IFERROR(IF(ISERROR(FIND(",", O132, FIND(",", O132)+1)), RIGHT(O132, LEN(O132)-FIND(",", O132)-1), MID(O132, FIND(",", O132)+2, FIND(",", O132, FIND(",", O132)+1)-FIND(",", O132)-2)), "")</f>
        <v/>
      </c>
      <c r="R132" s="303" t="str">
        <f>IFERROR(RIGHT(O132, LEN(O132)-FIND(",", O132, FIND(",", O132)+1)-1), "")</f>
        <v/>
      </c>
      <c r="S132" s="35" t="str" cm="1">
        <f t="array" ref="S132">_xlfn.TEXTJOIN(", ",TRUE,_xlfn._xlws.FILTER(Tabla29[[#All],[PARTE]],ISNUMBER(SEARCH(Tabla29[[#All],[PCLAVE3]],Tabla8[[#This Row],[DESCRIPCION DE TRABAJO]])),""))</f>
        <v>Cambio De Formato</v>
      </c>
      <c r="T132" s="34" t="str">
        <f>IF(AND(Tabla8[[#This Row],[PIEZA]]="",Tabla8[[#This Row],[PARTE]]=""),"VACIO","OK")</f>
        <v>OK</v>
      </c>
      <c r="U132" s="303" t="str">
        <f>+CONCATENATE(WEEKNUM(Tabla8[[#This Row],[FECHA]]),"-",YEAR(Tabla8[[#This Row],[FECHA]]))</f>
        <v>3-2026</v>
      </c>
    </row>
    <row r="133" spans="1:21" ht="15" customHeight="1">
      <c r="A133" s="22">
        <v>46034</v>
      </c>
      <c r="B133" s="16" t="s">
        <v>88</v>
      </c>
      <c r="C133" s="10" t="s">
        <v>36</v>
      </c>
      <c r="D133" s="381">
        <v>0.29166666666666669</v>
      </c>
      <c r="E133" s="381">
        <v>0.3125</v>
      </c>
      <c r="F133" s="380">
        <f>+MOD(Tabla8[[#This Row],[HR. FIN]]-Tabla8[[#This Row],[HR. INICIO]],1)</f>
        <v>2.0833333333333315E-2</v>
      </c>
      <c r="G133" s="16" t="s">
        <v>312</v>
      </c>
      <c r="H133" s="343" t="str">
        <f>IFERROR(VLOOKUP(G133,DATOS!$M$2:$N$219,2,FALSE),"")</f>
        <v>Maquinaria</v>
      </c>
      <c r="I133" s="115" t="s">
        <v>32</v>
      </c>
      <c r="J133" s="115" t="str">
        <f>+VLOOKUP($I133,Tabla7[#All],2,FALSE)</f>
        <v>PROGRAMADA</v>
      </c>
      <c r="K133" s="114" t="str">
        <f>IF(VLOOKUP(I133,Tabla7[#All],3,FALSE)=0,"",VLOOKUP(I133,Tabla7[#All],3,FALSE))</f>
        <v/>
      </c>
      <c r="L133" s="35" t="s">
        <v>367</v>
      </c>
      <c r="M133" s="35" t="s">
        <v>368</v>
      </c>
      <c r="N133" s="35" t="str" cm="1">
        <f t="array" ref="N133">IFERROR(IF(Tabla8[[#This Row],[P/NP]]="NO PROGRAMADA","",_xlfn.TEXTJOIN(", ",TRUE,_xlfn._xlws.FILTER(Tabla4[[#All],[PIEZA]],ISNUMBER(SEARCH(Tabla4[[#All],[PCLAVE]],Tabla8[[#This Row],[DESCRIPCION DE TRABAJO]])),""))),"")</f>
        <v/>
      </c>
      <c r="O133" s="35" t="str" cm="1">
        <f t="array" ref="O133">_xlfn.TEXTJOIN(", ",TRUE,_xlfn._xlws.FILTER(Tabla28[[#All],[PARTE]],ISNUMBER(SEARCH(Tabla28[[#All],[PCLAVE2]],Tabla8[[#This Row],[DESCRIPCION DE TRABAJO]])),""))</f>
        <v/>
      </c>
      <c r="P133" s="303" t="str">
        <f>IFERROR(LEFT(O133, FIND(",", O133)-1), O133)</f>
        <v/>
      </c>
      <c r="Q133" s="303" t="str">
        <f>IFERROR(IF(ISERROR(FIND(",", O133, FIND(",", O133)+1)), RIGHT(O133, LEN(O133)-FIND(",", O133)-1), MID(O133, FIND(",", O133)+2, FIND(",", O133, FIND(",", O133)+1)-FIND(",", O133)-2)), "")</f>
        <v/>
      </c>
      <c r="R133" s="303" t="str">
        <f>IFERROR(RIGHT(O133, LEN(O133)-FIND(",", O133, FIND(",", O133)+1)-1), "")</f>
        <v/>
      </c>
      <c r="S133" s="35" t="str" cm="1">
        <f t="array" ref="S133">_xlfn.TEXTJOIN(", ",TRUE,_xlfn._xlws.FILTER(Tabla29[[#All],[PARTE]],ISNUMBER(SEARCH(Tabla29[[#All],[PCLAVE3]],Tabla8[[#This Row],[DESCRIPCION DE TRABAJO]])),""))</f>
        <v/>
      </c>
      <c r="T133" s="34" t="str">
        <f>IF(AND(Tabla8[[#This Row],[PIEZA]]="",Tabla8[[#This Row],[PARTE]]=""),"VACIO","OK")</f>
        <v>VACIO</v>
      </c>
      <c r="U133" s="303" t="str">
        <f>+CONCATENATE(WEEKNUM(Tabla8[[#This Row],[FECHA]]),"-",YEAR(Tabla8[[#This Row],[FECHA]]))</f>
        <v>3-2026</v>
      </c>
    </row>
    <row r="134" spans="1:21" ht="15" customHeight="1">
      <c r="A134" s="22">
        <v>46034</v>
      </c>
      <c r="B134" s="16" t="s">
        <v>88</v>
      </c>
      <c r="C134" s="10" t="s">
        <v>36</v>
      </c>
      <c r="D134" s="381">
        <v>0.40625</v>
      </c>
      <c r="E134" s="381">
        <v>0.42708333333333331</v>
      </c>
      <c r="F134" s="380">
        <f>+MOD(Tabla8[[#This Row],[HR. FIN]]-Tabla8[[#This Row],[HR. INICIO]],1)</f>
        <v>2.0833333333333315E-2</v>
      </c>
      <c r="G134" s="16" t="s">
        <v>312</v>
      </c>
      <c r="H134" s="343" t="str">
        <f>IFERROR(VLOOKUP(G134,DATOS!$M$2:$N$219,2,FALSE),"")</f>
        <v>Maquinaria</v>
      </c>
      <c r="I134" s="115" t="s">
        <v>32</v>
      </c>
      <c r="J134" s="115" t="str">
        <f>+VLOOKUP($I134,Tabla7[#All],2,FALSE)</f>
        <v>PROGRAMADA</v>
      </c>
      <c r="K134" s="114" t="str">
        <f>IF(VLOOKUP(I134,Tabla7[#All],3,FALSE)=0,"",VLOOKUP(I134,Tabla7[#All],3,FALSE))</f>
        <v/>
      </c>
      <c r="L134" s="35" t="s">
        <v>369</v>
      </c>
      <c r="M134" s="35" t="s">
        <v>370</v>
      </c>
      <c r="N134" s="35" t="str" cm="1">
        <f t="array" ref="N134">IFERROR(IF(Tabla8[[#This Row],[P/NP]]="NO PROGRAMADA","",_xlfn.TEXTJOIN(", ",TRUE,_xlfn._xlws.FILTER(Tabla4[[#All],[PIEZA]],ISNUMBER(SEARCH(Tabla4[[#All],[PCLAVE]],Tabla8[[#This Row],[DESCRIPCION DE TRABAJO]])),""))),"")</f>
        <v/>
      </c>
      <c r="O134" s="35" t="str" cm="1">
        <f t="array" ref="O134">_xlfn.TEXTJOIN(", ",TRUE,_xlfn._xlws.FILTER(Tabla28[[#All],[PARTE]],ISNUMBER(SEARCH(Tabla28[[#All],[PCLAVE2]],Tabla8[[#This Row],[DESCRIPCION DE TRABAJO]])),""))</f>
        <v/>
      </c>
      <c r="P134" s="303" t="str">
        <f>IFERROR(LEFT(O134, FIND(",", O134)-1), O134)</f>
        <v/>
      </c>
      <c r="Q134" s="303" t="str">
        <f>IFERROR(IF(ISERROR(FIND(",", O134, FIND(",", O134)+1)), RIGHT(O134, LEN(O134)-FIND(",", O134)-1), MID(O134, FIND(",", O134)+2, FIND(",", O134, FIND(",", O134)+1)-FIND(",", O134)-2)), "")</f>
        <v/>
      </c>
      <c r="R134" s="303" t="str">
        <f>IFERROR(RIGHT(O134, LEN(O134)-FIND(",", O134, FIND(",", O134)+1)-1), "")</f>
        <v/>
      </c>
      <c r="S134" s="35" t="str" cm="1">
        <f t="array" ref="S134">_xlfn.TEXTJOIN(", ",TRUE,_xlfn._xlws.FILTER(Tabla29[[#All],[PARTE]],ISNUMBER(SEARCH(Tabla29[[#All],[PCLAVE3]],Tabla8[[#This Row],[DESCRIPCION DE TRABAJO]])),""))</f>
        <v/>
      </c>
      <c r="T134" s="34" t="str">
        <f>IF(AND(Tabla8[[#This Row],[PIEZA]]="",Tabla8[[#This Row],[PARTE]]=""),"VACIO","OK")</f>
        <v>VACIO</v>
      </c>
      <c r="U134" s="303" t="str">
        <f>+CONCATENATE(WEEKNUM(Tabla8[[#This Row],[FECHA]]),"-",YEAR(Tabla8[[#This Row],[FECHA]]))</f>
        <v>3-2026</v>
      </c>
    </row>
    <row r="135" spans="1:21" ht="15" customHeight="1">
      <c r="A135" s="22">
        <v>46034</v>
      </c>
      <c r="B135" s="16" t="s">
        <v>191</v>
      </c>
      <c r="C135" s="10" t="s">
        <v>36</v>
      </c>
      <c r="D135" s="381">
        <v>0.28055555555555556</v>
      </c>
      <c r="E135" s="381">
        <v>0.30138888888888887</v>
      </c>
      <c r="F135" s="380">
        <f>+MOD(Tabla8[[#This Row],[HR. FIN]]-Tabla8[[#This Row],[HR. INICIO]],1)</f>
        <v>2.0833333333333315E-2</v>
      </c>
      <c r="G135" s="16" t="s">
        <v>114</v>
      </c>
      <c r="H135" s="343" t="str">
        <f>IFERROR(VLOOKUP(G135,DATOS!$M$2:$N$219,2,FALSE),"")</f>
        <v>Maquinaria</v>
      </c>
      <c r="I135" s="115" t="s">
        <v>32</v>
      </c>
      <c r="J135" s="115" t="str">
        <f>+VLOOKUP($I135,Tabla7[#All],2,FALSE)</f>
        <v>PROGRAMADA</v>
      </c>
      <c r="K135" s="114" t="str">
        <f>IF(VLOOKUP(I135,Tabla7[#All],3,FALSE)=0,"",VLOOKUP(I135,Tabla7[#All],3,FALSE))</f>
        <v/>
      </c>
      <c r="L135" s="35" t="s">
        <v>371</v>
      </c>
      <c r="M135" s="35" t="s">
        <v>121</v>
      </c>
      <c r="N135" s="35" t="str" cm="1">
        <f t="array" ref="N135">IFERROR(IF(Tabla8[[#This Row],[P/NP]]="NO PROGRAMADA","",_xlfn.TEXTJOIN(", ",TRUE,_xlfn._xlws.FILTER(Tabla4[[#All],[PIEZA]],ISNUMBER(SEARCH(Tabla4[[#All],[PCLAVE]],Tabla8[[#This Row],[DESCRIPCION DE TRABAJO]])),""))),"")</f>
        <v/>
      </c>
      <c r="O135" s="35" t="str" cm="1">
        <f t="array" ref="O135">_xlfn.TEXTJOIN(", ",TRUE,_xlfn._xlws.FILTER(Tabla28[[#All],[PARTE]],ISNUMBER(SEARCH(Tabla28[[#All],[PCLAVE2]],Tabla8[[#This Row],[DESCRIPCION DE TRABAJO]])),""))</f>
        <v/>
      </c>
      <c r="P135" s="303" t="str">
        <f>IFERROR(LEFT(O135, FIND(",", O135)-1), O135)</f>
        <v/>
      </c>
      <c r="Q135" s="303" t="str">
        <f>IFERROR(IF(ISERROR(FIND(",", O135, FIND(",", O135)+1)), RIGHT(O135, LEN(O135)-FIND(",", O135)-1), MID(O135, FIND(",", O135)+2, FIND(",", O135, FIND(",", O135)+1)-FIND(",", O135)-2)), "")</f>
        <v/>
      </c>
      <c r="R135" s="303" t="str">
        <f>IFERROR(RIGHT(O135, LEN(O135)-FIND(",", O135, FIND(",", O135)+1)-1), "")</f>
        <v/>
      </c>
      <c r="S135" s="35" t="str" cm="1">
        <f t="array" ref="S135">_xlfn.TEXTJOIN(", ",TRUE,_xlfn._xlws.FILTER(Tabla29[[#All],[PARTE]],ISNUMBER(SEARCH(Tabla29[[#All],[PCLAVE3]],Tabla8[[#This Row],[DESCRIPCION DE TRABAJO]])),""))</f>
        <v/>
      </c>
      <c r="T135" s="34" t="str">
        <f>IF(AND(Tabla8[[#This Row],[PIEZA]]="",Tabla8[[#This Row],[PARTE]]=""),"VACIO","OK")</f>
        <v>VACIO</v>
      </c>
      <c r="U135" s="303" t="str">
        <f>+CONCATENATE(WEEKNUM(Tabla8[[#This Row],[FECHA]]),"-",YEAR(Tabla8[[#This Row],[FECHA]]))</f>
        <v>3-2026</v>
      </c>
    </row>
    <row r="136" spans="1:21" ht="15" customHeight="1">
      <c r="A136" s="22">
        <v>46034</v>
      </c>
      <c r="B136" s="16" t="s">
        <v>88</v>
      </c>
      <c r="C136" s="10" t="s">
        <v>36</v>
      </c>
      <c r="D136" s="381">
        <v>0.49305555555555558</v>
      </c>
      <c r="E136" s="381">
        <v>0.51388888888888884</v>
      </c>
      <c r="F136" s="380">
        <f>+MOD(Tabla8[[#This Row],[HR. FIN]]-Tabla8[[#This Row],[HR. INICIO]],1)</f>
        <v>2.0833333333333259E-2</v>
      </c>
      <c r="G136" s="16" t="s">
        <v>114</v>
      </c>
      <c r="H136" s="343" t="str">
        <f>IFERROR(VLOOKUP(G136,DATOS!$M$2:$N$219,2,FALSE),"")</f>
        <v>Maquinaria</v>
      </c>
      <c r="I136" s="115" t="s">
        <v>32</v>
      </c>
      <c r="J136" s="115" t="str">
        <f>+VLOOKUP($I136,Tabla7[#All],2,FALSE)</f>
        <v>PROGRAMADA</v>
      </c>
      <c r="K136" s="114" t="str">
        <f>IF(VLOOKUP(I136,Tabla7[#All],3,FALSE)=0,"",VLOOKUP(I136,Tabla7[#All],3,FALSE))</f>
        <v/>
      </c>
      <c r="L136" s="35" t="s">
        <v>372</v>
      </c>
      <c r="M136" s="35" t="s">
        <v>373</v>
      </c>
      <c r="N136" s="35" t="str" cm="1">
        <f t="array" ref="N136">IFERROR(IF(Tabla8[[#This Row],[P/NP]]="NO PROGRAMADA","",_xlfn.TEXTJOIN(", ",TRUE,_xlfn._xlws.FILTER(Tabla4[[#All],[PIEZA]],ISNUMBER(SEARCH(Tabla4[[#All],[PCLAVE]],Tabla8[[#This Row],[DESCRIPCION DE TRABAJO]])),""))),"")</f>
        <v/>
      </c>
      <c r="O136" s="35" t="str" cm="1">
        <f t="array" ref="O136">_xlfn.TEXTJOIN(", ",TRUE,_xlfn._xlws.FILTER(Tabla28[[#All],[PARTE]],ISNUMBER(SEARCH(Tabla28[[#All],[PCLAVE2]],Tabla8[[#This Row],[DESCRIPCION DE TRABAJO]])),""))</f>
        <v/>
      </c>
      <c r="P136" s="303" t="str">
        <f>IFERROR(LEFT(O136, FIND(",", O136)-1), O136)</f>
        <v/>
      </c>
      <c r="Q136" s="303" t="str">
        <f>IFERROR(IF(ISERROR(FIND(",", O136, FIND(",", O136)+1)), RIGHT(O136, LEN(O136)-FIND(",", O136)-1), MID(O136, FIND(",", O136)+2, FIND(",", O136, FIND(",", O136)+1)-FIND(",", O136)-2)), "")</f>
        <v/>
      </c>
      <c r="R136" s="303" t="str">
        <f>IFERROR(RIGHT(O136, LEN(O136)-FIND(",", O136, FIND(",", O136)+1)-1), "")</f>
        <v/>
      </c>
      <c r="S136" s="35" t="str" cm="1">
        <f t="array" ref="S136">_xlfn.TEXTJOIN(", ",TRUE,_xlfn._xlws.FILTER(Tabla29[[#All],[PARTE]],ISNUMBER(SEARCH(Tabla29[[#All],[PCLAVE3]],Tabla8[[#This Row],[DESCRIPCION DE TRABAJO]])),""))</f>
        <v/>
      </c>
      <c r="T136" s="34" t="str">
        <f>IF(AND(Tabla8[[#This Row],[PIEZA]]="",Tabla8[[#This Row],[PARTE]]=""),"VACIO","OK")</f>
        <v>VACIO</v>
      </c>
      <c r="U136" s="303" t="str">
        <f>+CONCATENATE(WEEKNUM(Tabla8[[#This Row],[FECHA]]),"-",YEAR(Tabla8[[#This Row],[FECHA]]))</f>
        <v>3-2026</v>
      </c>
    </row>
    <row r="137" spans="1:21" ht="15" customHeight="1">
      <c r="A137" s="22">
        <v>46034</v>
      </c>
      <c r="B137" s="16" t="s">
        <v>131</v>
      </c>
      <c r="C137" s="10" t="s">
        <v>39</v>
      </c>
      <c r="D137" s="381">
        <v>4.6527777777777779E-2</v>
      </c>
      <c r="E137" s="381">
        <v>6.6666666666666666E-2</v>
      </c>
      <c r="F137" s="380">
        <f>+MOD(Tabla8[[#This Row],[HR. FIN]]-Tabla8[[#This Row],[HR. INICIO]],1)</f>
        <v>2.0138888888888887E-2</v>
      </c>
      <c r="G137" s="16" t="s">
        <v>119</v>
      </c>
      <c r="H137" s="343" t="str">
        <f>IFERROR(VLOOKUP(G137,DATOS!$M$2:$N$219,2,FALSE),"")</f>
        <v>Maquinaria</v>
      </c>
      <c r="I137" s="115" t="s">
        <v>32</v>
      </c>
      <c r="J137" s="115" t="str">
        <f>+VLOOKUP($I137,Tabla7[#All],2,FALSE)</f>
        <v>PROGRAMADA</v>
      </c>
      <c r="K137" s="114" t="str">
        <f>IF(VLOOKUP(I137,Tabla7[#All],3,FALSE)=0,"",VLOOKUP(I137,Tabla7[#All],3,FALSE))</f>
        <v/>
      </c>
      <c r="L137" s="35" t="s">
        <v>374</v>
      </c>
      <c r="M137" s="35" t="s">
        <v>121</v>
      </c>
      <c r="N137" s="35" t="str" cm="1">
        <f t="array" ref="N137">IFERROR(IF(Tabla8[[#This Row],[P/NP]]="NO PROGRAMADA","",_xlfn.TEXTJOIN(", ",TRUE,_xlfn._xlws.FILTER(Tabla4[[#All],[PIEZA]],ISNUMBER(SEARCH(Tabla4[[#All],[PCLAVE]],Tabla8[[#This Row],[DESCRIPCION DE TRABAJO]])),""))),"")</f>
        <v/>
      </c>
      <c r="O137" s="35" t="str" cm="1">
        <f t="array" ref="O137">_xlfn.TEXTJOIN(", ",TRUE,_xlfn._xlws.FILTER(Tabla28[[#All],[PARTE]],ISNUMBER(SEARCH(Tabla28[[#All],[PCLAVE2]],Tabla8[[#This Row],[DESCRIPCION DE TRABAJO]])),""))</f>
        <v>Mds</v>
      </c>
      <c r="P137" s="303" t="str">
        <f>IFERROR(LEFT(O137, FIND(",", O137)-1), O137)</f>
        <v>Mds</v>
      </c>
      <c r="Q137" s="303" t="str">
        <f>IFERROR(IF(ISERROR(FIND(",", O137, FIND(",", O137)+1)), RIGHT(O137, LEN(O137)-FIND(",", O137)-1), MID(O137, FIND(",", O137)+2, FIND(",", O137, FIND(",", O137)+1)-FIND(",", O137)-2)), "")</f>
        <v/>
      </c>
      <c r="R137" s="303" t="str">
        <f>IFERROR(RIGHT(O137, LEN(O137)-FIND(",", O137, FIND(",", O137)+1)-1), "")</f>
        <v/>
      </c>
      <c r="S137" s="35" t="str" cm="1">
        <f t="array" ref="S137">_xlfn.TEXTJOIN(", ",TRUE,_xlfn._xlws.FILTER(Tabla29[[#All],[PARTE]],ISNUMBER(SEARCH(Tabla29[[#All],[PCLAVE3]],Tabla8[[#This Row],[DESCRIPCION DE TRABAJO]])),""))</f>
        <v>Cambio De Formato</v>
      </c>
      <c r="T137" s="34" t="str">
        <f>IF(AND(Tabla8[[#This Row],[PIEZA]]="",Tabla8[[#This Row],[PARTE]]=""),"VACIO","OK")</f>
        <v>OK</v>
      </c>
      <c r="U137" s="303" t="str">
        <f>+CONCATENATE(WEEKNUM(Tabla8[[#This Row],[FECHA]]),"-",YEAR(Tabla8[[#This Row],[FECHA]]))</f>
        <v>3-2026</v>
      </c>
    </row>
    <row r="138" spans="1:21" ht="15" customHeight="1">
      <c r="A138" s="22">
        <v>46034</v>
      </c>
      <c r="B138" s="16" t="s">
        <v>191</v>
      </c>
      <c r="C138" s="10" t="s">
        <v>36</v>
      </c>
      <c r="D138" s="381">
        <v>0.30625000000000002</v>
      </c>
      <c r="E138" s="381">
        <v>0.32500000000000001</v>
      </c>
      <c r="F138" s="380">
        <f>+MOD(Tabla8[[#This Row],[HR. FIN]]-Tabla8[[#This Row],[HR. INICIO]],1)</f>
        <v>1.8749999999999989E-2</v>
      </c>
      <c r="G138" s="16" t="s">
        <v>24</v>
      </c>
      <c r="H138" s="343" t="str">
        <f>IFERROR(VLOOKUP(G138,DATOS!$M$2:$N$219,2,FALSE),"")</f>
        <v>Maquinaria</v>
      </c>
      <c r="I138" s="115" t="s">
        <v>32</v>
      </c>
      <c r="J138" s="115" t="str">
        <f>+VLOOKUP($I138,Tabla7[#All],2,FALSE)</f>
        <v>PROGRAMADA</v>
      </c>
      <c r="K138" s="114" t="str">
        <f>IF(VLOOKUP(I138,Tabla7[#All],3,FALSE)=0,"",VLOOKUP(I138,Tabla7[#All],3,FALSE))</f>
        <v/>
      </c>
      <c r="L138" s="35" t="s">
        <v>375</v>
      </c>
      <c r="M138" s="35" t="s">
        <v>121</v>
      </c>
      <c r="N138" s="35" t="str" cm="1">
        <f t="array" ref="N138">IFERROR(IF(Tabla8[[#This Row],[P/NP]]="NO PROGRAMADA","",_xlfn.TEXTJOIN(", ",TRUE,_xlfn._xlws.FILTER(Tabla4[[#All],[PIEZA]],ISNUMBER(SEARCH(Tabla4[[#All],[PCLAVE]],Tabla8[[#This Row],[DESCRIPCION DE TRABAJO]])),""))),"")</f>
        <v/>
      </c>
      <c r="O138" s="35" t="str" cm="1">
        <f t="array" ref="O138">_xlfn.TEXTJOIN(", ",TRUE,_xlfn._xlws.FILTER(Tabla28[[#All],[PARTE]],ISNUMBER(SEARCH(Tabla28[[#All],[PCLAVE2]],Tabla8[[#This Row],[DESCRIPCION DE TRABAJO]])),""))</f>
        <v/>
      </c>
      <c r="P138" s="303" t="str">
        <f>IFERROR(LEFT(O138, FIND(",", O138)-1), O138)</f>
        <v/>
      </c>
      <c r="Q138" s="303" t="str">
        <f>IFERROR(IF(ISERROR(FIND(",", O138, FIND(",", O138)+1)), RIGHT(O138, LEN(O138)-FIND(",", O138)-1), MID(O138, FIND(",", O138)+2, FIND(",", O138, FIND(",", O138)+1)-FIND(",", O138)-2)), "")</f>
        <v/>
      </c>
      <c r="R138" s="303" t="str">
        <f>IFERROR(RIGHT(O138, LEN(O138)-FIND(",", O138, FIND(",", O138)+1)-1), "")</f>
        <v/>
      </c>
      <c r="S138" s="35" t="str" cm="1">
        <f t="array" ref="S138">_xlfn.TEXTJOIN(", ",TRUE,_xlfn._xlws.FILTER(Tabla29[[#All],[PARTE]],ISNUMBER(SEARCH(Tabla29[[#All],[PCLAVE3]],Tabla8[[#This Row],[DESCRIPCION DE TRABAJO]])),""))</f>
        <v/>
      </c>
      <c r="T138" s="34" t="str">
        <f>IF(AND(Tabla8[[#This Row],[PIEZA]]="",Tabla8[[#This Row],[PARTE]]=""),"VACIO","OK")</f>
        <v>VACIO</v>
      </c>
      <c r="U138" s="303" t="str">
        <f>+CONCATENATE(WEEKNUM(Tabla8[[#This Row],[FECHA]]),"-",YEAR(Tabla8[[#This Row],[FECHA]]))</f>
        <v>3-2026</v>
      </c>
    </row>
    <row r="139" spans="1:21" ht="15" customHeight="1">
      <c r="A139" s="22">
        <v>46034</v>
      </c>
      <c r="B139" s="16" t="s">
        <v>131</v>
      </c>
      <c r="C139" s="10" t="s">
        <v>39</v>
      </c>
      <c r="D139" s="381">
        <v>0.89583333333333337</v>
      </c>
      <c r="E139" s="381">
        <v>0.9145833333333333</v>
      </c>
      <c r="F139" s="380">
        <f>+MOD(Tabla8[[#This Row],[HR. FIN]]-Tabla8[[#This Row],[HR. INICIO]],1)</f>
        <v>1.8749999999999933E-2</v>
      </c>
      <c r="G139" s="16" t="s">
        <v>119</v>
      </c>
      <c r="H139" s="343" t="str">
        <f>IFERROR(VLOOKUP(G139,DATOS!$M$2:$N$219,2,FALSE),"")</f>
        <v>Maquinaria</v>
      </c>
      <c r="I139" s="115" t="s">
        <v>32</v>
      </c>
      <c r="J139" s="115" t="str">
        <f>+VLOOKUP($I139,Tabla7[#All],2,FALSE)</f>
        <v>PROGRAMADA</v>
      </c>
      <c r="K139" s="114" t="str">
        <f>IF(VLOOKUP(I139,Tabla7[#All],3,FALSE)=0,"",VLOOKUP(I139,Tabla7[#All],3,FALSE))</f>
        <v/>
      </c>
      <c r="L139" s="35" t="s">
        <v>376</v>
      </c>
      <c r="M139" s="35" t="s">
        <v>121</v>
      </c>
      <c r="N139" s="35" t="str" cm="1">
        <f t="array" ref="N139">IFERROR(IF(Tabla8[[#This Row],[P/NP]]="NO PROGRAMADA","",_xlfn.TEXTJOIN(", ",TRUE,_xlfn._xlws.FILTER(Tabla4[[#All],[PIEZA]],ISNUMBER(SEARCH(Tabla4[[#All],[PCLAVE]],Tabla8[[#This Row],[DESCRIPCION DE TRABAJO]])),""))),"")</f>
        <v>Husillo, Husillo</v>
      </c>
      <c r="O139" s="35" t="str" cm="1">
        <f t="array" ref="O139">_xlfn.TEXTJOIN(", ",TRUE,_xlfn._xlws.FILTER(Tabla28[[#All],[PARTE]],ISNUMBER(SEARCH(Tabla28[[#All],[PCLAVE2]],Tabla8[[#This Row],[DESCRIPCION DE TRABAJO]])),""))</f>
        <v>Mds</v>
      </c>
      <c r="P139" s="303" t="str">
        <f>IFERROR(LEFT(O139, FIND(",", O139)-1), O139)</f>
        <v>Mds</v>
      </c>
      <c r="Q139" s="303" t="str">
        <f>IFERROR(IF(ISERROR(FIND(",", O139, FIND(",", O139)+1)), RIGHT(O139, LEN(O139)-FIND(",", O139)-1), MID(O139, FIND(",", O139)+2, FIND(",", O139, FIND(",", O139)+1)-FIND(",", O139)-2)), "")</f>
        <v/>
      </c>
      <c r="R139" s="303" t="str">
        <f>IFERROR(RIGHT(O139, LEN(O139)-FIND(",", O139, FIND(",", O139)+1)-1), "")</f>
        <v/>
      </c>
      <c r="S139" s="35" t="str" cm="1">
        <f t="array" ref="S139">_xlfn.TEXTJOIN(", ",TRUE,_xlfn._xlws.FILTER(Tabla29[[#All],[PARTE]],ISNUMBER(SEARCH(Tabla29[[#All],[PCLAVE3]],Tabla8[[#This Row],[DESCRIPCION DE TRABAJO]])),""))</f>
        <v>Cambio De Formato, Sustitucion</v>
      </c>
      <c r="T139" s="34" t="str">
        <f>IF(AND(Tabla8[[#This Row],[PIEZA]]="",Tabla8[[#This Row],[PARTE]]=""),"VACIO","OK")</f>
        <v>OK</v>
      </c>
      <c r="U139" s="303" t="str">
        <f>+CONCATENATE(WEEKNUM(Tabla8[[#This Row],[FECHA]]),"-",YEAR(Tabla8[[#This Row],[FECHA]]))</f>
        <v>3-2026</v>
      </c>
    </row>
    <row r="140" spans="1:21" ht="15" customHeight="1">
      <c r="A140" s="22">
        <v>46034</v>
      </c>
      <c r="B140" s="16" t="s">
        <v>131</v>
      </c>
      <c r="C140" s="10" t="s">
        <v>39</v>
      </c>
      <c r="D140" s="381">
        <v>0.9604166666666667</v>
      </c>
      <c r="E140" s="381">
        <v>0.97916666666666663</v>
      </c>
      <c r="F140" s="380">
        <f>+MOD(Tabla8[[#This Row],[HR. FIN]]-Tabla8[[#This Row],[HR. INICIO]],1)</f>
        <v>1.8749999999999933E-2</v>
      </c>
      <c r="G140" s="16" t="s">
        <v>140</v>
      </c>
      <c r="H140" s="343" t="str">
        <f>IFERROR(VLOOKUP(G140,DATOS!$M$2:$N$219,2,FALSE),"")</f>
        <v>Maquinaria</v>
      </c>
      <c r="I140" s="115" t="s">
        <v>57</v>
      </c>
      <c r="J140" s="115" t="str">
        <f>+VLOOKUP($I140,Tabla7[#All],2,FALSE)</f>
        <v>NO PROGRAMADA</v>
      </c>
      <c r="K140" s="114" t="str">
        <f>IF(VLOOKUP(I140,Tabla7[#All],3,FALSE)=0,"",VLOOKUP(I140,Tabla7[#All],3,FALSE))</f>
        <v>MECÁNICA</v>
      </c>
      <c r="L140" s="35" t="s">
        <v>377</v>
      </c>
      <c r="M140" s="35" t="s">
        <v>378</v>
      </c>
      <c r="N140" s="35" t="str" cm="1">
        <f t="array" ref="N140">IFERROR(IF(Tabla8[[#This Row],[P/NP]]="NO PROGRAMADA","",_xlfn.TEXTJOIN(", ",TRUE,_xlfn._xlws.FILTER(Tabla4[[#All],[PIEZA]],ISNUMBER(SEARCH(Tabla4[[#All],[PCLAVE]],Tabla8[[#This Row],[DESCRIPCION DE TRABAJO]])),""))),"")</f>
        <v/>
      </c>
      <c r="O140" s="35" t="str" cm="1">
        <f t="array" ref="O140">_xlfn.TEXTJOIN(", ",TRUE,_xlfn._xlws.FILTER(Tabla28[[#All],[PARTE]],ISNUMBER(SEARCH(Tabla28[[#All],[PCLAVE2]],Tabla8[[#This Row],[DESCRIPCION DE TRABAJO]])),""))</f>
        <v/>
      </c>
      <c r="P140" s="303" t="str">
        <f>IFERROR(LEFT(O140, FIND(",", O140)-1), O140)</f>
        <v/>
      </c>
      <c r="Q140" s="303" t="str">
        <f>IFERROR(IF(ISERROR(FIND(",", O140, FIND(",", O140)+1)), RIGHT(O140, LEN(O140)-FIND(",", O140)-1), MID(O140, FIND(",", O140)+2, FIND(",", O140, FIND(",", O140)+1)-FIND(",", O140)-2)), "")</f>
        <v/>
      </c>
      <c r="R140" s="303" t="str">
        <f>IFERROR(RIGHT(O140, LEN(O140)-FIND(",", O140, FIND(",", O140)+1)-1), "")</f>
        <v/>
      </c>
      <c r="S140" s="35" t="str" cm="1">
        <f t="array" ref="S140">_xlfn.TEXTJOIN(", ",TRUE,_xlfn._xlws.FILTER(Tabla29[[#All],[PARTE]],ISNUMBER(SEARCH(Tabla29[[#All],[PCLAVE3]],Tabla8[[#This Row],[DESCRIPCION DE TRABAJO]])),""))</f>
        <v>No Arrastra</v>
      </c>
      <c r="T140" s="34" t="str">
        <f>IF(AND(Tabla8[[#This Row],[PIEZA]]="",Tabla8[[#This Row],[PARTE]]=""),"VACIO","OK")</f>
        <v>VACIO</v>
      </c>
      <c r="U140" s="303" t="str">
        <f>+CONCATENATE(WEEKNUM(Tabla8[[#This Row],[FECHA]]),"-",YEAR(Tabla8[[#This Row],[FECHA]]))</f>
        <v>3-2026</v>
      </c>
    </row>
    <row r="141" spans="1:21" ht="15" customHeight="1">
      <c r="A141" s="22">
        <v>46034</v>
      </c>
      <c r="B141" s="16" t="s">
        <v>131</v>
      </c>
      <c r="C141" s="10" t="s">
        <v>39</v>
      </c>
      <c r="D141" s="381">
        <v>0.16319444444444445</v>
      </c>
      <c r="E141" s="381">
        <v>0.17916666666666667</v>
      </c>
      <c r="F141" s="380">
        <f>+MOD(Tabla8[[#This Row],[HR. FIN]]-Tabla8[[#This Row],[HR. INICIO]],1)</f>
        <v>1.5972222222222221E-2</v>
      </c>
      <c r="G141" s="16" t="s">
        <v>119</v>
      </c>
      <c r="H141" s="343" t="str">
        <f>IFERROR(VLOOKUP(G141,DATOS!$M$2:$N$219,2,FALSE),"")</f>
        <v>Maquinaria</v>
      </c>
      <c r="I141" s="115" t="s">
        <v>32</v>
      </c>
      <c r="J141" s="115" t="str">
        <f>+VLOOKUP($I141,Tabla7[#All],2,FALSE)</f>
        <v>PROGRAMADA</v>
      </c>
      <c r="K141" s="114" t="str">
        <f>IF(VLOOKUP(I141,Tabla7[#All],3,FALSE)=0,"",VLOOKUP(I141,Tabla7[#All],3,FALSE))</f>
        <v/>
      </c>
      <c r="L141" s="35" t="s">
        <v>379</v>
      </c>
      <c r="M141" s="35" t="s">
        <v>121</v>
      </c>
      <c r="N141" s="35" t="str" cm="1">
        <f t="array" ref="N141">IFERROR(IF(Tabla8[[#This Row],[P/NP]]="NO PROGRAMADA","",_xlfn.TEXTJOIN(", ",TRUE,_xlfn._xlws.FILTER(Tabla4[[#All],[PIEZA]],ISNUMBER(SEARCH(Tabla4[[#All],[PCLAVE]],Tabla8[[#This Row],[DESCRIPCION DE TRABAJO]])),""))),"")</f>
        <v>Husillo, Husillo</v>
      </c>
      <c r="O141" s="35" t="str" cm="1">
        <f t="array" ref="O141">_xlfn.TEXTJOIN(", ",TRUE,_xlfn._xlws.FILTER(Tabla28[[#All],[PARTE]],ISNUMBER(SEARCH(Tabla28[[#All],[PCLAVE2]],Tabla8[[#This Row],[DESCRIPCION DE TRABAJO]])),""))</f>
        <v/>
      </c>
      <c r="P141" s="303" t="str">
        <f>IFERROR(LEFT(O141, FIND(",", O141)-1), O141)</f>
        <v/>
      </c>
      <c r="Q141" s="303" t="str">
        <f>IFERROR(IF(ISERROR(FIND(",", O141, FIND(",", O141)+1)), RIGHT(O141, LEN(O141)-FIND(",", O141)-1), MID(O141, FIND(",", O141)+2, FIND(",", O141, FIND(",", O141)+1)-FIND(",", O141)-2)), "")</f>
        <v/>
      </c>
      <c r="R141" s="303" t="str">
        <f>IFERROR(RIGHT(O141, LEN(O141)-FIND(",", O141, FIND(",", O141)+1)-1), "")</f>
        <v/>
      </c>
      <c r="S141" s="35" t="str" cm="1">
        <f t="array" ref="S141">_xlfn.TEXTJOIN(", ",TRUE,_xlfn._xlws.FILTER(Tabla29[[#All],[PARTE]],ISNUMBER(SEARCH(Tabla29[[#All],[PCLAVE3]],Tabla8[[#This Row],[DESCRIPCION DE TRABAJO]])),""))</f>
        <v>Sustitucion</v>
      </c>
      <c r="T141" s="34" t="str">
        <f>IF(AND(Tabla8[[#This Row],[PIEZA]]="",Tabla8[[#This Row],[PARTE]]=""),"VACIO","OK")</f>
        <v>OK</v>
      </c>
      <c r="U141" s="303" t="str">
        <f>+CONCATENATE(WEEKNUM(Tabla8[[#This Row],[FECHA]]),"-",YEAR(Tabla8[[#This Row],[FECHA]]))</f>
        <v>3-2026</v>
      </c>
    </row>
    <row r="142" spans="1:21" ht="15" customHeight="1">
      <c r="A142" s="22">
        <v>46034</v>
      </c>
      <c r="B142" s="16" t="s">
        <v>131</v>
      </c>
      <c r="C142" s="10" t="s">
        <v>39</v>
      </c>
      <c r="D142" s="381">
        <v>0.92361111111111116</v>
      </c>
      <c r="E142" s="381">
        <v>0.93958333333333333</v>
      </c>
      <c r="F142" s="380">
        <f>+MOD(Tabla8[[#This Row],[HR. FIN]]-Tabla8[[#This Row],[HR. INICIO]],1)</f>
        <v>1.5972222222222165E-2</v>
      </c>
      <c r="G142" s="16" t="s">
        <v>24</v>
      </c>
      <c r="H142" s="343" t="str">
        <f>IFERROR(VLOOKUP(G142,DATOS!$M$2:$N$219,2,FALSE),"")</f>
        <v>Maquinaria</v>
      </c>
      <c r="I142" s="115" t="s">
        <v>54</v>
      </c>
      <c r="J142" s="115" t="str">
        <f>+VLOOKUP($I142,Tabla7[#All],2,FALSE)</f>
        <v>PROGRAMADA</v>
      </c>
      <c r="K142" s="114" t="str">
        <f>IF(VLOOKUP(I142,Tabla7[#All],3,FALSE)=0,"",VLOOKUP(I142,Tabla7[#All],3,FALSE))</f>
        <v/>
      </c>
      <c r="L142" s="35" t="s">
        <v>154</v>
      </c>
      <c r="M142" s="35" t="s">
        <v>121</v>
      </c>
      <c r="N142" s="35" t="str" cm="1">
        <f t="array" ref="N142">IFERROR(IF(Tabla8[[#This Row],[P/NP]]="NO PROGRAMADA","",_xlfn.TEXTJOIN(", ",TRUE,_xlfn._xlws.FILTER(Tabla4[[#All],[PIEZA]],ISNUMBER(SEARCH(Tabla4[[#All],[PCLAVE]],Tabla8[[#This Row],[DESCRIPCION DE TRABAJO]])),""))),"")</f>
        <v/>
      </c>
      <c r="O142" s="35" t="str" cm="1">
        <f t="array" ref="O142">_xlfn.TEXTJOIN(", ",TRUE,_xlfn._xlws.FILTER(Tabla28[[#All],[PARTE]],ISNUMBER(SEARCH(Tabla28[[#All],[PCLAVE2]],Tabla8[[#This Row],[DESCRIPCION DE TRABAJO]])),""))</f>
        <v/>
      </c>
      <c r="P142" s="303" t="str">
        <f>IFERROR(LEFT(O142, FIND(",", O142)-1), O142)</f>
        <v/>
      </c>
      <c r="Q142" s="303" t="str">
        <f>IFERROR(IF(ISERROR(FIND(",", O142, FIND(",", O142)+1)), RIGHT(O142, LEN(O142)-FIND(",", O142)-1), MID(O142, FIND(",", O142)+2, FIND(",", O142, FIND(",", O142)+1)-FIND(",", O142)-2)), "")</f>
        <v/>
      </c>
      <c r="R142" s="303" t="str">
        <f>IFERROR(RIGHT(O142, LEN(O142)-FIND(",", O142, FIND(",", O142)+1)-1), "")</f>
        <v/>
      </c>
      <c r="S142" s="35" t="str" cm="1">
        <f t="array" ref="S142">_xlfn.TEXTJOIN(", ",TRUE,_xlfn._xlws.FILTER(Tabla29[[#All],[PARTE]],ISNUMBER(SEARCH(Tabla29[[#All],[PCLAVE3]],Tabla8[[#This Row],[DESCRIPCION DE TRABAJO]])),""))</f>
        <v/>
      </c>
      <c r="T142" s="34" t="str">
        <f>IF(AND(Tabla8[[#This Row],[PIEZA]]="",Tabla8[[#This Row],[PARTE]]=""),"VACIO","OK")</f>
        <v>VACIO</v>
      </c>
      <c r="U142" s="303" t="str">
        <f>+CONCATENATE(WEEKNUM(Tabla8[[#This Row],[FECHA]]),"-",YEAR(Tabla8[[#This Row],[FECHA]]))</f>
        <v>3-2026</v>
      </c>
    </row>
    <row r="143" spans="1:21" ht="15" customHeight="1">
      <c r="A143" s="22">
        <v>46034</v>
      </c>
      <c r="B143" s="16" t="s">
        <v>131</v>
      </c>
      <c r="C143" s="10" t="s">
        <v>39</v>
      </c>
      <c r="D143" s="381">
        <v>6.805555555555555E-2</v>
      </c>
      <c r="E143" s="381">
        <v>8.3333333333333329E-2</v>
      </c>
      <c r="F143" s="380">
        <f>+MOD(Tabla8[[#This Row],[HR. FIN]]-Tabla8[[#This Row],[HR. INICIO]],1)</f>
        <v>1.5277777777777779E-2</v>
      </c>
      <c r="G143" s="16" t="s">
        <v>140</v>
      </c>
      <c r="H143" s="343" t="str">
        <f>IFERROR(VLOOKUP(G143,DATOS!$M$2:$N$219,2,FALSE),"")</f>
        <v>Maquinaria</v>
      </c>
      <c r="I143" s="115" t="s">
        <v>57</v>
      </c>
      <c r="J143" s="115" t="str">
        <f>+VLOOKUP($I143,Tabla7[#All],2,FALSE)</f>
        <v>NO PROGRAMADA</v>
      </c>
      <c r="K143" s="114" t="str">
        <f>IF(VLOOKUP(I143,Tabla7[#All],3,FALSE)=0,"",VLOOKUP(I143,Tabla7[#All],3,FALSE))</f>
        <v>MECÁNICA</v>
      </c>
      <c r="L143" s="35" t="s">
        <v>380</v>
      </c>
      <c r="M143" s="35" t="s">
        <v>381</v>
      </c>
      <c r="N143" s="35" t="str" cm="1">
        <f t="array" ref="N143">IFERROR(IF(Tabla8[[#This Row],[P/NP]]="NO PROGRAMADA","",_xlfn.TEXTJOIN(", ",TRUE,_xlfn._xlws.FILTER(Tabla4[[#All],[PIEZA]],ISNUMBER(SEARCH(Tabla4[[#All],[PCLAVE]],Tabla8[[#This Row],[DESCRIPCION DE TRABAJO]])),""))),"")</f>
        <v/>
      </c>
      <c r="O143" s="35" t="str" cm="1">
        <f t="array" ref="O143">_xlfn.TEXTJOIN(", ",TRUE,_xlfn._xlws.FILTER(Tabla28[[#All],[PARTE]],ISNUMBER(SEARCH(Tabla28[[#All],[PCLAVE2]],Tabla8[[#This Row],[DESCRIPCION DE TRABAJO]])),""))</f>
        <v/>
      </c>
      <c r="P143" s="303" t="str">
        <f>IFERROR(LEFT(O143, FIND(",", O143)-1), O143)</f>
        <v/>
      </c>
      <c r="Q143" s="303" t="str">
        <f>IFERROR(IF(ISERROR(FIND(",", O143, FIND(",", O143)+1)), RIGHT(O143, LEN(O143)-FIND(",", O143)-1), MID(O143, FIND(",", O143)+2, FIND(",", O143, FIND(",", O143)+1)-FIND(",", O143)-2)), "")</f>
        <v/>
      </c>
      <c r="R143" s="303" t="str">
        <f>IFERROR(RIGHT(O143, LEN(O143)-FIND(",", O143, FIND(",", O143)+1)-1), "")</f>
        <v/>
      </c>
      <c r="S143" s="35" t="str" cm="1">
        <f t="array" ref="S143">_xlfn.TEXTJOIN(", ",TRUE,_xlfn._xlws.FILTER(Tabla29[[#All],[PARTE]],ISNUMBER(SEARCH(Tabla29[[#All],[PCLAVE3]],Tabla8[[#This Row],[DESCRIPCION DE TRABAJO]])),""))</f>
        <v>Mancha Etiquetas</v>
      </c>
      <c r="T143" s="34" t="str">
        <f>IF(AND(Tabla8[[#This Row],[PIEZA]]="",Tabla8[[#This Row],[PARTE]]=""),"VACIO","OK")</f>
        <v>VACIO</v>
      </c>
      <c r="U143" s="303" t="str">
        <f>+CONCATENATE(WEEKNUM(Tabla8[[#This Row],[FECHA]]),"-",YEAR(Tabla8[[#This Row],[FECHA]]))</f>
        <v>3-2026</v>
      </c>
    </row>
    <row r="144" spans="1:21" ht="15" customHeight="1">
      <c r="A144" s="22">
        <v>46034</v>
      </c>
      <c r="B144" s="16" t="s">
        <v>88</v>
      </c>
      <c r="C144" s="10" t="s">
        <v>36</v>
      </c>
      <c r="D144" s="381">
        <v>0.53472222222222221</v>
      </c>
      <c r="E144" s="381">
        <v>0.54861111111111116</v>
      </c>
      <c r="F144" s="380">
        <f>+MOD(Tabla8[[#This Row],[HR. FIN]]-Tabla8[[#This Row],[HR. INICIO]],1)</f>
        <v>1.3888888888888951E-2</v>
      </c>
      <c r="G144" s="16" t="s">
        <v>382</v>
      </c>
      <c r="H144" s="343" t="str">
        <f>IFERROR(VLOOKUP(G144,DATOS!$M$2:$N$219,2,FALSE),"")</f>
        <v>Maquinaria</v>
      </c>
      <c r="I144" s="115" t="s">
        <v>32</v>
      </c>
      <c r="J144" s="115" t="str">
        <f>+VLOOKUP($I144,Tabla7[#All],2,FALSE)</f>
        <v>PROGRAMADA</v>
      </c>
      <c r="K144" s="114" t="str">
        <f>IF(VLOOKUP(I144,Tabla7[#All],3,FALSE)=0,"",VLOOKUP(I144,Tabla7[#All],3,FALSE))</f>
        <v/>
      </c>
      <c r="L144" s="35" t="s">
        <v>383</v>
      </c>
      <c r="M144" s="35" t="s">
        <v>384</v>
      </c>
      <c r="N144" s="35" t="str" cm="1">
        <f t="array" ref="N144">IFERROR(IF(Tabla8[[#This Row],[P/NP]]="NO PROGRAMADA","",_xlfn.TEXTJOIN(", ",TRUE,_xlfn._xlws.FILTER(Tabla4[[#All],[PIEZA]],ISNUMBER(SEARCH(Tabla4[[#All],[PCLAVE]],Tabla8[[#This Row],[DESCRIPCION DE TRABAJO]])),""))),"")</f>
        <v/>
      </c>
      <c r="O144" s="35" t="str" cm="1">
        <f t="array" ref="O144">_xlfn.TEXTJOIN(", ",TRUE,_xlfn._xlws.FILTER(Tabla28[[#All],[PARTE]],ISNUMBER(SEARCH(Tabla28[[#All],[PCLAVE2]],Tabla8[[#This Row],[DESCRIPCION DE TRABAJO]])),""))</f>
        <v/>
      </c>
      <c r="P144" s="303" t="str">
        <f>IFERROR(LEFT(O144, FIND(",", O144)-1), O144)</f>
        <v/>
      </c>
      <c r="Q144" s="303" t="str">
        <f>IFERROR(IF(ISERROR(FIND(",", O144, FIND(",", O144)+1)), RIGHT(O144, LEN(O144)-FIND(",", O144)-1), MID(O144, FIND(",", O144)+2, FIND(",", O144, FIND(",", O144)+1)-FIND(",", O144)-2)), "")</f>
        <v/>
      </c>
      <c r="R144" s="303" t="str">
        <f>IFERROR(RIGHT(O144, LEN(O144)-FIND(",", O144, FIND(",", O144)+1)-1), "")</f>
        <v/>
      </c>
      <c r="S144" s="35" t="str" cm="1">
        <f t="array" ref="S144">_xlfn.TEXTJOIN(", ",TRUE,_xlfn._xlws.FILTER(Tabla29[[#All],[PARTE]],ISNUMBER(SEARCH(Tabla29[[#All],[PCLAVE3]],Tabla8[[#This Row],[DESCRIPCION DE TRABAJO]])),""))</f>
        <v/>
      </c>
      <c r="T144" s="34" t="str">
        <f>IF(AND(Tabla8[[#This Row],[PIEZA]]="",Tabla8[[#This Row],[PARTE]]=""),"VACIO","OK")</f>
        <v>VACIO</v>
      </c>
      <c r="U144" s="303" t="str">
        <f>+CONCATENATE(WEEKNUM(Tabla8[[#This Row],[FECHA]]),"-",YEAR(Tabla8[[#This Row],[FECHA]]))</f>
        <v>3-2026</v>
      </c>
    </row>
    <row r="145" spans="1:21" ht="15" customHeight="1">
      <c r="A145" s="22">
        <v>46034</v>
      </c>
      <c r="B145" s="16" t="s">
        <v>191</v>
      </c>
      <c r="C145" s="10" t="s">
        <v>36</v>
      </c>
      <c r="D145" s="381">
        <v>0.32847222222222222</v>
      </c>
      <c r="E145" s="381">
        <v>0.34097222222222223</v>
      </c>
      <c r="F145" s="380">
        <f>+MOD(Tabla8[[#This Row],[HR. FIN]]-Tabla8[[#This Row],[HR. INICIO]],1)</f>
        <v>1.2500000000000011E-2</v>
      </c>
      <c r="G145" s="16" t="s">
        <v>270</v>
      </c>
      <c r="H145" s="343" t="str">
        <f>IFERROR(VLOOKUP(G145,DATOS!$M$2:$N$219,2,FALSE),"")</f>
        <v>Maquinaria</v>
      </c>
      <c r="I145" s="115" t="s">
        <v>32</v>
      </c>
      <c r="J145" s="115" t="str">
        <f>+VLOOKUP($I145,Tabla7[#All],2,FALSE)</f>
        <v>PROGRAMADA</v>
      </c>
      <c r="K145" s="114" t="str">
        <f>IF(VLOOKUP(I145,Tabla7[#All],3,FALSE)=0,"",VLOOKUP(I145,Tabla7[#All],3,FALSE))</f>
        <v/>
      </c>
      <c r="L145" s="35" t="s">
        <v>385</v>
      </c>
      <c r="M145" s="35" t="s">
        <v>121</v>
      </c>
      <c r="N145" s="35" t="str" cm="1">
        <f t="array" ref="N145">IFERROR(IF(Tabla8[[#This Row],[P/NP]]="NO PROGRAMADA","",_xlfn.TEXTJOIN(", ",TRUE,_xlfn._xlws.FILTER(Tabla4[[#All],[PIEZA]],ISNUMBER(SEARCH(Tabla4[[#All],[PCLAVE]],Tabla8[[#This Row],[DESCRIPCION DE TRABAJO]])),""))),"")</f>
        <v>Plato</v>
      </c>
      <c r="O145" s="35" t="str" cm="1">
        <f t="array" ref="O145">_xlfn.TEXTJOIN(", ",TRUE,_xlfn._xlws.FILTER(Tabla28[[#All],[PARTE]],ISNUMBER(SEARCH(Tabla28[[#All],[PCLAVE2]],Tabla8[[#This Row],[DESCRIPCION DE TRABAJO]])),""))</f>
        <v>Sammfill</v>
      </c>
      <c r="P145" s="303" t="str">
        <f>IFERROR(LEFT(O145, FIND(",", O145)-1), O145)</f>
        <v>Sammfill</v>
      </c>
      <c r="Q145" s="303" t="str">
        <f>IFERROR(IF(ISERROR(FIND(",", O145, FIND(",", O145)+1)), RIGHT(O145, LEN(O145)-FIND(",", O145)-1), MID(O145, FIND(",", O145)+2, FIND(",", O145, FIND(",", O145)+1)-FIND(",", O145)-2)), "")</f>
        <v/>
      </c>
      <c r="R145" s="303" t="str">
        <f>IFERROR(RIGHT(O145, LEN(O145)-FIND(",", O145, FIND(",", O145)+1)-1), "")</f>
        <v/>
      </c>
      <c r="S145" s="35" t="str" cm="1">
        <f t="array" ref="S145">_xlfn.TEXTJOIN(", ",TRUE,_xlfn._xlws.FILTER(Tabla29[[#All],[PARTE]],ISNUMBER(SEARCH(Tabla29[[#All],[PCLAVE3]],Tabla8[[#This Row],[DESCRIPCION DE TRABAJO]])),""))</f>
        <v/>
      </c>
      <c r="T145" s="34" t="str">
        <f>IF(AND(Tabla8[[#This Row],[PIEZA]]="",Tabla8[[#This Row],[PARTE]]=""),"VACIO","OK")</f>
        <v>OK</v>
      </c>
      <c r="U145" s="303" t="str">
        <f>+CONCATENATE(WEEKNUM(Tabla8[[#This Row],[FECHA]]),"-",YEAR(Tabla8[[#This Row],[FECHA]]))</f>
        <v>3-2026</v>
      </c>
    </row>
    <row r="146" spans="1:21" ht="15" customHeight="1">
      <c r="A146" s="22">
        <v>46034</v>
      </c>
      <c r="B146" s="16" t="s">
        <v>131</v>
      </c>
      <c r="C146" s="10" t="s">
        <v>39</v>
      </c>
      <c r="D146" s="381">
        <v>0.94444444444444442</v>
      </c>
      <c r="E146" s="381">
        <v>0.95486111111111116</v>
      </c>
      <c r="F146" s="380">
        <f>+MOD(Tabla8[[#This Row],[HR. FIN]]-Tabla8[[#This Row],[HR. INICIO]],1)</f>
        <v>1.0416666666666741E-2</v>
      </c>
      <c r="G146" s="16" t="s">
        <v>81</v>
      </c>
      <c r="H146" s="343" t="str">
        <f>IFERROR(VLOOKUP(G146,DATOS!$M$2:$N$219,2,FALSE),"")</f>
        <v>Maquinaria</v>
      </c>
      <c r="I146" s="115" t="s">
        <v>57</v>
      </c>
      <c r="J146" s="115" t="str">
        <f>+VLOOKUP($I146,Tabla7[#All],2,FALSE)</f>
        <v>NO PROGRAMADA</v>
      </c>
      <c r="K146" s="114" t="str">
        <f>IF(VLOOKUP(I146,Tabla7[#All],3,FALSE)=0,"",VLOOKUP(I146,Tabla7[#All],3,FALSE))</f>
        <v>MECÁNICA</v>
      </c>
      <c r="L146" s="35" t="s">
        <v>386</v>
      </c>
      <c r="M146" s="35" t="s">
        <v>387</v>
      </c>
      <c r="N146" s="35" t="str" cm="1">
        <f t="array" ref="N146">IFERROR(IF(Tabla8[[#This Row],[P/NP]]="NO PROGRAMADA","",_xlfn.TEXTJOIN(", ",TRUE,_xlfn._xlws.FILTER(Tabla4[[#All],[PIEZA]],ISNUMBER(SEARCH(Tabla4[[#All],[PCLAVE]],Tabla8[[#This Row],[DESCRIPCION DE TRABAJO]])),""))),"")</f>
        <v/>
      </c>
      <c r="O146" s="35" t="str" cm="1">
        <f t="array" ref="O146">_xlfn.TEXTJOIN(", ",TRUE,_xlfn._xlws.FILTER(Tabla28[[#All],[PARTE]],ISNUMBER(SEARCH(Tabla28[[#All],[PCLAVE2]],Tabla8[[#This Row],[DESCRIPCION DE TRABAJO]])),""))</f>
        <v/>
      </c>
      <c r="P146" s="303" t="str">
        <f>IFERROR(LEFT(O146, FIND(",", O146)-1), O146)</f>
        <v/>
      </c>
      <c r="Q146" s="303" t="str">
        <f>IFERROR(IF(ISERROR(FIND(",", O146, FIND(",", O146)+1)), RIGHT(O146, LEN(O146)-FIND(",", O146)-1), MID(O146, FIND(",", O146)+2, FIND(",", O146, FIND(",", O146)+1)-FIND(",", O146)-2)), "")</f>
        <v/>
      </c>
      <c r="R146" s="303" t="str">
        <f>IFERROR(RIGHT(O146, LEN(O146)-FIND(",", O146, FIND(",", O146)+1)-1), "")</f>
        <v/>
      </c>
      <c r="S146" s="35" t="str" cm="1">
        <f t="array" ref="S146">_xlfn.TEXTJOIN(", ",TRUE,_xlfn._xlws.FILTER(Tabla29[[#All],[PARTE]],ISNUMBER(SEARCH(Tabla29[[#All],[PCLAVE3]],Tabla8[[#This Row],[DESCRIPCION DE TRABAJO]])),""))</f>
        <v>Laminado, No Corta</v>
      </c>
      <c r="T146" s="34" t="str">
        <f>IF(AND(Tabla8[[#This Row],[PIEZA]]="",Tabla8[[#This Row],[PARTE]]=""),"VACIO","OK")</f>
        <v>VACIO</v>
      </c>
      <c r="U146" s="303" t="str">
        <f>+CONCATENATE(WEEKNUM(Tabla8[[#This Row],[FECHA]]),"-",YEAR(Tabla8[[#This Row],[FECHA]]))</f>
        <v>3-2026</v>
      </c>
    </row>
    <row r="147" spans="1:21" ht="15" customHeight="1">
      <c r="A147" s="22">
        <v>46034</v>
      </c>
      <c r="B147" s="16" t="s">
        <v>88</v>
      </c>
      <c r="C147" s="10" t="s">
        <v>36</v>
      </c>
      <c r="D147" s="381">
        <v>0.33333333333333331</v>
      </c>
      <c r="E147" s="381">
        <v>0.34375</v>
      </c>
      <c r="F147" s="380">
        <f>+MOD(Tabla8[[#This Row],[HR. FIN]]-Tabla8[[#This Row],[HR. INICIO]],1)</f>
        <v>1.0416666666666685E-2</v>
      </c>
      <c r="G147" s="16" t="s">
        <v>119</v>
      </c>
      <c r="H147" s="343" t="str">
        <f>IFERROR(VLOOKUP(G147,DATOS!$M$2:$N$219,2,FALSE),"")</f>
        <v>Maquinaria</v>
      </c>
      <c r="I147" s="115" t="s">
        <v>54</v>
      </c>
      <c r="J147" s="115" t="str">
        <f>+VLOOKUP($I147,Tabla7[#All],2,FALSE)</f>
        <v>PROGRAMADA</v>
      </c>
      <c r="K147" s="114" t="str">
        <f>IF(VLOOKUP(I147,Tabla7[#All],3,FALSE)=0,"",VLOOKUP(I147,Tabla7[#All],3,FALSE))</f>
        <v/>
      </c>
      <c r="L147" s="35" t="s">
        <v>388</v>
      </c>
      <c r="M147" s="35" t="s">
        <v>389</v>
      </c>
      <c r="N147" s="35" t="str" cm="1">
        <f t="array" ref="N147">IFERROR(IF(Tabla8[[#This Row],[P/NP]]="NO PROGRAMADA","",_xlfn.TEXTJOIN(", ",TRUE,_xlfn._xlws.FILTER(Tabla4[[#All],[PIEZA]],ISNUMBER(SEARCH(Tabla4[[#All],[PCLAVE]],Tabla8[[#This Row],[DESCRIPCION DE TRABAJO]])),""))),"")</f>
        <v/>
      </c>
      <c r="O147" s="35" t="str" cm="1">
        <f t="array" ref="O147">_xlfn.TEXTJOIN(", ",TRUE,_xlfn._xlws.FILTER(Tabla28[[#All],[PARTE]],ISNUMBER(SEARCH(Tabla28[[#All],[PCLAVE2]],Tabla8[[#This Row],[DESCRIPCION DE TRABAJO]])),""))</f>
        <v>Tanque, Temperadora</v>
      </c>
      <c r="P147" s="303" t="str">
        <f>IFERROR(LEFT(O147, FIND(",", O147)-1), O147)</f>
        <v>Tanque</v>
      </c>
      <c r="Q147" s="303" t="str">
        <f>IFERROR(IF(ISERROR(FIND(",", O147, FIND(",", O147)+1)), RIGHT(O147, LEN(O147)-FIND(",", O147)-1), MID(O147, FIND(",", O147)+2, FIND(",", O147, FIND(",", O147)+1)-FIND(",", O147)-2)), "")</f>
        <v>Temperadora</v>
      </c>
      <c r="R147" s="303" t="str">
        <f>IFERROR(RIGHT(O147, LEN(O147)-FIND(",", O147, FIND(",", O147)+1)-1), "")</f>
        <v/>
      </c>
      <c r="S147" s="35" t="str" cm="1">
        <f t="array" ref="S147">_xlfn.TEXTJOIN(", ",TRUE,_xlfn._xlws.FILTER(Tabla29[[#All],[PARTE]],ISNUMBER(SEARCH(Tabla29[[#All],[PCLAVE3]],Tabla8[[#This Row],[DESCRIPCION DE TRABAJO]])),""))</f>
        <v>Nivel</v>
      </c>
      <c r="T147" s="34" t="str">
        <f>IF(AND(Tabla8[[#This Row],[PIEZA]]="",Tabla8[[#This Row],[PARTE]]=""),"VACIO","OK")</f>
        <v>OK</v>
      </c>
      <c r="U147" s="303" t="str">
        <f>+CONCATENATE(WEEKNUM(Tabla8[[#This Row],[FECHA]]),"-",YEAR(Tabla8[[#This Row],[FECHA]]))</f>
        <v>3-2026</v>
      </c>
    </row>
    <row r="148" spans="1:21" ht="15" customHeight="1">
      <c r="A148" s="22">
        <v>46034</v>
      </c>
      <c r="B148" s="16" t="s">
        <v>131</v>
      </c>
      <c r="C148" s="10" t="s">
        <v>39</v>
      </c>
      <c r="D148" s="381">
        <v>8.3333333333333329E-2</v>
      </c>
      <c r="E148" s="381">
        <v>9.166666666666666E-2</v>
      </c>
      <c r="F148" s="380">
        <f>+MOD(Tabla8[[#This Row],[HR. FIN]]-Tabla8[[#This Row],[HR. INICIO]],1)</f>
        <v>8.3333333333333315E-3</v>
      </c>
      <c r="G148" s="16" t="s">
        <v>140</v>
      </c>
      <c r="H148" s="343" t="str">
        <f>IFERROR(VLOOKUP(G148,DATOS!$M$2:$N$219,2,FALSE),"")</f>
        <v>Maquinaria</v>
      </c>
      <c r="I148" s="115" t="s">
        <v>390</v>
      </c>
      <c r="J148" s="115" t="str">
        <f>+VLOOKUP($I148,Tabla7[#All],2,FALSE)</f>
        <v>PROGRAMADA</v>
      </c>
      <c r="K148" s="114" t="str">
        <f>IF(VLOOKUP(I148,Tabla7[#All],3,FALSE)=0,"",VLOOKUP(I148,Tabla7[#All],3,FALSE))</f>
        <v/>
      </c>
      <c r="L148" s="35" t="s">
        <v>391</v>
      </c>
      <c r="M148" s="35" t="s">
        <v>121</v>
      </c>
      <c r="N148" s="35" t="str" cm="1">
        <f t="array" ref="N148">IFERROR(IF(Tabla8[[#This Row],[P/NP]]="NO PROGRAMADA","",_xlfn.TEXTJOIN(", ",TRUE,_xlfn._xlws.FILTER(Tabla4[[#All],[PIEZA]],ISNUMBER(SEARCH(Tabla4[[#All],[PCLAVE]],Tabla8[[#This Row],[DESCRIPCION DE TRABAJO]])),""))),"")</f>
        <v>Producto</v>
      </c>
      <c r="O148" s="35" t="str" cm="1">
        <f t="array" ref="O148">_xlfn.TEXTJOIN(", ",TRUE,_xlfn._xlws.FILTER(Tabla28[[#All],[PARTE]],ISNUMBER(SEARCH(Tabla28[[#All],[PCLAVE2]],Tabla8[[#This Row],[DESCRIPCION DE TRABAJO]])),""))</f>
        <v/>
      </c>
      <c r="P148" s="303" t="str">
        <f>IFERROR(LEFT(O148, FIND(",", O148)-1), O148)</f>
        <v/>
      </c>
      <c r="Q148" s="303" t="str">
        <f>IFERROR(IF(ISERROR(FIND(",", O148, FIND(",", O148)+1)), RIGHT(O148, LEN(O148)-FIND(",", O148)-1), MID(O148, FIND(",", O148)+2, FIND(",", O148, FIND(",", O148)+1)-FIND(",", O148)-2)), "")</f>
        <v/>
      </c>
      <c r="R148" s="303" t="str">
        <f>IFERROR(RIGHT(O148, LEN(O148)-FIND(",", O148, FIND(",", O148)+1)-1), "")</f>
        <v/>
      </c>
      <c r="S148" s="35" t="str" cm="1">
        <f t="array" ref="S148">_xlfn.TEXTJOIN(", ",TRUE,_xlfn._xlws.FILTER(Tabla29[[#All],[PARTE]],ISNUMBER(SEARCH(Tabla29[[#All],[PCLAVE3]],Tabla8[[#This Row],[DESCRIPCION DE TRABAJO]])),""))</f>
        <v/>
      </c>
      <c r="T148" s="34" t="str">
        <f>IF(AND(Tabla8[[#This Row],[PIEZA]]="",Tabla8[[#This Row],[PARTE]]=""),"VACIO","OK")</f>
        <v>OK</v>
      </c>
      <c r="U148" s="303" t="str">
        <f>+CONCATENATE(WEEKNUM(Tabla8[[#This Row],[FECHA]]),"-",YEAR(Tabla8[[#This Row],[FECHA]]))</f>
        <v>3-2026</v>
      </c>
    </row>
    <row r="149" spans="1:21" ht="15" customHeight="1">
      <c r="A149" s="22">
        <v>46035</v>
      </c>
      <c r="B149" s="16" t="s">
        <v>88</v>
      </c>
      <c r="C149" s="10" t="s">
        <v>36</v>
      </c>
      <c r="D149" s="381" t="s">
        <v>392</v>
      </c>
      <c r="E149" s="381" t="s">
        <v>393</v>
      </c>
      <c r="F149" s="380">
        <f>+MOD(Tabla8[[#This Row],[HR. FIN]]-Tabla8[[#This Row],[HR. INICIO]],1)</f>
        <v>8.3333333333333259E-2</v>
      </c>
      <c r="G149" s="16" t="s">
        <v>182</v>
      </c>
      <c r="H149" s="343" t="str">
        <f>IFERROR(VLOOKUP(G149,DATOS!$M$2:$N$219,2,FALSE),"")</f>
        <v>Maquinaria</v>
      </c>
      <c r="I149" s="115" t="s">
        <v>32</v>
      </c>
      <c r="J149" s="115" t="str">
        <f>+VLOOKUP($I149,Tabla7[#All],2,FALSE)</f>
        <v>PROGRAMADA</v>
      </c>
      <c r="K149" s="114" t="str">
        <f>IF(VLOOKUP(I149,Tabla7[#All],3,FALSE)=0,"",VLOOKUP(I149,Tabla7[#All],3,FALSE))</f>
        <v/>
      </c>
      <c r="L149" s="35" t="s">
        <v>394</v>
      </c>
      <c r="M149" s="35" t="s">
        <v>395</v>
      </c>
      <c r="N149" s="35" t="str" cm="1">
        <f t="array" ref="N149">IFERROR(IF(Tabla8[[#This Row],[P/NP]]="NO PROGRAMADA","",_xlfn.TEXTJOIN(", ",TRUE,_xlfn._xlws.FILTER(Tabla4[[#All],[PIEZA]],ISNUMBER(SEARCH(Tabla4[[#All],[PCLAVE]],Tabla8[[#This Row],[DESCRIPCION DE TRABAJO]])),""))),"")</f>
        <v/>
      </c>
      <c r="O149" s="35" t="str" cm="1">
        <f t="array" ref="O149">_xlfn.TEXTJOIN(", ",TRUE,_xlfn._xlws.FILTER(Tabla28[[#All],[PARTE]],ISNUMBER(SEARCH(Tabla28[[#All],[PCLAVE2]],Tabla8[[#This Row],[DESCRIPCION DE TRABAJO]])),""))</f>
        <v/>
      </c>
      <c r="P149" s="303" t="str">
        <f>IFERROR(LEFT(O149, FIND(",", O149)-1), O149)</f>
        <v/>
      </c>
      <c r="Q149" s="303" t="str">
        <f>IFERROR(IF(ISERROR(FIND(",", O149, FIND(",", O149)+1)), RIGHT(O149, LEN(O149)-FIND(",", O149)-1), MID(O149, FIND(",", O149)+2, FIND(",", O149, FIND(",", O149)+1)-FIND(",", O149)-2)), "")</f>
        <v/>
      </c>
      <c r="R149" s="303" t="str">
        <f>IFERROR(RIGHT(O149, LEN(O149)-FIND(",", O149, FIND(",", O149)+1)-1), "")</f>
        <v/>
      </c>
      <c r="S149" s="35" t="str" cm="1">
        <f t="array" ref="S149">_xlfn.TEXTJOIN(", ",TRUE,_xlfn._xlws.FILTER(Tabla29[[#All],[PARTE]],ISNUMBER(SEARCH(Tabla29[[#All],[PCLAVE3]],Tabla8[[#This Row],[DESCRIPCION DE TRABAJO]])),""))</f>
        <v>Cambio De Formato</v>
      </c>
      <c r="T149" s="34" t="str">
        <f>IF(AND(Tabla8[[#This Row],[PIEZA]]="",Tabla8[[#This Row],[PARTE]]=""),"VACIO","OK")</f>
        <v>VACIO</v>
      </c>
      <c r="U149" s="303" t="str">
        <f>+CONCATENATE(WEEKNUM(Tabla8[[#This Row],[FECHA]]),"-",YEAR(Tabla8[[#This Row],[FECHA]]))</f>
        <v>3-2026</v>
      </c>
    </row>
    <row r="150" spans="1:21" ht="15" customHeight="1">
      <c r="A150" s="22">
        <v>46035</v>
      </c>
      <c r="B150" s="16" t="s">
        <v>131</v>
      </c>
      <c r="C150" s="10" t="s">
        <v>39</v>
      </c>
      <c r="D150" s="381" t="s">
        <v>396</v>
      </c>
      <c r="E150" s="381" t="s">
        <v>397</v>
      </c>
      <c r="F150" s="380">
        <f>+MOD(Tabla8[[#This Row],[HR. FIN]]-Tabla8[[#This Row],[HR. INICIO]],1)</f>
        <v>6.944444444444442E-2</v>
      </c>
      <c r="G150" s="16" t="s">
        <v>270</v>
      </c>
      <c r="H150" s="343" t="str">
        <f>IFERROR(VLOOKUP(G150,DATOS!$M$2:$N$219,2,FALSE),"")</f>
        <v>Maquinaria</v>
      </c>
      <c r="I150" s="115" t="s">
        <v>57</v>
      </c>
      <c r="J150" s="115" t="str">
        <f>+VLOOKUP($I150,Tabla7[#All],2,FALSE)</f>
        <v>NO PROGRAMADA</v>
      </c>
      <c r="K150" s="114" t="str">
        <f>IF(VLOOKUP(I150,Tabla7[#All],3,FALSE)=0,"",VLOOKUP(I150,Tabla7[#All],3,FALSE))</f>
        <v>MECÁNICA</v>
      </c>
      <c r="L150" s="35" t="s">
        <v>398</v>
      </c>
      <c r="M150" s="35" t="s">
        <v>121</v>
      </c>
      <c r="N150" s="35" t="str" cm="1">
        <f t="array" ref="N150">IFERROR(IF(Tabla8[[#This Row],[P/NP]]="NO PROGRAMADA","",_xlfn.TEXTJOIN(", ",TRUE,_xlfn._xlws.FILTER(Tabla4[[#All],[PIEZA]],ISNUMBER(SEARCH(Tabla4[[#All],[PCLAVE]],Tabla8[[#This Row],[DESCRIPCION DE TRABAJO]])),""))),"")</f>
        <v/>
      </c>
      <c r="O150" s="35" t="str" cm="1">
        <f t="array" ref="O150">_xlfn.TEXTJOIN(", ",TRUE,_xlfn._xlws.FILTER(Tabla28[[#All],[PARTE]],ISNUMBER(SEARCH(Tabla28[[#All],[PCLAVE2]],Tabla8[[#This Row],[DESCRIPCION DE TRABAJO]])),""))</f>
        <v/>
      </c>
      <c r="P150" s="303" t="str">
        <f>IFERROR(LEFT(O150, FIND(",", O150)-1), O150)</f>
        <v/>
      </c>
      <c r="Q150" s="303" t="str">
        <f>IFERROR(IF(ISERROR(FIND(",", O150, FIND(",", O150)+1)), RIGHT(O150, LEN(O150)-FIND(",", O150)-1), MID(O150, FIND(",", O150)+2, FIND(",", O150, FIND(",", O150)+1)-FIND(",", O150)-2)), "")</f>
        <v/>
      </c>
      <c r="R150" s="303" t="str">
        <f>IFERROR(RIGHT(O150, LEN(O150)-FIND(",", O150, FIND(",", O150)+1)-1), "")</f>
        <v/>
      </c>
      <c r="S150" s="35" t="str" cm="1">
        <f t="array" ref="S150">_xlfn.TEXTJOIN(", ",TRUE,_xlfn._xlws.FILTER(Tabla29[[#All],[PARTE]],ISNUMBER(SEARCH(Tabla29[[#All],[PCLAVE3]],Tabla8[[#This Row],[DESCRIPCION DE TRABAJO]])),""))</f>
        <v>Dañado, Falla De Presion</v>
      </c>
      <c r="T150" s="34" t="str">
        <f>IF(AND(Tabla8[[#This Row],[PIEZA]]="",Tabla8[[#This Row],[PARTE]]=""),"VACIO","OK")</f>
        <v>VACIO</v>
      </c>
      <c r="U150" s="303" t="str">
        <f>+CONCATENATE(WEEKNUM(Tabla8[[#This Row],[FECHA]]),"-",YEAR(Tabla8[[#This Row],[FECHA]]))</f>
        <v>3-2026</v>
      </c>
    </row>
    <row r="151" spans="1:21" ht="15" customHeight="1">
      <c r="A151" s="22">
        <v>46035</v>
      </c>
      <c r="B151" s="16" t="s">
        <v>88</v>
      </c>
      <c r="C151" s="10" t="s">
        <v>36</v>
      </c>
      <c r="D151" s="381" t="s">
        <v>399</v>
      </c>
      <c r="E151" s="381" t="s">
        <v>400</v>
      </c>
      <c r="F151" s="380">
        <f>+MOD(Tabla8[[#This Row],[HR. FIN]]-Tabla8[[#This Row],[HR. INICIO]],1)</f>
        <v>4.166666666666663E-2</v>
      </c>
      <c r="G151" s="16" t="s">
        <v>192</v>
      </c>
      <c r="H151" s="343" t="str">
        <f>IFERROR(VLOOKUP(G151,DATOS!$M$2:$N$219,2,FALSE),"")</f>
        <v>Maquinaria</v>
      </c>
      <c r="I151" s="115" t="s">
        <v>32</v>
      </c>
      <c r="J151" s="115" t="str">
        <f>+VLOOKUP($I151,Tabla7[#All],2,FALSE)</f>
        <v>PROGRAMADA</v>
      </c>
      <c r="K151" s="114" t="str">
        <f>IF(VLOOKUP(I151,Tabla7[#All],3,FALSE)=0,"",VLOOKUP(I151,Tabla7[#All],3,FALSE))</f>
        <v/>
      </c>
      <c r="L151" s="35" t="s">
        <v>401</v>
      </c>
      <c r="M151" s="35" t="s">
        <v>402</v>
      </c>
      <c r="N151" s="35" t="str" cm="1">
        <f t="array" ref="N151">IFERROR(IF(Tabla8[[#This Row],[P/NP]]="NO PROGRAMADA","",_xlfn.TEXTJOIN(", ",TRUE,_xlfn._xlws.FILTER(Tabla4[[#All],[PIEZA]],ISNUMBER(SEARCH(Tabla4[[#All],[PCLAVE]],Tabla8[[#This Row],[DESCRIPCION DE TRABAJO]])),""))),"")</f>
        <v/>
      </c>
      <c r="O151" s="35" t="str" cm="1">
        <f t="array" ref="O151">_xlfn.TEXTJOIN(", ",TRUE,_xlfn._xlws.FILTER(Tabla28[[#All],[PARTE]],ISNUMBER(SEARCH(Tabla28[[#All],[PCLAVE2]],Tabla8[[#This Row],[DESCRIPCION DE TRABAJO]])),""))</f>
        <v/>
      </c>
      <c r="P151" s="303" t="str">
        <f>IFERROR(LEFT(O151, FIND(",", O151)-1), O151)</f>
        <v/>
      </c>
      <c r="Q151" s="303" t="str">
        <f>IFERROR(IF(ISERROR(FIND(",", O151, FIND(",", O151)+1)), RIGHT(O151, LEN(O151)-FIND(",", O151)-1), MID(O151, FIND(",", O151)+2, FIND(",", O151, FIND(",", O151)+1)-FIND(",", O151)-2)), "")</f>
        <v/>
      </c>
      <c r="R151" s="303" t="str">
        <f>IFERROR(RIGHT(O151, LEN(O151)-FIND(",", O151, FIND(",", O151)+1)-1), "")</f>
        <v/>
      </c>
      <c r="S151" s="35" t="str" cm="1">
        <f t="array" ref="S151">_xlfn.TEXTJOIN(", ",TRUE,_xlfn._xlws.FILTER(Tabla29[[#All],[PARTE]],ISNUMBER(SEARCH(Tabla29[[#All],[PCLAVE3]],Tabla8[[#This Row],[DESCRIPCION DE TRABAJO]])),""))</f>
        <v>Cambio De Formato</v>
      </c>
      <c r="T151" s="34" t="str">
        <f>IF(AND(Tabla8[[#This Row],[PIEZA]]="",Tabla8[[#This Row],[PARTE]]=""),"VACIO","OK")</f>
        <v>VACIO</v>
      </c>
      <c r="U151" s="303" t="str">
        <f>+CONCATENATE(WEEKNUM(Tabla8[[#This Row],[FECHA]]),"-",YEAR(Tabla8[[#This Row],[FECHA]]))</f>
        <v>3-2026</v>
      </c>
    </row>
    <row r="152" spans="1:21" ht="15" customHeight="1">
      <c r="A152" s="22">
        <v>46035</v>
      </c>
      <c r="B152" s="16" t="s">
        <v>88</v>
      </c>
      <c r="C152" s="10" t="s">
        <v>36</v>
      </c>
      <c r="D152" s="381" t="s">
        <v>403</v>
      </c>
      <c r="E152" s="381" t="s">
        <v>404</v>
      </c>
      <c r="F152" s="380">
        <f>+MOD(Tabla8[[#This Row],[HR. FIN]]-Tabla8[[#This Row],[HR. INICIO]],1)</f>
        <v>4.166666666666663E-2</v>
      </c>
      <c r="G152" s="16" t="s">
        <v>328</v>
      </c>
      <c r="H152" s="343" t="str">
        <f>IFERROR(VLOOKUP(G152,DATOS!$M$2:$N$219,2,FALSE),"")</f>
        <v>Area</v>
      </c>
      <c r="I152" s="115" t="s">
        <v>405</v>
      </c>
      <c r="J152" s="115" t="str">
        <f>+VLOOKUP($I152,Tabla7[#All],2,FALSE)</f>
        <v>PROGRAMADA</v>
      </c>
      <c r="K152" s="114" t="str">
        <f>IF(VLOOKUP(I152,Tabla7[#All],3,FALSE)=0,"",VLOOKUP(I152,Tabla7[#All],3,FALSE))</f>
        <v/>
      </c>
      <c r="L152" s="35" t="s">
        <v>406</v>
      </c>
      <c r="M152" s="35" t="s">
        <v>407</v>
      </c>
      <c r="N152" s="35" t="str" cm="1">
        <f t="array" ref="N152">IFERROR(IF(Tabla8[[#This Row],[P/NP]]="NO PROGRAMADA","",_xlfn.TEXTJOIN(", ",TRUE,_xlfn._xlws.FILTER(Tabla4[[#All],[PIEZA]],ISNUMBER(SEARCH(Tabla4[[#All],[PCLAVE]],Tabla8[[#This Row],[DESCRIPCION DE TRABAJO]])),""))),"")</f>
        <v/>
      </c>
      <c r="O152" s="35" t="str" cm="1">
        <f t="array" ref="O152">_xlfn.TEXTJOIN(", ",TRUE,_xlfn._xlws.FILTER(Tabla28[[#All],[PARTE]],ISNUMBER(SEARCH(Tabla28[[#All],[PCLAVE2]],Tabla8[[#This Row],[DESCRIPCION DE TRABAJO]])),""))</f>
        <v/>
      </c>
      <c r="P152" s="303" t="str">
        <f>IFERROR(LEFT(O152, FIND(",", O152)-1), O152)</f>
        <v/>
      </c>
      <c r="Q152" s="303" t="str">
        <f>IFERROR(IF(ISERROR(FIND(",", O152, FIND(",", O152)+1)), RIGHT(O152, LEN(O152)-FIND(",", O152)-1), MID(O152, FIND(",", O152)+2, FIND(",", O152, FIND(",", O152)+1)-FIND(",", O152)-2)), "")</f>
        <v/>
      </c>
      <c r="R152" s="303" t="str">
        <f>IFERROR(RIGHT(O152, LEN(O152)-FIND(",", O152, FIND(",", O152)+1)-1), "")</f>
        <v/>
      </c>
      <c r="S152" s="35" t="str" cm="1">
        <f t="array" ref="S152">_xlfn.TEXTJOIN(", ",TRUE,_xlfn._xlws.FILTER(Tabla29[[#All],[PARTE]],ISNUMBER(SEARCH(Tabla29[[#All],[PCLAVE3]],Tabla8[[#This Row],[DESCRIPCION DE TRABAJO]])),""))</f>
        <v/>
      </c>
      <c r="T152" s="34" t="str">
        <f>IF(AND(Tabla8[[#This Row],[PIEZA]]="",Tabla8[[#This Row],[PARTE]]=""),"VACIO","OK")</f>
        <v>VACIO</v>
      </c>
      <c r="U152" s="303" t="str">
        <f>+CONCATENATE(WEEKNUM(Tabla8[[#This Row],[FECHA]]),"-",YEAR(Tabla8[[#This Row],[FECHA]]))</f>
        <v>3-2026</v>
      </c>
    </row>
    <row r="153" spans="1:21" ht="15" customHeight="1">
      <c r="A153" s="22">
        <v>46035</v>
      </c>
      <c r="B153" s="16" t="s">
        <v>88</v>
      </c>
      <c r="C153" s="10" t="s">
        <v>36</v>
      </c>
      <c r="D153" s="381" t="s">
        <v>89</v>
      </c>
      <c r="E153" s="381" t="s">
        <v>408</v>
      </c>
      <c r="F153" s="380">
        <f>+MOD(Tabla8[[#This Row],[HR. FIN]]-Tabla8[[#This Row],[HR. INICIO]],1)</f>
        <v>3.125E-2</v>
      </c>
      <c r="G153" s="16" t="s">
        <v>31</v>
      </c>
      <c r="H153" s="343" t="str">
        <f>IFERROR(VLOOKUP(G153,DATOS!$M$2:$N$219,2,FALSE),"")</f>
        <v>Maquinaria</v>
      </c>
      <c r="I153" s="115" t="s">
        <v>32</v>
      </c>
      <c r="J153" s="115" t="str">
        <f>+VLOOKUP($I153,Tabla7[#All],2,FALSE)</f>
        <v>PROGRAMADA</v>
      </c>
      <c r="K153" s="114" t="str">
        <f>IF(VLOOKUP(I153,Tabla7[#All],3,FALSE)=0,"",VLOOKUP(I153,Tabla7[#All],3,FALSE))</f>
        <v/>
      </c>
      <c r="L153" s="35" t="s">
        <v>409</v>
      </c>
      <c r="M153" s="35" t="s">
        <v>410</v>
      </c>
      <c r="N153" s="35" t="str" cm="1">
        <f t="array" ref="N153">IFERROR(IF(Tabla8[[#This Row],[P/NP]]="NO PROGRAMADA","",_xlfn.TEXTJOIN(", ",TRUE,_xlfn._xlws.FILTER(Tabla4[[#All],[PIEZA]],ISNUMBER(SEARCH(Tabla4[[#All],[PCLAVE]],Tabla8[[#This Row],[DESCRIPCION DE TRABAJO]])),""))),"")</f>
        <v/>
      </c>
      <c r="O153" s="35" t="str" cm="1">
        <f t="array" ref="O153">_xlfn.TEXTJOIN(", ",TRUE,_xlfn._xlws.FILTER(Tabla28[[#All],[PARTE]],ISNUMBER(SEARCH(Tabla28[[#All],[PCLAVE2]],Tabla8[[#This Row],[DESCRIPCION DE TRABAJO]])),""))</f>
        <v/>
      </c>
      <c r="P153" s="303" t="str">
        <f>IFERROR(LEFT(O153, FIND(",", O153)-1), O153)</f>
        <v/>
      </c>
      <c r="Q153" s="303" t="str">
        <f>IFERROR(IF(ISERROR(FIND(",", O153, FIND(",", O153)+1)), RIGHT(O153, LEN(O153)-FIND(",", O153)-1), MID(O153, FIND(",", O153)+2, FIND(",", O153, FIND(",", O153)+1)-FIND(",", O153)-2)), "")</f>
        <v/>
      </c>
      <c r="R153" s="303" t="str">
        <f>IFERROR(RIGHT(O153, LEN(O153)-FIND(",", O153, FIND(",", O153)+1)-1), "")</f>
        <v/>
      </c>
      <c r="S153" s="35" t="str" cm="1">
        <f t="array" ref="S153">_xlfn.TEXTJOIN(", ",TRUE,_xlfn._xlws.FILTER(Tabla29[[#All],[PARTE]],ISNUMBER(SEARCH(Tabla29[[#All],[PCLAVE3]],Tabla8[[#This Row],[DESCRIPCION DE TRABAJO]])),""))</f>
        <v/>
      </c>
      <c r="T153" s="34" t="str">
        <f>IF(AND(Tabla8[[#This Row],[PIEZA]]="",Tabla8[[#This Row],[PARTE]]=""),"VACIO","OK")</f>
        <v>VACIO</v>
      </c>
      <c r="U153" s="303" t="str">
        <f>+CONCATENATE(WEEKNUM(Tabla8[[#This Row],[FECHA]]),"-",YEAR(Tabla8[[#This Row],[FECHA]]))</f>
        <v>3-2026</v>
      </c>
    </row>
    <row r="154" spans="1:21" ht="15" customHeight="1">
      <c r="A154" s="22">
        <v>46035</v>
      </c>
      <c r="B154" s="16" t="s">
        <v>131</v>
      </c>
      <c r="C154" s="10" t="s">
        <v>39</v>
      </c>
      <c r="D154" s="381" t="s">
        <v>411</v>
      </c>
      <c r="E154" s="381" t="s">
        <v>146</v>
      </c>
      <c r="F154" s="380">
        <f>+MOD(Tabla8[[#This Row],[HR. FIN]]-Tabla8[[#This Row],[HR. INICIO]],1)</f>
        <v>3.125E-2</v>
      </c>
      <c r="G154" s="16" t="s">
        <v>81</v>
      </c>
      <c r="H154" s="343" t="str">
        <f>IFERROR(VLOOKUP(G154,DATOS!$M$2:$N$219,2,FALSE),"")</f>
        <v>Maquinaria</v>
      </c>
      <c r="I154" s="115" t="s">
        <v>57</v>
      </c>
      <c r="J154" s="115" t="str">
        <f>+VLOOKUP($I154,Tabla7[#All],2,FALSE)</f>
        <v>NO PROGRAMADA</v>
      </c>
      <c r="K154" s="114" t="str">
        <f>IF(VLOOKUP(I154,Tabla7[#All],3,FALSE)=0,"",VLOOKUP(I154,Tabla7[#All],3,FALSE))</f>
        <v>MECÁNICA</v>
      </c>
      <c r="L154" s="35" t="s">
        <v>412</v>
      </c>
      <c r="M154" s="35" t="s">
        <v>413</v>
      </c>
      <c r="N154" s="35" t="str" cm="1">
        <f t="array" ref="N154">IFERROR(IF(Tabla8[[#This Row],[P/NP]]="NO PROGRAMADA","",_xlfn.TEXTJOIN(", ",TRUE,_xlfn._xlws.FILTER(Tabla4[[#All],[PIEZA]],ISNUMBER(SEARCH(Tabla4[[#All],[PCLAVE]],Tabla8[[#This Row],[DESCRIPCION DE TRABAJO]])),""))),"")</f>
        <v/>
      </c>
      <c r="O154" s="35" t="str" cm="1">
        <f t="array" ref="O154">_xlfn.TEXTJOIN(", ",TRUE,_xlfn._xlws.FILTER(Tabla28[[#All],[PARTE]],ISNUMBER(SEARCH(Tabla28[[#All],[PCLAVE2]],Tabla8[[#This Row],[DESCRIPCION DE TRABAJO]])),""))</f>
        <v/>
      </c>
      <c r="P154" s="303" t="str">
        <f>IFERROR(LEFT(O154, FIND(",", O154)-1), O154)</f>
        <v/>
      </c>
      <c r="Q154" s="303" t="str">
        <f>IFERROR(IF(ISERROR(FIND(",", O154, FIND(",", O154)+1)), RIGHT(O154, LEN(O154)-FIND(",", O154)-1), MID(O154, FIND(",", O154)+2, FIND(",", O154, FIND(",", O154)+1)-FIND(",", O154)-2)), "")</f>
        <v/>
      </c>
      <c r="R154" s="303" t="str">
        <f>IFERROR(RIGHT(O154, LEN(O154)-FIND(",", O154, FIND(",", O154)+1)-1), "")</f>
        <v/>
      </c>
      <c r="S154" s="35" t="str" cm="1">
        <f t="array" ref="S154">_xlfn.TEXTJOIN(", ",TRUE,_xlfn._xlws.FILTER(Tabla29[[#All],[PARTE]],ISNUMBER(SEARCH(Tabla29[[#All],[PCLAVE3]],Tabla8[[#This Row],[DESCRIPCION DE TRABAJO]])),""))</f>
        <v>Calibracion, Colision, Descalibrado</v>
      </c>
      <c r="T154" s="34" t="str">
        <f>IF(AND(Tabla8[[#This Row],[PIEZA]]="",Tabla8[[#This Row],[PARTE]]=""),"VACIO","OK")</f>
        <v>VACIO</v>
      </c>
      <c r="U154" s="303" t="str">
        <f>+CONCATENATE(WEEKNUM(Tabla8[[#This Row],[FECHA]]),"-",YEAR(Tabla8[[#This Row],[FECHA]]))</f>
        <v>3-2026</v>
      </c>
    </row>
    <row r="155" spans="1:21" ht="15" customHeight="1">
      <c r="A155" s="22">
        <v>46035</v>
      </c>
      <c r="B155" s="16" t="s">
        <v>131</v>
      </c>
      <c r="C155" s="10" t="s">
        <v>39</v>
      </c>
      <c r="D155" s="381" t="s">
        <v>414</v>
      </c>
      <c r="E155" s="381" t="s">
        <v>415</v>
      </c>
      <c r="F155" s="380">
        <f>+MOD(Tabla8[[#This Row],[HR. FIN]]-Tabla8[[#This Row],[HR. INICIO]],1)</f>
        <v>2.777777777777779E-2</v>
      </c>
      <c r="G155" s="16" t="s">
        <v>270</v>
      </c>
      <c r="H155" s="343" t="str">
        <f>IFERROR(VLOOKUP(G155,DATOS!$M$2:$N$219,2,FALSE),"")</f>
        <v>Maquinaria</v>
      </c>
      <c r="I155" s="115" t="s">
        <v>57</v>
      </c>
      <c r="J155" s="115" t="str">
        <f>+VLOOKUP($I155,Tabla7[#All],2,FALSE)</f>
        <v>NO PROGRAMADA</v>
      </c>
      <c r="K155" s="114" t="str">
        <f>IF(VLOOKUP(I155,Tabla7[#All],3,FALSE)=0,"",VLOOKUP(I155,Tabla7[#All],3,FALSE))</f>
        <v>MECÁNICA</v>
      </c>
      <c r="L155" s="35" t="s">
        <v>416</v>
      </c>
      <c r="M155" s="35" t="s">
        <v>417</v>
      </c>
      <c r="N155" s="35" t="str" cm="1">
        <f t="array" ref="N155">IFERROR(IF(Tabla8[[#This Row],[P/NP]]="NO PROGRAMADA","",_xlfn.TEXTJOIN(", ",TRUE,_xlfn._xlws.FILTER(Tabla4[[#All],[PIEZA]],ISNUMBER(SEARCH(Tabla4[[#All],[PCLAVE]],Tabla8[[#This Row],[DESCRIPCION DE TRABAJO]])),""))),"")</f>
        <v/>
      </c>
      <c r="O155" s="35" t="str" cm="1">
        <f t="array" ref="O155">_xlfn.TEXTJOIN(", ",TRUE,_xlfn._xlws.FILTER(Tabla28[[#All],[PARTE]],ISNUMBER(SEARCH(Tabla28[[#All],[PCLAVE2]],Tabla8[[#This Row],[DESCRIPCION DE TRABAJO]])),""))</f>
        <v>Temperadora</v>
      </c>
      <c r="P155" s="303" t="str">
        <f>IFERROR(LEFT(O155, FIND(",", O155)-1), O155)</f>
        <v>Temperadora</v>
      </c>
      <c r="Q155" s="303" t="str">
        <f>IFERROR(IF(ISERROR(FIND(",", O155, FIND(",", O155)+1)), RIGHT(O155, LEN(O155)-FIND(",", O155)-1), MID(O155, FIND(",", O155)+2, FIND(",", O155, FIND(",", O155)+1)-FIND(",", O155)-2)), "")</f>
        <v/>
      </c>
      <c r="R155" s="303" t="str">
        <f>IFERROR(RIGHT(O155, LEN(O155)-FIND(",", O155, FIND(",", O155)+1)-1), "")</f>
        <v/>
      </c>
      <c r="S155" s="35" t="str" cm="1">
        <f t="array" ref="S155">_xlfn.TEXTJOIN(", ",TRUE,_xlfn._xlws.FILTER(Tabla29[[#All],[PARTE]],ISNUMBER(SEARCH(Tabla29[[#All],[PCLAVE3]],Tabla8[[#This Row],[DESCRIPCION DE TRABAJO]])),""))</f>
        <v>Ruido</v>
      </c>
      <c r="T155" s="34" t="str">
        <f>IF(AND(Tabla8[[#This Row],[PIEZA]]="",Tabla8[[#This Row],[PARTE]]=""),"VACIO","OK")</f>
        <v>OK</v>
      </c>
      <c r="U155" s="303" t="str">
        <f>+CONCATENATE(WEEKNUM(Tabla8[[#This Row],[FECHA]]),"-",YEAR(Tabla8[[#This Row],[FECHA]]))</f>
        <v>3-2026</v>
      </c>
    </row>
    <row r="156" spans="1:21" ht="15" customHeight="1">
      <c r="A156" s="22">
        <v>46035</v>
      </c>
      <c r="B156" s="16" t="s">
        <v>131</v>
      </c>
      <c r="C156" s="10" t="s">
        <v>39</v>
      </c>
      <c r="D156" s="381" t="s">
        <v>418</v>
      </c>
      <c r="E156" s="381" t="s">
        <v>316</v>
      </c>
      <c r="F156" s="380">
        <f>+MOD(Tabla8[[#This Row],[HR. FIN]]-Tabla8[[#This Row],[HR. INICIO]],1)</f>
        <v>2.4305555555555552E-2</v>
      </c>
      <c r="G156" s="16" t="s">
        <v>270</v>
      </c>
      <c r="H156" s="343" t="str">
        <f>IFERROR(VLOOKUP(G156,DATOS!$M$2:$N$219,2,FALSE),"")</f>
        <v>Maquinaria</v>
      </c>
      <c r="I156" s="115" t="s">
        <v>28</v>
      </c>
      <c r="J156" s="115" t="str">
        <f>+VLOOKUP($I156,Tabla7[#All],2,FALSE)</f>
        <v>NO PROGRAMADA</v>
      </c>
      <c r="K156" s="114" t="s">
        <v>93</v>
      </c>
      <c r="L156" s="35" t="s">
        <v>419</v>
      </c>
      <c r="M156" s="35" t="s">
        <v>420</v>
      </c>
      <c r="N156" s="35" t="str" cm="1">
        <f t="array" ref="N156">IFERROR(IF(Tabla8[[#This Row],[P/NP]]="NO PROGRAMADA","",_xlfn.TEXTJOIN(", ",TRUE,_xlfn._xlws.FILTER(Tabla4[[#All],[PIEZA]],ISNUMBER(SEARCH(Tabla4[[#All],[PCLAVE]],Tabla8[[#This Row],[DESCRIPCION DE TRABAJO]])),""))),"")</f>
        <v/>
      </c>
      <c r="O156" s="35" t="str" cm="1">
        <f t="array" ref="O156">_xlfn.TEXTJOIN(", ",TRUE,_xlfn._xlws.FILTER(Tabla28[[#All],[PARTE]],ISNUMBER(SEARCH(Tabla28[[#All],[PCLAVE2]],Tabla8[[#This Row],[DESCRIPCION DE TRABAJO]])),""))</f>
        <v>Temperadora</v>
      </c>
      <c r="P156" s="303" t="str">
        <f>IFERROR(LEFT(O156, FIND(",", O156)-1), O156)</f>
        <v>Temperadora</v>
      </c>
      <c r="Q156" s="303" t="str">
        <f>IFERROR(IF(ISERROR(FIND(",", O156, FIND(",", O156)+1)), RIGHT(O156, LEN(O156)-FIND(",", O156)-1), MID(O156, FIND(",", O156)+2, FIND(",", O156, FIND(",", O156)+1)-FIND(",", O156)-2)), "")</f>
        <v/>
      </c>
      <c r="R156" s="303" t="str">
        <f>IFERROR(RIGHT(O156, LEN(O156)-FIND(",", O156, FIND(",", O156)+1)-1), "")</f>
        <v/>
      </c>
      <c r="S156" s="35" t="str" cm="1">
        <f t="array" ref="S156">_xlfn.TEXTJOIN(", ",TRUE,_xlfn._xlws.FILTER(Tabla29[[#All],[PARTE]],ISNUMBER(SEARCH(Tabla29[[#All],[PCLAVE3]],Tabla8[[#This Row],[DESCRIPCION DE TRABAJO]])),""))</f>
        <v/>
      </c>
      <c r="T156" s="34" t="str">
        <f>IF(AND(Tabla8[[#This Row],[PIEZA]]="",Tabla8[[#This Row],[PARTE]]=""),"VACIO","OK")</f>
        <v>OK</v>
      </c>
      <c r="U156" s="303" t="str">
        <f>+CONCATENATE(WEEKNUM(Tabla8[[#This Row],[FECHA]]),"-",YEAR(Tabla8[[#This Row],[FECHA]]))</f>
        <v>3-2026</v>
      </c>
    </row>
    <row r="157" spans="1:21" ht="15" customHeight="1">
      <c r="A157" s="22">
        <v>46035</v>
      </c>
      <c r="B157" s="16" t="s">
        <v>131</v>
      </c>
      <c r="C157" s="10" t="s">
        <v>39</v>
      </c>
      <c r="D157" s="381" t="s">
        <v>421</v>
      </c>
      <c r="E157" s="381" t="s">
        <v>422</v>
      </c>
      <c r="F157" s="380">
        <f>+MOD(Tabla8[[#This Row],[HR. FIN]]-Tabla8[[#This Row],[HR. INICIO]],1)</f>
        <v>2.083333333333337E-2</v>
      </c>
      <c r="G157" s="16" t="s">
        <v>169</v>
      </c>
      <c r="H157" s="343" t="str">
        <f>IFERROR(VLOOKUP(G157,DATOS!$M$2:$N$219,2,FALSE),"")</f>
        <v>Maquinaria</v>
      </c>
      <c r="I157" s="115" t="s">
        <v>32</v>
      </c>
      <c r="J157" s="115" t="str">
        <f>+VLOOKUP($I157,Tabla7[#All],2,FALSE)</f>
        <v>PROGRAMADA</v>
      </c>
      <c r="K157" s="114" t="str">
        <f>IF(VLOOKUP(I157,Tabla7[#All],3,FALSE)=0,"",VLOOKUP(I157,Tabla7[#All],3,FALSE))</f>
        <v/>
      </c>
      <c r="L157" s="35" t="s">
        <v>423</v>
      </c>
      <c r="M157" s="35" t="s">
        <v>424</v>
      </c>
      <c r="N157" s="35" t="str" cm="1">
        <f t="array" ref="N157">IFERROR(IF(Tabla8[[#This Row],[P/NP]]="NO PROGRAMADA","",_xlfn.TEXTJOIN(", ",TRUE,_xlfn._xlws.FILTER(Tabla4[[#All],[PIEZA]],ISNUMBER(SEARCH(Tabla4[[#All],[PCLAVE]],Tabla8[[#This Row],[DESCRIPCION DE TRABAJO]])),""))),"")</f>
        <v>Oring</v>
      </c>
      <c r="O157" s="35" t="str" cm="1">
        <f t="array" ref="O157">_xlfn.TEXTJOIN(", ",TRUE,_xlfn._xlws.FILTER(Tabla28[[#All],[PARTE]],ISNUMBER(SEARCH(Tabla28[[#All],[PCLAVE2]],Tabla8[[#This Row],[DESCRIPCION DE TRABAJO]])),""))</f>
        <v/>
      </c>
      <c r="P157" s="303" t="str">
        <f>IFERROR(LEFT(O157, FIND(",", O157)-1), O157)</f>
        <v/>
      </c>
      <c r="Q157" s="303" t="str">
        <f>IFERROR(IF(ISERROR(FIND(",", O157, FIND(",", O157)+1)), RIGHT(O157, LEN(O157)-FIND(",", O157)-1), MID(O157, FIND(",", O157)+2, FIND(",", O157, FIND(",", O157)+1)-FIND(",", O157)-2)), "")</f>
        <v/>
      </c>
      <c r="R157" s="303" t="str">
        <f>IFERROR(RIGHT(O157, LEN(O157)-FIND(",", O157, FIND(",", O157)+1)-1), "")</f>
        <v/>
      </c>
      <c r="S157" s="35" t="str" cm="1">
        <f t="array" ref="S157">_xlfn.TEXTJOIN(", ",TRUE,_xlfn._xlws.FILTER(Tabla29[[#All],[PARTE]],ISNUMBER(SEARCH(Tabla29[[#All],[PCLAVE3]],Tabla8[[#This Row],[DESCRIPCION DE TRABAJO]])),""))</f>
        <v>Rotura</v>
      </c>
      <c r="T157" s="34" t="str">
        <f>IF(AND(Tabla8[[#This Row],[PIEZA]]="",Tabla8[[#This Row],[PARTE]]=""),"VACIO","OK")</f>
        <v>OK</v>
      </c>
      <c r="U157" s="303" t="str">
        <f>+CONCATENATE(WEEKNUM(Tabla8[[#This Row],[FECHA]]),"-",YEAR(Tabla8[[#This Row],[FECHA]]))</f>
        <v>3-2026</v>
      </c>
    </row>
    <row r="158" spans="1:21" ht="15" customHeight="1">
      <c r="A158" s="22">
        <v>46035</v>
      </c>
      <c r="B158" s="16" t="s">
        <v>131</v>
      </c>
      <c r="C158" s="10" t="s">
        <v>39</v>
      </c>
      <c r="D158" s="381" t="s">
        <v>425</v>
      </c>
      <c r="E158" s="381" t="s">
        <v>426</v>
      </c>
      <c r="F158" s="380">
        <f>+MOD(Tabla8[[#This Row],[HR. FIN]]-Tabla8[[#This Row],[HR. INICIO]],1)</f>
        <v>2.0138888888888817E-2</v>
      </c>
      <c r="G158" s="16" t="s">
        <v>119</v>
      </c>
      <c r="H158" s="343" t="str">
        <f>IFERROR(VLOOKUP(G158,DATOS!$M$2:$N$219,2,FALSE),"")</f>
        <v>Maquinaria</v>
      </c>
      <c r="I158" s="115" t="s">
        <v>32</v>
      </c>
      <c r="J158" s="115" t="str">
        <f>+VLOOKUP($I158,Tabla7[#All],2,FALSE)</f>
        <v>PROGRAMADA</v>
      </c>
      <c r="K158" s="114" t="str">
        <f>IF(VLOOKUP(I158,Tabla7[#All],3,FALSE)=0,"",VLOOKUP(I158,Tabla7[#All],3,FALSE))</f>
        <v/>
      </c>
      <c r="L158" s="35" t="s">
        <v>427</v>
      </c>
      <c r="M158" s="35" t="s">
        <v>121</v>
      </c>
      <c r="N158" s="35" t="str" cm="1">
        <f t="array" ref="N158">IFERROR(IF(Tabla8[[#This Row],[P/NP]]="NO PROGRAMADA","",_xlfn.TEXTJOIN(", ",TRUE,_xlfn._xlws.FILTER(Tabla4[[#All],[PIEZA]],ISNUMBER(SEARCH(Tabla4[[#All],[PCLAVE]],Tabla8[[#This Row],[DESCRIPCION DE TRABAJO]])),""))),"")</f>
        <v/>
      </c>
      <c r="O158" s="35" t="str" cm="1">
        <f t="array" ref="O158">_xlfn.TEXTJOIN(", ",TRUE,_xlfn._xlws.FILTER(Tabla28[[#All],[PARTE]],ISNUMBER(SEARCH(Tabla28[[#All],[PCLAVE2]],Tabla8[[#This Row],[DESCRIPCION DE TRABAJO]])),""))</f>
        <v/>
      </c>
      <c r="P158" s="303" t="str">
        <f>IFERROR(LEFT(O158, FIND(",", O158)-1), O158)</f>
        <v/>
      </c>
      <c r="Q158" s="303" t="str">
        <f>IFERROR(IF(ISERROR(FIND(",", O158, FIND(",", O158)+1)), RIGHT(O158, LEN(O158)-FIND(",", O158)-1), MID(O158, FIND(",", O158)+2, FIND(",", O158, FIND(",", O158)+1)-FIND(",", O158)-2)), "")</f>
        <v/>
      </c>
      <c r="R158" s="303" t="str">
        <f>IFERROR(RIGHT(O158, LEN(O158)-FIND(",", O158, FIND(",", O158)+1)-1), "")</f>
        <v/>
      </c>
      <c r="S158" s="35" t="str" cm="1">
        <f t="array" ref="S158">_xlfn.TEXTJOIN(", ",TRUE,_xlfn._xlws.FILTER(Tabla29[[#All],[PARTE]],ISNUMBER(SEARCH(Tabla29[[#All],[PCLAVE3]],Tabla8[[#This Row],[DESCRIPCION DE TRABAJO]])),""))</f>
        <v>Cambio De Formato</v>
      </c>
      <c r="T158" s="34" t="str">
        <f>IF(AND(Tabla8[[#This Row],[PIEZA]]="",Tabla8[[#This Row],[PARTE]]=""),"VACIO","OK")</f>
        <v>VACIO</v>
      </c>
      <c r="U158" s="303" t="str">
        <f>+CONCATENATE(WEEKNUM(Tabla8[[#This Row],[FECHA]]),"-",YEAR(Tabla8[[#This Row],[FECHA]]))</f>
        <v>3-2026</v>
      </c>
    </row>
    <row r="159" spans="1:21" ht="15" customHeight="1">
      <c r="A159" s="22">
        <v>46035</v>
      </c>
      <c r="B159" s="16" t="s">
        <v>131</v>
      </c>
      <c r="C159" s="10" t="s">
        <v>39</v>
      </c>
      <c r="D159" s="381" t="s">
        <v>428</v>
      </c>
      <c r="E159" s="381" t="s">
        <v>429</v>
      </c>
      <c r="F159" s="380">
        <f>+MOD(Tabla8[[#This Row],[HR. FIN]]-Tabla8[[#This Row],[HR. INICIO]],1)</f>
        <v>1.8749999999999989E-2</v>
      </c>
      <c r="G159" s="16" t="s">
        <v>119</v>
      </c>
      <c r="H159" s="343" t="str">
        <f>IFERROR(VLOOKUP(G159,DATOS!$M$2:$N$219,2,FALSE),"")</f>
        <v>Maquinaria</v>
      </c>
      <c r="I159" s="115" t="s">
        <v>54</v>
      </c>
      <c r="J159" s="115" t="str">
        <f>+VLOOKUP($I159,Tabla7[#All],2,FALSE)</f>
        <v>PROGRAMADA</v>
      </c>
      <c r="K159" s="114" t="str">
        <f>IF(VLOOKUP(I159,Tabla7[#All],3,FALSE)=0,"",VLOOKUP(I159,Tabla7[#All],3,FALSE))</f>
        <v/>
      </c>
      <c r="L159" s="35" t="s">
        <v>154</v>
      </c>
      <c r="M159" s="35" t="s">
        <v>121</v>
      </c>
      <c r="N159" s="35" t="str" cm="1">
        <f t="array" ref="N159">IFERROR(IF(Tabla8[[#This Row],[P/NP]]="NO PROGRAMADA","",_xlfn.TEXTJOIN(", ",TRUE,_xlfn._xlws.FILTER(Tabla4[[#All],[PIEZA]],ISNUMBER(SEARCH(Tabla4[[#All],[PCLAVE]],Tabla8[[#This Row],[DESCRIPCION DE TRABAJO]])),""))),"")</f>
        <v/>
      </c>
      <c r="O159" s="35" t="str" cm="1">
        <f t="array" ref="O159">_xlfn.TEXTJOIN(", ",TRUE,_xlfn._xlws.FILTER(Tabla28[[#All],[PARTE]],ISNUMBER(SEARCH(Tabla28[[#All],[PCLAVE2]],Tabla8[[#This Row],[DESCRIPCION DE TRABAJO]])),""))</f>
        <v/>
      </c>
      <c r="P159" s="303" t="str">
        <f>IFERROR(LEFT(O159, FIND(",", O159)-1), O159)</f>
        <v/>
      </c>
      <c r="Q159" s="303" t="str">
        <f>IFERROR(IF(ISERROR(FIND(",", O159, FIND(",", O159)+1)), RIGHT(O159, LEN(O159)-FIND(",", O159)-1), MID(O159, FIND(",", O159)+2, FIND(",", O159, FIND(",", O159)+1)-FIND(",", O159)-2)), "")</f>
        <v/>
      </c>
      <c r="R159" s="303" t="str">
        <f>IFERROR(RIGHT(O159, LEN(O159)-FIND(",", O159, FIND(",", O159)+1)-1), "")</f>
        <v/>
      </c>
      <c r="S159" s="35" t="str" cm="1">
        <f t="array" ref="S159">_xlfn.TEXTJOIN(", ",TRUE,_xlfn._xlws.FILTER(Tabla29[[#All],[PARTE]],ISNUMBER(SEARCH(Tabla29[[#All],[PCLAVE3]],Tabla8[[#This Row],[DESCRIPCION DE TRABAJO]])),""))</f>
        <v/>
      </c>
      <c r="T159" s="34" t="str">
        <f>IF(AND(Tabla8[[#This Row],[PIEZA]]="",Tabla8[[#This Row],[PARTE]]=""),"VACIO","OK")</f>
        <v>VACIO</v>
      </c>
      <c r="U159" s="303" t="str">
        <f>+CONCATENATE(WEEKNUM(Tabla8[[#This Row],[FECHA]]),"-",YEAR(Tabla8[[#This Row],[FECHA]]))</f>
        <v>3-2026</v>
      </c>
    </row>
    <row r="160" spans="1:21" ht="15" customHeight="1">
      <c r="A160" s="22">
        <v>46035</v>
      </c>
      <c r="B160" s="16" t="s">
        <v>88</v>
      </c>
      <c r="C160" s="10" t="s">
        <v>36</v>
      </c>
      <c r="D160" s="381" t="s">
        <v>430</v>
      </c>
      <c r="E160" s="381" t="s">
        <v>102</v>
      </c>
      <c r="F160" s="380">
        <f>+MOD(Tabla8[[#This Row],[HR. FIN]]-Tabla8[[#This Row],[HR. INICIO]],1)</f>
        <v>1.3888888888888895E-2</v>
      </c>
      <c r="G160" s="16" t="s">
        <v>119</v>
      </c>
      <c r="H160" s="343" t="str">
        <f>IFERROR(VLOOKUP(G160,DATOS!$M$2:$N$219,2,FALSE),"")</f>
        <v>Maquinaria</v>
      </c>
      <c r="I160" s="115" t="s">
        <v>54</v>
      </c>
      <c r="J160" s="115" t="str">
        <f>+VLOOKUP($I160,Tabla7[#All],2,FALSE)</f>
        <v>PROGRAMADA</v>
      </c>
      <c r="K160" s="114" t="str">
        <f>IF(VLOOKUP(I160,Tabla7[#All],3,FALSE)=0,"",VLOOKUP(I160,Tabla7[#All],3,FALSE))</f>
        <v/>
      </c>
      <c r="L160" s="35" t="s">
        <v>431</v>
      </c>
      <c r="M160" s="35" t="s">
        <v>432</v>
      </c>
      <c r="N160" s="35" t="str" cm="1">
        <f t="array" ref="N160">IFERROR(IF(Tabla8[[#This Row],[P/NP]]="NO PROGRAMADA","",_xlfn.TEXTJOIN(", ",TRUE,_xlfn._xlws.FILTER(Tabla4[[#All],[PIEZA]],ISNUMBER(SEARCH(Tabla4[[#All],[PCLAVE]],Tabla8[[#This Row],[DESCRIPCION DE TRABAJO]])),""))),"")</f>
        <v>B2</v>
      </c>
      <c r="O160" s="35" t="str" cm="1">
        <f t="array" ref="O160">_xlfn.TEXTJOIN(", ",TRUE,_xlfn._xlws.FILTER(Tabla28[[#All],[PARTE]],ISNUMBER(SEARCH(Tabla28[[#All],[PCLAVE2]],Tabla8[[#This Row],[DESCRIPCION DE TRABAJO]])),""))</f>
        <v/>
      </c>
      <c r="P160" s="303" t="str">
        <f>IFERROR(LEFT(O160, FIND(",", O160)-1), O160)</f>
        <v/>
      </c>
      <c r="Q160" s="303" t="str">
        <f>IFERROR(IF(ISERROR(FIND(",", O160, FIND(",", O160)+1)), RIGHT(O160, LEN(O160)-FIND(",", O160)-1), MID(O160, FIND(",", O160)+2, FIND(",", O160, FIND(",", O160)+1)-FIND(",", O160)-2)), "")</f>
        <v/>
      </c>
      <c r="R160" s="303" t="str">
        <f>IFERROR(RIGHT(O160, LEN(O160)-FIND(",", O160, FIND(",", O160)+1)-1), "")</f>
        <v/>
      </c>
      <c r="S160" s="35" t="str" cm="1">
        <f t="array" ref="S160">_xlfn.TEXTJOIN(", ",TRUE,_xlfn._xlws.FILTER(Tabla29[[#All],[PARTE]],ISNUMBER(SEARCH(Tabla29[[#All],[PCLAVE3]],Tabla8[[#This Row],[DESCRIPCION DE TRABAJO]])),""))</f>
        <v>Error</v>
      </c>
      <c r="T160" s="34" t="str">
        <f>IF(AND(Tabla8[[#This Row],[PIEZA]]="",Tabla8[[#This Row],[PARTE]]=""),"VACIO","OK")</f>
        <v>OK</v>
      </c>
      <c r="U160" s="303" t="str">
        <f>+CONCATENATE(WEEKNUM(Tabla8[[#This Row],[FECHA]]),"-",YEAR(Tabla8[[#This Row],[FECHA]]))</f>
        <v>3-2026</v>
      </c>
    </row>
    <row r="161" spans="1:21" ht="15" customHeight="1">
      <c r="A161" s="22">
        <v>46035</v>
      </c>
      <c r="B161" s="16" t="s">
        <v>131</v>
      </c>
      <c r="C161" s="10" t="s">
        <v>39</v>
      </c>
      <c r="D161" s="381" t="s">
        <v>433</v>
      </c>
      <c r="E161" s="381" t="s">
        <v>434</v>
      </c>
      <c r="F161" s="380">
        <f>+MOD(Tabla8[[#This Row],[HR. FIN]]-Tabla8[[#This Row],[HR. INICIO]],1)</f>
        <v>1.0416666666666685E-2</v>
      </c>
      <c r="G161" s="16" t="s">
        <v>119</v>
      </c>
      <c r="H161" s="343" t="str">
        <f>IFERROR(VLOOKUP(G161,DATOS!$M$2:$N$219,2,FALSE),"")</f>
        <v>Maquinaria</v>
      </c>
      <c r="I161" s="115" t="s">
        <v>57</v>
      </c>
      <c r="J161" s="115" t="str">
        <f>+VLOOKUP($I161,Tabla7[#All],2,FALSE)</f>
        <v>NO PROGRAMADA</v>
      </c>
      <c r="K161" s="114" t="str">
        <f>IF(VLOOKUP(I161,Tabla7[#All],3,FALSE)=0,"",VLOOKUP(I161,Tabla7[#All],3,FALSE))</f>
        <v>MECÁNICA</v>
      </c>
      <c r="L161" s="35" t="s">
        <v>435</v>
      </c>
      <c r="M161" s="35" t="s">
        <v>436</v>
      </c>
      <c r="N161" s="35" t="str" cm="1">
        <f t="array" ref="N161">IFERROR(IF(Tabla8[[#This Row],[P/NP]]="NO PROGRAMADA","",_xlfn.TEXTJOIN(", ",TRUE,_xlfn._xlws.FILTER(Tabla4[[#All],[PIEZA]],ISNUMBER(SEARCH(Tabla4[[#All],[PCLAVE]],Tabla8[[#This Row],[DESCRIPCION DE TRABAJO]])),""))),"")</f>
        <v/>
      </c>
      <c r="O161" s="35" t="str" cm="1">
        <f t="array" ref="O161">_xlfn.TEXTJOIN(", ",TRUE,_xlfn._xlws.FILTER(Tabla28[[#All],[PARTE]],ISNUMBER(SEARCH(Tabla28[[#All],[PCLAVE2]],Tabla8[[#This Row],[DESCRIPCION DE TRABAJO]])),""))</f>
        <v/>
      </c>
      <c r="P161" s="303" t="str">
        <f>IFERROR(LEFT(O161, FIND(",", O161)-1), O161)</f>
        <v/>
      </c>
      <c r="Q161" s="303" t="str">
        <f>IFERROR(IF(ISERROR(FIND(",", O161, FIND(",", O161)+1)), RIGHT(O161, LEN(O161)-FIND(",", O161)-1), MID(O161, FIND(",", O161)+2, FIND(",", O161, FIND(",", O161)+1)-FIND(",", O161)-2)), "")</f>
        <v/>
      </c>
      <c r="R161" s="303" t="str">
        <f>IFERROR(RIGHT(O161, LEN(O161)-FIND(",", O161, FIND(",", O161)+1)-1), "")</f>
        <v/>
      </c>
      <c r="S161" s="35" t="str" cm="1">
        <f t="array" ref="S161">_xlfn.TEXTJOIN(", ",TRUE,_xlfn._xlws.FILTER(Tabla29[[#All],[PARTE]],ISNUMBER(SEARCH(Tabla29[[#All],[PCLAVE3]],Tabla8[[#This Row],[DESCRIPCION DE TRABAJO]])),""))</f>
        <v/>
      </c>
      <c r="T161" s="34" t="str">
        <f>IF(AND(Tabla8[[#This Row],[PIEZA]]="",Tabla8[[#This Row],[PARTE]]=""),"VACIO","OK")</f>
        <v>VACIO</v>
      </c>
      <c r="U161" s="303" t="str">
        <f>+CONCATENATE(WEEKNUM(Tabla8[[#This Row],[FECHA]]),"-",YEAR(Tabla8[[#This Row],[FECHA]]))</f>
        <v>3-2026</v>
      </c>
    </row>
    <row r="162" spans="1:21" ht="15" customHeight="1">
      <c r="A162" s="22">
        <v>46035</v>
      </c>
      <c r="B162" s="16" t="s">
        <v>88</v>
      </c>
      <c r="C162" s="10" t="s">
        <v>36</v>
      </c>
      <c r="D162" s="381" t="s">
        <v>123</v>
      </c>
      <c r="E162" s="381" t="s">
        <v>437</v>
      </c>
      <c r="F162" s="380">
        <f>+MOD(Tabla8[[#This Row],[HR. FIN]]-Tabla8[[#This Row],[HR. INICIO]],1)</f>
        <v>1.041666666666663E-2</v>
      </c>
      <c r="G162" s="16" t="s">
        <v>438</v>
      </c>
      <c r="H162" s="343" t="str">
        <f>IFERROR(VLOOKUP(G162,DATOS!$M$2:$N$219,2,FALSE),"")</f>
        <v>Maquinaria</v>
      </c>
      <c r="I162" s="115" t="s">
        <v>245</v>
      </c>
      <c r="J162" s="115" t="str">
        <f>+VLOOKUP($I162,Tabla7[#All],2,FALSE)</f>
        <v>PROGRAMADA</v>
      </c>
      <c r="K162" s="114" t="str">
        <f>IF(VLOOKUP(I162,Tabla7[#All],3,FALSE)=0,"",VLOOKUP(I162,Tabla7[#All],3,FALSE))</f>
        <v/>
      </c>
      <c r="L162" s="35" t="s">
        <v>439</v>
      </c>
      <c r="M162" s="35" t="s">
        <v>440</v>
      </c>
      <c r="N162" s="35" t="str" cm="1">
        <f t="array" ref="N162">IFERROR(IF(Tabla8[[#This Row],[P/NP]]="NO PROGRAMADA","",_xlfn.TEXTJOIN(", ",TRUE,_xlfn._xlws.FILTER(Tabla4[[#All],[PIEZA]],ISNUMBER(SEARCH(Tabla4[[#All],[PCLAVE]],Tabla8[[#This Row],[DESCRIPCION DE TRABAJO]])),""))),"")</f>
        <v>Cadena</v>
      </c>
      <c r="O162" s="35" t="str" cm="1">
        <f t="array" ref="O162">_xlfn.TEXTJOIN(", ",TRUE,_xlfn._xlws.FILTER(Tabla28[[#All],[PARTE]],ISNUMBER(SEARCH(Tabla28[[#All],[PCLAVE2]],Tabla8[[#This Row],[DESCRIPCION DE TRABAJO]])),""))</f>
        <v/>
      </c>
      <c r="P162" s="303" t="str">
        <f>IFERROR(LEFT(O162, FIND(",", O162)-1), O162)</f>
        <v/>
      </c>
      <c r="Q162" s="303" t="str">
        <f>IFERROR(IF(ISERROR(FIND(",", O162, FIND(",", O162)+1)), RIGHT(O162, LEN(O162)-FIND(",", O162)-1), MID(O162, FIND(",", O162)+2, FIND(",", O162, FIND(",", O162)+1)-FIND(",", O162)-2)), "")</f>
        <v/>
      </c>
      <c r="R162" s="303" t="str">
        <f>IFERROR(RIGHT(O162, LEN(O162)-FIND(",", O162, FIND(",", O162)+1)-1), "")</f>
        <v/>
      </c>
      <c r="S162" s="35" t="str" cm="1">
        <f t="array" ref="S162">_xlfn.TEXTJOIN(", ",TRUE,_xlfn._xlws.FILTER(Tabla29[[#All],[PARTE]],ISNUMBER(SEARCH(Tabla29[[#All],[PCLAVE3]],Tabla8[[#This Row],[DESCRIPCION DE TRABAJO]])),""))</f>
        <v>Lubricacion</v>
      </c>
      <c r="T162" s="34" t="str">
        <f>IF(AND(Tabla8[[#This Row],[PIEZA]]="",Tabla8[[#This Row],[PARTE]]=""),"VACIO","OK")</f>
        <v>OK</v>
      </c>
      <c r="U162" s="303" t="str">
        <f>+CONCATENATE(WEEKNUM(Tabla8[[#This Row],[FECHA]]),"-",YEAR(Tabla8[[#This Row],[FECHA]]))</f>
        <v>3-2026</v>
      </c>
    </row>
    <row r="163" spans="1:21" ht="15" customHeight="1">
      <c r="A163" s="22">
        <v>46035</v>
      </c>
      <c r="B163" s="16" t="s">
        <v>131</v>
      </c>
      <c r="C163" s="10" t="s">
        <v>39</v>
      </c>
      <c r="D163" s="381" t="s">
        <v>426</v>
      </c>
      <c r="E163" s="381" t="s">
        <v>441</v>
      </c>
      <c r="F163" s="380">
        <f>+MOD(Tabla8[[#This Row],[HR. FIN]]-Tabla8[[#This Row],[HR. INICIO]],1)</f>
        <v>9.0277777777778567E-3</v>
      </c>
      <c r="G163" s="16" t="s">
        <v>119</v>
      </c>
      <c r="H163" s="343" t="str">
        <f>IFERROR(VLOOKUP(G163,DATOS!$M$2:$N$219,2,FALSE),"")</f>
        <v>Maquinaria</v>
      </c>
      <c r="I163" s="115" t="s">
        <v>32</v>
      </c>
      <c r="J163" s="115" t="str">
        <f>+VLOOKUP($I163,Tabla7[#All],2,FALSE)</f>
        <v>PROGRAMADA</v>
      </c>
      <c r="K163" s="114" t="str">
        <f>IF(VLOOKUP(I163,Tabla7[#All],3,FALSE)=0,"",VLOOKUP(I163,Tabla7[#All],3,FALSE))</f>
        <v/>
      </c>
      <c r="L163" s="35" t="s">
        <v>442</v>
      </c>
      <c r="M163" s="35" t="s">
        <v>443</v>
      </c>
      <c r="N163" s="35" t="str" cm="1">
        <f t="array" ref="N163">IFERROR(IF(Tabla8[[#This Row],[P/NP]]="NO PROGRAMADA","",_xlfn.TEXTJOIN(", ",TRUE,_xlfn._xlws.FILTER(Tabla4[[#All],[PIEZA]],ISNUMBER(SEARCH(Tabla4[[#All],[PCLAVE]],Tabla8[[#This Row],[DESCRIPCION DE TRABAJO]])),""))),"")</f>
        <v/>
      </c>
      <c r="O163" s="35" t="str" cm="1">
        <f t="array" ref="O163">_xlfn.TEXTJOIN(", ",TRUE,_xlfn._xlws.FILTER(Tabla28[[#All],[PARTE]],ISNUMBER(SEARCH(Tabla28[[#All],[PCLAVE2]],Tabla8[[#This Row],[DESCRIPCION DE TRABAJO]])),""))</f>
        <v/>
      </c>
      <c r="P163" s="303" t="str">
        <f>IFERROR(LEFT(O163, FIND(",", O163)-1), O163)</f>
        <v/>
      </c>
      <c r="Q163" s="303" t="str">
        <f>IFERROR(IF(ISERROR(FIND(",", O163, FIND(",", O163)+1)), RIGHT(O163, LEN(O163)-FIND(",", O163)-1), MID(O163, FIND(",", O163)+2, FIND(",", O163, FIND(",", O163)+1)-FIND(",", O163)-2)), "")</f>
        <v/>
      </c>
      <c r="R163" s="303" t="str">
        <f>IFERROR(RIGHT(O163, LEN(O163)-FIND(",", O163, FIND(",", O163)+1)-1), "")</f>
        <v/>
      </c>
      <c r="S163" s="35" t="str" cm="1">
        <f t="array" ref="S163">_xlfn.TEXTJOIN(", ",TRUE,_xlfn._xlws.FILTER(Tabla29[[#All],[PARTE]],ISNUMBER(SEARCH(Tabla29[[#All],[PCLAVE3]],Tabla8[[#This Row],[DESCRIPCION DE TRABAJO]])),""))</f>
        <v/>
      </c>
      <c r="T163" s="34" t="str">
        <f>IF(AND(Tabla8[[#This Row],[PIEZA]]="",Tabla8[[#This Row],[PARTE]]=""),"VACIO","OK")</f>
        <v>VACIO</v>
      </c>
      <c r="U163" s="303" t="str">
        <f>+CONCATENATE(WEEKNUM(Tabla8[[#This Row],[FECHA]]),"-",YEAR(Tabla8[[#This Row],[FECHA]]))</f>
        <v>3-2026</v>
      </c>
    </row>
    <row r="164" spans="1:21" ht="15" customHeight="1">
      <c r="A164" s="22">
        <v>46062</v>
      </c>
      <c r="B164" s="16" t="s">
        <v>111</v>
      </c>
      <c r="C164" s="10" t="s">
        <v>36</v>
      </c>
      <c r="D164" s="381" t="s">
        <v>444</v>
      </c>
      <c r="E164" s="381" t="s">
        <v>445</v>
      </c>
      <c r="F164" s="380">
        <f>+MOD(Tabla8[[#This Row],[HR. FIN]]-Tabla8[[#This Row],[HR. INICIO]],1)</f>
        <v>3.2638888888888884E-2</v>
      </c>
      <c r="G164" s="16" t="s">
        <v>103</v>
      </c>
      <c r="H164" s="343" t="str">
        <f>IFERROR(VLOOKUP(G164,DATOS!$M$2:$N$219,2,FALSE),"")</f>
        <v>Area</v>
      </c>
      <c r="I164" s="115" t="s">
        <v>43</v>
      </c>
      <c r="J164" s="115" t="str">
        <f>+VLOOKUP($I164,Tabla7[#All],2,FALSE)</f>
        <v>PROGRAMADA</v>
      </c>
      <c r="K164" s="114" t="str">
        <f>IF(VLOOKUP(I164,Tabla7[#All],3,FALSE)=0,"",VLOOKUP(I164,Tabla7[#All],3,FALSE))</f>
        <v/>
      </c>
      <c r="L164" s="35" t="s">
        <v>446</v>
      </c>
      <c r="M164" s="35" t="s">
        <v>121</v>
      </c>
      <c r="N164" s="35" t="str" cm="1">
        <f t="array" ref="N164">IFERROR(IF(Tabla8[[#This Row],[P/NP]]="NO PROGRAMADA","",_xlfn.TEXTJOIN(", ",TRUE,_xlfn._xlws.FILTER(Tabla4[[#All],[PIEZA]],ISNUMBER(SEARCH(Tabla4[[#All],[PCLAVE]],Tabla8[[#This Row],[DESCRIPCION DE TRABAJO]])),""))),"")</f>
        <v/>
      </c>
      <c r="O164" s="35" t="str" cm="1">
        <f t="array" ref="O164">_xlfn.TEXTJOIN(", ",TRUE,_xlfn._xlws.FILTER(Tabla28[[#All],[PARTE]],ISNUMBER(SEARCH(Tabla28[[#All],[PCLAVE2]],Tabla8[[#This Row],[DESCRIPCION DE TRABAJO]])),""))</f>
        <v/>
      </c>
      <c r="P164" s="303" t="str">
        <f>IFERROR(LEFT(O164, FIND(",", O164)-1), O164)</f>
        <v/>
      </c>
      <c r="Q164" s="303" t="str">
        <f>IFERROR(IF(ISERROR(FIND(",", O164, FIND(",", O164)+1)), RIGHT(O164, LEN(O164)-FIND(",", O164)-1), MID(O164, FIND(",", O164)+2, FIND(",", O164, FIND(",", O164)+1)-FIND(",", O164)-2)), "")</f>
        <v/>
      </c>
      <c r="R164" s="303" t="str">
        <f>IFERROR(RIGHT(O164, LEN(O164)-FIND(",", O164, FIND(",", O164)+1)-1), "")</f>
        <v/>
      </c>
      <c r="S164" s="35" t="str" cm="1">
        <f t="array" ref="S164">_xlfn.TEXTJOIN(", ",TRUE,_xlfn._xlws.FILTER(Tabla29[[#All],[PARTE]],ISNUMBER(SEARCH(Tabla29[[#All],[PCLAVE3]],Tabla8[[#This Row],[DESCRIPCION DE TRABAJO]])),""))</f>
        <v/>
      </c>
      <c r="T164" s="34" t="str">
        <f>IF(AND(Tabla8[[#This Row],[PIEZA]]="",Tabla8[[#This Row],[PARTE]]=""),"VACIO","OK")</f>
        <v>VACIO</v>
      </c>
      <c r="U164" s="303" t="str">
        <f>+CONCATENATE(WEEKNUM(Tabla8[[#This Row],[FECHA]]),"-",YEAR(Tabla8[[#This Row],[FECHA]]))</f>
        <v>7-2026</v>
      </c>
    </row>
    <row r="165" spans="1:21" ht="15" customHeight="1">
      <c r="A165" s="22">
        <v>46062</v>
      </c>
      <c r="B165" s="16" t="s">
        <v>111</v>
      </c>
      <c r="C165" s="10" t="s">
        <v>36</v>
      </c>
      <c r="D165" s="381" t="s">
        <v>447</v>
      </c>
      <c r="E165" s="381" t="s">
        <v>448</v>
      </c>
      <c r="F165" s="380">
        <f>+MOD(Tabla8[[#This Row],[HR. FIN]]-Tabla8[[#This Row],[HR. INICIO]],1)</f>
        <v>3.125E-2</v>
      </c>
      <c r="G165" s="16" t="s">
        <v>98</v>
      </c>
      <c r="H165" s="343" t="str">
        <f>IFERROR(VLOOKUP(G165,DATOS!$M$2:$N$219,2,FALSE),"")</f>
        <v>Maquinaria</v>
      </c>
      <c r="I165" s="115" t="s">
        <v>32</v>
      </c>
      <c r="J165" s="115" t="str">
        <f>+VLOOKUP($I165,Tabla7[#All],2,FALSE)</f>
        <v>PROGRAMADA</v>
      </c>
      <c r="K165" s="114" t="str">
        <f>IF(VLOOKUP(I165,Tabla7[#All],3,FALSE)=0,"",VLOOKUP(I165,Tabla7[#All],3,FALSE))</f>
        <v/>
      </c>
      <c r="L165" s="35" t="s">
        <v>449</v>
      </c>
      <c r="M165" s="35" t="s">
        <v>121</v>
      </c>
      <c r="N165" s="35" t="str" cm="1">
        <f t="array" ref="N165">IFERROR(IF(Tabla8[[#This Row],[P/NP]]="NO PROGRAMADA","",_xlfn.TEXTJOIN(", ",TRUE,_xlfn._xlws.FILTER(Tabla4[[#All],[PIEZA]],ISNUMBER(SEARCH(Tabla4[[#All],[PCLAVE]],Tabla8[[#This Row],[DESCRIPCION DE TRABAJO]])),""))),"")</f>
        <v/>
      </c>
      <c r="O165" s="35" t="str" cm="1">
        <f t="array" ref="O165">_xlfn.TEXTJOIN(", ",TRUE,_xlfn._xlws.FILTER(Tabla28[[#All],[PARTE]],ISNUMBER(SEARCH(Tabla28[[#All],[PCLAVE2]],Tabla8[[#This Row],[DESCRIPCION DE TRABAJO]])),""))</f>
        <v/>
      </c>
      <c r="P165" s="303" t="str">
        <f>IFERROR(LEFT(O165, FIND(",", O165)-1), O165)</f>
        <v/>
      </c>
      <c r="Q165" s="303" t="str">
        <f>IFERROR(IF(ISERROR(FIND(",", O165, FIND(",", O165)+1)), RIGHT(O165, LEN(O165)-FIND(",", O165)-1), MID(O165, FIND(",", O165)+2, FIND(",", O165, FIND(",", O165)+1)-FIND(",", O165)-2)), "")</f>
        <v/>
      </c>
      <c r="R165" s="303" t="str">
        <f>IFERROR(RIGHT(O165, LEN(O165)-FIND(",", O165, FIND(",", O165)+1)-1), "")</f>
        <v/>
      </c>
      <c r="S165" s="35" t="str" cm="1">
        <f t="array" ref="S165">_xlfn.TEXTJOIN(", ",TRUE,_xlfn._xlws.FILTER(Tabla29[[#All],[PARTE]],ISNUMBER(SEARCH(Tabla29[[#All],[PCLAVE3]],Tabla8[[#This Row],[DESCRIPCION DE TRABAJO]])),""))</f>
        <v/>
      </c>
      <c r="T165" s="34" t="str">
        <f>IF(AND(Tabla8[[#This Row],[PIEZA]]="",Tabla8[[#This Row],[PARTE]]=""),"VACIO","OK")</f>
        <v>VACIO</v>
      </c>
      <c r="U165" s="303" t="str">
        <f>+CONCATENATE(WEEKNUM(Tabla8[[#This Row],[FECHA]]),"-",YEAR(Tabla8[[#This Row],[FECHA]]))</f>
        <v>7-2026</v>
      </c>
    </row>
    <row r="166" spans="1:21" ht="15" customHeight="1">
      <c r="A166" s="22">
        <v>46062</v>
      </c>
      <c r="B166" s="16" t="s">
        <v>131</v>
      </c>
      <c r="C166" s="10" t="s">
        <v>23</v>
      </c>
      <c r="D166" s="381" t="s">
        <v>450</v>
      </c>
      <c r="E166" s="381" t="s">
        <v>451</v>
      </c>
      <c r="F166" s="380">
        <f>+MOD(Tabla8[[#This Row],[HR. FIN]]-Tabla8[[#This Row],[HR. INICIO]],1)</f>
        <v>3.125E-2</v>
      </c>
      <c r="G166" s="16" t="s">
        <v>31</v>
      </c>
      <c r="H166" s="343" t="str">
        <f>IFERROR(VLOOKUP(G166,DATOS!$M$2:$N$219,2,FALSE),"")</f>
        <v>Maquinaria</v>
      </c>
      <c r="I166" s="115" t="s">
        <v>32</v>
      </c>
      <c r="J166" s="115" t="str">
        <f>+VLOOKUP($I166,Tabla7[#All],2,FALSE)</f>
        <v>PROGRAMADA</v>
      </c>
      <c r="K166" s="114" t="str">
        <f>IF(VLOOKUP(I166,Tabla7[#All],3,FALSE)=0,"",VLOOKUP(I166,Tabla7[#All],3,FALSE))</f>
        <v/>
      </c>
      <c r="L166" s="35" t="s">
        <v>452</v>
      </c>
      <c r="M166" s="35" t="s">
        <v>121</v>
      </c>
      <c r="N166" s="35" t="str" cm="1">
        <f t="array" ref="N166">IFERROR(IF(Tabla8[[#This Row],[P/NP]]="NO PROGRAMADA","",_xlfn.TEXTJOIN(", ",TRUE,_xlfn._xlws.FILTER(Tabla4[[#All],[PIEZA]],ISNUMBER(SEARCH(Tabla4[[#All],[PCLAVE]],Tabla8[[#This Row],[DESCRIPCION DE TRABAJO]])),""))),"")</f>
        <v>Banda, Cadena</v>
      </c>
      <c r="O166" s="35" t="str" cm="1">
        <f t="array" ref="O166">_xlfn.TEXTJOIN(", ",TRUE,_xlfn._xlws.FILTER(Tabla28[[#All],[PARTE]],ISNUMBER(SEARCH(Tabla28[[#All],[PCLAVE2]],Tabla8[[#This Row],[DESCRIPCION DE TRABAJO]])),""))</f>
        <v/>
      </c>
      <c r="P166" s="303" t="str">
        <f>IFERROR(LEFT(O166, FIND(",", O166)-1), O166)</f>
        <v/>
      </c>
      <c r="Q166" s="303" t="str">
        <f>IFERROR(IF(ISERROR(FIND(",", O166, FIND(",", O166)+1)), RIGHT(O166, LEN(O166)-FIND(",", O166)-1), MID(O166, FIND(",", O166)+2, FIND(",", O166, FIND(",", O166)+1)-FIND(",", O166)-2)), "")</f>
        <v/>
      </c>
      <c r="R166" s="303" t="str">
        <f>IFERROR(RIGHT(O166, LEN(O166)-FIND(",", O166, FIND(",", O166)+1)-1), "")</f>
        <v/>
      </c>
      <c r="S166" s="35" t="str" cm="1">
        <f t="array" ref="S166">_xlfn.TEXTJOIN(", ",TRUE,_xlfn._xlws.FILTER(Tabla29[[#All],[PARTE]],ISNUMBER(SEARCH(Tabla29[[#All],[PCLAVE3]],Tabla8[[#This Row],[DESCRIPCION DE TRABAJO]])),""))</f>
        <v>Cambio De Formato</v>
      </c>
      <c r="T166" s="34" t="str">
        <f>IF(AND(Tabla8[[#This Row],[PIEZA]]="",Tabla8[[#This Row],[PARTE]]=""),"VACIO","OK")</f>
        <v>OK</v>
      </c>
      <c r="U166" s="303" t="str">
        <f>+CONCATENATE(WEEKNUM(Tabla8[[#This Row],[FECHA]]),"-",YEAR(Tabla8[[#This Row],[FECHA]]))</f>
        <v>7-2026</v>
      </c>
    </row>
    <row r="167" spans="1:21" ht="15" customHeight="1">
      <c r="A167" s="22">
        <v>46062</v>
      </c>
      <c r="B167" s="16" t="s">
        <v>131</v>
      </c>
      <c r="C167" s="10" t="s">
        <v>23</v>
      </c>
      <c r="D167" s="381" t="s">
        <v>453</v>
      </c>
      <c r="E167" s="381" t="s">
        <v>454</v>
      </c>
      <c r="F167" s="380">
        <f>+MOD(Tabla8[[#This Row],[HR. FIN]]-Tabla8[[#This Row],[HR. INICIO]],1)</f>
        <v>2.9166666666666674E-2</v>
      </c>
      <c r="G167" s="16" t="s">
        <v>119</v>
      </c>
      <c r="H167" s="343" t="str">
        <f>IFERROR(VLOOKUP(G167,DATOS!$M$2:$N$219,2,FALSE),"")</f>
        <v>Maquinaria</v>
      </c>
      <c r="I167" s="115" t="s">
        <v>32</v>
      </c>
      <c r="J167" s="115" t="str">
        <f>+VLOOKUP($I167,Tabla7[#All],2,FALSE)</f>
        <v>PROGRAMADA</v>
      </c>
      <c r="K167" s="114" t="str">
        <f>IF(VLOOKUP(I167,Tabla7[#All],3,FALSE)=0,"",VLOOKUP(I167,Tabla7[#All],3,FALSE))</f>
        <v/>
      </c>
      <c r="L167" s="35" t="s">
        <v>455</v>
      </c>
      <c r="M167" s="35" t="s">
        <v>121</v>
      </c>
      <c r="N167" s="35" t="str" cm="1">
        <f t="array" ref="N167">IFERROR(IF(Tabla8[[#This Row],[P/NP]]="NO PROGRAMADA","",_xlfn.TEXTJOIN(", ",TRUE,_xlfn._xlws.FILTER(Tabla4[[#All],[PIEZA]],ISNUMBER(SEARCH(Tabla4[[#All],[PCLAVE]],Tabla8[[#This Row],[DESCRIPCION DE TRABAJO]])),""))),"")</f>
        <v/>
      </c>
      <c r="O167" s="35" t="str" cm="1">
        <f t="array" ref="O167">_xlfn.TEXTJOIN(", ",TRUE,_xlfn._xlws.FILTER(Tabla28[[#All],[PARTE]],ISNUMBER(SEARCH(Tabla28[[#All],[PCLAVE2]],Tabla8[[#This Row],[DESCRIPCION DE TRABAJO]])),""))</f>
        <v>Mds</v>
      </c>
      <c r="P167" s="303" t="str">
        <f>IFERROR(LEFT(O167, FIND(",", O167)-1), O167)</f>
        <v>Mds</v>
      </c>
      <c r="Q167" s="303" t="str">
        <f>IFERROR(IF(ISERROR(FIND(",", O167, FIND(",", O167)+1)), RIGHT(O167, LEN(O167)-FIND(",", O167)-1), MID(O167, FIND(",", O167)+2, FIND(",", O167, FIND(",", O167)+1)-FIND(",", O167)-2)), "")</f>
        <v/>
      </c>
      <c r="R167" s="303" t="str">
        <f>IFERROR(RIGHT(O167, LEN(O167)-FIND(",", O167, FIND(",", O167)+1)-1), "")</f>
        <v/>
      </c>
      <c r="S167" s="35" t="str" cm="1">
        <f t="array" ref="S167">_xlfn.TEXTJOIN(", ",TRUE,_xlfn._xlws.FILTER(Tabla29[[#All],[PARTE]],ISNUMBER(SEARCH(Tabla29[[#All],[PCLAVE3]],Tabla8[[#This Row],[DESCRIPCION DE TRABAJO]])),""))</f>
        <v/>
      </c>
      <c r="T167" s="34" t="str">
        <f>IF(AND(Tabla8[[#This Row],[PIEZA]]="",Tabla8[[#This Row],[PARTE]]=""),"VACIO","OK")</f>
        <v>OK</v>
      </c>
      <c r="U167" s="303" t="str">
        <f>+CONCATENATE(WEEKNUM(Tabla8[[#This Row],[FECHA]]),"-",YEAR(Tabla8[[#This Row],[FECHA]]))</f>
        <v>7-2026</v>
      </c>
    </row>
    <row r="168" spans="1:21" ht="15" customHeight="1">
      <c r="A168" s="22">
        <v>46062</v>
      </c>
      <c r="B168" s="16" t="s">
        <v>111</v>
      </c>
      <c r="C168" s="10" t="s">
        <v>36</v>
      </c>
      <c r="D168" s="381" t="s">
        <v>456</v>
      </c>
      <c r="E168" s="381" t="s">
        <v>457</v>
      </c>
      <c r="F168" s="380">
        <f>+MOD(Tabla8[[#This Row],[HR. FIN]]-Tabla8[[#This Row],[HR. INICIO]],1)</f>
        <v>2.777777777777779E-2</v>
      </c>
      <c r="G168" s="16" t="s">
        <v>458</v>
      </c>
      <c r="H168" s="343" t="str">
        <f>IFERROR(VLOOKUP(G168,DATOS!$M$2:$N$219,2,FALSE),"")</f>
        <v>Maquinaria</v>
      </c>
      <c r="I168" s="115" t="s">
        <v>32</v>
      </c>
      <c r="J168" s="115" t="str">
        <f>+VLOOKUP($I168,Tabla7[#All],2,FALSE)</f>
        <v>PROGRAMADA</v>
      </c>
      <c r="K168" s="114" t="str">
        <f>IF(VLOOKUP(I168,Tabla7[#All],3,FALSE)=0,"",VLOOKUP(I168,Tabla7[#All],3,FALSE))</f>
        <v/>
      </c>
      <c r="L168" s="35" t="s">
        <v>459</v>
      </c>
      <c r="M168" s="35" t="s">
        <v>121</v>
      </c>
      <c r="N168" s="35" t="str" cm="1">
        <f t="array" ref="N168">IFERROR(IF(Tabla8[[#This Row],[P/NP]]="NO PROGRAMADA","",_xlfn.TEXTJOIN(", ",TRUE,_xlfn._xlws.FILTER(Tabla4[[#All],[PIEZA]],ISNUMBER(SEARCH(Tabla4[[#All],[PCLAVE]],Tabla8[[#This Row],[DESCRIPCION DE TRABAJO]])),""))),"")</f>
        <v>Banda</v>
      </c>
      <c r="O168" s="35" t="str" cm="1">
        <f t="array" ref="O168">_xlfn.TEXTJOIN(", ",TRUE,_xlfn._xlws.FILTER(Tabla28[[#All],[PARTE]],ISNUMBER(SEARCH(Tabla28[[#All],[PCLAVE2]],Tabla8[[#This Row],[DESCRIPCION DE TRABAJO]])),""))</f>
        <v/>
      </c>
      <c r="P168" s="303" t="str">
        <f>IFERROR(LEFT(O168, FIND(",", O168)-1), O168)</f>
        <v/>
      </c>
      <c r="Q168" s="303" t="str">
        <f>IFERROR(IF(ISERROR(FIND(",", O168, FIND(",", O168)+1)), RIGHT(O168, LEN(O168)-FIND(",", O168)-1), MID(O168, FIND(",", O168)+2, FIND(",", O168, FIND(",", O168)+1)-FIND(",", O168)-2)), "")</f>
        <v/>
      </c>
      <c r="R168" s="303" t="str">
        <f>IFERROR(RIGHT(O168, LEN(O168)-FIND(",", O168, FIND(",", O168)+1)-1), "")</f>
        <v/>
      </c>
      <c r="S168" s="35" t="str" cm="1">
        <f t="array" ref="S168">_xlfn.TEXTJOIN(", ",TRUE,_xlfn._xlws.FILTER(Tabla29[[#All],[PARTE]],ISNUMBER(SEARCH(Tabla29[[#All],[PCLAVE3]],Tabla8[[#This Row],[DESCRIPCION DE TRABAJO]])),""))</f>
        <v/>
      </c>
      <c r="T168" s="34" t="str">
        <f>IF(AND(Tabla8[[#This Row],[PIEZA]]="",Tabla8[[#This Row],[PARTE]]=""),"VACIO","OK")</f>
        <v>OK</v>
      </c>
      <c r="U168" s="303" t="str">
        <f>+CONCATENATE(WEEKNUM(Tabla8[[#This Row],[FECHA]]),"-",YEAR(Tabla8[[#This Row],[FECHA]]))</f>
        <v>7-2026</v>
      </c>
    </row>
    <row r="169" spans="1:21" ht="15" customHeight="1">
      <c r="A169" s="22">
        <v>46062</v>
      </c>
      <c r="B169" s="16" t="s">
        <v>131</v>
      </c>
      <c r="C169" s="10" t="s">
        <v>23</v>
      </c>
      <c r="D169" s="381" t="s">
        <v>456</v>
      </c>
      <c r="E169" s="381" t="s">
        <v>457</v>
      </c>
      <c r="F169" s="380">
        <f>+MOD(Tabla8[[#This Row],[HR. FIN]]-Tabla8[[#This Row],[HR. INICIO]],1)</f>
        <v>2.777777777777779E-2</v>
      </c>
      <c r="G169" s="16" t="s">
        <v>458</v>
      </c>
      <c r="H169" s="343" t="str">
        <f>IFERROR(VLOOKUP(G169,DATOS!$M$2:$N$219,2,FALSE),"")</f>
        <v>Maquinaria</v>
      </c>
      <c r="I169" s="115" t="s">
        <v>32</v>
      </c>
      <c r="J169" s="115" t="str">
        <f>+VLOOKUP($I169,Tabla7[#All],2,FALSE)</f>
        <v>PROGRAMADA</v>
      </c>
      <c r="K169" s="114" t="str">
        <f>IF(VLOOKUP(I169,Tabla7[#All],3,FALSE)=0,"",VLOOKUP(I169,Tabla7[#All],3,FALSE))</f>
        <v/>
      </c>
      <c r="L169" s="35" t="s">
        <v>460</v>
      </c>
      <c r="M169" s="35" t="s">
        <v>121</v>
      </c>
      <c r="N169" s="35" t="str" cm="1">
        <f t="array" ref="N169">IFERROR(IF(Tabla8[[#This Row],[P/NP]]="NO PROGRAMADA","",_xlfn.TEXTJOIN(", ",TRUE,_xlfn._xlws.FILTER(Tabla4[[#All],[PIEZA]],ISNUMBER(SEARCH(Tabla4[[#All],[PCLAVE]],Tabla8[[#This Row],[DESCRIPCION DE TRABAJO]])),""))),"")</f>
        <v>Banda</v>
      </c>
      <c r="O169" s="35" t="str" cm="1">
        <f t="array" ref="O169">_xlfn.TEXTJOIN(", ",TRUE,_xlfn._xlws.FILTER(Tabla28[[#All],[PARTE]],ISNUMBER(SEARCH(Tabla28[[#All],[PCLAVE2]],Tabla8[[#This Row],[DESCRIPCION DE TRABAJO]])),""))</f>
        <v/>
      </c>
      <c r="P169" s="303" t="str">
        <f>IFERROR(LEFT(O169, FIND(",", O169)-1), O169)</f>
        <v/>
      </c>
      <c r="Q169" s="303" t="str">
        <f>IFERROR(IF(ISERROR(FIND(",", O169, FIND(",", O169)+1)), RIGHT(O169, LEN(O169)-FIND(",", O169)-1), MID(O169, FIND(",", O169)+2, FIND(",", O169, FIND(",", O169)+1)-FIND(",", O169)-2)), "")</f>
        <v/>
      </c>
      <c r="R169" s="303" t="str">
        <f>IFERROR(RIGHT(O169, LEN(O169)-FIND(",", O169, FIND(",", O169)+1)-1), "")</f>
        <v/>
      </c>
      <c r="S169" s="35" t="str" cm="1">
        <f t="array" ref="S169">_xlfn.TEXTJOIN(", ",TRUE,_xlfn._xlws.FILTER(Tabla29[[#All],[PARTE]],ISNUMBER(SEARCH(Tabla29[[#All],[PCLAVE3]],Tabla8[[#This Row],[DESCRIPCION DE TRABAJO]])),""))</f>
        <v/>
      </c>
      <c r="T169" s="34" t="str">
        <f>IF(AND(Tabla8[[#This Row],[PIEZA]]="",Tabla8[[#This Row],[PARTE]]=""),"VACIO","OK")</f>
        <v>OK</v>
      </c>
      <c r="U169" s="303" t="str">
        <f>+CONCATENATE(WEEKNUM(Tabla8[[#This Row],[FECHA]]),"-",YEAR(Tabla8[[#This Row],[FECHA]]))</f>
        <v>7-2026</v>
      </c>
    </row>
    <row r="170" spans="1:21" ht="15" customHeight="1">
      <c r="A170" s="22">
        <v>46062</v>
      </c>
      <c r="B170" s="16" t="s">
        <v>111</v>
      </c>
      <c r="C170" s="10" t="s">
        <v>36</v>
      </c>
      <c r="D170" s="381" t="s">
        <v>461</v>
      </c>
      <c r="E170" s="381" t="s">
        <v>462</v>
      </c>
      <c r="F170" s="380">
        <f>+MOD(Tabla8[[#This Row],[HR. FIN]]-Tabla8[[#This Row],[HR. INICIO]],1)</f>
        <v>2.430555555555558E-2</v>
      </c>
      <c r="G170" s="16" t="s">
        <v>458</v>
      </c>
      <c r="H170" s="343" t="str">
        <f>IFERROR(VLOOKUP(G170,DATOS!$M$2:$N$219,2,FALSE),"")</f>
        <v>Maquinaria</v>
      </c>
      <c r="I170" s="115" t="s">
        <v>32</v>
      </c>
      <c r="J170" s="115" t="str">
        <f>+VLOOKUP($I170,Tabla7[#All],2,FALSE)</f>
        <v>PROGRAMADA</v>
      </c>
      <c r="K170" s="114" t="str">
        <f>IF(VLOOKUP(I170,Tabla7[#All],3,FALSE)=0,"",VLOOKUP(I170,Tabla7[#All],3,FALSE))</f>
        <v/>
      </c>
      <c r="L170" s="35" t="s">
        <v>463</v>
      </c>
      <c r="M170" s="35" t="s">
        <v>121</v>
      </c>
      <c r="N170" s="35" t="str" cm="1">
        <f t="array" ref="N170">IFERROR(IF(Tabla8[[#This Row],[P/NP]]="NO PROGRAMADA","",_xlfn.TEXTJOIN(", ",TRUE,_xlfn._xlws.FILTER(Tabla4[[#All],[PIEZA]],ISNUMBER(SEARCH(Tabla4[[#All],[PCLAVE]],Tabla8[[#This Row],[DESCRIPCION DE TRABAJO]])),""))),"")</f>
        <v>Banda</v>
      </c>
      <c r="O170" s="35" t="str" cm="1">
        <f t="array" ref="O170">_xlfn.TEXTJOIN(", ",TRUE,_xlfn._xlws.FILTER(Tabla28[[#All],[PARTE]],ISNUMBER(SEARCH(Tabla28[[#All],[PCLAVE2]],Tabla8[[#This Row],[DESCRIPCION DE TRABAJO]])),""))</f>
        <v/>
      </c>
      <c r="P170" s="303" t="str">
        <f>IFERROR(LEFT(O170, FIND(",", O170)-1), O170)</f>
        <v/>
      </c>
      <c r="Q170" s="303" t="str">
        <f>IFERROR(IF(ISERROR(FIND(",", O170, FIND(",", O170)+1)), RIGHT(O170, LEN(O170)-FIND(",", O170)-1), MID(O170, FIND(",", O170)+2, FIND(",", O170, FIND(",", O170)+1)-FIND(",", O170)-2)), "")</f>
        <v/>
      </c>
      <c r="R170" s="303" t="str">
        <f>IFERROR(RIGHT(O170, LEN(O170)-FIND(",", O170, FIND(",", O170)+1)-1), "")</f>
        <v/>
      </c>
      <c r="S170" s="35" t="str" cm="1">
        <f t="array" ref="S170">_xlfn.TEXTJOIN(", ",TRUE,_xlfn._xlws.FILTER(Tabla29[[#All],[PARTE]],ISNUMBER(SEARCH(Tabla29[[#All],[PCLAVE3]],Tabla8[[#This Row],[DESCRIPCION DE TRABAJO]])),""))</f>
        <v>Sustitucion</v>
      </c>
      <c r="T170" s="34" t="str">
        <f>IF(AND(Tabla8[[#This Row],[PIEZA]]="",Tabla8[[#This Row],[PARTE]]=""),"VACIO","OK")</f>
        <v>OK</v>
      </c>
      <c r="U170" s="303" t="str">
        <f>+CONCATENATE(WEEKNUM(Tabla8[[#This Row],[FECHA]]),"-",YEAR(Tabla8[[#This Row],[FECHA]]))</f>
        <v>7-2026</v>
      </c>
    </row>
    <row r="171" spans="1:21" ht="15" customHeight="1">
      <c r="A171" s="22">
        <v>46062</v>
      </c>
      <c r="B171" s="16" t="s">
        <v>131</v>
      </c>
      <c r="C171" s="10" t="s">
        <v>23</v>
      </c>
      <c r="D171" s="381" t="s">
        <v>464</v>
      </c>
      <c r="E171" s="381" t="s">
        <v>465</v>
      </c>
      <c r="F171" s="380">
        <f>+MOD(Tabla8[[#This Row],[HR. FIN]]-Tabla8[[#This Row],[HR. INICIO]],1)</f>
        <v>2.2916666666666696E-2</v>
      </c>
      <c r="G171" s="16" t="s">
        <v>31</v>
      </c>
      <c r="H171" s="343" t="str">
        <f>IFERROR(VLOOKUP(G171,DATOS!$M$2:$N$219,2,FALSE),"")</f>
        <v>Maquinaria</v>
      </c>
      <c r="I171" s="115" t="s">
        <v>32</v>
      </c>
      <c r="J171" s="115" t="str">
        <f>+VLOOKUP($I171,Tabla7[#All],2,FALSE)</f>
        <v>PROGRAMADA</v>
      </c>
      <c r="K171" s="114" t="str">
        <f>IF(VLOOKUP(I171,Tabla7[#All],3,FALSE)=0,"",VLOOKUP(I171,Tabla7[#All],3,FALSE))</f>
        <v/>
      </c>
      <c r="L171" s="35" t="s">
        <v>466</v>
      </c>
      <c r="M171" s="35" t="s">
        <v>121</v>
      </c>
      <c r="N171" s="35" t="str" cm="1">
        <f t="array" ref="N171">IFERROR(IF(Tabla8[[#This Row],[P/NP]]="NO PROGRAMADA","",_xlfn.TEXTJOIN(", ",TRUE,_xlfn._xlws.FILTER(Tabla4[[#All],[PIEZA]],ISNUMBER(SEARCH(Tabla4[[#All],[PCLAVE]],Tabla8[[#This Row],[DESCRIPCION DE TRABAJO]])),""))),"")</f>
        <v>Mordaza</v>
      </c>
      <c r="O171" s="35" t="str" cm="1">
        <f t="array" ref="O171">_xlfn.TEXTJOIN(", ",TRUE,_xlfn._xlws.FILTER(Tabla28[[#All],[PARTE]],ISNUMBER(SEARCH(Tabla28[[#All],[PCLAVE2]],Tabla8[[#This Row],[DESCRIPCION DE TRABAJO]])),""))</f>
        <v/>
      </c>
      <c r="P171" s="303" t="str">
        <f>IFERROR(LEFT(O171, FIND(",", O171)-1), O171)</f>
        <v/>
      </c>
      <c r="Q171" s="303" t="str">
        <f>IFERROR(IF(ISERROR(FIND(",", O171, FIND(",", O171)+1)), RIGHT(O171, LEN(O171)-FIND(",", O171)-1), MID(O171, FIND(",", O171)+2, FIND(",", O171, FIND(",", O171)+1)-FIND(",", O171)-2)), "")</f>
        <v/>
      </c>
      <c r="R171" s="303" t="str">
        <f>IFERROR(RIGHT(O171, LEN(O171)-FIND(",", O171, FIND(",", O171)+1)-1), "")</f>
        <v/>
      </c>
      <c r="S171" s="35" t="str" cm="1">
        <f t="array" ref="S171">_xlfn.TEXTJOIN(", ",TRUE,_xlfn._xlws.FILTER(Tabla29[[#All],[PARTE]],ISNUMBER(SEARCH(Tabla29[[#All],[PCLAVE3]],Tabla8[[#This Row],[DESCRIPCION DE TRABAJO]])),""))</f>
        <v>Cambio De Formato</v>
      </c>
      <c r="T171" s="34" t="str">
        <f>IF(AND(Tabla8[[#This Row],[PIEZA]]="",Tabla8[[#This Row],[PARTE]]=""),"VACIO","OK")</f>
        <v>OK</v>
      </c>
      <c r="U171" s="303" t="str">
        <f>+CONCATENATE(WEEKNUM(Tabla8[[#This Row],[FECHA]]),"-",YEAR(Tabla8[[#This Row],[FECHA]]))</f>
        <v>7-2026</v>
      </c>
    </row>
    <row r="172" spans="1:21" ht="15" customHeight="1">
      <c r="A172" s="22">
        <v>46062</v>
      </c>
      <c r="B172" s="16" t="s">
        <v>111</v>
      </c>
      <c r="C172" s="10" t="s">
        <v>36</v>
      </c>
      <c r="D172" s="381" t="s">
        <v>122</v>
      </c>
      <c r="E172" s="381" t="s">
        <v>123</v>
      </c>
      <c r="F172" s="380">
        <f>+MOD(Tabla8[[#This Row],[HR. FIN]]-Tabla8[[#This Row],[HR. INICIO]],1)</f>
        <v>2.083333333333337E-2</v>
      </c>
      <c r="G172" s="16" t="s">
        <v>24</v>
      </c>
      <c r="H172" s="343" t="str">
        <f>IFERROR(VLOOKUP(G172,DATOS!$M$2:$N$219,2,FALSE),"")</f>
        <v>Maquinaria</v>
      </c>
      <c r="I172" s="115" t="s">
        <v>32</v>
      </c>
      <c r="J172" s="115" t="str">
        <f>+VLOOKUP($I172,Tabla7[#All],2,FALSE)</f>
        <v>PROGRAMADA</v>
      </c>
      <c r="K172" s="114" t="str">
        <f>IF(VLOOKUP(I172,Tabla7[#All],3,FALSE)=0,"",VLOOKUP(I172,Tabla7[#All],3,FALSE))</f>
        <v/>
      </c>
      <c r="L172" s="35" t="s">
        <v>467</v>
      </c>
      <c r="M172" s="35" t="s">
        <v>121</v>
      </c>
      <c r="N172" s="35" t="str" cm="1">
        <f t="array" ref="N172">IFERROR(IF(Tabla8[[#This Row],[P/NP]]="NO PROGRAMADA","",_xlfn.TEXTJOIN(", ",TRUE,_xlfn._xlws.FILTER(Tabla4[[#All],[PIEZA]],ISNUMBER(SEARCH(Tabla4[[#All],[PCLAVE]],Tabla8[[#This Row],[DESCRIPCION DE TRABAJO]])),""))),"")</f>
        <v/>
      </c>
      <c r="O172" s="35" t="str" cm="1">
        <f t="array" ref="O172">_xlfn.TEXTJOIN(", ",TRUE,_xlfn._xlws.FILTER(Tabla28[[#All],[PARTE]],ISNUMBER(SEARCH(Tabla28[[#All],[PCLAVE2]],Tabla8[[#This Row],[DESCRIPCION DE TRABAJO]])),""))</f>
        <v/>
      </c>
      <c r="P172" s="303" t="str">
        <f>IFERROR(LEFT(O172, FIND(",", O172)-1), O172)</f>
        <v/>
      </c>
      <c r="Q172" s="303" t="str">
        <f>IFERROR(IF(ISERROR(FIND(",", O172, FIND(",", O172)+1)), RIGHT(O172, LEN(O172)-FIND(",", O172)-1), MID(O172, FIND(",", O172)+2, FIND(",", O172, FIND(",", O172)+1)-FIND(",", O172)-2)), "")</f>
        <v/>
      </c>
      <c r="R172" s="303" t="str">
        <f>IFERROR(RIGHT(O172, LEN(O172)-FIND(",", O172, FIND(",", O172)+1)-1), "")</f>
        <v/>
      </c>
      <c r="S172" s="35" t="str" cm="1">
        <f t="array" ref="S172">_xlfn.TEXTJOIN(", ",TRUE,_xlfn._xlws.FILTER(Tabla29[[#All],[PARTE]],ISNUMBER(SEARCH(Tabla29[[#All],[PCLAVE3]],Tabla8[[#This Row],[DESCRIPCION DE TRABAJO]])),""))</f>
        <v/>
      </c>
      <c r="T172" s="34" t="str">
        <f>IF(AND(Tabla8[[#This Row],[PIEZA]]="",Tabla8[[#This Row],[PARTE]]=""),"VACIO","OK")</f>
        <v>VACIO</v>
      </c>
      <c r="U172" s="303" t="str">
        <f>+CONCATENATE(WEEKNUM(Tabla8[[#This Row],[FECHA]]),"-",YEAR(Tabla8[[#This Row],[FECHA]]))</f>
        <v>7-2026</v>
      </c>
    </row>
    <row r="173" spans="1:21" ht="15" customHeight="1">
      <c r="A173" s="22">
        <v>46062</v>
      </c>
      <c r="B173" s="16" t="s">
        <v>111</v>
      </c>
      <c r="C173" s="10" t="s">
        <v>36</v>
      </c>
      <c r="D173" s="381" t="s">
        <v>468</v>
      </c>
      <c r="E173" s="381" t="s">
        <v>107</v>
      </c>
      <c r="F173" s="380">
        <f>+MOD(Tabla8[[#This Row],[HR. FIN]]-Tabla8[[#This Row],[HR. INICIO]],1)</f>
        <v>2.083333333333337E-2</v>
      </c>
      <c r="G173" s="16" t="s">
        <v>114</v>
      </c>
      <c r="H173" s="343" t="str">
        <f>IFERROR(VLOOKUP(G173,DATOS!$M$2:$N$219,2,FALSE),"")</f>
        <v>Maquinaria</v>
      </c>
      <c r="I173" s="115" t="s">
        <v>32</v>
      </c>
      <c r="J173" s="115" t="str">
        <f>+VLOOKUP($I173,Tabla7[#All],2,FALSE)</f>
        <v>PROGRAMADA</v>
      </c>
      <c r="K173" s="114" t="str">
        <f>IF(VLOOKUP(I173,Tabla7[#All],3,FALSE)=0,"",VLOOKUP(I173,Tabla7[#All],3,FALSE))</f>
        <v/>
      </c>
      <c r="L173" s="35" t="s">
        <v>469</v>
      </c>
      <c r="M173" s="35" t="s">
        <v>121</v>
      </c>
      <c r="N173" s="35" t="str" cm="1">
        <f t="array" ref="N173">IFERROR(IF(Tabla8[[#This Row],[P/NP]]="NO PROGRAMADA","",_xlfn.TEXTJOIN(", ",TRUE,_xlfn._xlws.FILTER(Tabla4[[#All],[PIEZA]],ISNUMBER(SEARCH(Tabla4[[#All],[PCLAVE]],Tabla8[[#This Row],[DESCRIPCION DE TRABAJO]])),""))),"")</f>
        <v/>
      </c>
      <c r="O173" s="35" t="str" cm="1">
        <f t="array" ref="O173">_xlfn.TEXTJOIN(", ",TRUE,_xlfn._xlws.FILTER(Tabla28[[#All],[PARTE]],ISNUMBER(SEARCH(Tabla28[[#All],[PCLAVE2]],Tabla8[[#This Row],[DESCRIPCION DE TRABAJO]])),""))</f>
        <v/>
      </c>
      <c r="P173" s="303" t="str">
        <f>IFERROR(LEFT(O173, FIND(",", O173)-1), O173)</f>
        <v/>
      </c>
      <c r="Q173" s="303" t="str">
        <f>IFERROR(IF(ISERROR(FIND(",", O173, FIND(",", O173)+1)), RIGHT(O173, LEN(O173)-FIND(",", O173)-1), MID(O173, FIND(",", O173)+2, FIND(",", O173, FIND(",", O173)+1)-FIND(",", O173)-2)), "")</f>
        <v/>
      </c>
      <c r="R173" s="303" t="str">
        <f>IFERROR(RIGHT(O173, LEN(O173)-FIND(",", O173, FIND(",", O173)+1)-1), "")</f>
        <v/>
      </c>
      <c r="S173" s="35" t="str" cm="1">
        <f t="array" ref="S173">_xlfn.TEXTJOIN(", ",TRUE,_xlfn._xlws.FILTER(Tabla29[[#All],[PARTE]],ISNUMBER(SEARCH(Tabla29[[#All],[PCLAVE3]],Tabla8[[#This Row],[DESCRIPCION DE TRABAJO]])),""))</f>
        <v/>
      </c>
      <c r="T173" s="34" t="str">
        <f>IF(AND(Tabla8[[#This Row],[PIEZA]]="",Tabla8[[#This Row],[PARTE]]=""),"VACIO","OK")</f>
        <v>VACIO</v>
      </c>
      <c r="U173" s="303" t="str">
        <f>+CONCATENATE(WEEKNUM(Tabla8[[#This Row],[FECHA]]),"-",YEAR(Tabla8[[#This Row],[FECHA]]))</f>
        <v>7-2026</v>
      </c>
    </row>
    <row r="174" spans="1:21" ht="15" customHeight="1">
      <c r="A174" s="22">
        <v>46062</v>
      </c>
      <c r="B174" s="16" t="s">
        <v>131</v>
      </c>
      <c r="C174" s="10" t="s">
        <v>23</v>
      </c>
      <c r="D174" s="381" t="s">
        <v>468</v>
      </c>
      <c r="E174" s="381" t="s">
        <v>107</v>
      </c>
      <c r="F174" s="380">
        <f>+MOD(Tabla8[[#This Row],[HR. FIN]]-Tabla8[[#This Row],[HR. INICIO]],1)</f>
        <v>2.083333333333337E-2</v>
      </c>
      <c r="G174" s="16" t="s">
        <v>114</v>
      </c>
      <c r="H174" s="343" t="str">
        <f>IFERROR(VLOOKUP(G174,DATOS!$M$2:$N$219,2,FALSE),"")</f>
        <v>Maquinaria</v>
      </c>
      <c r="I174" s="115" t="s">
        <v>32</v>
      </c>
      <c r="J174" s="115" t="str">
        <f>+VLOOKUP($I174,Tabla7[#All],2,FALSE)</f>
        <v>PROGRAMADA</v>
      </c>
      <c r="K174" s="114" t="str">
        <f>IF(VLOOKUP(I174,Tabla7[#All],3,FALSE)=0,"",VLOOKUP(I174,Tabla7[#All],3,FALSE))</f>
        <v/>
      </c>
      <c r="L174" s="35" t="s">
        <v>449</v>
      </c>
      <c r="M174" s="35" t="s">
        <v>121</v>
      </c>
      <c r="N174" s="35" t="str" cm="1">
        <f t="array" ref="N174">IFERROR(IF(Tabla8[[#This Row],[P/NP]]="NO PROGRAMADA","",_xlfn.TEXTJOIN(", ",TRUE,_xlfn._xlws.FILTER(Tabla4[[#All],[PIEZA]],ISNUMBER(SEARCH(Tabla4[[#All],[PCLAVE]],Tabla8[[#This Row],[DESCRIPCION DE TRABAJO]])),""))),"")</f>
        <v/>
      </c>
      <c r="O174" s="35" t="str" cm="1">
        <f t="array" ref="O174">_xlfn.TEXTJOIN(", ",TRUE,_xlfn._xlws.FILTER(Tabla28[[#All],[PARTE]],ISNUMBER(SEARCH(Tabla28[[#All],[PCLAVE2]],Tabla8[[#This Row],[DESCRIPCION DE TRABAJO]])),""))</f>
        <v/>
      </c>
      <c r="P174" s="303" t="str">
        <f>IFERROR(LEFT(O174, FIND(",", O174)-1), O174)</f>
        <v/>
      </c>
      <c r="Q174" s="303" t="str">
        <f>IFERROR(IF(ISERROR(FIND(",", O174, FIND(",", O174)+1)), RIGHT(O174, LEN(O174)-FIND(",", O174)-1), MID(O174, FIND(",", O174)+2, FIND(",", O174, FIND(",", O174)+1)-FIND(",", O174)-2)), "")</f>
        <v/>
      </c>
      <c r="R174" s="303" t="str">
        <f>IFERROR(RIGHT(O174, LEN(O174)-FIND(",", O174, FIND(",", O174)+1)-1), "")</f>
        <v/>
      </c>
      <c r="S174" s="35" t="str" cm="1">
        <f t="array" ref="S174">_xlfn.TEXTJOIN(", ",TRUE,_xlfn._xlws.FILTER(Tabla29[[#All],[PARTE]],ISNUMBER(SEARCH(Tabla29[[#All],[PCLAVE3]],Tabla8[[#This Row],[DESCRIPCION DE TRABAJO]])),""))</f>
        <v/>
      </c>
      <c r="T174" s="34" t="str">
        <f>IF(AND(Tabla8[[#This Row],[PIEZA]]="",Tabla8[[#This Row],[PARTE]]=""),"VACIO","OK")</f>
        <v>VACIO</v>
      </c>
      <c r="U174" s="303" t="str">
        <f>+CONCATENATE(WEEKNUM(Tabla8[[#This Row],[FECHA]]),"-",YEAR(Tabla8[[#This Row],[FECHA]]))</f>
        <v>7-2026</v>
      </c>
    </row>
    <row r="175" spans="1:21" ht="15" customHeight="1">
      <c r="A175" s="22">
        <v>46062</v>
      </c>
      <c r="B175" s="16" t="s">
        <v>111</v>
      </c>
      <c r="C175" s="10" t="s">
        <v>36</v>
      </c>
      <c r="D175" s="381" t="s">
        <v>470</v>
      </c>
      <c r="E175" s="381" t="s">
        <v>471</v>
      </c>
      <c r="F175" s="380">
        <f>+MOD(Tabla8[[#This Row],[HR. FIN]]-Tabla8[[#This Row],[HR. INICIO]],1)</f>
        <v>2.0833333333333315E-2</v>
      </c>
      <c r="G175" s="16" t="s">
        <v>312</v>
      </c>
      <c r="H175" s="343" t="str">
        <f>IFERROR(VLOOKUP(G175,DATOS!$M$2:$N$219,2,FALSE),"")</f>
        <v>Maquinaria</v>
      </c>
      <c r="I175" s="115" t="s">
        <v>32</v>
      </c>
      <c r="J175" s="115" t="str">
        <f>+VLOOKUP($I175,Tabla7[#All],2,FALSE)</f>
        <v>PROGRAMADA</v>
      </c>
      <c r="K175" s="114" t="str">
        <f>IF(VLOOKUP(I175,Tabla7[#All],3,FALSE)=0,"",VLOOKUP(I175,Tabla7[#All],3,FALSE))</f>
        <v/>
      </c>
      <c r="L175" s="35" t="s">
        <v>472</v>
      </c>
      <c r="M175" s="35" t="s">
        <v>121</v>
      </c>
      <c r="N175" s="35" t="str" cm="1">
        <f t="array" ref="N175">IFERROR(IF(Tabla8[[#This Row],[P/NP]]="NO PROGRAMADA","",_xlfn.TEXTJOIN(", ",TRUE,_xlfn._xlws.FILTER(Tabla4[[#All],[PIEZA]],ISNUMBER(SEARCH(Tabla4[[#All],[PCLAVE]],Tabla8[[#This Row],[DESCRIPCION DE TRABAJO]])),""))),"")</f>
        <v>Polin De Arrastre</v>
      </c>
      <c r="O175" s="35" t="str" cm="1">
        <f t="array" ref="O175">_xlfn.TEXTJOIN(", ",TRUE,_xlfn._xlws.FILTER(Tabla28[[#All],[PARTE]],ISNUMBER(SEARCH(Tabla28[[#All],[PCLAVE2]],Tabla8[[#This Row],[DESCRIPCION DE TRABAJO]])),""))</f>
        <v/>
      </c>
      <c r="P175" s="303" t="str">
        <f>IFERROR(LEFT(O175, FIND(",", O175)-1), O175)</f>
        <v/>
      </c>
      <c r="Q175" s="303" t="str">
        <f>IFERROR(IF(ISERROR(FIND(",", O175, FIND(",", O175)+1)), RIGHT(O175, LEN(O175)-FIND(",", O175)-1), MID(O175, FIND(",", O175)+2, FIND(",", O175, FIND(",", O175)+1)-FIND(",", O175)-2)), "")</f>
        <v/>
      </c>
      <c r="R175" s="303" t="str">
        <f>IFERROR(RIGHT(O175, LEN(O175)-FIND(",", O175, FIND(",", O175)+1)-1), "")</f>
        <v/>
      </c>
      <c r="S175" s="35" t="str" cm="1">
        <f t="array" ref="S175">_xlfn.TEXTJOIN(", ",TRUE,_xlfn._xlws.FILTER(Tabla29[[#All],[PARTE]],ISNUMBER(SEARCH(Tabla29[[#All],[PCLAVE3]],Tabla8[[#This Row],[DESCRIPCION DE TRABAJO]])),""))</f>
        <v>Sustitucion, Temperatura</v>
      </c>
      <c r="T175" s="34" t="str">
        <f>IF(AND(Tabla8[[#This Row],[PIEZA]]="",Tabla8[[#This Row],[PARTE]]=""),"VACIO","OK")</f>
        <v>OK</v>
      </c>
      <c r="U175" s="303" t="str">
        <f>+CONCATENATE(WEEKNUM(Tabla8[[#This Row],[FECHA]]),"-",YEAR(Tabla8[[#This Row],[FECHA]]))</f>
        <v>7-2026</v>
      </c>
    </row>
    <row r="176" spans="1:21" ht="15" customHeight="1">
      <c r="A176" s="22">
        <v>46062</v>
      </c>
      <c r="B176" s="16" t="s">
        <v>191</v>
      </c>
      <c r="C176" s="10" t="s">
        <v>39</v>
      </c>
      <c r="D176" s="381" t="s">
        <v>473</v>
      </c>
      <c r="E176" s="381" t="s">
        <v>474</v>
      </c>
      <c r="F176" s="380">
        <f>+MOD(Tabla8[[#This Row],[HR. FIN]]-Tabla8[[#This Row],[HR. INICIO]],1)</f>
        <v>1.9444444444444375E-2</v>
      </c>
      <c r="G176" s="16" t="s">
        <v>24</v>
      </c>
      <c r="H176" s="343" t="str">
        <f>IFERROR(VLOOKUP(G176,DATOS!$M$2:$N$219,2,FALSE),"")</f>
        <v>Maquinaria</v>
      </c>
      <c r="I176" s="115" t="s">
        <v>57</v>
      </c>
      <c r="J176" s="115" t="str">
        <f>+VLOOKUP($I176,Tabla7[#All],2,FALSE)</f>
        <v>NO PROGRAMADA</v>
      </c>
      <c r="K176" s="114" t="str">
        <f>IF(VLOOKUP(I176,Tabla7[#All],3,FALSE)=0,"",VLOOKUP(I176,Tabla7[#All],3,FALSE))</f>
        <v>MECÁNICA</v>
      </c>
      <c r="L176" s="35" t="s">
        <v>475</v>
      </c>
      <c r="M176" s="35" t="s">
        <v>476</v>
      </c>
      <c r="N176" s="35" t="str" cm="1">
        <f t="array" ref="N176">IFERROR(IF(Tabla8[[#This Row],[P/NP]]="NO PROGRAMADA","",_xlfn.TEXTJOIN(", ",TRUE,_xlfn._xlws.FILTER(Tabla4[[#All],[PIEZA]],ISNUMBER(SEARCH(Tabla4[[#All],[PCLAVE]],Tabla8[[#This Row],[DESCRIPCION DE TRABAJO]])),""))),"")</f>
        <v/>
      </c>
      <c r="O176" s="35" t="str" cm="1">
        <f t="array" ref="O176">_xlfn.TEXTJOIN(", ",TRUE,_xlfn._xlws.FILTER(Tabla28[[#All],[PARTE]],ISNUMBER(SEARCH(Tabla28[[#All],[PCLAVE2]],Tabla8[[#This Row],[DESCRIPCION DE TRABAJO]])),""))</f>
        <v/>
      </c>
      <c r="P176" s="303" t="str">
        <f>IFERROR(LEFT(O176, FIND(",", O176)-1), O176)</f>
        <v/>
      </c>
      <c r="Q176" s="303" t="str">
        <f>IFERROR(IF(ISERROR(FIND(",", O176, FIND(",", O176)+1)), RIGHT(O176, LEN(O176)-FIND(",", O176)-1), MID(O176, FIND(",", O176)+2, FIND(",", O176, FIND(",", O176)+1)-FIND(",", O176)-2)), "")</f>
        <v/>
      </c>
      <c r="R176" s="303" t="str">
        <f>IFERROR(RIGHT(O176, LEN(O176)-FIND(",", O176, FIND(",", O176)+1)-1), "")</f>
        <v/>
      </c>
      <c r="S176" s="35" t="str" cm="1">
        <f t="array" ref="S176">_xlfn.TEXTJOIN(", ",TRUE,_xlfn._xlws.FILTER(Tabla29[[#All],[PARTE]],ISNUMBER(SEARCH(Tabla29[[#All],[PCLAVE3]],Tabla8[[#This Row],[DESCRIPCION DE TRABAJO]])),""))</f>
        <v/>
      </c>
      <c r="T176" s="34" t="str">
        <f>IF(AND(Tabla8[[#This Row],[PIEZA]]="",Tabla8[[#This Row],[PARTE]]=""),"VACIO","OK")</f>
        <v>VACIO</v>
      </c>
      <c r="U176" s="303" t="str">
        <f>+CONCATENATE(WEEKNUM(Tabla8[[#This Row],[FECHA]]),"-",YEAR(Tabla8[[#This Row],[FECHA]]))</f>
        <v>7-2026</v>
      </c>
    </row>
    <row r="177" spans="1:21" ht="15" customHeight="1">
      <c r="A177" s="22">
        <v>46062</v>
      </c>
      <c r="B177" s="16" t="s">
        <v>191</v>
      </c>
      <c r="C177" s="10" t="s">
        <v>39</v>
      </c>
      <c r="D177" s="381" t="s">
        <v>477</v>
      </c>
      <c r="E177" s="381" t="s">
        <v>478</v>
      </c>
      <c r="F177" s="380">
        <f>+MOD(Tabla8[[#This Row],[HR. FIN]]-Tabla8[[#This Row],[HR. INICIO]],1)</f>
        <v>1.8055555555555602E-2</v>
      </c>
      <c r="G177" s="16" t="s">
        <v>238</v>
      </c>
      <c r="H177" s="343" t="str">
        <f>IFERROR(VLOOKUP(G177,DATOS!$M$2:$N$219,2,FALSE),"")</f>
        <v>Maquinaria</v>
      </c>
      <c r="I177" s="115" t="s">
        <v>32</v>
      </c>
      <c r="J177" s="115" t="s">
        <v>92</v>
      </c>
      <c r="K177" s="114" t="s">
        <v>148</v>
      </c>
      <c r="L177" s="35" t="s">
        <v>479</v>
      </c>
      <c r="M177" s="35" t="s">
        <v>480</v>
      </c>
      <c r="N177" s="35" t="str" cm="1">
        <f t="array" ref="N177">IFERROR(IF(Tabla8[[#This Row],[P/NP]]="NO PROGRAMADA","",_xlfn.TEXTJOIN(", ",TRUE,_xlfn._xlws.FILTER(Tabla4[[#All],[PIEZA]],ISNUMBER(SEARCH(Tabla4[[#All],[PCLAVE]],Tabla8[[#This Row],[DESCRIPCION DE TRABAJO]])),""))),"")</f>
        <v/>
      </c>
      <c r="O177" s="35" t="str" cm="1">
        <f t="array" ref="O177">_xlfn.TEXTJOIN(", ",TRUE,_xlfn._xlws.FILTER(Tabla28[[#All],[PARTE]],ISNUMBER(SEARCH(Tabla28[[#All],[PCLAVE2]],Tabla8[[#This Row],[DESCRIPCION DE TRABAJO]])),""))</f>
        <v>Temperadora</v>
      </c>
      <c r="P177" s="303" t="str">
        <f>IFERROR(LEFT(O177, FIND(",", O177)-1), O177)</f>
        <v>Temperadora</v>
      </c>
      <c r="Q177" s="303" t="str">
        <f>IFERROR(IF(ISERROR(FIND(",", O177, FIND(",", O177)+1)), RIGHT(O177, LEN(O177)-FIND(",", O177)-1), MID(O177, FIND(",", O177)+2, FIND(",", O177, FIND(",", O177)+1)-FIND(",", O177)-2)), "")</f>
        <v/>
      </c>
      <c r="R177" s="303" t="str">
        <f>IFERROR(RIGHT(O177, LEN(O177)-FIND(",", O177, FIND(",", O177)+1)-1), "")</f>
        <v/>
      </c>
      <c r="S177" s="35" t="str" cm="1">
        <f t="array" ref="S177">_xlfn.TEXTJOIN(", ",TRUE,_xlfn._xlws.FILTER(Tabla29[[#All],[PARTE]],ISNUMBER(SEARCH(Tabla29[[#All],[PCLAVE3]],Tabla8[[#This Row],[DESCRIPCION DE TRABAJO]])),""))</f>
        <v/>
      </c>
      <c r="T177" s="34" t="str">
        <f>IF(AND(Tabla8[[#This Row],[PIEZA]]="",Tabla8[[#This Row],[PARTE]]=""),"VACIO","OK")</f>
        <v>OK</v>
      </c>
      <c r="U177" s="303" t="str">
        <f>+CONCATENATE(WEEKNUM(Tabla8[[#This Row],[FECHA]]),"-",YEAR(Tabla8[[#This Row],[FECHA]]))</f>
        <v>7-2026</v>
      </c>
    </row>
    <row r="178" spans="1:21" ht="15" customHeight="1">
      <c r="A178" s="22">
        <v>46062</v>
      </c>
      <c r="B178" s="16" t="s">
        <v>111</v>
      </c>
      <c r="C178" s="10" t="s">
        <v>36</v>
      </c>
      <c r="D178" s="381" t="s">
        <v>481</v>
      </c>
      <c r="E178" s="381" t="s">
        <v>482</v>
      </c>
      <c r="F178" s="380">
        <f>+MOD(Tabla8[[#This Row],[HR. FIN]]-Tabla8[[#This Row],[HR. INICIO]],1)</f>
        <v>1.6666666666666663E-2</v>
      </c>
      <c r="G178" s="16" t="s">
        <v>270</v>
      </c>
      <c r="H178" s="343" t="str">
        <f>IFERROR(VLOOKUP(G178,DATOS!$M$2:$N$219,2,FALSE),"")</f>
        <v>Maquinaria</v>
      </c>
      <c r="I178" s="115" t="s">
        <v>61</v>
      </c>
      <c r="J178" s="115" t="str">
        <f>+VLOOKUP($I178,Tabla7[#All],2,FALSE)</f>
        <v>PROGRAMADA</v>
      </c>
      <c r="K178" s="114" t="str">
        <f>IF(VLOOKUP(I178,Tabla7[#All],3,FALSE)=0,"",VLOOKUP(I178,Tabla7[#All],3,FALSE))</f>
        <v/>
      </c>
      <c r="L178" s="35" t="s">
        <v>483</v>
      </c>
      <c r="M178" s="35" t="s">
        <v>121</v>
      </c>
      <c r="N178" s="35" t="str" cm="1">
        <f t="array" ref="N178">IFERROR(IF(Tabla8[[#This Row],[P/NP]]="NO PROGRAMADA","",_xlfn.TEXTJOIN(", ",TRUE,_xlfn._xlws.FILTER(Tabla4[[#All],[PIEZA]],ISNUMBER(SEARCH(Tabla4[[#All],[PCLAVE]],Tabla8[[#This Row],[DESCRIPCION DE TRABAJO]])),""))),"")</f>
        <v>Canaletas</v>
      </c>
      <c r="O178" s="35" t="str" cm="1">
        <f t="array" ref="O178">_xlfn.TEXTJOIN(", ",TRUE,_xlfn._xlws.FILTER(Tabla28[[#All],[PARTE]],ISNUMBER(SEARCH(Tabla28[[#All],[PCLAVE2]],Tabla8[[#This Row],[DESCRIPCION DE TRABAJO]])),""))</f>
        <v/>
      </c>
      <c r="P178" s="303" t="str">
        <f>IFERROR(LEFT(O178, FIND(",", O178)-1), O178)</f>
        <v/>
      </c>
      <c r="Q178" s="303" t="str">
        <f>IFERROR(IF(ISERROR(FIND(",", O178, FIND(",", O178)+1)), RIGHT(O178, LEN(O178)-FIND(",", O178)-1), MID(O178, FIND(",", O178)+2, FIND(",", O178, FIND(",", O178)+1)-FIND(",", O178)-2)), "")</f>
        <v/>
      </c>
      <c r="R178" s="303" t="str">
        <f>IFERROR(RIGHT(O178, LEN(O178)-FIND(",", O178, FIND(",", O178)+1)-1), "")</f>
        <v/>
      </c>
      <c r="S178" s="35" t="str" cm="1">
        <f t="array" ref="S178">_xlfn.TEXTJOIN(", ",TRUE,_xlfn._xlws.FILTER(Tabla29[[#All],[PARTE]],ISNUMBER(SEARCH(Tabla29[[#All],[PCLAVE3]],Tabla8[[#This Row],[DESCRIPCION DE TRABAJO]])),""))</f>
        <v/>
      </c>
      <c r="T178" s="34" t="str">
        <f>IF(AND(Tabla8[[#This Row],[PIEZA]]="",Tabla8[[#This Row],[PARTE]]=""),"VACIO","OK")</f>
        <v>OK</v>
      </c>
      <c r="U178" s="303" t="str">
        <f>+CONCATENATE(WEEKNUM(Tabla8[[#This Row],[FECHA]]),"-",YEAR(Tabla8[[#This Row],[FECHA]]))</f>
        <v>7-2026</v>
      </c>
    </row>
    <row r="179" spans="1:21" ht="15" customHeight="1">
      <c r="A179" s="22">
        <v>46062</v>
      </c>
      <c r="B179" s="16" t="s">
        <v>191</v>
      </c>
      <c r="C179" s="10" t="s">
        <v>39</v>
      </c>
      <c r="D179" s="381" t="s">
        <v>484</v>
      </c>
      <c r="E179" s="381" t="s">
        <v>485</v>
      </c>
      <c r="F179" s="380">
        <f>+MOD(Tabla8[[#This Row],[HR. FIN]]-Tabla8[[#This Row],[HR. INICIO]],1)</f>
        <v>1.4583333333333393E-2</v>
      </c>
      <c r="G179" s="16" t="s">
        <v>198</v>
      </c>
      <c r="H179" s="343" t="str">
        <f>IFERROR(VLOOKUP(G179,DATOS!$M$2:$N$219,2,FALSE),"")</f>
        <v>Maquinaria</v>
      </c>
      <c r="I179" s="115" t="s">
        <v>57</v>
      </c>
      <c r="J179" s="115" t="str">
        <f>+VLOOKUP($I179,Tabla7[#All],2,FALSE)</f>
        <v>NO PROGRAMADA</v>
      </c>
      <c r="K179" s="114" t="str">
        <f>IF(VLOOKUP(I179,Tabla7[#All],3,FALSE)=0,"",VLOOKUP(I179,Tabla7[#All],3,FALSE))</f>
        <v>MECÁNICA</v>
      </c>
      <c r="L179" s="35" t="s">
        <v>486</v>
      </c>
      <c r="M179" s="35" t="s">
        <v>487</v>
      </c>
      <c r="N179" s="35" t="str" cm="1">
        <f t="array" ref="N179">IFERROR(IF(Tabla8[[#This Row],[P/NP]]="NO PROGRAMADA","",_xlfn.TEXTJOIN(", ",TRUE,_xlfn._xlws.FILTER(Tabla4[[#All],[PIEZA]],ISNUMBER(SEARCH(Tabla4[[#All],[PCLAVE]],Tabla8[[#This Row],[DESCRIPCION DE TRABAJO]])),""))),"")</f>
        <v/>
      </c>
      <c r="O179" s="35" t="str" cm="1">
        <f t="array" ref="O179">_xlfn.TEXTJOIN(", ",TRUE,_xlfn._xlws.FILTER(Tabla28[[#All],[PARTE]],ISNUMBER(SEARCH(Tabla28[[#All],[PCLAVE2]],Tabla8[[#This Row],[DESCRIPCION DE TRABAJO]])),""))</f>
        <v/>
      </c>
      <c r="P179" s="303" t="str">
        <f>IFERROR(LEFT(O179, FIND(",", O179)-1), O179)</f>
        <v/>
      </c>
      <c r="Q179" s="303" t="str">
        <f>IFERROR(IF(ISERROR(FIND(",", O179, FIND(",", O179)+1)), RIGHT(O179, LEN(O179)-FIND(",", O179)-1), MID(O179, FIND(",", O179)+2, FIND(",", O179, FIND(",", O179)+1)-FIND(",", O179)-2)), "")</f>
        <v/>
      </c>
      <c r="R179" s="303" t="str">
        <f>IFERROR(RIGHT(O179, LEN(O179)-FIND(",", O179, FIND(",", O179)+1)-1), "")</f>
        <v/>
      </c>
      <c r="S179" s="35" t="str" cm="1">
        <f t="array" ref="S179">_xlfn.TEXTJOIN(", ",TRUE,_xlfn._xlws.FILTER(Tabla29[[#All],[PARTE]],ISNUMBER(SEARCH(Tabla29[[#All],[PCLAVE3]],Tabla8[[#This Row],[DESCRIPCION DE TRABAJO]])),""))</f>
        <v>Desalineado</v>
      </c>
      <c r="T179" s="34" t="str">
        <f>IF(AND(Tabla8[[#This Row],[PIEZA]]="",Tabla8[[#This Row],[PARTE]]=""),"VACIO","OK")</f>
        <v>VACIO</v>
      </c>
      <c r="U179" s="303" t="str">
        <f>+CONCATENATE(WEEKNUM(Tabla8[[#This Row],[FECHA]]),"-",YEAR(Tabla8[[#This Row],[FECHA]]))</f>
        <v>7-2026</v>
      </c>
    </row>
    <row r="180" spans="1:21" ht="15" customHeight="1">
      <c r="A180" s="22">
        <v>46062</v>
      </c>
      <c r="B180" s="16" t="s">
        <v>111</v>
      </c>
      <c r="C180" s="10" t="s">
        <v>36</v>
      </c>
      <c r="D180" s="381" t="s">
        <v>488</v>
      </c>
      <c r="E180" s="381" t="s">
        <v>403</v>
      </c>
      <c r="F180" s="380">
        <f>+MOD(Tabla8[[#This Row],[HR. FIN]]-Tabla8[[#This Row],[HR. INICIO]],1)</f>
        <v>1.3888888888888895E-2</v>
      </c>
      <c r="G180" s="16" t="s">
        <v>119</v>
      </c>
      <c r="H180" s="343" t="str">
        <f>IFERROR(VLOOKUP(G180,DATOS!$M$2:$N$219,2,FALSE),"")</f>
        <v>Maquinaria</v>
      </c>
      <c r="I180" s="115" t="s">
        <v>54</v>
      </c>
      <c r="J180" s="115" t="str">
        <f>+VLOOKUP($I180,Tabla7[#All],2,FALSE)</f>
        <v>PROGRAMADA</v>
      </c>
      <c r="K180" s="114" t="str">
        <f>IF(VLOOKUP(I180,Tabla7[#All],3,FALSE)=0,"",VLOOKUP(I180,Tabla7[#All],3,FALSE))</f>
        <v/>
      </c>
      <c r="L180" s="35" t="s">
        <v>489</v>
      </c>
      <c r="M180" s="35" t="s">
        <v>490</v>
      </c>
      <c r="N180" s="35" t="str" cm="1">
        <f t="array" ref="N180">IFERROR(IF(Tabla8[[#This Row],[P/NP]]="NO PROGRAMADA","",_xlfn.TEXTJOIN(", ",TRUE,_xlfn._xlws.FILTER(Tabla4[[#All],[PIEZA]],ISNUMBER(SEARCH(Tabla4[[#All],[PCLAVE]],Tabla8[[#This Row],[DESCRIPCION DE TRABAJO]])),""))),"")</f>
        <v/>
      </c>
      <c r="O180" s="35" t="str" cm="1">
        <f t="array" ref="O180">_xlfn.TEXTJOIN(", ",TRUE,_xlfn._xlws.FILTER(Tabla28[[#All],[PARTE]],ISNUMBER(SEARCH(Tabla28[[#All],[PCLAVE2]],Tabla8[[#This Row],[DESCRIPCION DE TRABAJO]])),""))</f>
        <v>Temperadora</v>
      </c>
      <c r="P180" s="303" t="str">
        <f>IFERROR(LEFT(O180, FIND(",", O180)-1), O180)</f>
        <v>Temperadora</v>
      </c>
      <c r="Q180" s="303" t="str">
        <f>IFERROR(IF(ISERROR(FIND(",", O180, FIND(",", O180)+1)), RIGHT(O180, LEN(O180)-FIND(",", O180)-1), MID(O180, FIND(",", O180)+2, FIND(",", O180, FIND(",", O180)+1)-FIND(",", O180)-2)), "")</f>
        <v/>
      </c>
      <c r="R180" s="303" t="str">
        <f>IFERROR(RIGHT(O180, LEN(O180)-FIND(",", O180, FIND(",", O180)+1)-1), "")</f>
        <v/>
      </c>
      <c r="S180" s="35" t="str" cm="1">
        <f t="array" ref="S180">_xlfn.TEXTJOIN(", ",TRUE,_xlfn._xlws.FILTER(Tabla29[[#All],[PARTE]],ISNUMBER(SEARCH(Tabla29[[#All],[PCLAVE3]],Tabla8[[#This Row],[DESCRIPCION DE TRABAJO]])),""))</f>
        <v/>
      </c>
      <c r="T180" s="34" t="str">
        <f>IF(AND(Tabla8[[#This Row],[PIEZA]]="",Tabla8[[#This Row],[PARTE]]=""),"VACIO","OK")</f>
        <v>OK</v>
      </c>
      <c r="U180" s="303" t="str">
        <f>+CONCATENATE(WEEKNUM(Tabla8[[#This Row],[FECHA]]),"-",YEAR(Tabla8[[#This Row],[FECHA]]))</f>
        <v>7-2026</v>
      </c>
    </row>
    <row r="181" spans="1:21" ht="15" customHeight="1">
      <c r="A181" s="22">
        <v>46062</v>
      </c>
      <c r="B181" s="16" t="s">
        <v>111</v>
      </c>
      <c r="C181" s="10" t="s">
        <v>36</v>
      </c>
      <c r="D181" s="381" t="s">
        <v>392</v>
      </c>
      <c r="E181" s="381" t="s">
        <v>491</v>
      </c>
      <c r="F181" s="380">
        <f>+MOD(Tabla8[[#This Row],[HR. FIN]]-Tabla8[[#This Row],[HR. INICIO]],1)</f>
        <v>1.388888888888884E-2</v>
      </c>
      <c r="G181" s="16" t="s">
        <v>153</v>
      </c>
      <c r="H181" s="343" t="str">
        <f>IFERROR(VLOOKUP(G181,DATOS!$M$2:$N$219,2,FALSE),"")</f>
        <v>Maquinaria</v>
      </c>
      <c r="I181" s="115" t="s">
        <v>32</v>
      </c>
      <c r="J181" s="115" t="str">
        <f>+VLOOKUP($I181,Tabla7[#All],2,FALSE)</f>
        <v>PROGRAMADA</v>
      </c>
      <c r="K181" s="114" t="str">
        <f>IF(VLOOKUP(I181,Tabla7[#All],3,FALSE)=0,"",VLOOKUP(I181,Tabla7[#All],3,FALSE))</f>
        <v/>
      </c>
      <c r="L181" s="35" t="s">
        <v>492</v>
      </c>
      <c r="M181" s="35" t="s">
        <v>121</v>
      </c>
      <c r="N181" s="35" t="str" cm="1">
        <f t="array" ref="N181">IFERROR(IF(Tabla8[[#This Row],[P/NP]]="NO PROGRAMADA","",_xlfn.TEXTJOIN(", ",TRUE,_xlfn._xlws.FILTER(Tabla4[[#All],[PIEZA]],ISNUMBER(SEARCH(Tabla4[[#All],[PCLAVE]],Tabla8[[#This Row],[DESCRIPCION DE TRABAJO]])),""))),"")</f>
        <v>Banda, Tensador</v>
      </c>
      <c r="O181" s="35" t="str" cm="1">
        <f t="array" ref="O181">_xlfn.TEXTJOIN(", ",TRUE,_xlfn._xlws.FILTER(Tabla28[[#All],[PARTE]],ISNUMBER(SEARCH(Tabla28[[#All],[PCLAVE2]],Tabla8[[#This Row],[DESCRIPCION DE TRABAJO]])),""))</f>
        <v/>
      </c>
      <c r="P181" s="303" t="str">
        <f>IFERROR(LEFT(O181, FIND(",", O181)-1), O181)</f>
        <v/>
      </c>
      <c r="Q181" s="303" t="str">
        <f>IFERROR(IF(ISERROR(FIND(",", O181, FIND(",", O181)+1)), RIGHT(O181, LEN(O181)-FIND(",", O181)-1), MID(O181, FIND(",", O181)+2, FIND(",", O181, FIND(",", O181)+1)-FIND(",", O181)-2)), "")</f>
        <v/>
      </c>
      <c r="R181" s="303" t="str">
        <f>IFERROR(RIGHT(O181, LEN(O181)-FIND(",", O181, FIND(",", O181)+1)-1), "")</f>
        <v/>
      </c>
      <c r="S181" s="35" t="str" cm="1">
        <f t="array" ref="S181">_xlfn.TEXTJOIN(", ",TRUE,_xlfn._xlws.FILTER(Tabla29[[#All],[PARTE]],ISNUMBER(SEARCH(Tabla29[[#All],[PCLAVE3]],Tabla8[[#This Row],[DESCRIPCION DE TRABAJO]])),""))</f>
        <v>Soltura</v>
      </c>
      <c r="T181" s="34" t="str">
        <f>IF(AND(Tabla8[[#This Row],[PIEZA]]="",Tabla8[[#This Row],[PARTE]]=""),"VACIO","OK")</f>
        <v>OK</v>
      </c>
      <c r="U181" s="303" t="str">
        <f>+CONCATENATE(WEEKNUM(Tabla8[[#This Row],[FECHA]]),"-",YEAR(Tabla8[[#This Row],[FECHA]]))</f>
        <v>7-2026</v>
      </c>
    </row>
    <row r="182" spans="1:21" ht="15" customHeight="1">
      <c r="A182" s="22">
        <v>46062</v>
      </c>
      <c r="B182" s="16" t="s">
        <v>131</v>
      </c>
      <c r="C182" s="10" t="s">
        <v>23</v>
      </c>
      <c r="D182" s="381" t="s">
        <v>493</v>
      </c>
      <c r="E182" s="381" t="s">
        <v>494</v>
      </c>
      <c r="F182" s="380">
        <f>+MOD(Tabla8[[#This Row],[HR. FIN]]-Tabla8[[#This Row],[HR. INICIO]],1)</f>
        <v>1.388888888888884E-2</v>
      </c>
      <c r="G182" s="16" t="s">
        <v>153</v>
      </c>
      <c r="H182" s="343" t="str">
        <f>IFERROR(VLOOKUP(G182,DATOS!$M$2:$N$219,2,FALSE),"")</f>
        <v>Maquinaria</v>
      </c>
      <c r="I182" s="115" t="s">
        <v>54</v>
      </c>
      <c r="J182" s="115" t="str">
        <f>+VLOOKUP($I182,Tabla7[#All],2,FALSE)</f>
        <v>PROGRAMADA</v>
      </c>
      <c r="K182" s="114" t="str">
        <f>IF(VLOOKUP(I182,Tabla7[#All],3,FALSE)=0,"",VLOOKUP(I182,Tabla7[#All],3,FALSE))</f>
        <v/>
      </c>
      <c r="L182" s="35" t="s">
        <v>225</v>
      </c>
      <c r="M182" s="35" t="s">
        <v>121</v>
      </c>
      <c r="N182" s="35" t="str" cm="1">
        <f t="array" ref="N182">IFERROR(IF(Tabla8[[#This Row],[P/NP]]="NO PROGRAMADA","",_xlfn.TEXTJOIN(", ",TRUE,_xlfn._xlws.FILTER(Tabla4[[#All],[PIEZA]],ISNUMBER(SEARCH(Tabla4[[#All],[PCLAVE]],Tabla8[[#This Row],[DESCRIPCION DE TRABAJO]])),""))),"")</f>
        <v/>
      </c>
      <c r="O182" s="35" t="str" cm="1">
        <f t="array" ref="O182">_xlfn.TEXTJOIN(", ",TRUE,_xlfn._xlws.FILTER(Tabla28[[#All],[PARTE]],ISNUMBER(SEARCH(Tabla28[[#All],[PCLAVE2]],Tabla8[[#This Row],[DESCRIPCION DE TRABAJO]])),""))</f>
        <v/>
      </c>
      <c r="P182" s="303" t="str">
        <f>IFERROR(LEFT(O182, FIND(",", O182)-1), O182)</f>
        <v/>
      </c>
      <c r="Q182" s="303" t="str">
        <f>IFERROR(IF(ISERROR(FIND(",", O182, FIND(",", O182)+1)), RIGHT(O182, LEN(O182)-FIND(",", O182)-1), MID(O182, FIND(",", O182)+2, FIND(",", O182, FIND(",", O182)+1)-FIND(",", O182)-2)), "")</f>
        <v/>
      </c>
      <c r="R182" s="303" t="str">
        <f>IFERROR(RIGHT(O182, LEN(O182)-FIND(",", O182, FIND(",", O182)+1)-1), "")</f>
        <v/>
      </c>
      <c r="S182" s="35" t="str" cm="1">
        <f t="array" ref="S182">_xlfn.TEXTJOIN(", ",TRUE,_xlfn._xlws.FILTER(Tabla29[[#All],[PARTE]],ISNUMBER(SEARCH(Tabla29[[#All],[PCLAVE3]],Tabla8[[#This Row],[DESCRIPCION DE TRABAJO]])),""))</f>
        <v/>
      </c>
      <c r="T182" s="34" t="str">
        <f>IF(AND(Tabla8[[#This Row],[PIEZA]]="",Tabla8[[#This Row],[PARTE]]=""),"VACIO","OK")</f>
        <v>VACIO</v>
      </c>
      <c r="U182" s="303" t="str">
        <f>+CONCATENATE(WEEKNUM(Tabla8[[#This Row],[FECHA]]),"-",YEAR(Tabla8[[#This Row],[FECHA]]))</f>
        <v>7-2026</v>
      </c>
    </row>
    <row r="183" spans="1:21" ht="15" customHeight="1">
      <c r="A183" s="22">
        <v>46062</v>
      </c>
      <c r="B183" s="16" t="s">
        <v>111</v>
      </c>
      <c r="C183" s="10" t="s">
        <v>36</v>
      </c>
      <c r="D183" s="381" t="s">
        <v>495</v>
      </c>
      <c r="E183" s="381" t="s">
        <v>496</v>
      </c>
      <c r="F183" s="380">
        <f>+MOD(Tabla8[[#This Row],[HR. FIN]]-Tabla8[[#This Row],[HR. INICIO]],1)</f>
        <v>1.2500000000000011E-2</v>
      </c>
      <c r="G183" s="16" t="s">
        <v>256</v>
      </c>
      <c r="H183" s="343" t="str">
        <f>IFERROR(VLOOKUP(G183,DATOS!$M$2:$N$219,2,FALSE),"")</f>
        <v>Maquinaria</v>
      </c>
      <c r="I183" s="115" t="s">
        <v>57</v>
      </c>
      <c r="J183" s="115" t="str">
        <f>+VLOOKUP($I183,Tabla7[#All],2,FALSE)</f>
        <v>NO PROGRAMADA</v>
      </c>
      <c r="K183" s="114" t="str">
        <f>IF(VLOOKUP(I183,Tabla7[#All],3,FALSE)=0,"",VLOOKUP(I183,Tabla7[#All],3,FALSE))</f>
        <v>MECÁNICA</v>
      </c>
      <c r="L183" s="35" t="s">
        <v>497</v>
      </c>
      <c r="M183" s="35" t="s">
        <v>121</v>
      </c>
      <c r="N183" s="35" t="str" cm="1">
        <f t="array" ref="N183">IFERROR(IF(Tabla8[[#This Row],[P/NP]]="NO PROGRAMADA","",_xlfn.TEXTJOIN(", ",TRUE,_xlfn._xlws.FILTER(Tabla4[[#All],[PIEZA]],ISNUMBER(SEARCH(Tabla4[[#All],[PCLAVE]],Tabla8[[#This Row],[DESCRIPCION DE TRABAJO]])),""))),"")</f>
        <v/>
      </c>
      <c r="O183" s="35" t="str" cm="1">
        <f t="array" ref="O183">_xlfn.TEXTJOIN(", ",TRUE,_xlfn._xlws.FILTER(Tabla28[[#All],[PARTE]],ISNUMBER(SEARCH(Tabla28[[#All],[PCLAVE2]],Tabla8[[#This Row],[DESCRIPCION DE TRABAJO]])),""))</f>
        <v/>
      </c>
      <c r="P183" s="303" t="str">
        <f>IFERROR(LEFT(O183, FIND(",", O183)-1), O183)</f>
        <v/>
      </c>
      <c r="Q183" s="303" t="str">
        <f>IFERROR(IF(ISERROR(FIND(",", O183, FIND(",", O183)+1)), RIGHT(O183, LEN(O183)-FIND(",", O183)-1), MID(O183, FIND(",", O183)+2, FIND(",", O183, FIND(",", O183)+1)-FIND(",", O183)-2)), "")</f>
        <v/>
      </c>
      <c r="R183" s="303" t="str">
        <f>IFERROR(RIGHT(O183, LEN(O183)-FIND(",", O183, FIND(",", O183)+1)-1), "")</f>
        <v/>
      </c>
      <c r="S183" s="35" t="str" cm="1">
        <f t="array" ref="S183">_xlfn.TEXTJOIN(", ",TRUE,_xlfn._xlws.FILTER(Tabla29[[#All],[PARTE]],ISNUMBER(SEARCH(Tabla29[[#All],[PCLAVE3]],Tabla8[[#This Row],[DESCRIPCION DE TRABAJO]])),""))</f>
        <v>Alimentacion Obstruida, Dañado</v>
      </c>
      <c r="T183" s="34" t="str">
        <f>IF(AND(Tabla8[[#This Row],[PIEZA]]="",Tabla8[[#This Row],[PARTE]]=""),"VACIO","OK")</f>
        <v>VACIO</v>
      </c>
      <c r="U183" s="303" t="str">
        <f>+CONCATENATE(WEEKNUM(Tabla8[[#This Row],[FECHA]]),"-",YEAR(Tabla8[[#This Row],[FECHA]]))</f>
        <v>7-2026</v>
      </c>
    </row>
    <row r="184" spans="1:21" ht="15" customHeight="1">
      <c r="A184" s="22">
        <v>46062</v>
      </c>
      <c r="B184" s="16" t="s">
        <v>191</v>
      </c>
      <c r="C184" s="10" t="s">
        <v>39</v>
      </c>
      <c r="D184" s="381" t="s">
        <v>498</v>
      </c>
      <c r="E184" s="381" t="s">
        <v>499</v>
      </c>
      <c r="F184" s="380">
        <f>+MOD(Tabla8[[#This Row],[HR. FIN]]-Tabla8[[#This Row],[HR. INICIO]],1)</f>
        <v>1.2499999999999956E-2</v>
      </c>
      <c r="G184" s="16" t="s">
        <v>169</v>
      </c>
      <c r="H184" s="343" t="str">
        <f>IFERROR(VLOOKUP(G184,DATOS!$M$2:$N$219,2,FALSE),"")</f>
        <v>Maquinaria</v>
      </c>
      <c r="I184" s="115" t="s">
        <v>32</v>
      </c>
      <c r="J184" s="115" t="str">
        <f>+VLOOKUP($I184,Tabla7[#All],2,FALSE)</f>
        <v>PROGRAMADA</v>
      </c>
      <c r="K184" s="114" t="str">
        <f>IF(VLOOKUP(I184,Tabla7[#All],3,FALSE)=0,"",VLOOKUP(I184,Tabla7[#All],3,FALSE))</f>
        <v/>
      </c>
      <c r="L184" s="35" t="s">
        <v>76</v>
      </c>
      <c r="M184" s="35" t="s">
        <v>121</v>
      </c>
      <c r="N184" s="35" t="str" cm="1">
        <f t="array" ref="N184">IFERROR(IF(Tabla8[[#This Row],[P/NP]]="NO PROGRAMADA","",_xlfn.TEXTJOIN(", ",TRUE,_xlfn._xlws.FILTER(Tabla4[[#All],[PIEZA]],ISNUMBER(SEARCH(Tabla4[[#All],[PCLAVE]],Tabla8[[#This Row],[DESCRIPCION DE TRABAJO]])),""))),"")</f>
        <v/>
      </c>
      <c r="O184" s="35" t="str" cm="1">
        <f t="array" ref="O184">_xlfn.TEXTJOIN(", ",TRUE,_xlfn._xlws.FILTER(Tabla28[[#All],[PARTE]],ISNUMBER(SEARCH(Tabla28[[#All],[PCLAVE2]],Tabla8[[#This Row],[DESCRIPCION DE TRABAJO]])),""))</f>
        <v/>
      </c>
      <c r="P184" s="303" t="str">
        <f>IFERROR(LEFT(O184, FIND(",", O184)-1), O184)</f>
        <v/>
      </c>
      <c r="Q184" s="303" t="str">
        <f>IFERROR(IF(ISERROR(FIND(",", O184, FIND(",", O184)+1)), RIGHT(O184, LEN(O184)-FIND(",", O184)-1), MID(O184, FIND(",", O184)+2, FIND(",", O184, FIND(",", O184)+1)-FIND(",", O184)-2)), "")</f>
        <v/>
      </c>
      <c r="R184" s="303" t="str">
        <f>IFERROR(RIGHT(O184, LEN(O184)-FIND(",", O184, FIND(",", O184)+1)-1), "")</f>
        <v/>
      </c>
      <c r="S184" s="35" t="str" cm="1">
        <f t="array" ref="S184">_xlfn.TEXTJOIN(", ",TRUE,_xlfn._xlws.FILTER(Tabla29[[#All],[PARTE]],ISNUMBER(SEARCH(Tabla29[[#All],[PCLAVE3]],Tabla8[[#This Row],[DESCRIPCION DE TRABAJO]])),""))</f>
        <v/>
      </c>
      <c r="T184" s="34" t="str">
        <f>IF(AND(Tabla8[[#This Row],[PIEZA]]="",Tabla8[[#This Row],[PARTE]]=""),"VACIO","OK")</f>
        <v>VACIO</v>
      </c>
      <c r="U184" s="303" t="str">
        <f>+CONCATENATE(WEEKNUM(Tabla8[[#This Row],[FECHA]]),"-",YEAR(Tabla8[[#This Row],[FECHA]]))</f>
        <v>7-2026</v>
      </c>
    </row>
    <row r="185" spans="1:21" ht="15" customHeight="1">
      <c r="A185" s="22">
        <v>46062</v>
      </c>
      <c r="B185" s="16" t="s">
        <v>191</v>
      </c>
      <c r="C185" s="10" t="s">
        <v>39</v>
      </c>
      <c r="D185" s="381" t="s">
        <v>500</v>
      </c>
      <c r="E185" s="381" t="s">
        <v>501</v>
      </c>
      <c r="F185" s="380">
        <f>+MOD(Tabla8[[#This Row],[HR. FIN]]-Tabla8[[#This Row],[HR. INICIO]],1)</f>
        <v>1.1111111111111183E-2</v>
      </c>
      <c r="G185" s="16" t="s">
        <v>215</v>
      </c>
      <c r="H185" s="343" t="str">
        <f>IFERROR(VLOOKUP(G185,DATOS!$M$2:$N$219,2,FALSE),"")</f>
        <v>Equipos auxiliares</v>
      </c>
      <c r="I185" s="115" t="s">
        <v>54</v>
      </c>
      <c r="J185" s="115" t="str">
        <f>+VLOOKUP($I185,Tabla7[#All],2,FALSE)</f>
        <v>PROGRAMADA</v>
      </c>
      <c r="K185" s="114" t="str">
        <f>IF(VLOOKUP(I185,Tabla7[#All],3,FALSE)=0,"",VLOOKUP(I185,Tabla7[#All],3,FALSE))</f>
        <v/>
      </c>
      <c r="L185" s="35" t="s">
        <v>248</v>
      </c>
      <c r="M185" s="35" t="s">
        <v>121</v>
      </c>
      <c r="N185" s="35" t="str" cm="1">
        <f t="array" ref="N185">IFERROR(IF(Tabla8[[#This Row],[P/NP]]="NO PROGRAMADA","",_xlfn.TEXTJOIN(", ",TRUE,_xlfn._xlws.FILTER(Tabla4[[#All],[PIEZA]],ISNUMBER(SEARCH(Tabla4[[#All],[PCLAVE]],Tabla8[[#This Row],[DESCRIPCION DE TRABAJO]])),""))),"")</f>
        <v/>
      </c>
      <c r="O185" s="35" t="str" cm="1">
        <f t="array" ref="O185">_xlfn.TEXTJOIN(", ",TRUE,_xlfn._xlws.FILTER(Tabla28[[#All],[PARTE]],ISNUMBER(SEARCH(Tabla28[[#All],[PCLAVE2]],Tabla8[[#This Row],[DESCRIPCION DE TRABAJO]])),""))</f>
        <v/>
      </c>
      <c r="P185" s="303" t="str">
        <f>IFERROR(LEFT(O185, FIND(",", O185)-1), O185)</f>
        <v/>
      </c>
      <c r="Q185" s="303" t="str">
        <f>IFERROR(IF(ISERROR(FIND(",", O185, FIND(",", O185)+1)), RIGHT(O185, LEN(O185)-FIND(",", O185)-1), MID(O185, FIND(",", O185)+2, FIND(",", O185, FIND(",", O185)+1)-FIND(",", O185)-2)), "")</f>
        <v/>
      </c>
      <c r="R185" s="303" t="str">
        <f>IFERROR(RIGHT(O185, LEN(O185)-FIND(",", O185, FIND(",", O185)+1)-1), "")</f>
        <v/>
      </c>
      <c r="S185" s="35" t="str" cm="1">
        <f t="array" ref="S185">_xlfn.TEXTJOIN(", ",TRUE,_xlfn._xlws.FILTER(Tabla29[[#All],[PARTE]],ISNUMBER(SEARCH(Tabla29[[#All],[PCLAVE3]],Tabla8[[#This Row],[DESCRIPCION DE TRABAJO]])),""))</f>
        <v/>
      </c>
      <c r="T185" s="34" t="str">
        <f>IF(AND(Tabla8[[#This Row],[PIEZA]]="",Tabla8[[#This Row],[PARTE]]=""),"VACIO","OK")</f>
        <v>VACIO</v>
      </c>
      <c r="U185" s="303" t="str">
        <f>+CONCATENATE(WEEKNUM(Tabla8[[#This Row],[FECHA]]),"-",YEAR(Tabla8[[#This Row],[FECHA]]))</f>
        <v>7-2026</v>
      </c>
    </row>
    <row r="186" spans="1:21" ht="15" customHeight="1">
      <c r="A186" s="22">
        <v>46062</v>
      </c>
      <c r="B186" s="16" t="s">
        <v>131</v>
      </c>
      <c r="C186" s="10" t="s">
        <v>23</v>
      </c>
      <c r="D186" s="381" t="s">
        <v>282</v>
      </c>
      <c r="E186" s="381" t="s">
        <v>502</v>
      </c>
      <c r="F186" s="380">
        <f>+MOD(Tabla8[[#This Row],[HR. FIN]]-Tabla8[[#This Row],[HR. INICIO]],1)</f>
        <v>1.0416666666666741E-2</v>
      </c>
      <c r="G186" s="16" t="s">
        <v>24</v>
      </c>
      <c r="H186" s="343" t="str">
        <f>IFERROR(VLOOKUP(G186,DATOS!$M$2:$N$219,2,FALSE),"")</f>
        <v>Maquinaria</v>
      </c>
      <c r="I186" s="115" t="s">
        <v>32</v>
      </c>
      <c r="J186" s="115" t="str">
        <f>+VLOOKUP($I186,Tabla7[#All],2,FALSE)</f>
        <v>PROGRAMADA</v>
      </c>
      <c r="K186" s="114" t="str">
        <f>IF(VLOOKUP(I186,Tabla7[#All],3,FALSE)=0,"",VLOOKUP(I186,Tabla7[#All],3,FALSE))</f>
        <v/>
      </c>
      <c r="L186" s="35" t="s">
        <v>503</v>
      </c>
      <c r="M186" s="35" t="s">
        <v>121</v>
      </c>
      <c r="N186" s="35" t="str" cm="1">
        <f t="array" ref="N186">IFERROR(IF(Tabla8[[#This Row],[P/NP]]="NO PROGRAMADA","",_xlfn.TEXTJOIN(", ",TRUE,_xlfn._xlws.FILTER(Tabla4[[#All],[PIEZA]],ISNUMBER(SEARCH(Tabla4[[#All],[PCLAVE]],Tabla8[[#This Row],[DESCRIPCION DE TRABAJO]])),""))),"")</f>
        <v/>
      </c>
      <c r="O186" s="35" t="str" cm="1">
        <f t="array" ref="O186">_xlfn.TEXTJOIN(", ",TRUE,_xlfn._xlws.FILTER(Tabla28[[#All],[PARTE]],ISNUMBER(SEARCH(Tabla28[[#All],[PCLAVE2]],Tabla8[[#This Row],[DESCRIPCION DE TRABAJO]])),""))</f>
        <v/>
      </c>
      <c r="P186" s="303" t="str">
        <f>IFERROR(LEFT(O186, FIND(",", O186)-1), O186)</f>
        <v/>
      </c>
      <c r="Q186" s="303" t="str">
        <f>IFERROR(IF(ISERROR(FIND(",", O186, FIND(",", O186)+1)), RIGHT(O186, LEN(O186)-FIND(",", O186)-1), MID(O186, FIND(",", O186)+2, FIND(",", O186, FIND(",", O186)+1)-FIND(",", O186)-2)), "")</f>
        <v/>
      </c>
      <c r="R186" s="303" t="str">
        <f>IFERROR(RIGHT(O186, LEN(O186)-FIND(",", O186, FIND(",", O186)+1)-1), "")</f>
        <v/>
      </c>
      <c r="S186" s="35" t="str" cm="1">
        <f t="array" ref="S186">_xlfn.TEXTJOIN(", ",TRUE,_xlfn._xlws.FILTER(Tabla29[[#All],[PARTE]],ISNUMBER(SEARCH(Tabla29[[#All],[PCLAVE3]],Tabla8[[#This Row],[DESCRIPCION DE TRABAJO]])),""))</f>
        <v/>
      </c>
      <c r="T186" s="34" t="str">
        <f>IF(AND(Tabla8[[#This Row],[PIEZA]]="",Tabla8[[#This Row],[PARTE]]=""),"VACIO","OK")</f>
        <v>VACIO</v>
      </c>
      <c r="U186" s="303" t="str">
        <f>+CONCATENATE(WEEKNUM(Tabla8[[#This Row],[FECHA]]),"-",YEAR(Tabla8[[#This Row],[FECHA]]))</f>
        <v>7-2026</v>
      </c>
    </row>
    <row r="187" spans="1:21" ht="15" customHeight="1">
      <c r="A187" s="22">
        <v>46062</v>
      </c>
      <c r="B187" s="16" t="s">
        <v>111</v>
      </c>
      <c r="C187" s="10" t="s">
        <v>36</v>
      </c>
      <c r="D187" s="381" t="s">
        <v>504</v>
      </c>
      <c r="E187" s="381" t="s">
        <v>505</v>
      </c>
      <c r="F187" s="380">
        <f>+MOD(Tabla8[[#This Row],[HR. FIN]]-Tabla8[[#This Row],[HR. INICIO]],1)</f>
        <v>1.0416666666666685E-2</v>
      </c>
      <c r="G187" s="16" t="s">
        <v>119</v>
      </c>
      <c r="H187" s="343" t="str">
        <f>IFERROR(VLOOKUP(G187,DATOS!$M$2:$N$219,2,FALSE),"")</f>
        <v>Maquinaria</v>
      </c>
      <c r="I187" s="115" t="s">
        <v>61</v>
      </c>
      <c r="J187" s="115" t="str">
        <f>+VLOOKUP($I187,Tabla7[#All],2,FALSE)</f>
        <v>PROGRAMADA</v>
      </c>
      <c r="K187" s="114" t="str">
        <f>IF(VLOOKUP(I187,Tabla7[#All],3,FALSE)=0,"",VLOOKUP(I187,Tabla7[#All],3,FALSE))</f>
        <v/>
      </c>
      <c r="L187" s="35" t="s">
        <v>506</v>
      </c>
      <c r="M187" s="35" t="s">
        <v>121</v>
      </c>
      <c r="N187" s="35" t="str" cm="1">
        <f t="array" ref="N187">IFERROR(IF(Tabla8[[#This Row],[P/NP]]="NO PROGRAMADA","",_xlfn.TEXTJOIN(", ",TRUE,_xlfn._xlws.FILTER(Tabla4[[#All],[PIEZA]],ISNUMBER(SEARCH(Tabla4[[#All],[PCLAVE]],Tabla8[[#This Row],[DESCRIPCION DE TRABAJO]])),""))),"")</f>
        <v>Canaletas</v>
      </c>
      <c r="O187" s="35" t="str" cm="1">
        <f t="array" ref="O187">_xlfn.TEXTJOIN(", ",TRUE,_xlfn._xlws.FILTER(Tabla28[[#All],[PARTE]],ISNUMBER(SEARCH(Tabla28[[#All],[PCLAVE2]],Tabla8[[#This Row],[DESCRIPCION DE TRABAJO]])),""))</f>
        <v/>
      </c>
      <c r="P187" s="303" t="str">
        <f>IFERROR(LEFT(O187, FIND(",", O187)-1), O187)</f>
        <v/>
      </c>
      <c r="Q187" s="303" t="str">
        <f>IFERROR(IF(ISERROR(FIND(",", O187, FIND(",", O187)+1)), RIGHT(O187, LEN(O187)-FIND(",", O187)-1), MID(O187, FIND(",", O187)+2, FIND(",", O187, FIND(",", O187)+1)-FIND(",", O187)-2)), "")</f>
        <v/>
      </c>
      <c r="R187" s="303" t="str">
        <f>IFERROR(RIGHT(O187, LEN(O187)-FIND(",", O187, FIND(",", O187)+1)-1), "")</f>
        <v/>
      </c>
      <c r="S187" s="35" t="str" cm="1">
        <f t="array" ref="S187">_xlfn.TEXTJOIN(", ",TRUE,_xlfn._xlws.FILTER(Tabla29[[#All],[PARTE]],ISNUMBER(SEARCH(Tabla29[[#All],[PCLAVE3]],Tabla8[[#This Row],[DESCRIPCION DE TRABAJO]])),""))</f>
        <v/>
      </c>
      <c r="T187" s="34" t="str">
        <f>IF(AND(Tabla8[[#This Row],[PIEZA]]="",Tabla8[[#This Row],[PARTE]]=""),"VACIO","OK")</f>
        <v>OK</v>
      </c>
      <c r="U187" s="303" t="str">
        <f>+CONCATENATE(WEEKNUM(Tabla8[[#This Row],[FECHA]]),"-",YEAR(Tabla8[[#This Row],[FECHA]]))</f>
        <v>7-2026</v>
      </c>
    </row>
    <row r="188" spans="1:21" ht="15" customHeight="1">
      <c r="A188" s="22">
        <v>46062</v>
      </c>
      <c r="B188" s="16" t="s">
        <v>131</v>
      </c>
      <c r="C188" s="10" t="s">
        <v>23</v>
      </c>
      <c r="D188" s="381" t="s">
        <v>507</v>
      </c>
      <c r="E188" s="381" t="s">
        <v>264</v>
      </c>
      <c r="F188" s="380">
        <f>+MOD(Tabla8[[#This Row],[HR. FIN]]-Tabla8[[#This Row],[HR. INICIO]],1)</f>
        <v>1.041666666666663E-2</v>
      </c>
      <c r="G188" s="16" t="s">
        <v>508</v>
      </c>
      <c r="H188" s="343" t="str">
        <f>IFERROR(VLOOKUP(G188,DATOS!$M$2:$N$219,2,FALSE),"")</f>
        <v>Maquinaria</v>
      </c>
      <c r="I188" s="115" t="s">
        <v>32</v>
      </c>
      <c r="J188" s="115" t="str">
        <f>+VLOOKUP($I188,Tabla7[#All],2,FALSE)</f>
        <v>PROGRAMADA</v>
      </c>
      <c r="K188" s="114" t="str">
        <f>IF(VLOOKUP(I188,Tabla7[#All],3,FALSE)=0,"",VLOOKUP(I188,Tabla7[#All],3,FALSE))</f>
        <v/>
      </c>
      <c r="L188" s="35" t="s">
        <v>509</v>
      </c>
      <c r="M188" s="35" t="s">
        <v>121</v>
      </c>
      <c r="N188" s="35" t="str" cm="1">
        <f t="array" ref="N188">IFERROR(IF(Tabla8[[#This Row],[P/NP]]="NO PROGRAMADA","",_xlfn.TEXTJOIN(", ",TRUE,_xlfn._xlws.FILTER(Tabla4[[#All],[PIEZA]],ISNUMBER(SEARCH(Tabla4[[#All],[PCLAVE]],Tabla8[[#This Row],[DESCRIPCION DE TRABAJO]])),""))),"")</f>
        <v/>
      </c>
      <c r="O188" s="35" t="str" cm="1">
        <f t="array" ref="O188">_xlfn.TEXTJOIN(", ",TRUE,_xlfn._xlws.FILTER(Tabla28[[#All],[PARTE]],ISNUMBER(SEARCH(Tabla28[[#All],[PCLAVE2]],Tabla8[[#This Row],[DESCRIPCION DE TRABAJO]])),""))</f>
        <v/>
      </c>
      <c r="P188" s="303" t="str">
        <f>IFERROR(LEFT(O188, FIND(",", O188)-1), O188)</f>
        <v/>
      </c>
      <c r="Q188" s="303" t="str">
        <f>IFERROR(IF(ISERROR(FIND(",", O188, FIND(",", O188)+1)), RIGHT(O188, LEN(O188)-FIND(",", O188)-1), MID(O188, FIND(",", O188)+2, FIND(",", O188, FIND(",", O188)+1)-FIND(",", O188)-2)), "")</f>
        <v/>
      </c>
      <c r="R188" s="303" t="str">
        <f>IFERROR(RIGHT(O188, LEN(O188)-FIND(",", O188, FIND(",", O188)+1)-1), "")</f>
        <v/>
      </c>
      <c r="S188" s="35" t="str" cm="1">
        <f t="array" ref="S188">_xlfn.TEXTJOIN(", ",TRUE,_xlfn._xlws.FILTER(Tabla29[[#All],[PARTE]],ISNUMBER(SEARCH(Tabla29[[#All],[PCLAVE3]],Tabla8[[#This Row],[DESCRIPCION DE TRABAJO]])),""))</f>
        <v/>
      </c>
      <c r="T188" s="34" t="str">
        <f>IF(AND(Tabla8[[#This Row],[PIEZA]]="",Tabla8[[#This Row],[PARTE]]=""),"VACIO","OK")</f>
        <v>VACIO</v>
      </c>
      <c r="U188" s="303" t="str">
        <f>+CONCATENATE(WEEKNUM(Tabla8[[#This Row],[FECHA]]),"-",YEAR(Tabla8[[#This Row],[FECHA]]))</f>
        <v>7-2026</v>
      </c>
    </row>
    <row r="189" spans="1:21" ht="15" customHeight="1">
      <c r="A189" s="22">
        <v>46062</v>
      </c>
      <c r="B189" s="16" t="s">
        <v>131</v>
      </c>
      <c r="C189" s="10" t="s">
        <v>23</v>
      </c>
      <c r="D189" s="381" t="s">
        <v>510</v>
      </c>
      <c r="E189" s="381" t="s">
        <v>511</v>
      </c>
      <c r="F189" s="380">
        <f>+MOD(Tabla8[[#This Row],[HR. FIN]]-Tabla8[[#This Row],[HR. INICIO]],1)</f>
        <v>1.041666666666663E-2</v>
      </c>
      <c r="G189" s="16" t="s">
        <v>24</v>
      </c>
      <c r="H189" s="343" t="str">
        <f>IFERROR(VLOOKUP(G189,DATOS!$M$2:$N$219,2,FALSE),"")</f>
        <v>Maquinaria</v>
      </c>
      <c r="I189" s="115" t="s">
        <v>57</v>
      </c>
      <c r="J189" s="115" t="str">
        <f>+VLOOKUP($I189,Tabla7[#All],2,FALSE)</f>
        <v>NO PROGRAMADA</v>
      </c>
      <c r="K189" s="114" t="str">
        <f>IF(VLOOKUP(I189,Tabla7[#All],3,FALSE)=0,"",VLOOKUP(I189,Tabla7[#All],3,FALSE))</f>
        <v>MECÁNICA</v>
      </c>
      <c r="L189" s="35" t="s">
        <v>512</v>
      </c>
      <c r="M189" s="35" t="s">
        <v>513</v>
      </c>
      <c r="N189" s="35" t="str" cm="1">
        <f t="array" ref="N189">IFERROR(IF(Tabla8[[#This Row],[P/NP]]="NO PROGRAMADA","",_xlfn.TEXTJOIN(", ",TRUE,_xlfn._xlws.FILTER(Tabla4[[#All],[PIEZA]],ISNUMBER(SEARCH(Tabla4[[#All],[PCLAVE]],Tabla8[[#This Row],[DESCRIPCION DE TRABAJO]])),""))),"")</f>
        <v/>
      </c>
      <c r="O189" s="35" t="str" cm="1">
        <f t="array" ref="O189">_xlfn.TEXTJOIN(", ",TRUE,_xlfn._xlws.FILTER(Tabla28[[#All],[PARTE]],ISNUMBER(SEARCH(Tabla28[[#All],[PCLAVE2]],Tabla8[[#This Row],[DESCRIPCION DE TRABAJO]])),""))</f>
        <v/>
      </c>
      <c r="P189" s="303" t="str">
        <f>IFERROR(LEFT(O189, FIND(",", O189)-1), O189)</f>
        <v/>
      </c>
      <c r="Q189" s="303" t="str">
        <f>IFERROR(IF(ISERROR(FIND(",", O189, FIND(",", O189)+1)), RIGHT(O189, LEN(O189)-FIND(",", O189)-1), MID(O189, FIND(",", O189)+2, FIND(",", O189, FIND(",", O189)+1)-FIND(",", O189)-2)), "")</f>
        <v/>
      </c>
      <c r="R189" s="303" t="str">
        <f>IFERROR(RIGHT(O189, LEN(O189)-FIND(",", O189, FIND(",", O189)+1)-1), "")</f>
        <v/>
      </c>
      <c r="S189" s="35" t="str" cm="1">
        <f t="array" ref="S189">_xlfn.TEXTJOIN(", ",TRUE,_xlfn._xlws.FILTER(Tabla29[[#All],[PARTE]],ISNUMBER(SEARCH(Tabla29[[#All],[PCLAVE3]],Tabla8[[#This Row],[DESCRIPCION DE TRABAJO]])),""))</f>
        <v>Laminado</v>
      </c>
      <c r="T189" s="34" t="str">
        <f>IF(AND(Tabla8[[#This Row],[PIEZA]]="",Tabla8[[#This Row],[PARTE]]=""),"VACIO","OK")</f>
        <v>VACIO</v>
      </c>
      <c r="U189" s="303" t="str">
        <f>+CONCATENATE(WEEKNUM(Tabla8[[#This Row],[FECHA]]),"-",YEAR(Tabla8[[#This Row],[FECHA]]))</f>
        <v>7-2026</v>
      </c>
    </row>
    <row r="190" spans="1:21" ht="15" customHeight="1">
      <c r="A190" s="22">
        <v>46062</v>
      </c>
      <c r="B190" s="16" t="s">
        <v>131</v>
      </c>
      <c r="C190" s="10" t="s">
        <v>23</v>
      </c>
      <c r="D190" s="381" t="s">
        <v>514</v>
      </c>
      <c r="E190" s="381" t="s">
        <v>515</v>
      </c>
      <c r="F190" s="380">
        <f>+MOD(Tabla8[[#This Row],[HR. FIN]]-Tabla8[[#This Row],[HR. INICIO]],1)</f>
        <v>9.7222222222222987E-3</v>
      </c>
      <c r="G190" s="16" t="s">
        <v>24</v>
      </c>
      <c r="H190" s="343" t="str">
        <f>IFERROR(VLOOKUP(G190,DATOS!$M$2:$N$219,2,FALSE),"")</f>
        <v>Maquinaria</v>
      </c>
      <c r="I190" s="115" t="s">
        <v>57</v>
      </c>
      <c r="J190" s="115" t="str">
        <f>+VLOOKUP($I190,Tabla7[#All],2,FALSE)</f>
        <v>NO PROGRAMADA</v>
      </c>
      <c r="K190" s="114" t="str">
        <f>IF(VLOOKUP(I190,Tabla7[#All],3,FALSE)=0,"",VLOOKUP(I190,Tabla7[#All],3,FALSE))</f>
        <v>MECÁNICA</v>
      </c>
      <c r="L190" s="35" t="s">
        <v>516</v>
      </c>
      <c r="M190" s="35" t="s">
        <v>517</v>
      </c>
      <c r="N190" s="35" t="str" cm="1">
        <f t="array" ref="N190">IFERROR(IF(Tabla8[[#This Row],[P/NP]]="NO PROGRAMADA","",_xlfn.TEXTJOIN(", ",TRUE,_xlfn._xlws.FILTER(Tabla4[[#All],[PIEZA]],ISNUMBER(SEARCH(Tabla4[[#All],[PCLAVE]],Tabla8[[#This Row],[DESCRIPCION DE TRABAJO]])),""))),"")</f>
        <v/>
      </c>
      <c r="O190" s="35" t="str" cm="1">
        <f t="array" ref="O190">_xlfn.TEXTJOIN(", ",TRUE,_xlfn._xlws.FILTER(Tabla28[[#All],[PARTE]],ISNUMBER(SEARCH(Tabla28[[#All],[PCLAVE2]],Tabla8[[#This Row],[DESCRIPCION DE TRABAJO]])),""))</f>
        <v/>
      </c>
      <c r="P190" s="303" t="str">
        <f>IFERROR(LEFT(O190, FIND(",", O190)-1), O190)</f>
        <v/>
      </c>
      <c r="Q190" s="303" t="str">
        <f>IFERROR(IF(ISERROR(FIND(",", O190, FIND(",", O190)+1)), RIGHT(O190, LEN(O190)-FIND(",", O190)-1), MID(O190, FIND(",", O190)+2, FIND(",", O190, FIND(",", O190)+1)-FIND(",", O190)-2)), "")</f>
        <v/>
      </c>
      <c r="R190" s="303" t="str">
        <f>IFERROR(RIGHT(O190, LEN(O190)-FIND(",", O190, FIND(",", O190)+1)-1), "")</f>
        <v/>
      </c>
      <c r="S190" s="35" t="str" cm="1">
        <f t="array" ref="S190">_xlfn.TEXTJOIN(", ",TRUE,_xlfn._xlws.FILTER(Tabla29[[#All],[PARTE]],ISNUMBER(SEARCH(Tabla29[[#All],[PCLAVE3]],Tabla8[[#This Row],[DESCRIPCION DE TRABAJO]])),""))</f>
        <v>Laminado, Soltura, Vibracion</v>
      </c>
      <c r="T190" s="34" t="str">
        <f>IF(AND(Tabla8[[#This Row],[PIEZA]]="",Tabla8[[#This Row],[PARTE]]=""),"VACIO","OK")</f>
        <v>VACIO</v>
      </c>
      <c r="U190" s="303" t="str">
        <f>+CONCATENATE(WEEKNUM(Tabla8[[#This Row],[FECHA]]),"-",YEAR(Tabla8[[#This Row],[FECHA]]))</f>
        <v>7-2026</v>
      </c>
    </row>
    <row r="191" spans="1:21" ht="15" customHeight="1">
      <c r="A191" s="22">
        <v>46062</v>
      </c>
      <c r="B191" s="16" t="s">
        <v>111</v>
      </c>
      <c r="C191" s="10" t="s">
        <v>36</v>
      </c>
      <c r="D191" s="381" t="s">
        <v>518</v>
      </c>
      <c r="E191" s="381" t="s">
        <v>89</v>
      </c>
      <c r="F191" s="380">
        <f>+MOD(Tabla8[[#This Row],[HR. FIN]]-Tabla8[[#This Row],[HR. INICIO]],1)</f>
        <v>8.3333333333333592E-3</v>
      </c>
      <c r="G191" s="16" t="s">
        <v>153</v>
      </c>
      <c r="H191" s="343" t="str">
        <f>IFERROR(VLOOKUP(G191,DATOS!$M$2:$N$219,2,FALSE),"")</f>
        <v>Maquinaria</v>
      </c>
      <c r="I191" s="115" t="s">
        <v>32</v>
      </c>
      <c r="J191" s="115" t="str">
        <f>+VLOOKUP($I191,Tabla7[#All],2,FALSE)</f>
        <v>PROGRAMADA</v>
      </c>
      <c r="K191" s="114" t="str">
        <f>IF(VLOOKUP(I191,Tabla7[#All],3,FALSE)=0,"",VLOOKUP(I191,Tabla7[#All],3,FALSE))</f>
        <v/>
      </c>
      <c r="L191" s="35" t="s">
        <v>519</v>
      </c>
      <c r="M191" s="35" t="s">
        <v>121</v>
      </c>
      <c r="N191" s="35" t="str" cm="1">
        <f t="array" ref="N191">IFERROR(IF(Tabla8[[#This Row],[P/NP]]="NO PROGRAMADA","",_xlfn.TEXTJOIN(", ",TRUE,_xlfn._xlws.FILTER(Tabla4[[#All],[PIEZA]],ISNUMBER(SEARCH(Tabla4[[#All],[PCLAVE]],Tabla8[[#This Row],[DESCRIPCION DE TRABAJO]])),""))),"")</f>
        <v/>
      </c>
      <c r="O191" s="35" t="str" cm="1">
        <f t="array" ref="O191">_xlfn.TEXTJOIN(", ",TRUE,_xlfn._xlws.FILTER(Tabla28[[#All],[PARTE]],ISNUMBER(SEARCH(Tabla28[[#All],[PCLAVE2]],Tabla8[[#This Row],[DESCRIPCION DE TRABAJO]])),""))</f>
        <v/>
      </c>
      <c r="P191" s="303" t="str">
        <f>IFERROR(LEFT(O191, FIND(",", O191)-1), O191)</f>
        <v/>
      </c>
      <c r="Q191" s="303" t="str">
        <f>IFERROR(IF(ISERROR(FIND(",", O191, FIND(",", O191)+1)), RIGHT(O191, LEN(O191)-FIND(",", O191)-1), MID(O191, FIND(",", O191)+2, FIND(",", O191, FIND(",", O191)+1)-FIND(",", O191)-2)), "")</f>
        <v/>
      </c>
      <c r="R191" s="303" t="str">
        <f>IFERROR(RIGHT(O191, LEN(O191)-FIND(",", O191, FIND(",", O191)+1)-1), "")</f>
        <v/>
      </c>
      <c r="S191" s="35" t="str" cm="1">
        <f t="array" ref="S191">_xlfn.TEXTJOIN(", ",TRUE,_xlfn._xlws.FILTER(Tabla29[[#All],[PARTE]],ISNUMBER(SEARCH(Tabla29[[#All],[PCLAVE3]],Tabla8[[#This Row],[DESCRIPCION DE TRABAJO]])),""))</f>
        <v>Sustitucion</v>
      </c>
      <c r="T191" s="34" t="str">
        <f>IF(AND(Tabla8[[#This Row],[PIEZA]]="",Tabla8[[#This Row],[PARTE]]=""),"VACIO","OK")</f>
        <v>VACIO</v>
      </c>
      <c r="U191" s="303" t="str">
        <f>+CONCATENATE(WEEKNUM(Tabla8[[#This Row],[FECHA]]),"-",YEAR(Tabla8[[#This Row],[FECHA]]))</f>
        <v>7-2026</v>
      </c>
    </row>
    <row r="192" spans="1:21" ht="15" customHeight="1">
      <c r="A192" s="22">
        <v>46062</v>
      </c>
      <c r="B192" s="16" t="s">
        <v>111</v>
      </c>
      <c r="C192" s="10" t="s">
        <v>36</v>
      </c>
      <c r="D192" s="381" t="s">
        <v>520</v>
      </c>
      <c r="E192" s="381" t="s">
        <v>96</v>
      </c>
      <c r="F192" s="380">
        <f>+MOD(Tabla8[[#This Row],[HR. FIN]]-Tabla8[[#This Row],[HR. INICIO]],1)</f>
        <v>8.3333333333333592E-3</v>
      </c>
      <c r="G192" s="16" t="s">
        <v>312</v>
      </c>
      <c r="H192" s="343" t="str">
        <f>IFERROR(VLOOKUP(G192,DATOS!$M$2:$N$219,2,FALSE),"")</f>
        <v>Maquinaria</v>
      </c>
      <c r="I192" s="115" t="s">
        <v>32</v>
      </c>
      <c r="J192" s="115" t="str">
        <f>+VLOOKUP($I192,Tabla7[#All],2,FALSE)</f>
        <v>PROGRAMADA</v>
      </c>
      <c r="K192" s="114" t="str">
        <f>IF(VLOOKUP(I192,Tabla7[#All],3,FALSE)=0,"",VLOOKUP(I192,Tabla7[#All],3,FALSE))</f>
        <v/>
      </c>
      <c r="L192" s="35" t="s">
        <v>521</v>
      </c>
      <c r="M192" s="35" t="s">
        <v>121</v>
      </c>
      <c r="N192" s="35" t="str" cm="1">
        <f t="array" ref="N192">IFERROR(IF(Tabla8[[#This Row],[P/NP]]="NO PROGRAMADA","",_xlfn.TEXTJOIN(", ",TRUE,_xlfn._xlws.FILTER(Tabla4[[#All],[PIEZA]],ISNUMBER(SEARCH(Tabla4[[#All],[PCLAVE]],Tabla8[[#This Row],[DESCRIPCION DE TRABAJO]])),""))),"")</f>
        <v>Polin De Arrastre</v>
      </c>
      <c r="O192" s="35" t="str" cm="1">
        <f t="array" ref="O192">_xlfn.TEXTJOIN(", ",TRUE,_xlfn._xlws.FILTER(Tabla28[[#All],[PARTE]],ISNUMBER(SEARCH(Tabla28[[#All],[PCLAVE2]],Tabla8[[#This Row],[DESCRIPCION DE TRABAJO]])),""))</f>
        <v/>
      </c>
      <c r="P192" s="303" t="str">
        <f>IFERROR(LEFT(O192, FIND(",", O192)-1), O192)</f>
        <v/>
      </c>
      <c r="Q192" s="303" t="str">
        <f>IFERROR(IF(ISERROR(FIND(",", O192, FIND(",", O192)+1)), RIGHT(O192, LEN(O192)-FIND(",", O192)-1), MID(O192, FIND(",", O192)+2, FIND(",", O192, FIND(",", O192)+1)-FIND(",", O192)-2)), "")</f>
        <v/>
      </c>
      <c r="R192" s="303" t="str">
        <f>IFERROR(RIGHT(O192, LEN(O192)-FIND(",", O192, FIND(",", O192)+1)-1), "")</f>
        <v/>
      </c>
      <c r="S192" s="35" t="str" cm="1">
        <f t="array" ref="S192">_xlfn.TEXTJOIN(", ",TRUE,_xlfn._xlws.FILTER(Tabla29[[#All],[PARTE]],ISNUMBER(SEARCH(Tabla29[[#All],[PCLAVE3]],Tabla8[[#This Row],[DESCRIPCION DE TRABAJO]])),""))</f>
        <v/>
      </c>
      <c r="T192" s="34" t="str">
        <f>IF(AND(Tabla8[[#This Row],[PIEZA]]="",Tabla8[[#This Row],[PARTE]]=""),"VACIO","OK")</f>
        <v>OK</v>
      </c>
      <c r="U192" s="303" t="str">
        <f>+CONCATENATE(WEEKNUM(Tabla8[[#This Row],[FECHA]]),"-",YEAR(Tabla8[[#This Row],[FECHA]]))</f>
        <v>7-2026</v>
      </c>
    </row>
    <row r="193" spans="1:21" ht="15" customHeight="1">
      <c r="A193" s="22">
        <v>46062</v>
      </c>
      <c r="B193" s="16" t="s">
        <v>111</v>
      </c>
      <c r="C193" s="10" t="s">
        <v>36</v>
      </c>
      <c r="D193" s="381" t="s">
        <v>522</v>
      </c>
      <c r="E193" s="381" t="s">
        <v>523</v>
      </c>
      <c r="F193" s="380">
        <f>+MOD(Tabla8[[#This Row],[HR. FIN]]-Tabla8[[#This Row],[HR. INICIO]],1)</f>
        <v>6.9444444444444198E-3</v>
      </c>
      <c r="G193" s="16" t="s">
        <v>153</v>
      </c>
      <c r="H193" s="343" t="str">
        <f>IFERROR(VLOOKUP(G193,DATOS!$M$2:$N$219,2,FALSE),"")</f>
        <v>Maquinaria</v>
      </c>
      <c r="I193" s="115" t="s">
        <v>32</v>
      </c>
      <c r="J193" s="115" t="str">
        <f>+VLOOKUP($I193,Tabla7[#All],2,FALSE)</f>
        <v>PROGRAMADA</v>
      </c>
      <c r="K193" s="114" t="str">
        <f>IF(VLOOKUP(I193,Tabla7[#All],3,FALSE)=0,"",VLOOKUP(I193,Tabla7[#All],3,FALSE))</f>
        <v/>
      </c>
      <c r="L193" s="35" t="s">
        <v>524</v>
      </c>
      <c r="M193" s="35" t="s">
        <v>121</v>
      </c>
      <c r="N193" s="35" t="str" cm="1">
        <f t="array" ref="N193">IFERROR(IF(Tabla8[[#This Row],[P/NP]]="NO PROGRAMADA","",_xlfn.TEXTJOIN(", ",TRUE,_xlfn._xlws.FILTER(Tabla4[[#All],[PIEZA]],ISNUMBER(SEARCH(Tabla4[[#All],[PCLAVE]],Tabla8[[#This Row],[DESCRIPCION DE TRABAJO]])),""))),"")</f>
        <v/>
      </c>
      <c r="O193" s="35" t="str" cm="1">
        <f t="array" ref="O193">_xlfn.TEXTJOIN(", ",TRUE,_xlfn._xlws.FILTER(Tabla28[[#All],[PARTE]],ISNUMBER(SEARCH(Tabla28[[#All],[PCLAVE2]],Tabla8[[#This Row],[DESCRIPCION DE TRABAJO]])),""))</f>
        <v/>
      </c>
      <c r="P193" s="303" t="str">
        <f>IFERROR(LEFT(O193, FIND(",", O193)-1), O193)</f>
        <v/>
      </c>
      <c r="Q193" s="303" t="str">
        <f>IFERROR(IF(ISERROR(FIND(",", O193, FIND(",", O193)+1)), RIGHT(O193, LEN(O193)-FIND(",", O193)-1), MID(O193, FIND(",", O193)+2, FIND(",", O193, FIND(",", O193)+1)-FIND(",", O193)-2)), "")</f>
        <v/>
      </c>
      <c r="R193" s="303" t="str">
        <f>IFERROR(RIGHT(O193, LEN(O193)-FIND(",", O193, FIND(",", O193)+1)-1), "")</f>
        <v/>
      </c>
      <c r="S193" s="35" t="str" cm="1">
        <f t="array" ref="S193">_xlfn.TEXTJOIN(", ",TRUE,_xlfn._xlws.FILTER(Tabla29[[#All],[PARTE]],ISNUMBER(SEARCH(Tabla29[[#All],[PCLAVE3]],Tabla8[[#This Row],[DESCRIPCION DE TRABAJO]])),""))</f>
        <v/>
      </c>
      <c r="T193" s="34" t="str">
        <f>IF(AND(Tabla8[[#This Row],[PIEZA]]="",Tabla8[[#This Row],[PARTE]]=""),"VACIO","OK")</f>
        <v>VACIO</v>
      </c>
      <c r="U193" s="303" t="str">
        <f>+CONCATENATE(WEEKNUM(Tabla8[[#This Row],[FECHA]]),"-",YEAR(Tabla8[[#This Row],[FECHA]]))</f>
        <v>7-2026</v>
      </c>
    </row>
    <row r="194" spans="1:21" ht="15" customHeight="1">
      <c r="A194" s="22">
        <v>46062</v>
      </c>
      <c r="B194" s="16" t="s">
        <v>131</v>
      </c>
      <c r="C194" s="10" t="s">
        <v>23</v>
      </c>
      <c r="D194" s="381" t="s">
        <v>525</v>
      </c>
      <c r="E194" s="381" t="s">
        <v>526</v>
      </c>
      <c r="F194" s="380">
        <f>+MOD(Tabla8[[#This Row],[HR. FIN]]-Tabla8[[#This Row],[HR. INICIO]],1)</f>
        <v>6.9444444444444198E-3</v>
      </c>
      <c r="G194" s="16" t="s">
        <v>119</v>
      </c>
      <c r="H194" s="343" t="str">
        <f>IFERROR(VLOOKUP(G194,DATOS!$M$2:$N$219,2,FALSE),"")</f>
        <v>Maquinaria</v>
      </c>
      <c r="I194" s="115" t="s">
        <v>32</v>
      </c>
      <c r="J194" s="115" t="s">
        <v>92</v>
      </c>
      <c r="K194" s="114" t="s">
        <v>148</v>
      </c>
      <c r="L194" s="35" t="s">
        <v>527</v>
      </c>
      <c r="M194" s="35" t="s">
        <v>528</v>
      </c>
      <c r="N194" s="35" t="str" cm="1">
        <f t="array" ref="N194">IFERROR(IF(Tabla8[[#This Row],[P/NP]]="NO PROGRAMADA","",_xlfn.TEXTJOIN(", ",TRUE,_xlfn._xlws.FILTER(Tabla4[[#All],[PIEZA]],ISNUMBER(SEARCH(Tabla4[[#All],[PCLAVE]],Tabla8[[#This Row],[DESCRIPCION DE TRABAJO]])),""))),"")</f>
        <v/>
      </c>
      <c r="O194" s="35" t="str" cm="1">
        <f t="array" ref="O194">_xlfn.TEXTJOIN(", ",TRUE,_xlfn._xlws.FILTER(Tabla28[[#All],[PARTE]],ISNUMBER(SEARCH(Tabla28[[#All],[PCLAVE2]],Tabla8[[#This Row],[DESCRIPCION DE TRABAJO]])),""))</f>
        <v>Sammfill</v>
      </c>
      <c r="P194" s="303" t="str">
        <f>IFERROR(LEFT(O194, FIND(",", O194)-1), O194)</f>
        <v>Sammfill</v>
      </c>
      <c r="Q194" s="303" t="str">
        <f>IFERROR(IF(ISERROR(FIND(",", O194, FIND(",", O194)+1)), RIGHT(O194, LEN(O194)-FIND(",", O194)-1), MID(O194, FIND(",", O194)+2, FIND(",", O194, FIND(",", O194)+1)-FIND(",", O194)-2)), "")</f>
        <v/>
      </c>
      <c r="R194" s="303" t="str">
        <f>IFERROR(RIGHT(O194, LEN(O194)-FIND(",", O194, FIND(",", O194)+1)-1), "")</f>
        <v/>
      </c>
      <c r="S194" s="35" t="str" cm="1">
        <f t="array" ref="S194">_xlfn.TEXTJOIN(", ",TRUE,_xlfn._xlws.FILTER(Tabla29[[#All],[PARTE]],ISNUMBER(SEARCH(Tabla29[[#All],[PCLAVE3]],Tabla8[[#This Row],[DESCRIPCION DE TRABAJO]])),""))</f>
        <v>No Cae Producto</v>
      </c>
      <c r="T194" s="34" t="str">
        <f>IF(AND(Tabla8[[#This Row],[PIEZA]]="",Tabla8[[#This Row],[PARTE]]=""),"VACIO","OK")</f>
        <v>OK</v>
      </c>
      <c r="U194" s="303" t="str">
        <f>+CONCATENATE(WEEKNUM(Tabla8[[#This Row],[FECHA]]),"-",YEAR(Tabla8[[#This Row],[FECHA]]))</f>
        <v>7-2026</v>
      </c>
    </row>
    <row r="195" spans="1:21" ht="15" customHeight="1">
      <c r="A195" s="22">
        <v>46063</v>
      </c>
      <c r="B195" s="16" t="s">
        <v>111</v>
      </c>
      <c r="C195" s="10" t="s">
        <v>36</v>
      </c>
      <c r="D195" s="381" t="s">
        <v>122</v>
      </c>
      <c r="E195" s="381" t="s">
        <v>127</v>
      </c>
      <c r="F195" s="380">
        <f>+MOD(Tabla8[[#This Row],[HR. FIN]]-Tabla8[[#This Row],[HR. INICIO]],1)</f>
        <v>6.25E-2</v>
      </c>
      <c r="G195" s="16" t="s">
        <v>182</v>
      </c>
      <c r="H195" s="343" t="str">
        <f>IFERROR(VLOOKUP(G195,DATOS!$M$2:$N$219,2,FALSE),"")</f>
        <v>Maquinaria</v>
      </c>
      <c r="I195" s="115" t="s">
        <v>32</v>
      </c>
      <c r="J195" s="115" t="str">
        <f>+VLOOKUP($I195,Tabla7[#All],2,FALSE)</f>
        <v>PROGRAMADA</v>
      </c>
      <c r="K195" s="114" t="str">
        <f>IF(VLOOKUP(I195,Tabla7[#All],3,FALSE)=0,"",VLOOKUP(I195,Tabla7[#All],3,FALSE))</f>
        <v/>
      </c>
      <c r="L195" s="35" t="s">
        <v>529</v>
      </c>
      <c r="M195" s="35" t="s">
        <v>530</v>
      </c>
      <c r="N195" s="35" t="str" cm="1">
        <f t="array" ref="N195">IFERROR(IF(Tabla8[[#This Row],[P/NP]]="NO PROGRAMADA","",_xlfn.TEXTJOIN(", ",TRUE,_xlfn._xlws.FILTER(Tabla4[[#All],[PIEZA]],ISNUMBER(SEARCH(Tabla4[[#All],[PCLAVE]],Tabla8[[#This Row],[DESCRIPCION DE TRABAJO]])),""))),"")</f>
        <v/>
      </c>
      <c r="O195" s="35" t="str" cm="1">
        <f t="array" ref="O195">_xlfn.TEXTJOIN(", ",TRUE,_xlfn._xlws.FILTER(Tabla28[[#All],[PARTE]],ISNUMBER(SEARCH(Tabla28[[#All],[PCLAVE2]],Tabla8[[#This Row],[DESCRIPCION DE TRABAJO]])),""))</f>
        <v/>
      </c>
      <c r="P195" s="303" t="str">
        <f>IFERROR(LEFT(O195, FIND(",", O195)-1), O195)</f>
        <v/>
      </c>
      <c r="Q195" s="303" t="str">
        <f>IFERROR(IF(ISERROR(FIND(",", O195, FIND(",", O195)+1)), RIGHT(O195, LEN(O195)-FIND(",", O195)-1), MID(O195, FIND(",", O195)+2, FIND(",", O195, FIND(",", O195)+1)-FIND(",", O195)-2)), "")</f>
        <v/>
      </c>
      <c r="R195" s="303" t="str">
        <f>IFERROR(RIGHT(O195, LEN(O195)-FIND(",", O195, FIND(",", O195)+1)-1), "")</f>
        <v/>
      </c>
      <c r="S195" s="35" t="str" cm="1">
        <f t="array" ref="S195">_xlfn.TEXTJOIN(", ",TRUE,_xlfn._xlws.FILTER(Tabla29[[#All],[PARTE]],ISNUMBER(SEARCH(Tabla29[[#All],[PCLAVE3]],Tabla8[[#This Row],[DESCRIPCION DE TRABAJO]])),""))</f>
        <v>Cambio De Formato</v>
      </c>
      <c r="T195" s="34" t="str">
        <f>IF(AND(Tabla8[[#This Row],[PIEZA]]="",Tabla8[[#This Row],[PARTE]]=""),"VACIO","OK")</f>
        <v>VACIO</v>
      </c>
      <c r="U195" s="303" t="str">
        <f>+CONCATENATE(WEEKNUM(Tabla8[[#This Row],[FECHA]]),"-",YEAR(Tabla8[[#This Row],[FECHA]]))</f>
        <v>7-2026</v>
      </c>
    </row>
    <row r="196" spans="1:21" ht="15" customHeight="1">
      <c r="A196" s="22">
        <v>46063</v>
      </c>
      <c r="B196" s="16" t="s">
        <v>111</v>
      </c>
      <c r="C196" s="10" t="s">
        <v>36</v>
      </c>
      <c r="D196" s="381" t="s">
        <v>531</v>
      </c>
      <c r="E196" s="381" t="s">
        <v>468</v>
      </c>
      <c r="F196" s="380">
        <f>+MOD(Tabla8[[#This Row],[HR. FIN]]-Tabla8[[#This Row],[HR. INICIO]],1)</f>
        <v>3.125E-2</v>
      </c>
      <c r="G196" s="16" t="s">
        <v>119</v>
      </c>
      <c r="H196" s="343" t="str">
        <f>IFERROR(VLOOKUP(G196,DATOS!$M$2:$N$219,2,FALSE),"")</f>
        <v>Maquinaria</v>
      </c>
      <c r="I196" s="115" t="s">
        <v>32</v>
      </c>
      <c r="J196" s="115" t="str">
        <f>+VLOOKUP($I196,Tabla7[#All],2,FALSE)</f>
        <v>PROGRAMADA</v>
      </c>
      <c r="K196" s="114" t="str">
        <f>IF(VLOOKUP(I196,Tabla7[#All],3,FALSE)=0,"",VLOOKUP(I196,Tabla7[#All],3,FALSE))</f>
        <v/>
      </c>
      <c r="L196" s="35" t="s">
        <v>532</v>
      </c>
      <c r="M196" s="35" t="s">
        <v>121</v>
      </c>
      <c r="N196" s="35" t="str" cm="1">
        <f t="array" ref="N196">IFERROR(IF(Tabla8[[#This Row],[P/NP]]="NO PROGRAMADA","",_xlfn.TEXTJOIN(", ",TRUE,_xlfn._xlws.FILTER(Tabla4[[#All],[PIEZA]],ISNUMBER(SEARCH(Tabla4[[#All],[PCLAVE]],Tabla8[[#This Row],[DESCRIPCION DE TRABAJO]])),""))),"")</f>
        <v>Actuadores</v>
      </c>
      <c r="O196" s="35" t="str" cm="1">
        <f t="array" ref="O196">_xlfn.TEXTJOIN(", ",TRUE,_xlfn._xlws.FILTER(Tabla28[[#All],[PARTE]],ISNUMBER(SEARCH(Tabla28[[#All],[PCLAVE2]],Tabla8[[#This Row],[DESCRIPCION DE TRABAJO]])),""))</f>
        <v/>
      </c>
      <c r="P196" s="303" t="str">
        <f>IFERROR(LEFT(O196, FIND(",", O196)-1), O196)</f>
        <v/>
      </c>
      <c r="Q196" s="303" t="str">
        <f>IFERROR(IF(ISERROR(FIND(",", O196, FIND(",", O196)+1)), RIGHT(O196, LEN(O196)-FIND(",", O196)-1), MID(O196, FIND(",", O196)+2, FIND(",", O196, FIND(",", O196)+1)-FIND(",", O196)-2)), "")</f>
        <v/>
      </c>
      <c r="R196" s="303" t="str">
        <f>IFERROR(RIGHT(O196, LEN(O196)-FIND(",", O196, FIND(",", O196)+1)-1), "")</f>
        <v/>
      </c>
      <c r="S196" s="35" t="str" cm="1">
        <f t="array" ref="S196">_xlfn.TEXTJOIN(", ",TRUE,_xlfn._xlws.FILTER(Tabla29[[#All],[PARTE]],ISNUMBER(SEARCH(Tabla29[[#All],[PCLAVE3]],Tabla8[[#This Row],[DESCRIPCION DE TRABAJO]])),""))</f>
        <v/>
      </c>
      <c r="T196" s="34" t="str">
        <f>IF(AND(Tabla8[[#This Row],[PIEZA]]="",Tabla8[[#This Row],[PARTE]]=""),"VACIO","OK")</f>
        <v>OK</v>
      </c>
      <c r="U196" s="303" t="str">
        <f>+CONCATENATE(WEEKNUM(Tabla8[[#This Row],[FECHA]]),"-",YEAR(Tabla8[[#This Row],[FECHA]]))</f>
        <v>7-2026</v>
      </c>
    </row>
    <row r="197" spans="1:21" ht="15" customHeight="1">
      <c r="A197" s="22">
        <v>46063</v>
      </c>
      <c r="B197" s="16" t="s">
        <v>131</v>
      </c>
      <c r="C197" s="10" t="s">
        <v>23</v>
      </c>
      <c r="D197" s="381" t="s">
        <v>533</v>
      </c>
      <c r="E197" s="381" t="s">
        <v>311</v>
      </c>
      <c r="F197" s="380">
        <f>+MOD(Tabla8[[#This Row],[HR. FIN]]-Tabla8[[#This Row],[HR. INICIO]],1)</f>
        <v>3.125E-2</v>
      </c>
      <c r="G197" s="16" t="s">
        <v>534</v>
      </c>
      <c r="H197" s="343" t="str">
        <f>IFERROR(VLOOKUP(G197,DATOS!$M$2:$N$219,2,FALSE),"")</f>
        <v>Maquinaria</v>
      </c>
      <c r="I197" s="115" t="s">
        <v>25</v>
      </c>
      <c r="J197" s="115" t="s">
        <v>92</v>
      </c>
      <c r="K197" s="114" t="s">
        <v>93</v>
      </c>
      <c r="L197" s="35" t="s">
        <v>535</v>
      </c>
      <c r="M197" s="35" t="s">
        <v>536</v>
      </c>
      <c r="N197" s="35" t="str" cm="1">
        <f t="array" ref="N197">IFERROR(IF(Tabla8[[#This Row],[P/NP]]="NO PROGRAMADA","",_xlfn.TEXTJOIN(", ",TRUE,_xlfn._xlws.FILTER(Tabla4[[#All],[PIEZA]],ISNUMBER(SEARCH(Tabla4[[#All],[PCLAVE]],Tabla8[[#This Row],[DESCRIPCION DE TRABAJO]])),""))),"")</f>
        <v/>
      </c>
      <c r="O197" s="35" t="str" cm="1">
        <f t="array" ref="O197">_xlfn.TEXTJOIN(", ",TRUE,_xlfn._xlws.FILTER(Tabla28[[#All],[PARTE]],ISNUMBER(SEARCH(Tabla28[[#All],[PCLAVE2]],Tabla8[[#This Row],[DESCRIPCION DE TRABAJO]])),""))</f>
        <v/>
      </c>
      <c r="P197" s="303" t="str">
        <f>IFERROR(LEFT(O197, FIND(",", O197)-1), O197)</f>
        <v/>
      </c>
      <c r="Q197" s="303" t="str">
        <f>IFERROR(IF(ISERROR(FIND(",", O197, FIND(",", O197)+1)), RIGHT(O197, LEN(O197)-FIND(",", O197)-1), MID(O197, FIND(",", O197)+2, FIND(",", O197, FIND(",", O197)+1)-FIND(",", O197)-2)), "")</f>
        <v/>
      </c>
      <c r="R197" s="303" t="str">
        <f>IFERROR(RIGHT(O197, LEN(O197)-FIND(",", O197, FIND(",", O197)+1)-1), "")</f>
        <v/>
      </c>
      <c r="S197" s="35" t="str" cm="1">
        <f t="array" ref="S197">_xlfn.TEXTJOIN(", ",TRUE,_xlfn._xlws.FILTER(Tabla29[[#All],[PARTE]],ISNUMBER(SEARCH(Tabla29[[#All],[PCLAVE3]],Tabla8[[#This Row],[DESCRIPCION DE TRABAJO]])),""))</f>
        <v>Goteo</v>
      </c>
      <c r="T197" s="34" t="str">
        <f>IF(AND(Tabla8[[#This Row],[PIEZA]]="",Tabla8[[#This Row],[PARTE]]=""),"VACIO","OK")</f>
        <v>VACIO</v>
      </c>
      <c r="U197" s="303" t="str">
        <f>+CONCATENATE(WEEKNUM(Tabla8[[#This Row],[FECHA]]),"-",YEAR(Tabla8[[#This Row],[FECHA]]))</f>
        <v>7-2026</v>
      </c>
    </row>
    <row r="198" spans="1:21" ht="15" customHeight="1">
      <c r="A198" s="22">
        <v>46063</v>
      </c>
      <c r="B198" s="16" t="s">
        <v>179</v>
      </c>
      <c r="C198" s="10" t="s">
        <v>36</v>
      </c>
      <c r="D198" s="381" t="s">
        <v>537</v>
      </c>
      <c r="E198" s="381" t="s">
        <v>126</v>
      </c>
      <c r="F198" s="380">
        <f>+MOD(Tabla8[[#This Row],[HR. FIN]]-Tabla8[[#This Row],[HR. INICIO]],1)</f>
        <v>2.777777777777779E-2</v>
      </c>
      <c r="G198" s="16" t="s">
        <v>153</v>
      </c>
      <c r="H198" s="343" t="str">
        <f>IFERROR(VLOOKUP(G198,DATOS!$M$2:$N$219,2,FALSE),"")</f>
        <v>Maquinaria</v>
      </c>
      <c r="I198" s="115" t="s">
        <v>186</v>
      </c>
      <c r="J198" s="115" t="str">
        <f>+VLOOKUP($I198,Tabla7[#All],2,FALSE)</f>
        <v>NO PROGRAMADA</v>
      </c>
      <c r="K198" s="114" t="s">
        <v>93</v>
      </c>
      <c r="L198" s="35" t="s">
        <v>538</v>
      </c>
      <c r="M198" s="35" t="s">
        <v>539</v>
      </c>
      <c r="N198" s="35" t="str" cm="1">
        <f t="array" ref="N198">IFERROR(IF(Tabla8[[#This Row],[P/NP]]="NO PROGRAMADA","",_xlfn.TEXTJOIN(", ",TRUE,_xlfn._xlws.FILTER(Tabla4[[#All],[PIEZA]],ISNUMBER(SEARCH(Tabla4[[#All],[PCLAVE]],Tabla8[[#This Row],[DESCRIPCION DE TRABAJO]])),""))),"")</f>
        <v/>
      </c>
      <c r="O198" s="35" t="str" cm="1">
        <f t="array" ref="O198">_xlfn.TEXTJOIN(", ",TRUE,_xlfn._xlws.FILTER(Tabla28[[#All],[PARTE]],ISNUMBER(SEARCH(Tabla28[[#All],[PCLAVE2]],Tabla8[[#This Row],[DESCRIPCION DE TRABAJO]])),""))</f>
        <v/>
      </c>
      <c r="P198" s="303" t="str">
        <f>IFERROR(LEFT(O198, FIND(",", O198)-1), O198)</f>
        <v/>
      </c>
      <c r="Q198" s="303" t="str">
        <f>IFERROR(IF(ISERROR(FIND(",", O198, FIND(",", O198)+1)), RIGHT(O198, LEN(O198)-FIND(",", O198)-1), MID(O198, FIND(",", O198)+2, FIND(",", O198, FIND(",", O198)+1)-FIND(",", O198)-2)), "")</f>
        <v/>
      </c>
      <c r="R198" s="303" t="str">
        <f>IFERROR(RIGHT(O198, LEN(O198)-FIND(",", O198, FIND(",", O198)+1)-1), "")</f>
        <v/>
      </c>
      <c r="S198" s="35" t="str" cm="1">
        <f t="array" ref="S198">_xlfn.TEXTJOIN(", ",TRUE,_xlfn._xlws.FILTER(Tabla29[[#All],[PARTE]],ISNUMBER(SEARCH(Tabla29[[#All],[PCLAVE3]],Tabla8[[#This Row],[DESCRIPCION DE TRABAJO]])),""))</f>
        <v/>
      </c>
      <c r="T198" s="34" t="str">
        <f>IF(AND(Tabla8[[#This Row],[PIEZA]]="",Tabla8[[#This Row],[PARTE]]=""),"VACIO","OK")</f>
        <v>VACIO</v>
      </c>
      <c r="U198" s="303" t="str">
        <f>+CONCATENATE(WEEKNUM(Tabla8[[#This Row],[FECHA]]),"-",YEAR(Tabla8[[#This Row],[FECHA]]))</f>
        <v>7-2026</v>
      </c>
    </row>
    <row r="199" spans="1:21" ht="15" customHeight="1">
      <c r="A199" s="22">
        <v>46063</v>
      </c>
      <c r="B199" s="16" t="s">
        <v>191</v>
      </c>
      <c r="C199" s="10" t="s">
        <v>39</v>
      </c>
      <c r="D199" s="381" t="s">
        <v>540</v>
      </c>
      <c r="E199" s="381" t="s">
        <v>541</v>
      </c>
      <c r="F199" s="380">
        <f>+MOD(Tabla8[[#This Row],[HR. FIN]]-Tabla8[[#This Row],[HR. INICIO]],1)</f>
        <v>2.5694444444444464E-2</v>
      </c>
      <c r="G199" s="16" t="s">
        <v>31</v>
      </c>
      <c r="H199" s="343" t="str">
        <f>IFERROR(VLOOKUP(G199,DATOS!$M$2:$N$219,2,FALSE),"")</f>
        <v>Maquinaria</v>
      </c>
      <c r="I199" s="115" t="s">
        <v>32</v>
      </c>
      <c r="J199" s="115" t="str">
        <f>+VLOOKUP($I199,Tabla7[#All],2,FALSE)</f>
        <v>PROGRAMADA</v>
      </c>
      <c r="K199" s="114" t="str">
        <f>IF(VLOOKUP(I199,Tabla7[#All],3,FALSE)=0,"",VLOOKUP(I199,Tabla7[#All],3,FALSE))</f>
        <v/>
      </c>
      <c r="L199" s="35" t="s">
        <v>542</v>
      </c>
      <c r="M199" s="35" t="s">
        <v>121</v>
      </c>
      <c r="N199" s="35" t="str" cm="1">
        <f t="array" ref="N199">IFERROR(IF(Tabla8[[#This Row],[P/NP]]="NO PROGRAMADA","",_xlfn.TEXTJOIN(", ",TRUE,_xlfn._xlws.FILTER(Tabla4[[#All],[PIEZA]],ISNUMBER(SEARCH(Tabla4[[#All],[PCLAVE]],Tabla8[[#This Row],[DESCRIPCION DE TRABAJO]])),""))),"")</f>
        <v>Guias, Mordaza</v>
      </c>
      <c r="O199" s="35" t="str" cm="1">
        <f t="array" ref="O199">_xlfn.TEXTJOIN(", ",TRUE,_xlfn._xlws.FILTER(Tabla28[[#All],[PARTE]],ISNUMBER(SEARCH(Tabla28[[#All],[PCLAVE2]],Tabla8[[#This Row],[DESCRIPCION DE TRABAJO]])),""))</f>
        <v/>
      </c>
      <c r="P199" s="303" t="str">
        <f>IFERROR(LEFT(O199, FIND(",", O199)-1), O199)</f>
        <v/>
      </c>
      <c r="Q199" s="303" t="str">
        <f>IFERROR(IF(ISERROR(FIND(",", O199, FIND(",", O199)+1)), RIGHT(O199, LEN(O199)-FIND(",", O199)-1), MID(O199, FIND(",", O199)+2, FIND(",", O199, FIND(",", O199)+1)-FIND(",", O199)-2)), "")</f>
        <v/>
      </c>
      <c r="R199" s="303" t="str">
        <f>IFERROR(RIGHT(O199, LEN(O199)-FIND(",", O199, FIND(",", O199)+1)-1), "")</f>
        <v/>
      </c>
      <c r="S199" s="35" t="str" cm="1">
        <f t="array" ref="S199">_xlfn.TEXTJOIN(", ",TRUE,_xlfn._xlws.FILTER(Tabla29[[#All],[PARTE]],ISNUMBER(SEARCH(Tabla29[[#All],[PCLAVE3]],Tabla8[[#This Row],[DESCRIPCION DE TRABAJO]])),""))</f>
        <v>Cambio De Formato</v>
      </c>
      <c r="T199" s="34" t="str">
        <f>IF(AND(Tabla8[[#This Row],[PIEZA]]="",Tabla8[[#This Row],[PARTE]]=""),"VACIO","OK")</f>
        <v>OK</v>
      </c>
      <c r="U199" s="303" t="str">
        <f>+CONCATENATE(WEEKNUM(Tabla8[[#This Row],[FECHA]]),"-",YEAR(Tabla8[[#This Row],[FECHA]]))</f>
        <v>7-2026</v>
      </c>
    </row>
    <row r="200" spans="1:21" ht="15" customHeight="1">
      <c r="A200" s="22">
        <v>46063</v>
      </c>
      <c r="B200" s="16" t="s">
        <v>131</v>
      </c>
      <c r="C200" s="10" t="s">
        <v>23</v>
      </c>
      <c r="D200" s="381" t="s">
        <v>456</v>
      </c>
      <c r="E200" s="381" t="s">
        <v>543</v>
      </c>
      <c r="F200" s="380">
        <f>+MOD(Tabla8[[#This Row],[HR. FIN]]-Tabla8[[#This Row],[HR. INICIO]],1)</f>
        <v>2.430555555555558E-2</v>
      </c>
      <c r="G200" s="16" t="s">
        <v>140</v>
      </c>
      <c r="H200" s="343" t="str">
        <f>IFERROR(VLOOKUP(G200,DATOS!$M$2:$N$219,2,FALSE),"")</f>
        <v>Maquinaria</v>
      </c>
      <c r="I200" s="115" t="s">
        <v>57</v>
      </c>
      <c r="J200" s="115" t="str">
        <f>+VLOOKUP($I200,Tabla7[#All],2,FALSE)</f>
        <v>NO PROGRAMADA</v>
      </c>
      <c r="K200" s="114" t="str">
        <f>IF(VLOOKUP(I200,Tabla7[#All],3,FALSE)=0,"",VLOOKUP(I200,Tabla7[#All],3,FALSE))</f>
        <v>MECÁNICA</v>
      </c>
      <c r="L200" s="35" t="s">
        <v>544</v>
      </c>
      <c r="M200" s="35" t="s">
        <v>545</v>
      </c>
      <c r="N200" s="35" t="str" cm="1">
        <f t="array" ref="N200">IFERROR(IF(Tabla8[[#This Row],[P/NP]]="NO PROGRAMADA","",_xlfn.TEXTJOIN(", ",TRUE,_xlfn._xlws.FILTER(Tabla4[[#All],[PIEZA]],ISNUMBER(SEARCH(Tabla4[[#All],[PCLAVE]],Tabla8[[#This Row],[DESCRIPCION DE TRABAJO]])),""))),"")</f>
        <v/>
      </c>
      <c r="O200" s="35" t="str" cm="1">
        <f t="array" ref="O200">_xlfn.TEXTJOIN(", ",TRUE,_xlfn._xlws.FILTER(Tabla28[[#All],[PARTE]],ISNUMBER(SEARCH(Tabla28[[#All],[PCLAVE2]],Tabla8[[#This Row],[DESCRIPCION DE TRABAJO]])),""))</f>
        <v/>
      </c>
      <c r="P200" s="303" t="str">
        <f>IFERROR(LEFT(O200, FIND(",", O200)-1), O200)</f>
        <v/>
      </c>
      <c r="Q200" s="303" t="str">
        <f>IFERROR(IF(ISERROR(FIND(",", O200, FIND(",", O200)+1)), RIGHT(O200, LEN(O200)-FIND(",", O200)-1), MID(O200, FIND(",", O200)+2, FIND(",", O200, FIND(",", O200)+1)-FIND(",", O200)-2)), "")</f>
        <v/>
      </c>
      <c r="R200" s="303" t="str">
        <f>IFERROR(RIGHT(O200, LEN(O200)-FIND(",", O200, FIND(",", O200)+1)-1), "")</f>
        <v/>
      </c>
      <c r="S200" s="35" t="str" cm="1">
        <f t="array" ref="S200">_xlfn.TEXTJOIN(", ",TRUE,_xlfn._xlws.FILTER(Tabla29[[#All],[PARTE]],ISNUMBER(SEARCH(Tabla29[[#All],[PCLAVE3]],Tabla8[[#This Row],[DESCRIPCION DE TRABAJO]])),""))</f>
        <v>Desalineado</v>
      </c>
      <c r="T200" s="34" t="str">
        <f>IF(AND(Tabla8[[#This Row],[PIEZA]]="",Tabla8[[#This Row],[PARTE]]=""),"VACIO","OK")</f>
        <v>VACIO</v>
      </c>
      <c r="U200" s="303" t="str">
        <f>+CONCATENATE(WEEKNUM(Tabla8[[#This Row],[FECHA]]),"-",YEAR(Tabla8[[#This Row],[FECHA]]))</f>
        <v>7-2026</v>
      </c>
    </row>
    <row r="201" spans="1:21" ht="15" customHeight="1">
      <c r="A201" s="22">
        <v>46063</v>
      </c>
      <c r="B201" s="16" t="s">
        <v>191</v>
      </c>
      <c r="C201" s="10" t="s">
        <v>39</v>
      </c>
      <c r="D201" s="381" t="s">
        <v>546</v>
      </c>
      <c r="E201" s="381" t="s">
        <v>547</v>
      </c>
      <c r="F201" s="380">
        <f>+MOD(Tabla8[[#This Row],[HR. FIN]]-Tabla8[[#This Row],[HR. INICIO]],1)</f>
        <v>2.1527777777777812E-2</v>
      </c>
      <c r="G201" s="16" t="s">
        <v>153</v>
      </c>
      <c r="H201" s="343" t="str">
        <f>IFERROR(VLOOKUP(G201,DATOS!$M$2:$N$219,2,FALSE),"")</f>
        <v>Maquinaria</v>
      </c>
      <c r="I201" s="115" t="s">
        <v>186</v>
      </c>
      <c r="J201" s="115" t="str">
        <f>+VLOOKUP($I201,Tabla7[#All],2,FALSE)</f>
        <v>NO PROGRAMADA</v>
      </c>
      <c r="K201" s="114" t="s">
        <v>93</v>
      </c>
      <c r="L201" s="35" t="s">
        <v>548</v>
      </c>
      <c r="M201" s="35" t="s">
        <v>549</v>
      </c>
      <c r="N201" s="35" t="str" cm="1">
        <f t="array" ref="N201">IFERROR(IF(Tabla8[[#This Row],[P/NP]]="NO PROGRAMADA","",_xlfn.TEXTJOIN(", ",TRUE,_xlfn._xlws.FILTER(Tabla4[[#All],[PIEZA]],ISNUMBER(SEARCH(Tabla4[[#All],[PCLAVE]],Tabla8[[#This Row],[DESCRIPCION DE TRABAJO]])),""))),"")</f>
        <v/>
      </c>
      <c r="O201" s="35" t="str" cm="1">
        <f t="array" ref="O201">_xlfn.TEXTJOIN(", ",TRUE,_xlfn._xlws.FILTER(Tabla28[[#All],[PARTE]],ISNUMBER(SEARCH(Tabla28[[#All],[PCLAVE2]],Tabla8[[#This Row],[DESCRIPCION DE TRABAJO]])),""))</f>
        <v>Contraelevador</v>
      </c>
      <c r="P201" s="303" t="str">
        <f>IFERROR(LEFT(O201, FIND(",", O201)-1), O201)</f>
        <v>Contraelevador</v>
      </c>
      <c r="Q201" s="303" t="str">
        <f>IFERROR(IF(ISERROR(FIND(",", O201, FIND(",", O201)+1)), RIGHT(O201, LEN(O201)-FIND(",", O201)-1), MID(O201, FIND(",", O201)+2, FIND(",", O201, FIND(",", O201)+1)-FIND(",", O201)-2)), "")</f>
        <v/>
      </c>
      <c r="R201" s="303" t="str">
        <f>IFERROR(RIGHT(O201, LEN(O201)-FIND(",", O201, FIND(",", O201)+1)-1), "")</f>
        <v/>
      </c>
      <c r="S201" s="35" t="str" cm="1">
        <f t="array" ref="S201">_xlfn.TEXTJOIN(", ",TRUE,_xlfn._xlws.FILTER(Tabla29[[#All],[PARTE]],ISNUMBER(SEARCH(Tabla29[[#All],[PCLAVE3]],Tabla8[[#This Row],[DESCRIPCION DE TRABAJO]])),""))</f>
        <v>Colision, Falla De Presion</v>
      </c>
      <c r="T201" s="34" t="str">
        <f>IF(AND(Tabla8[[#This Row],[PIEZA]]="",Tabla8[[#This Row],[PARTE]]=""),"VACIO","OK")</f>
        <v>OK</v>
      </c>
      <c r="U201" s="303" t="str">
        <f>+CONCATENATE(WEEKNUM(Tabla8[[#This Row],[FECHA]]),"-",YEAR(Tabla8[[#This Row],[FECHA]]))</f>
        <v>7-2026</v>
      </c>
    </row>
    <row r="202" spans="1:21" ht="15" customHeight="1">
      <c r="A202" s="22">
        <v>46063</v>
      </c>
      <c r="B202" s="16" t="s">
        <v>111</v>
      </c>
      <c r="C202" s="10" t="s">
        <v>36</v>
      </c>
      <c r="D202" s="381" t="s">
        <v>107</v>
      </c>
      <c r="E202" s="381" t="s">
        <v>281</v>
      </c>
      <c r="F202" s="380">
        <f>+MOD(Tabla8[[#This Row],[HR. FIN]]-Tabla8[[#This Row],[HR. INICIO]],1)</f>
        <v>2.083333333333337E-2</v>
      </c>
      <c r="G202" s="16" t="s">
        <v>140</v>
      </c>
      <c r="H202" s="343" t="str">
        <f>IFERROR(VLOOKUP(G202,DATOS!$M$2:$N$219,2,FALSE),"")</f>
        <v>Maquinaria</v>
      </c>
      <c r="I202" s="115" t="s">
        <v>57</v>
      </c>
      <c r="J202" s="115" t="str">
        <f>+VLOOKUP($I202,Tabla7[#All],2,FALSE)</f>
        <v>NO PROGRAMADA</v>
      </c>
      <c r="K202" s="114" t="str">
        <f>IF(VLOOKUP(I202,Tabla7[#All],3,FALSE)=0,"",VLOOKUP(I202,Tabla7[#All],3,FALSE))</f>
        <v>MECÁNICA</v>
      </c>
      <c r="L202" s="35" t="s">
        <v>550</v>
      </c>
      <c r="M202" s="35" t="s">
        <v>121</v>
      </c>
      <c r="N202" s="35" t="str" cm="1">
        <f t="array" ref="N202">IFERROR(IF(Tabla8[[#This Row],[P/NP]]="NO PROGRAMADA","",_xlfn.TEXTJOIN(", ",TRUE,_xlfn._xlws.FILTER(Tabla4[[#All],[PIEZA]],ISNUMBER(SEARCH(Tabla4[[#All],[PCLAVE]],Tabla8[[#This Row],[DESCRIPCION DE TRABAJO]])),""))),"")</f>
        <v/>
      </c>
      <c r="O202" s="35" t="str" cm="1">
        <f t="array" ref="O202">_xlfn.TEXTJOIN(", ",TRUE,_xlfn._xlws.FILTER(Tabla28[[#All],[PARTE]],ISNUMBER(SEARCH(Tabla28[[#All],[PCLAVE2]],Tabla8[[#This Row],[DESCRIPCION DE TRABAJO]])),""))</f>
        <v/>
      </c>
      <c r="P202" s="303" t="str">
        <f>IFERROR(LEFT(O202, FIND(",", O202)-1), O202)</f>
        <v/>
      </c>
      <c r="Q202" s="303" t="str">
        <f>IFERROR(IF(ISERROR(FIND(",", O202, FIND(",", O202)+1)), RIGHT(O202, LEN(O202)-FIND(",", O202)-1), MID(O202, FIND(",", O202)+2, FIND(",", O202, FIND(",", O202)+1)-FIND(",", O202)-2)), "")</f>
        <v/>
      </c>
      <c r="R202" s="303" t="str">
        <f>IFERROR(RIGHT(O202, LEN(O202)-FIND(",", O202, FIND(",", O202)+1)-1), "")</f>
        <v/>
      </c>
      <c r="S202" s="35" t="str" cm="1">
        <f t="array" ref="S202">_xlfn.TEXTJOIN(", ",TRUE,_xlfn._xlws.FILTER(Tabla29[[#All],[PARTE]],ISNUMBER(SEARCH(Tabla29[[#All],[PCLAVE3]],Tabla8[[#This Row],[DESCRIPCION DE TRABAJO]])),""))</f>
        <v/>
      </c>
      <c r="T202" s="34" t="str">
        <f>IF(AND(Tabla8[[#This Row],[PIEZA]]="",Tabla8[[#This Row],[PARTE]]=""),"VACIO","OK")</f>
        <v>VACIO</v>
      </c>
      <c r="U202" s="303" t="str">
        <f>+CONCATENATE(WEEKNUM(Tabla8[[#This Row],[FECHA]]),"-",YEAR(Tabla8[[#This Row],[FECHA]]))</f>
        <v>7-2026</v>
      </c>
    </row>
    <row r="203" spans="1:21" ht="15" customHeight="1">
      <c r="A203" s="22">
        <v>46063</v>
      </c>
      <c r="B203" s="16" t="s">
        <v>179</v>
      </c>
      <c r="C203" s="10" t="s">
        <v>36</v>
      </c>
      <c r="D203" s="381" t="s">
        <v>97</v>
      </c>
      <c r="E203" s="381" t="s">
        <v>551</v>
      </c>
      <c r="F203" s="380">
        <f>+MOD(Tabla8[[#This Row],[HR. FIN]]-Tabla8[[#This Row],[HR. INICIO]],1)</f>
        <v>2.083333333333337E-2</v>
      </c>
      <c r="G203" s="16" t="s">
        <v>552</v>
      </c>
      <c r="H203" s="343" t="str">
        <f>IFERROR(VLOOKUP(G203,DATOS!$M$2:$N$219,2,FALSE),"")</f>
        <v>Maquinaria</v>
      </c>
      <c r="I203" s="115" t="s">
        <v>61</v>
      </c>
      <c r="J203" s="115" t="str">
        <f>+VLOOKUP($I203,Tabla7[#All],2,FALSE)</f>
        <v>PROGRAMADA</v>
      </c>
      <c r="K203" s="114" t="str">
        <f>IF(VLOOKUP(I203,Tabla7[#All],3,FALSE)=0,"",VLOOKUP(I203,Tabla7[#All],3,FALSE))</f>
        <v/>
      </c>
      <c r="L203" s="35" t="s">
        <v>553</v>
      </c>
      <c r="M203" s="35" t="s">
        <v>121</v>
      </c>
      <c r="N203" s="35" t="str" cm="1">
        <f t="array" ref="N203">IFERROR(IF(Tabla8[[#This Row],[P/NP]]="NO PROGRAMADA","",_xlfn.TEXTJOIN(", ",TRUE,_xlfn._xlws.FILTER(Tabla4[[#All],[PIEZA]],ISNUMBER(SEARCH(Tabla4[[#All],[PCLAVE]],Tabla8[[#This Row],[DESCRIPCION DE TRABAJO]])),""))),"")</f>
        <v>Cabezal</v>
      </c>
      <c r="O203" s="35" t="str" cm="1">
        <f t="array" ref="O203">_xlfn.TEXTJOIN(", ",TRUE,_xlfn._xlws.FILTER(Tabla28[[#All],[PARTE]],ISNUMBER(SEARCH(Tabla28[[#All],[PCLAVE2]],Tabla8[[#This Row],[DESCRIPCION DE TRABAJO]])),""))</f>
        <v>Codificador</v>
      </c>
      <c r="P203" s="303" t="str">
        <f>IFERROR(LEFT(O203, FIND(",", O203)-1), O203)</f>
        <v>Codificador</v>
      </c>
      <c r="Q203" s="303" t="str">
        <f>IFERROR(IF(ISERROR(FIND(",", O203, FIND(",", O203)+1)), RIGHT(O203, LEN(O203)-FIND(",", O203)-1), MID(O203, FIND(",", O203)+2, FIND(",", O203, FIND(",", O203)+1)-FIND(",", O203)-2)), "")</f>
        <v/>
      </c>
      <c r="R203" s="303" t="str">
        <f>IFERROR(RIGHT(O203, LEN(O203)-FIND(",", O203, FIND(",", O203)+1)-1), "")</f>
        <v/>
      </c>
      <c r="S203" s="35" t="str" cm="1">
        <f t="array" ref="S203">_xlfn.TEXTJOIN(", ",TRUE,_xlfn._xlws.FILTER(Tabla29[[#All],[PARTE]],ISNUMBER(SEARCH(Tabla29[[#All],[PCLAVE3]],Tabla8[[#This Row],[DESCRIPCION DE TRABAJO]])),""))</f>
        <v/>
      </c>
      <c r="T203" s="34" t="str">
        <f>IF(AND(Tabla8[[#This Row],[PIEZA]]="",Tabla8[[#This Row],[PARTE]]=""),"VACIO","OK")</f>
        <v>OK</v>
      </c>
      <c r="U203" s="303" t="str">
        <f>+CONCATENATE(WEEKNUM(Tabla8[[#This Row],[FECHA]]),"-",YEAR(Tabla8[[#This Row],[FECHA]]))</f>
        <v>7-2026</v>
      </c>
    </row>
    <row r="204" spans="1:21" ht="15" customHeight="1">
      <c r="A204" s="22">
        <v>46063</v>
      </c>
      <c r="B204" s="16" t="s">
        <v>111</v>
      </c>
      <c r="C204" s="10" t="s">
        <v>36</v>
      </c>
      <c r="D204" s="381" t="s">
        <v>403</v>
      </c>
      <c r="E204" s="381" t="s">
        <v>152</v>
      </c>
      <c r="F204" s="380">
        <f>+MOD(Tabla8[[#This Row],[HR. FIN]]-Tabla8[[#This Row],[HR. INICIO]],1)</f>
        <v>2.0833333333333315E-2</v>
      </c>
      <c r="G204" s="16" t="s">
        <v>554</v>
      </c>
      <c r="H204" s="343" t="str">
        <f>IFERROR(VLOOKUP(G204,DATOS!$M$2:$N$219,2,FALSE),"")</f>
        <v>Maquinaria</v>
      </c>
      <c r="I204" s="115" t="s">
        <v>61</v>
      </c>
      <c r="J204" s="115" t="s">
        <v>92</v>
      </c>
      <c r="K204" s="114" t="s">
        <v>93</v>
      </c>
      <c r="L204" s="35" t="s">
        <v>555</v>
      </c>
      <c r="M204" s="35" t="s">
        <v>121</v>
      </c>
      <c r="N204" s="35" t="str" cm="1">
        <f t="array" ref="N204">IFERROR(IF(Tabla8[[#This Row],[P/NP]]="NO PROGRAMADA","",_xlfn.TEXTJOIN(", ",TRUE,_xlfn._xlws.FILTER(Tabla4[[#All],[PIEZA]],ISNUMBER(SEARCH(Tabla4[[#All],[PCLAVE]],Tabla8[[#This Row],[DESCRIPCION DE TRABAJO]])),""))),"")</f>
        <v/>
      </c>
      <c r="O204" s="35" t="str" cm="1">
        <f t="array" ref="O204">_xlfn.TEXTJOIN(", ",TRUE,_xlfn._xlws.FILTER(Tabla28[[#All],[PARTE]],ISNUMBER(SEARCH(Tabla28[[#All],[PCLAVE2]],Tabla8[[#This Row],[DESCRIPCION DE TRABAJO]])),""))</f>
        <v>Codificador</v>
      </c>
      <c r="P204" s="303" t="str">
        <f>IFERROR(LEFT(O204, FIND(",", O204)-1), O204)</f>
        <v>Codificador</v>
      </c>
      <c r="Q204" s="303" t="str">
        <f>IFERROR(IF(ISERROR(FIND(",", O204, FIND(",", O204)+1)), RIGHT(O204, LEN(O204)-FIND(",", O204)-1), MID(O204, FIND(",", O204)+2, FIND(",", O204, FIND(",", O204)+1)-FIND(",", O204)-2)), "")</f>
        <v/>
      </c>
      <c r="R204" s="303" t="str">
        <f>IFERROR(RIGHT(O204, LEN(O204)-FIND(",", O204, FIND(",", O204)+1)-1), "")</f>
        <v/>
      </c>
      <c r="S204" s="35" t="str" cm="1">
        <f t="array" ref="S204">_xlfn.TEXTJOIN(", ",TRUE,_xlfn._xlws.FILTER(Tabla29[[#All],[PARTE]],ISNUMBER(SEARCH(Tabla29[[#All],[PCLAVE3]],Tabla8[[#This Row],[DESCRIPCION DE TRABAJO]])),""))</f>
        <v/>
      </c>
      <c r="T204" s="34" t="str">
        <f>IF(AND(Tabla8[[#This Row],[PIEZA]]="",Tabla8[[#This Row],[PARTE]]=""),"VACIO","OK")</f>
        <v>OK</v>
      </c>
      <c r="U204" s="303" t="str">
        <f>+CONCATENATE(WEEKNUM(Tabla8[[#This Row],[FECHA]]),"-",YEAR(Tabla8[[#This Row],[FECHA]]))</f>
        <v>7-2026</v>
      </c>
    </row>
    <row r="205" spans="1:21" ht="15" customHeight="1">
      <c r="A205" s="22">
        <v>46063</v>
      </c>
      <c r="B205" s="16" t="s">
        <v>179</v>
      </c>
      <c r="C205" s="10" t="s">
        <v>36</v>
      </c>
      <c r="D205" s="381" t="s">
        <v>556</v>
      </c>
      <c r="E205" s="381" t="s">
        <v>557</v>
      </c>
      <c r="F205" s="380">
        <f>+MOD(Tabla8[[#This Row],[HR. FIN]]-Tabla8[[#This Row],[HR. INICIO]],1)</f>
        <v>2.0833333333333315E-2</v>
      </c>
      <c r="G205" s="16" t="s">
        <v>202</v>
      </c>
      <c r="H205" s="343" t="str">
        <f>IFERROR(VLOOKUP(G205,DATOS!$M$2:$N$219,2,FALSE),"")</f>
        <v>Maquinaria</v>
      </c>
      <c r="I205" s="115" t="s">
        <v>32</v>
      </c>
      <c r="J205" s="115" t="str">
        <f>+VLOOKUP($I205,Tabla7[#All],2,FALSE)</f>
        <v>PROGRAMADA</v>
      </c>
      <c r="K205" s="114" t="str">
        <f>IF(VLOOKUP(I205,Tabla7[#All],3,FALSE)=0,"",VLOOKUP(I205,Tabla7[#All],3,FALSE))</f>
        <v/>
      </c>
      <c r="L205" s="35" t="s">
        <v>558</v>
      </c>
      <c r="M205" s="35" t="s">
        <v>121</v>
      </c>
      <c r="N205" s="35" t="str" cm="1">
        <f t="array" ref="N205">IFERROR(IF(Tabla8[[#This Row],[P/NP]]="NO PROGRAMADA","",_xlfn.TEXTJOIN(", ",TRUE,_xlfn._xlws.FILTER(Tabla4[[#All],[PIEZA]],ISNUMBER(SEARCH(Tabla4[[#All],[PCLAVE]],Tabla8[[#This Row],[DESCRIPCION DE TRABAJO]])),""))),"")</f>
        <v/>
      </c>
      <c r="O205" s="35" t="str" cm="1">
        <f t="array" ref="O205">_xlfn.TEXTJOIN(", ",TRUE,_xlfn._xlws.FILTER(Tabla28[[#All],[PARTE]],ISNUMBER(SEARCH(Tabla28[[#All],[PCLAVE2]],Tabla8[[#This Row],[DESCRIPCION DE TRABAJO]])),""))</f>
        <v/>
      </c>
      <c r="P205" s="303" t="str">
        <f>IFERROR(LEFT(O205, FIND(",", O205)-1), O205)</f>
        <v/>
      </c>
      <c r="Q205" s="303" t="str">
        <f>IFERROR(IF(ISERROR(FIND(",", O205, FIND(",", O205)+1)), RIGHT(O205, LEN(O205)-FIND(",", O205)-1), MID(O205, FIND(",", O205)+2, FIND(",", O205, FIND(",", O205)+1)-FIND(",", O205)-2)), "")</f>
        <v/>
      </c>
      <c r="R205" s="303" t="str">
        <f>IFERROR(RIGHT(O205, LEN(O205)-FIND(",", O205, FIND(",", O205)+1)-1), "")</f>
        <v/>
      </c>
      <c r="S205" s="35" t="str" cm="1">
        <f t="array" ref="S205">_xlfn.TEXTJOIN(", ",TRUE,_xlfn._xlws.FILTER(Tabla29[[#All],[PARTE]],ISNUMBER(SEARCH(Tabla29[[#All],[PCLAVE3]],Tabla8[[#This Row],[DESCRIPCION DE TRABAJO]])),""))</f>
        <v/>
      </c>
      <c r="T205" s="34" t="str">
        <f>IF(AND(Tabla8[[#This Row],[PIEZA]]="",Tabla8[[#This Row],[PARTE]]=""),"VACIO","OK")</f>
        <v>VACIO</v>
      </c>
      <c r="U205" s="303" t="str">
        <f>+CONCATENATE(WEEKNUM(Tabla8[[#This Row],[FECHA]]),"-",YEAR(Tabla8[[#This Row],[FECHA]]))</f>
        <v>7-2026</v>
      </c>
    </row>
    <row r="206" spans="1:21" ht="15" customHeight="1">
      <c r="A206" s="22">
        <v>46063</v>
      </c>
      <c r="B206" s="16" t="s">
        <v>131</v>
      </c>
      <c r="C206" s="10" t="s">
        <v>23</v>
      </c>
      <c r="D206" s="381" t="s">
        <v>559</v>
      </c>
      <c r="E206" s="381" t="s">
        <v>560</v>
      </c>
      <c r="F206" s="380">
        <f>+MOD(Tabla8[[#This Row],[HR. FIN]]-Tabla8[[#This Row],[HR. INICIO]],1)</f>
        <v>1.9444444444444486E-2</v>
      </c>
      <c r="G206" s="16" t="s">
        <v>238</v>
      </c>
      <c r="H206" s="343" t="str">
        <f>IFERROR(VLOOKUP(G206,DATOS!$M$2:$N$219,2,FALSE),"")</f>
        <v>Maquinaria</v>
      </c>
      <c r="I206" s="115" t="s">
        <v>57</v>
      </c>
      <c r="J206" s="115" t="str">
        <f>+VLOOKUP($I206,Tabla7[#All],2,FALSE)</f>
        <v>NO PROGRAMADA</v>
      </c>
      <c r="K206" s="114" t="str">
        <f>IF(VLOOKUP(I206,Tabla7[#All],3,FALSE)=0,"",VLOOKUP(I206,Tabla7[#All],3,FALSE))</f>
        <v>MECÁNICA</v>
      </c>
      <c r="L206" s="35" t="s">
        <v>561</v>
      </c>
      <c r="M206" s="35" t="s">
        <v>562</v>
      </c>
      <c r="N206" s="35" t="str" cm="1">
        <f t="array" ref="N206">IFERROR(IF(Tabla8[[#This Row],[P/NP]]="NO PROGRAMADA","",_xlfn.TEXTJOIN(", ",TRUE,_xlfn._xlws.FILTER(Tabla4[[#All],[PIEZA]],ISNUMBER(SEARCH(Tabla4[[#All],[PCLAVE]],Tabla8[[#This Row],[DESCRIPCION DE TRABAJO]])),""))),"")</f>
        <v/>
      </c>
      <c r="O206" s="35" t="str" cm="1">
        <f t="array" ref="O206">_xlfn.TEXTJOIN(", ",TRUE,_xlfn._xlws.FILTER(Tabla28[[#All],[PARTE]],ISNUMBER(SEARCH(Tabla28[[#All],[PCLAVE2]],Tabla8[[#This Row],[DESCRIPCION DE TRABAJO]])),""))</f>
        <v>Columna</v>
      </c>
      <c r="P206" s="303" t="str">
        <f>IFERROR(LEFT(O206, FIND(",", O206)-1), O206)</f>
        <v>Columna</v>
      </c>
      <c r="Q206" s="303" t="str">
        <f>IFERROR(IF(ISERROR(FIND(",", O206, FIND(",", O206)+1)), RIGHT(O206, LEN(O206)-FIND(",", O206)-1), MID(O206, FIND(",", O206)+2, FIND(",", O206, FIND(",", O206)+1)-FIND(",", O206)-2)), "")</f>
        <v/>
      </c>
      <c r="R206" s="303" t="str">
        <f>IFERROR(RIGHT(O206, LEN(O206)-FIND(",", O206, FIND(",", O206)+1)-1), "")</f>
        <v/>
      </c>
      <c r="S206" s="35" t="str" cm="1">
        <f t="array" ref="S206">_xlfn.TEXTJOIN(", ",TRUE,_xlfn._xlws.FILTER(Tabla29[[#All],[PARTE]],ISNUMBER(SEARCH(Tabla29[[#All],[PCLAVE3]],Tabla8[[#This Row],[DESCRIPCION DE TRABAJO]])),""))</f>
        <v>Bloqueado, No Cae Producto</v>
      </c>
      <c r="T206" s="34" t="str">
        <f>IF(AND(Tabla8[[#This Row],[PIEZA]]="",Tabla8[[#This Row],[PARTE]]=""),"VACIO","OK")</f>
        <v>OK</v>
      </c>
      <c r="U206" s="303" t="str">
        <f>+CONCATENATE(WEEKNUM(Tabla8[[#This Row],[FECHA]]),"-",YEAR(Tabla8[[#This Row],[FECHA]]))</f>
        <v>7-2026</v>
      </c>
    </row>
    <row r="207" spans="1:21" ht="15" customHeight="1">
      <c r="A207" s="22">
        <v>46063</v>
      </c>
      <c r="B207" s="16" t="s">
        <v>131</v>
      </c>
      <c r="C207" s="10" t="s">
        <v>23</v>
      </c>
      <c r="D207" s="381" t="s">
        <v>563</v>
      </c>
      <c r="E207" s="381" t="s">
        <v>526</v>
      </c>
      <c r="F207" s="380">
        <f>+MOD(Tabla8[[#This Row],[HR. FIN]]-Tabla8[[#This Row],[HR. INICIO]],1)</f>
        <v>1.736111111111116E-2</v>
      </c>
      <c r="G207" s="16" t="s">
        <v>198</v>
      </c>
      <c r="H207" s="343" t="str">
        <f>IFERROR(VLOOKUP(G207,DATOS!$M$2:$N$219,2,FALSE),"")</f>
        <v>Maquinaria</v>
      </c>
      <c r="I207" s="115" t="s">
        <v>54</v>
      </c>
      <c r="J207" s="115" t="str">
        <f>+VLOOKUP($I207,Tabla7[#All],2,FALSE)</f>
        <v>PROGRAMADA</v>
      </c>
      <c r="K207" s="114" t="str">
        <f>IF(VLOOKUP(I207,Tabla7[#All],3,FALSE)=0,"",VLOOKUP(I207,Tabla7[#All],3,FALSE))</f>
        <v/>
      </c>
      <c r="L207" s="35" t="s">
        <v>154</v>
      </c>
      <c r="M207" s="35" t="s">
        <v>121</v>
      </c>
      <c r="N207" s="35" t="str" cm="1">
        <f t="array" ref="N207">IFERROR(IF(Tabla8[[#This Row],[P/NP]]="NO PROGRAMADA","",_xlfn.TEXTJOIN(", ",TRUE,_xlfn._xlws.FILTER(Tabla4[[#All],[PIEZA]],ISNUMBER(SEARCH(Tabla4[[#All],[PCLAVE]],Tabla8[[#This Row],[DESCRIPCION DE TRABAJO]])),""))),"")</f>
        <v/>
      </c>
      <c r="O207" s="35" t="str" cm="1">
        <f t="array" ref="O207">_xlfn.TEXTJOIN(", ",TRUE,_xlfn._xlws.FILTER(Tabla28[[#All],[PARTE]],ISNUMBER(SEARCH(Tabla28[[#All],[PCLAVE2]],Tabla8[[#This Row],[DESCRIPCION DE TRABAJO]])),""))</f>
        <v/>
      </c>
      <c r="P207" s="303" t="str">
        <f>IFERROR(LEFT(O207, FIND(",", O207)-1), O207)</f>
        <v/>
      </c>
      <c r="Q207" s="303" t="str">
        <f>IFERROR(IF(ISERROR(FIND(",", O207, FIND(",", O207)+1)), RIGHT(O207, LEN(O207)-FIND(",", O207)-1), MID(O207, FIND(",", O207)+2, FIND(",", O207, FIND(",", O207)+1)-FIND(",", O207)-2)), "")</f>
        <v/>
      </c>
      <c r="R207" s="303" t="str">
        <f>IFERROR(RIGHT(O207, LEN(O207)-FIND(",", O207, FIND(",", O207)+1)-1), "")</f>
        <v/>
      </c>
      <c r="S207" s="35" t="str" cm="1">
        <f t="array" ref="S207">_xlfn.TEXTJOIN(", ",TRUE,_xlfn._xlws.FILTER(Tabla29[[#All],[PARTE]],ISNUMBER(SEARCH(Tabla29[[#All],[PCLAVE3]],Tabla8[[#This Row],[DESCRIPCION DE TRABAJO]])),""))</f>
        <v/>
      </c>
      <c r="T207" s="34" t="str">
        <f>IF(AND(Tabla8[[#This Row],[PIEZA]]="",Tabla8[[#This Row],[PARTE]]=""),"VACIO","OK")</f>
        <v>VACIO</v>
      </c>
      <c r="U207" s="303" t="str">
        <f>+CONCATENATE(WEEKNUM(Tabla8[[#This Row],[FECHA]]),"-",YEAR(Tabla8[[#This Row],[FECHA]]))</f>
        <v>7-2026</v>
      </c>
    </row>
    <row r="208" spans="1:21" ht="15" customHeight="1">
      <c r="A208" s="22">
        <v>46063</v>
      </c>
      <c r="B208" s="16" t="s">
        <v>131</v>
      </c>
      <c r="C208" s="10" t="s">
        <v>23</v>
      </c>
      <c r="D208" s="381" t="s">
        <v>564</v>
      </c>
      <c r="E208" s="381" t="s">
        <v>565</v>
      </c>
      <c r="F208" s="380">
        <f>+MOD(Tabla8[[#This Row],[HR. FIN]]-Tabla8[[#This Row],[HR. INICIO]],1)</f>
        <v>1.736111111111116E-2</v>
      </c>
      <c r="G208" s="16" t="s">
        <v>31</v>
      </c>
      <c r="H208" s="343" t="str">
        <f>IFERROR(VLOOKUP(G208,DATOS!$M$2:$N$219,2,FALSE),"")</f>
        <v>Maquinaria</v>
      </c>
      <c r="I208" s="115" t="s">
        <v>57</v>
      </c>
      <c r="J208" s="115" t="str">
        <f>+VLOOKUP($I208,Tabla7[#All],2,FALSE)</f>
        <v>NO PROGRAMADA</v>
      </c>
      <c r="K208" s="114" t="str">
        <f>IF(VLOOKUP(I208,Tabla7[#All],3,FALSE)=0,"",VLOOKUP(I208,Tabla7[#All],3,FALSE))</f>
        <v>MECÁNICA</v>
      </c>
      <c r="L208" s="35" t="s">
        <v>566</v>
      </c>
      <c r="M208" s="35" t="s">
        <v>567</v>
      </c>
      <c r="N208" s="35" t="str" cm="1">
        <f t="array" ref="N208">IFERROR(IF(Tabla8[[#This Row],[P/NP]]="NO PROGRAMADA","",_xlfn.TEXTJOIN(", ",TRUE,_xlfn._xlws.FILTER(Tabla4[[#All],[PIEZA]],ISNUMBER(SEARCH(Tabla4[[#All],[PCLAVE]],Tabla8[[#This Row],[DESCRIPCION DE TRABAJO]])),""))),"")</f>
        <v/>
      </c>
      <c r="O208" s="35" t="str" cm="1">
        <f t="array" ref="O208">_xlfn.TEXTJOIN(", ",TRUE,_xlfn._xlws.FILTER(Tabla28[[#All],[PARTE]],ISNUMBER(SEARCH(Tabla28[[#All],[PCLAVE2]],Tabla8[[#This Row],[DESCRIPCION DE TRABAJO]])),""))</f>
        <v/>
      </c>
      <c r="P208" s="303" t="str">
        <f>IFERROR(LEFT(O208, FIND(",", O208)-1), O208)</f>
        <v/>
      </c>
      <c r="Q208" s="303" t="str">
        <f>IFERROR(IF(ISERROR(FIND(",", O208, FIND(",", O208)+1)), RIGHT(O208, LEN(O208)-FIND(",", O208)-1), MID(O208, FIND(",", O208)+2, FIND(",", O208, FIND(",", O208)+1)-FIND(",", O208)-2)), "")</f>
        <v/>
      </c>
      <c r="R208" s="303" t="str">
        <f>IFERROR(RIGHT(O208, LEN(O208)-FIND(",", O208, FIND(",", O208)+1)-1), "")</f>
        <v/>
      </c>
      <c r="S208" s="35" t="str" cm="1">
        <f t="array" ref="S208">_xlfn.TEXTJOIN(", ",TRUE,_xlfn._xlws.FILTER(Tabla29[[#All],[PARTE]],ISNUMBER(SEARCH(Tabla29[[#All],[PCLAVE3]],Tabla8[[#This Row],[DESCRIPCION DE TRABAJO]])),""))</f>
        <v>Ruido</v>
      </c>
      <c r="T208" s="34" t="str">
        <f>IF(AND(Tabla8[[#This Row],[PIEZA]]="",Tabla8[[#This Row],[PARTE]]=""),"VACIO","OK")</f>
        <v>VACIO</v>
      </c>
      <c r="U208" s="303" t="str">
        <f>+CONCATENATE(WEEKNUM(Tabla8[[#This Row],[FECHA]]),"-",YEAR(Tabla8[[#This Row],[FECHA]]))</f>
        <v>7-2026</v>
      </c>
    </row>
    <row r="209" spans="1:21" ht="15" customHeight="1">
      <c r="A209" s="22">
        <v>46063</v>
      </c>
      <c r="B209" s="16" t="s">
        <v>191</v>
      </c>
      <c r="C209" s="10" t="s">
        <v>39</v>
      </c>
      <c r="D209" s="381" t="s">
        <v>568</v>
      </c>
      <c r="E209" s="381" t="s">
        <v>569</v>
      </c>
      <c r="F209" s="380">
        <f>+MOD(Tabla8[[#This Row],[HR. FIN]]-Tabla8[[#This Row],[HR. INICIO]],1)</f>
        <v>1.6666666666666718E-2</v>
      </c>
      <c r="G209" s="16" t="s">
        <v>31</v>
      </c>
      <c r="H209" s="343" t="str">
        <f>IFERROR(VLOOKUP(G209,DATOS!$M$2:$N$219,2,FALSE),"")</f>
        <v>Maquinaria</v>
      </c>
      <c r="I209" s="115" t="s">
        <v>32</v>
      </c>
      <c r="J209" s="115" t="str">
        <f>+VLOOKUP($I209,Tabla7[#All],2,FALSE)</f>
        <v>PROGRAMADA</v>
      </c>
      <c r="K209" s="114" t="str">
        <f>IF(VLOOKUP(I209,Tabla7[#All],3,FALSE)=0,"",VLOOKUP(I209,Tabla7[#All],3,FALSE))</f>
        <v/>
      </c>
      <c r="L209" s="35" t="s">
        <v>570</v>
      </c>
      <c r="M209" s="35" t="s">
        <v>121</v>
      </c>
      <c r="N209" s="35" t="str" cm="1">
        <f t="array" ref="N209">IFERROR(IF(Tabla8[[#This Row],[P/NP]]="NO PROGRAMADA","",_xlfn.TEXTJOIN(", ",TRUE,_xlfn._xlws.FILTER(Tabla4[[#All],[PIEZA]],ISNUMBER(SEARCH(Tabla4[[#All],[PCLAVE]],Tabla8[[#This Row],[DESCRIPCION DE TRABAJO]])),""))),"")</f>
        <v>Cadena</v>
      </c>
      <c r="O209" s="35" t="str" cm="1">
        <f t="array" ref="O209">_xlfn.TEXTJOIN(", ",TRUE,_xlfn._xlws.FILTER(Tabla28[[#All],[PARTE]],ISNUMBER(SEARCH(Tabla28[[#All],[PCLAVE2]],Tabla8[[#This Row],[DESCRIPCION DE TRABAJO]])),""))</f>
        <v/>
      </c>
      <c r="P209" s="303" t="str">
        <f>IFERROR(LEFT(O209, FIND(",", O209)-1), O209)</f>
        <v/>
      </c>
      <c r="Q209" s="303" t="str">
        <f>IFERROR(IF(ISERROR(FIND(",", O209, FIND(",", O209)+1)), RIGHT(O209, LEN(O209)-FIND(",", O209)-1), MID(O209, FIND(",", O209)+2, FIND(",", O209, FIND(",", O209)+1)-FIND(",", O209)-2)), "")</f>
        <v/>
      </c>
      <c r="R209" s="303" t="str">
        <f>IFERROR(RIGHT(O209, LEN(O209)-FIND(",", O209, FIND(",", O209)+1)-1), "")</f>
        <v/>
      </c>
      <c r="S209" s="35" t="str" cm="1">
        <f t="array" ref="S209">_xlfn.TEXTJOIN(", ",TRUE,_xlfn._xlws.FILTER(Tabla29[[#All],[PARTE]],ISNUMBER(SEARCH(Tabla29[[#All],[PCLAVE3]],Tabla8[[#This Row],[DESCRIPCION DE TRABAJO]])),""))</f>
        <v>Cambio De Formato</v>
      </c>
      <c r="T209" s="34" t="str">
        <f>IF(AND(Tabla8[[#This Row],[PIEZA]]="",Tabla8[[#This Row],[PARTE]]=""),"VACIO","OK")</f>
        <v>OK</v>
      </c>
      <c r="U209" s="303" t="str">
        <f>+CONCATENATE(WEEKNUM(Tabla8[[#This Row],[FECHA]]),"-",YEAR(Tabla8[[#This Row],[FECHA]]))</f>
        <v>7-2026</v>
      </c>
    </row>
    <row r="210" spans="1:21" ht="15" customHeight="1">
      <c r="A210" s="22">
        <v>46063</v>
      </c>
      <c r="B210" s="16" t="s">
        <v>131</v>
      </c>
      <c r="C210" s="10" t="s">
        <v>23</v>
      </c>
      <c r="D210" s="381" t="s">
        <v>571</v>
      </c>
      <c r="E210" s="381" t="s">
        <v>572</v>
      </c>
      <c r="F210" s="380">
        <f>+MOD(Tabla8[[#This Row],[HR. FIN]]-Tabla8[[#This Row],[HR. INICIO]],1)</f>
        <v>1.6666666666666607E-2</v>
      </c>
      <c r="G210" s="16" t="s">
        <v>119</v>
      </c>
      <c r="H210" s="343" t="str">
        <f>IFERROR(VLOOKUP(G210,DATOS!$M$2:$N$219,2,FALSE),"")</f>
        <v>Maquinaria</v>
      </c>
      <c r="I210" s="115" t="s">
        <v>54</v>
      </c>
      <c r="J210" s="115" t="str">
        <f>+VLOOKUP($I210,Tabla7[#All],2,FALSE)</f>
        <v>PROGRAMADA</v>
      </c>
      <c r="K210" s="114" t="str">
        <f>IF(VLOOKUP(I210,Tabla7[#All],3,FALSE)=0,"",VLOOKUP(I210,Tabla7[#All],3,FALSE))</f>
        <v/>
      </c>
      <c r="L210" s="35" t="s">
        <v>225</v>
      </c>
      <c r="M210" s="35" t="s">
        <v>121</v>
      </c>
      <c r="N210" s="35" t="str" cm="1">
        <f t="array" ref="N210">IFERROR(IF(Tabla8[[#This Row],[P/NP]]="NO PROGRAMADA","",_xlfn.TEXTJOIN(", ",TRUE,_xlfn._xlws.FILTER(Tabla4[[#All],[PIEZA]],ISNUMBER(SEARCH(Tabla4[[#All],[PCLAVE]],Tabla8[[#This Row],[DESCRIPCION DE TRABAJO]])),""))),"")</f>
        <v/>
      </c>
      <c r="O210" s="35" t="str" cm="1">
        <f t="array" ref="O210">_xlfn.TEXTJOIN(", ",TRUE,_xlfn._xlws.FILTER(Tabla28[[#All],[PARTE]],ISNUMBER(SEARCH(Tabla28[[#All],[PCLAVE2]],Tabla8[[#This Row],[DESCRIPCION DE TRABAJO]])),""))</f>
        <v/>
      </c>
      <c r="P210" s="303" t="str">
        <f>IFERROR(LEFT(O210, FIND(",", O210)-1), O210)</f>
        <v/>
      </c>
      <c r="Q210" s="303" t="str">
        <f>IFERROR(IF(ISERROR(FIND(",", O210, FIND(",", O210)+1)), RIGHT(O210, LEN(O210)-FIND(",", O210)-1), MID(O210, FIND(",", O210)+2, FIND(",", O210, FIND(",", O210)+1)-FIND(",", O210)-2)), "")</f>
        <v/>
      </c>
      <c r="R210" s="303" t="str">
        <f>IFERROR(RIGHT(O210, LEN(O210)-FIND(",", O210, FIND(",", O210)+1)-1), "")</f>
        <v/>
      </c>
      <c r="S210" s="35" t="str" cm="1">
        <f t="array" ref="S210">_xlfn.TEXTJOIN(", ",TRUE,_xlfn._xlws.FILTER(Tabla29[[#All],[PARTE]],ISNUMBER(SEARCH(Tabla29[[#All],[PCLAVE3]],Tabla8[[#This Row],[DESCRIPCION DE TRABAJO]])),""))</f>
        <v/>
      </c>
      <c r="T210" s="34" t="str">
        <f>IF(AND(Tabla8[[#This Row],[PIEZA]]="",Tabla8[[#This Row],[PARTE]]=""),"VACIO","OK")</f>
        <v>VACIO</v>
      </c>
      <c r="U210" s="303" t="str">
        <f>+CONCATENATE(WEEKNUM(Tabla8[[#This Row],[FECHA]]),"-",YEAR(Tabla8[[#This Row],[FECHA]]))</f>
        <v>7-2026</v>
      </c>
    </row>
    <row r="211" spans="1:21" ht="15" customHeight="1">
      <c r="A211" s="22">
        <v>46063</v>
      </c>
      <c r="B211" s="16" t="s">
        <v>111</v>
      </c>
      <c r="C211" s="10" t="s">
        <v>36</v>
      </c>
      <c r="D211" s="381" t="s">
        <v>573</v>
      </c>
      <c r="E211" s="381" t="s">
        <v>556</v>
      </c>
      <c r="F211" s="380">
        <f>+MOD(Tabla8[[#This Row],[HR. FIN]]-Tabla8[[#This Row],[HR. INICIO]],1)</f>
        <v>1.5972222222222221E-2</v>
      </c>
      <c r="G211" s="16" t="s">
        <v>202</v>
      </c>
      <c r="H211" s="343" t="str">
        <f>IFERROR(VLOOKUP(G211,DATOS!$M$2:$N$219,2,FALSE),"")</f>
        <v>Maquinaria</v>
      </c>
      <c r="I211" s="115" t="s">
        <v>57</v>
      </c>
      <c r="J211" s="115" t="str">
        <f>+VLOOKUP($I211,Tabla7[#All],2,FALSE)</f>
        <v>NO PROGRAMADA</v>
      </c>
      <c r="K211" s="114" t="str">
        <f>IF(VLOOKUP(I211,Tabla7[#All],3,FALSE)=0,"",VLOOKUP(I211,Tabla7[#All],3,FALSE))</f>
        <v>MECÁNICA</v>
      </c>
      <c r="L211" s="35" t="s">
        <v>574</v>
      </c>
      <c r="M211" s="35" t="s">
        <v>575</v>
      </c>
      <c r="N211" s="35" t="str" cm="1">
        <f t="array" ref="N211">IFERROR(IF(Tabla8[[#This Row],[P/NP]]="NO PROGRAMADA","",_xlfn.TEXTJOIN(", ",TRUE,_xlfn._xlws.FILTER(Tabla4[[#All],[PIEZA]],ISNUMBER(SEARCH(Tabla4[[#All],[PCLAVE]],Tabla8[[#This Row],[DESCRIPCION DE TRABAJO]])),""))),"")</f>
        <v/>
      </c>
      <c r="O211" s="35" t="str" cm="1">
        <f t="array" ref="O211">_xlfn.TEXTJOIN(", ",TRUE,_xlfn._xlws.FILTER(Tabla28[[#All],[PARTE]],ISNUMBER(SEARCH(Tabla28[[#All],[PCLAVE2]],Tabla8[[#This Row],[DESCRIPCION DE TRABAJO]])),""))</f>
        <v/>
      </c>
      <c r="P211" s="303" t="str">
        <f>IFERROR(LEFT(O211, FIND(",", O211)-1), O211)</f>
        <v/>
      </c>
      <c r="Q211" s="303" t="str">
        <f>IFERROR(IF(ISERROR(FIND(",", O211, FIND(",", O211)+1)), RIGHT(O211, LEN(O211)-FIND(",", O211)-1), MID(O211, FIND(",", O211)+2, FIND(",", O211, FIND(",", O211)+1)-FIND(",", O211)-2)), "")</f>
        <v/>
      </c>
      <c r="R211" s="303" t="str">
        <f>IFERROR(RIGHT(O211, LEN(O211)-FIND(",", O211, FIND(",", O211)+1)-1), "")</f>
        <v/>
      </c>
      <c r="S211" s="35" t="str" cm="1">
        <f t="array" ref="S211">_xlfn.TEXTJOIN(", ",TRUE,_xlfn._xlws.FILTER(Tabla29[[#All],[PARTE]],ISNUMBER(SEARCH(Tabla29[[#All],[PCLAVE3]],Tabla8[[#This Row],[DESCRIPCION DE TRABAJO]])),""))</f>
        <v>Alarma, Falla De Presion, No Enciende</v>
      </c>
      <c r="T211" s="34" t="str">
        <f>IF(AND(Tabla8[[#This Row],[PIEZA]]="",Tabla8[[#This Row],[PARTE]]=""),"VACIO","OK")</f>
        <v>VACIO</v>
      </c>
      <c r="U211" s="303" t="str">
        <f>+CONCATENATE(WEEKNUM(Tabla8[[#This Row],[FECHA]]),"-",YEAR(Tabla8[[#This Row],[FECHA]]))</f>
        <v>7-2026</v>
      </c>
    </row>
    <row r="212" spans="1:21" ht="15" customHeight="1">
      <c r="A212" s="22">
        <v>46063</v>
      </c>
      <c r="B212" s="16" t="s">
        <v>131</v>
      </c>
      <c r="C212" s="10" t="s">
        <v>23</v>
      </c>
      <c r="D212" s="381" t="s">
        <v>576</v>
      </c>
      <c r="E212" s="381" t="s">
        <v>577</v>
      </c>
      <c r="F212" s="380">
        <f>+MOD(Tabla8[[#This Row],[HR. FIN]]-Tabla8[[#This Row],[HR. INICIO]],1)</f>
        <v>1.5972222222222165E-2</v>
      </c>
      <c r="G212" s="16" t="s">
        <v>119</v>
      </c>
      <c r="H212" s="343" t="str">
        <f>IFERROR(VLOOKUP(G212,DATOS!$M$2:$N$219,2,FALSE),"")</f>
        <v>Maquinaria</v>
      </c>
      <c r="I212" s="115" t="s">
        <v>32</v>
      </c>
      <c r="J212" s="115" t="str">
        <f>+VLOOKUP($I212,Tabla7[#All],2,FALSE)</f>
        <v>PROGRAMADA</v>
      </c>
      <c r="K212" s="114" t="str">
        <f>IF(VLOOKUP(I212,Tabla7[#All],3,FALSE)=0,"",VLOOKUP(I212,Tabla7[#All],3,FALSE))</f>
        <v/>
      </c>
      <c r="L212" s="35" t="s">
        <v>578</v>
      </c>
      <c r="M212" s="35" t="s">
        <v>121</v>
      </c>
      <c r="N212" s="35" t="str" cm="1">
        <f t="array" ref="N212">IFERROR(IF(Tabla8[[#This Row],[P/NP]]="NO PROGRAMADA","",_xlfn.TEXTJOIN(", ",TRUE,_xlfn._xlws.FILTER(Tabla4[[#All],[PIEZA]],ISNUMBER(SEARCH(Tabla4[[#All],[PCLAVE]],Tabla8[[#This Row],[DESCRIPCION DE TRABAJO]])),""))),"")</f>
        <v/>
      </c>
      <c r="O212" s="35" t="str" cm="1">
        <f t="array" ref="O212">_xlfn.TEXTJOIN(", ",TRUE,_xlfn._xlws.FILTER(Tabla28[[#All],[PARTE]],ISNUMBER(SEARCH(Tabla28[[#All],[PCLAVE2]],Tabla8[[#This Row],[DESCRIPCION DE TRABAJO]])),""))</f>
        <v>Mds</v>
      </c>
      <c r="P212" s="303" t="str">
        <f>IFERROR(LEFT(O212, FIND(",", O212)-1), O212)</f>
        <v>Mds</v>
      </c>
      <c r="Q212" s="303" t="str">
        <f>IFERROR(IF(ISERROR(FIND(",", O212, FIND(",", O212)+1)), RIGHT(O212, LEN(O212)-FIND(",", O212)-1), MID(O212, FIND(",", O212)+2, FIND(",", O212, FIND(",", O212)+1)-FIND(",", O212)-2)), "")</f>
        <v/>
      </c>
      <c r="R212" s="303" t="str">
        <f>IFERROR(RIGHT(O212, LEN(O212)-FIND(",", O212, FIND(",", O212)+1)-1), "")</f>
        <v/>
      </c>
      <c r="S212" s="35" t="str" cm="1">
        <f t="array" ref="S212">_xlfn.TEXTJOIN(", ",TRUE,_xlfn._xlws.FILTER(Tabla29[[#All],[PARTE]],ISNUMBER(SEARCH(Tabla29[[#All],[PCLAVE3]],Tabla8[[#This Row],[DESCRIPCION DE TRABAJO]])),""))</f>
        <v>Cambio De Formato</v>
      </c>
      <c r="T212" s="34" t="str">
        <f>IF(AND(Tabla8[[#This Row],[PIEZA]]="",Tabla8[[#This Row],[PARTE]]=""),"VACIO","OK")</f>
        <v>OK</v>
      </c>
      <c r="U212" s="303" t="str">
        <f>+CONCATENATE(WEEKNUM(Tabla8[[#This Row],[FECHA]]),"-",YEAR(Tabla8[[#This Row],[FECHA]]))</f>
        <v>7-2026</v>
      </c>
    </row>
    <row r="213" spans="1:21" ht="15" customHeight="1">
      <c r="A213" s="22">
        <v>46063</v>
      </c>
      <c r="B213" s="16" t="s">
        <v>131</v>
      </c>
      <c r="C213" s="10" t="s">
        <v>23</v>
      </c>
      <c r="D213" s="381" t="s">
        <v>579</v>
      </c>
      <c r="E213" s="381" t="s">
        <v>580</v>
      </c>
      <c r="F213" s="380">
        <f>+MOD(Tabla8[[#This Row],[HR. FIN]]-Tabla8[[#This Row],[HR. INICIO]],1)</f>
        <v>1.5972222222222165E-2</v>
      </c>
      <c r="G213" s="16" t="s">
        <v>119</v>
      </c>
      <c r="H213" s="343" t="str">
        <f>IFERROR(VLOOKUP(G213,DATOS!$M$2:$N$219,2,FALSE),"")</f>
        <v>Maquinaria</v>
      </c>
      <c r="I213" s="115" t="s">
        <v>32</v>
      </c>
      <c r="J213" s="115" t="str">
        <f>+VLOOKUP($I213,Tabla7[#All],2,FALSE)</f>
        <v>PROGRAMADA</v>
      </c>
      <c r="K213" s="114" t="str">
        <f>IF(VLOOKUP(I213,Tabla7[#All],3,FALSE)=0,"",VLOOKUP(I213,Tabla7[#All],3,FALSE))</f>
        <v/>
      </c>
      <c r="L213" s="35" t="s">
        <v>581</v>
      </c>
      <c r="M213" s="35" t="s">
        <v>121</v>
      </c>
      <c r="N213" s="35" t="str" cm="1">
        <f t="array" ref="N213">IFERROR(IF(Tabla8[[#This Row],[P/NP]]="NO PROGRAMADA","",_xlfn.TEXTJOIN(", ",TRUE,_xlfn._xlws.FILTER(Tabla4[[#All],[PIEZA]],ISNUMBER(SEARCH(Tabla4[[#All],[PCLAVE]],Tabla8[[#This Row],[DESCRIPCION DE TRABAJO]])),""))),"")</f>
        <v/>
      </c>
      <c r="O213" s="35" t="str" cm="1">
        <f t="array" ref="O213">_xlfn.TEXTJOIN(", ",TRUE,_xlfn._xlws.FILTER(Tabla28[[#All],[PARTE]],ISNUMBER(SEARCH(Tabla28[[#All],[PCLAVE2]],Tabla8[[#This Row],[DESCRIPCION DE TRABAJO]])),""))</f>
        <v/>
      </c>
      <c r="P213" s="303" t="str">
        <f>IFERROR(LEFT(O213, FIND(",", O213)-1), O213)</f>
        <v/>
      </c>
      <c r="Q213" s="303" t="str">
        <f>IFERROR(IF(ISERROR(FIND(",", O213, FIND(",", O213)+1)), RIGHT(O213, LEN(O213)-FIND(",", O213)-1), MID(O213, FIND(",", O213)+2, FIND(",", O213, FIND(",", O213)+1)-FIND(",", O213)-2)), "")</f>
        <v/>
      </c>
      <c r="R213" s="303" t="str">
        <f>IFERROR(RIGHT(O213, LEN(O213)-FIND(",", O213, FIND(",", O213)+1)-1), "")</f>
        <v/>
      </c>
      <c r="S213" s="35" t="str" cm="1">
        <f t="array" ref="S213">_xlfn.TEXTJOIN(", ",TRUE,_xlfn._xlws.FILTER(Tabla29[[#All],[PARTE]],ISNUMBER(SEARCH(Tabla29[[#All],[PCLAVE3]],Tabla8[[#This Row],[DESCRIPCION DE TRABAJO]])),""))</f>
        <v/>
      </c>
      <c r="T213" s="34" t="str">
        <f>IF(AND(Tabla8[[#This Row],[PIEZA]]="",Tabla8[[#This Row],[PARTE]]=""),"VACIO","OK")</f>
        <v>VACIO</v>
      </c>
      <c r="U213" s="303" t="str">
        <f>+CONCATENATE(WEEKNUM(Tabla8[[#This Row],[FECHA]]),"-",YEAR(Tabla8[[#This Row],[FECHA]]))</f>
        <v>7-2026</v>
      </c>
    </row>
    <row r="214" spans="1:21" ht="15" customHeight="1">
      <c r="A214" s="22">
        <v>46063</v>
      </c>
      <c r="B214" s="16" t="s">
        <v>191</v>
      </c>
      <c r="C214" s="10" t="s">
        <v>39</v>
      </c>
      <c r="D214" s="381" t="s">
        <v>582</v>
      </c>
      <c r="E214" s="381" t="s">
        <v>583</v>
      </c>
      <c r="F214" s="380">
        <f>+MOD(Tabla8[[#This Row],[HR. FIN]]-Tabla8[[#This Row],[HR. INICIO]],1)</f>
        <v>1.5277777777777835E-2</v>
      </c>
      <c r="G214" s="16" t="s">
        <v>215</v>
      </c>
      <c r="H214" s="343" t="str">
        <f>IFERROR(VLOOKUP(G214,DATOS!$M$2:$N$219,2,FALSE),"")</f>
        <v>Equipos auxiliares</v>
      </c>
      <c r="I214" s="115" t="s">
        <v>54</v>
      </c>
      <c r="J214" s="115" t="str">
        <f>+VLOOKUP($I214,Tabla7[#All],2,FALSE)</f>
        <v>PROGRAMADA</v>
      </c>
      <c r="K214" s="114" t="str">
        <f>IF(VLOOKUP(I214,Tabla7[#All],3,FALSE)=0,"",VLOOKUP(I214,Tabla7[#All],3,FALSE))</f>
        <v/>
      </c>
      <c r="L214" s="35" t="s">
        <v>248</v>
      </c>
      <c r="M214" s="35" t="s">
        <v>121</v>
      </c>
      <c r="N214" s="35" t="str" cm="1">
        <f t="array" ref="N214">IFERROR(IF(Tabla8[[#This Row],[P/NP]]="NO PROGRAMADA","",_xlfn.TEXTJOIN(", ",TRUE,_xlfn._xlws.FILTER(Tabla4[[#All],[PIEZA]],ISNUMBER(SEARCH(Tabla4[[#All],[PCLAVE]],Tabla8[[#This Row],[DESCRIPCION DE TRABAJO]])),""))),"")</f>
        <v/>
      </c>
      <c r="O214" s="35" t="str" cm="1">
        <f t="array" ref="O214">_xlfn.TEXTJOIN(", ",TRUE,_xlfn._xlws.FILTER(Tabla28[[#All],[PARTE]],ISNUMBER(SEARCH(Tabla28[[#All],[PCLAVE2]],Tabla8[[#This Row],[DESCRIPCION DE TRABAJO]])),""))</f>
        <v/>
      </c>
      <c r="P214" s="303" t="str">
        <f>IFERROR(LEFT(O214, FIND(",", O214)-1), O214)</f>
        <v/>
      </c>
      <c r="Q214" s="303" t="str">
        <f>IFERROR(IF(ISERROR(FIND(",", O214, FIND(",", O214)+1)), RIGHT(O214, LEN(O214)-FIND(",", O214)-1), MID(O214, FIND(",", O214)+2, FIND(",", O214, FIND(",", O214)+1)-FIND(",", O214)-2)), "")</f>
        <v/>
      </c>
      <c r="R214" s="303" t="str">
        <f>IFERROR(RIGHT(O214, LEN(O214)-FIND(",", O214, FIND(",", O214)+1)-1), "")</f>
        <v/>
      </c>
      <c r="S214" s="35" t="str" cm="1">
        <f t="array" ref="S214">_xlfn.TEXTJOIN(", ",TRUE,_xlfn._xlws.FILTER(Tabla29[[#All],[PARTE]],ISNUMBER(SEARCH(Tabla29[[#All],[PCLAVE3]],Tabla8[[#This Row],[DESCRIPCION DE TRABAJO]])),""))</f>
        <v/>
      </c>
      <c r="T214" s="34" t="str">
        <f>IF(AND(Tabla8[[#This Row],[PIEZA]]="",Tabla8[[#This Row],[PARTE]]=""),"VACIO","OK")</f>
        <v>VACIO</v>
      </c>
      <c r="U214" s="303" t="str">
        <f>+CONCATENATE(WEEKNUM(Tabla8[[#This Row],[FECHA]]),"-",YEAR(Tabla8[[#This Row],[FECHA]]))</f>
        <v>7-2026</v>
      </c>
    </row>
    <row r="215" spans="1:21" ht="15" customHeight="1">
      <c r="A215" s="22">
        <v>46063</v>
      </c>
      <c r="B215" s="16" t="s">
        <v>131</v>
      </c>
      <c r="C215" s="10" t="s">
        <v>23</v>
      </c>
      <c r="D215" s="381" t="s">
        <v>269</v>
      </c>
      <c r="E215" s="381" t="s">
        <v>584</v>
      </c>
      <c r="F215" s="380">
        <f>+MOD(Tabla8[[#This Row],[HR. FIN]]-Tabla8[[#This Row],[HR. INICIO]],1)</f>
        <v>1.3888888888888951E-2</v>
      </c>
      <c r="G215" s="16" t="s">
        <v>31</v>
      </c>
      <c r="H215" s="343" t="str">
        <f>IFERROR(VLOOKUP(G215,DATOS!$M$2:$N$219,2,FALSE),"")</f>
        <v>Maquinaria</v>
      </c>
      <c r="I215" s="115" t="s">
        <v>54</v>
      </c>
      <c r="J215" s="115" t="str">
        <f>+VLOOKUP($I215,Tabla7[#All],2,FALSE)</f>
        <v>PROGRAMADA</v>
      </c>
      <c r="K215" s="114" t="str">
        <f>IF(VLOOKUP(I215,Tabla7[#All],3,FALSE)=0,"",VLOOKUP(I215,Tabla7[#All],3,FALSE))</f>
        <v/>
      </c>
      <c r="L215" s="35" t="s">
        <v>154</v>
      </c>
      <c r="M215" s="35" t="s">
        <v>121</v>
      </c>
      <c r="N215" s="35" t="str" cm="1">
        <f t="array" ref="N215">IFERROR(IF(Tabla8[[#This Row],[P/NP]]="NO PROGRAMADA","",_xlfn.TEXTJOIN(", ",TRUE,_xlfn._xlws.FILTER(Tabla4[[#All],[PIEZA]],ISNUMBER(SEARCH(Tabla4[[#All],[PCLAVE]],Tabla8[[#This Row],[DESCRIPCION DE TRABAJO]])),""))),"")</f>
        <v/>
      </c>
      <c r="O215" s="35" t="str" cm="1">
        <f t="array" ref="O215">_xlfn.TEXTJOIN(", ",TRUE,_xlfn._xlws.FILTER(Tabla28[[#All],[PARTE]],ISNUMBER(SEARCH(Tabla28[[#All],[PCLAVE2]],Tabla8[[#This Row],[DESCRIPCION DE TRABAJO]])),""))</f>
        <v/>
      </c>
      <c r="P215" s="303" t="str">
        <f>IFERROR(LEFT(O215, FIND(",", O215)-1), O215)</f>
        <v/>
      </c>
      <c r="Q215" s="303" t="str">
        <f>IFERROR(IF(ISERROR(FIND(",", O215, FIND(",", O215)+1)), RIGHT(O215, LEN(O215)-FIND(",", O215)-1), MID(O215, FIND(",", O215)+2, FIND(",", O215, FIND(",", O215)+1)-FIND(",", O215)-2)), "")</f>
        <v/>
      </c>
      <c r="R215" s="303" t="str">
        <f>IFERROR(RIGHT(O215, LEN(O215)-FIND(",", O215, FIND(",", O215)+1)-1), "")</f>
        <v/>
      </c>
      <c r="S215" s="35" t="str" cm="1">
        <f t="array" ref="S215">_xlfn.TEXTJOIN(", ",TRUE,_xlfn._xlws.FILTER(Tabla29[[#All],[PARTE]],ISNUMBER(SEARCH(Tabla29[[#All],[PCLAVE3]],Tabla8[[#This Row],[DESCRIPCION DE TRABAJO]])),""))</f>
        <v/>
      </c>
      <c r="T215" s="34" t="str">
        <f>IF(AND(Tabla8[[#This Row],[PIEZA]]="",Tabla8[[#This Row],[PARTE]]=""),"VACIO","OK")</f>
        <v>VACIO</v>
      </c>
      <c r="U215" s="303" t="str">
        <f>+CONCATENATE(WEEKNUM(Tabla8[[#This Row],[FECHA]]),"-",YEAR(Tabla8[[#This Row],[FECHA]]))</f>
        <v>7-2026</v>
      </c>
    </row>
    <row r="216" spans="1:21" ht="15" customHeight="1">
      <c r="A216" s="22">
        <v>46063</v>
      </c>
      <c r="B216" s="16" t="s">
        <v>179</v>
      </c>
      <c r="C216" s="10" t="s">
        <v>36</v>
      </c>
      <c r="D216" s="381" t="s">
        <v>585</v>
      </c>
      <c r="E216" s="381" t="s">
        <v>586</v>
      </c>
      <c r="F216" s="380">
        <f>+MOD(Tabla8[[#This Row],[HR. FIN]]-Tabla8[[#This Row],[HR. INICIO]],1)</f>
        <v>1.3888888888888895E-2</v>
      </c>
      <c r="G216" s="16" t="s">
        <v>438</v>
      </c>
      <c r="H216" s="343" t="str">
        <f>IFERROR(VLOOKUP(G216,DATOS!$M$2:$N$219,2,FALSE),"")</f>
        <v>Maquinaria</v>
      </c>
      <c r="I216" s="115" t="s">
        <v>28</v>
      </c>
      <c r="J216" s="115" t="s">
        <v>157</v>
      </c>
      <c r="K216" s="114"/>
      <c r="L216" s="35" t="s">
        <v>587</v>
      </c>
      <c r="M216" s="35" t="s">
        <v>121</v>
      </c>
      <c r="N216" s="35" t="str" cm="1">
        <f t="array" ref="N216">IFERROR(IF(Tabla8[[#This Row],[P/NP]]="NO PROGRAMADA","",_xlfn.TEXTJOIN(", ",TRUE,_xlfn._xlws.FILTER(Tabla4[[#All],[PIEZA]],ISNUMBER(SEARCH(Tabla4[[#All],[PCLAVE]],Tabla8[[#This Row],[DESCRIPCION DE TRABAJO]])),""))),"")</f>
        <v>Perno, Producto</v>
      </c>
      <c r="O216" s="35" t="str" cm="1">
        <f t="array" ref="O216">_xlfn.TEXTJOIN(", ",TRUE,_xlfn._xlws.FILTER(Tabla28[[#All],[PARTE]],ISNUMBER(SEARCH(Tabla28[[#All],[PCLAVE2]],Tabla8[[#This Row],[DESCRIPCION DE TRABAJO]])),""))</f>
        <v/>
      </c>
      <c r="P216" s="303" t="str">
        <f>IFERROR(LEFT(O216, FIND(",", O216)-1), O216)</f>
        <v/>
      </c>
      <c r="Q216" s="303" t="str">
        <f>IFERROR(IF(ISERROR(FIND(",", O216, FIND(",", O216)+1)), RIGHT(O216, LEN(O216)-FIND(",", O216)-1), MID(O216, FIND(",", O216)+2, FIND(",", O216, FIND(",", O216)+1)-FIND(",", O216)-2)), "")</f>
        <v/>
      </c>
      <c r="R216" s="303" t="str">
        <f>IFERROR(RIGHT(O216, LEN(O216)-FIND(",", O216, FIND(",", O216)+1)-1), "")</f>
        <v/>
      </c>
      <c r="S216" s="35" t="str" cm="1">
        <f t="array" ref="S216">_xlfn.TEXTJOIN(", ",TRUE,_xlfn._xlws.FILTER(Tabla29[[#All],[PARTE]],ISNUMBER(SEARCH(Tabla29[[#All],[PCLAVE3]],Tabla8[[#This Row],[DESCRIPCION DE TRABAJO]])),""))</f>
        <v/>
      </c>
      <c r="T216" s="34" t="str">
        <f>IF(AND(Tabla8[[#This Row],[PIEZA]]="",Tabla8[[#This Row],[PARTE]]=""),"VACIO","OK")</f>
        <v>OK</v>
      </c>
      <c r="U216" s="303" t="str">
        <f>+CONCATENATE(WEEKNUM(Tabla8[[#This Row],[FECHA]]),"-",YEAR(Tabla8[[#This Row],[FECHA]]))</f>
        <v>7-2026</v>
      </c>
    </row>
    <row r="217" spans="1:21" ht="15" customHeight="1">
      <c r="A217" s="22">
        <v>46063</v>
      </c>
      <c r="B217" s="16" t="s">
        <v>179</v>
      </c>
      <c r="C217" s="10" t="s">
        <v>36</v>
      </c>
      <c r="D217" s="381" t="s">
        <v>430</v>
      </c>
      <c r="E217" s="381" t="s">
        <v>102</v>
      </c>
      <c r="F217" s="380">
        <f>+MOD(Tabla8[[#This Row],[HR. FIN]]-Tabla8[[#This Row],[HR. INICIO]],1)</f>
        <v>1.3888888888888895E-2</v>
      </c>
      <c r="G217" s="16" t="s">
        <v>312</v>
      </c>
      <c r="H217" s="343" t="str">
        <f>IFERROR(VLOOKUP(G217,DATOS!$M$2:$N$219,2,FALSE),"")</f>
        <v>Maquinaria</v>
      </c>
      <c r="I217" s="115" t="s">
        <v>57</v>
      </c>
      <c r="J217" s="115" t="str">
        <f>+VLOOKUP($I217,Tabla7[#All],2,FALSE)</f>
        <v>NO PROGRAMADA</v>
      </c>
      <c r="K217" s="114" t="str">
        <f>IF(VLOOKUP(I217,Tabla7[#All],3,FALSE)=0,"",VLOOKUP(I217,Tabla7[#All],3,FALSE))</f>
        <v>MECÁNICA</v>
      </c>
      <c r="L217" s="35" t="s">
        <v>588</v>
      </c>
      <c r="M217" s="35" t="s">
        <v>589</v>
      </c>
      <c r="N217" s="35" t="str" cm="1">
        <f t="array" ref="N217">IFERROR(IF(Tabla8[[#This Row],[P/NP]]="NO PROGRAMADA","",_xlfn.TEXTJOIN(", ",TRUE,_xlfn._xlws.FILTER(Tabla4[[#All],[PIEZA]],ISNUMBER(SEARCH(Tabla4[[#All],[PCLAVE]],Tabla8[[#This Row],[DESCRIPCION DE TRABAJO]])),""))),"")</f>
        <v/>
      </c>
      <c r="O217" s="35" t="str" cm="1">
        <f t="array" ref="O217">_xlfn.TEXTJOIN(", ",TRUE,_xlfn._xlws.FILTER(Tabla28[[#All],[PARTE]],ISNUMBER(SEARCH(Tabla28[[#All],[PCLAVE2]],Tabla8[[#This Row],[DESCRIPCION DE TRABAJO]])),""))</f>
        <v/>
      </c>
      <c r="P217" s="303" t="str">
        <f>IFERROR(LEFT(O217, FIND(",", O217)-1), O217)</f>
        <v/>
      </c>
      <c r="Q217" s="303" t="str">
        <f>IFERROR(IF(ISERROR(FIND(",", O217, FIND(",", O217)+1)), RIGHT(O217, LEN(O217)-FIND(",", O217)-1), MID(O217, FIND(",", O217)+2, FIND(",", O217, FIND(",", O217)+1)-FIND(",", O217)-2)), "")</f>
        <v/>
      </c>
      <c r="R217" s="303" t="str">
        <f>IFERROR(RIGHT(O217, LEN(O217)-FIND(",", O217, FIND(",", O217)+1)-1), "")</f>
        <v/>
      </c>
      <c r="S217" s="35" t="str" cm="1">
        <f t="array" ref="S217">_xlfn.TEXTJOIN(", ",TRUE,_xlfn._xlws.FILTER(Tabla29[[#All],[PARTE]],ISNUMBER(SEARCH(Tabla29[[#All],[PCLAVE3]],Tabla8[[#This Row],[DESCRIPCION DE TRABAJO]])),""))</f>
        <v>No Avanza</v>
      </c>
      <c r="T217" s="34" t="str">
        <f>IF(AND(Tabla8[[#This Row],[PIEZA]]="",Tabla8[[#This Row],[PARTE]]=""),"VACIO","OK")</f>
        <v>VACIO</v>
      </c>
      <c r="U217" s="303" t="str">
        <f>+CONCATENATE(WEEKNUM(Tabla8[[#This Row],[FECHA]]),"-",YEAR(Tabla8[[#This Row],[FECHA]]))</f>
        <v>7-2026</v>
      </c>
    </row>
    <row r="218" spans="1:21" ht="15" customHeight="1">
      <c r="A218" s="22">
        <v>46063</v>
      </c>
      <c r="B218" s="16" t="s">
        <v>131</v>
      </c>
      <c r="C218" s="10" t="s">
        <v>23</v>
      </c>
      <c r="D218" s="381" t="s">
        <v>590</v>
      </c>
      <c r="E218" s="381" t="s">
        <v>278</v>
      </c>
      <c r="F218" s="380">
        <f>+MOD(Tabla8[[#This Row],[HR. FIN]]-Tabla8[[#This Row],[HR. INICIO]],1)</f>
        <v>1.388888888888884E-2</v>
      </c>
      <c r="G218" s="16" t="s">
        <v>169</v>
      </c>
      <c r="H218" s="343" t="str">
        <f>IFERROR(VLOOKUP(G218,DATOS!$M$2:$N$219,2,FALSE),"")</f>
        <v>Maquinaria</v>
      </c>
      <c r="I218" s="115" t="s">
        <v>32</v>
      </c>
      <c r="J218" s="115" t="str">
        <f>+VLOOKUP($I218,Tabla7[#All],2,FALSE)</f>
        <v>PROGRAMADA</v>
      </c>
      <c r="K218" s="114" t="str">
        <f>IF(VLOOKUP(I218,Tabla7[#All],3,FALSE)=0,"",VLOOKUP(I218,Tabla7[#All],3,FALSE))</f>
        <v/>
      </c>
      <c r="L218" s="35" t="s">
        <v>449</v>
      </c>
      <c r="M218" s="35" t="s">
        <v>121</v>
      </c>
      <c r="N218" s="35" t="str" cm="1">
        <f t="array" ref="N218">IFERROR(IF(Tabla8[[#This Row],[P/NP]]="NO PROGRAMADA","",_xlfn.TEXTJOIN(", ",TRUE,_xlfn._xlws.FILTER(Tabla4[[#All],[PIEZA]],ISNUMBER(SEARCH(Tabla4[[#All],[PCLAVE]],Tabla8[[#This Row],[DESCRIPCION DE TRABAJO]])),""))),"")</f>
        <v/>
      </c>
      <c r="O218" s="35" t="str" cm="1">
        <f t="array" ref="O218">_xlfn.TEXTJOIN(", ",TRUE,_xlfn._xlws.FILTER(Tabla28[[#All],[PARTE]],ISNUMBER(SEARCH(Tabla28[[#All],[PCLAVE2]],Tabla8[[#This Row],[DESCRIPCION DE TRABAJO]])),""))</f>
        <v/>
      </c>
      <c r="P218" s="303" t="str">
        <f>IFERROR(LEFT(O218, FIND(",", O218)-1), O218)</f>
        <v/>
      </c>
      <c r="Q218" s="303" t="str">
        <f>IFERROR(IF(ISERROR(FIND(",", O218, FIND(",", O218)+1)), RIGHT(O218, LEN(O218)-FIND(",", O218)-1), MID(O218, FIND(",", O218)+2, FIND(",", O218, FIND(",", O218)+1)-FIND(",", O218)-2)), "")</f>
        <v/>
      </c>
      <c r="R218" s="303" t="str">
        <f>IFERROR(RIGHT(O218, LEN(O218)-FIND(",", O218, FIND(",", O218)+1)-1), "")</f>
        <v/>
      </c>
      <c r="S218" s="35" t="str" cm="1">
        <f t="array" ref="S218">_xlfn.TEXTJOIN(", ",TRUE,_xlfn._xlws.FILTER(Tabla29[[#All],[PARTE]],ISNUMBER(SEARCH(Tabla29[[#All],[PCLAVE3]],Tabla8[[#This Row],[DESCRIPCION DE TRABAJO]])),""))</f>
        <v/>
      </c>
      <c r="T218" s="34" t="str">
        <f>IF(AND(Tabla8[[#This Row],[PIEZA]]="",Tabla8[[#This Row],[PARTE]]=""),"VACIO","OK")</f>
        <v>VACIO</v>
      </c>
      <c r="U218" s="303" t="str">
        <f>+CONCATENATE(WEEKNUM(Tabla8[[#This Row],[FECHA]]),"-",YEAR(Tabla8[[#This Row],[FECHA]]))</f>
        <v>7-2026</v>
      </c>
    </row>
    <row r="219" spans="1:21" ht="15" customHeight="1">
      <c r="A219" s="22">
        <v>46063</v>
      </c>
      <c r="B219" s="16" t="s">
        <v>191</v>
      </c>
      <c r="C219" s="10" t="s">
        <v>39</v>
      </c>
      <c r="D219" s="381" t="s">
        <v>591</v>
      </c>
      <c r="E219" s="381" t="s">
        <v>592</v>
      </c>
      <c r="F219" s="380">
        <f>+MOD(Tabla8[[#This Row],[HR. FIN]]-Tabla8[[#This Row],[HR. INICIO]],1)</f>
        <v>1.2500000000000001E-2</v>
      </c>
      <c r="G219" s="16" t="s">
        <v>554</v>
      </c>
      <c r="H219" s="343" t="str">
        <f>IFERROR(VLOOKUP(G219,DATOS!$M$2:$N$219,2,FALSE),"")</f>
        <v>Maquinaria</v>
      </c>
      <c r="I219" s="115" t="s">
        <v>61</v>
      </c>
      <c r="J219" s="115" t="s">
        <v>92</v>
      </c>
      <c r="K219" s="114" t="s">
        <v>93</v>
      </c>
      <c r="L219" s="35" t="s">
        <v>593</v>
      </c>
      <c r="M219" s="35" t="s">
        <v>594</v>
      </c>
      <c r="N219" s="35" t="str" cm="1">
        <f t="array" ref="N219">IFERROR(IF(Tabla8[[#This Row],[P/NP]]="NO PROGRAMADA","",_xlfn.TEXTJOIN(", ",TRUE,_xlfn._xlws.FILTER(Tabla4[[#All],[PIEZA]],ISNUMBER(SEARCH(Tabla4[[#All],[PCLAVE]],Tabla8[[#This Row],[DESCRIPCION DE TRABAJO]])),""))),"")</f>
        <v/>
      </c>
      <c r="O219" s="35" t="str" cm="1">
        <f t="array" ref="O219">_xlfn.TEXTJOIN(", ",TRUE,_xlfn._xlws.FILTER(Tabla28[[#All],[PARTE]],ISNUMBER(SEARCH(Tabla28[[#All],[PCLAVE2]],Tabla8[[#This Row],[DESCRIPCION DE TRABAJO]])),""))</f>
        <v/>
      </c>
      <c r="P219" s="303" t="str">
        <f>IFERROR(LEFT(O219, FIND(",", O219)-1), O219)</f>
        <v/>
      </c>
      <c r="Q219" s="303" t="str">
        <f>IFERROR(IF(ISERROR(FIND(",", O219, FIND(",", O219)+1)), RIGHT(O219, LEN(O219)-FIND(",", O219)-1), MID(O219, FIND(",", O219)+2, FIND(",", O219, FIND(",", O219)+1)-FIND(",", O219)-2)), "")</f>
        <v/>
      </c>
      <c r="R219" s="303" t="str">
        <f>IFERROR(RIGHT(O219, LEN(O219)-FIND(",", O219, FIND(",", O219)+1)-1), "")</f>
        <v/>
      </c>
      <c r="S219" s="35" t="str" cm="1">
        <f t="array" ref="S219">_xlfn.TEXTJOIN(", ",TRUE,_xlfn._xlws.FILTER(Tabla29[[#All],[PARTE]],ISNUMBER(SEARCH(Tabla29[[#All],[PCLAVE3]],Tabla8[[#This Row],[DESCRIPCION DE TRABAJO]])),""))</f>
        <v>Borrosa, Falla De Presion</v>
      </c>
      <c r="T219" s="34" t="str">
        <f>IF(AND(Tabla8[[#This Row],[PIEZA]]="",Tabla8[[#This Row],[PARTE]]=""),"VACIO","OK")</f>
        <v>VACIO</v>
      </c>
      <c r="U219" s="303" t="str">
        <f>+CONCATENATE(WEEKNUM(Tabla8[[#This Row],[FECHA]]),"-",YEAR(Tabla8[[#This Row],[FECHA]]))</f>
        <v>7-2026</v>
      </c>
    </row>
    <row r="220" spans="1:21" ht="15" customHeight="1">
      <c r="A220" s="22">
        <v>46063</v>
      </c>
      <c r="B220" s="16" t="s">
        <v>111</v>
      </c>
      <c r="C220" s="10" t="s">
        <v>36</v>
      </c>
      <c r="D220" s="381" t="s">
        <v>595</v>
      </c>
      <c r="E220" s="381" t="s">
        <v>585</v>
      </c>
      <c r="F220" s="380">
        <f>+MOD(Tabla8[[#This Row],[HR. FIN]]-Tabla8[[#This Row],[HR. INICIO]],1)</f>
        <v>1.1805555555555569E-2</v>
      </c>
      <c r="G220" s="16" t="s">
        <v>31</v>
      </c>
      <c r="H220" s="343" t="str">
        <f>IFERROR(VLOOKUP(G220,DATOS!$M$2:$N$219,2,FALSE),"")</f>
        <v>Maquinaria</v>
      </c>
      <c r="I220" s="115" t="s">
        <v>32</v>
      </c>
      <c r="J220" s="115" t="str">
        <f>+VLOOKUP($I220,Tabla7[#All],2,FALSE)</f>
        <v>PROGRAMADA</v>
      </c>
      <c r="K220" s="114" t="str">
        <f>IF(VLOOKUP(I220,Tabla7[#All],3,FALSE)=0,"",VLOOKUP(I220,Tabla7[#All],3,FALSE))</f>
        <v/>
      </c>
      <c r="L220" s="35" t="s">
        <v>596</v>
      </c>
      <c r="M220" s="35" t="s">
        <v>121</v>
      </c>
      <c r="N220" s="35" t="str" cm="1">
        <f t="array" ref="N220">IFERROR(IF(Tabla8[[#This Row],[P/NP]]="NO PROGRAMADA","",_xlfn.TEXTJOIN(", ",TRUE,_xlfn._xlws.FILTER(Tabla4[[#All],[PIEZA]],ISNUMBER(SEARCH(Tabla4[[#All],[PCLAVE]],Tabla8[[#This Row],[DESCRIPCION DE TRABAJO]])),""))),"")</f>
        <v>Banda, Rascador, Rascador</v>
      </c>
      <c r="O220" s="35" t="str" cm="1">
        <f t="array" ref="O220">_xlfn.TEXTJOIN(", ",TRUE,_xlfn._xlws.FILTER(Tabla28[[#All],[PARTE]],ISNUMBER(SEARCH(Tabla28[[#All],[PCLAVE2]],Tabla8[[#This Row],[DESCRIPCION DE TRABAJO]])),""))</f>
        <v/>
      </c>
      <c r="P220" s="303" t="str">
        <f>IFERROR(LEFT(O220, FIND(",", O220)-1), O220)</f>
        <v/>
      </c>
      <c r="Q220" s="303" t="str">
        <f>IFERROR(IF(ISERROR(FIND(",", O220, FIND(",", O220)+1)), RIGHT(O220, LEN(O220)-FIND(",", O220)-1), MID(O220, FIND(",", O220)+2, FIND(",", O220, FIND(",", O220)+1)-FIND(",", O220)-2)), "")</f>
        <v/>
      </c>
      <c r="R220" s="303" t="str">
        <f>IFERROR(RIGHT(O220, LEN(O220)-FIND(",", O220, FIND(",", O220)+1)-1), "")</f>
        <v/>
      </c>
      <c r="S220" s="35" t="str" cm="1">
        <f t="array" ref="S220">_xlfn.TEXTJOIN(", ",TRUE,_xlfn._xlws.FILTER(Tabla29[[#All],[PARTE]],ISNUMBER(SEARCH(Tabla29[[#All],[PCLAVE3]],Tabla8[[#This Row],[DESCRIPCION DE TRABAJO]])),""))</f>
        <v/>
      </c>
      <c r="T220" s="34" t="str">
        <f>IF(AND(Tabla8[[#This Row],[PIEZA]]="",Tabla8[[#This Row],[PARTE]]=""),"VACIO","OK")</f>
        <v>OK</v>
      </c>
      <c r="U220" s="303" t="str">
        <f>+CONCATENATE(WEEKNUM(Tabla8[[#This Row],[FECHA]]),"-",YEAR(Tabla8[[#This Row],[FECHA]]))</f>
        <v>7-2026</v>
      </c>
    </row>
    <row r="221" spans="1:21" ht="15" customHeight="1">
      <c r="A221" s="22">
        <v>46063</v>
      </c>
      <c r="B221" s="16" t="s">
        <v>191</v>
      </c>
      <c r="C221" s="10" t="s">
        <v>39</v>
      </c>
      <c r="D221" s="381" t="s">
        <v>597</v>
      </c>
      <c r="E221" s="381" t="s">
        <v>598</v>
      </c>
      <c r="F221" s="380">
        <f>+MOD(Tabla8[[#This Row],[HR. FIN]]-Tabla8[[#This Row],[HR. INICIO]],1)</f>
        <v>1.1805555555555559E-2</v>
      </c>
      <c r="G221" s="16" t="s">
        <v>31</v>
      </c>
      <c r="H221" s="343" t="str">
        <f>IFERROR(VLOOKUP(G221,DATOS!$M$2:$N$219,2,FALSE),"")</f>
        <v>Maquinaria</v>
      </c>
      <c r="I221" s="115" t="s">
        <v>57</v>
      </c>
      <c r="J221" s="115" t="str">
        <f>+VLOOKUP($I221,Tabla7[#All],2,FALSE)</f>
        <v>NO PROGRAMADA</v>
      </c>
      <c r="K221" s="114" t="str">
        <f>IF(VLOOKUP(I221,Tabla7[#All],3,FALSE)=0,"",VLOOKUP(I221,Tabla7[#All],3,FALSE))</f>
        <v>MECÁNICA</v>
      </c>
      <c r="L221" s="35" t="s">
        <v>599</v>
      </c>
      <c r="M221" s="35" t="s">
        <v>121</v>
      </c>
      <c r="N221" s="35" t="str" cm="1">
        <f t="array" ref="N221">IFERROR(IF(Tabla8[[#This Row],[P/NP]]="NO PROGRAMADA","",_xlfn.TEXTJOIN(", ",TRUE,_xlfn._xlws.FILTER(Tabla4[[#All],[PIEZA]],ISNUMBER(SEARCH(Tabla4[[#All],[PCLAVE]],Tabla8[[#This Row],[DESCRIPCION DE TRABAJO]])),""))),"")</f>
        <v/>
      </c>
      <c r="O221" s="35" t="str" cm="1">
        <f t="array" ref="O221">_xlfn.TEXTJOIN(", ",TRUE,_xlfn._xlws.FILTER(Tabla28[[#All],[PARTE]],ISNUMBER(SEARCH(Tabla28[[#All],[PCLAVE2]],Tabla8[[#This Row],[DESCRIPCION DE TRABAJO]])),""))</f>
        <v/>
      </c>
      <c r="P221" s="303" t="str">
        <f>IFERROR(LEFT(O221, FIND(",", O221)-1), O221)</f>
        <v/>
      </c>
      <c r="Q221" s="303" t="str">
        <f>IFERROR(IF(ISERROR(FIND(",", O221, FIND(",", O221)+1)), RIGHT(O221, LEN(O221)-FIND(",", O221)-1), MID(O221, FIND(",", O221)+2, FIND(",", O221, FIND(",", O221)+1)-FIND(",", O221)-2)), "")</f>
        <v/>
      </c>
      <c r="R221" s="303" t="str">
        <f>IFERROR(RIGHT(O221, LEN(O221)-FIND(",", O221, FIND(",", O221)+1)-1), "")</f>
        <v/>
      </c>
      <c r="S221" s="35" t="str" cm="1">
        <f t="array" ref="S221">_xlfn.TEXTJOIN(", ",TRUE,_xlfn._xlws.FILTER(Tabla29[[#All],[PARTE]],ISNUMBER(SEARCH(Tabla29[[#All],[PCLAVE3]],Tabla8[[#This Row],[DESCRIPCION DE TRABAJO]])),""))</f>
        <v>Altura, Expulsion</v>
      </c>
      <c r="T221" s="34" t="str">
        <f>IF(AND(Tabla8[[#This Row],[PIEZA]]="",Tabla8[[#This Row],[PARTE]]=""),"VACIO","OK")</f>
        <v>VACIO</v>
      </c>
      <c r="U221" s="303" t="str">
        <f>+CONCATENATE(WEEKNUM(Tabla8[[#This Row],[FECHA]]),"-",YEAR(Tabla8[[#This Row],[FECHA]]))</f>
        <v>7-2026</v>
      </c>
    </row>
    <row r="222" spans="1:21" ht="15" customHeight="1">
      <c r="A222" s="22">
        <v>46063</v>
      </c>
      <c r="B222" s="16" t="s">
        <v>111</v>
      </c>
      <c r="C222" s="10" t="s">
        <v>36</v>
      </c>
      <c r="D222" s="381" t="s">
        <v>600</v>
      </c>
      <c r="E222" s="381" t="s">
        <v>488</v>
      </c>
      <c r="F222" s="380">
        <f>+MOD(Tabla8[[#This Row],[HR. FIN]]-Tabla8[[#This Row],[HR. INICIO]],1)</f>
        <v>1.0416666666666685E-2</v>
      </c>
      <c r="G222" s="16" t="s">
        <v>24</v>
      </c>
      <c r="H222" s="343" t="str">
        <f>IFERROR(VLOOKUP(G222,DATOS!$M$2:$N$219,2,FALSE),"")</f>
        <v>Maquinaria</v>
      </c>
      <c r="I222" s="115" t="s">
        <v>61</v>
      </c>
      <c r="J222" s="115" t="s">
        <v>92</v>
      </c>
      <c r="K222" s="114" t="s">
        <v>93</v>
      </c>
      <c r="L222" s="35" t="s">
        <v>601</v>
      </c>
      <c r="M222" s="35" t="s">
        <v>602</v>
      </c>
      <c r="N222" s="35" t="str" cm="1">
        <f t="array" ref="N222">IFERROR(IF(Tabla8[[#This Row],[P/NP]]="NO PROGRAMADA","",_xlfn.TEXTJOIN(", ",TRUE,_xlfn._xlws.FILTER(Tabla4[[#All],[PIEZA]],ISNUMBER(SEARCH(Tabla4[[#All],[PCLAVE]],Tabla8[[#This Row],[DESCRIPCION DE TRABAJO]])),""))),"")</f>
        <v/>
      </c>
      <c r="O222" s="35" t="str" cm="1">
        <f t="array" ref="O222">_xlfn.TEXTJOIN(", ",TRUE,_xlfn._xlws.FILTER(Tabla28[[#All],[PARTE]],ISNUMBER(SEARCH(Tabla28[[#All],[PCLAVE2]],Tabla8[[#This Row],[DESCRIPCION DE TRABAJO]])),""))</f>
        <v/>
      </c>
      <c r="P222" s="303" t="str">
        <f>IFERROR(LEFT(O222, FIND(",", O222)-1), O222)</f>
        <v/>
      </c>
      <c r="Q222" s="303" t="str">
        <f>IFERROR(IF(ISERROR(FIND(",", O222, FIND(",", O222)+1)), RIGHT(O222, LEN(O222)-FIND(",", O222)-1), MID(O222, FIND(",", O222)+2, FIND(",", O222, FIND(",", O222)+1)-FIND(",", O222)-2)), "")</f>
        <v/>
      </c>
      <c r="R222" s="303" t="str">
        <f>IFERROR(RIGHT(O222, LEN(O222)-FIND(",", O222, FIND(",", O222)+1)-1), "")</f>
        <v/>
      </c>
      <c r="S222" s="35" t="str" cm="1">
        <f t="array" ref="S222">_xlfn.TEXTJOIN(", ",TRUE,_xlfn._xlws.FILTER(Tabla29[[#All],[PARTE]],ISNUMBER(SEARCH(Tabla29[[#All],[PCLAVE3]],Tabla8[[#This Row],[DESCRIPCION DE TRABAJO]])),""))</f>
        <v/>
      </c>
      <c r="T222" s="34" t="str">
        <f>IF(AND(Tabla8[[#This Row],[PIEZA]]="",Tabla8[[#This Row],[PARTE]]=""),"VACIO","OK")</f>
        <v>VACIO</v>
      </c>
      <c r="U222" s="303" t="str">
        <f>+CONCATENATE(WEEKNUM(Tabla8[[#This Row],[FECHA]]),"-",YEAR(Tabla8[[#This Row],[FECHA]]))</f>
        <v>7-2026</v>
      </c>
    </row>
    <row r="223" spans="1:21" ht="15" customHeight="1">
      <c r="A223" s="22">
        <v>46063</v>
      </c>
      <c r="B223" s="16" t="s">
        <v>111</v>
      </c>
      <c r="C223" s="10" t="s">
        <v>36</v>
      </c>
      <c r="D223" s="381" t="s">
        <v>518</v>
      </c>
      <c r="E223" s="381" t="s">
        <v>603</v>
      </c>
      <c r="F223" s="380">
        <f>+MOD(Tabla8[[#This Row],[HR. FIN]]-Tabla8[[#This Row],[HR. INICIO]],1)</f>
        <v>1.0416666666666685E-2</v>
      </c>
      <c r="G223" s="16" t="s">
        <v>24</v>
      </c>
      <c r="H223" s="343" t="str">
        <f>IFERROR(VLOOKUP(G223,DATOS!$M$2:$N$219,2,FALSE),"")</f>
        <v>Maquinaria</v>
      </c>
      <c r="I223" s="115" t="s">
        <v>54</v>
      </c>
      <c r="J223" s="115" t="str">
        <f>+VLOOKUP($I223,Tabla7[#All],2,FALSE)</f>
        <v>PROGRAMADA</v>
      </c>
      <c r="K223" s="114" t="str">
        <f>IF(VLOOKUP(I223,Tabla7[#All],3,FALSE)=0,"",VLOOKUP(I223,Tabla7[#All],3,FALSE))</f>
        <v/>
      </c>
      <c r="L223" s="35" t="s">
        <v>225</v>
      </c>
      <c r="M223" s="35" t="s">
        <v>604</v>
      </c>
      <c r="N223" s="35" t="str" cm="1">
        <f t="array" ref="N223">IFERROR(IF(Tabla8[[#This Row],[P/NP]]="NO PROGRAMADA","",_xlfn.TEXTJOIN(", ",TRUE,_xlfn._xlws.FILTER(Tabla4[[#All],[PIEZA]],ISNUMBER(SEARCH(Tabla4[[#All],[PCLAVE]],Tabla8[[#This Row],[DESCRIPCION DE TRABAJO]])),""))),"")</f>
        <v/>
      </c>
      <c r="O223" s="35" t="str" cm="1">
        <f t="array" ref="O223">_xlfn.TEXTJOIN(", ",TRUE,_xlfn._xlws.FILTER(Tabla28[[#All],[PARTE]],ISNUMBER(SEARCH(Tabla28[[#All],[PCLAVE2]],Tabla8[[#This Row],[DESCRIPCION DE TRABAJO]])),""))</f>
        <v/>
      </c>
      <c r="P223" s="303" t="str">
        <f>IFERROR(LEFT(O223, FIND(",", O223)-1), O223)</f>
        <v/>
      </c>
      <c r="Q223" s="303" t="str">
        <f>IFERROR(IF(ISERROR(FIND(",", O223, FIND(",", O223)+1)), RIGHT(O223, LEN(O223)-FIND(",", O223)-1), MID(O223, FIND(",", O223)+2, FIND(",", O223, FIND(",", O223)+1)-FIND(",", O223)-2)), "")</f>
        <v/>
      </c>
      <c r="R223" s="303" t="str">
        <f>IFERROR(RIGHT(O223, LEN(O223)-FIND(",", O223, FIND(",", O223)+1)-1), "")</f>
        <v/>
      </c>
      <c r="S223" s="35" t="str" cm="1">
        <f t="array" ref="S223">_xlfn.TEXTJOIN(", ",TRUE,_xlfn._xlws.FILTER(Tabla29[[#All],[PARTE]],ISNUMBER(SEARCH(Tabla29[[#All],[PCLAVE3]],Tabla8[[#This Row],[DESCRIPCION DE TRABAJO]])),""))</f>
        <v/>
      </c>
      <c r="T223" s="34" t="str">
        <f>IF(AND(Tabla8[[#This Row],[PIEZA]]="",Tabla8[[#This Row],[PARTE]]=""),"VACIO","OK")</f>
        <v>VACIO</v>
      </c>
      <c r="U223" s="303" t="str">
        <f>+CONCATENATE(WEEKNUM(Tabla8[[#This Row],[FECHA]]),"-",YEAR(Tabla8[[#This Row],[FECHA]]))</f>
        <v>7-2026</v>
      </c>
    </row>
    <row r="224" spans="1:21" ht="15" customHeight="1">
      <c r="A224" s="22">
        <v>46063</v>
      </c>
      <c r="B224" s="16" t="s">
        <v>111</v>
      </c>
      <c r="C224" s="10" t="s">
        <v>36</v>
      </c>
      <c r="D224" s="381" t="s">
        <v>392</v>
      </c>
      <c r="E224" s="381" t="s">
        <v>605</v>
      </c>
      <c r="F224" s="380">
        <f>+MOD(Tabla8[[#This Row],[HR. FIN]]-Tabla8[[#This Row],[HR. INICIO]],1)</f>
        <v>1.041666666666663E-2</v>
      </c>
      <c r="G224" s="16" t="s">
        <v>119</v>
      </c>
      <c r="H224" s="343" t="str">
        <f>IFERROR(VLOOKUP(G224,DATOS!$M$2:$N$219,2,FALSE),"")</f>
        <v>Maquinaria</v>
      </c>
      <c r="I224" s="115" t="s">
        <v>28</v>
      </c>
      <c r="J224" s="115" t="s">
        <v>92</v>
      </c>
      <c r="K224" s="114" t="s">
        <v>93</v>
      </c>
      <c r="L224" s="35" t="s">
        <v>606</v>
      </c>
      <c r="M224" s="35" t="s">
        <v>607</v>
      </c>
      <c r="N224" s="35" t="str" cm="1">
        <f t="array" ref="N224">IFERROR(IF(Tabla8[[#This Row],[P/NP]]="NO PROGRAMADA","",_xlfn.TEXTJOIN(", ",TRUE,_xlfn._xlws.FILTER(Tabla4[[#All],[PIEZA]],ISNUMBER(SEARCH(Tabla4[[#All],[PCLAVE]],Tabla8[[#This Row],[DESCRIPCION DE TRABAJO]])),""))),"")</f>
        <v/>
      </c>
      <c r="O224" s="35" t="str" cm="1">
        <f t="array" ref="O224">_xlfn.TEXTJOIN(", ",TRUE,_xlfn._xlws.FILTER(Tabla28[[#All],[PARTE]],ISNUMBER(SEARCH(Tabla28[[#All],[PCLAVE2]],Tabla8[[#This Row],[DESCRIPCION DE TRABAJO]])),""))</f>
        <v>Dosificador, Mds</v>
      </c>
      <c r="P224" s="303" t="str">
        <f>IFERROR(LEFT(O224, FIND(",", O224)-1), O224)</f>
        <v>Dosificador</v>
      </c>
      <c r="Q224" s="303" t="str">
        <f>IFERROR(IF(ISERROR(FIND(",", O224, FIND(",", O224)+1)), RIGHT(O224, LEN(O224)-FIND(",", O224)-1), MID(O224, FIND(",", O224)+2, FIND(",", O224, FIND(",", O224)+1)-FIND(",", O224)-2)), "")</f>
        <v>Mds</v>
      </c>
      <c r="R224" s="303" t="str">
        <f>IFERROR(RIGHT(O224, LEN(O224)-FIND(",", O224, FIND(",", O224)+1)-1), "")</f>
        <v/>
      </c>
      <c r="S224" s="35" t="str" cm="1">
        <f t="array" ref="S224">_xlfn.TEXTJOIN(", ",TRUE,_xlfn._xlws.FILTER(Tabla29[[#All],[PARTE]],ISNUMBER(SEARCH(Tabla29[[#All],[PCLAVE3]],Tabla8[[#This Row],[DESCRIPCION DE TRABAJO]])),""))</f>
        <v>Obstruido</v>
      </c>
      <c r="T224" s="34" t="str">
        <f>IF(AND(Tabla8[[#This Row],[PIEZA]]="",Tabla8[[#This Row],[PARTE]]=""),"VACIO","OK")</f>
        <v>OK</v>
      </c>
      <c r="U224" s="303" t="str">
        <f>+CONCATENATE(WEEKNUM(Tabla8[[#This Row],[FECHA]]),"-",YEAR(Tabla8[[#This Row],[FECHA]]))</f>
        <v>7-2026</v>
      </c>
    </row>
    <row r="225" spans="1:21" ht="15" customHeight="1">
      <c r="A225" s="22">
        <v>46063</v>
      </c>
      <c r="B225" s="16" t="s">
        <v>131</v>
      </c>
      <c r="C225" s="10" t="s">
        <v>23</v>
      </c>
      <c r="D225" s="381" t="s">
        <v>608</v>
      </c>
      <c r="E225" s="381" t="s">
        <v>107</v>
      </c>
      <c r="F225" s="380">
        <f>+MOD(Tabla8[[#This Row],[HR. FIN]]-Tabla8[[#This Row],[HR. INICIO]],1)</f>
        <v>1.041666666666663E-2</v>
      </c>
      <c r="G225" s="16" t="s">
        <v>609</v>
      </c>
      <c r="H225" s="343" t="str">
        <f>IFERROR(VLOOKUP(G225,DATOS!$M$2:$N$219,2,FALSE),"")</f>
        <v>Maquinaria</v>
      </c>
      <c r="I225" s="115" t="s">
        <v>32</v>
      </c>
      <c r="J225" s="115" t="s">
        <v>92</v>
      </c>
      <c r="K225" s="114" t="s">
        <v>148</v>
      </c>
      <c r="L225" s="35" t="s">
        <v>610</v>
      </c>
      <c r="M225" s="35" t="s">
        <v>611</v>
      </c>
      <c r="N225" s="35" t="str" cm="1">
        <f t="array" ref="N225">IFERROR(IF(Tabla8[[#This Row],[P/NP]]="NO PROGRAMADA","",_xlfn.TEXTJOIN(", ",TRUE,_xlfn._xlws.FILTER(Tabla4[[#All],[PIEZA]],ISNUMBER(SEARCH(Tabla4[[#All],[PCLAVE]],Tabla8[[#This Row],[DESCRIPCION DE TRABAJO]])),""))),"")</f>
        <v/>
      </c>
      <c r="O225" s="35" t="str" cm="1">
        <f t="array" ref="O225">_xlfn.TEXTJOIN(", ",TRUE,_xlfn._xlws.FILTER(Tabla28[[#All],[PARTE]],ISNUMBER(SEARCH(Tabla28[[#All],[PCLAVE2]],Tabla8[[#This Row],[DESCRIPCION DE TRABAJO]])),""))</f>
        <v/>
      </c>
      <c r="P225" s="303" t="str">
        <f>IFERROR(LEFT(O225, FIND(",", O225)-1), O225)</f>
        <v/>
      </c>
      <c r="Q225" s="303" t="str">
        <f>IFERROR(IF(ISERROR(FIND(",", O225, FIND(",", O225)+1)), RIGHT(O225, LEN(O225)-FIND(",", O225)-1), MID(O225, FIND(",", O225)+2, FIND(",", O225, FIND(",", O225)+1)-FIND(",", O225)-2)), "")</f>
        <v/>
      </c>
      <c r="R225" s="303" t="str">
        <f>IFERROR(RIGHT(O225, LEN(O225)-FIND(",", O225, FIND(",", O225)+1)-1), "")</f>
        <v/>
      </c>
      <c r="S225" s="35" t="str" cm="1">
        <f t="array" ref="S225">_xlfn.TEXTJOIN(", ",TRUE,_xlfn._xlws.FILTER(Tabla29[[#All],[PARTE]],ISNUMBER(SEARCH(Tabla29[[#All],[PCLAVE3]],Tabla8[[#This Row],[DESCRIPCION DE TRABAJO]])),""))</f>
        <v>No Enciende</v>
      </c>
      <c r="T225" s="34" t="str">
        <f>IF(AND(Tabla8[[#This Row],[PIEZA]]="",Tabla8[[#This Row],[PARTE]]=""),"VACIO","OK")</f>
        <v>VACIO</v>
      </c>
      <c r="U225" s="303" t="str">
        <f>+CONCATENATE(WEEKNUM(Tabla8[[#This Row],[FECHA]]),"-",YEAR(Tabla8[[#This Row],[FECHA]]))</f>
        <v>7-2026</v>
      </c>
    </row>
    <row r="226" spans="1:21" ht="15" customHeight="1">
      <c r="A226" s="22">
        <v>46063</v>
      </c>
      <c r="B226" s="16" t="s">
        <v>191</v>
      </c>
      <c r="C226" s="10" t="s">
        <v>39</v>
      </c>
      <c r="D226" s="381" t="s">
        <v>485</v>
      </c>
      <c r="E226" s="381" t="s">
        <v>612</v>
      </c>
      <c r="F226" s="380">
        <f>+MOD(Tabla8[[#This Row],[HR. FIN]]-Tabla8[[#This Row],[HR. INICIO]],1)</f>
        <v>9.0277777777777457E-3</v>
      </c>
      <c r="G226" s="16" t="s">
        <v>119</v>
      </c>
      <c r="H226" s="343" t="str">
        <f>IFERROR(VLOOKUP(G226,DATOS!$M$2:$N$219,2,FALSE),"")</f>
        <v>Maquinaria</v>
      </c>
      <c r="I226" s="115" t="s">
        <v>54</v>
      </c>
      <c r="J226" s="115" t="s">
        <v>92</v>
      </c>
      <c r="K226" s="114" t="s">
        <v>93</v>
      </c>
      <c r="L226" s="35" t="s">
        <v>613</v>
      </c>
      <c r="M226" s="35" t="s">
        <v>614</v>
      </c>
      <c r="N226" s="35" t="str" cm="1">
        <f t="array" ref="N226">IFERROR(IF(Tabla8[[#This Row],[P/NP]]="NO PROGRAMADA","",_xlfn.TEXTJOIN(", ",TRUE,_xlfn._xlws.FILTER(Tabla4[[#All],[PIEZA]],ISNUMBER(SEARCH(Tabla4[[#All],[PCLAVE]],Tabla8[[#This Row],[DESCRIPCION DE TRABAJO]])),""))),"")</f>
        <v/>
      </c>
      <c r="O226" s="35" t="str" cm="1">
        <f t="array" ref="O226">_xlfn.TEXTJOIN(", ",TRUE,_xlfn._xlws.FILTER(Tabla28[[#All],[PARTE]],ISNUMBER(SEARCH(Tabla28[[#All],[PCLAVE2]],Tabla8[[#This Row],[DESCRIPCION DE TRABAJO]])),""))</f>
        <v>Mds</v>
      </c>
      <c r="P226" s="303" t="str">
        <f>IFERROR(LEFT(O226, FIND(",", O226)-1), O226)</f>
        <v>Mds</v>
      </c>
      <c r="Q226" s="303" t="str">
        <f>IFERROR(IF(ISERROR(FIND(",", O226, FIND(",", O226)+1)), RIGHT(O226, LEN(O226)-FIND(",", O226)-1), MID(O226, FIND(",", O226)+2, FIND(",", O226, FIND(",", O226)+1)-FIND(",", O226)-2)), "")</f>
        <v/>
      </c>
      <c r="R226" s="303" t="str">
        <f>IFERROR(RIGHT(O226, LEN(O226)-FIND(",", O226, FIND(",", O226)+1)-1), "")</f>
        <v/>
      </c>
      <c r="S226" s="35" t="str" cm="1">
        <f t="array" ref="S226">_xlfn.TEXTJOIN(", ",TRUE,_xlfn._xlws.FILTER(Tabla29[[#All],[PARTE]],ISNUMBER(SEARCH(Tabla29[[#All],[PCLAVE3]],Tabla8[[#This Row],[DESCRIPCION DE TRABAJO]])),""))</f>
        <v/>
      </c>
      <c r="T226" s="34" t="str">
        <f>IF(AND(Tabla8[[#This Row],[PIEZA]]="",Tabla8[[#This Row],[PARTE]]=""),"VACIO","OK")</f>
        <v>OK</v>
      </c>
      <c r="U226" s="303" t="str">
        <f>+CONCATENATE(WEEKNUM(Tabla8[[#This Row],[FECHA]]),"-",YEAR(Tabla8[[#This Row],[FECHA]]))</f>
        <v>7-2026</v>
      </c>
    </row>
    <row r="227" spans="1:21" ht="15" customHeight="1">
      <c r="A227" s="22">
        <v>46063</v>
      </c>
      <c r="B227" s="16" t="s">
        <v>131</v>
      </c>
      <c r="C227" s="10" t="s">
        <v>23</v>
      </c>
      <c r="D227" s="381" t="s">
        <v>577</v>
      </c>
      <c r="E227" s="381" t="s">
        <v>615</v>
      </c>
      <c r="F227" s="380">
        <f>+MOD(Tabla8[[#This Row],[HR. FIN]]-Tabla8[[#This Row],[HR. INICIO]],1)</f>
        <v>8.3333333333334147E-3</v>
      </c>
      <c r="G227" s="16" t="s">
        <v>270</v>
      </c>
      <c r="H227" s="343" t="str">
        <f>IFERROR(VLOOKUP(G227,DATOS!$M$2:$N$219,2,FALSE),"")</f>
        <v>Maquinaria</v>
      </c>
      <c r="I227" s="115" t="s">
        <v>57</v>
      </c>
      <c r="J227" s="115" t="str">
        <f>+VLOOKUP($I227,Tabla7[#All],2,FALSE)</f>
        <v>NO PROGRAMADA</v>
      </c>
      <c r="K227" s="114" t="str">
        <f>IF(VLOOKUP(I227,Tabla7[#All],3,FALSE)=0,"",VLOOKUP(I227,Tabla7[#All],3,FALSE))</f>
        <v>MECÁNICA</v>
      </c>
      <c r="L227" s="35" t="s">
        <v>616</v>
      </c>
      <c r="M227" s="35" t="s">
        <v>617</v>
      </c>
      <c r="N227" s="35" t="str" cm="1">
        <f t="array" ref="N227">IFERROR(IF(Tabla8[[#This Row],[P/NP]]="NO PROGRAMADA","",_xlfn.TEXTJOIN(", ",TRUE,_xlfn._xlws.FILTER(Tabla4[[#All],[PIEZA]],ISNUMBER(SEARCH(Tabla4[[#All],[PCLAVE]],Tabla8[[#This Row],[DESCRIPCION DE TRABAJO]])),""))),"")</f>
        <v/>
      </c>
      <c r="O227" s="35" t="str" cm="1">
        <f t="array" ref="O227">_xlfn.TEXTJOIN(", ",TRUE,_xlfn._xlws.FILTER(Tabla28[[#All],[PARTE]],ISNUMBER(SEARCH(Tabla28[[#All],[PCLAVE2]],Tabla8[[#This Row],[DESCRIPCION DE TRABAJO]])),""))</f>
        <v>Temperadora</v>
      </c>
      <c r="P227" s="303" t="str">
        <f>IFERROR(LEFT(O227, FIND(",", O227)-1), O227)</f>
        <v>Temperadora</v>
      </c>
      <c r="Q227" s="303" t="str">
        <f>IFERROR(IF(ISERROR(FIND(",", O227, FIND(",", O227)+1)), RIGHT(O227, LEN(O227)-FIND(",", O227)-1), MID(O227, FIND(",", O227)+2, FIND(",", O227, FIND(",", O227)+1)-FIND(",", O227)-2)), "")</f>
        <v/>
      </c>
      <c r="R227" s="303" t="str">
        <f>IFERROR(RIGHT(O227, LEN(O227)-FIND(",", O227, FIND(",", O227)+1)-1), "")</f>
        <v/>
      </c>
      <c r="S227" s="35" t="str" cm="1">
        <f t="array" ref="S227">_xlfn.TEXTJOIN(", ",TRUE,_xlfn._xlws.FILTER(Tabla29[[#All],[PARTE]],ISNUMBER(SEARCH(Tabla29[[#All],[PCLAVE3]],Tabla8[[#This Row],[DESCRIPCION DE TRABAJO]])),""))</f>
        <v>Bloqueado, Falla De Presion, Rotura</v>
      </c>
      <c r="T227" s="34" t="str">
        <f>IF(AND(Tabla8[[#This Row],[PIEZA]]="",Tabla8[[#This Row],[PARTE]]=""),"VACIO","OK")</f>
        <v>OK</v>
      </c>
      <c r="U227" s="303" t="str">
        <f>+CONCATENATE(WEEKNUM(Tabla8[[#This Row],[FECHA]]),"-",YEAR(Tabla8[[#This Row],[FECHA]]))</f>
        <v>7-2026</v>
      </c>
    </row>
    <row r="228" spans="1:21" ht="15" customHeight="1">
      <c r="A228" s="22">
        <v>46063</v>
      </c>
      <c r="B228" s="16" t="s">
        <v>111</v>
      </c>
      <c r="C228" s="10" t="s">
        <v>36</v>
      </c>
      <c r="D228" s="381" t="s">
        <v>132</v>
      </c>
      <c r="E228" s="381" t="s">
        <v>462</v>
      </c>
      <c r="F228" s="380">
        <f>+MOD(Tabla8[[#This Row],[HR. FIN]]-Tabla8[[#This Row],[HR. INICIO]],1)</f>
        <v>8.3333333333333592E-3</v>
      </c>
      <c r="G228" s="16" t="s">
        <v>119</v>
      </c>
      <c r="H228" s="343" t="str">
        <f>IFERROR(VLOOKUP(G228,DATOS!$M$2:$N$219,2,FALSE),"")</f>
        <v>Maquinaria</v>
      </c>
      <c r="I228" s="115" t="s">
        <v>32</v>
      </c>
      <c r="J228" s="115" t="str">
        <f>+VLOOKUP($I228,Tabla7[#All],2,FALSE)</f>
        <v>PROGRAMADA</v>
      </c>
      <c r="K228" s="114" t="str">
        <f>IF(VLOOKUP(I228,Tabla7[#All],3,FALSE)=0,"",VLOOKUP(I228,Tabla7[#All],3,FALSE))</f>
        <v/>
      </c>
      <c r="L228" s="35" t="s">
        <v>618</v>
      </c>
      <c r="M228" s="35" t="s">
        <v>121</v>
      </c>
      <c r="N228" s="35" t="str" cm="1">
        <f t="array" ref="N228">IFERROR(IF(Tabla8[[#This Row],[P/NP]]="NO PROGRAMADA","",_xlfn.TEXTJOIN(", ",TRUE,_xlfn._xlws.FILTER(Tabla4[[#All],[PIEZA]],ISNUMBER(SEARCH(Tabla4[[#All],[PCLAVE]],Tabla8[[#This Row],[DESCRIPCION DE TRABAJO]])),""))),"")</f>
        <v>Husillo, Husillo</v>
      </c>
      <c r="O228" s="35" t="str" cm="1">
        <f t="array" ref="O228">_xlfn.TEXTJOIN(", ",TRUE,_xlfn._xlws.FILTER(Tabla28[[#All],[PARTE]],ISNUMBER(SEARCH(Tabla28[[#All],[PCLAVE2]],Tabla8[[#This Row],[DESCRIPCION DE TRABAJO]])),""))</f>
        <v>Mds</v>
      </c>
      <c r="P228" s="303" t="str">
        <f>IFERROR(LEFT(O228, FIND(",", O228)-1), O228)</f>
        <v>Mds</v>
      </c>
      <c r="Q228" s="303" t="str">
        <f>IFERROR(IF(ISERROR(FIND(",", O228, FIND(",", O228)+1)), RIGHT(O228, LEN(O228)-FIND(",", O228)-1), MID(O228, FIND(",", O228)+2, FIND(",", O228, FIND(",", O228)+1)-FIND(",", O228)-2)), "")</f>
        <v/>
      </c>
      <c r="R228" s="303" t="str">
        <f>IFERROR(RIGHT(O228, LEN(O228)-FIND(",", O228, FIND(",", O228)+1)-1), "")</f>
        <v/>
      </c>
      <c r="S228" s="35" t="str" cm="1">
        <f t="array" ref="S228">_xlfn.TEXTJOIN(", ",TRUE,_xlfn._xlws.FILTER(Tabla29[[#All],[PARTE]],ISNUMBER(SEARCH(Tabla29[[#All],[PCLAVE3]],Tabla8[[#This Row],[DESCRIPCION DE TRABAJO]])),""))</f>
        <v>Sustitucion</v>
      </c>
      <c r="T228" s="34" t="str">
        <f>IF(AND(Tabla8[[#This Row],[PIEZA]]="",Tabla8[[#This Row],[PARTE]]=""),"VACIO","OK")</f>
        <v>OK</v>
      </c>
      <c r="U228" s="303" t="str">
        <f>+CONCATENATE(WEEKNUM(Tabla8[[#This Row],[FECHA]]),"-",YEAR(Tabla8[[#This Row],[FECHA]]))</f>
        <v>7-2026</v>
      </c>
    </row>
    <row r="229" spans="1:21" ht="15" customHeight="1">
      <c r="A229" s="22">
        <v>46063</v>
      </c>
      <c r="B229" s="16" t="s">
        <v>111</v>
      </c>
      <c r="C229" s="10" t="s">
        <v>36</v>
      </c>
      <c r="D229" s="381" t="s">
        <v>261</v>
      </c>
      <c r="E229" s="381" t="s">
        <v>543</v>
      </c>
      <c r="F229" s="380">
        <f>+MOD(Tabla8[[#This Row],[HR. FIN]]-Tabla8[[#This Row],[HR. INICIO]],1)</f>
        <v>8.3333333333333037E-3</v>
      </c>
      <c r="G229" s="16" t="s">
        <v>119</v>
      </c>
      <c r="H229" s="343" t="str">
        <f>IFERROR(VLOOKUP(G229,DATOS!$M$2:$N$219,2,FALSE),"")</f>
        <v>Maquinaria</v>
      </c>
      <c r="I229" s="115" t="s">
        <v>32</v>
      </c>
      <c r="J229" s="115" t="str">
        <f>+VLOOKUP($I229,Tabla7[#All],2,FALSE)</f>
        <v>PROGRAMADA</v>
      </c>
      <c r="K229" s="114" t="str">
        <f>IF(VLOOKUP(I229,Tabla7[#All],3,FALSE)=0,"",VLOOKUP(I229,Tabla7[#All],3,FALSE))</f>
        <v/>
      </c>
      <c r="L229" s="35" t="s">
        <v>619</v>
      </c>
      <c r="M229" s="35" t="s">
        <v>121</v>
      </c>
      <c r="N229" s="35" t="str" cm="1">
        <f t="array" ref="N229">IFERROR(IF(Tabla8[[#This Row],[P/NP]]="NO PROGRAMADA","",_xlfn.TEXTJOIN(", ",TRUE,_xlfn._xlws.FILTER(Tabla4[[#All],[PIEZA]],ISNUMBER(SEARCH(Tabla4[[#All],[PCLAVE]],Tabla8[[#This Row],[DESCRIPCION DE TRABAJO]])),""))),"")</f>
        <v>Husillo, Husillo</v>
      </c>
      <c r="O229" s="35" t="str" cm="1">
        <f t="array" ref="O229">_xlfn.TEXTJOIN(", ",TRUE,_xlfn._xlws.FILTER(Tabla28[[#All],[PARTE]],ISNUMBER(SEARCH(Tabla28[[#All],[PCLAVE2]],Tabla8[[#This Row],[DESCRIPCION DE TRABAJO]])),""))</f>
        <v>Mds</v>
      </c>
      <c r="P229" s="303" t="str">
        <f>IFERROR(LEFT(O229, FIND(",", O229)-1), O229)</f>
        <v>Mds</v>
      </c>
      <c r="Q229" s="303" t="str">
        <f>IFERROR(IF(ISERROR(FIND(",", O229, FIND(",", O229)+1)), RIGHT(O229, LEN(O229)-FIND(",", O229)-1), MID(O229, FIND(",", O229)+2, FIND(",", O229, FIND(",", O229)+1)-FIND(",", O229)-2)), "")</f>
        <v/>
      </c>
      <c r="R229" s="303" t="str">
        <f>IFERROR(RIGHT(O229, LEN(O229)-FIND(",", O229, FIND(",", O229)+1)-1), "")</f>
        <v/>
      </c>
      <c r="S229" s="35" t="str" cm="1">
        <f t="array" ref="S229">_xlfn.TEXTJOIN(", ",TRUE,_xlfn._xlws.FILTER(Tabla29[[#All],[PARTE]],ISNUMBER(SEARCH(Tabla29[[#All],[PCLAVE3]],Tabla8[[#This Row],[DESCRIPCION DE TRABAJO]])),""))</f>
        <v>Sustitucion</v>
      </c>
      <c r="T229" s="34" t="str">
        <f>IF(AND(Tabla8[[#This Row],[PIEZA]]="",Tabla8[[#This Row],[PARTE]]=""),"VACIO","OK")</f>
        <v>OK</v>
      </c>
      <c r="U229" s="303" t="str">
        <f>+CONCATENATE(WEEKNUM(Tabla8[[#This Row],[FECHA]]),"-",YEAR(Tabla8[[#This Row],[FECHA]]))</f>
        <v>7-2026</v>
      </c>
    </row>
    <row r="230" spans="1:21" ht="15" customHeight="1">
      <c r="A230" s="22">
        <v>46063</v>
      </c>
      <c r="B230" s="16" t="s">
        <v>131</v>
      </c>
      <c r="C230" s="10" t="s">
        <v>23</v>
      </c>
      <c r="D230" s="381" t="s">
        <v>620</v>
      </c>
      <c r="E230" s="381" t="s">
        <v>621</v>
      </c>
      <c r="F230" s="380">
        <f>+MOD(Tabla8[[#This Row],[HR. FIN]]-Tabla8[[#This Row],[HR. INICIO]],1)</f>
        <v>8.3333333333333037E-3</v>
      </c>
      <c r="G230" s="16" t="s">
        <v>140</v>
      </c>
      <c r="H230" s="343" t="str">
        <f>IFERROR(VLOOKUP(G230,DATOS!$M$2:$N$219,2,FALSE),"")</f>
        <v>Maquinaria</v>
      </c>
      <c r="I230" s="115" t="s">
        <v>32</v>
      </c>
      <c r="J230" s="115" t="s">
        <v>92</v>
      </c>
      <c r="K230" s="114" t="s">
        <v>93</v>
      </c>
      <c r="L230" s="35" t="s">
        <v>622</v>
      </c>
      <c r="M230" s="35" t="s">
        <v>623</v>
      </c>
      <c r="N230" s="35" t="str" cm="1">
        <f t="array" ref="N230">IFERROR(IF(Tabla8[[#This Row],[P/NP]]="NO PROGRAMADA","",_xlfn.TEXTJOIN(", ",TRUE,_xlfn._xlws.FILTER(Tabla4[[#All],[PIEZA]],ISNUMBER(SEARCH(Tabla4[[#All],[PCLAVE]],Tabla8[[#This Row],[DESCRIPCION DE TRABAJO]])),""))),"")</f>
        <v/>
      </c>
      <c r="O230" s="35" t="str" cm="1">
        <f t="array" ref="O230">_xlfn.TEXTJOIN(", ",TRUE,_xlfn._xlws.FILTER(Tabla28[[#All],[PARTE]],ISNUMBER(SEARCH(Tabla28[[#All],[PCLAVE2]],Tabla8[[#This Row],[DESCRIPCION DE TRABAJO]])),""))</f>
        <v/>
      </c>
      <c r="P230" s="303" t="str">
        <f>IFERROR(LEFT(O230, FIND(",", O230)-1), O230)</f>
        <v/>
      </c>
      <c r="Q230" s="303" t="str">
        <f>IFERROR(IF(ISERROR(FIND(",", O230, FIND(",", O230)+1)), RIGHT(O230, LEN(O230)-FIND(",", O230)-1), MID(O230, FIND(",", O230)+2, FIND(",", O230, FIND(",", O230)+1)-FIND(",", O230)-2)), "")</f>
        <v/>
      </c>
      <c r="R230" s="303" t="str">
        <f>IFERROR(RIGHT(O230, LEN(O230)-FIND(",", O230, FIND(",", O230)+1)-1), "")</f>
        <v/>
      </c>
      <c r="S230" s="35" t="str" cm="1">
        <f t="array" ref="S230">_xlfn.TEXTJOIN(", ",TRUE,_xlfn._xlws.FILTER(Tabla29[[#All],[PARTE]],ISNUMBER(SEARCH(Tabla29[[#All],[PCLAVE3]],Tabla8[[#This Row],[DESCRIPCION DE TRABAJO]])),""))</f>
        <v>Laminado, No Corta</v>
      </c>
      <c r="T230" s="34" t="str">
        <f>IF(AND(Tabla8[[#This Row],[PIEZA]]="",Tabla8[[#This Row],[PARTE]]=""),"VACIO","OK")</f>
        <v>VACIO</v>
      </c>
      <c r="U230" s="303" t="str">
        <f>+CONCATENATE(WEEKNUM(Tabla8[[#This Row],[FECHA]]),"-",YEAR(Tabla8[[#This Row],[FECHA]]))</f>
        <v>7-2026</v>
      </c>
    </row>
    <row r="231" spans="1:21" ht="15" customHeight="1">
      <c r="A231" s="22">
        <v>46063</v>
      </c>
      <c r="B231" s="16" t="s">
        <v>191</v>
      </c>
      <c r="C231" s="10" t="s">
        <v>39</v>
      </c>
      <c r="D231" s="381" t="s">
        <v>624</v>
      </c>
      <c r="E231" s="381" t="s">
        <v>625</v>
      </c>
      <c r="F231" s="380">
        <f>+MOD(Tabla8[[#This Row],[HR. FIN]]-Tabla8[[#This Row],[HR. INICIO]],1)</f>
        <v>6.9444444444444198E-3</v>
      </c>
      <c r="G231" s="16" t="s">
        <v>266</v>
      </c>
      <c r="H231" s="343" t="str">
        <f>IFERROR(VLOOKUP(G231,DATOS!$M$2:$N$219,2,FALSE),"")</f>
        <v>Maquinaria</v>
      </c>
      <c r="I231" s="115" t="s">
        <v>25</v>
      </c>
      <c r="J231" s="115" t="str">
        <f>+VLOOKUP($I231,Tabla7[#All],2,FALSE)</f>
        <v>PROGRAMADA</v>
      </c>
      <c r="K231" s="114" t="str">
        <f>IF(VLOOKUP(I231,Tabla7[#All],3,FALSE)=0,"",VLOOKUP(I231,Tabla7[#All],3,FALSE))</f>
        <v/>
      </c>
      <c r="L231" s="35" t="s">
        <v>626</v>
      </c>
      <c r="M231" s="35" t="s">
        <v>627</v>
      </c>
      <c r="N231" s="35" t="str" cm="1">
        <f t="array" ref="N231">IFERROR(IF(Tabla8[[#This Row],[P/NP]]="NO PROGRAMADA","",_xlfn.TEXTJOIN(", ",TRUE,_xlfn._xlws.FILTER(Tabla4[[#All],[PIEZA]],ISNUMBER(SEARCH(Tabla4[[#All],[PCLAVE]],Tabla8[[#This Row],[DESCRIPCION DE TRABAJO]])),""))),"")</f>
        <v/>
      </c>
      <c r="O231" s="35" t="str" cm="1">
        <f t="array" ref="O231">_xlfn.TEXTJOIN(", ",TRUE,_xlfn._xlws.FILTER(Tabla28[[#All],[PARTE]],ISNUMBER(SEARCH(Tabla28[[#All],[PCLAVE2]],Tabla8[[#This Row],[DESCRIPCION DE TRABAJO]])),""))</f>
        <v/>
      </c>
      <c r="P231" s="303" t="str">
        <f>IFERROR(LEFT(O231, FIND(",", O231)-1), O231)</f>
        <v/>
      </c>
      <c r="Q231" s="303" t="str">
        <f>IFERROR(IF(ISERROR(FIND(",", O231, FIND(",", O231)+1)), RIGHT(O231, LEN(O231)-FIND(",", O231)-1), MID(O231, FIND(",", O231)+2, FIND(",", O231, FIND(",", O231)+1)-FIND(",", O231)-2)), "")</f>
        <v/>
      </c>
      <c r="R231" s="303" t="str">
        <f>IFERROR(RIGHT(O231, LEN(O231)-FIND(",", O231, FIND(",", O231)+1)-1), "")</f>
        <v/>
      </c>
      <c r="S231" s="35" t="str" cm="1">
        <f t="array" ref="S231">_xlfn.TEXTJOIN(", ",TRUE,_xlfn._xlws.FILTER(Tabla29[[#All],[PARTE]],ISNUMBER(SEARCH(Tabla29[[#All],[PCLAVE3]],Tabla8[[#This Row],[DESCRIPCION DE TRABAJO]])),""))</f>
        <v/>
      </c>
      <c r="T231" s="34" t="str">
        <f>IF(AND(Tabla8[[#This Row],[PIEZA]]="",Tabla8[[#This Row],[PARTE]]=""),"VACIO","OK")</f>
        <v>VACIO</v>
      </c>
      <c r="U231" s="303" t="str">
        <f>+CONCATENATE(WEEKNUM(Tabla8[[#This Row],[FECHA]]),"-",YEAR(Tabla8[[#This Row],[FECHA]]))</f>
        <v>7-2026</v>
      </c>
    </row>
    <row r="232" spans="1:21" ht="15" customHeight="1">
      <c r="A232" s="22">
        <v>46064</v>
      </c>
      <c r="B232" s="16" t="s">
        <v>131</v>
      </c>
      <c r="C232" s="10" t="s">
        <v>23</v>
      </c>
      <c r="D232" s="381" t="s">
        <v>278</v>
      </c>
      <c r="E232" s="381" t="s">
        <v>577</v>
      </c>
      <c r="F232" s="380">
        <f>+MOD(Tabla8[[#This Row],[HR. FIN]]-Tabla8[[#This Row],[HR. INICIO]],1)</f>
        <v>6.944444444444442E-2</v>
      </c>
      <c r="G232" s="16" t="s">
        <v>270</v>
      </c>
      <c r="H232" s="343" t="str">
        <f>IFERROR(VLOOKUP(G232,DATOS!$M$2:$N$219,2,FALSE),"")</f>
        <v>Maquinaria</v>
      </c>
      <c r="I232" s="115" t="s">
        <v>57</v>
      </c>
      <c r="J232" s="115" t="str">
        <f>+VLOOKUP($I232,Tabla7[#All],2,FALSE)</f>
        <v>NO PROGRAMADA</v>
      </c>
      <c r="K232" s="114" t="str">
        <f>IF(VLOOKUP(I232,Tabla7[#All],3,FALSE)=0,"",VLOOKUP(I232,Tabla7[#All],3,FALSE))</f>
        <v>MECÁNICA</v>
      </c>
      <c r="L232" s="35" t="s">
        <v>628</v>
      </c>
      <c r="M232" s="35" t="s">
        <v>629</v>
      </c>
      <c r="N232" s="35" t="str" cm="1">
        <f t="array" ref="N232">IFERROR(IF(Tabla8[[#This Row],[P/NP]]="NO PROGRAMADA","",_xlfn.TEXTJOIN(", ",TRUE,_xlfn._xlws.FILTER(Tabla4[[#All],[PIEZA]],ISNUMBER(SEARCH(Tabla4[[#All],[PCLAVE]],Tabla8[[#This Row],[DESCRIPCION DE TRABAJO]])),""))),"")</f>
        <v/>
      </c>
      <c r="O232" s="35" t="str" cm="1">
        <f t="array" ref="O232">_xlfn.TEXTJOIN(", ",TRUE,_xlfn._xlws.FILTER(Tabla28[[#All],[PARTE]],ISNUMBER(SEARCH(Tabla28[[#All],[PCLAVE2]],Tabla8[[#This Row],[DESCRIPCION DE TRABAJO]])),""))</f>
        <v>Columna, Temperadora</v>
      </c>
      <c r="P232" s="303" t="str">
        <f>IFERROR(LEFT(O232, FIND(",", O232)-1), O232)</f>
        <v>Columna</v>
      </c>
      <c r="Q232" s="303" t="str">
        <f>IFERROR(IF(ISERROR(FIND(",", O232, FIND(",", O232)+1)), RIGHT(O232, LEN(O232)-FIND(",", O232)-1), MID(O232, FIND(",", O232)+2, FIND(",", O232, FIND(",", O232)+1)-FIND(",", O232)-2)), "")</f>
        <v>Temperadora</v>
      </c>
      <c r="R232" s="303" t="str">
        <f>IFERROR(RIGHT(O232, LEN(O232)-FIND(",", O232, FIND(",", O232)+1)-1), "")</f>
        <v/>
      </c>
      <c r="S232" s="35" t="str" cm="1">
        <f t="array" ref="S232">_xlfn.TEXTJOIN(", ",TRUE,_xlfn._xlws.FILTER(Tabla29[[#All],[PARTE]],ISNUMBER(SEARCH(Tabla29[[#All],[PCLAVE3]],Tabla8[[#This Row],[DESCRIPCION DE TRABAJO]])),""))</f>
        <v>Dañado, No Gira, Ruido</v>
      </c>
      <c r="T232" s="34" t="str">
        <f>IF(AND(Tabla8[[#This Row],[PIEZA]]="",Tabla8[[#This Row],[PARTE]]=""),"VACIO","OK")</f>
        <v>OK</v>
      </c>
      <c r="U232" s="303" t="str">
        <f>+CONCATENATE(WEEKNUM(Tabla8[[#This Row],[FECHA]]),"-",YEAR(Tabla8[[#This Row],[FECHA]]))</f>
        <v>7-2026</v>
      </c>
    </row>
    <row r="233" spans="1:21" ht="15" customHeight="1">
      <c r="A233" s="22">
        <v>46064</v>
      </c>
      <c r="B233" s="16" t="s">
        <v>111</v>
      </c>
      <c r="C233" s="10" t="s">
        <v>36</v>
      </c>
      <c r="D233" s="381" t="s">
        <v>630</v>
      </c>
      <c r="E233" s="381" t="s">
        <v>631</v>
      </c>
      <c r="F233" s="380">
        <f>+MOD(Tabla8[[#This Row],[HR. FIN]]-Tabla8[[#This Row],[HR. INICIO]],1)</f>
        <v>4.1666666666666685E-2</v>
      </c>
      <c r="G233" s="16" t="s">
        <v>153</v>
      </c>
      <c r="H233" s="343" t="str">
        <f>IFERROR(VLOOKUP(G233,DATOS!$M$2:$N$219,2,FALSE),"")</f>
        <v>Maquinaria</v>
      </c>
      <c r="I233" s="115" t="s">
        <v>57</v>
      </c>
      <c r="J233" s="115" t="str">
        <f>+VLOOKUP($I233,Tabla7[#All],2,FALSE)</f>
        <v>NO PROGRAMADA</v>
      </c>
      <c r="K233" s="114" t="str">
        <f>IF(VLOOKUP(I233,Tabla7[#All],3,FALSE)=0,"",VLOOKUP(I233,Tabla7[#All],3,FALSE))</f>
        <v>MECÁNICA</v>
      </c>
      <c r="L233" s="35" t="s">
        <v>632</v>
      </c>
      <c r="M233" s="35" t="s">
        <v>633</v>
      </c>
      <c r="N233" s="35" t="str" cm="1">
        <f t="array" ref="N233">IFERROR(IF(Tabla8[[#This Row],[P/NP]]="NO PROGRAMADA","",_xlfn.TEXTJOIN(", ",TRUE,_xlfn._xlws.FILTER(Tabla4[[#All],[PIEZA]],ISNUMBER(SEARCH(Tabla4[[#All],[PCLAVE]],Tabla8[[#This Row],[DESCRIPCION DE TRABAJO]])),""))),"")</f>
        <v/>
      </c>
      <c r="O233" s="35" t="str" cm="1">
        <f t="array" ref="O233">_xlfn.TEXTJOIN(", ",TRUE,_xlfn._xlws.FILTER(Tabla28[[#All],[PARTE]],ISNUMBER(SEARCH(Tabla28[[#All],[PCLAVE2]],Tabla8[[#This Row],[DESCRIPCION DE TRABAJO]])),""))</f>
        <v/>
      </c>
      <c r="P233" s="303" t="str">
        <f>IFERROR(LEFT(O233, FIND(",", O233)-1), O233)</f>
        <v/>
      </c>
      <c r="Q233" s="303" t="str">
        <f>IFERROR(IF(ISERROR(FIND(",", O233, FIND(",", O233)+1)), RIGHT(O233, LEN(O233)-FIND(",", O233)-1), MID(O233, FIND(",", O233)+2, FIND(",", O233, FIND(",", O233)+1)-FIND(",", O233)-2)), "")</f>
        <v/>
      </c>
      <c r="R233" s="303" t="str">
        <f>IFERROR(RIGHT(O233, LEN(O233)-FIND(",", O233, FIND(",", O233)+1)-1), "")</f>
        <v/>
      </c>
      <c r="S233" s="35" t="str" cm="1">
        <f t="array" ref="S233">_xlfn.TEXTJOIN(", ",TRUE,_xlfn._xlws.FILTER(Tabla29[[#All],[PARTE]],ISNUMBER(SEARCH(Tabla29[[#All],[PCLAVE3]],Tabla8[[#This Row],[DESCRIPCION DE TRABAJO]])),""))</f>
        <v/>
      </c>
      <c r="T233" s="34" t="str">
        <f>IF(AND(Tabla8[[#This Row],[PIEZA]]="",Tabla8[[#This Row],[PARTE]]=""),"VACIO","OK")</f>
        <v>VACIO</v>
      </c>
      <c r="U233" s="303" t="str">
        <f>+CONCATENATE(WEEKNUM(Tabla8[[#This Row],[FECHA]]),"-",YEAR(Tabla8[[#This Row],[FECHA]]))</f>
        <v>7-2026</v>
      </c>
    </row>
    <row r="234" spans="1:21" ht="15" customHeight="1">
      <c r="A234" s="22">
        <v>46064</v>
      </c>
      <c r="B234" s="16" t="s">
        <v>179</v>
      </c>
      <c r="C234" s="10" t="s">
        <v>36</v>
      </c>
      <c r="D234" s="381" t="s">
        <v>430</v>
      </c>
      <c r="E234" s="381" t="s">
        <v>123</v>
      </c>
      <c r="F234" s="380">
        <f>+MOD(Tabla8[[#This Row],[HR. FIN]]-Tabla8[[#This Row],[HR. INICIO]],1)</f>
        <v>4.1666666666666685E-2</v>
      </c>
      <c r="G234" s="16" t="s">
        <v>365</v>
      </c>
      <c r="H234" s="343" t="str">
        <f>IFERROR(VLOOKUP(G234,DATOS!$M$2:$N$219,2,FALSE),"")</f>
        <v>Area</v>
      </c>
      <c r="I234" s="115" t="s">
        <v>57</v>
      </c>
      <c r="J234" s="115" t="str">
        <f>+VLOOKUP($I234,Tabla7[#All],2,FALSE)</f>
        <v>NO PROGRAMADA</v>
      </c>
      <c r="K234" s="114" t="str">
        <f>IF(VLOOKUP(I234,Tabla7[#All],3,FALSE)=0,"",VLOOKUP(I234,Tabla7[#All],3,FALSE))</f>
        <v>MECÁNICA</v>
      </c>
      <c r="L234" s="35" t="s">
        <v>634</v>
      </c>
      <c r="M234" s="35" t="s">
        <v>635</v>
      </c>
      <c r="N234" s="35" t="str" cm="1">
        <f t="array" ref="N234">IFERROR(IF(Tabla8[[#This Row],[P/NP]]="NO PROGRAMADA","",_xlfn.TEXTJOIN(", ",TRUE,_xlfn._xlws.FILTER(Tabla4[[#All],[PIEZA]],ISNUMBER(SEARCH(Tabla4[[#All],[PCLAVE]],Tabla8[[#This Row],[DESCRIPCION DE TRABAJO]])),""))),"")</f>
        <v/>
      </c>
      <c r="O234" s="35" t="str" cm="1">
        <f t="array" ref="O234">_xlfn.TEXTJOIN(", ",TRUE,_xlfn._xlws.FILTER(Tabla28[[#All],[PARTE]],ISNUMBER(SEARCH(Tabla28[[#All],[PCLAVE2]],Tabla8[[#This Row],[DESCRIPCION DE TRABAJO]])),""))</f>
        <v>Columna, Temperadora</v>
      </c>
      <c r="P234" s="303" t="str">
        <f>IFERROR(LEFT(O234, FIND(",", O234)-1), O234)</f>
        <v>Columna</v>
      </c>
      <c r="Q234" s="303" t="str">
        <f>IFERROR(IF(ISERROR(FIND(",", O234, FIND(",", O234)+1)), RIGHT(O234, LEN(O234)-FIND(",", O234)-1), MID(O234, FIND(",", O234)+2, FIND(",", O234, FIND(",", O234)+1)-FIND(",", O234)-2)), "")</f>
        <v>Temperadora</v>
      </c>
      <c r="R234" s="303" t="str">
        <f>IFERROR(RIGHT(O234, LEN(O234)-FIND(",", O234, FIND(",", O234)+1)-1), "")</f>
        <v/>
      </c>
      <c r="S234" s="35" t="str" cm="1">
        <f t="array" ref="S234">_xlfn.TEXTJOIN(", ",TRUE,_xlfn._xlws.FILTER(Tabla29[[#All],[PARTE]],ISNUMBER(SEARCH(Tabla29[[#All],[PCLAVE3]],Tabla8[[#This Row],[DESCRIPCION DE TRABAJO]])),""))</f>
        <v/>
      </c>
      <c r="T234" s="34" t="str">
        <f>IF(AND(Tabla8[[#This Row],[PIEZA]]="",Tabla8[[#This Row],[PARTE]]=""),"VACIO","OK")</f>
        <v>OK</v>
      </c>
      <c r="U234" s="303" t="str">
        <f>+CONCATENATE(WEEKNUM(Tabla8[[#This Row],[FECHA]]),"-",YEAR(Tabla8[[#This Row],[FECHA]]))</f>
        <v>7-2026</v>
      </c>
    </row>
    <row r="235" spans="1:21" ht="15" customHeight="1">
      <c r="A235" s="22">
        <v>46064</v>
      </c>
      <c r="B235" s="16" t="s">
        <v>111</v>
      </c>
      <c r="C235" s="10" t="s">
        <v>36</v>
      </c>
      <c r="D235" s="381" t="s">
        <v>636</v>
      </c>
      <c r="E235" s="381" t="s">
        <v>126</v>
      </c>
      <c r="F235" s="380">
        <f>+MOD(Tabla8[[#This Row],[HR. FIN]]-Tabla8[[#This Row],[HR. INICIO]],1)</f>
        <v>3.472222222222221E-2</v>
      </c>
      <c r="G235" s="16" t="s">
        <v>270</v>
      </c>
      <c r="H235" s="343" t="str">
        <f>IFERROR(VLOOKUP(G235,DATOS!$M$2:$N$219,2,FALSE),"")</f>
        <v>Maquinaria</v>
      </c>
      <c r="I235" s="115" t="s">
        <v>57</v>
      </c>
      <c r="J235" s="115" t="str">
        <f>+VLOOKUP($I235,Tabla7[#All],2,FALSE)</f>
        <v>NO PROGRAMADA</v>
      </c>
      <c r="K235" s="114" t="str">
        <f>IF(VLOOKUP(I235,Tabla7[#All],3,FALSE)=0,"",VLOOKUP(I235,Tabla7[#All],3,FALSE))</f>
        <v>MECÁNICA</v>
      </c>
      <c r="L235" s="35" t="s">
        <v>637</v>
      </c>
      <c r="M235" s="35" t="s">
        <v>638</v>
      </c>
      <c r="N235" s="35" t="str" cm="1">
        <f t="array" ref="N235">IFERROR(IF(Tabla8[[#This Row],[P/NP]]="NO PROGRAMADA","",_xlfn.TEXTJOIN(", ",TRUE,_xlfn._xlws.FILTER(Tabla4[[#All],[PIEZA]],ISNUMBER(SEARCH(Tabla4[[#All],[PCLAVE]],Tabla8[[#This Row],[DESCRIPCION DE TRABAJO]])),""))),"")</f>
        <v/>
      </c>
      <c r="O235" s="35" t="str" cm="1">
        <f t="array" ref="O235">_xlfn.TEXTJOIN(", ",TRUE,_xlfn._xlws.FILTER(Tabla28[[#All],[PARTE]],ISNUMBER(SEARCH(Tabla28[[#All],[PCLAVE2]],Tabla8[[#This Row],[DESCRIPCION DE TRABAJO]])),""))</f>
        <v>Temperadora</v>
      </c>
      <c r="P235" s="303" t="str">
        <f>IFERROR(LEFT(O235, FIND(",", O235)-1), O235)</f>
        <v>Temperadora</v>
      </c>
      <c r="Q235" s="303" t="str">
        <f>IFERROR(IF(ISERROR(FIND(",", O235, FIND(",", O235)+1)), RIGHT(O235, LEN(O235)-FIND(",", O235)-1), MID(O235, FIND(",", O235)+2, FIND(",", O235, FIND(",", O235)+1)-FIND(",", O235)-2)), "")</f>
        <v/>
      </c>
      <c r="R235" s="303" t="str">
        <f>IFERROR(RIGHT(O235, LEN(O235)-FIND(",", O235, FIND(",", O235)+1)-1), "")</f>
        <v/>
      </c>
      <c r="S235" s="35" t="str" cm="1">
        <f t="array" ref="S235">_xlfn.TEXTJOIN(", ",TRUE,_xlfn._xlws.FILTER(Tabla29[[#All],[PARTE]],ISNUMBER(SEARCH(Tabla29[[#All],[PCLAVE3]],Tabla8[[#This Row],[DESCRIPCION DE TRABAJO]])),""))</f>
        <v>Ruido</v>
      </c>
      <c r="T235" s="34" t="str">
        <f>IF(AND(Tabla8[[#This Row],[PIEZA]]="",Tabla8[[#This Row],[PARTE]]=""),"VACIO","OK")</f>
        <v>OK</v>
      </c>
      <c r="U235" s="303" t="str">
        <f>+CONCATENATE(WEEKNUM(Tabla8[[#This Row],[FECHA]]),"-",YEAR(Tabla8[[#This Row],[FECHA]]))</f>
        <v>7-2026</v>
      </c>
    </row>
    <row r="236" spans="1:21" ht="15" customHeight="1">
      <c r="A236" s="22">
        <v>46064</v>
      </c>
      <c r="B236" s="16" t="s">
        <v>191</v>
      </c>
      <c r="C236" s="10" t="s">
        <v>39</v>
      </c>
      <c r="D236" s="381" t="s">
        <v>639</v>
      </c>
      <c r="E236" s="381" t="s">
        <v>640</v>
      </c>
      <c r="F236" s="380">
        <f>+MOD(Tabla8[[#This Row],[HR. FIN]]-Tabla8[[#This Row],[HR. INICIO]],1)</f>
        <v>2.777777777777779E-2</v>
      </c>
      <c r="G236" s="16" t="s">
        <v>119</v>
      </c>
      <c r="H236" s="343" t="str">
        <f>IFERROR(VLOOKUP(G236,DATOS!$M$2:$N$219,2,FALSE),"")</f>
        <v>Maquinaria</v>
      </c>
      <c r="I236" s="115" t="s">
        <v>32</v>
      </c>
      <c r="J236" s="115" t="s">
        <v>92</v>
      </c>
      <c r="K236" s="114" t="s">
        <v>148</v>
      </c>
      <c r="L236" s="35" t="s">
        <v>641</v>
      </c>
      <c r="M236" s="35" t="s">
        <v>642</v>
      </c>
      <c r="N236" s="35" t="str" cm="1">
        <f t="array" ref="N236">IFERROR(IF(Tabla8[[#This Row],[P/NP]]="NO PROGRAMADA","",_xlfn.TEXTJOIN(", ",TRUE,_xlfn._xlws.FILTER(Tabla4[[#All],[PIEZA]],ISNUMBER(SEARCH(Tabla4[[#All],[PCLAVE]],Tabla8[[#This Row],[DESCRIPCION DE TRABAJO]])),""))),"")</f>
        <v/>
      </c>
      <c r="O236" s="35" t="str" cm="1">
        <f t="array" ref="O236">_xlfn.TEXTJOIN(", ",TRUE,_xlfn._xlws.FILTER(Tabla28[[#All],[PARTE]],ISNUMBER(SEARCH(Tabla28[[#All],[PCLAVE2]],Tabla8[[#This Row],[DESCRIPCION DE TRABAJO]])),""))</f>
        <v/>
      </c>
      <c r="P236" s="303" t="str">
        <f>IFERROR(LEFT(O236, FIND(",", O236)-1), O236)</f>
        <v/>
      </c>
      <c r="Q236" s="303" t="str">
        <f>IFERROR(IF(ISERROR(FIND(",", O236, FIND(",", O236)+1)), RIGHT(O236, LEN(O236)-FIND(",", O236)-1), MID(O236, FIND(",", O236)+2, FIND(",", O236, FIND(",", O236)+1)-FIND(",", O236)-2)), "")</f>
        <v/>
      </c>
      <c r="R236" s="303" t="str">
        <f>IFERROR(RIGHT(O236, LEN(O236)-FIND(",", O236, FIND(",", O236)+1)-1), "")</f>
        <v/>
      </c>
      <c r="S236" s="35" t="str" cm="1">
        <f t="array" ref="S236">_xlfn.TEXTJOIN(", ",TRUE,_xlfn._xlws.FILTER(Tabla29[[#All],[PARTE]],ISNUMBER(SEARCH(Tabla29[[#All],[PCLAVE3]],Tabla8[[#This Row],[DESCRIPCION DE TRABAJO]])),""))</f>
        <v>Humedad, Se Tapo</v>
      </c>
      <c r="T236" s="34" t="str">
        <f>IF(AND(Tabla8[[#This Row],[PIEZA]]="",Tabla8[[#This Row],[PARTE]]=""),"VACIO","OK")</f>
        <v>VACIO</v>
      </c>
      <c r="U236" s="303" t="str">
        <f>+CONCATENATE(WEEKNUM(Tabla8[[#This Row],[FECHA]]),"-",YEAR(Tabla8[[#This Row],[FECHA]]))</f>
        <v>7-2026</v>
      </c>
    </row>
    <row r="237" spans="1:21" ht="15" customHeight="1">
      <c r="A237" s="22">
        <v>46064</v>
      </c>
      <c r="B237" s="16" t="s">
        <v>191</v>
      </c>
      <c r="C237" s="10" t="s">
        <v>39</v>
      </c>
      <c r="D237" s="381" t="s">
        <v>643</v>
      </c>
      <c r="E237" s="381" t="s">
        <v>473</v>
      </c>
      <c r="F237" s="380">
        <f>+MOD(Tabla8[[#This Row],[HR. FIN]]-Tabla8[[#This Row],[HR. INICIO]],1)</f>
        <v>2.1527777777777812E-2</v>
      </c>
      <c r="G237" s="16" t="s">
        <v>312</v>
      </c>
      <c r="H237" s="343" t="str">
        <f>IFERROR(VLOOKUP(G237,DATOS!$M$2:$N$219,2,FALSE),"")</f>
        <v>Maquinaria</v>
      </c>
      <c r="I237" s="115" t="s">
        <v>57</v>
      </c>
      <c r="J237" s="115" t="str">
        <f>+VLOOKUP($I237,Tabla7[#All],2,FALSE)</f>
        <v>NO PROGRAMADA</v>
      </c>
      <c r="K237" s="114" t="str">
        <f>IF(VLOOKUP(I237,Tabla7[#All],3,FALSE)=0,"",VLOOKUP(I237,Tabla7[#All],3,FALSE))</f>
        <v>MECÁNICA</v>
      </c>
      <c r="L237" s="35" t="s">
        <v>644</v>
      </c>
      <c r="M237" s="35" t="s">
        <v>645</v>
      </c>
      <c r="N237" s="35" t="str" cm="1">
        <f t="array" ref="N237">IFERROR(IF(Tabla8[[#This Row],[P/NP]]="NO PROGRAMADA","",_xlfn.TEXTJOIN(", ",TRUE,_xlfn._xlws.FILTER(Tabla4[[#All],[PIEZA]],ISNUMBER(SEARCH(Tabla4[[#All],[PCLAVE]],Tabla8[[#This Row],[DESCRIPCION DE TRABAJO]])),""))),"")</f>
        <v/>
      </c>
      <c r="O237" s="35" t="str" cm="1">
        <f t="array" ref="O237">_xlfn.TEXTJOIN(", ",TRUE,_xlfn._xlws.FILTER(Tabla28[[#All],[PARTE]],ISNUMBER(SEARCH(Tabla28[[#All],[PCLAVE2]],Tabla8[[#This Row],[DESCRIPCION DE TRABAJO]])),""))</f>
        <v/>
      </c>
      <c r="P237" s="303" t="str">
        <f>IFERROR(LEFT(O237, FIND(",", O237)-1), O237)</f>
        <v/>
      </c>
      <c r="Q237" s="303" t="str">
        <f>IFERROR(IF(ISERROR(FIND(",", O237, FIND(",", O237)+1)), RIGHT(O237, LEN(O237)-FIND(",", O237)-1), MID(O237, FIND(",", O237)+2, FIND(",", O237, FIND(",", O237)+1)-FIND(",", O237)-2)), "")</f>
        <v/>
      </c>
      <c r="R237" s="303" t="str">
        <f>IFERROR(RIGHT(O237, LEN(O237)-FIND(",", O237, FIND(",", O237)+1)-1), "")</f>
        <v/>
      </c>
      <c r="S237" s="35" t="str" cm="1">
        <f t="array" ref="S237">_xlfn.TEXTJOIN(", ",TRUE,_xlfn._xlws.FILTER(Tabla29[[#All],[PARTE]],ISNUMBER(SEARCH(Tabla29[[#All],[PCLAVE3]],Tabla8[[#This Row],[DESCRIPCION DE TRABAJO]])),""))</f>
        <v>Ruido, Temperatura, Temperatura</v>
      </c>
      <c r="T237" s="34" t="str">
        <f>IF(AND(Tabla8[[#This Row],[PIEZA]]="",Tabla8[[#This Row],[PARTE]]=""),"VACIO","OK")</f>
        <v>VACIO</v>
      </c>
      <c r="U237" s="303" t="str">
        <f>+CONCATENATE(WEEKNUM(Tabla8[[#This Row],[FECHA]]),"-",YEAR(Tabla8[[#This Row],[FECHA]]))</f>
        <v>7-2026</v>
      </c>
    </row>
    <row r="238" spans="1:21" ht="15" customHeight="1">
      <c r="A238" s="22">
        <v>46064</v>
      </c>
      <c r="B238" s="16" t="s">
        <v>111</v>
      </c>
      <c r="C238" s="10" t="s">
        <v>36</v>
      </c>
      <c r="D238" s="381" t="s">
        <v>482</v>
      </c>
      <c r="E238" s="381" t="s">
        <v>523</v>
      </c>
      <c r="F238" s="380">
        <f>+MOD(Tabla8[[#This Row],[HR. FIN]]-Tabla8[[#This Row],[HR. INICIO]],1)</f>
        <v>2.0833333333333315E-2</v>
      </c>
      <c r="G238" s="16" t="s">
        <v>31</v>
      </c>
      <c r="H238" s="343" t="str">
        <f>IFERROR(VLOOKUP(G238,DATOS!$M$2:$N$219,2,FALSE),"")</f>
        <v>Maquinaria</v>
      </c>
      <c r="I238" s="115" t="s">
        <v>57</v>
      </c>
      <c r="J238" s="115" t="str">
        <f>+VLOOKUP($I238,Tabla7[#All],2,FALSE)</f>
        <v>NO PROGRAMADA</v>
      </c>
      <c r="K238" s="114" t="str">
        <f>IF(VLOOKUP(I238,Tabla7[#All],3,FALSE)=0,"",VLOOKUP(I238,Tabla7[#All],3,FALSE))</f>
        <v>MECÁNICA</v>
      </c>
      <c r="L238" s="35" t="s">
        <v>646</v>
      </c>
      <c r="M238" s="35" t="s">
        <v>647</v>
      </c>
      <c r="N238" s="35" t="str" cm="1">
        <f t="array" ref="N238">IFERROR(IF(Tabla8[[#This Row],[P/NP]]="NO PROGRAMADA","",_xlfn.TEXTJOIN(", ",TRUE,_xlfn._xlws.FILTER(Tabla4[[#All],[PIEZA]],ISNUMBER(SEARCH(Tabla4[[#All],[PCLAVE]],Tabla8[[#This Row],[DESCRIPCION DE TRABAJO]])),""))),"")</f>
        <v/>
      </c>
      <c r="O238" s="35" t="str" cm="1">
        <f t="array" ref="O238">_xlfn.TEXTJOIN(", ",TRUE,_xlfn._xlws.FILTER(Tabla28[[#All],[PARTE]],ISNUMBER(SEARCH(Tabla28[[#All],[PCLAVE2]],Tabla8[[#This Row],[DESCRIPCION DE TRABAJO]])),""))</f>
        <v/>
      </c>
      <c r="P238" s="303" t="str">
        <f>IFERROR(LEFT(O238, FIND(",", O238)-1), O238)</f>
        <v/>
      </c>
      <c r="Q238" s="303" t="str">
        <f>IFERROR(IF(ISERROR(FIND(",", O238, FIND(",", O238)+1)), RIGHT(O238, LEN(O238)-FIND(",", O238)-1), MID(O238, FIND(",", O238)+2, FIND(",", O238, FIND(",", O238)+1)-FIND(",", O238)-2)), "")</f>
        <v/>
      </c>
      <c r="R238" s="303" t="str">
        <f>IFERROR(RIGHT(O238, LEN(O238)-FIND(",", O238, FIND(",", O238)+1)-1), "")</f>
        <v/>
      </c>
      <c r="S238" s="35" t="str" cm="1">
        <f t="array" ref="S238">_xlfn.TEXTJOIN(", ",TRUE,_xlfn._xlws.FILTER(Tabla29[[#All],[PARTE]],ISNUMBER(SEARCH(Tabla29[[#All],[PCLAVE3]],Tabla8[[#This Row],[DESCRIPCION DE TRABAJO]])),""))</f>
        <v/>
      </c>
      <c r="T238" s="34" t="str">
        <f>IF(AND(Tabla8[[#This Row],[PIEZA]]="",Tabla8[[#This Row],[PARTE]]=""),"VACIO","OK")</f>
        <v>VACIO</v>
      </c>
      <c r="U238" s="303" t="str">
        <f>+CONCATENATE(WEEKNUM(Tabla8[[#This Row],[FECHA]]),"-",YEAR(Tabla8[[#This Row],[FECHA]]))</f>
        <v>7-2026</v>
      </c>
    </row>
    <row r="239" spans="1:21" ht="15" customHeight="1">
      <c r="A239" s="22">
        <v>46064</v>
      </c>
      <c r="B239" s="16" t="s">
        <v>111</v>
      </c>
      <c r="C239" s="10" t="s">
        <v>36</v>
      </c>
      <c r="D239" s="381">
        <v>0.48958333333333331</v>
      </c>
      <c r="E239" s="381">
        <v>0.51041666666666663</v>
      </c>
      <c r="F239" s="380">
        <f>+MOD(Tabla8[[#This Row],[HR. FIN]]-Tabla8[[#This Row],[HR. INICIO]],1)</f>
        <v>2.0833333333333315E-2</v>
      </c>
      <c r="G239" s="16" t="s">
        <v>328</v>
      </c>
      <c r="H239" s="343" t="str">
        <f>IFERROR(VLOOKUP(G239,DATOS!$M$2:$N$219,2,FALSE),"")</f>
        <v>Area</v>
      </c>
      <c r="I239" s="115" t="s">
        <v>61</v>
      </c>
      <c r="J239" s="115" t="str">
        <f>+VLOOKUP($I239,Tabla7[#All],2,FALSE)</f>
        <v>PROGRAMADA</v>
      </c>
      <c r="K239" s="114" t="str">
        <f>IF(VLOOKUP(I239,Tabla7[#All],3,FALSE)=0,"",VLOOKUP(I239,Tabla7[#All],3,FALSE))</f>
        <v/>
      </c>
      <c r="L239" s="35" t="s">
        <v>648</v>
      </c>
      <c r="M239" s="35" t="s">
        <v>121</v>
      </c>
      <c r="N239" s="35" t="str" cm="1">
        <f t="array" ref="N239">IFERROR(IF(Tabla8[[#This Row],[P/NP]]="NO PROGRAMADA","",_xlfn.TEXTJOIN(", ",TRUE,_xlfn._xlws.FILTER(Tabla4[[#All],[PIEZA]],ISNUMBER(SEARCH(Tabla4[[#All],[PCLAVE]],Tabla8[[#This Row],[DESCRIPCION DE TRABAJO]])),""))),"")</f>
        <v/>
      </c>
      <c r="O239" s="35" t="str" cm="1">
        <f t="array" ref="O239">_xlfn.TEXTJOIN(", ",TRUE,_xlfn._xlws.FILTER(Tabla28[[#All],[PARTE]],ISNUMBER(SEARCH(Tabla28[[#All],[PCLAVE2]],Tabla8[[#This Row],[DESCRIPCION DE TRABAJO]])),""))</f>
        <v/>
      </c>
      <c r="P239" s="303" t="str">
        <f>IFERROR(LEFT(O239, FIND(",", O239)-1), O239)</f>
        <v/>
      </c>
      <c r="Q239" s="303" t="str">
        <f>IFERROR(IF(ISERROR(FIND(",", O239, FIND(",", O239)+1)), RIGHT(O239, LEN(O239)-FIND(",", O239)-1), MID(O239, FIND(",", O239)+2, FIND(",", O239, FIND(",", O239)+1)-FIND(",", O239)-2)), "")</f>
        <v/>
      </c>
      <c r="R239" s="303" t="str">
        <f>IFERROR(RIGHT(O239, LEN(O239)-FIND(",", O239, FIND(",", O239)+1)-1), "")</f>
        <v/>
      </c>
      <c r="S239" s="35" t="str" cm="1">
        <f t="array" ref="S239">_xlfn.TEXTJOIN(", ",TRUE,_xlfn._xlws.FILTER(Tabla29[[#All],[PARTE]],ISNUMBER(SEARCH(Tabla29[[#All],[PCLAVE3]],Tabla8[[#This Row],[DESCRIPCION DE TRABAJO]])),""))</f>
        <v/>
      </c>
      <c r="T239" s="34" t="str">
        <f>IF(AND(Tabla8[[#This Row],[PIEZA]]="",Tabla8[[#This Row],[PARTE]]=""),"VACIO","OK")</f>
        <v>VACIO</v>
      </c>
      <c r="U239" s="303" t="str">
        <f>+CONCATENATE(WEEKNUM(Tabla8[[#This Row],[FECHA]]),"-",YEAR(Tabla8[[#This Row],[FECHA]]))</f>
        <v>7-2026</v>
      </c>
    </row>
    <row r="240" spans="1:21" ht="15" customHeight="1">
      <c r="A240" s="22">
        <v>46064</v>
      </c>
      <c r="B240" s="16" t="s">
        <v>179</v>
      </c>
      <c r="C240" s="10" t="s">
        <v>36</v>
      </c>
      <c r="D240" s="381" t="s">
        <v>123</v>
      </c>
      <c r="E240" s="381" t="s">
        <v>126</v>
      </c>
      <c r="F240" s="380">
        <f>+MOD(Tabla8[[#This Row],[HR. FIN]]-Tabla8[[#This Row],[HR. INICIO]],1)</f>
        <v>2.0833333333333315E-2</v>
      </c>
      <c r="G240" s="16" t="s">
        <v>312</v>
      </c>
      <c r="H240" s="343" t="str">
        <f>IFERROR(VLOOKUP(G240,DATOS!$M$2:$N$219,2,FALSE),"")</f>
        <v>Maquinaria</v>
      </c>
      <c r="I240" s="115" t="s">
        <v>57</v>
      </c>
      <c r="J240" s="115" t="str">
        <f>+VLOOKUP($I240,Tabla7[#All],2,FALSE)</f>
        <v>NO PROGRAMADA</v>
      </c>
      <c r="K240" s="114" t="str">
        <f>IF(VLOOKUP(I240,Tabla7[#All],3,FALSE)=0,"",VLOOKUP(I240,Tabla7[#All],3,FALSE))</f>
        <v>MECÁNICA</v>
      </c>
      <c r="L240" s="35" t="s">
        <v>649</v>
      </c>
      <c r="M240" s="35" t="s">
        <v>650</v>
      </c>
      <c r="N240" s="35" t="str" cm="1">
        <f t="array" ref="N240">IFERROR(IF(Tabla8[[#This Row],[P/NP]]="NO PROGRAMADA","",_xlfn.TEXTJOIN(", ",TRUE,_xlfn._xlws.FILTER(Tabla4[[#All],[PIEZA]],ISNUMBER(SEARCH(Tabla4[[#All],[PCLAVE]],Tabla8[[#This Row],[DESCRIPCION DE TRABAJO]])),""))),"")</f>
        <v/>
      </c>
      <c r="O240" s="35" t="str" cm="1">
        <f t="array" ref="O240">_xlfn.TEXTJOIN(", ",TRUE,_xlfn._xlws.FILTER(Tabla28[[#All],[PARTE]],ISNUMBER(SEARCH(Tabla28[[#All],[PCLAVE2]],Tabla8[[#This Row],[DESCRIPCION DE TRABAJO]])),""))</f>
        <v/>
      </c>
      <c r="P240" s="303" t="str">
        <f>IFERROR(LEFT(O240, FIND(",", O240)-1), O240)</f>
        <v/>
      </c>
      <c r="Q240" s="303" t="str">
        <f>IFERROR(IF(ISERROR(FIND(",", O240, FIND(",", O240)+1)), RIGHT(O240, LEN(O240)-FIND(",", O240)-1), MID(O240, FIND(",", O240)+2, FIND(",", O240, FIND(",", O240)+1)-FIND(",", O240)-2)), "")</f>
        <v/>
      </c>
      <c r="R240" s="303" t="str">
        <f>IFERROR(RIGHT(O240, LEN(O240)-FIND(",", O240, FIND(",", O240)+1)-1), "")</f>
        <v/>
      </c>
      <c r="S240" s="35" t="str" cm="1">
        <f t="array" ref="S240">_xlfn.TEXTJOIN(", ",TRUE,_xlfn._xlws.FILTER(Tabla29[[#All],[PARTE]],ISNUMBER(SEARCH(Tabla29[[#All],[PCLAVE3]],Tabla8[[#This Row],[DESCRIPCION DE TRABAJO]])),""))</f>
        <v>Temperatura, Temperatura</v>
      </c>
      <c r="T240" s="34" t="str">
        <f>IF(AND(Tabla8[[#This Row],[PIEZA]]="",Tabla8[[#This Row],[PARTE]]=""),"VACIO","OK")</f>
        <v>VACIO</v>
      </c>
      <c r="U240" s="303" t="str">
        <f>+CONCATENATE(WEEKNUM(Tabla8[[#This Row],[FECHA]]),"-",YEAR(Tabla8[[#This Row],[FECHA]]))</f>
        <v>7-2026</v>
      </c>
    </row>
    <row r="241" spans="1:21" ht="15" customHeight="1">
      <c r="A241" s="22">
        <v>46064</v>
      </c>
      <c r="B241" s="16" t="s">
        <v>179</v>
      </c>
      <c r="C241" s="10" t="s">
        <v>36</v>
      </c>
      <c r="D241" s="381">
        <v>1</v>
      </c>
      <c r="E241" s="381">
        <v>1.0208333333333333</v>
      </c>
      <c r="F241" s="380">
        <f>+MOD(Tabla8[[#This Row],[HR. FIN]]-Tabla8[[#This Row],[HR. INICIO]],1)</f>
        <v>2.0833333333333259E-2</v>
      </c>
      <c r="G241" s="16" t="s">
        <v>651</v>
      </c>
      <c r="H241" s="343" t="str">
        <f>IFERROR(VLOOKUP(G241,DATOS!$M$2:$N$219,2,FALSE),"")</f>
        <v>Maquinaria</v>
      </c>
      <c r="I241" s="115" t="s">
        <v>32</v>
      </c>
      <c r="J241" s="115" t="str">
        <f>+VLOOKUP($I241,Tabla7[#All],2,FALSE)</f>
        <v>PROGRAMADA</v>
      </c>
      <c r="K241" s="114" t="str">
        <f>IF(VLOOKUP(I241,Tabla7[#All],3,FALSE)=0,"",VLOOKUP(I241,Tabla7[#All],3,FALSE))</f>
        <v/>
      </c>
      <c r="L241" s="35" t="s">
        <v>652</v>
      </c>
      <c r="M241" s="35" t="s">
        <v>121</v>
      </c>
      <c r="N241" s="35" t="str" cm="1">
        <f t="array" ref="N241">IFERROR(IF(Tabla8[[#This Row],[P/NP]]="NO PROGRAMADA","",_xlfn.TEXTJOIN(", ",TRUE,_xlfn._xlws.FILTER(Tabla4[[#All],[PIEZA]],ISNUMBER(SEARCH(Tabla4[[#All],[PCLAVE]],Tabla8[[#This Row],[DESCRIPCION DE TRABAJO]])),""))),"")</f>
        <v/>
      </c>
      <c r="O241" s="35" t="str" cm="1">
        <f t="array" ref="O241">_xlfn.TEXTJOIN(", ",TRUE,_xlfn._xlws.FILTER(Tabla28[[#All],[PARTE]],ISNUMBER(SEARCH(Tabla28[[#All],[PCLAVE2]],Tabla8[[#This Row],[DESCRIPCION DE TRABAJO]])),""))</f>
        <v/>
      </c>
      <c r="P241" s="303" t="str">
        <f>IFERROR(LEFT(O241, FIND(",", O241)-1), O241)</f>
        <v/>
      </c>
      <c r="Q241" s="303" t="str">
        <f>IFERROR(IF(ISERROR(FIND(",", O241, FIND(",", O241)+1)), RIGHT(O241, LEN(O241)-FIND(",", O241)-1), MID(O241, FIND(",", O241)+2, FIND(",", O241, FIND(",", O241)+1)-FIND(",", O241)-2)), "")</f>
        <v/>
      </c>
      <c r="R241" s="303" t="str">
        <f>IFERROR(RIGHT(O241, LEN(O241)-FIND(",", O241, FIND(",", O241)+1)-1), "")</f>
        <v/>
      </c>
      <c r="S241" s="35" t="str" cm="1">
        <f t="array" ref="S241">_xlfn.TEXTJOIN(", ",TRUE,_xlfn._xlws.FILTER(Tabla29[[#All],[PARTE]],ISNUMBER(SEARCH(Tabla29[[#All],[PCLAVE3]],Tabla8[[#This Row],[DESCRIPCION DE TRABAJO]])),""))</f>
        <v/>
      </c>
      <c r="T241" s="34" t="str">
        <f>IF(AND(Tabla8[[#This Row],[PIEZA]]="",Tabla8[[#This Row],[PARTE]]=""),"VACIO","OK")</f>
        <v>VACIO</v>
      </c>
      <c r="U241" s="303" t="str">
        <f>+CONCATENATE(WEEKNUM(Tabla8[[#This Row],[FECHA]]),"-",YEAR(Tabla8[[#This Row],[FECHA]]))</f>
        <v>7-2026</v>
      </c>
    </row>
    <row r="242" spans="1:21" ht="15" customHeight="1">
      <c r="A242" s="22">
        <v>46064</v>
      </c>
      <c r="B242" s="16" t="s">
        <v>179</v>
      </c>
      <c r="C242" s="10" t="s">
        <v>36</v>
      </c>
      <c r="D242" s="381" t="s">
        <v>653</v>
      </c>
      <c r="E242" s="381" t="s">
        <v>393</v>
      </c>
      <c r="F242" s="380">
        <f>+MOD(Tabla8[[#This Row],[HR. FIN]]-Tabla8[[#This Row],[HR. INICIO]],1)</f>
        <v>2.0833333333333259E-2</v>
      </c>
      <c r="G242" s="16" t="s">
        <v>328</v>
      </c>
      <c r="H242" s="343" t="str">
        <f>IFERROR(VLOOKUP(G242,DATOS!$M$2:$N$219,2,FALSE),"")</f>
        <v>Area</v>
      </c>
      <c r="I242" s="115" t="s">
        <v>25</v>
      </c>
      <c r="J242" s="115" t="str">
        <f>+VLOOKUP($I242,Tabla7[#All],2,FALSE)</f>
        <v>PROGRAMADA</v>
      </c>
      <c r="K242" s="114" t="str">
        <f>IF(VLOOKUP(I242,Tabla7[#All],3,FALSE)=0,"",VLOOKUP(I242,Tabla7[#All],3,FALSE))</f>
        <v/>
      </c>
      <c r="L242" s="35" t="s">
        <v>654</v>
      </c>
      <c r="M242" s="35" t="s">
        <v>121</v>
      </c>
      <c r="N242" s="35" t="str" cm="1">
        <f t="array" ref="N242">IFERROR(IF(Tabla8[[#This Row],[P/NP]]="NO PROGRAMADA","",_xlfn.TEXTJOIN(", ",TRUE,_xlfn._xlws.FILTER(Tabla4[[#All],[PIEZA]],ISNUMBER(SEARCH(Tabla4[[#All],[PCLAVE]],Tabla8[[#This Row],[DESCRIPCION DE TRABAJO]])),""))),"")</f>
        <v/>
      </c>
      <c r="O242" s="35" t="str" cm="1">
        <f t="array" ref="O242">_xlfn.TEXTJOIN(", ",TRUE,_xlfn._xlws.FILTER(Tabla28[[#All],[PARTE]],ISNUMBER(SEARCH(Tabla28[[#All],[PCLAVE2]],Tabla8[[#This Row],[DESCRIPCION DE TRABAJO]])),""))</f>
        <v/>
      </c>
      <c r="P242" s="303" t="str">
        <f>IFERROR(LEFT(O242, FIND(",", O242)-1), O242)</f>
        <v/>
      </c>
      <c r="Q242" s="303" t="str">
        <f>IFERROR(IF(ISERROR(FIND(",", O242, FIND(",", O242)+1)), RIGHT(O242, LEN(O242)-FIND(",", O242)-1), MID(O242, FIND(",", O242)+2, FIND(",", O242, FIND(",", O242)+1)-FIND(",", O242)-2)), "")</f>
        <v/>
      </c>
      <c r="R242" s="303" t="str">
        <f>IFERROR(RIGHT(O242, LEN(O242)-FIND(",", O242, FIND(",", O242)+1)-1), "")</f>
        <v/>
      </c>
      <c r="S242" s="35" t="str" cm="1">
        <f t="array" ref="S242">_xlfn.TEXTJOIN(", ",TRUE,_xlfn._xlws.FILTER(Tabla29[[#All],[PARTE]],ISNUMBER(SEARCH(Tabla29[[#All],[PCLAVE3]],Tabla8[[#This Row],[DESCRIPCION DE TRABAJO]])),""))</f>
        <v/>
      </c>
      <c r="T242" s="34" t="str">
        <f>IF(AND(Tabla8[[#This Row],[PIEZA]]="",Tabla8[[#This Row],[PARTE]]=""),"VACIO","OK")</f>
        <v>VACIO</v>
      </c>
      <c r="U242" s="303" t="str">
        <f>+CONCATENATE(WEEKNUM(Tabla8[[#This Row],[FECHA]]),"-",YEAR(Tabla8[[#This Row],[FECHA]]))</f>
        <v>7-2026</v>
      </c>
    </row>
    <row r="243" spans="1:21" ht="15" customHeight="1">
      <c r="A243" s="22">
        <v>46064</v>
      </c>
      <c r="B243" s="16" t="s">
        <v>131</v>
      </c>
      <c r="C243" s="10" t="s">
        <v>23</v>
      </c>
      <c r="D243" s="381" t="s">
        <v>655</v>
      </c>
      <c r="E243" s="381" t="s">
        <v>511</v>
      </c>
      <c r="F243" s="380">
        <f>+MOD(Tabla8[[#This Row],[HR. FIN]]-Tabla8[[#This Row],[HR. INICIO]],1)</f>
        <v>1.9444444444444486E-2</v>
      </c>
      <c r="G243" s="16" t="s">
        <v>31</v>
      </c>
      <c r="H243" s="343" t="str">
        <f>IFERROR(VLOOKUP(G243,DATOS!$M$2:$N$219,2,FALSE),"")</f>
        <v>Maquinaria</v>
      </c>
      <c r="I243" s="115" t="s">
        <v>54</v>
      </c>
      <c r="J243" s="115" t="str">
        <f>+VLOOKUP($I243,Tabla7[#All],2,FALSE)</f>
        <v>PROGRAMADA</v>
      </c>
      <c r="K243" s="114" t="str">
        <f>IF(VLOOKUP(I243,Tabla7[#All],3,FALSE)=0,"",VLOOKUP(I243,Tabla7[#All],3,FALSE))</f>
        <v/>
      </c>
      <c r="L243" s="35" t="s">
        <v>240</v>
      </c>
      <c r="M243" s="35" t="s">
        <v>121</v>
      </c>
      <c r="N243" s="35" t="str" cm="1">
        <f t="array" ref="N243">IFERROR(IF(Tabla8[[#This Row],[P/NP]]="NO PROGRAMADA","",_xlfn.TEXTJOIN(", ",TRUE,_xlfn._xlws.FILTER(Tabla4[[#All],[PIEZA]],ISNUMBER(SEARCH(Tabla4[[#All],[PCLAVE]],Tabla8[[#This Row],[DESCRIPCION DE TRABAJO]])),""))),"")</f>
        <v/>
      </c>
      <c r="O243" s="35" t="str" cm="1">
        <f t="array" ref="O243">_xlfn.TEXTJOIN(", ",TRUE,_xlfn._xlws.FILTER(Tabla28[[#All],[PARTE]],ISNUMBER(SEARCH(Tabla28[[#All],[PCLAVE2]],Tabla8[[#This Row],[DESCRIPCION DE TRABAJO]])),""))</f>
        <v/>
      </c>
      <c r="P243" s="303" t="str">
        <f>IFERROR(LEFT(O243, FIND(",", O243)-1), O243)</f>
        <v/>
      </c>
      <c r="Q243" s="303" t="str">
        <f>IFERROR(IF(ISERROR(FIND(",", O243, FIND(",", O243)+1)), RIGHT(O243, LEN(O243)-FIND(",", O243)-1), MID(O243, FIND(",", O243)+2, FIND(",", O243, FIND(",", O243)+1)-FIND(",", O243)-2)), "")</f>
        <v/>
      </c>
      <c r="R243" s="303" t="str">
        <f>IFERROR(RIGHT(O243, LEN(O243)-FIND(",", O243, FIND(",", O243)+1)-1), "")</f>
        <v/>
      </c>
      <c r="S243" s="35" t="str" cm="1">
        <f t="array" ref="S243">_xlfn.TEXTJOIN(", ",TRUE,_xlfn._xlws.FILTER(Tabla29[[#All],[PARTE]],ISNUMBER(SEARCH(Tabla29[[#All],[PCLAVE3]],Tabla8[[#This Row],[DESCRIPCION DE TRABAJO]])),""))</f>
        <v/>
      </c>
      <c r="T243" s="34" t="str">
        <f>IF(AND(Tabla8[[#This Row],[PIEZA]]="",Tabla8[[#This Row],[PARTE]]=""),"VACIO","OK")</f>
        <v>VACIO</v>
      </c>
      <c r="U243" s="303" t="str">
        <f>+CONCATENATE(WEEKNUM(Tabla8[[#This Row],[FECHA]]),"-",YEAR(Tabla8[[#This Row],[FECHA]]))</f>
        <v>7-2026</v>
      </c>
    </row>
    <row r="244" spans="1:21" ht="15" customHeight="1">
      <c r="A244" s="22">
        <v>46064</v>
      </c>
      <c r="B244" s="16" t="s">
        <v>131</v>
      </c>
      <c r="C244" s="10" t="s">
        <v>23</v>
      </c>
      <c r="D244" s="381" t="s">
        <v>656</v>
      </c>
      <c r="E244" s="381" t="s">
        <v>657</v>
      </c>
      <c r="F244" s="380">
        <f>+MOD(Tabla8[[#This Row],[HR. FIN]]-Tabla8[[#This Row],[HR. INICIO]],1)</f>
        <v>1.6666666666666718E-2</v>
      </c>
      <c r="G244" s="16" t="s">
        <v>270</v>
      </c>
      <c r="H244" s="343" t="str">
        <f>IFERROR(VLOOKUP(G244,DATOS!$M$2:$N$219,2,FALSE),"")</f>
        <v>Maquinaria</v>
      </c>
      <c r="I244" s="115" t="s">
        <v>57</v>
      </c>
      <c r="J244" s="115" t="str">
        <f>+VLOOKUP($I244,Tabla7[#All],2,FALSE)</f>
        <v>NO PROGRAMADA</v>
      </c>
      <c r="K244" s="114" t="str">
        <f>IF(VLOOKUP(I244,Tabla7[#All],3,FALSE)=0,"",VLOOKUP(I244,Tabla7[#All],3,FALSE))</f>
        <v>MECÁNICA</v>
      </c>
      <c r="L244" s="35" t="s">
        <v>658</v>
      </c>
      <c r="M244" s="35" t="s">
        <v>617</v>
      </c>
      <c r="N244" s="35" t="str" cm="1">
        <f t="array" ref="N244">IFERROR(IF(Tabla8[[#This Row],[P/NP]]="NO PROGRAMADA","",_xlfn.TEXTJOIN(", ",TRUE,_xlfn._xlws.FILTER(Tabla4[[#All],[PIEZA]],ISNUMBER(SEARCH(Tabla4[[#All],[PCLAVE]],Tabla8[[#This Row],[DESCRIPCION DE TRABAJO]])),""))),"")</f>
        <v/>
      </c>
      <c r="O244" s="35" t="str" cm="1">
        <f t="array" ref="O244">_xlfn.TEXTJOIN(", ",TRUE,_xlfn._xlws.FILTER(Tabla28[[#All],[PARTE]],ISNUMBER(SEARCH(Tabla28[[#All],[PCLAVE2]],Tabla8[[#This Row],[DESCRIPCION DE TRABAJO]])),""))</f>
        <v>Temperadora</v>
      </c>
      <c r="P244" s="303" t="str">
        <f>IFERROR(LEFT(O244, FIND(",", O244)-1), O244)</f>
        <v>Temperadora</v>
      </c>
      <c r="Q244" s="303" t="str">
        <f>IFERROR(IF(ISERROR(FIND(",", O244, FIND(",", O244)+1)), RIGHT(O244, LEN(O244)-FIND(",", O244)-1), MID(O244, FIND(",", O244)+2, FIND(",", O244, FIND(",", O244)+1)-FIND(",", O244)-2)), "")</f>
        <v/>
      </c>
      <c r="R244" s="303" t="str">
        <f>IFERROR(RIGHT(O244, LEN(O244)-FIND(",", O244, FIND(",", O244)+1)-1), "")</f>
        <v/>
      </c>
      <c r="S244" s="35" t="str" cm="1">
        <f t="array" ref="S244">_xlfn.TEXTJOIN(", ",TRUE,_xlfn._xlws.FILTER(Tabla29[[#All],[PARTE]],ISNUMBER(SEARCH(Tabla29[[#All],[PCLAVE3]],Tabla8[[#This Row],[DESCRIPCION DE TRABAJO]])),""))</f>
        <v>Bloqueado, Falla De Presion</v>
      </c>
      <c r="T244" s="34" t="str">
        <f>IF(AND(Tabla8[[#This Row],[PIEZA]]="",Tabla8[[#This Row],[PARTE]]=""),"VACIO","OK")</f>
        <v>OK</v>
      </c>
      <c r="U244" s="303" t="str">
        <f>+CONCATENATE(WEEKNUM(Tabla8[[#This Row],[FECHA]]),"-",YEAR(Tabla8[[#This Row],[FECHA]]))</f>
        <v>7-2026</v>
      </c>
    </row>
    <row r="245" spans="1:21" ht="15" customHeight="1">
      <c r="A245" s="22">
        <v>46064</v>
      </c>
      <c r="B245" s="16" t="s">
        <v>191</v>
      </c>
      <c r="C245" s="10" t="s">
        <v>39</v>
      </c>
      <c r="D245" s="381" t="s">
        <v>659</v>
      </c>
      <c r="E245" s="381" t="s">
        <v>660</v>
      </c>
      <c r="F245" s="380">
        <f>+MOD(Tabla8[[#This Row],[HR. FIN]]-Tabla8[[#This Row],[HR. INICIO]],1)</f>
        <v>1.5277777777777724E-2</v>
      </c>
      <c r="G245" s="16" t="s">
        <v>31</v>
      </c>
      <c r="H245" s="343" t="str">
        <f>IFERROR(VLOOKUP(G245,DATOS!$M$2:$N$219,2,FALSE),"")</f>
        <v>Maquinaria</v>
      </c>
      <c r="I245" s="115" t="s">
        <v>57</v>
      </c>
      <c r="J245" s="115" t="str">
        <f>+VLOOKUP($I245,Tabla7[#All],2,FALSE)</f>
        <v>NO PROGRAMADA</v>
      </c>
      <c r="K245" s="114" t="str">
        <f>IF(VLOOKUP(I245,Tabla7[#All],3,FALSE)=0,"",VLOOKUP(I245,Tabla7[#All],3,FALSE))</f>
        <v>MECÁNICA</v>
      </c>
      <c r="L245" s="35" t="s">
        <v>661</v>
      </c>
      <c r="M245" s="35" t="s">
        <v>662</v>
      </c>
      <c r="N245" s="35" t="str" cm="1">
        <f t="array" ref="N245">IFERROR(IF(Tabla8[[#This Row],[P/NP]]="NO PROGRAMADA","",_xlfn.TEXTJOIN(", ",TRUE,_xlfn._xlws.FILTER(Tabla4[[#All],[PIEZA]],ISNUMBER(SEARCH(Tabla4[[#All],[PCLAVE]],Tabla8[[#This Row],[DESCRIPCION DE TRABAJO]])),""))),"")</f>
        <v/>
      </c>
      <c r="O245" s="35" t="str" cm="1">
        <f t="array" ref="O245">_xlfn.TEXTJOIN(", ",TRUE,_xlfn._xlws.FILTER(Tabla28[[#All],[PARTE]],ISNUMBER(SEARCH(Tabla28[[#All],[PCLAVE2]],Tabla8[[#This Row],[DESCRIPCION DE TRABAJO]])),""))</f>
        <v/>
      </c>
      <c r="P245" s="303" t="str">
        <f>IFERROR(LEFT(O245, FIND(",", O245)-1), O245)</f>
        <v/>
      </c>
      <c r="Q245" s="303" t="str">
        <f>IFERROR(IF(ISERROR(FIND(",", O245, FIND(",", O245)+1)), RIGHT(O245, LEN(O245)-FIND(",", O245)-1), MID(O245, FIND(",", O245)+2, FIND(",", O245, FIND(",", O245)+1)-FIND(",", O245)-2)), "")</f>
        <v/>
      </c>
      <c r="R245" s="303" t="str">
        <f>IFERROR(RIGHT(O245, LEN(O245)-FIND(",", O245, FIND(",", O245)+1)-1), "")</f>
        <v/>
      </c>
      <c r="S245" s="35" t="str" cm="1">
        <f t="array" ref="S245">_xlfn.TEXTJOIN(", ",TRUE,_xlfn._xlws.FILTER(Tabla29[[#All],[PARTE]],ISNUMBER(SEARCH(Tabla29[[#All],[PCLAVE3]],Tabla8[[#This Row],[DESCRIPCION DE TRABAJO]])),""))</f>
        <v>Desalineado</v>
      </c>
      <c r="T245" s="34" t="str">
        <f>IF(AND(Tabla8[[#This Row],[PIEZA]]="",Tabla8[[#This Row],[PARTE]]=""),"VACIO","OK")</f>
        <v>VACIO</v>
      </c>
      <c r="U245" s="303" t="str">
        <f>+CONCATENATE(WEEKNUM(Tabla8[[#This Row],[FECHA]]),"-",YEAR(Tabla8[[#This Row],[FECHA]]))</f>
        <v>7-2026</v>
      </c>
    </row>
    <row r="246" spans="1:21" ht="15" customHeight="1">
      <c r="A246" s="22">
        <v>46064</v>
      </c>
      <c r="B246" s="16" t="s">
        <v>191</v>
      </c>
      <c r="C246" s="10" t="s">
        <v>39</v>
      </c>
      <c r="D246" s="381" t="s">
        <v>624</v>
      </c>
      <c r="E246" s="381" t="s">
        <v>663</v>
      </c>
      <c r="F246" s="380">
        <f>+MOD(Tabla8[[#This Row],[HR. FIN]]-Tabla8[[#This Row],[HR. INICIO]],1)</f>
        <v>1.4583333333333282E-2</v>
      </c>
      <c r="G246" s="16" t="s">
        <v>312</v>
      </c>
      <c r="H246" s="343" t="str">
        <f>IFERROR(VLOOKUP(G246,DATOS!$M$2:$N$219,2,FALSE),"")</f>
        <v>Maquinaria</v>
      </c>
      <c r="I246" s="115" t="s">
        <v>25</v>
      </c>
      <c r="J246" s="115" t="s">
        <v>92</v>
      </c>
      <c r="K246" s="114" t="s">
        <v>93</v>
      </c>
      <c r="L246" s="35" t="s">
        <v>664</v>
      </c>
      <c r="M246" s="35" t="s">
        <v>665</v>
      </c>
      <c r="N246" s="35" t="str" cm="1">
        <f t="array" ref="N246">IFERROR(IF(Tabla8[[#This Row],[P/NP]]="NO PROGRAMADA","",_xlfn.TEXTJOIN(", ",TRUE,_xlfn._xlws.FILTER(Tabla4[[#All],[PIEZA]],ISNUMBER(SEARCH(Tabla4[[#All],[PCLAVE]],Tabla8[[#This Row],[DESCRIPCION DE TRABAJO]])),""))),"")</f>
        <v/>
      </c>
      <c r="O246" s="35" t="str" cm="1">
        <f t="array" ref="O246">_xlfn.TEXTJOIN(", ",TRUE,_xlfn._xlws.FILTER(Tabla28[[#All],[PARTE]],ISNUMBER(SEARCH(Tabla28[[#All],[PCLAVE2]],Tabla8[[#This Row],[DESCRIPCION DE TRABAJO]])),""))</f>
        <v/>
      </c>
      <c r="P246" s="303" t="str">
        <f>IFERROR(LEFT(O246, FIND(",", O246)-1), O246)</f>
        <v/>
      </c>
      <c r="Q246" s="303" t="str">
        <f>IFERROR(IF(ISERROR(FIND(",", O246, FIND(",", O246)+1)), RIGHT(O246, LEN(O246)-FIND(",", O246)-1), MID(O246, FIND(",", O246)+2, FIND(",", O246, FIND(",", O246)+1)-FIND(",", O246)-2)), "")</f>
        <v/>
      </c>
      <c r="R246" s="303" t="str">
        <f>IFERROR(RIGHT(O246, LEN(O246)-FIND(",", O246, FIND(",", O246)+1)-1), "")</f>
        <v/>
      </c>
      <c r="S246" s="35" t="str" cm="1">
        <f t="array" ref="S246">_xlfn.TEXTJOIN(", ",TRUE,_xlfn._xlws.FILTER(Tabla29[[#All],[PARTE]],ISNUMBER(SEARCH(Tabla29[[#All],[PCLAVE3]],Tabla8[[#This Row],[DESCRIPCION DE TRABAJO]])),""))</f>
        <v/>
      </c>
      <c r="T246" s="34" t="str">
        <f>IF(AND(Tabla8[[#This Row],[PIEZA]]="",Tabla8[[#This Row],[PARTE]]=""),"VACIO","OK")</f>
        <v>VACIO</v>
      </c>
      <c r="U246" s="303" t="str">
        <f>+CONCATENATE(WEEKNUM(Tabla8[[#This Row],[FECHA]]),"-",YEAR(Tabla8[[#This Row],[FECHA]]))</f>
        <v>7-2026</v>
      </c>
    </row>
    <row r="247" spans="1:21" ht="15" customHeight="1">
      <c r="A247" s="22">
        <v>46064</v>
      </c>
      <c r="B247" s="16" t="s">
        <v>131</v>
      </c>
      <c r="C247" s="10" t="s">
        <v>23</v>
      </c>
      <c r="D247" s="381" t="s">
        <v>653</v>
      </c>
      <c r="E247" s="381" t="s">
        <v>666</v>
      </c>
      <c r="F247" s="380">
        <f>+MOD(Tabla8[[#This Row],[HR. FIN]]-Tabla8[[#This Row],[HR. INICIO]],1)</f>
        <v>1.4583333333333282E-2</v>
      </c>
      <c r="G247" s="16" t="s">
        <v>119</v>
      </c>
      <c r="H247" s="343" t="str">
        <f>IFERROR(VLOOKUP(G247,DATOS!$M$2:$N$219,2,FALSE),"")</f>
        <v>Maquinaria</v>
      </c>
      <c r="I247" s="115" t="s">
        <v>54</v>
      </c>
      <c r="J247" s="115" t="str">
        <f>+VLOOKUP($I247,Tabla7[#All],2,FALSE)</f>
        <v>PROGRAMADA</v>
      </c>
      <c r="K247" s="114" t="str">
        <f>IF(VLOOKUP(I247,Tabla7[#All],3,FALSE)=0,"",VLOOKUP(I247,Tabla7[#All],3,FALSE))</f>
        <v/>
      </c>
      <c r="L247" s="35" t="s">
        <v>154</v>
      </c>
      <c r="M247" s="35" t="s">
        <v>121</v>
      </c>
      <c r="N247" s="35" t="str" cm="1">
        <f t="array" ref="N247">IFERROR(IF(Tabla8[[#This Row],[P/NP]]="NO PROGRAMADA","",_xlfn.TEXTJOIN(", ",TRUE,_xlfn._xlws.FILTER(Tabla4[[#All],[PIEZA]],ISNUMBER(SEARCH(Tabla4[[#All],[PCLAVE]],Tabla8[[#This Row],[DESCRIPCION DE TRABAJO]])),""))),"")</f>
        <v/>
      </c>
      <c r="O247" s="35" t="str" cm="1">
        <f t="array" ref="O247">_xlfn.TEXTJOIN(", ",TRUE,_xlfn._xlws.FILTER(Tabla28[[#All],[PARTE]],ISNUMBER(SEARCH(Tabla28[[#All],[PCLAVE2]],Tabla8[[#This Row],[DESCRIPCION DE TRABAJO]])),""))</f>
        <v/>
      </c>
      <c r="P247" s="303" t="str">
        <f>IFERROR(LEFT(O247, FIND(",", O247)-1), O247)</f>
        <v/>
      </c>
      <c r="Q247" s="303" t="str">
        <f>IFERROR(IF(ISERROR(FIND(",", O247, FIND(",", O247)+1)), RIGHT(O247, LEN(O247)-FIND(",", O247)-1), MID(O247, FIND(",", O247)+2, FIND(",", O247, FIND(",", O247)+1)-FIND(",", O247)-2)), "")</f>
        <v/>
      </c>
      <c r="R247" s="303" t="str">
        <f>IFERROR(RIGHT(O247, LEN(O247)-FIND(",", O247, FIND(",", O247)+1)-1), "")</f>
        <v/>
      </c>
      <c r="S247" s="35" t="str" cm="1">
        <f t="array" ref="S247">_xlfn.TEXTJOIN(", ",TRUE,_xlfn._xlws.FILTER(Tabla29[[#All],[PARTE]],ISNUMBER(SEARCH(Tabla29[[#All],[PCLAVE3]],Tabla8[[#This Row],[DESCRIPCION DE TRABAJO]])),""))</f>
        <v/>
      </c>
      <c r="T247" s="34" t="str">
        <f>IF(AND(Tabla8[[#This Row],[PIEZA]]="",Tabla8[[#This Row],[PARTE]]=""),"VACIO","OK")</f>
        <v>VACIO</v>
      </c>
      <c r="U247" s="303" t="str">
        <f>+CONCATENATE(WEEKNUM(Tabla8[[#This Row],[FECHA]]),"-",YEAR(Tabla8[[#This Row],[FECHA]]))</f>
        <v>7-2026</v>
      </c>
    </row>
    <row r="248" spans="1:21" ht="15" customHeight="1">
      <c r="A248" s="22">
        <v>46064</v>
      </c>
      <c r="B248" s="16" t="s">
        <v>111</v>
      </c>
      <c r="C248" s="10" t="s">
        <v>36</v>
      </c>
      <c r="D248" s="381" t="s">
        <v>408</v>
      </c>
      <c r="E248" s="381" t="s">
        <v>667</v>
      </c>
      <c r="F248" s="380">
        <f>+MOD(Tabla8[[#This Row],[HR. FIN]]-Tabla8[[#This Row],[HR. INICIO]],1)</f>
        <v>1.3888888888888895E-2</v>
      </c>
      <c r="G248" s="16" t="s">
        <v>31</v>
      </c>
      <c r="H248" s="343" t="str">
        <f>IFERROR(VLOOKUP(G248,DATOS!$M$2:$N$219,2,FALSE),"")</f>
        <v>Maquinaria</v>
      </c>
      <c r="I248" s="115" t="s">
        <v>57</v>
      </c>
      <c r="J248" s="115" t="str">
        <f>+VLOOKUP($I248,Tabla7[#All],2,FALSE)</f>
        <v>NO PROGRAMADA</v>
      </c>
      <c r="K248" s="114" t="str">
        <f>IF(VLOOKUP(I248,Tabla7[#All],3,FALSE)=0,"",VLOOKUP(I248,Tabla7[#All],3,FALSE))</f>
        <v>MECÁNICA</v>
      </c>
      <c r="L248" s="35" t="s">
        <v>668</v>
      </c>
      <c r="M248" s="35" t="s">
        <v>669</v>
      </c>
      <c r="N248" s="35" t="str" cm="1">
        <f t="array" ref="N248">IFERROR(IF(Tabla8[[#This Row],[P/NP]]="NO PROGRAMADA","",_xlfn.TEXTJOIN(", ",TRUE,_xlfn._xlws.FILTER(Tabla4[[#All],[PIEZA]],ISNUMBER(SEARCH(Tabla4[[#All],[PCLAVE]],Tabla8[[#This Row],[DESCRIPCION DE TRABAJO]])),""))),"")</f>
        <v/>
      </c>
      <c r="O248" s="35" t="str" cm="1">
        <f t="array" ref="O248">_xlfn.TEXTJOIN(", ",TRUE,_xlfn._xlws.FILTER(Tabla28[[#All],[PARTE]],ISNUMBER(SEARCH(Tabla28[[#All],[PCLAVE2]],Tabla8[[#This Row],[DESCRIPCION DE TRABAJO]])),""))</f>
        <v/>
      </c>
      <c r="P248" s="303" t="str">
        <f>IFERROR(LEFT(O248, FIND(",", O248)-1), O248)</f>
        <v/>
      </c>
      <c r="Q248" s="303" t="str">
        <f>IFERROR(IF(ISERROR(FIND(",", O248, FIND(",", O248)+1)), RIGHT(O248, LEN(O248)-FIND(",", O248)-1), MID(O248, FIND(",", O248)+2, FIND(",", O248, FIND(",", O248)+1)-FIND(",", O248)-2)), "")</f>
        <v/>
      </c>
      <c r="R248" s="303" t="str">
        <f>IFERROR(RIGHT(O248, LEN(O248)-FIND(",", O248, FIND(",", O248)+1)-1), "")</f>
        <v/>
      </c>
      <c r="S248" s="35" t="str" cm="1">
        <f t="array" ref="S248">_xlfn.TEXTJOIN(", ",TRUE,_xlfn._xlws.FILTER(Tabla29[[#All],[PARTE]],ISNUMBER(SEARCH(Tabla29[[#All],[PCLAVE3]],Tabla8[[#This Row],[DESCRIPCION DE TRABAJO]])),""))</f>
        <v>Sellado</v>
      </c>
      <c r="T248" s="34" t="str">
        <f>IF(AND(Tabla8[[#This Row],[PIEZA]]="",Tabla8[[#This Row],[PARTE]]=""),"VACIO","OK")</f>
        <v>VACIO</v>
      </c>
      <c r="U248" s="303" t="str">
        <f>+CONCATENATE(WEEKNUM(Tabla8[[#This Row],[FECHA]]),"-",YEAR(Tabla8[[#This Row],[FECHA]]))</f>
        <v>7-2026</v>
      </c>
    </row>
    <row r="249" spans="1:21" ht="15" customHeight="1">
      <c r="A249" s="22">
        <v>46064</v>
      </c>
      <c r="B249" s="16" t="s">
        <v>111</v>
      </c>
      <c r="C249" s="10" t="s">
        <v>36</v>
      </c>
      <c r="D249" s="381" t="s">
        <v>670</v>
      </c>
      <c r="E249" s="381" t="s">
        <v>447</v>
      </c>
      <c r="F249" s="380">
        <f>+MOD(Tabla8[[#This Row],[HR. FIN]]-Tabla8[[#This Row],[HR. INICIO]],1)</f>
        <v>1.3888888888888895E-2</v>
      </c>
      <c r="G249" s="16" t="s">
        <v>119</v>
      </c>
      <c r="H249" s="343" t="str">
        <f>IFERROR(VLOOKUP(G249,DATOS!$M$2:$N$219,2,FALSE),"")</f>
        <v>Maquinaria</v>
      </c>
      <c r="I249" s="115" t="s">
        <v>54</v>
      </c>
      <c r="J249" s="115" t="str">
        <f>+VLOOKUP($I249,Tabla7[#All],2,FALSE)</f>
        <v>PROGRAMADA</v>
      </c>
      <c r="K249" s="114" t="str">
        <f>IF(VLOOKUP(I249,Tabla7[#All],3,FALSE)=0,"",VLOOKUP(I249,Tabla7[#All],3,FALSE))</f>
        <v/>
      </c>
      <c r="L249" s="35" t="s">
        <v>671</v>
      </c>
      <c r="M249" s="35" t="s">
        <v>121</v>
      </c>
      <c r="N249" s="35" t="str" cm="1">
        <f t="array" ref="N249">IFERROR(IF(Tabla8[[#This Row],[P/NP]]="NO PROGRAMADA","",_xlfn.TEXTJOIN(", ",TRUE,_xlfn._xlws.FILTER(Tabla4[[#All],[PIEZA]],ISNUMBER(SEARCH(Tabla4[[#All],[PCLAVE]],Tabla8[[#This Row],[DESCRIPCION DE TRABAJO]])),""))),"")</f>
        <v/>
      </c>
      <c r="O249" s="35" t="str" cm="1">
        <f t="array" ref="O249">_xlfn.TEXTJOIN(", ",TRUE,_xlfn._xlws.FILTER(Tabla28[[#All],[PARTE]],ISNUMBER(SEARCH(Tabla28[[#All],[PCLAVE2]],Tabla8[[#This Row],[DESCRIPCION DE TRABAJO]])),""))</f>
        <v>Temperadora</v>
      </c>
      <c r="P249" s="303" t="str">
        <f>IFERROR(LEFT(O249, FIND(",", O249)-1), O249)</f>
        <v>Temperadora</v>
      </c>
      <c r="Q249" s="303" t="str">
        <f>IFERROR(IF(ISERROR(FIND(",", O249, FIND(",", O249)+1)), RIGHT(O249, LEN(O249)-FIND(",", O249)-1), MID(O249, FIND(",", O249)+2, FIND(",", O249, FIND(",", O249)+1)-FIND(",", O249)-2)), "")</f>
        <v/>
      </c>
      <c r="R249" s="303" t="str">
        <f>IFERROR(RIGHT(O249, LEN(O249)-FIND(",", O249, FIND(",", O249)+1)-1), "")</f>
        <v/>
      </c>
      <c r="S249" s="35" t="str" cm="1">
        <f t="array" ref="S249">_xlfn.TEXTJOIN(", ",TRUE,_xlfn._xlws.FILTER(Tabla29[[#All],[PARTE]],ISNUMBER(SEARCH(Tabla29[[#All],[PCLAVE3]],Tabla8[[#This Row],[DESCRIPCION DE TRABAJO]])),""))</f>
        <v/>
      </c>
      <c r="T249" s="34" t="str">
        <f>IF(AND(Tabla8[[#This Row],[PIEZA]]="",Tabla8[[#This Row],[PARTE]]=""),"VACIO","OK")</f>
        <v>OK</v>
      </c>
      <c r="U249" s="303" t="str">
        <f>+CONCATENATE(WEEKNUM(Tabla8[[#This Row],[FECHA]]),"-",YEAR(Tabla8[[#This Row],[FECHA]]))</f>
        <v>7-2026</v>
      </c>
    </row>
    <row r="250" spans="1:21" ht="15" customHeight="1">
      <c r="A250" s="22">
        <v>46064</v>
      </c>
      <c r="B250" s="16" t="s">
        <v>179</v>
      </c>
      <c r="C250" s="10" t="s">
        <v>36</v>
      </c>
      <c r="D250" s="381" t="s">
        <v>97</v>
      </c>
      <c r="E250" s="381" t="s">
        <v>672</v>
      </c>
      <c r="F250" s="380">
        <f>+MOD(Tabla8[[#This Row],[HR. FIN]]-Tabla8[[#This Row],[HR. INICIO]],1)</f>
        <v>1.3888888888888895E-2</v>
      </c>
      <c r="G250" s="16" t="s">
        <v>365</v>
      </c>
      <c r="H250" s="343" t="str">
        <f>IFERROR(VLOOKUP(G250,DATOS!$M$2:$N$219,2,FALSE),"")</f>
        <v>Area</v>
      </c>
      <c r="I250" s="115" t="s">
        <v>61</v>
      </c>
      <c r="J250" s="115" t="s">
        <v>92</v>
      </c>
      <c r="K250" s="114" t="s">
        <v>93</v>
      </c>
      <c r="L250" s="35" t="s">
        <v>673</v>
      </c>
      <c r="M250" s="35" t="s">
        <v>674</v>
      </c>
      <c r="N250" s="35" t="str" cm="1">
        <f t="array" ref="N250">IFERROR(IF(Tabla8[[#This Row],[P/NP]]="NO PROGRAMADA","",_xlfn.TEXTJOIN(", ",TRUE,_xlfn._xlws.FILTER(Tabla4[[#All],[PIEZA]],ISNUMBER(SEARCH(Tabla4[[#All],[PCLAVE]],Tabla8[[#This Row],[DESCRIPCION DE TRABAJO]])),""))),"")</f>
        <v/>
      </c>
      <c r="O250" s="35" t="str" cm="1">
        <f t="array" ref="O250">_xlfn.TEXTJOIN(", ",TRUE,_xlfn._xlws.FILTER(Tabla28[[#All],[PARTE]],ISNUMBER(SEARCH(Tabla28[[#All],[PCLAVE2]],Tabla8[[#This Row],[DESCRIPCION DE TRABAJO]])),""))</f>
        <v>Camara De Temperado</v>
      </c>
      <c r="P250" s="303" t="str">
        <f>IFERROR(LEFT(O250, FIND(",", O250)-1), O250)</f>
        <v>Camara De Temperado</v>
      </c>
      <c r="Q250" s="303" t="str">
        <f>IFERROR(IF(ISERROR(FIND(",", O250, FIND(",", O250)+1)), RIGHT(O250, LEN(O250)-FIND(",", O250)-1), MID(O250, FIND(",", O250)+2, FIND(",", O250, FIND(",", O250)+1)-FIND(",", O250)-2)), "")</f>
        <v/>
      </c>
      <c r="R250" s="303" t="str">
        <f>IFERROR(RIGHT(O250, LEN(O250)-FIND(",", O250, FIND(",", O250)+1)-1), "")</f>
        <v/>
      </c>
      <c r="S250" s="35" t="str" cm="1">
        <f t="array" ref="S250">_xlfn.TEXTJOIN(", ",TRUE,_xlfn._xlws.FILTER(Tabla29[[#All],[PARTE]],ISNUMBER(SEARCH(Tabla29[[#All],[PCLAVE3]],Tabla8[[#This Row],[DESCRIPCION DE TRABAJO]])),""))</f>
        <v>Muy Frio</v>
      </c>
      <c r="T250" s="34" t="str">
        <f>IF(AND(Tabla8[[#This Row],[PIEZA]]="",Tabla8[[#This Row],[PARTE]]=""),"VACIO","OK")</f>
        <v>OK</v>
      </c>
      <c r="U250" s="303" t="str">
        <f>+CONCATENATE(WEEKNUM(Tabla8[[#This Row],[FECHA]]),"-",YEAR(Tabla8[[#This Row],[FECHA]]))</f>
        <v>7-2026</v>
      </c>
    </row>
    <row r="251" spans="1:21" ht="15" customHeight="1">
      <c r="A251" s="22">
        <v>46064</v>
      </c>
      <c r="B251" s="16" t="s">
        <v>179</v>
      </c>
      <c r="C251" s="10" t="s">
        <v>36</v>
      </c>
      <c r="D251" s="381" t="s">
        <v>586</v>
      </c>
      <c r="E251" s="381" t="s">
        <v>675</v>
      </c>
      <c r="F251" s="380">
        <f>+MOD(Tabla8[[#This Row],[HR. FIN]]-Tabla8[[#This Row],[HR. INICIO]],1)</f>
        <v>1.388888888888884E-2</v>
      </c>
      <c r="G251" s="16" t="s">
        <v>365</v>
      </c>
      <c r="H251" s="343" t="str">
        <f>IFERROR(VLOOKUP(G251,DATOS!$M$2:$N$219,2,FALSE),"")</f>
        <v>Area</v>
      </c>
      <c r="I251" s="115" t="s">
        <v>61</v>
      </c>
      <c r="J251" s="115" t="s">
        <v>92</v>
      </c>
      <c r="K251" s="114" t="s">
        <v>93</v>
      </c>
      <c r="L251" s="35" t="s">
        <v>676</v>
      </c>
      <c r="M251" s="35" t="s">
        <v>677</v>
      </c>
      <c r="N251" s="35" t="str" cm="1">
        <f t="array" ref="N251">IFERROR(IF(Tabla8[[#This Row],[P/NP]]="NO PROGRAMADA","",_xlfn.TEXTJOIN(", ",TRUE,_xlfn._xlws.FILTER(Tabla4[[#All],[PIEZA]],ISNUMBER(SEARCH(Tabla4[[#All],[PCLAVE]],Tabla8[[#This Row],[DESCRIPCION DE TRABAJO]])),""))),"")</f>
        <v/>
      </c>
      <c r="O251" s="35" t="str" cm="1">
        <f t="array" ref="O251">_xlfn.TEXTJOIN(", ",TRUE,_xlfn._xlws.FILTER(Tabla28[[#All],[PARTE]],ISNUMBER(SEARCH(Tabla28[[#All],[PCLAVE2]],Tabla8[[#This Row],[DESCRIPCION DE TRABAJO]])),""))</f>
        <v>Temperadora</v>
      </c>
      <c r="P251" s="303" t="str">
        <f>IFERROR(LEFT(O251, FIND(",", O251)-1), O251)</f>
        <v>Temperadora</v>
      </c>
      <c r="Q251" s="303" t="str">
        <f>IFERROR(IF(ISERROR(FIND(",", O251, FIND(",", O251)+1)), RIGHT(O251, LEN(O251)-FIND(",", O251)-1), MID(O251, FIND(",", O251)+2, FIND(",", O251, FIND(",", O251)+1)-FIND(",", O251)-2)), "")</f>
        <v/>
      </c>
      <c r="R251" s="303" t="str">
        <f>IFERROR(RIGHT(O251, LEN(O251)-FIND(",", O251, FIND(",", O251)+1)-1), "")</f>
        <v/>
      </c>
      <c r="S251" s="35" t="str" cm="1">
        <f t="array" ref="S251">_xlfn.TEXTJOIN(", ",TRUE,_xlfn._xlws.FILTER(Tabla29[[#All],[PARTE]],ISNUMBER(SEARCH(Tabla29[[#All],[PCLAVE3]],Tabla8[[#This Row],[DESCRIPCION DE TRABAJO]])),""))</f>
        <v/>
      </c>
      <c r="T251" s="34" t="str">
        <f>IF(AND(Tabla8[[#This Row],[PIEZA]]="",Tabla8[[#This Row],[PARTE]]=""),"VACIO","OK")</f>
        <v>OK</v>
      </c>
      <c r="U251" s="303" t="str">
        <f>+CONCATENATE(WEEKNUM(Tabla8[[#This Row],[FECHA]]),"-",YEAR(Tabla8[[#This Row],[FECHA]]))</f>
        <v>7-2026</v>
      </c>
    </row>
    <row r="252" spans="1:21" ht="15" customHeight="1">
      <c r="A252" s="22">
        <v>46064</v>
      </c>
      <c r="B252" s="16" t="s">
        <v>131</v>
      </c>
      <c r="C252" s="10" t="s">
        <v>23</v>
      </c>
      <c r="D252" s="381" t="s">
        <v>678</v>
      </c>
      <c r="E252" s="381" t="s">
        <v>559</v>
      </c>
      <c r="F252" s="380">
        <f>+MOD(Tabla8[[#This Row],[HR. FIN]]-Tabla8[[#This Row],[HR. INICIO]],1)</f>
        <v>1.388888888888884E-2</v>
      </c>
      <c r="G252" s="16" t="s">
        <v>31</v>
      </c>
      <c r="H252" s="343" t="str">
        <f>IFERROR(VLOOKUP(G252,DATOS!$M$2:$N$219,2,FALSE),"")</f>
        <v>Maquinaria</v>
      </c>
      <c r="I252" s="115" t="s">
        <v>186</v>
      </c>
      <c r="J252" s="115" t="str">
        <f>+VLOOKUP($I252,Tabla7[#All],2,FALSE)</f>
        <v>NO PROGRAMADA</v>
      </c>
      <c r="K252" s="114" t="s">
        <v>93</v>
      </c>
      <c r="L252" s="35" t="s">
        <v>679</v>
      </c>
      <c r="M252" s="35" t="s">
        <v>680</v>
      </c>
      <c r="N252" s="35" t="str" cm="1">
        <f t="array" ref="N252">IFERROR(IF(Tabla8[[#This Row],[P/NP]]="NO PROGRAMADA","",_xlfn.TEXTJOIN(", ",TRUE,_xlfn._xlws.FILTER(Tabla4[[#All],[PIEZA]],ISNUMBER(SEARCH(Tabla4[[#All],[PCLAVE]],Tabla8[[#This Row],[DESCRIPCION DE TRABAJO]])),""))),"")</f>
        <v/>
      </c>
      <c r="O252" s="35" t="str" cm="1">
        <f t="array" ref="O252">_xlfn.TEXTJOIN(", ",TRUE,_xlfn._xlws.FILTER(Tabla28[[#All],[PARTE]],ISNUMBER(SEARCH(Tabla28[[#All],[PCLAVE2]],Tabla8[[#This Row],[DESCRIPCION DE TRABAJO]])),""))</f>
        <v/>
      </c>
      <c r="P252" s="303" t="str">
        <f>IFERROR(LEFT(O252, FIND(",", O252)-1), O252)</f>
        <v/>
      </c>
      <c r="Q252" s="303" t="str">
        <f>IFERROR(IF(ISERROR(FIND(",", O252, FIND(",", O252)+1)), RIGHT(O252, LEN(O252)-FIND(",", O252)-1), MID(O252, FIND(",", O252)+2, FIND(",", O252, FIND(",", O252)+1)-FIND(",", O252)-2)), "")</f>
        <v/>
      </c>
      <c r="R252" s="303" t="str">
        <f>IFERROR(RIGHT(O252, LEN(O252)-FIND(",", O252, FIND(",", O252)+1)-1), "")</f>
        <v/>
      </c>
      <c r="S252" s="35" t="str" cm="1">
        <f t="array" ref="S252">_xlfn.TEXTJOIN(", ",TRUE,_xlfn._xlws.FILTER(Tabla29[[#All],[PARTE]],ISNUMBER(SEARCH(Tabla29[[#All],[PCLAVE3]],Tabla8[[#This Row],[DESCRIPCION DE TRABAJO]])),""))</f>
        <v>Cambio De Formato</v>
      </c>
      <c r="T252" s="34" t="str">
        <f>IF(AND(Tabla8[[#This Row],[PIEZA]]="",Tabla8[[#This Row],[PARTE]]=""),"VACIO","OK")</f>
        <v>VACIO</v>
      </c>
      <c r="U252" s="303" t="str">
        <f>+CONCATENATE(WEEKNUM(Tabla8[[#This Row],[FECHA]]),"-",YEAR(Tabla8[[#This Row],[FECHA]]))</f>
        <v>7-2026</v>
      </c>
    </row>
    <row r="253" spans="1:21" ht="15" customHeight="1">
      <c r="A253" s="22">
        <v>46064</v>
      </c>
      <c r="B253" s="16" t="s">
        <v>191</v>
      </c>
      <c r="C253" s="10" t="s">
        <v>39</v>
      </c>
      <c r="D253" s="381" t="s">
        <v>681</v>
      </c>
      <c r="E253" s="381" t="s">
        <v>682</v>
      </c>
      <c r="F253" s="380">
        <f>+MOD(Tabla8[[#This Row],[HR. FIN]]-Tabla8[[#This Row],[HR. INICIO]],1)</f>
        <v>1.3194444444444509E-2</v>
      </c>
      <c r="G253" s="16" t="s">
        <v>215</v>
      </c>
      <c r="H253" s="343" t="str">
        <f>IFERROR(VLOOKUP(G253,DATOS!$M$2:$N$219,2,FALSE),"")</f>
        <v>Equipos auxiliares</v>
      </c>
      <c r="I253" s="115" t="s">
        <v>54</v>
      </c>
      <c r="J253" s="115" t="str">
        <f>+VLOOKUP($I253,Tabla7[#All],2,FALSE)</f>
        <v>PROGRAMADA</v>
      </c>
      <c r="K253" s="114" t="str">
        <f>IF(VLOOKUP(I253,Tabla7[#All],3,FALSE)=0,"",VLOOKUP(I253,Tabla7[#All],3,FALSE))</f>
        <v/>
      </c>
      <c r="L253" s="35" t="s">
        <v>248</v>
      </c>
      <c r="M253" s="35" t="s">
        <v>121</v>
      </c>
      <c r="N253" s="35" t="str" cm="1">
        <f t="array" ref="N253">IFERROR(IF(Tabla8[[#This Row],[P/NP]]="NO PROGRAMADA","",_xlfn.TEXTJOIN(", ",TRUE,_xlfn._xlws.FILTER(Tabla4[[#All],[PIEZA]],ISNUMBER(SEARCH(Tabla4[[#All],[PCLAVE]],Tabla8[[#This Row],[DESCRIPCION DE TRABAJO]])),""))),"")</f>
        <v/>
      </c>
      <c r="O253" s="35" t="str" cm="1">
        <f t="array" ref="O253">_xlfn.TEXTJOIN(", ",TRUE,_xlfn._xlws.FILTER(Tabla28[[#All],[PARTE]],ISNUMBER(SEARCH(Tabla28[[#All],[PCLAVE2]],Tabla8[[#This Row],[DESCRIPCION DE TRABAJO]])),""))</f>
        <v/>
      </c>
      <c r="P253" s="303" t="str">
        <f>IFERROR(LEFT(O253, FIND(",", O253)-1), O253)</f>
        <v/>
      </c>
      <c r="Q253" s="303" t="str">
        <f>IFERROR(IF(ISERROR(FIND(",", O253, FIND(",", O253)+1)), RIGHT(O253, LEN(O253)-FIND(",", O253)-1), MID(O253, FIND(",", O253)+2, FIND(",", O253, FIND(",", O253)+1)-FIND(",", O253)-2)), "")</f>
        <v/>
      </c>
      <c r="R253" s="303" t="str">
        <f>IFERROR(RIGHT(O253, LEN(O253)-FIND(",", O253, FIND(",", O253)+1)-1), "")</f>
        <v/>
      </c>
      <c r="S253" s="35" t="str" cm="1">
        <f t="array" ref="S253">_xlfn.TEXTJOIN(", ",TRUE,_xlfn._xlws.FILTER(Tabla29[[#All],[PARTE]],ISNUMBER(SEARCH(Tabla29[[#All],[PCLAVE3]],Tabla8[[#This Row],[DESCRIPCION DE TRABAJO]])),""))</f>
        <v/>
      </c>
      <c r="T253" s="34" t="str">
        <f>IF(AND(Tabla8[[#This Row],[PIEZA]]="",Tabla8[[#This Row],[PARTE]]=""),"VACIO","OK")</f>
        <v>VACIO</v>
      </c>
      <c r="U253" s="303" t="str">
        <f>+CONCATENATE(WEEKNUM(Tabla8[[#This Row],[FECHA]]),"-",YEAR(Tabla8[[#This Row],[FECHA]]))</f>
        <v>7-2026</v>
      </c>
    </row>
    <row r="254" spans="1:21" ht="15" customHeight="1">
      <c r="A254" s="22">
        <v>46064</v>
      </c>
      <c r="B254" s="16" t="s">
        <v>131</v>
      </c>
      <c r="C254" s="10" t="s">
        <v>23</v>
      </c>
      <c r="D254" s="381" t="s">
        <v>393</v>
      </c>
      <c r="E254" s="381" t="s">
        <v>683</v>
      </c>
      <c r="F254" s="380">
        <f>+MOD(Tabla8[[#This Row],[HR. FIN]]-Tabla8[[#This Row],[HR. INICIO]],1)</f>
        <v>1.3194444444444509E-2</v>
      </c>
      <c r="G254" s="16" t="s">
        <v>293</v>
      </c>
      <c r="H254" s="343" t="str">
        <f>IFERROR(VLOOKUP(G254,DATOS!$M$2:$N$219,2,FALSE),"")</f>
        <v>Equipos auxiliares</v>
      </c>
      <c r="I254" s="115" t="s">
        <v>54</v>
      </c>
      <c r="J254" s="115" t="str">
        <f>+VLOOKUP($I254,Tabla7[#All],2,FALSE)</f>
        <v>PROGRAMADA</v>
      </c>
      <c r="K254" s="114" t="str">
        <f>IF(VLOOKUP(I254,Tabla7[#All],3,FALSE)=0,"",VLOOKUP(I254,Tabla7[#All],3,FALSE))</f>
        <v/>
      </c>
      <c r="L254" s="35" t="s">
        <v>684</v>
      </c>
      <c r="M254" s="35" t="s">
        <v>121</v>
      </c>
      <c r="N254" s="35" t="str" cm="1">
        <f t="array" ref="N254">IFERROR(IF(Tabla8[[#This Row],[P/NP]]="NO PROGRAMADA","",_xlfn.TEXTJOIN(", ",TRUE,_xlfn._xlws.FILTER(Tabla4[[#All],[PIEZA]],ISNUMBER(SEARCH(Tabla4[[#All],[PCLAVE]],Tabla8[[#This Row],[DESCRIPCION DE TRABAJO]])),""))),"")</f>
        <v/>
      </c>
      <c r="O254" s="35" t="str" cm="1">
        <f t="array" ref="O254">_xlfn.TEXTJOIN(", ",TRUE,_xlfn._xlws.FILTER(Tabla28[[#All],[PARTE]],ISNUMBER(SEARCH(Tabla28[[#All],[PCLAVE2]],Tabla8[[#This Row],[DESCRIPCION DE TRABAJO]])),""))</f>
        <v/>
      </c>
      <c r="P254" s="303" t="str">
        <f>IFERROR(LEFT(O254, FIND(",", O254)-1), O254)</f>
        <v/>
      </c>
      <c r="Q254" s="303" t="str">
        <f>IFERROR(IF(ISERROR(FIND(",", O254, FIND(",", O254)+1)), RIGHT(O254, LEN(O254)-FIND(",", O254)-1), MID(O254, FIND(",", O254)+2, FIND(",", O254, FIND(",", O254)+1)-FIND(",", O254)-2)), "")</f>
        <v/>
      </c>
      <c r="R254" s="303" t="str">
        <f>IFERROR(RIGHT(O254, LEN(O254)-FIND(",", O254, FIND(",", O254)+1)-1), "")</f>
        <v/>
      </c>
      <c r="S254" s="35" t="str" cm="1">
        <f t="array" ref="S254">_xlfn.TEXTJOIN(", ",TRUE,_xlfn._xlws.FILTER(Tabla29[[#All],[PARTE]],ISNUMBER(SEARCH(Tabla29[[#All],[PCLAVE3]],Tabla8[[#This Row],[DESCRIPCION DE TRABAJO]])),""))</f>
        <v/>
      </c>
      <c r="T254" s="34" t="str">
        <f>IF(AND(Tabla8[[#This Row],[PIEZA]]="",Tabla8[[#This Row],[PARTE]]=""),"VACIO","OK")</f>
        <v>VACIO</v>
      </c>
      <c r="U254" s="303" t="str">
        <f>+CONCATENATE(WEEKNUM(Tabla8[[#This Row],[FECHA]]),"-",YEAR(Tabla8[[#This Row],[FECHA]]))</f>
        <v>7-2026</v>
      </c>
    </row>
    <row r="255" spans="1:21" ht="15" customHeight="1">
      <c r="A255" s="22">
        <v>46064</v>
      </c>
      <c r="B255" s="16" t="s">
        <v>131</v>
      </c>
      <c r="C255" s="10" t="s">
        <v>23</v>
      </c>
      <c r="D255" s="381" t="s">
        <v>685</v>
      </c>
      <c r="E255" s="381" t="s">
        <v>686</v>
      </c>
      <c r="F255" s="380">
        <f>+MOD(Tabla8[[#This Row],[HR. FIN]]-Tabla8[[#This Row],[HR. INICIO]],1)</f>
        <v>1.3194444444444509E-2</v>
      </c>
      <c r="G255" s="16" t="s">
        <v>153</v>
      </c>
      <c r="H255" s="343" t="str">
        <f>IFERROR(VLOOKUP(G255,DATOS!$M$2:$N$219,2,FALSE),"")</f>
        <v>Maquinaria</v>
      </c>
      <c r="I255" s="115" t="s">
        <v>57</v>
      </c>
      <c r="J255" s="115" t="str">
        <f>+VLOOKUP($I255,Tabla7[#All],2,FALSE)</f>
        <v>NO PROGRAMADA</v>
      </c>
      <c r="K255" s="114" t="str">
        <f>IF(VLOOKUP(I255,Tabla7[#All],3,FALSE)=0,"",VLOOKUP(I255,Tabla7[#All],3,FALSE))</f>
        <v>MECÁNICA</v>
      </c>
      <c r="L255" s="35" t="s">
        <v>687</v>
      </c>
      <c r="M255" s="35" t="s">
        <v>688</v>
      </c>
      <c r="N255" s="35" t="str" cm="1">
        <f t="array" ref="N255">IFERROR(IF(Tabla8[[#This Row],[P/NP]]="NO PROGRAMADA","",_xlfn.TEXTJOIN(", ",TRUE,_xlfn._xlws.FILTER(Tabla4[[#All],[PIEZA]],ISNUMBER(SEARCH(Tabla4[[#All],[PCLAVE]],Tabla8[[#This Row],[DESCRIPCION DE TRABAJO]])),""))),"")</f>
        <v/>
      </c>
      <c r="O255" s="35" t="str" cm="1">
        <f t="array" ref="O255">_xlfn.TEXTJOIN(", ",TRUE,_xlfn._xlws.FILTER(Tabla28[[#All],[PARTE]],ISNUMBER(SEARCH(Tabla28[[#All],[PCLAVE2]],Tabla8[[#This Row],[DESCRIPCION DE TRABAJO]])),""))</f>
        <v/>
      </c>
      <c r="P255" s="303" t="str">
        <f>IFERROR(LEFT(O255, FIND(",", O255)-1), O255)</f>
        <v/>
      </c>
      <c r="Q255" s="303" t="str">
        <f>IFERROR(IF(ISERROR(FIND(",", O255, FIND(",", O255)+1)), RIGHT(O255, LEN(O255)-FIND(",", O255)-1), MID(O255, FIND(",", O255)+2, FIND(",", O255, FIND(",", O255)+1)-FIND(",", O255)-2)), "")</f>
        <v/>
      </c>
      <c r="R255" s="303" t="str">
        <f>IFERROR(RIGHT(O255, LEN(O255)-FIND(",", O255, FIND(",", O255)+1)-1), "")</f>
        <v/>
      </c>
      <c r="S255" s="35" t="str" cm="1">
        <f t="array" ref="S255">_xlfn.TEXTJOIN(", ",TRUE,_xlfn._xlws.FILTER(Tabla29[[#All],[PARTE]],ISNUMBER(SEARCH(Tabla29[[#All],[PCLAVE3]],Tabla8[[#This Row],[DESCRIPCION DE TRABAJO]])),""))</f>
        <v/>
      </c>
      <c r="T255" s="34" t="str">
        <f>IF(AND(Tabla8[[#This Row],[PIEZA]]="",Tabla8[[#This Row],[PARTE]]=""),"VACIO","OK")</f>
        <v>VACIO</v>
      </c>
      <c r="U255" s="303" t="str">
        <f>+CONCATENATE(WEEKNUM(Tabla8[[#This Row],[FECHA]]),"-",YEAR(Tabla8[[#This Row],[FECHA]]))</f>
        <v>7-2026</v>
      </c>
    </row>
    <row r="256" spans="1:21" ht="15" customHeight="1">
      <c r="A256" s="22">
        <v>46064</v>
      </c>
      <c r="B256" s="16" t="s">
        <v>111</v>
      </c>
      <c r="C256" s="10" t="s">
        <v>36</v>
      </c>
      <c r="D256" s="381" t="s">
        <v>689</v>
      </c>
      <c r="E256" s="381" t="s">
        <v>397</v>
      </c>
      <c r="F256" s="380">
        <f>+MOD(Tabla8[[#This Row],[HR. FIN]]-Tabla8[[#This Row],[HR. INICIO]],1)</f>
        <v>1.0416666666666664E-2</v>
      </c>
      <c r="G256" s="16" t="s">
        <v>690</v>
      </c>
      <c r="H256" s="343" t="str">
        <f>IFERROR(VLOOKUP(G256,DATOS!$M$2:$N$219,2,FALSE),"")</f>
        <v>Equipos auxiliares</v>
      </c>
      <c r="I256" s="115" t="s">
        <v>57</v>
      </c>
      <c r="J256" s="115" t="s">
        <v>157</v>
      </c>
      <c r="K256" s="114" t="str">
        <f>IF(VLOOKUP(I256,Tabla7[#All],3,FALSE)=0,"",VLOOKUP(I256,Tabla7[#All],3,FALSE))</f>
        <v>MECÁNICA</v>
      </c>
      <c r="L256" s="35" t="s">
        <v>691</v>
      </c>
      <c r="M256" s="35" t="s">
        <v>692</v>
      </c>
      <c r="N256" s="35" t="str" cm="1">
        <f t="array" ref="N256">IFERROR(IF(Tabla8[[#This Row],[P/NP]]="NO PROGRAMADA","",_xlfn.TEXTJOIN(", ",TRUE,_xlfn._xlws.FILTER(Tabla4[[#All],[PIEZA]],ISNUMBER(SEARCH(Tabla4[[#All],[PCLAVE]],Tabla8[[#This Row],[DESCRIPCION DE TRABAJO]])),""))),"")</f>
        <v/>
      </c>
      <c r="O256" s="35" t="str" cm="1">
        <f t="array" ref="O256">_xlfn.TEXTJOIN(", ",TRUE,_xlfn._xlws.FILTER(Tabla28[[#All],[PARTE]],ISNUMBER(SEARCH(Tabla28[[#All],[PCLAVE2]],Tabla8[[#This Row],[DESCRIPCION DE TRABAJO]])),""))</f>
        <v/>
      </c>
      <c r="P256" s="303" t="str">
        <f>IFERROR(LEFT(O256, FIND(",", O256)-1), O256)</f>
        <v/>
      </c>
      <c r="Q256" s="303" t="str">
        <f>IFERROR(IF(ISERROR(FIND(",", O256, FIND(",", O256)+1)), RIGHT(O256, LEN(O256)-FIND(",", O256)-1), MID(O256, FIND(",", O256)+2, FIND(",", O256, FIND(",", O256)+1)-FIND(",", O256)-2)), "")</f>
        <v/>
      </c>
      <c r="R256" s="303" t="str">
        <f>IFERROR(RIGHT(O256, LEN(O256)-FIND(",", O256, FIND(",", O256)+1)-1), "")</f>
        <v/>
      </c>
      <c r="S256" s="35" t="str" cm="1">
        <f t="array" ref="S256">_xlfn.TEXTJOIN(", ",TRUE,_xlfn._xlws.FILTER(Tabla29[[#All],[PARTE]],ISNUMBER(SEARCH(Tabla29[[#All],[PCLAVE3]],Tabla8[[#This Row],[DESCRIPCION DE TRABAJO]])),""))</f>
        <v/>
      </c>
      <c r="T256" s="34" t="str">
        <f>IF(AND(Tabla8[[#This Row],[PIEZA]]="",Tabla8[[#This Row],[PARTE]]=""),"VACIO","OK")</f>
        <v>VACIO</v>
      </c>
      <c r="U256" s="303" t="str">
        <f>+CONCATENATE(WEEKNUM(Tabla8[[#This Row],[FECHA]]),"-",YEAR(Tabla8[[#This Row],[FECHA]]))</f>
        <v>7-2026</v>
      </c>
    </row>
    <row r="257" spans="1:21" ht="15" customHeight="1">
      <c r="A257" s="22">
        <v>46064</v>
      </c>
      <c r="B257" s="16" t="s">
        <v>111</v>
      </c>
      <c r="C257" s="10" t="s">
        <v>36</v>
      </c>
      <c r="D257" s="381" t="s">
        <v>693</v>
      </c>
      <c r="E257" s="381" t="s">
        <v>694</v>
      </c>
      <c r="F257" s="380">
        <f>+MOD(Tabla8[[#This Row],[HR. FIN]]-Tabla8[[#This Row],[HR. INICIO]],1)</f>
        <v>9.0277777777777457E-3</v>
      </c>
      <c r="G257" s="16" t="s">
        <v>103</v>
      </c>
      <c r="H257" s="343" t="str">
        <f>IFERROR(VLOOKUP(G257,DATOS!$M$2:$N$219,2,FALSE),"")</f>
        <v>Area</v>
      </c>
      <c r="I257" s="115" t="s">
        <v>405</v>
      </c>
      <c r="J257" s="115" t="str">
        <f>+VLOOKUP($I257,Tabla7[#All],2,FALSE)</f>
        <v>PROGRAMADA</v>
      </c>
      <c r="K257" s="114" t="str">
        <f>IF(VLOOKUP(I257,Tabla7[#All],3,FALSE)=0,"",VLOOKUP(I257,Tabla7[#All],3,FALSE))</f>
        <v/>
      </c>
      <c r="L257" s="35" t="s">
        <v>695</v>
      </c>
      <c r="M257" s="35" t="s">
        <v>121</v>
      </c>
      <c r="N257" s="35" t="str" cm="1">
        <f t="array" ref="N257">IFERROR(IF(Tabla8[[#This Row],[P/NP]]="NO PROGRAMADA","",_xlfn.TEXTJOIN(", ",TRUE,_xlfn._xlws.FILTER(Tabla4[[#All],[PIEZA]],ISNUMBER(SEARCH(Tabla4[[#All],[PCLAVE]],Tabla8[[#This Row],[DESCRIPCION DE TRABAJO]])),""))),"")</f>
        <v/>
      </c>
      <c r="O257" s="35" t="str" cm="1">
        <f t="array" ref="O257">_xlfn.TEXTJOIN(", ",TRUE,_xlfn._xlws.FILTER(Tabla28[[#All],[PARTE]],ISNUMBER(SEARCH(Tabla28[[#All],[PCLAVE2]],Tabla8[[#This Row],[DESCRIPCION DE TRABAJO]])),""))</f>
        <v/>
      </c>
      <c r="P257" s="303" t="str">
        <f>IFERROR(LEFT(O257, FIND(",", O257)-1), O257)</f>
        <v/>
      </c>
      <c r="Q257" s="303" t="str">
        <f>IFERROR(IF(ISERROR(FIND(",", O257, FIND(",", O257)+1)), RIGHT(O257, LEN(O257)-FIND(",", O257)-1), MID(O257, FIND(",", O257)+2, FIND(",", O257, FIND(",", O257)+1)-FIND(",", O257)-2)), "")</f>
        <v/>
      </c>
      <c r="R257" s="303" t="str">
        <f>IFERROR(RIGHT(O257, LEN(O257)-FIND(",", O257, FIND(",", O257)+1)-1), "")</f>
        <v/>
      </c>
      <c r="S257" s="35" t="str" cm="1">
        <f t="array" ref="S257">_xlfn.TEXTJOIN(", ",TRUE,_xlfn._xlws.FILTER(Tabla29[[#All],[PARTE]],ISNUMBER(SEARCH(Tabla29[[#All],[PCLAVE3]],Tabla8[[#This Row],[DESCRIPCION DE TRABAJO]])),""))</f>
        <v/>
      </c>
      <c r="T257" s="34" t="str">
        <f>IF(AND(Tabla8[[#This Row],[PIEZA]]="",Tabla8[[#This Row],[PARTE]]=""),"VACIO","OK")</f>
        <v>VACIO</v>
      </c>
      <c r="U257" s="303" t="str">
        <f>+CONCATENATE(WEEKNUM(Tabla8[[#This Row],[FECHA]]),"-",YEAR(Tabla8[[#This Row],[FECHA]]))</f>
        <v>7-2026</v>
      </c>
    </row>
    <row r="258" spans="1:21" ht="15" customHeight="1">
      <c r="A258" s="22">
        <v>46064</v>
      </c>
      <c r="B258" s="16" t="s">
        <v>111</v>
      </c>
      <c r="C258" s="10" t="s">
        <v>36</v>
      </c>
      <c r="D258" s="381" t="s">
        <v>696</v>
      </c>
      <c r="E258" s="381" t="s">
        <v>697</v>
      </c>
      <c r="F258" s="380">
        <f>+MOD(Tabla8[[#This Row],[HR. FIN]]-Tabla8[[#This Row],[HR. INICIO]],1)</f>
        <v>8.3333333333333037E-3</v>
      </c>
      <c r="G258" s="16" t="s">
        <v>119</v>
      </c>
      <c r="H258" s="343" t="str">
        <f>IFERROR(VLOOKUP(G258,DATOS!$M$2:$N$219,2,FALSE),"")</f>
        <v>Maquinaria</v>
      </c>
      <c r="I258" s="115" t="s">
        <v>32</v>
      </c>
      <c r="J258" s="115" t="str">
        <f>+VLOOKUP($I258,Tabla7[#All],2,FALSE)</f>
        <v>PROGRAMADA</v>
      </c>
      <c r="K258" s="114" t="str">
        <f>IF(VLOOKUP(I258,Tabla7[#All],3,FALSE)=0,"",VLOOKUP(I258,Tabla7[#All],3,FALSE))</f>
        <v/>
      </c>
      <c r="L258" s="35" t="s">
        <v>698</v>
      </c>
      <c r="M258" s="35" t="s">
        <v>121</v>
      </c>
      <c r="N258" s="35" t="str" cm="1">
        <f t="array" ref="N258">IFERROR(IF(Tabla8[[#This Row],[P/NP]]="NO PROGRAMADA","",_xlfn.TEXTJOIN(", ",TRUE,_xlfn._xlws.FILTER(Tabla4[[#All],[PIEZA]],ISNUMBER(SEARCH(Tabla4[[#All],[PCLAVE]],Tabla8[[#This Row],[DESCRIPCION DE TRABAJO]])),""))),"")</f>
        <v>Empujador, Husillo, Husillo, Planchas</v>
      </c>
      <c r="O258" s="35" t="str" cm="1">
        <f t="array" ref="O258">_xlfn.TEXTJOIN(", ",TRUE,_xlfn._xlws.FILTER(Tabla28[[#All],[PARTE]],ISNUMBER(SEARCH(Tabla28[[#All],[PCLAVE2]],Tabla8[[#This Row],[DESCRIPCION DE TRABAJO]])),""))</f>
        <v>Mds</v>
      </c>
      <c r="P258" s="303" t="str">
        <f>IFERROR(LEFT(O258, FIND(",", O258)-1), O258)</f>
        <v>Mds</v>
      </c>
      <c r="Q258" s="303" t="str">
        <f>IFERROR(IF(ISERROR(FIND(",", O258, FIND(",", O258)+1)), RIGHT(O258, LEN(O258)-FIND(",", O258)-1), MID(O258, FIND(",", O258)+2, FIND(",", O258, FIND(",", O258)+1)-FIND(",", O258)-2)), "")</f>
        <v/>
      </c>
      <c r="R258" s="303" t="str">
        <f>IFERROR(RIGHT(O258, LEN(O258)-FIND(",", O258, FIND(",", O258)+1)-1), "")</f>
        <v/>
      </c>
      <c r="S258" s="35" t="str" cm="1">
        <f t="array" ref="S258">_xlfn.TEXTJOIN(", ",TRUE,_xlfn._xlws.FILTER(Tabla29[[#All],[PARTE]],ISNUMBER(SEARCH(Tabla29[[#All],[PCLAVE3]],Tabla8[[#This Row],[DESCRIPCION DE TRABAJO]])),""))</f>
        <v>Sustitucion</v>
      </c>
      <c r="T258" s="34" t="str">
        <f>IF(AND(Tabla8[[#This Row],[PIEZA]]="",Tabla8[[#This Row],[PARTE]]=""),"VACIO","OK")</f>
        <v>OK</v>
      </c>
      <c r="U258" s="303" t="str">
        <f>+CONCATENATE(WEEKNUM(Tabla8[[#This Row],[FECHA]]),"-",YEAR(Tabla8[[#This Row],[FECHA]]))</f>
        <v>7-2026</v>
      </c>
    </row>
    <row r="259" spans="1:21" ht="15" customHeight="1">
      <c r="A259" s="22">
        <v>46065</v>
      </c>
      <c r="B259" s="16" t="s">
        <v>179</v>
      </c>
      <c r="C259" s="10" t="s">
        <v>36</v>
      </c>
      <c r="D259" s="381" t="s">
        <v>699</v>
      </c>
      <c r="E259" s="381" t="s">
        <v>127</v>
      </c>
      <c r="F259" s="380">
        <f>+MOD(Tabla8[[#This Row],[HR. FIN]]-Tabla8[[#This Row],[HR. INICIO]],1)</f>
        <v>7.291666666666663E-2</v>
      </c>
      <c r="G259" s="16" t="s">
        <v>182</v>
      </c>
      <c r="H259" s="343" t="str">
        <f>IFERROR(VLOOKUP(G259,DATOS!$M$2:$N$219,2,FALSE),"")</f>
        <v>Maquinaria</v>
      </c>
      <c r="I259" s="115" t="s">
        <v>32</v>
      </c>
      <c r="J259" s="115" t="str">
        <f>+VLOOKUP($I259,Tabla7[#All],2,FALSE)</f>
        <v>PROGRAMADA</v>
      </c>
      <c r="K259" s="114" t="str">
        <f>IF(VLOOKUP(I259,Tabla7[#All],3,FALSE)=0,"",VLOOKUP(I259,Tabla7[#All],3,FALSE))</f>
        <v/>
      </c>
      <c r="L259" s="35" t="s">
        <v>700</v>
      </c>
      <c r="M259" s="35" t="s">
        <v>121</v>
      </c>
      <c r="N259" s="35" t="str" cm="1">
        <f t="array" ref="N259">IFERROR(IF(Tabla8[[#This Row],[P/NP]]="NO PROGRAMADA","",_xlfn.TEXTJOIN(", ",TRUE,_xlfn._xlws.FILTER(Tabla4[[#All],[PIEZA]],ISNUMBER(SEARCH(Tabla4[[#All],[PCLAVE]],Tabla8[[#This Row],[DESCRIPCION DE TRABAJO]])),""))),"")</f>
        <v/>
      </c>
      <c r="O259" s="35" t="str" cm="1">
        <f t="array" ref="O259">_xlfn.TEXTJOIN(", ",TRUE,_xlfn._xlws.FILTER(Tabla28[[#All],[PARTE]],ISNUMBER(SEARCH(Tabla28[[#All],[PCLAVE2]],Tabla8[[#This Row],[DESCRIPCION DE TRABAJO]])),""))</f>
        <v/>
      </c>
      <c r="P259" s="303" t="str">
        <f>IFERROR(LEFT(O259, FIND(",", O259)-1), O259)</f>
        <v/>
      </c>
      <c r="Q259" s="303" t="str">
        <f>IFERROR(IF(ISERROR(FIND(",", O259, FIND(",", O259)+1)), RIGHT(O259, LEN(O259)-FIND(",", O259)-1), MID(O259, FIND(",", O259)+2, FIND(",", O259, FIND(",", O259)+1)-FIND(",", O259)-2)), "")</f>
        <v/>
      </c>
      <c r="R259" s="303" t="str">
        <f>IFERROR(RIGHT(O259, LEN(O259)-FIND(",", O259, FIND(",", O259)+1)-1), "")</f>
        <v/>
      </c>
      <c r="S259" s="35" t="str" cm="1">
        <f t="array" ref="S259">_xlfn.TEXTJOIN(", ",TRUE,_xlfn._xlws.FILTER(Tabla29[[#All],[PARTE]],ISNUMBER(SEARCH(Tabla29[[#All],[PCLAVE3]],Tabla8[[#This Row],[DESCRIPCION DE TRABAJO]])),""))</f>
        <v>Cambio De Formato</v>
      </c>
      <c r="T259" s="34" t="str">
        <f>IF(AND(Tabla8[[#This Row],[PIEZA]]="",Tabla8[[#This Row],[PARTE]]=""),"VACIO","OK")</f>
        <v>VACIO</v>
      </c>
      <c r="U259" s="303" t="str">
        <f>+CONCATENATE(WEEKNUM(Tabla8[[#This Row],[FECHA]]),"-",YEAR(Tabla8[[#This Row],[FECHA]]))</f>
        <v>7-2026</v>
      </c>
    </row>
    <row r="260" spans="1:21" ht="15" customHeight="1">
      <c r="A260" s="22">
        <v>46065</v>
      </c>
      <c r="B260" s="16" t="s">
        <v>179</v>
      </c>
      <c r="C260" s="10" t="s">
        <v>36</v>
      </c>
      <c r="D260" s="381" t="s">
        <v>701</v>
      </c>
      <c r="E260" s="381">
        <v>0.31944444444444442</v>
      </c>
      <c r="F260" s="380">
        <f>+MOD(Tabla8[[#This Row],[HR. FIN]]-Tabla8[[#This Row],[HR. INICIO]],1)</f>
        <v>3.9583333333333304E-2</v>
      </c>
      <c r="G260" s="16" t="s">
        <v>31</v>
      </c>
      <c r="H260" s="343" t="str">
        <f>IFERROR(VLOOKUP(G260,DATOS!$M$2:$N$219,2,FALSE),"")</f>
        <v>Maquinaria</v>
      </c>
      <c r="I260" s="115" t="s">
        <v>57</v>
      </c>
      <c r="J260" s="115" t="str">
        <f>+VLOOKUP($I260,Tabla7[#All],2,FALSE)</f>
        <v>NO PROGRAMADA</v>
      </c>
      <c r="K260" s="114" t="str">
        <f>IF(VLOOKUP(I260,Tabla7[#All],3,FALSE)=0,"",VLOOKUP(I260,Tabla7[#All],3,FALSE))</f>
        <v>MECÁNICA</v>
      </c>
      <c r="L260" s="35" t="s">
        <v>702</v>
      </c>
      <c r="M260" s="35" t="s">
        <v>121</v>
      </c>
      <c r="N260" s="35" t="str" cm="1">
        <f t="array" ref="N260">IFERROR(IF(Tabla8[[#This Row],[P/NP]]="NO PROGRAMADA","",_xlfn.TEXTJOIN(", ",TRUE,_xlfn._xlws.FILTER(Tabla4[[#All],[PIEZA]],ISNUMBER(SEARCH(Tabla4[[#All],[PCLAVE]],Tabla8[[#This Row],[DESCRIPCION DE TRABAJO]])),""))),"")</f>
        <v/>
      </c>
      <c r="O260" s="35" t="str" cm="1">
        <f t="array" ref="O260">_xlfn.TEXTJOIN(", ",TRUE,_xlfn._xlws.FILTER(Tabla28[[#All],[PARTE]],ISNUMBER(SEARCH(Tabla28[[#All],[PCLAVE2]],Tabla8[[#This Row],[DESCRIPCION DE TRABAJO]])),""))</f>
        <v/>
      </c>
      <c r="P260" s="303" t="str">
        <f>IFERROR(LEFT(O260, FIND(",", O260)-1), O260)</f>
        <v/>
      </c>
      <c r="Q260" s="303" t="str">
        <f>IFERROR(IF(ISERROR(FIND(",", O260, FIND(",", O260)+1)), RIGHT(O260, LEN(O260)-FIND(",", O260)-1), MID(O260, FIND(",", O260)+2, FIND(",", O260, FIND(",", O260)+1)-FIND(",", O260)-2)), "")</f>
        <v/>
      </c>
      <c r="R260" s="303" t="str">
        <f>IFERROR(RIGHT(O260, LEN(O260)-FIND(",", O260, FIND(",", O260)+1)-1), "")</f>
        <v/>
      </c>
      <c r="S260" s="35" t="str" cm="1">
        <f t="array" ref="S260">_xlfn.TEXTJOIN(", ",TRUE,_xlfn._xlws.FILTER(Tabla29[[#All],[PARTE]],ISNUMBER(SEARCH(Tabla29[[#All],[PCLAVE3]],Tabla8[[#This Row],[DESCRIPCION DE TRABAJO]])),""))</f>
        <v>Calibracion</v>
      </c>
      <c r="T260" s="34" t="str">
        <f>IF(AND(Tabla8[[#This Row],[PIEZA]]="",Tabla8[[#This Row],[PARTE]]=""),"VACIO","OK")</f>
        <v>VACIO</v>
      </c>
      <c r="U260" s="303" t="str">
        <f>+CONCATENATE(WEEKNUM(Tabla8[[#This Row],[FECHA]]),"-",YEAR(Tabla8[[#This Row],[FECHA]]))</f>
        <v>7-2026</v>
      </c>
    </row>
    <row r="261" spans="1:21" ht="15" customHeight="1">
      <c r="A261" s="22">
        <v>46065</v>
      </c>
      <c r="B261" s="16" t="s">
        <v>191</v>
      </c>
      <c r="C261" s="10" t="s">
        <v>39</v>
      </c>
      <c r="D261" s="381" t="s">
        <v>703</v>
      </c>
      <c r="E261" s="381" t="s">
        <v>704</v>
      </c>
      <c r="F261" s="380">
        <f>+MOD(Tabla8[[#This Row],[HR. FIN]]-Tabla8[[#This Row],[HR. INICIO]],1)</f>
        <v>2.5694444444444436E-2</v>
      </c>
      <c r="G261" s="16" t="s">
        <v>192</v>
      </c>
      <c r="H261" s="343" t="str">
        <f>IFERROR(VLOOKUP(G261,DATOS!$M$2:$N$219,2,FALSE),"")</f>
        <v>Maquinaria</v>
      </c>
      <c r="I261" s="115" t="s">
        <v>57</v>
      </c>
      <c r="J261" s="115" t="str">
        <f>+VLOOKUP($I261,Tabla7[#All],2,FALSE)</f>
        <v>NO PROGRAMADA</v>
      </c>
      <c r="K261" s="114" t="str">
        <f>IF(VLOOKUP(I261,Tabla7[#All],3,FALSE)=0,"",VLOOKUP(I261,Tabla7[#All],3,FALSE))</f>
        <v>MECÁNICA</v>
      </c>
      <c r="L261" s="35" t="s">
        <v>705</v>
      </c>
      <c r="M261" s="35" t="s">
        <v>706</v>
      </c>
      <c r="N261" s="35" t="str" cm="1">
        <f t="array" ref="N261">IFERROR(IF(Tabla8[[#This Row],[P/NP]]="NO PROGRAMADA","",_xlfn.TEXTJOIN(", ",TRUE,_xlfn._xlws.FILTER(Tabla4[[#All],[PIEZA]],ISNUMBER(SEARCH(Tabla4[[#All],[PCLAVE]],Tabla8[[#This Row],[DESCRIPCION DE TRABAJO]])),""))),"")</f>
        <v/>
      </c>
      <c r="O261" s="35" t="str" cm="1">
        <f t="array" ref="O261">_xlfn.TEXTJOIN(", ",TRUE,_xlfn._xlws.FILTER(Tabla28[[#All],[PARTE]],ISNUMBER(SEARCH(Tabla28[[#All],[PCLAVE2]],Tabla8[[#This Row],[DESCRIPCION DE TRABAJO]])),""))</f>
        <v/>
      </c>
      <c r="P261" s="303" t="str">
        <f>IFERROR(LEFT(O261, FIND(",", O261)-1), O261)</f>
        <v/>
      </c>
      <c r="Q261" s="303" t="str">
        <f>IFERROR(IF(ISERROR(FIND(",", O261, FIND(",", O261)+1)), RIGHT(O261, LEN(O261)-FIND(",", O261)-1), MID(O261, FIND(",", O261)+2, FIND(",", O261, FIND(",", O261)+1)-FIND(",", O261)-2)), "")</f>
        <v/>
      </c>
      <c r="R261" s="303" t="str">
        <f>IFERROR(RIGHT(O261, LEN(O261)-FIND(",", O261, FIND(",", O261)+1)-1), "")</f>
        <v/>
      </c>
      <c r="S261" s="35" t="str" cm="1">
        <f t="array" ref="S261">_xlfn.TEXTJOIN(", ",TRUE,_xlfn._xlws.FILTER(Tabla29[[#All],[PARTE]],ISNUMBER(SEARCH(Tabla29[[#All],[PCLAVE3]],Tabla8[[#This Row],[DESCRIPCION DE TRABAJO]])),""))</f>
        <v>Mancha Etiquetas</v>
      </c>
      <c r="T261" s="34" t="str">
        <f>IF(AND(Tabla8[[#This Row],[PIEZA]]="",Tabla8[[#This Row],[PARTE]]=""),"VACIO","OK")</f>
        <v>VACIO</v>
      </c>
      <c r="U261" s="303" t="str">
        <f>+CONCATENATE(WEEKNUM(Tabla8[[#This Row],[FECHA]]),"-",YEAR(Tabla8[[#This Row],[FECHA]]))</f>
        <v>7-2026</v>
      </c>
    </row>
    <row r="262" spans="1:21" ht="15" customHeight="1">
      <c r="A262" s="22">
        <v>46065</v>
      </c>
      <c r="B262" s="16" t="s">
        <v>191</v>
      </c>
      <c r="C262" s="10" t="s">
        <v>39</v>
      </c>
      <c r="D262" s="381" t="s">
        <v>707</v>
      </c>
      <c r="E262" s="381" t="s">
        <v>708</v>
      </c>
      <c r="F262" s="380">
        <f>+MOD(Tabla8[[#This Row],[HR. FIN]]-Tabla8[[#This Row],[HR. INICIO]],1)</f>
        <v>2.2916666666666669E-2</v>
      </c>
      <c r="G262" s="16" t="s">
        <v>119</v>
      </c>
      <c r="H262" s="343" t="str">
        <f>IFERROR(VLOOKUP(G262,DATOS!$M$2:$N$219,2,FALSE),"")</f>
        <v>Maquinaria</v>
      </c>
      <c r="I262" s="115" t="s">
        <v>32</v>
      </c>
      <c r="J262" s="115" t="str">
        <f>+VLOOKUP($I262,Tabla7[#All],2,FALSE)</f>
        <v>PROGRAMADA</v>
      </c>
      <c r="K262" s="114" t="str">
        <f>IF(VLOOKUP(I262,Tabla7[#All],3,FALSE)=0,"",VLOOKUP(I262,Tabla7[#All],3,FALSE))</f>
        <v/>
      </c>
      <c r="L262" s="35" t="s">
        <v>709</v>
      </c>
      <c r="M262" s="35" t="s">
        <v>121</v>
      </c>
      <c r="N262" s="35" t="str" cm="1">
        <f t="array" ref="N262">IFERROR(IF(Tabla8[[#This Row],[P/NP]]="NO PROGRAMADA","",_xlfn.TEXTJOIN(", ",TRUE,_xlfn._xlws.FILTER(Tabla4[[#All],[PIEZA]],ISNUMBER(SEARCH(Tabla4[[#All],[PCLAVE]],Tabla8[[#This Row],[DESCRIPCION DE TRABAJO]])),""))),"")</f>
        <v/>
      </c>
      <c r="O262" s="35" t="str" cm="1">
        <f t="array" ref="O262">_xlfn.TEXTJOIN(", ",TRUE,_xlfn._xlws.FILTER(Tabla28[[#All],[PARTE]],ISNUMBER(SEARCH(Tabla28[[#All],[PCLAVE2]],Tabla8[[#This Row],[DESCRIPCION DE TRABAJO]])),""))</f>
        <v>Mds</v>
      </c>
      <c r="P262" s="303" t="str">
        <f>IFERROR(LEFT(O262, FIND(",", O262)-1), O262)</f>
        <v>Mds</v>
      </c>
      <c r="Q262" s="303" t="str">
        <f>IFERROR(IF(ISERROR(FIND(",", O262, FIND(",", O262)+1)), RIGHT(O262, LEN(O262)-FIND(",", O262)-1), MID(O262, FIND(",", O262)+2, FIND(",", O262, FIND(",", O262)+1)-FIND(",", O262)-2)), "")</f>
        <v/>
      </c>
      <c r="R262" s="303" t="str">
        <f>IFERROR(RIGHT(O262, LEN(O262)-FIND(",", O262, FIND(",", O262)+1)-1), "")</f>
        <v/>
      </c>
      <c r="S262" s="35" t="str" cm="1">
        <f t="array" ref="S262">_xlfn.TEXTJOIN(", ",TRUE,_xlfn._xlws.FILTER(Tabla29[[#All],[PARTE]],ISNUMBER(SEARCH(Tabla29[[#All],[PCLAVE3]],Tabla8[[#This Row],[DESCRIPCION DE TRABAJO]])),""))</f>
        <v>Cambio De Formato</v>
      </c>
      <c r="T262" s="34" t="str">
        <f>IF(AND(Tabla8[[#This Row],[PIEZA]]="",Tabla8[[#This Row],[PARTE]]=""),"VACIO","OK")</f>
        <v>OK</v>
      </c>
      <c r="U262" s="303" t="str">
        <f>+CONCATENATE(WEEKNUM(Tabla8[[#This Row],[FECHA]]),"-",YEAR(Tabla8[[#This Row],[FECHA]]))</f>
        <v>7-2026</v>
      </c>
    </row>
    <row r="263" spans="1:21" ht="15" customHeight="1">
      <c r="A263" s="22">
        <v>46065</v>
      </c>
      <c r="B263" s="16" t="s">
        <v>191</v>
      </c>
      <c r="C263" s="10" t="s">
        <v>39</v>
      </c>
      <c r="D263" s="381" t="s">
        <v>710</v>
      </c>
      <c r="E263" s="381" t="s">
        <v>711</v>
      </c>
      <c r="F263" s="380">
        <f>+MOD(Tabla8[[#This Row],[HR. FIN]]-Tabla8[[#This Row],[HR. INICIO]],1)</f>
        <v>2.2222222222222227E-2</v>
      </c>
      <c r="G263" s="16" t="s">
        <v>119</v>
      </c>
      <c r="H263" s="343" t="str">
        <f>IFERROR(VLOOKUP(G263,DATOS!$M$2:$N$219,2,FALSE),"")</f>
        <v>Maquinaria</v>
      </c>
      <c r="I263" s="115" t="s">
        <v>32</v>
      </c>
      <c r="J263" s="115" t="str">
        <f>+VLOOKUP($I263,Tabla7[#All],2,FALSE)</f>
        <v>PROGRAMADA</v>
      </c>
      <c r="K263" s="114" t="str">
        <f>IF(VLOOKUP(I263,Tabla7[#All],3,FALSE)=0,"",VLOOKUP(I263,Tabla7[#All],3,FALSE))</f>
        <v/>
      </c>
      <c r="L263" s="35" t="s">
        <v>712</v>
      </c>
      <c r="M263" s="35" t="s">
        <v>121</v>
      </c>
      <c r="N263" s="35" t="str" cm="1">
        <f t="array" ref="N263">IFERROR(IF(Tabla8[[#This Row],[P/NP]]="NO PROGRAMADA","",_xlfn.TEXTJOIN(", ",TRUE,_xlfn._xlws.FILTER(Tabla4[[#All],[PIEZA]],ISNUMBER(SEARCH(Tabla4[[#All],[PCLAVE]],Tabla8[[#This Row],[DESCRIPCION DE TRABAJO]])),""))),"")</f>
        <v/>
      </c>
      <c r="O263" s="35" t="str" cm="1">
        <f t="array" ref="O263">_xlfn.TEXTJOIN(", ",TRUE,_xlfn._xlws.FILTER(Tabla28[[#All],[PARTE]],ISNUMBER(SEARCH(Tabla28[[#All],[PCLAVE2]],Tabla8[[#This Row],[DESCRIPCION DE TRABAJO]])),""))</f>
        <v>Mds</v>
      </c>
      <c r="P263" s="303" t="str">
        <f>IFERROR(LEFT(O263, FIND(",", O263)-1), O263)</f>
        <v>Mds</v>
      </c>
      <c r="Q263" s="303" t="str">
        <f>IFERROR(IF(ISERROR(FIND(",", O263, FIND(",", O263)+1)), RIGHT(O263, LEN(O263)-FIND(",", O263)-1), MID(O263, FIND(",", O263)+2, FIND(",", O263, FIND(",", O263)+1)-FIND(",", O263)-2)), "")</f>
        <v/>
      </c>
      <c r="R263" s="303" t="str">
        <f>IFERROR(RIGHT(O263, LEN(O263)-FIND(",", O263, FIND(",", O263)+1)-1), "")</f>
        <v/>
      </c>
      <c r="S263" s="35" t="str" cm="1">
        <f t="array" ref="S263">_xlfn.TEXTJOIN(", ",TRUE,_xlfn._xlws.FILTER(Tabla29[[#All],[PARTE]],ISNUMBER(SEARCH(Tabla29[[#All],[PCLAVE3]],Tabla8[[#This Row],[DESCRIPCION DE TRABAJO]])),""))</f>
        <v>Cambio De Formato</v>
      </c>
      <c r="T263" s="34" t="str">
        <f>IF(AND(Tabla8[[#This Row],[PIEZA]]="",Tabla8[[#This Row],[PARTE]]=""),"VACIO","OK")</f>
        <v>OK</v>
      </c>
      <c r="U263" s="303" t="str">
        <f>+CONCATENATE(WEEKNUM(Tabla8[[#This Row],[FECHA]]),"-",YEAR(Tabla8[[#This Row],[FECHA]]))</f>
        <v>7-2026</v>
      </c>
    </row>
    <row r="264" spans="1:21" ht="15" customHeight="1">
      <c r="A264" s="22">
        <v>46065</v>
      </c>
      <c r="B264" s="16" t="s">
        <v>191</v>
      </c>
      <c r="C264" s="10" t="s">
        <v>39</v>
      </c>
      <c r="D264" s="381" t="s">
        <v>713</v>
      </c>
      <c r="E264" s="381" t="s">
        <v>714</v>
      </c>
      <c r="F264" s="380">
        <f>+MOD(Tabla8[[#This Row],[HR. FIN]]-Tabla8[[#This Row],[HR. INICIO]],1)</f>
        <v>2.0138888888888928E-2</v>
      </c>
      <c r="G264" s="16" t="s">
        <v>312</v>
      </c>
      <c r="H264" s="343" t="str">
        <f>IFERROR(VLOOKUP(G264,DATOS!$M$2:$N$219,2,FALSE),"")</f>
        <v>Maquinaria</v>
      </c>
      <c r="I264" s="115" t="s">
        <v>57</v>
      </c>
      <c r="J264" s="115" t="str">
        <f>+VLOOKUP($I264,Tabla7[#All],2,FALSE)</f>
        <v>NO PROGRAMADA</v>
      </c>
      <c r="K264" s="114" t="str">
        <f>IF(VLOOKUP(I264,Tabla7[#All],3,FALSE)=0,"",VLOOKUP(I264,Tabla7[#All],3,FALSE))</f>
        <v>MECÁNICA</v>
      </c>
      <c r="L264" s="35" t="s">
        <v>715</v>
      </c>
      <c r="M264" s="35" t="s">
        <v>716</v>
      </c>
      <c r="N264" s="35" t="str" cm="1">
        <f t="array" ref="N264">IFERROR(IF(Tabla8[[#This Row],[P/NP]]="NO PROGRAMADA","",_xlfn.TEXTJOIN(", ",TRUE,_xlfn._xlws.FILTER(Tabla4[[#All],[PIEZA]],ISNUMBER(SEARCH(Tabla4[[#All],[PCLAVE]],Tabla8[[#This Row],[DESCRIPCION DE TRABAJO]])),""))),"")</f>
        <v/>
      </c>
      <c r="O264" s="35" t="str" cm="1">
        <f t="array" ref="O264">_xlfn.TEXTJOIN(", ",TRUE,_xlfn._xlws.FILTER(Tabla28[[#All],[PARTE]],ISNUMBER(SEARCH(Tabla28[[#All],[PCLAVE2]],Tabla8[[#This Row],[DESCRIPCION DE TRABAJO]])),""))</f>
        <v>Temperadora</v>
      </c>
      <c r="P264" s="303" t="str">
        <f>IFERROR(LEFT(O264, FIND(",", O264)-1), O264)</f>
        <v>Temperadora</v>
      </c>
      <c r="Q264" s="303" t="str">
        <f>IFERROR(IF(ISERROR(FIND(",", O264, FIND(",", O264)+1)), RIGHT(O264, LEN(O264)-FIND(",", O264)-1), MID(O264, FIND(",", O264)+2, FIND(",", O264, FIND(",", O264)+1)-FIND(",", O264)-2)), "")</f>
        <v/>
      </c>
      <c r="R264" s="303" t="str">
        <f>IFERROR(RIGHT(O264, LEN(O264)-FIND(",", O264, FIND(",", O264)+1)-1), "")</f>
        <v/>
      </c>
      <c r="S264" s="35" t="str" cm="1">
        <f t="array" ref="S264">_xlfn.TEXTJOIN(", ",TRUE,_xlfn._xlws.FILTER(Tabla29[[#All],[PARTE]],ISNUMBER(SEARCH(Tabla29[[#All],[PCLAVE3]],Tabla8[[#This Row],[DESCRIPCION DE TRABAJO]])),""))</f>
        <v/>
      </c>
      <c r="T264" s="34" t="str">
        <f>IF(AND(Tabla8[[#This Row],[PIEZA]]="",Tabla8[[#This Row],[PARTE]]=""),"VACIO","OK")</f>
        <v>OK</v>
      </c>
      <c r="U264" s="303" t="str">
        <f>+CONCATENATE(WEEKNUM(Tabla8[[#This Row],[FECHA]]),"-",YEAR(Tabla8[[#This Row],[FECHA]]))</f>
        <v>7-2026</v>
      </c>
    </row>
    <row r="265" spans="1:21" ht="15" customHeight="1">
      <c r="A265" s="22">
        <v>46065</v>
      </c>
      <c r="B265" s="16" t="s">
        <v>191</v>
      </c>
      <c r="C265" s="10" t="s">
        <v>39</v>
      </c>
      <c r="D265" s="381" t="s">
        <v>135</v>
      </c>
      <c r="E265" s="381" t="s">
        <v>717</v>
      </c>
      <c r="F265" s="380">
        <f>+MOD(Tabla8[[#This Row],[HR. FIN]]-Tabla8[[#This Row],[HR. INICIO]],1)</f>
        <v>1.9444444444444375E-2</v>
      </c>
      <c r="G265" s="16" t="s">
        <v>198</v>
      </c>
      <c r="H265" s="343" t="str">
        <f>IFERROR(VLOOKUP(G265,DATOS!$M$2:$N$219,2,FALSE),"")</f>
        <v>Maquinaria</v>
      </c>
      <c r="I265" s="115" t="s">
        <v>57</v>
      </c>
      <c r="J265" s="115" t="str">
        <f>+VLOOKUP($I265,Tabla7[#All],2,FALSE)</f>
        <v>NO PROGRAMADA</v>
      </c>
      <c r="K265" s="114" t="str">
        <f>IF(VLOOKUP(I265,Tabla7[#All],3,FALSE)=0,"",VLOOKUP(I265,Tabla7[#All],3,FALSE))</f>
        <v>MECÁNICA</v>
      </c>
      <c r="L265" s="35" t="s">
        <v>718</v>
      </c>
      <c r="M265" s="35" t="s">
        <v>719</v>
      </c>
      <c r="N265" s="35" t="str" cm="1">
        <f t="array" ref="N265">IFERROR(IF(Tabla8[[#This Row],[P/NP]]="NO PROGRAMADA","",_xlfn.TEXTJOIN(", ",TRUE,_xlfn._xlws.FILTER(Tabla4[[#All],[PIEZA]],ISNUMBER(SEARCH(Tabla4[[#All],[PCLAVE]],Tabla8[[#This Row],[DESCRIPCION DE TRABAJO]])),""))),"")</f>
        <v/>
      </c>
      <c r="O265" s="35" t="str" cm="1">
        <f t="array" ref="O265">_xlfn.TEXTJOIN(", ",TRUE,_xlfn._xlws.FILTER(Tabla28[[#All],[PARTE]],ISNUMBER(SEARCH(Tabla28[[#All],[PCLAVE2]],Tabla8[[#This Row],[DESCRIPCION DE TRABAJO]])),""))</f>
        <v/>
      </c>
      <c r="P265" s="303" t="str">
        <f>IFERROR(LEFT(O265, FIND(",", O265)-1), O265)</f>
        <v/>
      </c>
      <c r="Q265" s="303" t="str">
        <f>IFERROR(IF(ISERROR(FIND(",", O265, FIND(",", O265)+1)), RIGHT(O265, LEN(O265)-FIND(",", O265)-1), MID(O265, FIND(",", O265)+2, FIND(",", O265, FIND(",", O265)+1)-FIND(",", O265)-2)), "")</f>
        <v/>
      </c>
      <c r="R265" s="303" t="str">
        <f>IFERROR(RIGHT(O265, LEN(O265)-FIND(",", O265, FIND(",", O265)+1)-1), "")</f>
        <v/>
      </c>
      <c r="S265" s="35" t="str" cm="1">
        <f t="array" ref="S265">_xlfn.TEXTJOIN(", ",TRUE,_xlfn._xlws.FILTER(Tabla29[[#All],[PARTE]],ISNUMBER(SEARCH(Tabla29[[#All],[PCLAVE3]],Tabla8[[#This Row],[DESCRIPCION DE TRABAJO]])),""))</f>
        <v>Desalineado, Obstruido</v>
      </c>
      <c r="T265" s="34" t="str">
        <f>IF(AND(Tabla8[[#This Row],[PIEZA]]="",Tabla8[[#This Row],[PARTE]]=""),"VACIO","OK")</f>
        <v>VACIO</v>
      </c>
      <c r="U265" s="303" t="str">
        <f>+CONCATENATE(WEEKNUM(Tabla8[[#This Row],[FECHA]]),"-",YEAR(Tabla8[[#This Row],[FECHA]]))</f>
        <v>7-2026</v>
      </c>
    </row>
    <row r="266" spans="1:21" ht="15" customHeight="1">
      <c r="A266" s="22">
        <v>46065</v>
      </c>
      <c r="B266" s="16" t="s">
        <v>179</v>
      </c>
      <c r="C266" s="10" t="s">
        <v>36</v>
      </c>
      <c r="D266" s="381" t="s">
        <v>720</v>
      </c>
      <c r="E266" s="381">
        <v>0.2986111111111111</v>
      </c>
      <c r="F266" s="380">
        <f>+MOD(Tabla8[[#This Row],[HR. FIN]]-Tabla8[[#This Row],[HR. INICIO]],1)</f>
        <v>1.8055555555555547E-2</v>
      </c>
      <c r="G266" s="16" t="s">
        <v>721</v>
      </c>
      <c r="H266" s="343" t="str">
        <f>IFERROR(VLOOKUP(G266,DATOS!$M$2:$N$219,2,FALSE),"")</f>
        <v>Maquinaria</v>
      </c>
      <c r="I266" s="115" t="s">
        <v>61</v>
      </c>
      <c r="J266" s="115" t="s">
        <v>92</v>
      </c>
      <c r="K266" s="114" t="s">
        <v>93</v>
      </c>
      <c r="L266" s="35" t="s">
        <v>722</v>
      </c>
      <c r="M266" s="35" t="s">
        <v>121</v>
      </c>
      <c r="N266" s="35" t="str" cm="1">
        <f t="array" ref="N266">IFERROR(IF(Tabla8[[#This Row],[P/NP]]="NO PROGRAMADA","",_xlfn.TEXTJOIN(", ",TRUE,_xlfn._xlws.FILTER(Tabla4[[#All],[PIEZA]],ISNUMBER(SEARCH(Tabla4[[#All],[PCLAVE]],Tabla8[[#This Row],[DESCRIPCION DE TRABAJO]])),""))),"")</f>
        <v/>
      </c>
      <c r="O266" s="35" t="str" cm="1">
        <f t="array" ref="O266">_xlfn.TEXTJOIN(", ",TRUE,_xlfn._xlws.FILTER(Tabla28[[#All],[PARTE]],ISNUMBER(SEARCH(Tabla28[[#All],[PCLAVE2]],Tabla8[[#This Row],[DESCRIPCION DE TRABAJO]])),""))</f>
        <v/>
      </c>
      <c r="P266" s="303" t="str">
        <f>IFERROR(LEFT(O266, FIND(",", O266)-1), O266)</f>
        <v/>
      </c>
      <c r="Q266" s="303" t="str">
        <f>IFERROR(IF(ISERROR(FIND(",", O266, FIND(",", O266)+1)), RIGHT(O266, LEN(O266)-FIND(",", O266)-1), MID(O266, FIND(",", O266)+2, FIND(",", O266, FIND(",", O266)+1)-FIND(",", O266)-2)), "")</f>
        <v/>
      </c>
      <c r="R266" s="303" t="str">
        <f>IFERROR(RIGHT(O266, LEN(O266)-FIND(",", O266, FIND(",", O266)+1)-1), "")</f>
        <v/>
      </c>
      <c r="S266" s="35" t="str" cm="1">
        <f t="array" ref="S266">_xlfn.TEXTJOIN(", ",TRUE,_xlfn._xlws.FILTER(Tabla29[[#All],[PARTE]],ISNUMBER(SEARCH(Tabla29[[#All],[PCLAVE3]],Tabla8[[#This Row],[DESCRIPCION DE TRABAJO]])),""))</f>
        <v/>
      </c>
      <c r="T266" s="34" t="str">
        <f>IF(AND(Tabla8[[#This Row],[PIEZA]]="",Tabla8[[#This Row],[PARTE]]=""),"VACIO","OK")</f>
        <v>VACIO</v>
      </c>
      <c r="U266" s="303" t="str">
        <f>+CONCATENATE(WEEKNUM(Tabla8[[#This Row],[FECHA]]),"-",YEAR(Tabla8[[#This Row],[FECHA]]))</f>
        <v>7-2026</v>
      </c>
    </row>
    <row r="267" spans="1:21" ht="15" customHeight="1">
      <c r="A267" s="22">
        <v>46065</v>
      </c>
      <c r="B267" s="16" t="s">
        <v>191</v>
      </c>
      <c r="C267" s="10" t="s">
        <v>39</v>
      </c>
      <c r="D267" s="381" t="s">
        <v>723</v>
      </c>
      <c r="E267" s="381" t="s">
        <v>118</v>
      </c>
      <c r="F267" s="380">
        <f>+MOD(Tabla8[[#This Row],[HR. FIN]]-Tabla8[[#This Row],[HR. INICIO]],1)</f>
        <v>1.5972222222222276E-2</v>
      </c>
      <c r="G267" s="16" t="s">
        <v>31</v>
      </c>
      <c r="H267" s="343" t="str">
        <f>IFERROR(VLOOKUP(G267,DATOS!$M$2:$N$219,2,FALSE),"")</f>
        <v>Maquinaria</v>
      </c>
      <c r="I267" s="115" t="s">
        <v>57</v>
      </c>
      <c r="J267" s="115" t="str">
        <f>+VLOOKUP($I267,Tabla7[#All],2,FALSE)</f>
        <v>NO PROGRAMADA</v>
      </c>
      <c r="K267" s="114" t="str">
        <f>IF(VLOOKUP(I267,Tabla7[#All],3,FALSE)=0,"",VLOOKUP(I267,Tabla7[#All],3,FALSE))</f>
        <v>MECÁNICA</v>
      </c>
      <c r="L267" s="35" t="s">
        <v>724</v>
      </c>
      <c r="M267" s="35" t="s">
        <v>121</v>
      </c>
      <c r="N267" s="35" t="str" cm="1">
        <f t="array" ref="N267">IFERROR(IF(Tabla8[[#This Row],[P/NP]]="NO PROGRAMADA","",_xlfn.TEXTJOIN(", ",TRUE,_xlfn._xlws.FILTER(Tabla4[[#All],[PIEZA]],ISNUMBER(SEARCH(Tabla4[[#All],[PCLAVE]],Tabla8[[#This Row],[DESCRIPCION DE TRABAJO]])),""))),"")</f>
        <v/>
      </c>
      <c r="O267" s="35" t="str" cm="1">
        <f t="array" ref="O267">_xlfn.TEXTJOIN(", ",TRUE,_xlfn._xlws.FILTER(Tabla28[[#All],[PARTE]],ISNUMBER(SEARCH(Tabla28[[#All],[PCLAVE2]],Tabla8[[#This Row],[DESCRIPCION DE TRABAJO]])),""))</f>
        <v/>
      </c>
      <c r="P267" s="303" t="str">
        <f>IFERROR(LEFT(O267, FIND(",", O267)-1), O267)</f>
        <v/>
      </c>
      <c r="Q267" s="303" t="str">
        <f>IFERROR(IF(ISERROR(FIND(",", O267, FIND(",", O267)+1)), RIGHT(O267, LEN(O267)-FIND(",", O267)-1), MID(O267, FIND(",", O267)+2, FIND(",", O267, FIND(",", O267)+1)-FIND(",", O267)-2)), "")</f>
        <v/>
      </c>
      <c r="R267" s="303" t="str">
        <f>IFERROR(RIGHT(O267, LEN(O267)-FIND(",", O267, FIND(",", O267)+1)-1), "")</f>
        <v/>
      </c>
      <c r="S267" s="35" t="str" cm="1">
        <f t="array" ref="S267">_xlfn.TEXTJOIN(", ",TRUE,_xlfn._xlws.FILTER(Tabla29[[#All],[PARTE]],ISNUMBER(SEARCH(Tabla29[[#All],[PCLAVE3]],Tabla8[[#This Row],[DESCRIPCION DE TRABAJO]])),""))</f>
        <v>Expulsion, Falla En Velocid*, Velocidad</v>
      </c>
      <c r="T267" s="34" t="str">
        <f>IF(AND(Tabla8[[#This Row],[PIEZA]]="",Tabla8[[#This Row],[PARTE]]=""),"VACIO","OK")</f>
        <v>VACIO</v>
      </c>
      <c r="U267" s="303" t="str">
        <f>+CONCATENATE(WEEKNUM(Tabla8[[#This Row],[FECHA]]),"-",YEAR(Tabla8[[#This Row],[FECHA]]))</f>
        <v>7-2026</v>
      </c>
    </row>
    <row r="268" spans="1:21" ht="15" customHeight="1">
      <c r="A268" s="22">
        <v>46065</v>
      </c>
      <c r="B268" s="16" t="s">
        <v>191</v>
      </c>
      <c r="C268" s="10" t="s">
        <v>39</v>
      </c>
      <c r="D268" s="381" t="s">
        <v>725</v>
      </c>
      <c r="E268" s="381" t="s">
        <v>726</v>
      </c>
      <c r="F268" s="380">
        <f>+MOD(Tabla8[[#This Row],[HR. FIN]]-Tabla8[[#This Row],[HR. INICIO]],1)</f>
        <v>1.5277777777777779E-2</v>
      </c>
      <c r="G268" s="16" t="s">
        <v>312</v>
      </c>
      <c r="H268" s="343" t="str">
        <f>IFERROR(VLOOKUP(G268,DATOS!$M$2:$N$219,2,FALSE),"")</f>
        <v>Maquinaria</v>
      </c>
      <c r="I268" s="115" t="s">
        <v>57</v>
      </c>
      <c r="J268" s="115" t="str">
        <f>+VLOOKUP($I268,Tabla7[#All],2,FALSE)</f>
        <v>NO PROGRAMADA</v>
      </c>
      <c r="K268" s="114" t="str">
        <f>IF(VLOOKUP(I268,Tabla7[#All],3,FALSE)=0,"",VLOOKUP(I268,Tabla7[#All],3,FALSE))</f>
        <v>MECÁNICA</v>
      </c>
      <c r="L268" s="35" t="s">
        <v>727</v>
      </c>
      <c r="M268" s="35" t="s">
        <v>728</v>
      </c>
      <c r="N268" s="35" t="str" cm="1">
        <f t="array" ref="N268">IFERROR(IF(Tabla8[[#This Row],[P/NP]]="NO PROGRAMADA","",_xlfn.TEXTJOIN(", ",TRUE,_xlfn._xlws.FILTER(Tabla4[[#All],[PIEZA]],ISNUMBER(SEARCH(Tabla4[[#All],[PCLAVE]],Tabla8[[#This Row],[DESCRIPCION DE TRABAJO]])),""))),"")</f>
        <v/>
      </c>
      <c r="O268" s="35" t="str" cm="1">
        <f t="array" ref="O268">_xlfn.TEXTJOIN(", ",TRUE,_xlfn._xlws.FILTER(Tabla28[[#All],[PARTE]],ISNUMBER(SEARCH(Tabla28[[#All],[PCLAVE2]],Tabla8[[#This Row],[DESCRIPCION DE TRABAJO]])),""))</f>
        <v/>
      </c>
      <c r="P268" s="303" t="str">
        <f>IFERROR(LEFT(O268, FIND(",", O268)-1), O268)</f>
        <v/>
      </c>
      <c r="Q268" s="303" t="str">
        <f>IFERROR(IF(ISERROR(FIND(",", O268, FIND(",", O268)+1)), RIGHT(O268, LEN(O268)-FIND(",", O268)-1), MID(O268, FIND(",", O268)+2, FIND(",", O268, FIND(",", O268)+1)-FIND(",", O268)-2)), "")</f>
        <v/>
      </c>
      <c r="R268" s="303" t="str">
        <f>IFERROR(RIGHT(O268, LEN(O268)-FIND(",", O268, FIND(",", O268)+1)-1), "")</f>
        <v/>
      </c>
      <c r="S268" s="35" t="str" cm="1">
        <f t="array" ref="S268">_xlfn.TEXTJOIN(", ",TRUE,_xlfn._xlws.FILTER(Tabla29[[#All],[PARTE]],ISNUMBER(SEARCH(Tabla29[[#All],[PCLAVE3]],Tabla8[[#This Row],[DESCRIPCION DE TRABAJO]])),""))</f>
        <v/>
      </c>
      <c r="T268" s="34" t="str">
        <f>IF(AND(Tabla8[[#This Row],[PIEZA]]="",Tabla8[[#This Row],[PARTE]]=""),"VACIO","OK")</f>
        <v>VACIO</v>
      </c>
      <c r="U268" s="303" t="str">
        <f>+CONCATENATE(WEEKNUM(Tabla8[[#This Row],[FECHA]]),"-",YEAR(Tabla8[[#This Row],[FECHA]]))</f>
        <v>7-2026</v>
      </c>
    </row>
    <row r="269" spans="1:21" ht="15" customHeight="1">
      <c r="A269" s="22">
        <v>46065</v>
      </c>
      <c r="B269" s="16" t="s">
        <v>191</v>
      </c>
      <c r="C269" s="10" t="s">
        <v>39</v>
      </c>
      <c r="D269" s="381" t="s">
        <v>729</v>
      </c>
      <c r="E269" s="381" t="s">
        <v>730</v>
      </c>
      <c r="F269" s="380">
        <f>+MOD(Tabla8[[#This Row],[HR. FIN]]-Tabla8[[#This Row],[HR. INICIO]],1)</f>
        <v>1.4583333333333334E-2</v>
      </c>
      <c r="G269" s="16" t="s">
        <v>270</v>
      </c>
      <c r="H269" s="343" t="str">
        <f>IFERROR(VLOOKUP(G269,DATOS!$M$2:$N$219,2,FALSE),"")</f>
        <v>Maquinaria</v>
      </c>
      <c r="I269" s="115" t="s">
        <v>57</v>
      </c>
      <c r="J269" s="115" t="str">
        <f>+VLOOKUP($I269,Tabla7[#All],2,FALSE)</f>
        <v>NO PROGRAMADA</v>
      </c>
      <c r="K269" s="114" t="str">
        <f>IF(VLOOKUP(I269,Tabla7[#All],3,FALSE)=0,"",VLOOKUP(I269,Tabla7[#All],3,FALSE))</f>
        <v>MECÁNICA</v>
      </c>
      <c r="L269" s="35" t="s">
        <v>731</v>
      </c>
      <c r="M269" s="35" t="s">
        <v>732</v>
      </c>
      <c r="N269" s="35" t="str" cm="1">
        <f t="array" ref="N269">IFERROR(IF(Tabla8[[#This Row],[P/NP]]="NO PROGRAMADA","",_xlfn.TEXTJOIN(", ",TRUE,_xlfn._xlws.FILTER(Tabla4[[#All],[PIEZA]],ISNUMBER(SEARCH(Tabla4[[#All],[PCLAVE]],Tabla8[[#This Row],[DESCRIPCION DE TRABAJO]])),""))),"")</f>
        <v/>
      </c>
      <c r="O269" s="35" t="str" cm="1">
        <f t="array" ref="O269">_xlfn.TEXTJOIN(", ",TRUE,_xlfn._xlws.FILTER(Tabla28[[#All],[PARTE]],ISNUMBER(SEARCH(Tabla28[[#All],[PCLAVE2]],Tabla8[[#This Row],[DESCRIPCION DE TRABAJO]])),""))</f>
        <v>Temperadora</v>
      </c>
      <c r="P269" s="303" t="str">
        <f>IFERROR(LEFT(O269, FIND(",", O269)-1), O269)</f>
        <v>Temperadora</v>
      </c>
      <c r="Q269" s="303" t="str">
        <f>IFERROR(IF(ISERROR(FIND(",", O269, FIND(",", O269)+1)), RIGHT(O269, LEN(O269)-FIND(",", O269)-1), MID(O269, FIND(",", O269)+2, FIND(",", O269, FIND(",", O269)+1)-FIND(",", O269)-2)), "")</f>
        <v/>
      </c>
      <c r="R269" s="303" t="str">
        <f>IFERROR(RIGHT(O269, LEN(O269)-FIND(",", O269, FIND(",", O269)+1)-1), "")</f>
        <v/>
      </c>
      <c r="S269" s="35" t="str" cm="1">
        <f t="array" ref="S269">_xlfn.TEXTJOIN(", ",TRUE,_xlfn._xlws.FILTER(Tabla29[[#All],[PARTE]],ISNUMBER(SEARCH(Tabla29[[#All],[PCLAVE3]],Tabla8[[#This Row],[DESCRIPCION DE TRABAJO]])),""))</f>
        <v>Fuga, Fuga De Chocolate</v>
      </c>
      <c r="T269" s="34" t="str">
        <f>IF(AND(Tabla8[[#This Row],[PIEZA]]="",Tabla8[[#This Row],[PARTE]]=""),"VACIO","OK")</f>
        <v>OK</v>
      </c>
      <c r="U269" s="303" t="str">
        <f>+CONCATENATE(WEEKNUM(Tabla8[[#This Row],[FECHA]]),"-",YEAR(Tabla8[[#This Row],[FECHA]]))</f>
        <v>7-2026</v>
      </c>
    </row>
    <row r="270" spans="1:21" ht="15" customHeight="1">
      <c r="A270" s="22">
        <v>46065</v>
      </c>
      <c r="B270" s="16" t="s">
        <v>191</v>
      </c>
      <c r="C270" s="10" t="s">
        <v>39</v>
      </c>
      <c r="D270" s="381" t="s">
        <v>733</v>
      </c>
      <c r="E270" s="381" t="s">
        <v>734</v>
      </c>
      <c r="F270" s="380">
        <f>+MOD(Tabla8[[#This Row],[HR. FIN]]-Tabla8[[#This Row],[HR. INICIO]],1)</f>
        <v>1.458333333333333E-2</v>
      </c>
      <c r="G270" s="16" t="s">
        <v>192</v>
      </c>
      <c r="H270" s="343" t="str">
        <f>IFERROR(VLOOKUP(G270,DATOS!$M$2:$N$219,2,FALSE),"")</f>
        <v>Maquinaria</v>
      </c>
      <c r="I270" s="115" t="s">
        <v>57</v>
      </c>
      <c r="J270" s="115" t="str">
        <f>+VLOOKUP($I270,Tabla7[#All],2,FALSE)</f>
        <v>NO PROGRAMADA</v>
      </c>
      <c r="K270" s="114" t="str">
        <f>IF(VLOOKUP(I270,Tabla7[#All],3,FALSE)=0,"",VLOOKUP(I270,Tabla7[#All],3,FALSE))</f>
        <v>MECÁNICA</v>
      </c>
      <c r="L270" s="35" t="s">
        <v>735</v>
      </c>
      <c r="M270" s="35" t="s">
        <v>736</v>
      </c>
      <c r="N270" s="35" t="str" cm="1">
        <f t="array" ref="N270">IFERROR(IF(Tabla8[[#This Row],[P/NP]]="NO PROGRAMADA","",_xlfn.TEXTJOIN(", ",TRUE,_xlfn._xlws.FILTER(Tabla4[[#All],[PIEZA]],ISNUMBER(SEARCH(Tabla4[[#All],[PCLAVE]],Tabla8[[#This Row],[DESCRIPCION DE TRABAJO]])),""))),"")</f>
        <v/>
      </c>
      <c r="O270" s="35" t="str" cm="1">
        <f t="array" ref="O270">_xlfn.TEXTJOIN(", ",TRUE,_xlfn._xlws.FILTER(Tabla28[[#All],[PARTE]],ISNUMBER(SEARCH(Tabla28[[#All],[PCLAVE2]],Tabla8[[#This Row],[DESCRIPCION DE TRABAJO]])),""))</f>
        <v>Dosificador</v>
      </c>
      <c r="P270" s="303" t="str">
        <f>IFERROR(LEFT(O270, FIND(",", O270)-1), O270)</f>
        <v>Dosificador</v>
      </c>
      <c r="Q270" s="303" t="str">
        <f>IFERROR(IF(ISERROR(FIND(",", O270, FIND(",", O270)+1)), RIGHT(O270, LEN(O270)-FIND(",", O270)-1), MID(O270, FIND(",", O270)+2, FIND(",", O270, FIND(",", O270)+1)-FIND(",", O270)-2)), "")</f>
        <v/>
      </c>
      <c r="R270" s="303" t="str">
        <f>IFERROR(RIGHT(O270, LEN(O270)-FIND(",", O270, FIND(",", O270)+1)-1), "")</f>
        <v/>
      </c>
      <c r="S270" s="35" t="str" cm="1">
        <f t="array" ref="S270">_xlfn.TEXTJOIN(", ",TRUE,_xlfn._xlws.FILTER(Tabla29[[#All],[PARTE]],ISNUMBER(SEARCH(Tabla29[[#All],[PCLAVE3]],Tabla8[[#This Row],[DESCRIPCION DE TRABAJO]])),""))</f>
        <v>No Dosifica</v>
      </c>
      <c r="T270" s="34" t="str">
        <f>IF(AND(Tabla8[[#This Row],[PIEZA]]="",Tabla8[[#This Row],[PARTE]]=""),"VACIO","OK")</f>
        <v>OK</v>
      </c>
      <c r="U270" s="303" t="str">
        <f>+CONCATENATE(WEEKNUM(Tabla8[[#This Row],[FECHA]]),"-",YEAR(Tabla8[[#This Row],[FECHA]]))</f>
        <v>7-2026</v>
      </c>
    </row>
    <row r="271" spans="1:21" ht="15" customHeight="1">
      <c r="A271" s="22">
        <v>46065</v>
      </c>
      <c r="B271" s="16" t="s">
        <v>179</v>
      </c>
      <c r="C271" s="10" t="s">
        <v>36</v>
      </c>
      <c r="D271" s="381" t="s">
        <v>89</v>
      </c>
      <c r="E271" s="381" t="s">
        <v>631</v>
      </c>
      <c r="F271" s="380">
        <f>+MOD(Tabla8[[#This Row],[HR. FIN]]-Tabla8[[#This Row],[HR. INICIO]],1)</f>
        <v>1.3888888888888895E-2</v>
      </c>
      <c r="G271" s="16" t="s">
        <v>49</v>
      </c>
      <c r="H271" s="343" t="str">
        <f>IFERROR(VLOOKUP(G271,DATOS!$M$2:$N$219,2,FALSE),"")</f>
        <v>Area</v>
      </c>
      <c r="I271" s="115" t="s">
        <v>57</v>
      </c>
      <c r="J271" s="115" t="s">
        <v>157</v>
      </c>
      <c r="K271" s="114"/>
      <c r="L271" s="35" t="s">
        <v>737</v>
      </c>
      <c r="M271" s="35" t="s">
        <v>121</v>
      </c>
      <c r="N271" s="35" t="str" cm="1">
        <f t="array" ref="N271">IFERROR(IF(Tabla8[[#This Row],[P/NP]]="NO PROGRAMADA","",_xlfn.TEXTJOIN(", ",TRUE,_xlfn._xlws.FILTER(Tabla4[[#All],[PIEZA]],ISNUMBER(SEARCH(Tabla4[[#All],[PCLAVE]],Tabla8[[#This Row],[DESCRIPCION DE TRABAJO]])),""))),"")</f>
        <v>Abrazaderas, Brazo, Manguera</v>
      </c>
      <c r="O271" s="35" t="str" cm="1">
        <f t="array" ref="O271">_xlfn.TEXTJOIN(", ",TRUE,_xlfn._xlws.FILTER(Tabla28[[#All],[PARTE]],ISNUMBER(SEARCH(Tabla28[[#All],[PCLAVE2]],Tabla8[[#This Row],[DESCRIPCION DE TRABAJO]])),""))</f>
        <v/>
      </c>
      <c r="P271" s="303" t="str">
        <f>IFERROR(LEFT(O271, FIND(",", O271)-1), O271)</f>
        <v/>
      </c>
      <c r="Q271" s="303" t="str">
        <f>IFERROR(IF(ISERROR(FIND(",", O271, FIND(",", O271)+1)), RIGHT(O271, LEN(O271)-FIND(",", O271)-1), MID(O271, FIND(",", O271)+2, FIND(",", O271, FIND(",", O271)+1)-FIND(",", O271)-2)), "")</f>
        <v/>
      </c>
      <c r="R271" s="303" t="str">
        <f>IFERROR(RIGHT(O271, LEN(O271)-FIND(",", O271, FIND(",", O271)+1)-1), "")</f>
        <v/>
      </c>
      <c r="S271" s="35" t="str" cm="1">
        <f t="array" ref="S271">_xlfn.TEXTJOIN(", ",TRUE,_xlfn._xlws.FILTER(Tabla29[[#All],[PARTE]],ISNUMBER(SEARCH(Tabla29[[#All],[PCLAVE3]],Tabla8[[#This Row],[DESCRIPCION DE TRABAJO]])),""))</f>
        <v/>
      </c>
      <c r="T271" s="34" t="str">
        <f>IF(AND(Tabla8[[#This Row],[PIEZA]]="",Tabla8[[#This Row],[PARTE]]=""),"VACIO","OK")</f>
        <v>OK</v>
      </c>
      <c r="U271" s="303" t="str">
        <f>+CONCATENATE(WEEKNUM(Tabla8[[#This Row],[FECHA]]),"-",YEAR(Tabla8[[#This Row],[FECHA]]))</f>
        <v>7-2026</v>
      </c>
    </row>
    <row r="272" spans="1:21" ht="15" customHeight="1">
      <c r="A272" s="22">
        <v>46065</v>
      </c>
      <c r="B272" s="16" t="s">
        <v>191</v>
      </c>
      <c r="C272" s="10" t="s">
        <v>39</v>
      </c>
      <c r="D272" s="381" t="s">
        <v>738</v>
      </c>
      <c r="E272" s="381" t="s">
        <v>477</v>
      </c>
      <c r="F272" s="380">
        <f>+MOD(Tabla8[[#This Row],[HR. FIN]]-Tabla8[[#This Row],[HR. INICIO]],1)</f>
        <v>1.1805555555555514E-2</v>
      </c>
      <c r="G272" s="16" t="s">
        <v>215</v>
      </c>
      <c r="H272" s="343" t="str">
        <f>IFERROR(VLOOKUP(G272,DATOS!$M$2:$N$219,2,FALSE),"")</f>
        <v>Equipos auxiliares</v>
      </c>
      <c r="I272" s="115" t="s">
        <v>54</v>
      </c>
      <c r="J272" s="115" t="str">
        <f>+VLOOKUP($I272,Tabla7[#All],2,FALSE)</f>
        <v>PROGRAMADA</v>
      </c>
      <c r="K272" s="114" t="str">
        <f>IF(VLOOKUP(I272,Tabla7[#All],3,FALSE)=0,"",VLOOKUP(I272,Tabla7[#All],3,FALSE))</f>
        <v/>
      </c>
      <c r="L272" s="35" t="s">
        <v>248</v>
      </c>
      <c r="M272" s="35" t="s">
        <v>121</v>
      </c>
      <c r="N272" s="35" t="str" cm="1">
        <f t="array" ref="N272">IFERROR(IF(Tabla8[[#This Row],[P/NP]]="NO PROGRAMADA","",_xlfn.TEXTJOIN(", ",TRUE,_xlfn._xlws.FILTER(Tabla4[[#All],[PIEZA]],ISNUMBER(SEARCH(Tabla4[[#All],[PCLAVE]],Tabla8[[#This Row],[DESCRIPCION DE TRABAJO]])),""))),"")</f>
        <v/>
      </c>
      <c r="O272" s="35" t="str" cm="1">
        <f t="array" ref="O272">_xlfn.TEXTJOIN(", ",TRUE,_xlfn._xlws.FILTER(Tabla28[[#All],[PARTE]],ISNUMBER(SEARCH(Tabla28[[#All],[PCLAVE2]],Tabla8[[#This Row],[DESCRIPCION DE TRABAJO]])),""))</f>
        <v/>
      </c>
      <c r="P272" s="303" t="str">
        <f>IFERROR(LEFT(O272, FIND(",", O272)-1), O272)</f>
        <v/>
      </c>
      <c r="Q272" s="303" t="str">
        <f>IFERROR(IF(ISERROR(FIND(",", O272, FIND(",", O272)+1)), RIGHT(O272, LEN(O272)-FIND(",", O272)-1), MID(O272, FIND(",", O272)+2, FIND(",", O272, FIND(",", O272)+1)-FIND(",", O272)-2)), "")</f>
        <v/>
      </c>
      <c r="R272" s="303" t="str">
        <f>IFERROR(RIGHT(O272, LEN(O272)-FIND(",", O272, FIND(",", O272)+1)-1), "")</f>
        <v/>
      </c>
      <c r="S272" s="35" t="str" cm="1">
        <f t="array" ref="S272">_xlfn.TEXTJOIN(", ",TRUE,_xlfn._xlws.FILTER(Tabla29[[#All],[PARTE]],ISNUMBER(SEARCH(Tabla29[[#All],[PCLAVE3]],Tabla8[[#This Row],[DESCRIPCION DE TRABAJO]])),""))</f>
        <v/>
      </c>
      <c r="T272" s="34" t="str">
        <f>IF(AND(Tabla8[[#This Row],[PIEZA]]="",Tabla8[[#This Row],[PARTE]]=""),"VACIO","OK")</f>
        <v>VACIO</v>
      </c>
      <c r="U272" s="303" t="str">
        <f>+CONCATENATE(WEEKNUM(Tabla8[[#This Row],[FECHA]]),"-",YEAR(Tabla8[[#This Row],[FECHA]]))</f>
        <v>7-2026</v>
      </c>
    </row>
    <row r="273" spans="1:21" ht="15" customHeight="1">
      <c r="A273" s="22">
        <v>46065</v>
      </c>
      <c r="B273" s="16" t="s">
        <v>191</v>
      </c>
      <c r="C273" s="10" t="s">
        <v>39</v>
      </c>
      <c r="D273" s="381" t="s">
        <v>474</v>
      </c>
      <c r="E273" s="381" t="s">
        <v>739</v>
      </c>
      <c r="F273" s="380">
        <f>+MOD(Tabla8[[#This Row],[HR. FIN]]-Tabla8[[#This Row],[HR. INICIO]],1)</f>
        <v>1.1111111111111183E-2</v>
      </c>
      <c r="G273" s="16" t="s">
        <v>153</v>
      </c>
      <c r="H273" s="343" t="str">
        <f>IFERROR(VLOOKUP(G273,DATOS!$M$2:$N$219,2,FALSE),"")</f>
        <v>Maquinaria</v>
      </c>
      <c r="I273" s="115" t="s">
        <v>28</v>
      </c>
      <c r="J273" s="115" t="str">
        <f>+VLOOKUP($I273,Tabla7[#All],2,FALSE)</f>
        <v>NO PROGRAMADA</v>
      </c>
      <c r="K273" s="114" t="s">
        <v>93</v>
      </c>
      <c r="L273" s="35" t="s">
        <v>740</v>
      </c>
      <c r="M273" s="35" t="s">
        <v>741</v>
      </c>
      <c r="N273" s="35" t="str" cm="1">
        <f t="array" ref="N273">IFERROR(IF(Tabla8[[#This Row],[P/NP]]="NO PROGRAMADA","",_xlfn.TEXTJOIN(", ",TRUE,_xlfn._xlws.FILTER(Tabla4[[#All],[PIEZA]],ISNUMBER(SEARCH(Tabla4[[#All],[PCLAVE]],Tabla8[[#This Row],[DESCRIPCION DE TRABAJO]])),""))),"")</f>
        <v/>
      </c>
      <c r="O273" s="35" t="str" cm="1">
        <f t="array" ref="O273">_xlfn.TEXTJOIN(", ",TRUE,_xlfn._xlws.FILTER(Tabla28[[#All],[PARTE]],ISNUMBER(SEARCH(Tabla28[[#All],[PCLAVE2]],Tabla8[[#This Row],[DESCRIPCION DE TRABAJO]])),""))</f>
        <v/>
      </c>
      <c r="P273" s="303" t="str">
        <f>IFERROR(LEFT(O273, FIND(",", O273)-1), O273)</f>
        <v/>
      </c>
      <c r="Q273" s="303" t="str">
        <f>IFERROR(IF(ISERROR(FIND(",", O273, FIND(",", O273)+1)), RIGHT(O273, LEN(O273)-FIND(",", O273)-1), MID(O273, FIND(",", O273)+2, FIND(",", O273, FIND(",", O273)+1)-FIND(",", O273)-2)), "")</f>
        <v/>
      </c>
      <c r="R273" s="303" t="str">
        <f>IFERROR(RIGHT(O273, LEN(O273)-FIND(",", O273, FIND(",", O273)+1)-1), "")</f>
        <v/>
      </c>
      <c r="S273" s="35" t="str" cm="1">
        <f t="array" ref="S273">_xlfn.TEXTJOIN(", ",TRUE,_xlfn._xlws.FILTER(Tabla29[[#All],[PARTE]],ISNUMBER(SEARCH(Tabla29[[#All],[PCLAVE3]],Tabla8[[#This Row],[DESCRIPCION DE TRABAJO]])),""))</f>
        <v>Desgaste</v>
      </c>
      <c r="T273" s="34" t="str">
        <f>IF(AND(Tabla8[[#This Row],[PIEZA]]="",Tabla8[[#This Row],[PARTE]]=""),"VACIO","OK")</f>
        <v>VACIO</v>
      </c>
      <c r="U273" s="303" t="str">
        <f>+CONCATENATE(WEEKNUM(Tabla8[[#This Row],[FECHA]]),"-",YEAR(Tabla8[[#This Row],[FECHA]]))</f>
        <v>7-2026</v>
      </c>
    </row>
    <row r="274" spans="1:21" ht="15" customHeight="1">
      <c r="A274" s="22">
        <v>46065</v>
      </c>
      <c r="B274" s="16" t="s">
        <v>191</v>
      </c>
      <c r="C274" s="10" t="s">
        <v>39</v>
      </c>
      <c r="D274" s="381" t="s">
        <v>742</v>
      </c>
      <c r="E274" s="381" t="s">
        <v>743</v>
      </c>
      <c r="F274" s="380">
        <f>+MOD(Tabla8[[#This Row],[HR. FIN]]-Tabla8[[#This Row],[HR. INICIO]],1)</f>
        <v>1.0416666666666671E-2</v>
      </c>
      <c r="G274" s="16" t="s">
        <v>31</v>
      </c>
      <c r="H274" s="343" t="str">
        <f>IFERROR(VLOOKUP(G274,DATOS!$M$2:$N$219,2,FALSE),"")</f>
        <v>Maquinaria</v>
      </c>
      <c r="I274" s="115" t="s">
        <v>57</v>
      </c>
      <c r="J274" s="115" t="str">
        <f>+VLOOKUP($I274,Tabla7[#All],2,FALSE)</f>
        <v>NO PROGRAMADA</v>
      </c>
      <c r="K274" s="114" t="str">
        <f>IF(VLOOKUP(I274,Tabla7[#All],3,FALSE)=0,"",VLOOKUP(I274,Tabla7[#All],3,FALSE))</f>
        <v>MECÁNICA</v>
      </c>
      <c r="L274" s="35" t="s">
        <v>744</v>
      </c>
      <c r="M274" s="35" t="s">
        <v>745</v>
      </c>
      <c r="N274" s="35" t="str" cm="1">
        <f t="array" ref="N274">IFERROR(IF(Tabla8[[#This Row],[P/NP]]="NO PROGRAMADA","",_xlfn.TEXTJOIN(", ",TRUE,_xlfn._xlws.FILTER(Tabla4[[#All],[PIEZA]],ISNUMBER(SEARCH(Tabla4[[#All],[PCLAVE]],Tabla8[[#This Row],[DESCRIPCION DE TRABAJO]])),""))),"")</f>
        <v/>
      </c>
      <c r="O274" s="35" t="str" cm="1">
        <f t="array" ref="O274">_xlfn.TEXTJOIN(", ",TRUE,_xlfn._xlws.FILTER(Tabla28[[#All],[PARTE]],ISNUMBER(SEARCH(Tabla28[[#All],[PCLAVE2]],Tabla8[[#This Row],[DESCRIPCION DE TRABAJO]])),""))</f>
        <v/>
      </c>
      <c r="P274" s="303" t="str">
        <f>IFERROR(LEFT(O274, FIND(",", O274)-1), O274)</f>
        <v/>
      </c>
      <c r="Q274" s="303" t="str">
        <f>IFERROR(IF(ISERROR(FIND(",", O274, FIND(",", O274)+1)), RIGHT(O274, LEN(O274)-FIND(",", O274)-1), MID(O274, FIND(",", O274)+2, FIND(",", O274, FIND(",", O274)+1)-FIND(",", O274)-2)), "")</f>
        <v/>
      </c>
      <c r="R274" s="303" t="str">
        <f>IFERROR(RIGHT(O274, LEN(O274)-FIND(",", O274, FIND(",", O274)+1)-1), "")</f>
        <v/>
      </c>
      <c r="S274" s="35" t="str" cm="1">
        <f t="array" ref="S274">_xlfn.TEXTJOIN(", ",TRUE,_xlfn._xlws.FILTER(Tabla29[[#All],[PARTE]],ISNUMBER(SEARCH(Tabla29[[#All],[PCLAVE3]],Tabla8[[#This Row],[DESCRIPCION DE TRABAJO]])),""))</f>
        <v>Ruido</v>
      </c>
      <c r="T274" s="34" t="str">
        <f>IF(AND(Tabla8[[#This Row],[PIEZA]]="",Tabla8[[#This Row],[PARTE]]=""),"VACIO","OK")</f>
        <v>VACIO</v>
      </c>
      <c r="U274" s="303" t="str">
        <f>+CONCATENATE(WEEKNUM(Tabla8[[#This Row],[FECHA]]),"-",YEAR(Tabla8[[#This Row],[FECHA]]))</f>
        <v>7-2026</v>
      </c>
    </row>
    <row r="275" spans="1:21" ht="15" customHeight="1">
      <c r="A275" s="22">
        <v>46065</v>
      </c>
      <c r="B275" s="16" t="s">
        <v>191</v>
      </c>
      <c r="C275" s="10" t="s">
        <v>39</v>
      </c>
      <c r="D275" s="381" t="s">
        <v>746</v>
      </c>
      <c r="E275" s="381" t="s">
        <v>747</v>
      </c>
      <c r="F275" s="380">
        <f>+MOD(Tabla8[[#This Row],[HR. FIN]]-Tabla8[[#This Row],[HR. INICIO]],1)</f>
        <v>6.2500000000000888E-3</v>
      </c>
      <c r="G275" s="16" t="s">
        <v>748</v>
      </c>
      <c r="H275" s="343" t="str">
        <f>IFERROR(VLOOKUP(G275,DATOS!$M$2:$N$219,2,FALSE),"")</f>
        <v>Area</v>
      </c>
      <c r="I275" s="115" t="s">
        <v>25</v>
      </c>
      <c r="J275" s="115" t="str">
        <f>+VLOOKUP($I275,Tabla7[#All],2,FALSE)</f>
        <v>PROGRAMADA</v>
      </c>
      <c r="K275" s="114" t="str">
        <f>IF(VLOOKUP(I275,Tabla7[#All],3,FALSE)=0,"",VLOOKUP(I275,Tabla7[#All],3,FALSE))</f>
        <v/>
      </c>
      <c r="L275" s="35" t="s">
        <v>749</v>
      </c>
      <c r="M275" s="35" t="s">
        <v>121</v>
      </c>
      <c r="N275" s="35" t="str" cm="1">
        <f t="array" ref="N275">IFERROR(IF(Tabla8[[#This Row],[P/NP]]="NO PROGRAMADA","",_xlfn.TEXTJOIN(", ",TRUE,_xlfn._xlws.FILTER(Tabla4[[#All],[PIEZA]],ISNUMBER(SEARCH(Tabla4[[#All],[PCLAVE]],Tabla8[[#This Row],[DESCRIPCION DE TRABAJO]])),""))),"")</f>
        <v/>
      </c>
      <c r="O275" s="35" t="str" cm="1">
        <f t="array" ref="O275">_xlfn.TEXTJOIN(", ",TRUE,_xlfn._xlws.FILTER(Tabla28[[#All],[PARTE]],ISNUMBER(SEARCH(Tabla28[[#All],[PCLAVE2]],Tabla8[[#This Row],[DESCRIPCION DE TRABAJO]])),""))</f>
        <v/>
      </c>
      <c r="P275" s="303" t="str">
        <f>IFERROR(LEFT(O275, FIND(",", O275)-1), O275)</f>
        <v/>
      </c>
      <c r="Q275" s="303" t="str">
        <f>IFERROR(IF(ISERROR(FIND(",", O275, FIND(",", O275)+1)), RIGHT(O275, LEN(O275)-FIND(",", O275)-1), MID(O275, FIND(",", O275)+2, FIND(",", O275, FIND(",", O275)+1)-FIND(",", O275)-2)), "")</f>
        <v/>
      </c>
      <c r="R275" s="303" t="str">
        <f>IFERROR(RIGHT(O275, LEN(O275)-FIND(",", O275, FIND(",", O275)+1)-1), "")</f>
        <v/>
      </c>
      <c r="S275" s="35" t="str" cm="1">
        <f t="array" ref="S275">_xlfn.TEXTJOIN(", ",TRUE,_xlfn._xlws.FILTER(Tabla29[[#All],[PARTE]],ISNUMBER(SEARCH(Tabla29[[#All],[PCLAVE3]],Tabla8[[#This Row],[DESCRIPCION DE TRABAJO]])),""))</f>
        <v>Rotura</v>
      </c>
      <c r="T275" s="34" t="str">
        <f>IF(AND(Tabla8[[#This Row],[PIEZA]]="",Tabla8[[#This Row],[PARTE]]=""),"VACIO","OK")</f>
        <v>VACIO</v>
      </c>
      <c r="U275" s="303" t="str">
        <f>+CONCATENATE(WEEKNUM(Tabla8[[#This Row],[FECHA]]),"-",YEAR(Tabla8[[#This Row],[FECHA]]))</f>
        <v>7-2026</v>
      </c>
    </row>
    <row r="276" spans="1:21" ht="15" customHeight="1">
      <c r="A276" s="22">
        <v>46069</v>
      </c>
      <c r="B276" s="16" t="s">
        <v>179</v>
      </c>
      <c r="C276" s="10" t="s">
        <v>36</v>
      </c>
      <c r="D276" s="381">
        <v>0.40277777777777779</v>
      </c>
      <c r="E276" s="381">
        <v>0.44444444444444442</v>
      </c>
      <c r="F276" s="380">
        <f>+MOD(Tabla8[[#This Row],[HR. FIN]]-Tabla8[[#This Row],[HR. INICIO]],1)</f>
        <v>4.166666666666663E-2</v>
      </c>
      <c r="G276" s="16" t="s">
        <v>98</v>
      </c>
      <c r="H276" s="343" t="str">
        <f>IFERROR(VLOOKUP(G276,DATOS!$M$2:$N$219,2,FALSE),"")</f>
        <v>Maquinaria</v>
      </c>
      <c r="I276" s="115" t="s">
        <v>32</v>
      </c>
      <c r="J276" s="115" t="str">
        <f>+VLOOKUP($I276,Tabla7[#All],2,FALSE)</f>
        <v>PROGRAMADA</v>
      </c>
      <c r="K276" s="114" t="str">
        <f>IF(VLOOKUP(I276,Tabla7[#All],3,FALSE)=0,"",VLOOKUP(I276,Tabla7[#All],3,FALSE))</f>
        <v/>
      </c>
      <c r="L276" s="35" t="s">
        <v>750</v>
      </c>
      <c r="M276" s="35" t="s">
        <v>121</v>
      </c>
      <c r="N276" s="35" t="str" cm="1">
        <f t="array" ref="N276">IFERROR(IF(Tabla8[[#This Row],[P/NP]]="NO PROGRAMADA","",_xlfn.TEXTJOIN(", ",TRUE,_xlfn._xlws.FILTER(Tabla4[[#All],[PIEZA]],ISNUMBER(SEARCH(Tabla4[[#All],[PCLAVE]],Tabla8[[#This Row],[DESCRIPCION DE TRABAJO]])),""))),"")</f>
        <v/>
      </c>
      <c r="O276" s="35" t="str" cm="1">
        <f t="array" ref="O276">_xlfn.TEXTJOIN(", ",TRUE,_xlfn._xlws.FILTER(Tabla28[[#All],[PARTE]],ISNUMBER(SEARCH(Tabla28[[#All],[PCLAVE2]],Tabla8[[#This Row],[DESCRIPCION DE TRABAJO]])),""))</f>
        <v/>
      </c>
      <c r="P276" s="303" t="str">
        <f>IFERROR(LEFT(O276, FIND(",", O276)-1), O276)</f>
        <v/>
      </c>
      <c r="Q276" s="303" t="str">
        <f>IFERROR(IF(ISERROR(FIND(",", O276, FIND(",", O276)+1)), RIGHT(O276, LEN(O276)-FIND(",", O276)-1), MID(O276, FIND(",", O276)+2, FIND(",", O276, FIND(",", O276)+1)-FIND(",", O276)-2)), "")</f>
        <v/>
      </c>
      <c r="R276" s="303" t="str">
        <f>IFERROR(RIGHT(O276, LEN(O276)-FIND(",", O276, FIND(",", O276)+1)-1), "")</f>
        <v/>
      </c>
      <c r="S276" s="35" t="str" cm="1">
        <f t="array" ref="S276">_xlfn.TEXTJOIN(", ",TRUE,_xlfn._xlws.FILTER(Tabla29[[#All],[PARTE]],ISNUMBER(SEARCH(Tabla29[[#All],[PCLAVE3]],Tabla8[[#This Row],[DESCRIPCION DE TRABAJO]])),""))</f>
        <v/>
      </c>
      <c r="T276" s="34" t="str">
        <f>IF(AND(Tabla8[[#This Row],[PIEZA]]="",Tabla8[[#This Row],[PARTE]]=""),"VACIO","OK")</f>
        <v>VACIO</v>
      </c>
      <c r="U276" s="303" t="str">
        <f>+CONCATENATE(WEEKNUM(Tabla8[[#This Row],[FECHA]]),"-",YEAR(Tabla8[[#This Row],[FECHA]]))</f>
        <v>8-2026</v>
      </c>
    </row>
    <row r="277" spans="1:21" ht="15" customHeight="1">
      <c r="A277" s="22">
        <v>46069</v>
      </c>
      <c r="B277" s="16" t="s">
        <v>179</v>
      </c>
      <c r="C277" s="10" t="s">
        <v>36</v>
      </c>
      <c r="D277" s="381">
        <v>0.48958333333333331</v>
      </c>
      <c r="E277" s="381">
        <v>0.52777777777777779</v>
      </c>
      <c r="F277" s="380">
        <f>+MOD(Tabla8[[#This Row],[HR. FIN]]-Tabla8[[#This Row],[HR. INICIO]],1)</f>
        <v>3.8194444444444475E-2</v>
      </c>
      <c r="G277" s="16" t="s">
        <v>365</v>
      </c>
      <c r="H277" s="343" t="str">
        <f>IFERROR(VLOOKUP(G277,DATOS!$M$2:$N$219,2,FALSE),"")</f>
        <v>Area</v>
      </c>
      <c r="I277" s="115" t="s">
        <v>28</v>
      </c>
      <c r="J277" s="115" t="str">
        <f>+VLOOKUP($I277,Tabla7[#All],2,FALSE)</f>
        <v>NO PROGRAMADA</v>
      </c>
      <c r="K277" s="114" t="s">
        <v>93</v>
      </c>
      <c r="L277" s="35" t="s">
        <v>751</v>
      </c>
      <c r="M277" s="35" t="s">
        <v>752</v>
      </c>
      <c r="N277" s="35" t="str" cm="1">
        <f t="array" ref="N277">IFERROR(IF(Tabla8[[#This Row],[P/NP]]="NO PROGRAMADA","",_xlfn.TEXTJOIN(", ",TRUE,_xlfn._xlws.FILTER(Tabla4[[#All],[PIEZA]],ISNUMBER(SEARCH(Tabla4[[#All],[PCLAVE]],Tabla8[[#This Row],[DESCRIPCION DE TRABAJO]])),""))),"")</f>
        <v/>
      </c>
      <c r="O277" s="35" t="str" cm="1">
        <f t="array" ref="O277">_xlfn.TEXTJOIN(", ",TRUE,_xlfn._xlws.FILTER(Tabla28[[#All],[PARTE]],ISNUMBER(SEARCH(Tabla28[[#All],[PCLAVE2]],Tabla8[[#This Row],[DESCRIPCION DE TRABAJO]])),""))</f>
        <v>Mds</v>
      </c>
      <c r="P277" s="303" t="str">
        <f>IFERROR(LEFT(O277, FIND(",", O277)-1), O277)</f>
        <v>Mds</v>
      </c>
      <c r="Q277" s="303" t="str">
        <f>IFERROR(IF(ISERROR(FIND(",", O277, FIND(",", O277)+1)), RIGHT(O277, LEN(O277)-FIND(",", O277)-1), MID(O277, FIND(",", O277)+2, FIND(",", O277, FIND(",", O277)+1)-FIND(",", O277)-2)), "")</f>
        <v/>
      </c>
      <c r="R277" s="303" t="str">
        <f>IFERROR(RIGHT(O277, LEN(O277)-FIND(",", O277, FIND(",", O277)+1)-1), "")</f>
        <v/>
      </c>
      <c r="S277" s="35" t="str" cm="1">
        <f t="array" ref="S277">_xlfn.TEXTJOIN(", ",TRUE,_xlfn._xlws.FILTER(Tabla29[[#All],[PARTE]],ISNUMBER(SEARCH(Tabla29[[#All],[PCLAVE3]],Tabla8[[#This Row],[DESCRIPCION DE TRABAJO]])),""))</f>
        <v>Cambio De Formato</v>
      </c>
      <c r="T277" s="34" t="str">
        <f>IF(AND(Tabla8[[#This Row],[PIEZA]]="",Tabla8[[#This Row],[PARTE]]=""),"VACIO","OK")</f>
        <v>OK</v>
      </c>
      <c r="U277" s="303" t="str">
        <f>+CONCATENATE(WEEKNUM(Tabla8[[#This Row],[FECHA]]),"-",YEAR(Tabla8[[#This Row],[FECHA]]))</f>
        <v>8-2026</v>
      </c>
    </row>
    <row r="278" spans="1:21" ht="15" customHeight="1">
      <c r="A278" s="22">
        <v>46069</v>
      </c>
      <c r="B278" s="16" t="s">
        <v>179</v>
      </c>
      <c r="C278" s="10" t="s">
        <v>36</v>
      </c>
      <c r="D278" s="381">
        <v>0.3611111111111111</v>
      </c>
      <c r="E278" s="381">
        <v>0.39583333333333331</v>
      </c>
      <c r="F278" s="380">
        <f>+MOD(Tabla8[[#This Row],[HR. FIN]]-Tabla8[[#This Row],[HR. INICIO]],1)</f>
        <v>3.472222222222221E-2</v>
      </c>
      <c r="G278" s="16" t="s">
        <v>24</v>
      </c>
      <c r="H278" s="343" t="str">
        <f>IFERROR(VLOOKUP(G278,DATOS!$M$2:$N$219,2,FALSE),"")</f>
        <v>Maquinaria</v>
      </c>
      <c r="I278" s="115" t="s">
        <v>32</v>
      </c>
      <c r="J278" s="115" t="str">
        <f>+VLOOKUP($I278,Tabla7[#All],2,FALSE)</f>
        <v>PROGRAMADA</v>
      </c>
      <c r="K278" s="114" t="str">
        <f>IF(VLOOKUP(I278,Tabla7[#All],3,FALSE)=0,"",VLOOKUP(I278,Tabla7[#All],3,FALSE))</f>
        <v/>
      </c>
      <c r="L278" s="35" t="s">
        <v>753</v>
      </c>
      <c r="M278" s="35" t="s">
        <v>121</v>
      </c>
      <c r="N278" s="35" t="str" cm="1">
        <f t="array" ref="N278">IFERROR(IF(Tabla8[[#This Row],[P/NP]]="NO PROGRAMADA","",_xlfn.TEXTJOIN(", ",TRUE,_xlfn._xlws.FILTER(Tabla4[[#All],[PIEZA]],ISNUMBER(SEARCH(Tabla4[[#All],[PCLAVE]],Tabla8[[#This Row],[DESCRIPCION DE TRABAJO]])),""))),"")</f>
        <v/>
      </c>
      <c r="O278" s="35" t="str" cm="1">
        <f t="array" ref="O278">_xlfn.TEXTJOIN(", ",TRUE,_xlfn._xlws.FILTER(Tabla28[[#All],[PARTE]],ISNUMBER(SEARCH(Tabla28[[#All],[PCLAVE2]],Tabla8[[#This Row],[DESCRIPCION DE TRABAJO]])),""))</f>
        <v/>
      </c>
      <c r="P278" s="303" t="str">
        <f>IFERROR(LEFT(O278, FIND(",", O278)-1), O278)</f>
        <v/>
      </c>
      <c r="Q278" s="303" t="str">
        <f>IFERROR(IF(ISERROR(FIND(",", O278, FIND(",", O278)+1)), RIGHT(O278, LEN(O278)-FIND(",", O278)-1), MID(O278, FIND(",", O278)+2, FIND(",", O278, FIND(",", O278)+1)-FIND(",", O278)-2)), "")</f>
        <v/>
      </c>
      <c r="R278" s="303" t="str">
        <f>IFERROR(RIGHT(O278, LEN(O278)-FIND(",", O278, FIND(",", O278)+1)-1), "")</f>
        <v/>
      </c>
      <c r="S278" s="35" t="str" cm="1">
        <f t="array" ref="S278">_xlfn.TEXTJOIN(", ",TRUE,_xlfn._xlws.FILTER(Tabla29[[#All],[PARTE]],ISNUMBER(SEARCH(Tabla29[[#All],[PCLAVE3]],Tabla8[[#This Row],[DESCRIPCION DE TRABAJO]])),""))</f>
        <v/>
      </c>
      <c r="T278" s="34" t="str">
        <f>IF(AND(Tabla8[[#This Row],[PIEZA]]="",Tabla8[[#This Row],[PARTE]]=""),"VACIO","OK")</f>
        <v>VACIO</v>
      </c>
      <c r="U278" s="303" t="str">
        <f>+CONCATENATE(WEEKNUM(Tabla8[[#This Row],[FECHA]]),"-",YEAR(Tabla8[[#This Row],[FECHA]]))</f>
        <v>8-2026</v>
      </c>
    </row>
    <row r="279" spans="1:21" ht="15" customHeight="1">
      <c r="A279" s="22">
        <v>46069</v>
      </c>
      <c r="B279" s="16" t="s">
        <v>111</v>
      </c>
      <c r="C279" s="10" t="s">
        <v>39</v>
      </c>
      <c r="D279" s="381">
        <v>0.39583333333333331</v>
      </c>
      <c r="E279" s="381">
        <v>0.41666666666666669</v>
      </c>
      <c r="F279" s="380">
        <f>+MOD(Tabla8[[#This Row],[HR. FIN]]-Tabla8[[#This Row],[HR. INICIO]],1)</f>
        <v>2.083333333333337E-2</v>
      </c>
      <c r="G279" s="16" t="s">
        <v>192</v>
      </c>
      <c r="H279" s="343" t="str">
        <f>IFERROR(VLOOKUP(G279,DATOS!$M$2:$N$219,2,FALSE),"")</f>
        <v>Maquinaria</v>
      </c>
      <c r="I279" s="115" t="s">
        <v>32</v>
      </c>
      <c r="J279" s="115" t="str">
        <f>+VLOOKUP($I279,Tabla7[#All],2,FALSE)</f>
        <v>PROGRAMADA</v>
      </c>
      <c r="K279" s="114" t="str">
        <f>IF(VLOOKUP(I279,Tabla7[#All],3,FALSE)=0,"",VLOOKUP(I279,Tabla7[#All],3,FALSE))</f>
        <v/>
      </c>
      <c r="L279" s="35" t="s">
        <v>754</v>
      </c>
      <c r="M279" s="35" t="s">
        <v>121</v>
      </c>
      <c r="N279" s="35" t="str" cm="1">
        <f t="array" ref="N279">IFERROR(IF(Tabla8[[#This Row],[P/NP]]="NO PROGRAMADA","",_xlfn.TEXTJOIN(", ",TRUE,_xlfn._xlws.FILTER(Tabla4[[#All],[PIEZA]],ISNUMBER(SEARCH(Tabla4[[#All],[PCLAVE]],Tabla8[[#This Row],[DESCRIPCION DE TRABAJO]])),""))),"")</f>
        <v/>
      </c>
      <c r="O279" s="35" t="str" cm="1">
        <f t="array" ref="O279">_xlfn.TEXTJOIN(", ",TRUE,_xlfn._xlws.FILTER(Tabla28[[#All],[PARTE]],ISNUMBER(SEARCH(Tabla28[[#All],[PCLAVE2]],Tabla8[[#This Row],[DESCRIPCION DE TRABAJO]])),""))</f>
        <v/>
      </c>
      <c r="P279" s="303" t="str">
        <f>IFERROR(LEFT(O279, FIND(",", O279)-1), O279)</f>
        <v/>
      </c>
      <c r="Q279" s="303" t="str">
        <f>IFERROR(IF(ISERROR(FIND(",", O279, FIND(",", O279)+1)), RIGHT(O279, LEN(O279)-FIND(",", O279)-1), MID(O279, FIND(",", O279)+2, FIND(",", O279, FIND(",", O279)+1)-FIND(",", O279)-2)), "")</f>
        <v/>
      </c>
      <c r="R279" s="303" t="str">
        <f>IFERROR(RIGHT(O279, LEN(O279)-FIND(",", O279, FIND(",", O279)+1)-1), "")</f>
        <v/>
      </c>
      <c r="S279" s="35" t="str" cm="1">
        <f t="array" ref="S279">_xlfn.TEXTJOIN(", ",TRUE,_xlfn._xlws.FILTER(Tabla29[[#All],[PARTE]],ISNUMBER(SEARCH(Tabla29[[#All],[PCLAVE3]],Tabla8[[#This Row],[DESCRIPCION DE TRABAJO]])),""))</f>
        <v>Cambio De Formato</v>
      </c>
      <c r="T279" s="34" t="str">
        <f>IF(AND(Tabla8[[#This Row],[PIEZA]]="",Tabla8[[#This Row],[PARTE]]=""),"VACIO","OK")</f>
        <v>VACIO</v>
      </c>
      <c r="U279" s="303" t="str">
        <f>+CONCATENATE(WEEKNUM(Tabla8[[#This Row],[FECHA]]),"-",YEAR(Tabla8[[#This Row],[FECHA]]))</f>
        <v>8-2026</v>
      </c>
    </row>
    <row r="280" spans="1:21" ht="15" customHeight="1">
      <c r="A280" s="22">
        <v>46069</v>
      </c>
      <c r="B280" s="16" t="s">
        <v>179</v>
      </c>
      <c r="C280" s="10" t="s">
        <v>36</v>
      </c>
      <c r="D280" s="381">
        <v>0.22916666666666666</v>
      </c>
      <c r="E280" s="381">
        <v>0.25</v>
      </c>
      <c r="F280" s="380">
        <f>+MOD(Tabla8[[#This Row],[HR. FIN]]-Tabla8[[#This Row],[HR. INICIO]],1)</f>
        <v>2.0833333333333343E-2</v>
      </c>
      <c r="G280" s="16" t="s">
        <v>103</v>
      </c>
      <c r="H280" s="343" t="str">
        <f>IFERROR(VLOOKUP(G280,DATOS!$M$2:$N$219,2,FALSE),"")</f>
        <v>Area</v>
      </c>
      <c r="I280" s="115" t="s">
        <v>43</v>
      </c>
      <c r="J280" s="115" t="str">
        <f>+VLOOKUP($I280,Tabla7[#All],2,FALSE)</f>
        <v>PROGRAMADA</v>
      </c>
      <c r="K280" s="114" t="str">
        <f>IF(VLOOKUP(I280,Tabla7[#All],3,FALSE)=0,"",VLOOKUP(I280,Tabla7[#All],3,FALSE))</f>
        <v/>
      </c>
      <c r="L280" s="35" t="s">
        <v>755</v>
      </c>
      <c r="M280" s="35" t="s">
        <v>121</v>
      </c>
      <c r="N280" s="35" t="str" cm="1">
        <f t="array" ref="N280">IFERROR(IF(Tabla8[[#This Row],[P/NP]]="NO PROGRAMADA","",_xlfn.TEXTJOIN(", ",TRUE,_xlfn._xlws.FILTER(Tabla4[[#All],[PIEZA]],ISNUMBER(SEARCH(Tabla4[[#All],[PCLAVE]],Tabla8[[#This Row],[DESCRIPCION DE TRABAJO]])),""))),"")</f>
        <v/>
      </c>
      <c r="O280" s="35" t="str" cm="1">
        <f t="array" ref="O280">_xlfn.TEXTJOIN(", ",TRUE,_xlfn._xlws.FILTER(Tabla28[[#All],[PARTE]],ISNUMBER(SEARCH(Tabla28[[#All],[PCLAVE2]],Tabla8[[#This Row],[DESCRIPCION DE TRABAJO]])),""))</f>
        <v/>
      </c>
      <c r="P280" s="303" t="str">
        <f>IFERROR(LEFT(O280, FIND(",", O280)-1), O280)</f>
        <v/>
      </c>
      <c r="Q280" s="303" t="str">
        <f>IFERROR(IF(ISERROR(FIND(",", O280, FIND(",", O280)+1)), RIGHT(O280, LEN(O280)-FIND(",", O280)-1), MID(O280, FIND(",", O280)+2, FIND(",", O280, FIND(",", O280)+1)-FIND(",", O280)-2)), "")</f>
        <v/>
      </c>
      <c r="R280" s="303" t="str">
        <f>IFERROR(RIGHT(O280, LEN(O280)-FIND(",", O280, FIND(",", O280)+1)-1), "")</f>
        <v/>
      </c>
      <c r="S280" s="35" t="str" cm="1">
        <f t="array" ref="S280">_xlfn.TEXTJOIN(", ",TRUE,_xlfn._xlws.FILTER(Tabla29[[#All],[PARTE]],ISNUMBER(SEARCH(Tabla29[[#All],[PCLAVE3]],Tabla8[[#This Row],[DESCRIPCION DE TRABAJO]])),""))</f>
        <v/>
      </c>
      <c r="T280" s="34" t="str">
        <f>IF(AND(Tabla8[[#This Row],[PIEZA]]="",Tabla8[[#This Row],[PARTE]]=""),"VACIO","OK")</f>
        <v>VACIO</v>
      </c>
      <c r="U280" s="303" t="str">
        <f>+CONCATENATE(WEEKNUM(Tabla8[[#This Row],[FECHA]]),"-",YEAR(Tabla8[[#This Row],[FECHA]]))</f>
        <v>8-2026</v>
      </c>
    </row>
    <row r="281" spans="1:21" ht="15" customHeight="1">
      <c r="A281" s="22">
        <v>46069</v>
      </c>
      <c r="B281" s="16" t="s">
        <v>111</v>
      </c>
      <c r="C281" s="10" t="s">
        <v>39</v>
      </c>
      <c r="D281" s="381">
        <v>0.4375</v>
      </c>
      <c r="E281" s="381">
        <v>0.45833333333333331</v>
      </c>
      <c r="F281" s="380">
        <f>+MOD(Tabla8[[#This Row],[HR. FIN]]-Tabla8[[#This Row],[HR. INICIO]],1)</f>
        <v>2.0833333333333315E-2</v>
      </c>
      <c r="G281" s="16" t="s">
        <v>31</v>
      </c>
      <c r="H281" s="343" t="str">
        <f>IFERROR(VLOOKUP(G281,DATOS!$M$2:$N$219,2,FALSE),"")</f>
        <v>Maquinaria</v>
      </c>
      <c r="I281" s="115" t="s">
        <v>32</v>
      </c>
      <c r="J281" s="115" t="str">
        <f>+VLOOKUP($I281,Tabla7[#All],2,FALSE)</f>
        <v>PROGRAMADA</v>
      </c>
      <c r="K281" s="114" t="str">
        <f>IF(VLOOKUP(I281,Tabla7[#All],3,FALSE)=0,"",VLOOKUP(I281,Tabla7[#All],3,FALSE))</f>
        <v/>
      </c>
      <c r="L281" s="35" t="s">
        <v>756</v>
      </c>
      <c r="M281" s="35" t="s">
        <v>121</v>
      </c>
      <c r="N281" s="35" t="str" cm="1">
        <f t="array" ref="N281">IFERROR(IF(Tabla8[[#This Row],[P/NP]]="NO PROGRAMADA","",_xlfn.TEXTJOIN(", ",TRUE,_xlfn._xlws.FILTER(Tabla4[[#All],[PIEZA]],ISNUMBER(SEARCH(Tabla4[[#All],[PCLAVE]],Tabla8[[#This Row],[DESCRIPCION DE TRABAJO]])),""))),"")</f>
        <v>Banda</v>
      </c>
      <c r="O281" s="35" t="str" cm="1">
        <f t="array" ref="O281">_xlfn.TEXTJOIN(", ",TRUE,_xlfn._xlws.FILTER(Tabla28[[#All],[PARTE]],ISNUMBER(SEARCH(Tabla28[[#All],[PCLAVE2]],Tabla8[[#This Row],[DESCRIPCION DE TRABAJO]])),""))</f>
        <v/>
      </c>
      <c r="P281" s="303" t="str">
        <f>IFERROR(LEFT(O281, FIND(",", O281)-1), O281)</f>
        <v/>
      </c>
      <c r="Q281" s="303" t="str">
        <f>IFERROR(IF(ISERROR(FIND(",", O281, FIND(",", O281)+1)), RIGHT(O281, LEN(O281)-FIND(",", O281)-1), MID(O281, FIND(",", O281)+2, FIND(",", O281, FIND(",", O281)+1)-FIND(",", O281)-2)), "")</f>
        <v/>
      </c>
      <c r="R281" s="303" t="str">
        <f>IFERROR(RIGHT(O281, LEN(O281)-FIND(",", O281, FIND(",", O281)+1)-1), "")</f>
        <v/>
      </c>
      <c r="S281" s="35" t="str" cm="1">
        <f t="array" ref="S281">_xlfn.TEXTJOIN(", ",TRUE,_xlfn._xlws.FILTER(Tabla29[[#All],[PARTE]],ISNUMBER(SEARCH(Tabla29[[#All],[PCLAVE3]],Tabla8[[#This Row],[DESCRIPCION DE TRABAJO]])),""))</f>
        <v/>
      </c>
      <c r="T281" s="34" t="str">
        <f>IF(AND(Tabla8[[#This Row],[PIEZA]]="",Tabla8[[#This Row],[PARTE]]=""),"VACIO","OK")</f>
        <v>OK</v>
      </c>
      <c r="U281" s="303" t="str">
        <f>+CONCATENATE(WEEKNUM(Tabla8[[#This Row],[FECHA]]),"-",YEAR(Tabla8[[#This Row],[FECHA]]))</f>
        <v>8-2026</v>
      </c>
    </row>
    <row r="282" spans="1:21" ht="15" customHeight="1">
      <c r="A282" s="22">
        <v>46069</v>
      </c>
      <c r="B282" s="16" t="s">
        <v>179</v>
      </c>
      <c r="C282" s="10" t="s">
        <v>36</v>
      </c>
      <c r="D282" s="381">
        <v>0.3125</v>
      </c>
      <c r="E282" s="381">
        <v>0.33333333333333331</v>
      </c>
      <c r="F282" s="380">
        <f>+MOD(Tabla8[[#This Row],[HR. FIN]]-Tabla8[[#This Row],[HR. INICIO]],1)</f>
        <v>2.0833333333333315E-2</v>
      </c>
      <c r="G282" s="16" t="s">
        <v>312</v>
      </c>
      <c r="H282" s="343" t="str">
        <f>IFERROR(VLOOKUP(G282,DATOS!$M$2:$N$219,2,FALSE),"")</f>
        <v>Maquinaria</v>
      </c>
      <c r="I282" s="115" t="s">
        <v>32</v>
      </c>
      <c r="J282" s="115" t="str">
        <f>+VLOOKUP($I282,Tabla7[#All],2,FALSE)</f>
        <v>PROGRAMADA</v>
      </c>
      <c r="K282" s="114" t="str">
        <f>IF(VLOOKUP(I282,Tabla7[#All],3,FALSE)=0,"",VLOOKUP(I282,Tabla7[#All],3,FALSE))</f>
        <v/>
      </c>
      <c r="L282" s="35" t="s">
        <v>757</v>
      </c>
      <c r="M282" s="35" t="s">
        <v>121</v>
      </c>
      <c r="N282" s="35" t="str" cm="1">
        <f t="array" ref="N282">IFERROR(IF(Tabla8[[#This Row],[P/NP]]="NO PROGRAMADA","",_xlfn.TEXTJOIN(", ",TRUE,_xlfn._xlws.FILTER(Tabla4[[#All],[PIEZA]],ISNUMBER(SEARCH(Tabla4[[#All],[PCLAVE]],Tabla8[[#This Row],[DESCRIPCION DE TRABAJO]])),""))),"")</f>
        <v>Polin De Arrastre</v>
      </c>
      <c r="O282" s="35" t="str" cm="1">
        <f t="array" ref="O282">_xlfn.TEXTJOIN(", ",TRUE,_xlfn._xlws.FILTER(Tabla28[[#All],[PARTE]],ISNUMBER(SEARCH(Tabla28[[#All],[PCLAVE2]],Tabla8[[#This Row],[DESCRIPCION DE TRABAJO]])),""))</f>
        <v/>
      </c>
      <c r="P282" s="303" t="str">
        <f>IFERROR(LEFT(O282, FIND(",", O282)-1), O282)</f>
        <v/>
      </c>
      <c r="Q282" s="303" t="str">
        <f>IFERROR(IF(ISERROR(FIND(",", O282, FIND(",", O282)+1)), RIGHT(O282, LEN(O282)-FIND(",", O282)-1), MID(O282, FIND(",", O282)+2, FIND(",", O282, FIND(",", O282)+1)-FIND(",", O282)-2)), "")</f>
        <v/>
      </c>
      <c r="R282" s="303" t="str">
        <f>IFERROR(RIGHT(O282, LEN(O282)-FIND(",", O282, FIND(",", O282)+1)-1), "")</f>
        <v/>
      </c>
      <c r="S282" s="35" t="str" cm="1">
        <f t="array" ref="S282">_xlfn.TEXTJOIN(", ",TRUE,_xlfn._xlws.FILTER(Tabla29[[#All],[PARTE]],ISNUMBER(SEARCH(Tabla29[[#All],[PCLAVE3]],Tabla8[[#This Row],[DESCRIPCION DE TRABAJO]])),""))</f>
        <v/>
      </c>
      <c r="T282" s="34" t="str">
        <f>IF(AND(Tabla8[[#This Row],[PIEZA]]="",Tabla8[[#This Row],[PARTE]]=""),"VACIO","OK")</f>
        <v>OK</v>
      </c>
      <c r="U282" s="303" t="str">
        <f>+CONCATENATE(WEEKNUM(Tabla8[[#This Row],[FECHA]]),"-",YEAR(Tabla8[[#This Row],[FECHA]]))</f>
        <v>8-2026</v>
      </c>
    </row>
    <row r="283" spans="1:21" ht="15" customHeight="1">
      <c r="A283" s="22">
        <v>46069</v>
      </c>
      <c r="B283" s="16" t="s">
        <v>191</v>
      </c>
      <c r="C283" s="10" t="s">
        <v>23</v>
      </c>
      <c r="D283" s="381" t="s">
        <v>758</v>
      </c>
      <c r="E283" s="381" t="s">
        <v>759</v>
      </c>
      <c r="F283" s="380">
        <f>+MOD(Tabla8[[#This Row],[HR. FIN]]-Tabla8[[#This Row],[HR. INICIO]],1)</f>
        <v>1.9444444444444486E-2</v>
      </c>
      <c r="G283" s="16" t="s">
        <v>153</v>
      </c>
      <c r="H283" s="343" t="str">
        <f>IFERROR(VLOOKUP(G283,DATOS!$M$2:$N$219,2,FALSE),"")</f>
        <v>Maquinaria</v>
      </c>
      <c r="I283" s="115" t="s">
        <v>57</v>
      </c>
      <c r="J283" s="115" t="str">
        <f>+VLOOKUP($I283,Tabla7[#All],2,FALSE)</f>
        <v>NO PROGRAMADA</v>
      </c>
      <c r="K283" s="114" t="str">
        <f>IF(VLOOKUP(I283,Tabla7[#All],3,FALSE)=0,"",VLOOKUP(I283,Tabla7[#All],3,FALSE))</f>
        <v>MECÁNICA</v>
      </c>
      <c r="L283" s="35" t="s">
        <v>760</v>
      </c>
      <c r="M283" s="35" t="s">
        <v>761</v>
      </c>
      <c r="N283" s="35" t="str" cm="1">
        <f t="array" ref="N283">IFERROR(IF(Tabla8[[#This Row],[P/NP]]="NO PROGRAMADA","",_xlfn.TEXTJOIN(", ",TRUE,_xlfn._xlws.FILTER(Tabla4[[#All],[PIEZA]],ISNUMBER(SEARCH(Tabla4[[#All],[PCLAVE]],Tabla8[[#This Row],[DESCRIPCION DE TRABAJO]])),""))),"")</f>
        <v/>
      </c>
      <c r="O283" s="35" t="str" cm="1">
        <f t="array" ref="O283">_xlfn.TEXTJOIN(", ",TRUE,_xlfn._xlws.FILTER(Tabla28[[#All],[PARTE]],ISNUMBER(SEARCH(Tabla28[[#All],[PCLAVE2]],Tabla8[[#This Row],[DESCRIPCION DE TRABAJO]])),""))</f>
        <v/>
      </c>
      <c r="P283" s="303" t="str">
        <f>IFERROR(LEFT(O283, FIND(",", O283)-1), O283)</f>
        <v/>
      </c>
      <c r="Q283" s="303" t="str">
        <f>IFERROR(IF(ISERROR(FIND(",", O283, FIND(",", O283)+1)), RIGHT(O283, LEN(O283)-FIND(",", O283)-1), MID(O283, FIND(",", O283)+2, FIND(",", O283, FIND(",", O283)+1)-FIND(",", O283)-2)), "")</f>
        <v/>
      </c>
      <c r="R283" s="303" t="str">
        <f>IFERROR(RIGHT(O283, LEN(O283)-FIND(",", O283, FIND(",", O283)+1)-1), "")</f>
        <v/>
      </c>
      <c r="S283" s="35" t="str" cm="1">
        <f t="array" ref="S283">_xlfn.TEXTJOIN(", ",TRUE,_xlfn._xlws.FILTER(Tabla29[[#All],[PARTE]],ISNUMBER(SEARCH(Tabla29[[#All],[PCLAVE3]],Tabla8[[#This Row],[DESCRIPCION DE TRABAJO]])),""))</f>
        <v>Soltura</v>
      </c>
      <c r="T283" s="34" t="str">
        <f>IF(AND(Tabla8[[#This Row],[PIEZA]]="",Tabla8[[#This Row],[PARTE]]=""),"VACIO","OK")</f>
        <v>VACIO</v>
      </c>
      <c r="U283" s="303" t="str">
        <f>+CONCATENATE(WEEKNUM(Tabla8[[#This Row],[FECHA]]),"-",YEAR(Tabla8[[#This Row],[FECHA]]))</f>
        <v>8-2026</v>
      </c>
    </row>
    <row r="284" spans="1:21" ht="15" customHeight="1">
      <c r="A284" s="22">
        <v>46069</v>
      </c>
      <c r="B284" s="16" t="s">
        <v>191</v>
      </c>
      <c r="C284" s="10" t="s">
        <v>23</v>
      </c>
      <c r="D284" s="381" t="s">
        <v>762</v>
      </c>
      <c r="E284" s="381" t="s">
        <v>763</v>
      </c>
      <c r="F284" s="380">
        <f>+MOD(Tabla8[[#This Row],[HR. FIN]]-Tabla8[[#This Row],[HR. INICIO]],1)</f>
        <v>1.5972222222222165E-2</v>
      </c>
      <c r="G284" s="16" t="s">
        <v>119</v>
      </c>
      <c r="H284" s="343" t="str">
        <f>IFERROR(VLOOKUP(G284,DATOS!$M$2:$N$219,2,FALSE),"")</f>
        <v>Maquinaria</v>
      </c>
      <c r="I284" s="115" t="s">
        <v>32</v>
      </c>
      <c r="J284" s="115" t="str">
        <f>+VLOOKUP($I284,Tabla7[#All],2,FALSE)</f>
        <v>PROGRAMADA</v>
      </c>
      <c r="K284" s="114" t="str">
        <f>IF(VLOOKUP(I284,Tabla7[#All],3,FALSE)=0,"",VLOOKUP(I284,Tabla7[#All],3,FALSE))</f>
        <v/>
      </c>
      <c r="L284" s="35" t="s">
        <v>764</v>
      </c>
      <c r="M284" s="35" t="s">
        <v>121</v>
      </c>
      <c r="N284" s="35" t="str" cm="1">
        <f t="array" ref="N284">IFERROR(IF(Tabla8[[#This Row],[P/NP]]="NO PROGRAMADA","",_xlfn.TEXTJOIN(", ",TRUE,_xlfn._xlws.FILTER(Tabla4[[#All],[PIEZA]],ISNUMBER(SEARCH(Tabla4[[#All],[PCLAVE]],Tabla8[[#This Row],[DESCRIPCION DE TRABAJO]])),""))),"")</f>
        <v/>
      </c>
      <c r="O284" s="35" t="str" cm="1">
        <f t="array" ref="O284">_xlfn.TEXTJOIN(", ",TRUE,_xlfn._xlws.FILTER(Tabla28[[#All],[PARTE]],ISNUMBER(SEARCH(Tabla28[[#All],[PCLAVE2]],Tabla8[[#This Row],[DESCRIPCION DE TRABAJO]])),""))</f>
        <v>Mds</v>
      </c>
      <c r="P284" s="303" t="str">
        <f>IFERROR(LEFT(O284, FIND(",", O284)-1), O284)</f>
        <v>Mds</v>
      </c>
      <c r="Q284" s="303" t="str">
        <f>IFERROR(IF(ISERROR(FIND(",", O284, FIND(",", O284)+1)), RIGHT(O284, LEN(O284)-FIND(",", O284)-1), MID(O284, FIND(",", O284)+2, FIND(",", O284, FIND(",", O284)+1)-FIND(",", O284)-2)), "")</f>
        <v/>
      </c>
      <c r="R284" s="303" t="str">
        <f>IFERROR(RIGHT(O284, LEN(O284)-FIND(",", O284, FIND(",", O284)+1)-1), "")</f>
        <v/>
      </c>
      <c r="S284" s="35" t="str" cm="1">
        <f t="array" ref="S284">_xlfn.TEXTJOIN(", ",TRUE,_xlfn._xlws.FILTER(Tabla29[[#All],[PARTE]],ISNUMBER(SEARCH(Tabla29[[#All],[PCLAVE3]],Tabla8[[#This Row],[DESCRIPCION DE TRABAJO]])),""))</f>
        <v>Cambio De Formato</v>
      </c>
      <c r="T284" s="34" t="str">
        <f>IF(AND(Tabla8[[#This Row],[PIEZA]]="",Tabla8[[#This Row],[PARTE]]=""),"VACIO","OK")</f>
        <v>OK</v>
      </c>
      <c r="U284" s="303" t="str">
        <f>+CONCATENATE(WEEKNUM(Tabla8[[#This Row],[FECHA]]),"-",YEAR(Tabla8[[#This Row],[FECHA]]))</f>
        <v>8-2026</v>
      </c>
    </row>
    <row r="285" spans="1:21" ht="15" customHeight="1">
      <c r="A285" s="22">
        <v>46069</v>
      </c>
      <c r="B285" s="16" t="s">
        <v>191</v>
      </c>
      <c r="C285" s="10" t="s">
        <v>23</v>
      </c>
      <c r="D285" s="381" t="s">
        <v>765</v>
      </c>
      <c r="E285" s="381" t="s">
        <v>766</v>
      </c>
      <c r="F285" s="380">
        <f>+MOD(Tabla8[[#This Row],[HR. FIN]]-Tabla8[[#This Row],[HR. INICIO]],1)</f>
        <v>1.5277777777777724E-2</v>
      </c>
      <c r="G285" s="16" t="s">
        <v>198</v>
      </c>
      <c r="H285" s="343" t="str">
        <f>IFERROR(VLOOKUP(G285,DATOS!$M$2:$N$219,2,FALSE),"")</f>
        <v>Maquinaria</v>
      </c>
      <c r="I285" s="115" t="s">
        <v>57</v>
      </c>
      <c r="J285" s="115" t="str">
        <f>+VLOOKUP($I285,Tabla7[#All],2,FALSE)</f>
        <v>NO PROGRAMADA</v>
      </c>
      <c r="K285" s="114" t="str">
        <f>IF(VLOOKUP(I285,Tabla7[#All],3,FALSE)=0,"",VLOOKUP(I285,Tabla7[#All],3,FALSE))</f>
        <v>MECÁNICA</v>
      </c>
      <c r="L285" s="35" t="s">
        <v>767</v>
      </c>
      <c r="M285" s="35" t="s">
        <v>768</v>
      </c>
      <c r="N285" s="35" t="str" cm="1">
        <f t="array" ref="N285">IFERROR(IF(Tabla8[[#This Row],[P/NP]]="NO PROGRAMADA","",_xlfn.TEXTJOIN(", ",TRUE,_xlfn._xlws.FILTER(Tabla4[[#All],[PIEZA]],ISNUMBER(SEARCH(Tabla4[[#All],[PCLAVE]],Tabla8[[#This Row],[DESCRIPCION DE TRABAJO]])),""))),"")</f>
        <v/>
      </c>
      <c r="O285" s="35" t="str" cm="1">
        <f t="array" ref="O285">_xlfn.TEXTJOIN(", ",TRUE,_xlfn._xlws.FILTER(Tabla28[[#All],[PARTE]],ISNUMBER(SEARCH(Tabla28[[#All],[PCLAVE2]],Tabla8[[#This Row],[DESCRIPCION DE TRABAJO]])),""))</f>
        <v/>
      </c>
      <c r="P285" s="303" t="str">
        <f>IFERROR(LEFT(O285, FIND(",", O285)-1), O285)</f>
        <v/>
      </c>
      <c r="Q285" s="303" t="str">
        <f>IFERROR(IF(ISERROR(FIND(",", O285, FIND(",", O285)+1)), RIGHT(O285, LEN(O285)-FIND(",", O285)-1), MID(O285, FIND(",", O285)+2, FIND(",", O285, FIND(",", O285)+1)-FIND(",", O285)-2)), "")</f>
        <v/>
      </c>
      <c r="R285" s="303" t="str">
        <f>IFERROR(RIGHT(O285, LEN(O285)-FIND(",", O285, FIND(",", O285)+1)-1), "")</f>
        <v/>
      </c>
      <c r="S285" s="35" t="str" cm="1">
        <f t="array" ref="S285">_xlfn.TEXTJOIN(", ",TRUE,_xlfn._xlws.FILTER(Tabla29[[#All],[PARTE]],ISNUMBER(SEARCH(Tabla29[[#All],[PCLAVE3]],Tabla8[[#This Row],[DESCRIPCION DE TRABAJO]])),""))</f>
        <v/>
      </c>
      <c r="T285" s="34" t="str">
        <f>IF(AND(Tabla8[[#This Row],[PIEZA]]="",Tabla8[[#This Row],[PARTE]]=""),"VACIO","OK")</f>
        <v>VACIO</v>
      </c>
      <c r="U285" s="303" t="str">
        <f>+CONCATENATE(WEEKNUM(Tabla8[[#This Row],[FECHA]]),"-",YEAR(Tabla8[[#This Row],[FECHA]]))</f>
        <v>8-2026</v>
      </c>
    </row>
    <row r="286" spans="1:21" ht="15" customHeight="1">
      <c r="A286" s="22">
        <v>46069</v>
      </c>
      <c r="B286" s="16" t="s">
        <v>191</v>
      </c>
      <c r="C286" s="10" t="s">
        <v>23</v>
      </c>
      <c r="D286" s="381" t="s">
        <v>769</v>
      </c>
      <c r="E286" s="381" t="s">
        <v>770</v>
      </c>
      <c r="F286" s="380">
        <f>+MOD(Tabla8[[#This Row],[HR. FIN]]-Tabla8[[#This Row],[HR. INICIO]],1)</f>
        <v>1.5277777777777724E-2</v>
      </c>
      <c r="G286" s="16" t="s">
        <v>24</v>
      </c>
      <c r="H286" s="343" t="str">
        <f>IFERROR(VLOOKUP(G286,DATOS!$M$2:$N$219,2,FALSE),"")</f>
        <v>Maquinaria</v>
      </c>
      <c r="I286" s="115" t="s">
        <v>28</v>
      </c>
      <c r="J286" s="115" t="str">
        <f>+VLOOKUP($I286,Tabla7[#All],2,FALSE)</f>
        <v>NO PROGRAMADA</v>
      </c>
      <c r="K286" s="114" t="s">
        <v>93</v>
      </c>
      <c r="L286" s="35" t="s">
        <v>771</v>
      </c>
      <c r="M286" s="35" t="s">
        <v>121</v>
      </c>
      <c r="N286" s="35" t="str" cm="1">
        <f t="array" ref="N286">IFERROR(IF(Tabla8[[#This Row],[P/NP]]="NO PROGRAMADA","",_xlfn.TEXTJOIN(", ",TRUE,_xlfn._xlws.FILTER(Tabla4[[#All],[PIEZA]],ISNUMBER(SEARCH(Tabla4[[#All],[PCLAVE]],Tabla8[[#This Row],[DESCRIPCION DE TRABAJO]])),""))),"")</f>
        <v/>
      </c>
      <c r="O286" s="35" t="str" cm="1">
        <f t="array" ref="O286">_xlfn.TEXTJOIN(", ",TRUE,_xlfn._xlws.FILTER(Tabla28[[#All],[PARTE]],ISNUMBER(SEARCH(Tabla28[[#All],[PCLAVE2]],Tabla8[[#This Row],[DESCRIPCION DE TRABAJO]])),""))</f>
        <v/>
      </c>
      <c r="P286" s="303" t="str">
        <f>IFERROR(LEFT(O286, FIND(",", O286)-1), O286)</f>
        <v/>
      </c>
      <c r="Q286" s="303" t="str">
        <f>IFERROR(IF(ISERROR(FIND(",", O286, FIND(",", O286)+1)), RIGHT(O286, LEN(O286)-FIND(",", O286)-1), MID(O286, FIND(",", O286)+2, FIND(",", O286, FIND(",", O286)+1)-FIND(",", O286)-2)), "")</f>
        <v/>
      </c>
      <c r="R286" s="303" t="str">
        <f>IFERROR(RIGHT(O286, LEN(O286)-FIND(",", O286, FIND(",", O286)+1)-1), "")</f>
        <v/>
      </c>
      <c r="S286" s="35" t="str" cm="1">
        <f t="array" ref="S286">_xlfn.TEXTJOIN(", ",TRUE,_xlfn._xlws.FILTER(Tabla29[[#All],[PARTE]],ISNUMBER(SEARCH(Tabla29[[#All],[PCLAVE3]],Tabla8[[#This Row],[DESCRIPCION DE TRABAJO]])),""))</f>
        <v/>
      </c>
      <c r="T286" s="34" t="str">
        <f>IF(AND(Tabla8[[#This Row],[PIEZA]]="",Tabla8[[#This Row],[PARTE]]=""),"VACIO","OK")</f>
        <v>VACIO</v>
      </c>
      <c r="U286" s="303" t="str">
        <f>+CONCATENATE(WEEKNUM(Tabla8[[#This Row],[FECHA]]),"-",YEAR(Tabla8[[#This Row],[FECHA]]))</f>
        <v>8-2026</v>
      </c>
    </row>
    <row r="287" spans="1:21" ht="15" customHeight="1">
      <c r="A287" s="22">
        <v>46069</v>
      </c>
      <c r="B287" s="16" t="s">
        <v>111</v>
      </c>
      <c r="C287" s="10" t="s">
        <v>39</v>
      </c>
      <c r="D287" s="381">
        <v>0.4201388888888889</v>
      </c>
      <c r="E287" s="381">
        <v>0.43402777777777779</v>
      </c>
      <c r="F287" s="380">
        <f>+MOD(Tabla8[[#This Row],[HR. FIN]]-Tabla8[[#This Row],[HR. INICIO]],1)</f>
        <v>1.3888888888888895E-2</v>
      </c>
      <c r="G287" s="16" t="s">
        <v>119</v>
      </c>
      <c r="H287" s="343" t="str">
        <f>IFERROR(VLOOKUP(G287,DATOS!$M$2:$N$219,2,FALSE),"")</f>
        <v>Maquinaria</v>
      </c>
      <c r="I287" s="115" t="s">
        <v>54</v>
      </c>
      <c r="J287" s="115" t="str">
        <f>+VLOOKUP($I287,Tabla7[#All],2,FALSE)</f>
        <v>PROGRAMADA</v>
      </c>
      <c r="K287" s="114" t="str">
        <f>IF(VLOOKUP(I287,Tabla7[#All],3,FALSE)=0,"",VLOOKUP(I287,Tabla7[#All],3,FALSE))</f>
        <v/>
      </c>
      <c r="L287" s="35" t="s">
        <v>772</v>
      </c>
      <c r="M287" s="35" t="s">
        <v>121</v>
      </c>
      <c r="N287" s="35" t="str" cm="1">
        <f t="array" ref="N287">IFERROR(IF(Tabla8[[#This Row],[P/NP]]="NO PROGRAMADA","",_xlfn.TEXTJOIN(", ",TRUE,_xlfn._xlws.FILTER(Tabla4[[#All],[PIEZA]],ISNUMBER(SEARCH(Tabla4[[#All],[PCLAVE]],Tabla8[[#This Row],[DESCRIPCION DE TRABAJO]])),""))),"")</f>
        <v>Cadena</v>
      </c>
      <c r="O287" s="35" t="str" cm="1">
        <f t="array" ref="O287">_xlfn.TEXTJOIN(", ",TRUE,_xlfn._xlws.FILTER(Tabla28[[#All],[PARTE]],ISNUMBER(SEARCH(Tabla28[[#All],[PCLAVE2]],Tabla8[[#This Row],[DESCRIPCION DE TRABAJO]])),""))</f>
        <v>Temperadora</v>
      </c>
      <c r="P287" s="303" t="str">
        <f>IFERROR(LEFT(O287, FIND(",", O287)-1), O287)</f>
        <v>Temperadora</v>
      </c>
      <c r="Q287" s="303" t="str">
        <f>IFERROR(IF(ISERROR(FIND(",", O287, FIND(",", O287)+1)), RIGHT(O287, LEN(O287)-FIND(",", O287)-1), MID(O287, FIND(",", O287)+2, FIND(",", O287, FIND(",", O287)+1)-FIND(",", O287)-2)), "")</f>
        <v/>
      </c>
      <c r="R287" s="303" t="str">
        <f>IFERROR(RIGHT(O287, LEN(O287)-FIND(",", O287, FIND(",", O287)+1)-1), "")</f>
        <v/>
      </c>
      <c r="S287" s="35" t="str" cm="1">
        <f t="array" ref="S287">_xlfn.TEXTJOIN(", ",TRUE,_xlfn._xlws.FILTER(Tabla29[[#All],[PARTE]],ISNUMBER(SEARCH(Tabla29[[#All],[PCLAVE3]],Tabla8[[#This Row],[DESCRIPCION DE TRABAJO]])),""))</f>
        <v>Lubricacion</v>
      </c>
      <c r="T287" s="34" t="str">
        <f>IF(AND(Tabla8[[#This Row],[PIEZA]]="",Tabla8[[#This Row],[PARTE]]=""),"VACIO","OK")</f>
        <v>OK</v>
      </c>
      <c r="U287" s="303" t="str">
        <f>+CONCATENATE(WEEKNUM(Tabla8[[#This Row],[FECHA]]),"-",YEAR(Tabla8[[#This Row],[FECHA]]))</f>
        <v>8-2026</v>
      </c>
    </row>
    <row r="288" spans="1:21" ht="15" customHeight="1">
      <c r="A288" s="22">
        <v>46069</v>
      </c>
      <c r="B288" s="16" t="s">
        <v>179</v>
      </c>
      <c r="C288" s="10" t="s">
        <v>36</v>
      </c>
      <c r="D288" s="381">
        <v>0.27777777777777779</v>
      </c>
      <c r="E288" s="381">
        <v>0.29166666666666669</v>
      </c>
      <c r="F288" s="380">
        <f>+MOD(Tabla8[[#This Row],[HR. FIN]]-Tabla8[[#This Row],[HR. INICIO]],1)</f>
        <v>1.3888888888888895E-2</v>
      </c>
      <c r="G288" s="16" t="s">
        <v>91</v>
      </c>
      <c r="H288" s="343" t="str">
        <f>IFERROR(VLOOKUP(G288,DATOS!$M$2:$N$219,2,FALSE),"")</f>
        <v>Area</v>
      </c>
      <c r="I288" s="115" t="s">
        <v>32</v>
      </c>
      <c r="J288" s="115" t="str">
        <f>+VLOOKUP($I288,Tabla7[#All],2,FALSE)</f>
        <v>PROGRAMADA</v>
      </c>
      <c r="K288" s="114" t="str">
        <f>IF(VLOOKUP(I288,Tabla7[#All],3,FALSE)=0,"",VLOOKUP(I288,Tabla7[#All],3,FALSE))</f>
        <v/>
      </c>
      <c r="L288" s="35" t="s">
        <v>773</v>
      </c>
      <c r="M288" s="35" t="s">
        <v>121</v>
      </c>
      <c r="N288" s="35" t="str" cm="1">
        <f t="array" ref="N288">IFERROR(IF(Tabla8[[#This Row],[P/NP]]="NO PROGRAMADA","",_xlfn.TEXTJOIN(", ",TRUE,_xlfn._xlws.FILTER(Tabla4[[#All],[PIEZA]],ISNUMBER(SEARCH(Tabla4[[#All],[PCLAVE]],Tabla8[[#This Row],[DESCRIPCION DE TRABAJO]])),""))),"")</f>
        <v/>
      </c>
      <c r="O288" s="35" t="str" cm="1">
        <f t="array" ref="O288">_xlfn.TEXTJOIN(", ",TRUE,_xlfn._xlws.FILTER(Tabla28[[#All],[PARTE]],ISNUMBER(SEARCH(Tabla28[[#All],[PCLAVE2]],Tabla8[[#This Row],[DESCRIPCION DE TRABAJO]])),""))</f>
        <v>Tanque</v>
      </c>
      <c r="P288" s="303" t="str">
        <f>IFERROR(LEFT(O288, FIND(",", O288)-1), O288)</f>
        <v>Tanque</v>
      </c>
      <c r="Q288" s="303" t="str">
        <f>IFERROR(IF(ISERROR(FIND(",", O288, FIND(",", O288)+1)), RIGHT(O288, LEN(O288)-FIND(",", O288)-1), MID(O288, FIND(",", O288)+2, FIND(",", O288, FIND(",", O288)+1)-FIND(",", O288)-2)), "")</f>
        <v/>
      </c>
      <c r="R288" s="303" t="str">
        <f>IFERROR(RIGHT(O288, LEN(O288)-FIND(",", O288, FIND(",", O288)+1)-1), "")</f>
        <v/>
      </c>
      <c r="S288" s="35" t="str" cm="1">
        <f t="array" ref="S288">_xlfn.TEXTJOIN(", ",TRUE,_xlfn._xlws.FILTER(Tabla29[[#All],[PARTE]],ISNUMBER(SEARCH(Tabla29[[#All],[PCLAVE3]],Tabla8[[#This Row],[DESCRIPCION DE TRABAJO]])),""))</f>
        <v/>
      </c>
      <c r="T288" s="34" t="str">
        <f>IF(AND(Tabla8[[#This Row],[PIEZA]]="",Tabla8[[#This Row],[PARTE]]=""),"VACIO","OK")</f>
        <v>OK</v>
      </c>
      <c r="U288" s="303" t="str">
        <f>+CONCATENATE(WEEKNUM(Tabla8[[#This Row],[FECHA]]),"-",YEAR(Tabla8[[#This Row],[FECHA]]))</f>
        <v>8-2026</v>
      </c>
    </row>
    <row r="289" spans="1:21" ht="15" customHeight="1">
      <c r="A289" s="22">
        <v>46069</v>
      </c>
      <c r="B289" s="16" t="s">
        <v>179</v>
      </c>
      <c r="C289" s="10" t="s">
        <v>36</v>
      </c>
      <c r="D289" s="381">
        <v>0.33333333333333331</v>
      </c>
      <c r="E289" s="381">
        <v>0.34722222222222221</v>
      </c>
      <c r="F289" s="380">
        <f>+MOD(Tabla8[[#This Row],[HR. FIN]]-Tabla8[[#This Row],[HR. INICIO]],1)</f>
        <v>1.3888888888888895E-2</v>
      </c>
      <c r="G289" s="16" t="s">
        <v>534</v>
      </c>
      <c r="H289" s="343" t="str">
        <f>IFERROR(VLOOKUP(G289,DATOS!$M$2:$N$219,2,FALSE),"")</f>
        <v>Maquinaria</v>
      </c>
      <c r="I289" s="115" t="s">
        <v>57</v>
      </c>
      <c r="J289" s="115" t="str">
        <f>+VLOOKUP($I289,Tabla7[#All],2,FALSE)</f>
        <v>NO PROGRAMADA</v>
      </c>
      <c r="K289" s="114" t="str">
        <f>IF(VLOOKUP(I289,Tabla7[#All],3,FALSE)=0,"",VLOOKUP(I289,Tabla7[#All],3,FALSE))</f>
        <v>MECÁNICA</v>
      </c>
      <c r="L289" s="35" t="s">
        <v>774</v>
      </c>
      <c r="M289" s="35" t="s">
        <v>775</v>
      </c>
      <c r="N289" s="35" t="str" cm="1">
        <f t="array" ref="N289">IFERROR(IF(Tabla8[[#This Row],[P/NP]]="NO PROGRAMADA","",_xlfn.TEXTJOIN(", ",TRUE,_xlfn._xlws.FILTER(Tabla4[[#All],[PIEZA]],ISNUMBER(SEARCH(Tabla4[[#All],[PCLAVE]],Tabla8[[#This Row],[DESCRIPCION DE TRABAJO]])),""))),"")</f>
        <v/>
      </c>
      <c r="O289" s="35" t="str" cm="1">
        <f t="array" ref="O289">_xlfn.TEXTJOIN(", ",TRUE,_xlfn._xlws.FILTER(Tabla28[[#All],[PARTE]],ISNUMBER(SEARCH(Tabla28[[#All],[PCLAVE2]],Tabla8[[#This Row],[DESCRIPCION DE TRABAJO]])),""))</f>
        <v>Camara De Temperado</v>
      </c>
      <c r="P289" s="303" t="str">
        <f>IFERROR(LEFT(O289, FIND(",", O289)-1), O289)</f>
        <v>Camara De Temperado</v>
      </c>
      <c r="Q289" s="303" t="str">
        <f>IFERROR(IF(ISERROR(FIND(",", O289, FIND(",", O289)+1)), RIGHT(O289, LEN(O289)-FIND(",", O289)-1), MID(O289, FIND(",", O289)+2, FIND(",", O289, FIND(",", O289)+1)-FIND(",", O289)-2)), "")</f>
        <v/>
      </c>
      <c r="R289" s="303" t="str">
        <f>IFERROR(RIGHT(O289, LEN(O289)-FIND(",", O289, FIND(",", O289)+1)-1), "")</f>
        <v/>
      </c>
      <c r="S289" s="35" t="str" cm="1">
        <f t="array" ref="S289">_xlfn.TEXTJOIN(", ",TRUE,_xlfn._xlws.FILTER(Tabla29[[#All],[PARTE]],ISNUMBER(SEARCH(Tabla29[[#All],[PCLAVE3]],Tabla8[[#This Row],[DESCRIPCION DE TRABAJO]])),""))</f>
        <v>Muy Frio, Rotura</v>
      </c>
      <c r="T289" s="34" t="str">
        <f>IF(AND(Tabla8[[#This Row],[PIEZA]]="",Tabla8[[#This Row],[PARTE]]=""),"VACIO","OK")</f>
        <v>OK</v>
      </c>
      <c r="U289" s="303" t="str">
        <f>+CONCATENATE(WEEKNUM(Tabla8[[#This Row],[FECHA]]),"-",YEAR(Tabla8[[#This Row],[FECHA]]))</f>
        <v>8-2026</v>
      </c>
    </row>
    <row r="290" spans="1:21" ht="15" customHeight="1">
      <c r="A290" s="22">
        <v>46069</v>
      </c>
      <c r="B290" s="16" t="s">
        <v>191</v>
      </c>
      <c r="C290" s="10" t="s">
        <v>23</v>
      </c>
      <c r="D290" s="381" t="s">
        <v>776</v>
      </c>
      <c r="E290" s="381" t="s">
        <v>777</v>
      </c>
      <c r="F290" s="380">
        <f>+MOD(Tabla8[[#This Row],[HR. FIN]]-Tabla8[[#This Row],[HR. INICIO]],1)</f>
        <v>1.2500000000000067E-2</v>
      </c>
      <c r="G290" s="16" t="s">
        <v>153</v>
      </c>
      <c r="H290" s="343" t="str">
        <f>IFERROR(VLOOKUP(G290,DATOS!$M$2:$N$219,2,FALSE),"")</f>
        <v>Maquinaria</v>
      </c>
      <c r="I290" s="115" t="s">
        <v>57</v>
      </c>
      <c r="J290" s="115" t="str">
        <f>+VLOOKUP($I290,Tabla7[#All],2,FALSE)</f>
        <v>NO PROGRAMADA</v>
      </c>
      <c r="K290" s="114" t="str">
        <f>IF(VLOOKUP(I290,Tabla7[#All],3,FALSE)=0,"",VLOOKUP(I290,Tabla7[#All],3,FALSE))</f>
        <v>MECÁNICA</v>
      </c>
      <c r="L290" s="35" t="s">
        <v>778</v>
      </c>
      <c r="M290" s="35" t="s">
        <v>779</v>
      </c>
      <c r="N290" s="35" t="str" cm="1">
        <f t="array" ref="N290">IFERROR(IF(Tabla8[[#This Row],[P/NP]]="NO PROGRAMADA","",_xlfn.TEXTJOIN(", ",TRUE,_xlfn._xlws.FILTER(Tabla4[[#All],[PIEZA]],ISNUMBER(SEARCH(Tabla4[[#All],[PCLAVE]],Tabla8[[#This Row],[DESCRIPCION DE TRABAJO]])),""))),"")</f>
        <v/>
      </c>
      <c r="O290" s="35" t="str" cm="1">
        <f t="array" ref="O290">_xlfn.TEXTJOIN(", ",TRUE,_xlfn._xlws.FILTER(Tabla28[[#All],[PARTE]],ISNUMBER(SEARCH(Tabla28[[#All],[PCLAVE2]],Tabla8[[#This Row],[DESCRIPCION DE TRABAJO]])),""))</f>
        <v/>
      </c>
      <c r="P290" s="303" t="str">
        <f>IFERROR(LEFT(O290, FIND(",", O290)-1), O290)</f>
        <v/>
      </c>
      <c r="Q290" s="303" t="str">
        <f>IFERROR(IF(ISERROR(FIND(",", O290, FIND(",", O290)+1)), RIGHT(O290, LEN(O290)-FIND(",", O290)-1), MID(O290, FIND(",", O290)+2, FIND(",", O290, FIND(",", O290)+1)-FIND(",", O290)-2)), "")</f>
        <v/>
      </c>
      <c r="R290" s="303" t="str">
        <f>IFERROR(RIGHT(O290, LEN(O290)-FIND(",", O290, FIND(",", O290)+1)-1), "")</f>
        <v/>
      </c>
      <c r="S290" s="35" t="str" cm="1">
        <f t="array" ref="S290">_xlfn.TEXTJOIN(", ",TRUE,_xlfn._xlws.FILTER(Tabla29[[#All],[PARTE]],ISNUMBER(SEARCH(Tabla29[[#All],[PCLAVE3]],Tabla8[[#This Row],[DESCRIPCION DE TRABAJO]])),""))</f>
        <v>Alimentacion Obstruida, Calibracion, Desajustado, Soltura</v>
      </c>
      <c r="T290" s="34" t="str">
        <f>IF(AND(Tabla8[[#This Row],[PIEZA]]="",Tabla8[[#This Row],[PARTE]]=""),"VACIO","OK")</f>
        <v>VACIO</v>
      </c>
      <c r="U290" s="303" t="str">
        <f>+CONCATENATE(WEEKNUM(Tabla8[[#This Row],[FECHA]]),"-",YEAR(Tabla8[[#This Row],[FECHA]]))</f>
        <v>8-2026</v>
      </c>
    </row>
    <row r="291" spans="1:21" ht="15" customHeight="1">
      <c r="A291" s="22">
        <v>46069</v>
      </c>
      <c r="B291" s="16" t="s">
        <v>191</v>
      </c>
      <c r="C291" s="10" t="s">
        <v>23</v>
      </c>
      <c r="D291" s="381" t="s">
        <v>780</v>
      </c>
      <c r="E291" s="381" t="s">
        <v>781</v>
      </c>
      <c r="F291" s="380">
        <f>+MOD(Tabla8[[#This Row],[HR. FIN]]-Tabla8[[#This Row],[HR. INICIO]],1)</f>
        <v>1.2499999999999956E-2</v>
      </c>
      <c r="G291" s="16" t="s">
        <v>215</v>
      </c>
      <c r="H291" s="343" t="str">
        <f>IFERROR(VLOOKUP(G291,DATOS!$M$2:$N$219,2,FALSE),"")</f>
        <v>Equipos auxiliares</v>
      </c>
      <c r="I291" s="115" t="s">
        <v>54</v>
      </c>
      <c r="J291" s="115" t="str">
        <f>+VLOOKUP($I291,Tabla7[#All],2,FALSE)</f>
        <v>PROGRAMADA</v>
      </c>
      <c r="K291" s="114" t="str">
        <f>IF(VLOOKUP(I291,Tabla7[#All],3,FALSE)=0,"",VLOOKUP(I291,Tabla7[#All],3,FALSE))</f>
        <v/>
      </c>
      <c r="L291" s="35" t="s">
        <v>782</v>
      </c>
      <c r="M291" s="35" t="s">
        <v>121</v>
      </c>
      <c r="N291" s="35" t="str" cm="1">
        <f t="array" ref="N291">IFERROR(IF(Tabla8[[#This Row],[P/NP]]="NO PROGRAMADA","",_xlfn.TEXTJOIN(", ",TRUE,_xlfn._xlws.FILTER(Tabla4[[#All],[PIEZA]],ISNUMBER(SEARCH(Tabla4[[#All],[PCLAVE]],Tabla8[[#This Row],[DESCRIPCION DE TRABAJO]])),""))),"")</f>
        <v/>
      </c>
      <c r="O291" s="35" t="str" cm="1">
        <f t="array" ref="O291">_xlfn.TEXTJOIN(", ",TRUE,_xlfn._xlws.FILTER(Tabla28[[#All],[PARTE]],ISNUMBER(SEARCH(Tabla28[[#All],[PCLAVE2]],Tabla8[[#This Row],[DESCRIPCION DE TRABAJO]])),""))</f>
        <v/>
      </c>
      <c r="P291" s="303" t="str">
        <f>IFERROR(LEFT(O291, FIND(",", O291)-1), O291)</f>
        <v/>
      </c>
      <c r="Q291" s="303" t="str">
        <f>IFERROR(IF(ISERROR(FIND(",", O291, FIND(",", O291)+1)), RIGHT(O291, LEN(O291)-FIND(",", O291)-1), MID(O291, FIND(",", O291)+2, FIND(",", O291, FIND(",", O291)+1)-FIND(",", O291)-2)), "")</f>
        <v/>
      </c>
      <c r="R291" s="303" t="str">
        <f>IFERROR(RIGHT(O291, LEN(O291)-FIND(",", O291, FIND(",", O291)+1)-1), "")</f>
        <v/>
      </c>
      <c r="S291" s="35" t="str" cm="1">
        <f t="array" ref="S291">_xlfn.TEXTJOIN(", ",TRUE,_xlfn._xlws.FILTER(Tabla29[[#All],[PARTE]],ISNUMBER(SEARCH(Tabla29[[#All],[PCLAVE3]],Tabla8[[#This Row],[DESCRIPCION DE TRABAJO]])),""))</f>
        <v/>
      </c>
      <c r="T291" s="34" t="str">
        <f>IF(AND(Tabla8[[#This Row],[PIEZA]]="",Tabla8[[#This Row],[PARTE]]=""),"VACIO","OK")</f>
        <v>VACIO</v>
      </c>
      <c r="U291" s="303" t="str">
        <f>+CONCATENATE(WEEKNUM(Tabla8[[#This Row],[FECHA]]),"-",YEAR(Tabla8[[#This Row],[FECHA]]))</f>
        <v>8-2026</v>
      </c>
    </row>
    <row r="292" spans="1:21" ht="15" customHeight="1">
      <c r="A292" s="22">
        <v>46069</v>
      </c>
      <c r="B292" s="16" t="s">
        <v>191</v>
      </c>
      <c r="C292" s="10" t="s">
        <v>23</v>
      </c>
      <c r="D292" s="381" t="s">
        <v>783</v>
      </c>
      <c r="E292" s="381" t="s">
        <v>784</v>
      </c>
      <c r="F292" s="380">
        <f>+MOD(Tabla8[[#This Row],[HR. FIN]]-Tabla8[[#This Row],[HR. INICIO]],1)</f>
        <v>1.0416666666666741E-2</v>
      </c>
      <c r="G292" s="16" t="s">
        <v>198</v>
      </c>
      <c r="H292" s="343" t="str">
        <f>IFERROR(VLOOKUP(G292,DATOS!$M$2:$N$219,2,FALSE),"")</f>
        <v>Maquinaria</v>
      </c>
      <c r="I292" s="115" t="s">
        <v>57</v>
      </c>
      <c r="J292" s="115" t="str">
        <f>+VLOOKUP($I292,Tabla7[#All],2,FALSE)</f>
        <v>NO PROGRAMADA</v>
      </c>
      <c r="K292" s="114" t="str">
        <f>IF(VLOOKUP(I292,Tabla7[#All],3,FALSE)=0,"",VLOOKUP(I292,Tabla7[#All],3,FALSE))</f>
        <v>MECÁNICA</v>
      </c>
      <c r="L292" s="35" t="s">
        <v>785</v>
      </c>
      <c r="M292" s="35" t="s">
        <v>786</v>
      </c>
      <c r="N292" s="35" t="str" cm="1">
        <f t="array" ref="N292">IFERROR(IF(Tabla8[[#This Row],[P/NP]]="NO PROGRAMADA","",_xlfn.TEXTJOIN(", ",TRUE,_xlfn._xlws.FILTER(Tabla4[[#All],[PIEZA]],ISNUMBER(SEARCH(Tabla4[[#All],[PCLAVE]],Tabla8[[#This Row],[DESCRIPCION DE TRABAJO]])),""))),"")</f>
        <v/>
      </c>
      <c r="O292" s="35" t="str" cm="1">
        <f t="array" ref="O292">_xlfn.TEXTJOIN(", ",TRUE,_xlfn._xlws.FILTER(Tabla28[[#All],[PARTE]],ISNUMBER(SEARCH(Tabla28[[#All],[PCLAVE2]],Tabla8[[#This Row],[DESCRIPCION DE TRABAJO]])),""))</f>
        <v/>
      </c>
      <c r="P292" s="303" t="str">
        <f>IFERROR(LEFT(O292, FIND(",", O292)-1), O292)</f>
        <v/>
      </c>
      <c r="Q292" s="303" t="str">
        <f>IFERROR(IF(ISERROR(FIND(",", O292, FIND(",", O292)+1)), RIGHT(O292, LEN(O292)-FIND(",", O292)-1), MID(O292, FIND(",", O292)+2, FIND(",", O292, FIND(",", O292)+1)-FIND(",", O292)-2)), "")</f>
        <v/>
      </c>
      <c r="R292" s="303" t="str">
        <f>IFERROR(RIGHT(O292, LEN(O292)-FIND(",", O292, FIND(",", O292)+1)-1), "")</f>
        <v/>
      </c>
      <c r="S292" s="35" t="str" cm="1">
        <f t="array" ref="S292">_xlfn.TEXTJOIN(", ",TRUE,_xlfn._xlws.FILTER(Tabla29[[#All],[PARTE]],ISNUMBER(SEARCH(Tabla29[[#All],[PCLAVE3]],Tabla8[[#This Row],[DESCRIPCION DE TRABAJO]])),""))</f>
        <v/>
      </c>
      <c r="T292" s="34" t="str">
        <f>IF(AND(Tabla8[[#This Row],[PIEZA]]="",Tabla8[[#This Row],[PARTE]]=""),"VACIO","OK")</f>
        <v>VACIO</v>
      </c>
      <c r="U292" s="303" t="str">
        <f>+CONCATENATE(WEEKNUM(Tabla8[[#This Row],[FECHA]]),"-",YEAR(Tabla8[[#This Row],[FECHA]]))</f>
        <v>8-2026</v>
      </c>
    </row>
    <row r="293" spans="1:21" ht="15" customHeight="1">
      <c r="A293" s="22">
        <v>46069</v>
      </c>
      <c r="B293" s="16" t="s">
        <v>191</v>
      </c>
      <c r="C293" s="10" t="s">
        <v>23</v>
      </c>
      <c r="D293" s="381" t="s">
        <v>787</v>
      </c>
      <c r="E293" s="381" t="s">
        <v>788</v>
      </c>
      <c r="F293" s="380">
        <f>+MOD(Tabla8[[#This Row],[HR. FIN]]-Tabla8[[#This Row],[HR. INICIO]],1)</f>
        <v>1.0416666666666741E-2</v>
      </c>
      <c r="G293" s="16" t="s">
        <v>114</v>
      </c>
      <c r="H293" s="343" t="str">
        <f>IFERROR(VLOOKUP(G293,DATOS!$M$2:$N$219,2,FALSE),"")</f>
        <v>Maquinaria</v>
      </c>
      <c r="I293" s="115" t="s">
        <v>32</v>
      </c>
      <c r="J293" s="115" t="str">
        <f>+VLOOKUP($I293,Tabla7[#All],2,FALSE)</f>
        <v>PROGRAMADA</v>
      </c>
      <c r="K293" s="114" t="str">
        <f>IF(VLOOKUP(I293,Tabla7[#All],3,FALSE)=0,"",VLOOKUP(I293,Tabla7[#All],3,FALSE))</f>
        <v/>
      </c>
      <c r="L293" s="35" t="s">
        <v>789</v>
      </c>
      <c r="M293" s="35" t="s">
        <v>121</v>
      </c>
      <c r="N293" s="35" t="str" cm="1">
        <f t="array" ref="N293">IFERROR(IF(Tabla8[[#This Row],[P/NP]]="NO PROGRAMADA","",_xlfn.TEXTJOIN(", ",TRUE,_xlfn._xlws.FILTER(Tabla4[[#All],[PIEZA]],ISNUMBER(SEARCH(Tabla4[[#All],[PCLAVE]],Tabla8[[#This Row],[DESCRIPCION DE TRABAJO]])),""))),"")</f>
        <v/>
      </c>
      <c r="O293" s="35" t="str" cm="1">
        <f t="array" ref="O293">_xlfn.TEXTJOIN(", ",TRUE,_xlfn._xlws.FILTER(Tabla28[[#All],[PARTE]],ISNUMBER(SEARCH(Tabla28[[#All],[PCLAVE2]],Tabla8[[#This Row],[DESCRIPCION DE TRABAJO]])),""))</f>
        <v/>
      </c>
      <c r="P293" s="303" t="str">
        <f>IFERROR(LEFT(O293, FIND(",", O293)-1), O293)</f>
        <v/>
      </c>
      <c r="Q293" s="303" t="str">
        <f>IFERROR(IF(ISERROR(FIND(",", O293, FIND(",", O293)+1)), RIGHT(O293, LEN(O293)-FIND(",", O293)-1), MID(O293, FIND(",", O293)+2, FIND(",", O293, FIND(",", O293)+1)-FIND(",", O293)-2)), "")</f>
        <v/>
      </c>
      <c r="R293" s="303" t="str">
        <f>IFERROR(RIGHT(O293, LEN(O293)-FIND(",", O293, FIND(",", O293)+1)-1), "")</f>
        <v/>
      </c>
      <c r="S293" s="35" t="str" cm="1">
        <f t="array" ref="S293">_xlfn.TEXTJOIN(", ",TRUE,_xlfn._xlws.FILTER(Tabla29[[#All],[PARTE]],ISNUMBER(SEARCH(Tabla29[[#All],[PCLAVE3]],Tabla8[[#This Row],[DESCRIPCION DE TRABAJO]])),""))</f>
        <v/>
      </c>
      <c r="T293" s="34" t="str">
        <f>IF(AND(Tabla8[[#This Row],[PIEZA]]="",Tabla8[[#This Row],[PARTE]]=""),"VACIO","OK")</f>
        <v>VACIO</v>
      </c>
      <c r="U293" s="303" t="str">
        <f>+CONCATENATE(WEEKNUM(Tabla8[[#This Row],[FECHA]]),"-",YEAR(Tabla8[[#This Row],[FECHA]]))</f>
        <v>8-2026</v>
      </c>
    </row>
    <row r="294" spans="1:21" ht="15" customHeight="1">
      <c r="A294" s="22">
        <v>46069</v>
      </c>
      <c r="B294" s="16" t="s">
        <v>191</v>
      </c>
      <c r="C294" s="10" t="s">
        <v>23</v>
      </c>
      <c r="D294" s="381" t="s">
        <v>284</v>
      </c>
      <c r="E294" s="381" t="s">
        <v>790</v>
      </c>
      <c r="F294" s="380">
        <f>+MOD(Tabla8[[#This Row],[HR. FIN]]-Tabla8[[#This Row],[HR. INICIO]],1)</f>
        <v>1.041666666666663E-2</v>
      </c>
      <c r="G294" s="16" t="s">
        <v>24</v>
      </c>
      <c r="H294" s="343" t="str">
        <f>IFERROR(VLOOKUP(G294,DATOS!$M$2:$N$219,2,FALSE),"")</f>
        <v>Maquinaria</v>
      </c>
      <c r="I294" s="115" t="s">
        <v>61</v>
      </c>
      <c r="J294" s="115" t="s">
        <v>92</v>
      </c>
      <c r="K294" s="114" t="s">
        <v>93</v>
      </c>
      <c r="L294" s="35" t="s">
        <v>791</v>
      </c>
      <c r="M294" s="35" t="s">
        <v>792</v>
      </c>
      <c r="N294" s="35" t="str" cm="1">
        <f t="array" ref="N294">IFERROR(IF(Tabla8[[#This Row],[P/NP]]="NO PROGRAMADA","",_xlfn.TEXTJOIN(", ",TRUE,_xlfn._xlws.FILTER(Tabla4[[#All],[PIEZA]],ISNUMBER(SEARCH(Tabla4[[#All],[PCLAVE]],Tabla8[[#This Row],[DESCRIPCION DE TRABAJO]])),""))),"")</f>
        <v/>
      </c>
      <c r="O294" s="35" t="str" cm="1">
        <f t="array" ref="O294">_xlfn.TEXTJOIN(", ",TRUE,_xlfn._xlws.FILTER(Tabla28[[#All],[PARTE]],ISNUMBER(SEARCH(Tabla28[[#All],[PCLAVE2]],Tabla8[[#This Row],[DESCRIPCION DE TRABAJO]])),""))</f>
        <v/>
      </c>
      <c r="P294" s="303" t="str">
        <f>IFERROR(LEFT(O294, FIND(",", O294)-1), O294)</f>
        <v/>
      </c>
      <c r="Q294" s="303" t="str">
        <f>IFERROR(IF(ISERROR(FIND(",", O294, FIND(",", O294)+1)), RIGHT(O294, LEN(O294)-FIND(",", O294)-1), MID(O294, FIND(",", O294)+2, FIND(",", O294, FIND(",", O294)+1)-FIND(",", O294)-2)), "")</f>
        <v/>
      </c>
      <c r="R294" s="303" t="str">
        <f>IFERROR(RIGHT(O294, LEN(O294)-FIND(",", O294, FIND(",", O294)+1)-1), "")</f>
        <v/>
      </c>
      <c r="S294" s="35" t="str" cm="1">
        <f t="array" ref="S294">_xlfn.TEXTJOIN(", ",TRUE,_xlfn._xlws.FILTER(Tabla29[[#All],[PARTE]],ISNUMBER(SEARCH(Tabla29[[#All],[PCLAVE3]],Tabla8[[#This Row],[DESCRIPCION DE TRABAJO]])),""))</f>
        <v/>
      </c>
      <c r="T294" s="34" t="str">
        <f>IF(AND(Tabla8[[#This Row],[PIEZA]]="",Tabla8[[#This Row],[PARTE]]=""),"VACIO","OK")</f>
        <v>VACIO</v>
      </c>
      <c r="U294" s="303" t="str">
        <f>+CONCATENATE(WEEKNUM(Tabla8[[#This Row],[FECHA]]),"-",YEAR(Tabla8[[#This Row],[FECHA]]))</f>
        <v>8-2026</v>
      </c>
    </row>
    <row r="295" spans="1:21" ht="15" customHeight="1">
      <c r="A295" s="22">
        <v>46069</v>
      </c>
      <c r="B295" s="16" t="s">
        <v>179</v>
      </c>
      <c r="C295" s="10" t="s">
        <v>36</v>
      </c>
      <c r="D295" s="381">
        <v>0.5</v>
      </c>
      <c r="E295" s="381">
        <v>0.51041666666666663</v>
      </c>
      <c r="F295" s="380">
        <f>+MOD(Tabla8[[#This Row],[HR. FIN]]-Tabla8[[#This Row],[HR. INICIO]],1)</f>
        <v>1.041666666666663E-2</v>
      </c>
      <c r="G295" s="16" t="s">
        <v>793</v>
      </c>
      <c r="H295" s="343" t="str">
        <f>IFERROR(VLOOKUP(G295,DATOS!$M$2:$N$219,2,FALSE),"")</f>
        <v>Maquinaria</v>
      </c>
      <c r="I295" s="115" t="s">
        <v>61</v>
      </c>
      <c r="J295" s="115" t="str">
        <f>+VLOOKUP($I295,Tabla7[#All],2,FALSE)</f>
        <v>PROGRAMADA</v>
      </c>
      <c r="K295" s="114" t="str">
        <f>IF(VLOOKUP(I295,Tabla7[#All],3,FALSE)=0,"",VLOOKUP(I295,Tabla7[#All],3,FALSE))</f>
        <v/>
      </c>
      <c r="L295" s="35" t="s">
        <v>794</v>
      </c>
      <c r="M295" s="35" t="s">
        <v>121</v>
      </c>
      <c r="N295" s="35" t="str" cm="1">
        <f t="array" ref="N295">IFERROR(IF(Tabla8[[#This Row],[P/NP]]="NO PROGRAMADA","",_xlfn.TEXTJOIN(", ",TRUE,_xlfn._xlws.FILTER(Tabla4[[#All],[PIEZA]],ISNUMBER(SEARCH(Tabla4[[#All],[PCLAVE]],Tabla8[[#This Row],[DESCRIPCION DE TRABAJO]])),""))),"")</f>
        <v>Cuchilla</v>
      </c>
      <c r="O295" s="35" t="str" cm="1">
        <f t="array" ref="O295">_xlfn.TEXTJOIN(", ",TRUE,_xlfn._xlws.FILTER(Tabla28[[#All],[PARTE]],ISNUMBER(SEARCH(Tabla28[[#All],[PCLAVE2]],Tabla8[[#This Row],[DESCRIPCION DE TRABAJO]])),""))</f>
        <v/>
      </c>
      <c r="P295" s="303" t="str">
        <f>IFERROR(LEFT(O295, FIND(",", O295)-1), O295)</f>
        <v/>
      </c>
      <c r="Q295" s="303" t="str">
        <f>IFERROR(IF(ISERROR(FIND(",", O295, FIND(",", O295)+1)), RIGHT(O295, LEN(O295)-FIND(",", O295)-1), MID(O295, FIND(",", O295)+2, FIND(",", O295, FIND(",", O295)+1)-FIND(",", O295)-2)), "")</f>
        <v/>
      </c>
      <c r="R295" s="303" t="str">
        <f>IFERROR(RIGHT(O295, LEN(O295)-FIND(",", O295, FIND(",", O295)+1)-1), "")</f>
        <v/>
      </c>
      <c r="S295" s="35" t="str" cm="1">
        <f t="array" ref="S295">_xlfn.TEXTJOIN(", ",TRUE,_xlfn._xlws.FILTER(Tabla29[[#All],[PARTE]],ISNUMBER(SEARCH(Tabla29[[#All],[PCLAVE3]],Tabla8[[#This Row],[DESCRIPCION DE TRABAJO]])),""))</f>
        <v>Sustitucion</v>
      </c>
      <c r="T295" s="34" t="str">
        <f>IF(AND(Tabla8[[#This Row],[PIEZA]]="",Tabla8[[#This Row],[PARTE]]=""),"VACIO","OK")</f>
        <v>OK</v>
      </c>
      <c r="U295" s="303" t="str">
        <f>+CONCATENATE(WEEKNUM(Tabla8[[#This Row],[FECHA]]),"-",YEAR(Tabla8[[#This Row],[FECHA]]))</f>
        <v>8-2026</v>
      </c>
    </row>
    <row r="296" spans="1:21" ht="15" customHeight="1">
      <c r="A296" s="22">
        <v>46069</v>
      </c>
      <c r="B296" s="16" t="s">
        <v>111</v>
      </c>
      <c r="C296" s="10" t="s">
        <v>39</v>
      </c>
      <c r="D296" s="381">
        <v>0.47916666666666669</v>
      </c>
      <c r="E296" s="381">
        <v>0.4861111111111111</v>
      </c>
      <c r="F296" s="380">
        <f>+MOD(Tabla8[[#This Row],[HR. FIN]]-Tabla8[[#This Row],[HR. INICIO]],1)</f>
        <v>6.9444444444444198E-3</v>
      </c>
      <c r="G296" s="16" t="s">
        <v>192</v>
      </c>
      <c r="H296" s="343" t="str">
        <f>IFERROR(VLOOKUP(G296,DATOS!$M$2:$N$219,2,FALSE),"")</f>
        <v>Maquinaria</v>
      </c>
      <c r="I296" s="115" t="s">
        <v>32</v>
      </c>
      <c r="J296" s="115" t="str">
        <f>+VLOOKUP($I296,Tabla7[#All],2,FALSE)</f>
        <v>PROGRAMADA</v>
      </c>
      <c r="K296" s="114" t="str">
        <f>IF(VLOOKUP(I296,Tabla7[#All],3,FALSE)=0,"",VLOOKUP(I296,Tabla7[#All],3,FALSE))</f>
        <v/>
      </c>
      <c r="L296" s="35" t="s">
        <v>795</v>
      </c>
      <c r="M296" s="35" t="s">
        <v>121</v>
      </c>
      <c r="N296" s="35" t="str" cm="1">
        <f t="array" ref="N296">IFERROR(IF(Tabla8[[#This Row],[P/NP]]="NO PROGRAMADA","",_xlfn.TEXTJOIN(", ",TRUE,_xlfn._xlws.FILTER(Tabla4[[#All],[PIEZA]],ISNUMBER(SEARCH(Tabla4[[#All],[PCLAVE]],Tabla8[[#This Row],[DESCRIPCION DE TRABAJO]])),""))),"")</f>
        <v>Banda, Polin De Arrastre, Tensador</v>
      </c>
      <c r="O296" s="35" t="str" cm="1">
        <f t="array" ref="O296">_xlfn.TEXTJOIN(", ",TRUE,_xlfn._xlws.FILTER(Tabla28[[#All],[PARTE]],ISNUMBER(SEARCH(Tabla28[[#All],[PCLAVE2]],Tabla8[[#This Row],[DESCRIPCION DE TRABAJO]])),""))</f>
        <v/>
      </c>
      <c r="P296" s="303" t="str">
        <f>IFERROR(LEFT(O296, FIND(",", O296)-1), O296)</f>
        <v/>
      </c>
      <c r="Q296" s="303" t="str">
        <f>IFERROR(IF(ISERROR(FIND(",", O296, FIND(",", O296)+1)), RIGHT(O296, LEN(O296)-FIND(",", O296)-1), MID(O296, FIND(",", O296)+2, FIND(",", O296, FIND(",", O296)+1)-FIND(",", O296)-2)), "")</f>
        <v/>
      </c>
      <c r="R296" s="303" t="str">
        <f>IFERROR(RIGHT(O296, LEN(O296)-FIND(",", O296, FIND(",", O296)+1)-1), "")</f>
        <v/>
      </c>
      <c r="S296" s="35" t="str" cm="1">
        <f t="array" ref="S296">_xlfn.TEXTJOIN(", ",TRUE,_xlfn._xlws.FILTER(Tabla29[[#All],[PARTE]],ISNUMBER(SEARCH(Tabla29[[#All],[PCLAVE3]],Tabla8[[#This Row],[DESCRIPCION DE TRABAJO]])),""))</f>
        <v>Soltura</v>
      </c>
      <c r="T296" s="34" t="str">
        <f>IF(AND(Tabla8[[#This Row],[PIEZA]]="",Tabla8[[#This Row],[PARTE]]=""),"VACIO","OK")</f>
        <v>OK</v>
      </c>
      <c r="U296" s="303" t="str">
        <f>+CONCATENATE(WEEKNUM(Tabla8[[#This Row],[FECHA]]),"-",YEAR(Tabla8[[#This Row],[FECHA]]))</f>
        <v>8-2026</v>
      </c>
    </row>
    <row r="297" spans="1:21" ht="15" customHeight="1">
      <c r="A297" s="22">
        <v>46070</v>
      </c>
      <c r="B297" s="16" t="s">
        <v>111</v>
      </c>
      <c r="C297" s="10" t="s">
        <v>39</v>
      </c>
      <c r="D297" s="381">
        <v>2.0833333333333333E-3</v>
      </c>
      <c r="E297" s="381">
        <v>0.13541666666666666</v>
      </c>
      <c r="F297" s="380">
        <f>+MOD(Tabla8[[#This Row],[HR. FIN]]-Tabla8[[#This Row],[HR. INICIO]],1)</f>
        <v>0.13333333333333333</v>
      </c>
      <c r="G297" s="16" t="s">
        <v>211</v>
      </c>
      <c r="H297" s="343" t="str">
        <f>IFERROR(VLOOKUP(G297,DATOS!$M$2:$N$219,2,FALSE),"")</f>
        <v>Maquinaria</v>
      </c>
      <c r="I297" s="115" t="s">
        <v>54</v>
      </c>
      <c r="J297" s="115" t="s">
        <v>92</v>
      </c>
      <c r="K297" s="114" t="s">
        <v>93</v>
      </c>
      <c r="L297" s="35" t="s">
        <v>796</v>
      </c>
      <c r="M297" s="35" t="s">
        <v>797</v>
      </c>
      <c r="N297" s="35" t="str" cm="1">
        <f t="array" ref="N297">IFERROR(IF(Tabla8[[#This Row],[P/NP]]="NO PROGRAMADA","",_xlfn.TEXTJOIN(", ",TRUE,_xlfn._xlws.FILTER(Tabla4[[#All],[PIEZA]],ISNUMBER(SEARCH(Tabla4[[#All],[PCLAVE]],Tabla8[[#This Row],[DESCRIPCION DE TRABAJO]])),""))),"")</f>
        <v/>
      </c>
      <c r="O297" s="35" t="str" cm="1">
        <f t="array" ref="O297">_xlfn.TEXTJOIN(", ",TRUE,_xlfn._xlws.FILTER(Tabla28[[#All],[PARTE]],ISNUMBER(SEARCH(Tabla28[[#All],[PCLAVE2]],Tabla8[[#This Row],[DESCRIPCION DE TRABAJO]])),""))</f>
        <v/>
      </c>
      <c r="P297" s="303" t="str">
        <f>IFERROR(LEFT(O297, FIND(",", O297)-1), O297)</f>
        <v/>
      </c>
      <c r="Q297" s="303" t="str">
        <f>IFERROR(IF(ISERROR(FIND(",", O297, FIND(",", O297)+1)), RIGHT(O297, LEN(O297)-FIND(",", O297)-1), MID(O297, FIND(",", O297)+2, FIND(",", O297, FIND(",", O297)+1)-FIND(",", O297)-2)), "")</f>
        <v/>
      </c>
      <c r="R297" s="303" t="str">
        <f>IFERROR(RIGHT(O297, LEN(O297)-FIND(",", O297, FIND(",", O297)+1)-1), "")</f>
        <v/>
      </c>
      <c r="S297" s="35" t="str" cm="1">
        <f t="array" ref="S297">_xlfn.TEXTJOIN(", ",TRUE,_xlfn._xlws.FILTER(Tabla29[[#All],[PARTE]],ISNUMBER(SEARCH(Tabla29[[#All],[PCLAVE3]],Tabla8[[#This Row],[DESCRIPCION DE TRABAJO]])),""))</f>
        <v>Quemado</v>
      </c>
      <c r="T297" s="34" t="str">
        <f>IF(AND(Tabla8[[#This Row],[PIEZA]]="",Tabla8[[#This Row],[PARTE]]=""),"VACIO","OK")</f>
        <v>VACIO</v>
      </c>
      <c r="U297" s="303" t="str">
        <f>+CONCATENATE(WEEKNUM(Tabla8[[#This Row],[FECHA]]),"-",YEAR(Tabla8[[#This Row],[FECHA]]))</f>
        <v>8-2026</v>
      </c>
    </row>
    <row r="298" spans="1:21" ht="15" customHeight="1">
      <c r="A298" s="22">
        <v>46070</v>
      </c>
      <c r="B298" s="16" t="s">
        <v>111</v>
      </c>
      <c r="C298" s="10" t="s">
        <v>39</v>
      </c>
      <c r="D298" s="381">
        <v>0.15972222222222221</v>
      </c>
      <c r="E298" s="381">
        <v>0.22222222222222221</v>
      </c>
      <c r="F298" s="380">
        <f>+MOD(Tabla8[[#This Row],[HR. FIN]]-Tabla8[[#This Row],[HR. INICIO]],1)</f>
        <v>6.25E-2</v>
      </c>
      <c r="G298" s="16" t="s">
        <v>119</v>
      </c>
      <c r="H298" s="343" t="str">
        <f>IFERROR(VLOOKUP(G298,DATOS!$M$2:$N$219,2,FALSE),"")</f>
        <v>Maquinaria</v>
      </c>
      <c r="I298" s="115" t="s">
        <v>54</v>
      </c>
      <c r="J298" s="115" t="s">
        <v>92</v>
      </c>
      <c r="K298" s="114" t="s">
        <v>93</v>
      </c>
      <c r="L298" s="35" t="s">
        <v>798</v>
      </c>
      <c r="M298" s="35" t="s">
        <v>799</v>
      </c>
      <c r="N298" s="35" t="str" cm="1">
        <f t="array" ref="N298">IFERROR(IF(Tabla8[[#This Row],[P/NP]]="NO PROGRAMADA","",_xlfn.TEXTJOIN(", ",TRUE,_xlfn._xlws.FILTER(Tabla4[[#All],[PIEZA]],ISNUMBER(SEARCH(Tabla4[[#All],[PCLAVE]],Tabla8[[#This Row],[DESCRIPCION DE TRABAJO]])),""))),"")</f>
        <v/>
      </c>
      <c r="O298" s="35" t="str" cm="1">
        <f t="array" ref="O298">_xlfn.TEXTJOIN(", ",TRUE,_xlfn._xlws.FILTER(Tabla28[[#All],[PARTE]],ISNUMBER(SEARCH(Tabla28[[#All],[PCLAVE2]],Tabla8[[#This Row],[DESCRIPCION DE TRABAJO]])),""))</f>
        <v>Tanque, Temperadora</v>
      </c>
      <c r="P298" s="303" t="str">
        <f>IFERROR(LEFT(O298, FIND(",", O298)-1), O298)</f>
        <v>Tanque</v>
      </c>
      <c r="Q298" s="303" t="str">
        <f>IFERROR(IF(ISERROR(FIND(",", O298, FIND(",", O298)+1)), RIGHT(O298, LEN(O298)-FIND(",", O298)-1), MID(O298, FIND(",", O298)+2, FIND(",", O298, FIND(",", O298)+1)-FIND(",", O298)-2)), "")</f>
        <v>Temperadora</v>
      </c>
      <c r="R298" s="303" t="str">
        <f>IFERROR(RIGHT(O298, LEN(O298)-FIND(",", O298, FIND(",", O298)+1)-1), "")</f>
        <v/>
      </c>
      <c r="S298" s="35" t="str" cm="1">
        <f t="array" ref="S298">_xlfn.TEXTJOIN(", ",TRUE,_xlfn._xlws.FILTER(Tabla29[[#All],[PARTE]],ISNUMBER(SEARCH(Tabla29[[#All],[PCLAVE3]],Tabla8[[#This Row],[DESCRIPCION DE TRABAJO]])),""))</f>
        <v>Alta Temperatura, Rotura</v>
      </c>
      <c r="T298" s="34" t="str">
        <f>IF(AND(Tabla8[[#This Row],[PIEZA]]="",Tabla8[[#This Row],[PARTE]]=""),"VACIO","OK")</f>
        <v>OK</v>
      </c>
      <c r="U298" s="303" t="str">
        <f>+CONCATENATE(WEEKNUM(Tabla8[[#This Row],[FECHA]]),"-",YEAR(Tabla8[[#This Row],[FECHA]]))</f>
        <v>8-2026</v>
      </c>
    </row>
    <row r="299" spans="1:21" ht="15" customHeight="1">
      <c r="A299" s="22">
        <v>46070</v>
      </c>
      <c r="B299" s="16" t="s">
        <v>111</v>
      </c>
      <c r="C299" s="10" t="s">
        <v>39</v>
      </c>
      <c r="D299" s="381">
        <v>0.41666666666666669</v>
      </c>
      <c r="E299" s="381">
        <v>0.47916666666666669</v>
      </c>
      <c r="F299" s="380">
        <f>+MOD(Tabla8[[#This Row],[HR. FIN]]-Tabla8[[#This Row],[HR. INICIO]],1)</f>
        <v>6.25E-2</v>
      </c>
      <c r="G299" s="16" t="s">
        <v>182</v>
      </c>
      <c r="H299" s="343" t="str">
        <f>IFERROR(VLOOKUP(G299,DATOS!$M$2:$N$219,2,FALSE),"")</f>
        <v>Maquinaria</v>
      </c>
      <c r="I299" s="115" t="s">
        <v>32</v>
      </c>
      <c r="J299" s="115" t="str">
        <f>+VLOOKUP($I299,Tabla7[#All],2,FALSE)</f>
        <v>PROGRAMADA</v>
      </c>
      <c r="K299" s="114" t="str">
        <f>IF(VLOOKUP(I299,Tabla7[#All],3,FALSE)=0,"",VLOOKUP(I299,Tabla7[#All],3,FALSE))</f>
        <v/>
      </c>
      <c r="L299" s="35" t="s">
        <v>800</v>
      </c>
      <c r="M299" s="35" t="s">
        <v>121</v>
      </c>
      <c r="N299" s="35" t="str" cm="1">
        <f t="array" ref="N299">IFERROR(IF(Tabla8[[#This Row],[P/NP]]="NO PROGRAMADA","",_xlfn.TEXTJOIN(", ",TRUE,_xlfn._xlws.FILTER(Tabla4[[#All],[PIEZA]],ISNUMBER(SEARCH(Tabla4[[#All],[PCLAVE]],Tabla8[[#This Row],[DESCRIPCION DE TRABAJO]])),""))),"")</f>
        <v/>
      </c>
      <c r="O299" s="35" t="str" cm="1">
        <f t="array" ref="O299">_xlfn.TEXTJOIN(", ",TRUE,_xlfn._xlws.FILTER(Tabla28[[#All],[PARTE]],ISNUMBER(SEARCH(Tabla28[[#All],[PCLAVE2]],Tabla8[[#This Row],[DESCRIPCION DE TRABAJO]])),""))</f>
        <v/>
      </c>
      <c r="P299" s="303" t="str">
        <f>IFERROR(LEFT(O299, FIND(",", O299)-1), O299)</f>
        <v/>
      </c>
      <c r="Q299" s="303" t="str">
        <f>IFERROR(IF(ISERROR(FIND(",", O299, FIND(",", O299)+1)), RIGHT(O299, LEN(O299)-FIND(",", O299)-1), MID(O299, FIND(",", O299)+2, FIND(",", O299, FIND(",", O299)+1)-FIND(",", O299)-2)), "")</f>
        <v/>
      </c>
      <c r="R299" s="303" t="str">
        <f>IFERROR(RIGHT(O299, LEN(O299)-FIND(",", O299, FIND(",", O299)+1)-1), "")</f>
        <v/>
      </c>
      <c r="S299" s="35" t="str" cm="1">
        <f t="array" ref="S299">_xlfn.TEXTJOIN(", ",TRUE,_xlfn._xlws.FILTER(Tabla29[[#All],[PARTE]],ISNUMBER(SEARCH(Tabla29[[#All],[PCLAVE3]],Tabla8[[#This Row],[DESCRIPCION DE TRABAJO]])),""))</f>
        <v>Cambio De Formato</v>
      </c>
      <c r="T299" s="34" t="str">
        <f>IF(AND(Tabla8[[#This Row],[PIEZA]]="",Tabla8[[#This Row],[PARTE]]=""),"VACIO","OK")</f>
        <v>VACIO</v>
      </c>
      <c r="U299" s="303" t="str">
        <f>+CONCATENATE(WEEKNUM(Tabla8[[#This Row],[FECHA]]),"-",YEAR(Tabla8[[#This Row],[FECHA]]))</f>
        <v>8-2026</v>
      </c>
    </row>
    <row r="300" spans="1:21" ht="15" customHeight="1">
      <c r="A300" s="22">
        <v>46070</v>
      </c>
      <c r="B300" s="16" t="s">
        <v>131</v>
      </c>
      <c r="C300" s="10" t="s">
        <v>36</v>
      </c>
      <c r="D300" s="381">
        <v>0.34861111111111109</v>
      </c>
      <c r="E300" s="381">
        <v>0.40625</v>
      </c>
      <c r="F300" s="380">
        <f>+MOD(Tabla8[[#This Row],[HR. FIN]]-Tabla8[[#This Row],[HR. INICIO]],1)</f>
        <v>5.7638888888888906E-2</v>
      </c>
      <c r="G300" s="16" t="s">
        <v>192</v>
      </c>
      <c r="H300" s="343" t="str">
        <f>IFERROR(VLOOKUP(G300,DATOS!$M$2:$N$219,2,FALSE),"")</f>
        <v>Maquinaria</v>
      </c>
      <c r="I300" s="115" t="s">
        <v>57</v>
      </c>
      <c r="J300" s="115" t="str">
        <f>+VLOOKUP($I300,Tabla7[#All],2,FALSE)</f>
        <v>NO PROGRAMADA</v>
      </c>
      <c r="K300" s="114" t="str">
        <f>IF(VLOOKUP(I300,Tabla7[#All],3,FALSE)=0,"",VLOOKUP(I300,Tabla7[#All],3,FALSE))</f>
        <v>MECÁNICA</v>
      </c>
      <c r="L300" s="35" t="s">
        <v>801</v>
      </c>
      <c r="M300" s="35" t="s">
        <v>802</v>
      </c>
      <c r="N300" s="35" t="str" cm="1">
        <f t="array" ref="N300">IFERROR(IF(Tabla8[[#This Row],[P/NP]]="NO PROGRAMADA","",_xlfn.TEXTJOIN(", ",TRUE,_xlfn._xlws.FILTER(Tabla4[[#All],[PIEZA]],ISNUMBER(SEARCH(Tabla4[[#All],[PCLAVE]],Tabla8[[#This Row],[DESCRIPCION DE TRABAJO]])),""))),"")</f>
        <v/>
      </c>
      <c r="O300" s="35" t="str" cm="1">
        <f t="array" ref="O300">_xlfn.TEXTJOIN(", ",TRUE,_xlfn._xlws.FILTER(Tabla28[[#All],[PARTE]],ISNUMBER(SEARCH(Tabla28[[#All],[PCLAVE2]],Tabla8[[#This Row],[DESCRIPCION DE TRABAJO]])),""))</f>
        <v/>
      </c>
      <c r="P300" s="303" t="str">
        <f>IFERROR(LEFT(O300, FIND(",", O300)-1), O300)</f>
        <v/>
      </c>
      <c r="Q300" s="303" t="str">
        <f>IFERROR(IF(ISERROR(FIND(",", O300, FIND(",", O300)+1)), RIGHT(O300, LEN(O300)-FIND(",", O300)-1), MID(O300, FIND(",", O300)+2, FIND(",", O300, FIND(",", O300)+1)-FIND(",", O300)-2)), "")</f>
        <v/>
      </c>
      <c r="R300" s="303" t="str">
        <f>IFERROR(RIGHT(O300, LEN(O300)-FIND(",", O300, FIND(",", O300)+1)-1), "")</f>
        <v/>
      </c>
      <c r="S300" s="35" t="str" cm="1">
        <f t="array" ref="S300">_xlfn.TEXTJOIN(", ",TRUE,_xlfn._xlws.FILTER(Tabla29[[#All],[PARTE]],ISNUMBER(SEARCH(Tabla29[[#All],[PCLAVE3]],Tabla8[[#This Row],[DESCRIPCION DE TRABAJO]])),""))</f>
        <v>Laminado, Rotura</v>
      </c>
      <c r="T300" s="34" t="str">
        <f>IF(AND(Tabla8[[#This Row],[PIEZA]]="",Tabla8[[#This Row],[PARTE]]=""),"VACIO","OK")</f>
        <v>VACIO</v>
      </c>
      <c r="U300" s="303" t="str">
        <f>+CONCATENATE(WEEKNUM(Tabla8[[#This Row],[FECHA]]),"-",YEAR(Tabla8[[#This Row],[FECHA]]))</f>
        <v>8-2026</v>
      </c>
    </row>
    <row r="301" spans="1:21" ht="15" customHeight="1">
      <c r="A301" s="22">
        <v>46070</v>
      </c>
      <c r="B301" s="16" t="s">
        <v>179</v>
      </c>
      <c r="C301" s="10" t="s">
        <v>36</v>
      </c>
      <c r="D301" s="381">
        <v>0.30208333333333331</v>
      </c>
      <c r="E301" s="381">
        <v>0.35416666666666669</v>
      </c>
      <c r="F301" s="380">
        <f>+MOD(Tabla8[[#This Row],[HR. FIN]]-Tabla8[[#This Row],[HR. INICIO]],1)</f>
        <v>5.208333333333337E-2</v>
      </c>
      <c r="G301" s="16" t="s">
        <v>119</v>
      </c>
      <c r="H301" s="343" t="str">
        <f>IFERROR(VLOOKUP(G301,DATOS!$M$2:$N$219,2,FALSE),"")</f>
        <v>Maquinaria</v>
      </c>
      <c r="I301" s="115" t="s">
        <v>25</v>
      </c>
      <c r="J301" s="115" t="s">
        <v>92</v>
      </c>
      <c r="K301" s="114" t="s">
        <v>93</v>
      </c>
      <c r="L301" s="35" t="s">
        <v>803</v>
      </c>
      <c r="M301" s="35" t="s">
        <v>121</v>
      </c>
      <c r="N301" s="35" t="str" cm="1">
        <f t="array" ref="N301">IFERROR(IF(Tabla8[[#This Row],[P/NP]]="NO PROGRAMADA","",_xlfn.TEXTJOIN(", ",TRUE,_xlfn._xlws.FILTER(Tabla4[[#All],[PIEZA]],ISNUMBER(SEARCH(Tabla4[[#All],[PCLAVE]],Tabla8[[#This Row],[DESCRIPCION DE TRABAJO]])),""))),"")</f>
        <v/>
      </c>
      <c r="O301" s="35" t="str" cm="1">
        <f t="array" ref="O301">_xlfn.TEXTJOIN(", ",TRUE,_xlfn._xlws.FILTER(Tabla28[[#All],[PARTE]],ISNUMBER(SEARCH(Tabla28[[#All],[PCLAVE2]],Tabla8[[#This Row],[DESCRIPCION DE TRABAJO]])),""))</f>
        <v>Temperadora</v>
      </c>
      <c r="P301" s="303" t="str">
        <f>IFERROR(LEFT(O301, FIND(",", O301)-1), O301)</f>
        <v>Temperadora</v>
      </c>
      <c r="Q301" s="303" t="str">
        <f>IFERROR(IF(ISERROR(FIND(",", O301, FIND(",", O301)+1)), RIGHT(O301, LEN(O301)-FIND(",", O301)-1), MID(O301, FIND(",", O301)+2, FIND(",", O301, FIND(",", O301)+1)-FIND(",", O301)-2)), "")</f>
        <v/>
      </c>
      <c r="R301" s="303" t="str">
        <f>IFERROR(RIGHT(O301, LEN(O301)-FIND(",", O301, FIND(",", O301)+1)-1), "")</f>
        <v/>
      </c>
      <c r="S301" s="35" t="str" cm="1">
        <f t="array" ref="S301">_xlfn.TEXTJOIN(", ",TRUE,_xlfn._xlws.FILTER(Tabla29[[#All],[PARTE]],ISNUMBER(SEARCH(Tabla29[[#All],[PCLAVE3]],Tabla8[[#This Row],[DESCRIPCION DE TRABAJO]])),""))</f>
        <v/>
      </c>
      <c r="T301" s="34" t="str">
        <f>IF(AND(Tabla8[[#This Row],[PIEZA]]="",Tabla8[[#This Row],[PARTE]]=""),"VACIO","OK")</f>
        <v>OK</v>
      </c>
      <c r="U301" s="303" t="str">
        <f>+CONCATENATE(WEEKNUM(Tabla8[[#This Row],[FECHA]]),"-",YEAR(Tabla8[[#This Row],[FECHA]]))</f>
        <v>8-2026</v>
      </c>
    </row>
    <row r="302" spans="1:21" ht="15" customHeight="1">
      <c r="A302" s="22">
        <v>46070</v>
      </c>
      <c r="B302" s="16" t="s">
        <v>131</v>
      </c>
      <c r="C302" s="10" t="s">
        <v>36</v>
      </c>
      <c r="D302" s="381">
        <v>0.53472222222222221</v>
      </c>
      <c r="E302" s="381">
        <v>0.58333333333333337</v>
      </c>
      <c r="F302" s="380">
        <f>+MOD(Tabla8[[#This Row],[HR. FIN]]-Tabla8[[#This Row],[HR. INICIO]],1)</f>
        <v>4.861111111111116E-2</v>
      </c>
      <c r="G302" s="16" t="s">
        <v>119</v>
      </c>
      <c r="H302" s="343" t="str">
        <f>IFERROR(VLOOKUP(G302,DATOS!$M$2:$N$219,2,FALSE),"")</f>
        <v>Maquinaria</v>
      </c>
      <c r="I302" s="115" t="s">
        <v>25</v>
      </c>
      <c r="J302" s="115" t="s">
        <v>92</v>
      </c>
      <c r="K302" s="114" t="s">
        <v>93</v>
      </c>
      <c r="L302" s="35" t="s">
        <v>804</v>
      </c>
      <c r="M302" s="35" t="s">
        <v>121</v>
      </c>
      <c r="N302" s="35" t="str" cm="1">
        <f t="array" ref="N302">IFERROR(IF(Tabla8[[#This Row],[P/NP]]="NO PROGRAMADA","",_xlfn.TEXTJOIN(", ",TRUE,_xlfn._xlws.FILTER(Tabla4[[#All],[PIEZA]],ISNUMBER(SEARCH(Tabla4[[#All],[PCLAVE]],Tabla8[[#This Row],[DESCRIPCION DE TRABAJO]])),""))),"")</f>
        <v/>
      </c>
      <c r="O302" s="35" t="str" cm="1">
        <f t="array" ref="O302">_xlfn.TEXTJOIN(", ",TRUE,_xlfn._xlws.FILTER(Tabla28[[#All],[PARTE]],ISNUMBER(SEARCH(Tabla28[[#All],[PCLAVE2]],Tabla8[[#This Row],[DESCRIPCION DE TRABAJO]])),""))</f>
        <v/>
      </c>
      <c r="P302" s="303" t="str">
        <f>IFERROR(LEFT(O302, FIND(",", O302)-1), O302)</f>
        <v/>
      </c>
      <c r="Q302" s="303" t="str">
        <f>IFERROR(IF(ISERROR(FIND(",", O302, FIND(",", O302)+1)), RIGHT(O302, LEN(O302)-FIND(",", O302)-1), MID(O302, FIND(",", O302)+2, FIND(",", O302, FIND(",", O302)+1)-FIND(",", O302)-2)), "")</f>
        <v/>
      </c>
      <c r="R302" s="303" t="str">
        <f>IFERROR(RIGHT(O302, LEN(O302)-FIND(",", O302, FIND(",", O302)+1)-1), "")</f>
        <v/>
      </c>
      <c r="S302" s="35" t="str" cm="1">
        <f t="array" ref="S302">_xlfn.TEXTJOIN(", ",TRUE,_xlfn._xlws.FILTER(Tabla29[[#All],[PARTE]],ISNUMBER(SEARCH(Tabla29[[#All],[PCLAVE3]],Tabla8[[#This Row],[DESCRIPCION DE TRABAJO]])),""))</f>
        <v/>
      </c>
      <c r="T302" s="34" t="str">
        <f>IF(AND(Tabla8[[#This Row],[PIEZA]]="",Tabla8[[#This Row],[PARTE]]=""),"VACIO","OK")</f>
        <v>VACIO</v>
      </c>
      <c r="U302" s="303" t="str">
        <f>+CONCATENATE(WEEKNUM(Tabla8[[#This Row],[FECHA]]),"-",YEAR(Tabla8[[#This Row],[FECHA]]))</f>
        <v>8-2026</v>
      </c>
    </row>
    <row r="303" spans="1:21" ht="15" customHeight="1">
      <c r="A303" s="22">
        <v>46070</v>
      </c>
      <c r="B303" s="16" t="s">
        <v>131</v>
      </c>
      <c r="C303" s="10" t="s">
        <v>36</v>
      </c>
      <c r="D303" s="381">
        <v>0.2951388888888889</v>
      </c>
      <c r="E303" s="381">
        <v>0.34375</v>
      </c>
      <c r="F303" s="380">
        <f>+MOD(Tabla8[[#This Row],[HR. FIN]]-Tabla8[[#This Row],[HR. INICIO]],1)</f>
        <v>4.8611111111111105E-2</v>
      </c>
      <c r="G303" s="16" t="s">
        <v>81</v>
      </c>
      <c r="H303" s="343" t="str">
        <f>IFERROR(VLOOKUP(G303,DATOS!$M$2:$N$219,2,FALSE),"")</f>
        <v>Maquinaria</v>
      </c>
      <c r="I303" s="115" t="s">
        <v>28</v>
      </c>
      <c r="J303" s="115" t="str">
        <f>+VLOOKUP($I303,Tabla7[#All],2,FALSE)</f>
        <v>NO PROGRAMADA</v>
      </c>
      <c r="K303" s="114" t="s">
        <v>93</v>
      </c>
      <c r="L303" s="35" t="s">
        <v>805</v>
      </c>
      <c r="M303" s="35" t="s">
        <v>806</v>
      </c>
      <c r="N303" s="35" t="str" cm="1">
        <f t="array" ref="N303">IFERROR(IF(Tabla8[[#This Row],[P/NP]]="NO PROGRAMADA","",_xlfn.TEXTJOIN(", ",TRUE,_xlfn._xlws.FILTER(Tabla4[[#All],[PIEZA]],ISNUMBER(SEARCH(Tabla4[[#All],[PCLAVE]],Tabla8[[#This Row],[DESCRIPCION DE TRABAJO]])),""))),"")</f>
        <v/>
      </c>
      <c r="O303" s="35" t="str" cm="1">
        <f t="array" ref="O303">_xlfn.TEXTJOIN(", ",TRUE,_xlfn._xlws.FILTER(Tabla28[[#All],[PARTE]],ISNUMBER(SEARCH(Tabla28[[#All],[PCLAVE2]],Tabla8[[#This Row],[DESCRIPCION DE TRABAJO]])),""))</f>
        <v/>
      </c>
      <c r="P303" s="303" t="str">
        <f>IFERROR(LEFT(O303, FIND(",", O303)-1), O303)</f>
        <v/>
      </c>
      <c r="Q303" s="303" t="str">
        <f>IFERROR(IF(ISERROR(FIND(",", O303, FIND(",", O303)+1)), RIGHT(O303, LEN(O303)-FIND(",", O303)-1), MID(O303, FIND(",", O303)+2, FIND(",", O303, FIND(",", O303)+1)-FIND(",", O303)-2)), "")</f>
        <v/>
      </c>
      <c r="R303" s="303" t="str">
        <f>IFERROR(RIGHT(O303, LEN(O303)-FIND(",", O303, FIND(",", O303)+1)-1), "")</f>
        <v/>
      </c>
      <c r="S303" s="35" t="str" cm="1">
        <f t="array" ref="S303">_xlfn.TEXTJOIN(", ",TRUE,_xlfn._xlws.FILTER(Tabla29[[#All],[PARTE]],ISNUMBER(SEARCH(Tabla29[[#All],[PCLAVE3]],Tabla8[[#This Row],[DESCRIPCION DE TRABAJO]])),""))</f>
        <v>Dañado, Laminado</v>
      </c>
      <c r="T303" s="34" t="str">
        <f>IF(AND(Tabla8[[#This Row],[PIEZA]]="",Tabla8[[#This Row],[PARTE]]=""),"VACIO","OK")</f>
        <v>VACIO</v>
      </c>
      <c r="U303" s="303" t="str">
        <f>+CONCATENATE(WEEKNUM(Tabla8[[#This Row],[FECHA]]),"-",YEAR(Tabla8[[#This Row],[FECHA]]))</f>
        <v>8-2026</v>
      </c>
    </row>
    <row r="304" spans="1:21" ht="15" customHeight="1">
      <c r="A304" s="22">
        <v>46070</v>
      </c>
      <c r="B304" s="16" t="s">
        <v>179</v>
      </c>
      <c r="C304" s="10" t="s">
        <v>36</v>
      </c>
      <c r="D304" s="381">
        <v>0.2361111111111111</v>
      </c>
      <c r="E304" s="381">
        <v>0.27777777777777779</v>
      </c>
      <c r="F304" s="380">
        <f>+MOD(Tabla8[[#This Row],[HR. FIN]]-Tabla8[[#This Row],[HR. INICIO]],1)</f>
        <v>4.1666666666666685E-2</v>
      </c>
      <c r="G304" s="16" t="s">
        <v>119</v>
      </c>
      <c r="H304" s="343" t="str">
        <f>IFERROR(VLOOKUP(G304,DATOS!$M$2:$N$219,2,FALSE),"")</f>
        <v>Maquinaria</v>
      </c>
      <c r="I304" s="115" t="s">
        <v>54</v>
      </c>
      <c r="J304" s="115" t="s">
        <v>92</v>
      </c>
      <c r="K304" s="114" t="s">
        <v>93</v>
      </c>
      <c r="L304" s="35" t="s">
        <v>807</v>
      </c>
      <c r="M304" s="35" t="s">
        <v>121</v>
      </c>
      <c r="N304" s="35" t="str" cm="1">
        <f t="array" ref="N304">IFERROR(IF(Tabla8[[#This Row],[P/NP]]="NO PROGRAMADA","",_xlfn.TEXTJOIN(", ",TRUE,_xlfn._xlws.FILTER(Tabla4[[#All],[PIEZA]],ISNUMBER(SEARCH(Tabla4[[#All],[PCLAVE]],Tabla8[[#This Row],[DESCRIPCION DE TRABAJO]])),""))),"")</f>
        <v/>
      </c>
      <c r="O304" s="35" t="str" cm="1">
        <f t="array" ref="O304">_xlfn.TEXTJOIN(", ",TRUE,_xlfn._xlws.FILTER(Tabla28[[#All],[PARTE]],ISNUMBER(SEARCH(Tabla28[[#All],[PCLAVE2]],Tabla8[[#This Row],[DESCRIPCION DE TRABAJO]])),""))</f>
        <v/>
      </c>
      <c r="P304" s="303" t="str">
        <f>IFERROR(LEFT(O304, FIND(",", O304)-1), O304)</f>
        <v/>
      </c>
      <c r="Q304" s="303" t="str">
        <f>IFERROR(IF(ISERROR(FIND(",", O304, FIND(",", O304)+1)), RIGHT(O304, LEN(O304)-FIND(",", O304)-1), MID(O304, FIND(",", O304)+2, FIND(",", O304, FIND(",", O304)+1)-FIND(",", O304)-2)), "")</f>
        <v/>
      </c>
      <c r="R304" s="303" t="str">
        <f>IFERROR(RIGHT(O304, LEN(O304)-FIND(",", O304, FIND(",", O304)+1)-1), "")</f>
        <v/>
      </c>
      <c r="S304" s="35" t="str" cm="1">
        <f t="array" ref="S304">_xlfn.TEXTJOIN(", ",TRUE,_xlfn._xlws.FILTER(Tabla29[[#All],[PARTE]],ISNUMBER(SEARCH(Tabla29[[#All],[PCLAVE3]],Tabla8[[#This Row],[DESCRIPCION DE TRABAJO]])),""))</f>
        <v/>
      </c>
      <c r="T304" s="34" t="str">
        <f>IF(AND(Tabla8[[#This Row],[PIEZA]]="",Tabla8[[#This Row],[PARTE]]=""),"VACIO","OK")</f>
        <v>VACIO</v>
      </c>
      <c r="U304" s="303" t="str">
        <f>+CONCATENATE(WEEKNUM(Tabla8[[#This Row],[FECHA]]),"-",YEAR(Tabla8[[#This Row],[FECHA]]))</f>
        <v>8-2026</v>
      </c>
    </row>
    <row r="305" spans="1:21" ht="15" customHeight="1">
      <c r="A305" s="22">
        <v>46070</v>
      </c>
      <c r="B305" s="16" t="s">
        <v>131</v>
      </c>
      <c r="C305" s="10" t="s">
        <v>36</v>
      </c>
      <c r="D305" s="381">
        <v>0.2361111111111111</v>
      </c>
      <c r="E305" s="381">
        <v>0.27430555555555558</v>
      </c>
      <c r="F305" s="380">
        <f>+MOD(Tabla8[[#This Row],[HR. FIN]]-Tabla8[[#This Row],[HR. INICIO]],1)</f>
        <v>3.8194444444444475E-2</v>
      </c>
      <c r="G305" s="16" t="s">
        <v>119</v>
      </c>
      <c r="H305" s="343" t="str">
        <f>IFERROR(VLOOKUP(G305,DATOS!$M$2:$N$219,2,FALSE),"")</f>
        <v>Maquinaria</v>
      </c>
      <c r="I305" s="115" t="s">
        <v>54</v>
      </c>
      <c r="J305" s="115" t="s">
        <v>92</v>
      </c>
      <c r="K305" s="114" t="s">
        <v>93</v>
      </c>
      <c r="L305" s="35" t="s">
        <v>808</v>
      </c>
      <c r="M305" s="35" t="s">
        <v>121</v>
      </c>
      <c r="N305" s="35" t="str" cm="1">
        <f t="array" ref="N305">IFERROR(IF(Tabla8[[#This Row],[P/NP]]="NO PROGRAMADA","",_xlfn.TEXTJOIN(", ",TRUE,_xlfn._xlws.FILTER(Tabla4[[#All],[PIEZA]],ISNUMBER(SEARCH(Tabla4[[#All],[PCLAVE]],Tabla8[[#This Row],[DESCRIPCION DE TRABAJO]])),""))),"")</f>
        <v/>
      </c>
      <c r="O305" s="35" t="str" cm="1">
        <f t="array" ref="O305">_xlfn.TEXTJOIN(", ",TRUE,_xlfn._xlws.FILTER(Tabla28[[#All],[PARTE]],ISNUMBER(SEARCH(Tabla28[[#All],[PCLAVE2]],Tabla8[[#This Row],[DESCRIPCION DE TRABAJO]])),""))</f>
        <v>Temperadora</v>
      </c>
      <c r="P305" s="303" t="str">
        <f>IFERROR(LEFT(O305, FIND(",", O305)-1), O305)</f>
        <v>Temperadora</v>
      </c>
      <c r="Q305" s="303" t="str">
        <f>IFERROR(IF(ISERROR(FIND(",", O305, FIND(",", O305)+1)), RIGHT(O305, LEN(O305)-FIND(",", O305)-1), MID(O305, FIND(",", O305)+2, FIND(",", O305, FIND(",", O305)+1)-FIND(",", O305)-2)), "")</f>
        <v/>
      </c>
      <c r="R305" s="303" t="str">
        <f>IFERROR(RIGHT(O305, LEN(O305)-FIND(",", O305, FIND(",", O305)+1)-1), "")</f>
        <v/>
      </c>
      <c r="S305" s="35" t="str" cm="1">
        <f t="array" ref="S305">_xlfn.TEXTJOIN(", ",TRUE,_xlfn._xlws.FILTER(Tabla29[[#All],[PARTE]],ISNUMBER(SEARCH(Tabla29[[#All],[PCLAVE3]],Tabla8[[#This Row],[DESCRIPCION DE TRABAJO]])),""))</f>
        <v/>
      </c>
      <c r="T305" s="34" t="str">
        <f>IF(AND(Tabla8[[#This Row],[PIEZA]]="",Tabla8[[#This Row],[PARTE]]=""),"VACIO","OK")</f>
        <v>OK</v>
      </c>
      <c r="U305" s="303" t="str">
        <f>+CONCATENATE(WEEKNUM(Tabla8[[#This Row],[FECHA]]),"-",YEAR(Tabla8[[#This Row],[FECHA]]))</f>
        <v>8-2026</v>
      </c>
    </row>
    <row r="306" spans="1:21" ht="15" customHeight="1">
      <c r="A306" s="22">
        <v>46070</v>
      </c>
      <c r="B306" s="16" t="s">
        <v>131</v>
      </c>
      <c r="C306" s="10" t="s">
        <v>36</v>
      </c>
      <c r="D306" s="381">
        <v>0.4201388888888889</v>
      </c>
      <c r="E306" s="381">
        <v>0.44722222222222224</v>
      </c>
      <c r="F306" s="380">
        <f>+MOD(Tabla8[[#This Row],[HR. FIN]]-Tabla8[[#This Row],[HR. INICIO]],1)</f>
        <v>2.7083333333333348E-2</v>
      </c>
      <c r="G306" s="16" t="s">
        <v>24</v>
      </c>
      <c r="H306" s="343" t="str">
        <f>IFERROR(VLOOKUP(G306,DATOS!$M$2:$N$219,2,FALSE),"")</f>
        <v>Maquinaria</v>
      </c>
      <c r="I306" s="115" t="s">
        <v>57</v>
      </c>
      <c r="J306" s="115" t="str">
        <f>+VLOOKUP($I306,Tabla7[#All],2,FALSE)</f>
        <v>NO PROGRAMADA</v>
      </c>
      <c r="K306" s="114" t="str">
        <f>IF(VLOOKUP(I306,Tabla7[#All],3,FALSE)=0,"",VLOOKUP(I306,Tabla7[#All],3,FALSE))</f>
        <v>MECÁNICA</v>
      </c>
      <c r="L306" s="35" t="s">
        <v>809</v>
      </c>
      <c r="M306" s="35" t="s">
        <v>810</v>
      </c>
      <c r="N306" s="35" t="str" cm="1">
        <f t="array" ref="N306">IFERROR(IF(Tabla8[[#This Row],[P/NP]]="NO PROGRAMADA","",_xlfn.TEXTJOIN(", ",TRUE,_xlfn._xlws.FILTER(Tabla4[[#All],[PIEZA]],ISNUMBER(SEARCH(Tabla4[[#All],[PCLAVE]],Tabla8[[#This Row],[DESCRIPCION DE TRABAJO]])),""))),"")</f>
        <v/>
      </c>
      <c r="O306" s="35" t="str" cm="1">
        <f t="array" ref="O306">_xlfn.TEXTJOIN(", ",TRUE,_xlfn._xlws.FILTER(Tabla28[[#All],[PARTE]],ISNUMBER(SEARCH(Tabla28[[#All],[PCLAVE2]],Tabla8[[#This Row],[DESCRIPCION DE TRABAJO]])),""))</f>
        <v/>
      </c>
      <c r="P306" s="303" t="str">
        <f>IFERROR(LEFT(O306, FIND(",", O306)-1), O306)</f>
        <v/>
      </c>
      <c r="Q306" s="303" t="str">
        <f>IFERROR(IF(ISERROR(FIND(",", O306, FIND(",", O306)+1)), RIGHT(O306, LEN(O306)-FIND(",", O306)-1), MID(O306, FIND(",", O306)+2, FIND(",", O306, FIND(",", O306)+1)-FIND(",", O306)-2)), "")</f>
        <v/>
      </c>
      <c r="R306" s="303" t="str">
        <f>IFERROR(RIGHT(O306, LEN(O306)-FIND(",", O306, FIND(",", O306)+1)-1), "")</f>
        <v/>
      </c>
      <c r="S306" s="35" t="str" cm="1">
        <f t="array" ref="S306">_xlfn.TEXTJOIN(", ",TRUE,_xlfn._xlws.FILTER(Tabla29[[#All],[PARTE]],ISNUMBER(SEARCH(Tabla29[[#All],[PCLAVE3]],Tabla8[[#This Row],[DESCRIPCION DE TRABAJO]])),""))</f>
        <v>Laminado</v>
      </c>
      <c r="T306" s="34" t="str">
        <f>IF(AND(Tabla8[[#This Row],[PIEZA]]="",Tabla8[[#This Row],[PARTE]]=""),"VACIO","OK")</f>
        <v>VACIO</v>
      </c>
      <c r="U306" s="303" t="str">
        <f>+CONCATENATE(WEEKNUM(Tabla8[[#This Row],[FECHA]]),"-",YEAR(Tabla8[[#This Row],[FECHA]]))</f>
        <v>8-2026</v>
      </c>
    </row>
    <row r="307" spans="1:21" ht="15" customHeight="1">
      <c r="A307" s="22">
        <v>46070</v>
      </c>
      <c r="B307" s="16" t="s">
        <v>191</v>
      </c>
      <c r="C307" s="10" t="s">
        <v>23</v>
      </c>
      <c r="D307" s="381">
        <v>0.55694444444444446</v>
      </c>
      <c r="E307" s="381">
        <v>0.58125000000000004</v>
      </c>
      <c r="F307" s="380">
        <f>+MOD(Tabla8[[#This Row],[HR. FIN]]-Tabla8[[#This Row],[HR. INICIO]],1)</f>
        <v>2.430555555555558E-2</v>
      </c>
      <c r="G307" s="16" t="s">
        <v>119</v>
      </c>
      <c r="H307" s="343" t="str">
        <f>IFERROR(VLOOKUP(G307,DATOS!$M$2:$N$219,2,FALSE),"")</f>
        <v>Maquinaria</v>
      </c>
      <c r="I307" s="115" t="s">
        <v>32</v>
      </c>
      <c r="J307" s="115" t="s">
        <v>92</v>
      </c>
      <c r="K307" s="114" t="s">
        <v>93</v>
      </c>
      <c r="L307" s="35" t="s">
        <v>811</v>
      </c>
      <c r="M307" s="35" t="s">
        <v>812</v>
      </c>
      <c r="N307" s="35" t="str" cm="1">
        <f t="array" ref="N307">IFERROR(IF(Tabla8[[#This Row],[P/NP]]="NO PROGRAMADA","",_xlfn.TEXTJOIN(", ",TRUE,_xlfn._xlws.FILTER(Tabla4[[#All],[PIEZA]],ISNUMBER(SEARCH(Tabla4[[#All],[PCLAVE]],Tabla8[[#This Row],[DESCRIPCION DE TRABAJO]])),""))),"")</f>
        <v/>
      </c>
      <c r="O307" s="35" t="str" cm="1">
        <f t="array" ref="O307">_xlfn.TEXTJOIN(", ",TRUE,_xlfn._xlws.FILTER(Tabla28[[#All],[PARTE]],ISNUMBER(SEARCH(Tabla28[[#All],[PCLAVE2]],Tabla8[[#This Row],[DESCRIPCION DE TRABAJO]])),""))</f>
        <v>Temperadora</v>
      </c>
      <c r="P307" s="303" t="str">
        <f>IFERROR(LEFT(O307, FIND(",", O307)-1), O307)</f>
        <v>Temperadora</v>
      </c>
      <c r="Q307" s="303" t="str">
        <f>IFERROR(IF(ISERROR(FIND(",", O307, FIND(",", O307)+1)), RIGHT(O307, LEN(O307)-FIND(",", O307)-1), MID(O307, FIND(",", O307)+2, FIND(",", O307, FIND(",", O307)+1)-FIND(",", O307)-2)), "")</f>
        <v/>
      </c>
      <c r="R307" s="303" t="str">
        <f>IFERROR(RIGHT(O307, LEN(O307)-FIND(",", O307, FIND(",", O307)+1)-1), "")</f>
        <v/>
      </c>
      <c r="S307" s="35" t="str" cm="1">
        <f t="array" ref="S307">_xlfn.TEXTJOIN(", ",TRUE,_xlfn._xlws.FILTER(Tabla29[[#All],[PARTE]],ISNUMBER(SEARCH(Tabla29[[#All],[PCLAVE3]],Tabla8[[#This Row],[DESCRIPCION DE TRABAJO]])),""))</f>
        <v/>
      </c>
      <c r="T307" s="34" t="str">
        <f>IF(AND(Tabla8[[#This Row],[PIEZA]]="",Tabla8[[#This Row],[PARTE]]=""),"VACIO","OK")</f>
        <v>OK</v>
      </c>
      <c r="U307" s="303" t="str">
        <f>+CONCATENATE(WEEKNUM(Tabla8[[#This Row],[FECHA]]),"-",YEAR(Tabla8[[#This Row],[FECHA]]))</f>
        <v>8-2026</v>
      </c>
    </row>
    <row r="308" spans="1:21" ht="15" customHeight="1">
      <c r="A308" s="22">
        <v>46070</v>
      </c>
      <c r="B308" s="16" t="s">
        <v>111</v>
      </c>
      <c r="C308" s="10" t="s">
        <v>39</v>
      </c>
      <c r="D308" s="381">
        <v>7.9861111111111105E-2</v>
      </c>
      <c r="E308" s="381">
        <v>0.10416666666666667</v>
      </c>
      <c r="F308" s="380">
        <f>+MOD(Tabla8[[#This Row],[HR. FIN]]-Tabla8[[#This Row],[HR. INICIO]],1)</f>
        <v>2.4305555555555566E-2</v>
      </c>
      <c r="G308" s="16" t="s">
        <v>198</v>
      </c>
      <c r="H308" s="343" t="str">
        <f>IFERROR(VLOOKUP(G308,DATOS!$M$2:$N$219,2,FALSE),"")</f>
        <v>Maquinaria</v>
      </c>
      <c r="I308" s="115" t="s">
        <v>54</v>
      </c>
      <c r="J308" s="115" t="str">
        <f>+VLOOKUP($I308,Tabla7[#All],2,FALSE)</f>
        <v>PROGRAMADA</v>
      </c>
      <c r="K308" s="114" t="str">
        <f>IF(VLOOKUP(I308,Tabla7[#All],3,FALSE)=0,"",VLOOKUP(I308,Tabla7[#All],3,FALSE))</f>
        <v/>
      </c>
      <c r="L308" s="35" t="s">
        <v>813</v>
      </c>
      <c r="M308" s="35" t="s">
        <v>121</v>
      </c>
      <c r="N308" s="35" t="str" cm="1">
        <f t="array" ref="N308">IFERROR(IF(Tabla8[[#This Row],[P/NP]]="NO PROGRAMADA","",_xlfn.TEXTJOIN(", ",TRUE,_xlfn._xlws.FILTER(Tabla4[[#All],[PIEZA]],ISNUMBER(SEARCH(Tabla4[[#All],[PCLAVE]],Tabla8[[#This Row],[DESCRIPCION DE TRABAJO]])),""))),"")</f>
        <v>Bobina</v>
      </c>
      <c r="O308" s="35" t="str" cm="1">
        <f t="array" ref="O308">_xlfn.TEXTJOIN(", ",TRUE,_xlfn._xlws.FILTER(Tabla28[[#All],[PARTE]],ISNUMBER(SEARCH(Tabla28[[#All],[PCLAVE2]],Tabla8[[#This Row],[DESCRIPCION DE TRABAJO]])),""))</f>
        <v/>
      </c>
      <c r="P308" s="303" t="str">
        <f>IFERROR(LEFT(O308, FIND(",", O308)-1), O308)</f>
        <v/>
      </c>
      <c r="Q308" s="303" t="str">
        <f>IFERROR(IF(ISERROR(FIND(",", O308, FIND(",", O308)+1)), RIGHT(O308, LEN(O308)-FIND(",", O308)-1), MID(O308, FIND(",", O308)+2, FIND(",", O308, FIND(",", O308)+1)-FIND(",", O308)-2)), "")</f>
        <v/>
      </c>
      <c r="R308" s="303" t="str">
        <f>IFERROR(RIGHT(O308, LEN(O308)-FIND(",", O308, FIND(",", O308)+1)-1), "")</f>
        <v/>
      </c>
      <c r="S308" s="35" t="str" cm="1">
        <f t="array" ref="S308">_xlfn.TEXTJOIN(", ",TRUE,_xlfn._xlws.FILTER(Tabla29[[#All],[PARTE]],ISNUMBER(SEARCH(Tabla29[[#All],[PCLAVE3]],Tabla8[[#This Row],[DESCRIPCION DE TRABAJO]])),""))</f>
        <v/>
      </c>
      <c r="T308" s="34" t="str">
        <f>IF(AND(Tabla8[[#This Row],[PIEZA]]="",Tabla8[[#This Row],[PARTE]]=""),"VACIO","OK")</f>
        <v>OK</v>
      </c>
      <c r="U308" s="303" t="str">
        <f>+CONCATENATE(WEEKNUM(Tabla8[[#This Row],[FECHA]]),"-",YEAR(Tabla8[[#This Row],[FECHA]]))</f>
        <v>8-2026</v>
      </c>
    </row>
    <row r="309" spans="1:21" ht="15" customHeight="1">
      <c r="A309" s="22">
        <v>46070</v>
      </c>
      <c r="B309" s="16" t="s">
        <v>111</v>
      </c>
      <c r="C309" s="10" t="s">
        <v>39</v>
      </c>
      <c r="D309" s="381">
        <v>0.17708333333333334</v>
      </c>
      <c r="E309" s="381">
        <v>0.2013888888888889</v>
      </c>
      <c r="F309" s="380">
        <f>+MOD(Tabla8[[#This Row],[HR. FIN]]-Tabla8[[#This Row],[HR. INICIO]],1)</f>
        <v>2.4305555555555552E-2</v>
      </c>
      <c r="G309" s="16" t="s">
        <v>211</v>
      </c>
      <c r="H309" s="343" t="str">
        <f>IFERROR(VLOOKUP(G309,DATOS!$M$2:$N$219,2,FALSE),"")</f>
        <v>Maquinaria</v>
      </c>
      <c r="I309" s="115" t="s">
        <v>186</v>
      </c>
      <c r="J309" s="115" t="str">
        <f>+VLOOKUP($I309,Tabla7[#All],2,FALSE)</f>
        <v>NO PROGRAMADA</v>
      </c>
      <c r="K309" s="114" t="s">
        <v>93</v>
      </c>
      <c r="L309" s="35" t="s">
        <v>814</v>
      </c>
      <c r="M309" s="35" t="s">
        <v>121</v>
      </c>
      <c r="N309" s="35" t="str" cm="1">
        <f t="array" ref="N309">IFERROR(IF(Tabla8[[#This Row],[P/NP]]="NO PROGRAMADA","",_xlfn.TEXTJOIN(", ",TRUE,_xlfn._xlws.FILTER(Tabla4[[#All],[PIEZA]],ISNUMBER(SEARCH(Tabla4[[#All],[PCLAVE]],Tabla8[[#This Row],[DESCRIPCION DE TRABAJO]])),""))),"")</f>
        <v/>
      </c>
      <c r="O309" s="35" t="str" cm="1">
        <f t="array" ref="O309">_xlfn.TEXTJOIN(", ",TRUE,_xlfn._xlws.FILTER(Tabla28[[#All],[PARTE]],ISNUMBER(SEARCH(Tabla28[[#All],[PCLAVE2]],Tabla8[[#This Row],[DESCRIPCION DE TRABAJO]])),""))</f>
        <v/>
      </c>
      <c r="P309" s="303" t="str">
        <f>IFERROR(LEFT(O309, FIND(",", O309)-1), O309)</f>
        <v/>
      </c>
      <c r="Q309" s="303" t="str">
        <f>IFERROR(IF(ISERROR(FIND(",", O309, FIND(",", O309)+1)), RIGHT(O309, LEN(O309)-FIND(",", O309)-1), MID(O309, FIND(",", O309)+2, FIND(",", O309, FIND(",", O309)+1)-FIND(",", O309)-2)), "")</f>
        <v/>
      </c>
      <c r="R309" s="303" t="str">
        <f>IFERROR(RIGHT(O309, LEN(O309)-FIND(",", O309, FIND(",", O309)+1)-1), "")</f>
        <v/>
      </c>
      <c r="S309" s="35" t="str" cm="1">
        <f t="array" ref="S309">_xlfn.TEXTJOIN(", ",TRUE,_xlfn._xlws.FILTER(Tabla29[[#All],[PARTE]],ISNUMBER(SEARCH(Tabla29[[#All],[PCLAVE3]],Tabla8[[#This Row],[DESCRIPCION DE TRABAJO]])),""))</f>
        <v>Carga/descarga</v>
      </c>
      <c r="T309" s="34" t="str">
        <f>IF(AND(Tabla8[[#This Row],[PIEZA]]="",Tabla8[[#This Row],[PARTE]]=""),"VACIO","OK")</f>
        <v>VACIO</v>
      </c>
      <c r="U309" s="303" t="str">
        <f>+CONCATENATE(WEEKNUM(Tabla8[[#This Row],[FECHA]]),"-",YEAR(Tabla8[[#This Row],[FECHA]]))</f>
        <v>8-2026</v>
      </c>
    </row>
    <row r="310" spans="1:21" ht="15" customHeight="1">
      <c r="A310" s="22">
        <v>46070</v>
      </c>
      <c r="B310" s="16" t="s">
        <v>111</v>
      </c>
      <c r="C310" s="10" t="s">
        <v>39</v>
      </c>
      <c r="D310" s="381">
        <v>0.39583333333333331</v>
      </c>
      <c r="E310" s="381">
        <v>0.41666666666666669</v>
      </c>
      <c r="F310" s="380">
        <f>+MOD(Tabla8[[#This Row],[HR. FIN]]-Tabla8[[#This Row],[HR. INICIO]],1)</f>
        <v>2.083333333333337E-2</v>
      </c>
      <c r="G310" s="16" t="s">
        <v>815</v>
      </c>
      <c r="H310" s="343" t="str">
        <f>IFERROR(VLOOKUP(G310,DATOS!$M$2:$N$219,2,FALSE),"")</f>
        <v>Maquinaria</v>
      </c>
      <c r="I310" s="115" t="s">
        <v>57</v>
      </c>
      <c r="J310" s="115" t="str">
        <f>+VLOOKUP($I310,Tabla7[#All],2,FALSE)</f>
        <v>NO PROGRAMADA</v>
      </c>
      <c r="K310" s="114" t="str">
        <f>IF(VLOOKUP(I310,Tabla7[#All],3,FALSE)=0,"",VLOOKUP(I310,Tabla7[#All],3,FALSE))</f>
        <v>MECÁNICA</v>
      </c>
      <c r="L310" s="35" t="s">
        <v>816</v>
      </c>
      <c r="M310" s="35" t="s">
        <v>817</v>
      </c>
      <c r="N310" s="35" t="str" cm="1">
        <f t="array" ref="N310">IFERROR(IF(Tabla8[[#This Row],[P/NP]]="NO PROGRAMADA","",_xlfn.TEXTJOIN(", ",TRUE,_xlfn._xlws.FILTER(Tabla4[[#All],[PIEZA]],ISNUMBER(SEARCH(Tabla4[[#All],[PCLAVE]],Tabla8[[#This Row],[DESCRIPCION DE TRABAJO]])),""))),"")</f>
        <v/>
      </c>
      <c r="O310" s="35" t="str" cm="1">
        <f t="array" ref="O310">_xlfn.TEXTJOIN(", ",TRUE,_xlfn._xlws.FILTER(Tabla28[[#All],[PARTE]],ISNUMBER(SEARCH(Tabla28[[#All],[PCLAVE2]],Tabla8[[#This Row],[DESCRIPCION DE TRABAJO]])),""))</f>
        <v/>
      </c>
      <c r="P310" s="303" t="str">
        <f>IFERROR(LEFT(O310, FIND(",", O310)-1), O310)</f>
        <v/>
      </c>
      <c r="Q310" s="303" t="str">
        <f>IFERROR(IF(ISERROR(FIND(",", O310, FIND(",", O310)+1)), RIGHT(O310, LEN(O310)-FIND(",", O310)-1), MID(O310, FIND(",", O310)+2, FIND(",", O310, FIND(",", O310)+1)-FIND(",", O310)-2)), "")</f>
        <v/>
      </c>
      <c r="R310" s="303" t="str">
        <f>IFERROR(RIGHT(O310, LEN(O310)-FIND(",", O310, FIND(",", O310)+1)-1), "")</f>
        <v/>
      </c>
      <c r="S310" s="35" t="str" cm="1">
        <f t="array" ref="S310">_xlfn.TEXTJOIN(", ",TRUE,_xlfn._xlws.FILTER(Tabla29[[#All],[PARTE]],ISNUMBER(SEARCH(Tabla29[[#All],[PCLAVE3]],Tabla8[[#This Row],[DESCRIPCION DE TRABAJO]])),""))</f>
        <v>Fuga, Lubricacion</v>
      </c>
      <c r="T310" s="34" t="str">
        <f>IF(AND(Tabla8[[#This Row],[PIEZA]]="",Tabla8[[#This Row],[PARTE]]=""),"VACIO","OK")</f>
        <v>VACIO</v>
      </c>
      <c r="U310" s="303" t="str">
        <f>+CONCATENATE(WEEKNUM(Tabla8[[#This Row],[FECHA]]),"-",YEAR(Tabla8[[#This Row],[FECHA]]))</f>
        <v>8-2026</v>
      </c>
    </row>
    <row r="311" spans="1:21" ht="15" customHeight="1">
      <c r="A311" s="22">
        <v>46070</v>
      </c>
      <c r="B311" s="16" t="s">
        <v>111</v>
      </c>
      <c r="C311" s="10" t="s">
        <v>39</v>
      </c>
      <c r="D311" s="381">
        <v>0.4826388888888889</v>
      </c>
      <c r="E311" s="381">
        <v>0.49930555555555556</v>
      </c>
      <c r="F311" s="380">
        <f>+MOD(Tabla8[[#This Row],[HR. FIN]]-Tabla8[[#This Row],[HR. INICIO]],1)</f>
        <v>1.6666666666666663E-2</v>
      </c>
      <c r="G311" s="16" t="s">
        <v>24</v>
      </c>
      <c r="H311" s="343" t="str">
        <f>IFERROR(VLOOKUP(G311,DATOS!$M$2:$N$219,2,FALSE),"")</f>
        <v>Maquinaria</v>
      </c>
      <c r="I311" s="115" t="s">
        <v>61</v>
      </c>
      <c r="J311" s="115" t="s">
        <v>92</v>
      </c>
      <c r="K311" s="114" t="s">
        <v>93</v>
      </c>
      <c r="L311" s="35" t="s">
        <v>601</v>
      </c>
      <c r="M311" s="35" t="s">
        <v>818</v>
      </c>
      <c r="N311" s="35" t="str" cm="1">
        <f t="array" ref="N311">IFERROR(IF(Tabla8[[#This Row],[P/NP]]="NO PROGRAMADA","",_xlfn.TEXTJOIN(", ",TRUE,_xlfn._xlws.FILTER(Tabla4[[#All],[PIEZA]],ISNUMBER(SEARCH(Tabla4[[#All],[PCLAVE]],Tabla8[[#This Row],[DESCRIPCION DE TRABAJO]])),""))),"")</f>
        <v/>
      </c>
      <c r="O311" s="35" t="str" cm="1">
        <f t="array" ref="O311">_xlfn.TEXTJOIN(", ",TRUE,_xlfn._xlws.FILTER(Tabla28[[#All],[PARTE]],ISNUMBER(SEARCH(Tabla28[[#All],[PCLAVE2]],Tabla8[[#This Row],[DESCRIPCION DE TRABAJO]])),""))</f>
        <v/>
      </c>
      <c r="P311" s="303" t="str">
        <f>IFERROR(LEFT(O311, FIND(",", O311)-1), O311)</f>
        <v/>
      </c>
      <c r="Q311" s="303" t="str">
        <f>IFERROR(IF(ISERROR(FIND(",", O311, FIND(",", O311)+1)), RIGHT(O311, LEN(O311)-FIND(",", O311)-1), MID(O311, FIND(",", O311)+2, FIND(",", O311, FIND(",", O311)+1)-FIND(",", O311)-2)), "")</f>
        <v/>
      </c>
      <c r="R311" s="303" t="str">
        <f>IFERROR(RIGHT(O311, LEN(O311)-FIND(",", O311, FIND(",", O311)+1)-1), "")</f>
        <v/>
      </c>
      <c r="S311" s="35" t="str" cm="1">
        <f t="array" ref="S311">_xlfn.TEXTJOIN(", ",TRUE,_xlfn._xlws.FILTER(Tabla29[[#All],[PARTE]],ISNUMBER(SEARCH(Tabla29[[#All],[PCLAVE3]],Tabla8[[#This Row],[DESCRIPCION DE TRABAJO]])),""))</f>
        <v/>
      </c>
      <c r="T311" s="34" t="str">
        <f>IF(AND(Tabla8[[#This Row],[PIEZA]]="",Tabla8[[#This Row],[PARTE]]=""),"VACIO","OK")</f>
        <v>VACIO</v>
      </c>
      <c r="U311" s="303" t="str">
        <f>+CONCATENATE(WEEKNUM(Tabla8[[#This Row],[FECHA]]),"-",YEAR(Tabla8[[#This Row],[FECHA]]))</f>
        <v>8-2026</v>
      </c>
    </row>
    <row r="312" spans="1:21" ht="15" customHeight="1">
      <c r="A312" s="22">
        <v>46070</v>
      </c>
      <c r="B312" s="16" t="s">
        <v>131</v>
      </c>
      <c r="C312" s="10" t="s">
        <v>36</v>
      </c>
      <c r="D312" s="381">
        <v>0.46388888888888891</v>
      </c>
      <c r="E312" s="381">
        <v>0.47916666666666669</v>
      </c>
      <c r="F312" s="380">
        <f>+MOD(Tabla8[[#This Row],[HR. FIN]]-Tabla8[[#This Row],[HR. INICIO]],1)</f>
        <v>1.5277777777777779E-2</v>
      </c>
      <c r="G312" s="16" t="s">
        <v>205</v>
      </c>
      <c r="H312" s="343" t="str">
        <f>IFERROR(VLOOKUP(G312,DATOS!$M$2:$N$219,2,FALSE),"")</f>
        <v>Maquinaria</v>
      </c>
      <c r="I312" s="115" t="s">
        <v>61</v>
      </c>
      <c r="J312" s="115" t="s">
        <v>92</v>
      </c>
      <c r="K312" s="114" t="s">
        <v>93</v>
      </c>
      <c r="L312" s="35" t="s">
        <v>819</v>
      </c>
      <c r="M312" s="35" t="s">
        <v>820</v>
      </c>
      <c r="N312" s="35" t="str" cm="1">
        <f t="array" ref="N312">IFERROR(IF(Tabla8[[#This Row],[P/NP]]="NO PROGRAMADA","",_xlfn.TEXTJOIN(", ",TRUE,_xlfn._xlws.FILTER(Tabla4[[#All],[PIEZA]],ISNUMBER(SEARCH(Tabla4[[#All],[PCLAVE]],Tabla8[[#This Row],[DESCRIPCION DE TRABAJO]])),""))),"")</f>
        <v/>
      </c>
      <c r="O312" s="35" t="str" cm="1">
        <f t="array" ref="O312">_xlfn.TEXTJOIN(", ",TRUE,_xlfn._xlws.FILTER(Tabla28[[#All],[PARTE]],ISNUMBER(SEARCH(Tabla28[[#All],[PCLAVE2]],Tabla8[[#This Row],[DESCRIPCION DE TRABAJO]])),""))</f>
        <v>Codificador</v>
      </c>
      <c r="P312" s="303" t="str">
        <f>IFERROR(LEFT(O312, FIND(",", O312)-1), O312)</f>
        <v>Codificador</v>
      </c>
      <c r="Q312" s="303" t="str">
        <f>IFERROR(IF(ISERROR(FIND(",", O312, FIND(",", O312)+1)), RIGHT(O312, LEN(O312)-FIND(",", O312)-1), MID(O312, FIND(",", O312)+2, FIND(",", O312, FIND(",", O312)+1)-FIND(",", O312)-2)), "")</f>
        <v/>
      </c>
      <c r="R312" s="303" t="str">
        <f>IFERROR(RIGHT(O312, LEN(O312)-FIND(",", O312, FIND(",", O312)+1)-1), "")</f>
        <v/>
      </c>
      <c r="S312" s="35" t="str" cm="1">
        <f t="array" ref="S312">_xlfn.TEXTJOIN(", ",TRUE,_xlfn._xlws.FILTER(Tabla29[[#All],[PARTE]],ISNUMBER(SEARCH(Tabla29[[#All],[PCLAVE3]],Tabla8[[#This Row],[DESCRIPCION DE TRABAJO]])),""))</f>
        <v>Borrosa</v>
      </c>
      <c r="T312" s="34" t="str">
        <f>IF(AND(Tabla8[[#This Row],[PIEZA]]="",Tabla8[[#This Row],[PARTE]]=""),"VACIO","OK")</f>
        <v>OK</v>
      </c>
      <c r="U312" s="303" t="str">
        <f>+CONCATENATE(WEEKNUM(Tabla8[[#This Row],[FECHA]]),"-",YEAR(Tabla8[[#This Row],[FECHA]]))</f>
        <v>8-2026</v>
      </c>
    </row>
    <row r="313" spans="1:21" ht="15" customHeight="1">
      <c r="A313" s="22">
        <v>46070</v>
      </c>
      <c r="B313" s="16" t="s">
        <v>131</v>
      </c>
      <c r="C313" s="10" t="s">
        <v>36</v>
      </c>
      <c r="D313" s="381">
        <v>0.27777777777777779</v>
      </c>
      <c r="E313" s="381">
        <v>0.29166666666666669</v>
      </c>
      <c r="F313" s="380">
        <f>+MOD(Tabla8[[#This Row],[HR. FIN]]-Tabla8[[#This Row],[HR. INICIO]],1)</f>
        <v>1.3888888888888895E-2</v>
      </c>
      <c r="G313" s="16" t="s">
        <v>153</v>
      </c>
      <c r="H313" s="343" t="str">
        <f>IFERROR(VLOOKUP(G313,DATOS!$M$2:$N$219,2,FALSE),"")</f>
        <v>Maquinaria</v>
      </c>
      <c r="I313" s="115" t="s">
        <v>54</v>
      </c>
      <c r="J313" s="115" t="str">
        <f>+VLOOKUP($I313,Tabla7[#All],2,FALSE)</f>
        <v>PROGRAMADA</v>
      </c>
      <c r="K313" s="114" t="str">
        <f>IF(VLOOKUP(I313,Tabla7[#All],3,FALSE)=0,"",VLOOKUP(I313,Tabla7[#All],3,FALSE))</f>
        <v/>
      </c>
      <c r="L313" s="35" t="s">
        <v>821</v>
      </c>
      <c r="M313" s="35" t="s">
        <v>121</v>
      </c>
      <c r="N313" s="35" t="str" cm="1">
        <f t="array" ref="N313">IFERROR(IF(Tabla8[[#This Row],[P/NP]]="NO PROGRAMADA","",_xlfn.TEXTJOIN(", ",TRUE,_xlfn._xlws.FILTER(Tabla4[[#All],[PIEZA]],ISNUMBER(SEARCH(Tabla4[[#All],[PCLAVE]],Tabla8[[#This Row],[DESCRIPCION DE TRABAJO]])),""))),"")</f>
        <v/>
      </c>
      <c r="O313" s="35" t="str" cm="1">
        <f t="array" ref="O313">_xlfn.TEXTJOIN(", ",TRUE,_xlfn._xlws.FILTER(Tabla28[[#All],[PARTE]],ISNUMBER(SEARCH(Tabla28[[#All],[PCLAVE2]],Tabla8[[#This Row],[DESCRIPCION DE TRABAJO]])),""))</f>
        <v/>
      </c>
      <c r="P313" s="303" t="str">
        <f>IFERROR(LEFT(O313, FIND(",", O313)-1), O313)</f>
        <v/>
      </c>
      <c r="Q313" s="303" t="str">
        <f>IFERROR(IF(ISERROR(FIND(",", O313, FIND(",", O313)+1)), RIGHT(O313, LEN(O313)-FIND(",", O313)-1), MID(O313, FIND(",", O313)+2, FIND(",", O313, FIND(",", O313)+1)-FIND(",", O313)-2)), "")</f>
        <v/>
      </c>
      <c r="R313" s="303" t="str">
        <f>IFERROR(RIGHT(O313, LEN(O313)-FIND(",", O313, FIND(",", O313)+1)-1), "")</f>
        <v/>
      </c>
      <c r="S313" s="35" t="str" cm="1">
        <f t="array" ref="S313">_xlfn.TEXTJOIN(", ",TRUE,_xlfn._xlws.FILTER(Tabla29[[#All],[PARTE]],ISNUMBER(SEARCH(Tabla29[[#All],[PCLAVE3]],Tabla8[[#This Row],[DESCRIPCION DE TRABAJO]])),""))</f>
        <v/>
      </c>
      <c r="T313" s="34" t="str">
        <f>IF(AND(Tabla8[[#This Row],[PIEZA]]="",Tabla8[[#This Row],[PARTE]]=""),"VACIO","OK")</f>
        <v>VACIO</v>
      </c>
      <c r="U313" s="303" t="str">
        <f>+CONCATENATE(WEEKNUM(Tabla8[[#This Row],[FECHA]]),"-",YEAR(Tabla8[[#This Row],[FECHA]]))</f>
        <v>8-2026</v>
      </c>
    </row>
    <row r="314" spans="1:21" ht="15" customHeight="1">
      <c r="A314" s="22">
        <v>46070</v>
      </c>
      <c r="B314" s="16" t="s">
        <v>111</v>
      </c>
      <c r="C314" s="10" t="s">
        <v>39</v>
      </c>
      <c r="D314" s="381">
        <v>0</v>
      </c>
      <c r="E314" s="381">
        <v>1.3888888888888888E-2</v>
      </c>
      <c r="F314" s="380">
        <f>+MOD(Tabla8[[#This Row],[HR. FIN]]-Tabla8[[#This Row],[HR. INICIO]],1)</f>
        <v>1.3888888888888888E-2</v>
      </c>
      <c r="G314" s="16" t="s">
        <v>24</v>
      </c>
      <c r="H314" s="343" t="str">
        <f>IFERROR(VLOOKUP(G314,DATOS!$M$2:$N$219,2,FALSE),"")</f>
        <v>Maquinaria</v>
      </c>
      <c r="I314" s="115" t="s">
        <v>57</v>
      </c>
      <c r="J314" s="115" t="str">
        <f>+VLOOKUP($I314,Tabla7[#All],2,FALSE)</f>
        <v>NO PROGRAMADA</v>
      </c>
      <c r="K314" s="114" t="str">
        <f>IF(VLOOKUP(I314,Tabla7[#All],3,FALSE)=0,"",VLOOKUP(I314,Tabla7[#All],3,FALSE))</f>
        <v>MECÁNICA</v>
      </c>
      <c r="L314" s="35" t="s">
        <v>822</v>
      </c>
      <c r="M314" s="35" t="s">
        <v>121</v>
      </c>
      <c r="N314" s="35" t="str" cm="1">
        <f t="array" ref="N314">IFERROR(IF(Tabla8[[#This Row],[P/NP]]="NO PROGRAMADA","",_xlfn.TEXTJOIN(", ",TRUE,_xlfn._xlws.FILTER(Tabla4[[#All],[PIEZA]],ISNUMBER(SEARCH(Tabla4[[#All],[PCLAVE]],Tabla8[[#This Row],[DESCRIPCION DE TRABAJO]])),""))),"")</f>
        <v/>
      </c>
      <c r="O314" s="35" t="str" cm="1">
        <f t="array" ref="O314">_xlfn.TEXTJOIN(", ",TRUE,_xlfn._xlws.FILTER(Tabla28[[#All],[PARTE]],ISNUMBER(SEARCH(Tabla28[[#All],[PCLAVE2]],Tabla8[[#This Row],[DESCRIPCION DE TRABAJO]])),""))</f>
        <v/>
      </c>
      <c r="P314" s="303" t="str">
        <f>IFERROR(LEFT(O314, FIND(",", O314)-1), O314)</f>
        <v/>
      </c>
      <c r="Q314" s="303" t="str">
        <f>IFERROR(IF(ISERROR(FIND(",", O314, FIND(",", O314)+1)), RIGHT(O314, LEN(O314)-FIND(",", O314)-1), MID(O314, FIND(",", O314)+2, FIND(",", O314, FIND(",", O314)+1)-FIND(",", O314)-2)), "")</f>
        <v/>
      </c>
      <c r="R314" s="303" t="str">
        <f>IFERROR(RIGHT(O314, LEN(O314)-FIND(",", O314, FIND(",", O314)+1)-1), "")</f>
        <v/>
      </c>
      <c r="S314" s="35" t="str" cm="1">
        <f t="array" ref="S314">_xlfn.TEXTJOIN(", ",TRUE,_xlfn._xlws.FILTER(Tabla29[[#All],[PARTE]],ISNUMBER(SEARCH(Tabla29[[#All],[PCLAVE3]],Tabla8[[#This Row],[DESCRIPCION DE TRABAJO]])),""))</f>
        <v>Acumulacion De Producto</v>
      </c>
      <c r="T314" s="34" t="str">
        <f>IF(AND(Tabla8[[#This Row],[PIEZA]]="",Tabla8[[#This Row],[PARTE]]=""),"VACIO","OK")</f>
        <v>VACIO</v>
      </c>
      <c r="U314" s="303" t="str">
        <f>+CONCATENATE(WEEKNUM(Tabla8[[#This Row],[FECHA]]),"-",YEAR(Tabla8[[#This Row],[FECHA]]))</f>
        <v>8-2026</v>
      </c>
    </row>
    <row r="315" spans="1:21" ht="15" customHeight="1">
      <c r="A315" s="22">
        <v>46070</v>
      </c>
      <c r="B315" s="16" t="s">
        <v>111</v>
      </c>
      <c r="C315" s="10" t="s">
        <v>39</v>
      </c>
      <c r="D315" s="381">
        <v>4.1666666666666664E-2</v>
      </c>
      <c r="E315" s="381">
        <v>5.5555555555555552E-2</v>
      </c>
      <c r="F315" s="380">
        <f>+MOD(Tabla8[[#This Row],[HR. FIN]]-Tabla8[[#This Row],[HR. INICIO]],1)</f>
        <v>1.3888888888888888E-2</v>
      </c>
      <c r="G315" s="16" t="s">
        <v>793</v>
      </c>
      <c r="H315" s="343" t="str">
        <f>IFERROR(VLOOKUP(G315,DATOS!$M$2:$N$219,2,FALSE),"")</f>
        <v>Maquinaria</v>
      </c>
      <c r="I315" s="115" t="s">
        <v>57</v>
      </c>
      <c r="J315" s="115" t="str">
        <f>+VLOOKUP($I315,Tabla7[#All],2,FALSE)</f>
        <v>NO PROGRAMADA</v>
      </c>
      <c r="K315" s="114" t="str">
        <f>IF(VLOOKUP(I315,Tabla7[#All],3,FALSE)=0,"",VLOOKUP(I315,Tabla7[#All],3,FALSE))</f>
        <v>MECÁNICA</v>
      </c>
      <c r="L315" s="35" t="s">
        <v>823</v>
      </c>
      <c r="M315" s="35" t="s">
        <v>121</v>
      </c>
      <c r="N315" s="35" t="str" cm="1">
        <f t="array" ref="N315">IFERROR(IF(Tabla8[[#This Row],[P/NP]]="NO PROGRAMADA","",_xlfn.TEXTJOIN(", ",TRUE,_xlfn._xlws.FILTER(Tabla4[[#All],[PIEZA]],ISNUMBER(SEARCH(Tabla4[[#All],[PCLAVE]],Tabla8[[#This Row],[DESCRIPCION DE TRABAJO]])),""))),"")</f>
        <v/>
      </c>
      <c r="O315" s="35" t="str" cm="1">
        <f t="array" ref="O315">_xlfn.TEXTJOIN(", ",TRUE,_xlfn._xlws.FILTER(Tabla28[[#All],[PARTE]],ISNUMBER(SEARCH(Tabla28[[#All],[PCLAVE2]],Tabla8[[#This Row],[DESCRIPCION DE TRABAJO]])),""))</f>
        <v/>
      </c>
      <c r="P315" s="303" t="str">
        <f>IFERROR(LEFT(O315, FIND(",", O315)-1), O315)</f>
        <v/>
      </c>
      <c r="Q315" s="303" t="str">
        <f>IFERROR(IF(ISERROR(FIND(",", O315, FIND(",", O315)+1)), RIGHT(O315, LEN(O315)-FIND(",", O315)-1), MID(O315, FIND(",", O315)+2, FIND(",", O315, FIND(",", O315)+1)-FIND(",", O315)-2)), "")</f>
        <v/>
      </c>
      <c r="R315" s="303" t="str">
        <f>IFERROR(RIGHT(O315, LEN(O315)-FIND(",", O315, FIND(",", O315)+1)-1), "")</f>
        <v/>
      </c>
      <c r="S315" s="35" t="str" cm="1">
        <f t="array" ref="S315">_xlfn.TEXTJOIN(", ",TRUE,_xlfn._xlws.FILTER(Tabla29[[#All],[PARTE]],ISNUMBER(SEARCH(Tabla29[[#All],[PCLAVE3]],Tabla8[[#This Row],[DESCRIPCION DE TRABAJO]])),""))</f>
        <v>Desalineado, Soltura</v>
      </c>
      <c r="T315" s="34" t="str">
        <f>IF(AND(Tabla8[[#This Row],[PIEZA]]="",Tabla8[[#This Row],[PARTE]]=""),"VACIO","OK")</f>
        <v>VACIO</v>
      </c>
      <c r="U315" s="303" t="str">
        <f>+CONCATENATE(WEEKNUM(Tabla8[[#This Row],[FECHA]]),"-",YEAR(Tabla8[[#This Row],[FECHA]]))</f>
        <v>8-2026</v>
      </c>
    </row>
    <row r="316" spans="1:21" ht="15" customHeight="1">
      <c r="A316" s="22">
        <v>46070</v>
      </c>
      <c r="B316" s="16" t="s">
        <v>191</v>
      </c>
      <c r="C316" s="10" t="s">
        <v>23</v>
      </c>
      <c r="D316" s="381">
        <v>0.54236111111111107</v>
      </c>
      <c r="E316" s="381">
        <v>0.55277777777777781</v>
      </c>
      <c r="F316" s="380">
        <f>+MOD(Tabla8[[#This Row],[HR. FIN]]-Tabla8[[#This Row],[HR. INICIO]],1)</f>
        <v>1.0416666666666741E-2</v>
      </c>
      <c r="G316" s="16" t="s">
        <v>365</v>
      </c>
      <c r="H316" s="343" t="str">
        <f>IFERROR(VLOOKUP(G316,DATOS!$M$2:$N$219,2,FALSE),"")</f>
        <v>Area</v>
      </c>
      <c r="I316" s="115" t="s">
        <v>25</v>
      </c>
      <c r="J316" s="115" t="str">
        <f>+VLOOKUP($I316,Tabla7[#All],2,FALSE)</f>
        <v>PROGRAMADA</v>
      </c>
      <c r="K316" s="114" t="str">
        <f>IF(VLOOKUP(I316,Tabla7[#All],3,FALSE)=0,"",VLOOKUP(I316,Tabla7[#All],3,FALSE))</f>
        <v/>
      </c>
      <c r="L316" s="35" t="s">
        <v>824</v>
      </c>
      <c r="M316" s="35" t="s">
        <v>825</v>
      </c>
      <c r="N316" s="35" t="str" cm="1">
        <f t="array" ref="N316">IFERROR(IF(Tabla8[[#This Row],[P/NP]]="NO PROGRAMADA","",_xlfn.TEXTJOIN(", ",TRUE,_xlfn._xlws.FILTER(Tabla4[[#All],[PIEZA]],ISNUMBER(SEARCH(Tabla4[[#All],[PCLAVE]],Tabla8[[#This Row],[DESCRIPCION DE TRABAJO]])),""))),"")</f>
        <v/>
      </c>
      <c r="O316" s="35" t="str" cm="1">
        <f t="array" ref="O316">_xlfn.TEXTJOIN(", ",TRUE,_xlfn._xlws.FILTER(Tabla28[[#All],[PARTE]],ISNUMBER(SEARCH(Tabla28[[#All],[PCLAVE2]],Tabla8[[#This Row],[DESCRIPCION DE TRABAJO]])),""))</f>
        <v/>
      </c>
      <c r="P316" s="303" t="str">
        <f>IFERROR(LEFT(O316, FIND(",", O316)-1), O316)</f>
        <v/>
      </c>
      <c r="Q316" s="303" t="str">
        <f>IFERROR(IF(ISERROR(FIND(",", O316, FIND(",", O316)+1)), RIGHT(O316, LEN(O316)-FIND(",", O316)-1), MID(O316, FIND(",", O316)+2, FIND(",", O316, FIND(",", O316)+1)-FIND(",", O316)-2)), "")</f>
        <v/>
      </c>
      <c r="R316" s="303" t="str">
        <f>IFERROR(RIGHT(O316, LEN(O316)-FIND(",", O316, FIND(",", O316)+1)-1), "")</f>
        <v/>
      </c>
      <c r="S316" s="35" t="str" cm="1">
        <f t="array" ref="S316">_xlfn.TEXTJOIN(", ",TRUE,_xlfn._xlws.FILTER(Tabla29[[#All],[PARTE]],ISNUMBER(SEARCH(Tabla29[[#All],[PCLAVE3]],Tabla8[[#This Row],[DESCRIPCION DE TRABAJO]])),""))</f>
        <v/>
      </c>
      <c r="T316" s="34" t="str">
        <f>IF(AND(Tabla8[[#This Row],[PIEZA]]="",Tabla8[[#This Row],[PARTE]]=""),"VACIO","OK")</f>
        <v>VACIO</v>
      </c>
      <c r="U316" s="303" t="str">
        <f>+CONCATENATE(WEEKNUM(Tabla8[[#This Row],[FECHA]]),"-",YEAR(Tabla8[[#This Row],[FECHA]]))</f>
        <v>8-2026</v>
      </c>
    </row>
    <row r="317" spans="1:21" ht="15" customHeight="1">
      <c r="A317" s="22">
        <v>46070</v>
      </c>
      <c r="B317" s="16" t="s">
        <v>131</v>
      </c>
      <c r="C317" s="10" t="s">
        <v>36</v>
      </c>
      <c r="D317" s="381">
        <v>0.4513888888888889</v>
      </c>
      <c r="E317" s="381">
        <v>0.46180555555555558</v>
      </c>
      <c r="F317" s="380">
        <f>+MOD(Tabla8[[#This Row],[HR. FIN]]-Tabla8[[#This Row],[HR. INICIO]],1)</f>
        <v>1.0416666666666685E-2</v>
      </c>
      <c r="G317" s="16" t="s">
        <v>24</v>
      </c>
      <c r="H317" s="343" t="str">
        <f>IFERROR(VLOOKUP(G317,DATOS!$M$2:$N$219,2,FALSE),"")</f>
        <v>Maquinaria</v>
      </c>
      <c r="I317" s="115" t="s">
        <v>54</v>
      </c>
      <c r="J317" s="115" t="str">
        <f>+VLOOKUP($I317,Tabla7[#All],2,FALSE)</f>
        <v>PROGRAMADA</v>
      </c>
      <c r="K317" s="114" t="str">
        <f>IF(VLOOKUP(I317,Tabla7[#All],3,FALSE)=0,"",VLOOKUP(I317,Tabla7[#All],3,FALSE))</f>
        <v/>
      </c>
      <c r="L317" s="35" t="s">
        <v>240</v>
      </c>
      <c r="M317" s="35" t="s">
        <v>121</v>
      </c>
      <c r="N317" s="35" t="str" cm="1">
        <f t="array" ref="N317">IFERROR(IF(Tabla8[[#This Row],[P/NP]]="NO PROGRAMADA","",_xlfn.TEXTJOIN(", ",TRUE,_xlfn._xlws.FILTER(Tabla4[[#All],[PIEZA]],ISNUMBER(SEARCH(Tabla4[[#All],[PCLAVE]],Tabla8[[#This Row],[DESCRIPCION DE TRABAJO]])),""))),"")</f>
        <v/>
      </c>
      <c r="O317" s="35" t="str" cm="1">
        <f t="array" ref="O317">_xlfn.TEXTJOIN(", ",TRUE,_xlfn._xlws.FILTER(Tabla28[[#All],[PARTE]],ISNUMBER(SEARCH(Tabla28[[#All],[PCLAVE2]],Tabla8[[#This Row],[DESCRIPCION DE TRABAJO]])),""))</f>
        <v/>
      </c>
      <c r="P317" s="303" t="str">
        <f>IFERROR(LEFT(O317, FIND(",", O317)-1), O317)</f>
        <v/>
      </c>
      <c r="Q317" s="303" t="str">
        <f>IFERROR(IF(ISERROR(FIND(",", O317, FIND(",", O317)+1)), RIGHT(O317, LEN(O317)-FIND(",", O317)-1), MID(O317, FIND(",", O317)+2, FIND(",", O317, FIND(",", O317)+1)-FIND(",", O317)-2)), "")</f>
        <v/>
      </c>
      <c r="R317" s="303" t="str">
        <f>IFERROR(RIGHT(O317, LEN(O317)-FIND(",", O317, FIND(",", O317)+1)-1), "")</f>
        <v/>
      </c>
      <c r="S317" s="35" t="str" cm="1">
        <f t="array" ref="S317">_xlfn.TEXTJOIN(", ",TRUE,_xlfn._xlws.FILTER(Tabla29[[#All],[PARTE]],ISNUMBER(SEARCH(Tabla29[[#All],[PCLAVE3]],Tabla8[[#This Row],[DESCRIPCION DE TRABAJO]])),""))</f>
        <v/>
      </c>
      <c r="T317" s="34" t="str">
        <f>IF(AND(Tabla8[[#This Row],[PIEZA]]="",Tabla8[[#This Row],[PARTE]]=""),"VACIO","OK")</f>
        <v>VACIO</v>
      </c>
      <c r="U317" s="303" t="str">
        <f>+CONCATENATE(WEEKNUM(Tabla8[[#This Row],[FECHA]]),"-",YEAR(Tabla8[[#This Row],[FECHA]]))</f>
        <v>8-2026</v>
      </c>
    </row>
    <row r="318" spans="1:21" ht="15" customHeight="1">
      <c r="A318" s="22">
        <v>46070</v>
      </c>
      <c r="B318" s="16" t="s">
        <v>191</v>
      </c>
      <c r="C318" s="10" t="s">
        <v>23</v>
      </c>
      <c r="D318" s="381">
        <v>0.52916666666666667</v>
      </c>
      <c r="E318" s="381">
        <v>0.5395833333333333</v>
      </c>
      <c r="F318" s="380">
        <f>+MOD(Tabla8[[#This Row],[HR. FIN]]-Tabla8[[#This Row],[HR. INICIO]],1)</f>
        <v>1.041666666666663E-2</v>
      </c>
      <c r="G318" s="16" t="s">
        <v>215</v>
      </c>
      <c r="H318" s="343" t="str">
        <f>IFERROR(VLOOKUP(G318,DATOS!$M$2:$N$219,2,FALSE),"")</f>
        <v>Equipos auxiliares</v>
      </c>
      <c r="I318" s="115" t="s">
        <v>54</v>
      </c>
      <c r="J318" s="115" t="str">
        <f>+VLOOKUP($I318,Tabla7[#All],2,FALSE)</f>
        <v>PROGRAMADA</v>
      </c>
      <c r="K318" s="114" t="str">
        <f>IF(VLOOKUP(I318,Tabla7[#All],3,FALSE)=0,"",VLOOKUP(I318,Tabla7[#All],3,FALSE))</f>
        <v/>
      </c>
      <c r="L318" s="35" t="s">
        <v>248</v>
      </c>
      <c r="M318" s="35" t="s">
        <v>121</v>
      </c>
      <c r="N318" s="35" t="str" cm="1">
        <f t="array" ref="N318">IFERROR(IF(Tabla8[[#This Row],[P/NP]]="NO PROGRAMADA","",_xlfn.TEXTJOIN(", ",TRUE,_xlfn._xlws.FILTER(Tabla4[[#All],[PIEZA]],ISNUMBER(SEARCH(Tabla4[[#All],[PCLAVE]],Tabla8[[#This Row],[DESCRIPCION DE TRABAJO]])),""))),"")</f>
        <v/>
      </c>
      <c r="O318" s="35" t="str" cm="1">
        <f t="array" ref="O318">_xlfn.TEXTJOIN(", ",TRUE,_xlfn._xlws.FILTER(Tabla28[[#All],[PARTE]],ISNUMBER(SEARCH(Tabla28[[#All],[PCLAVE2]],Tabla8[[#This Row],[DESCRIPCION DE TRABAJO]])),""))</f>
        <v/>
      </c>
      <c r="P318" s="303" t="str">
        <f>IFERROR(LEFT(O318, FIND(",", O318)-1), O318)</f>
        <v/>
      </c>
      <c r="Q318" s="303" t="str">
        <f>IFERROR(IF(ISERROR(FIND(",", O318, FIND(",", O318)+1)), RIGHT(O318, LEN(O318)-FIND(",", O318)-1), MID(O318, FIND(",", O318)+2, FIND(",", O318, FIND(",", O318)+1)-FIND(",", O318)-2)), "")</f>
        <v/>
      </c>
      <c r="R318" s="303" t="str">
        <f>IFERROR(RIGHT(O318, LEN(O318)-FIND(",", O318, FIND(",", O318)+1)-1), "")</f>
        <v/>
      </c>
      <c r="S318" s="35" t="str" cm="1">
        <f t="array" ref="S318">_xlfn.TEXTJOIN(", ",TRUE,_xlfn._xlws.FILTER(Tabla29[[#All],[PARTE]],ISNUMBER(SEARCH(Tabla29[[#All],[PCLAVE3]],Tabla8[[#This Row],[DESCRIPCION DE TRABAJO]])),""))</f>
        <v/>
      </c>
      <c r="T318" s="34" t="str">
        <f>IF(AND(Tabla8[[#This Row],[PIEZA]]="",Tabla8[[#This Row],[PARTE]]=""),"VACIO","OK")</f>
        <v>VACIO</v>
      </c>
      <c r="U318" s="303" t="str">
        <f>+CONCATENATE(WEEKNUM(Tabla8[[#This Row],[FECHA]]),"-",YEAR(Tabla8[[#This Row],[FECHA]]))</f>
        <v>8-2026</v>
      </c>
    </row>
    <row r="319" spans="1:21" ht="15" customHeight="1">
      <c r="A319" s="22">
        <v>46070</v>
      </c>
      <c r="B319" s="16" t="s">
        <v>179</v>
      </c>
      <c r="C319" s="10" t="s">
        <v>36</v>
      </c>
      <c r="D319" s="381">
        <v>0.35416666666666669</v>
      </c>
      <c r="E319" s="381">
        <v>0.36458333333333331</v>
      </c>
      <c r="F319" s="380">
        <f>+MOD(Tabla8[[#This Row],[HR. FIN]]-Tabla8[[#This Row],[HR. INICIO]],1)</f>
        <v>1.041666666666663E-2</v>
      </c>
      <c r="G319" s="16" t="s">
        <v>438</v>
      </c>
      <c r="H319" s="343" t="str">
        <f>IFERROR(VLOOKUP(G319,DATOS!$M$2:$N$219,2,FALSE),"")</f>
        <v>Maquinaria</v>
      </c>
      <c r="I319" s="115" t="s">
        <v>28</v>
      </c>
      <c r="J319" s="115" t="s">
        <v>157</v>
      </c>
      <c r="K319" s="114"/>
      <c r="L319" s="35" t="s">
        <v>826</v>
      </c>
      <c r="M319" s="35" t="s">
        <v>121</v>
      </c>
      <c r="N319" s="35" t="str" cm="1">
        <f t="array" ref="N319">IFERROR(IF(Tabla8[[#This Row],[P/NP]]="NO PROGRAMADA","",_xlfn.TEXTJOIN(", ",TRUE,_xlfn._xlws.FILTER(Tabla4[[#All],[PIEZA]],ISNUMBER(SEARCH(Tabla4[[#All],[PCLAVE]],Tabla8[[#This Row],[DESCRIPCION DE TRABAJO]])),""))),"")</f>
        <v>Dientes, Filtro</v>
      </c>
      <c r="O319" s="35" t="str" cm="1">
        <f t="array" ref="O319">_xlfn.TEXTJOIN(", ",TRUE,_xlfn._xlws.FILTER(Tabla28[[#All],[PARTE]],ISNUMBER(SEARCH(Tabla28[[#All],[PCLAVE2]],Tabla8[[#This Row],[DESCRIPCION DE TRABAJO]])),""))</f>
        <v/>
      </c>
      <c r="P319" s="303" t="str">
        <f>IFERROR(LEFT(O319, FIND(",", O319)-1), O319)</f>
        <v/>
      </c>
      <c r="Q319" s="303" t="str">
        <f>IFERROR(IF(ISERROR(FIND(",", O319, FIND(",", O319)+1)), RIGHT(O319, LEN(O319)-FIND(",", O319)-1), MID(O319, FIND(",", O319)+2, FIND(",", O319, FIND(",", O319)+1)-FIND(",", O319)-2)), "")</f>
        <v/>
      </c>
      <c r="R319" s="303" t="str">
        <f>IFERROR(RIGHT(O319, LEN(O319)-FIND(",", O319, FIND(",", O319)+1)-1), "")</f>
        <v/>
      </c>
      <c r="S319" s="35" t="str" cm="1">
        <f t="array" ref="S319">_xlfn.TEXTJOIN(", ",TRUE,_xlfn._xlws.FILTER(Tabla29[[#All],[PARTE]],ISNUMBER(SEARCH(Tabla29[[#All],[PCLAVE3]],Tabla8[[#This Row],[DESCRIPCION DE TRABAJO]])),""))</f>
        <v>Filtracion, Sustitucion</v>
      </c>
      <c r="T319" s="34" t="str">
        <f>IF(AND(Tabla8[[#This Row],[PIEZA]]="",Tabla8[[#This Row],[PARTE]]=""),"VACIO","OK")</f>
        <v>OK</v>
      </c>
      <c r="U319" s="303" t="str">
        <f>+CONCATENATE(WEEKNUM(Tabla8[[#This Row],[FECHA]]),"-",YEAR(Tabla8[[#This Row],[FECHA]]))</f>
        <v>8-2026</v>
      </c>
    </row>
    <row r="320" spans="1:21" ht="15" customHeight="1">
      <c r="A320" s="22">
        <v>46070</v>
      </c>
      <c r="B320" s="16" t="s">
        <v>131</v>
      </c>
      <c r="C320" s="10" t="s">
        <v>36</v>
      </c>
      <c r="D320" s="381">
        <v>0.52013888888888893</v>
      </c>
      <c r="E320" s="381">
        <v>0.52847222222222223</v>
      </c>
      <c r="F320" s="380">
        <f>+MOD(Tabla8[[#This Row],[HR. FIN]]-Tabla8[[#This Row],[HR. INICIO]],1)</f>
        <v>8.3333333333333037E-3</v>
      </c>
      <c r="G320" s="16" t="s">
        <v>241</v>
      </c>
      <c r="H320" s="343" t="str">
        <f>IFERROR(VLOOKUP(G320,DATOS!$M$2:$N$219,2,FALSE),"")</f>
        <v>Maquinaria</v>
      </c>
      <c r="I320" s="115" t="s">
        <v>32</v>
      </c>
      <c r="J320" s="115" t="s">
        <v>92</v>
      </c>
      <c r="K320" s="114" t="s">
        <v>148</v>
      </c>
      <c r="L320" s="35" t="s">
        <v>827</v>
      </c>
      <c r="M320" s="35" t="s">
        <v>828</v>
      </c>
      <c r="N320" s="35" t="str" cm="1">
        <f t="array" ref="N320">IFERROR(IF(Tabla8[[#This Row],[P/NP]]="NO PROGRAMADA","",_xlfn.TEXTJOIN(", ",TRUE,_xlfn._xlws.FILTER(Tabla4[[#All],[PIEZA]],ISNUMBER(SEARCH(Tabla4[[#All],[PCLAVE]],Tabla8[[#This Row],[DESCRIPCION DE TRABAJO]])),""))),"")</f>
        <v/>
      </c>
      <c r="O320" s="35" t="str" cm="1">
        <f t="array" ref="O320">_xlfn.TEXTJOIN(", ",TRUE,_xlfn._xlws.FILTER(Tabla28[[#All],[PARTE]],ISNUMBER(SEARCH(Tabla28[[#All],[PCLAVE2]],Tabla8[[#This Row],[DESCRIPCION DE TRABAJO]])),""))</f>
        <v/>
      </c>
      <c r="P320" s="303" t="str">
        <f>IFERROR(LEFT(O320, FIND(",", O320)-1), O320)</f>
        <v/>
      </c>
      <c r="Q320" s="303" t="str">
        <f>IFERROR(IF(ISERROR(FIND(",", O320, FIND(",", O320)+1)), RIGHT(O320, LEN(O320)-FIND(",", O320)-1), MID(O320, FIND(",", O320)+2, FIND(",", O320, FIND(",", O320)+1)-FIND(",", O320)-2)), "")</f>
        <v/>
      </c>
      <c r="R320" s="303" t="str">
        <f>IFERROR(RIGHT(O320, LEN(O320)-FIND(",", O320, FIND(",", O320)+1)-1), "")</f>
        <v/>
      </c>
      <c r="S320" s="35" t="str" cm="1">
        <f t="array" ref="S320">_xlfn.TEXTJOIN(", ",TRUE,_xlfn._xlws.FILTER(Tabla29[[#All],[PARTE]],ISNUMBER(SEARCH(Tabla29[[#All],[PCLAVE3]],Tabla8[[#This Row],[DESCRIPCION DE TRABAJO]])),""))</f>
        <v>No Inicia</v>
      </c>
      <c r="T320" s="34" t="str">
        <f>IF(AND(Tabla8[[#This Row],[PIEZA]]="",Tabla8[[#This Row],[PARTE]]=""),"VACIO","OK")</f>
        <v>VACIO</v>
      </c>
      <c r="U320" s="303" t="str">
        <f>+CONCATENATE(WEEKNUM(Tabla8[[#This Row],[FECHA]]),"-",YEAR(Tabla8[[#This Row],[FECHA]]))</f>
        <v>8-2026</v>
      </c>
    </row>
    <row r="321" spans="1:21" ht="15" customHeight="1">
      <c r="A321" s="22">
        <v>46070</v>
      </c>
      <c r="B321" s="16" t="s">
        <v>111</v>
      </c>
      <c r="C321" s="10" t="s">
        <v>39</v>
      </c>
      <c r="D321" s="381">
        <v>0.2048611111111111</v>
      </c>
      <c r="E321" s="381">
        <v>0.21180555555555555</v>
      </c>
      <c r="F321" s="380">
        <f>+MOD(Tabla8[[#This Row],[HR. FIN]]-Tabla8[[#This Row],[HR. INICIO]],1)</f>
        <v>6.9444444444444475E-3</v>
      </c>
      <c r="G321" s="16" t="s">
        <v>119</v>
      </c>
      <c r="H321" s="343" t="str">
        <f>IFERROR(VLOOKUP(G321,DATOS!$M$2:$N$219,2,FALSE),"")</f>
        <v>Maquinaria</v>
      </c>
      <c r="I321" s="115" t="s">
        <v>57</v>
      </c>
      <c r="J321" s="115" t="str">
        <f>+VLOOKUP($I321,Tabla7[#All],2,FALSE)</f>
        <v>NO PROGRAMADA</v>
      </c>
      <c r="K321" s="114" t="str">
        <f>IF(VLOOKUP(I321,Tabla7[#All],3,FALSE)=0,"",VLOOKUP(I321,Tabla7[#All],3,FALSE))</f>
        <v>MECÁNICA</v>
      </c>
      <c r="L321" s="35" t="s">
        <v>829</v>
      </c>
      <c r="M321" s="35" t="s">
        <v>830</v>
      </c>
      <c r="N321" s="35" t="str" cm="1">
        <f t="array" ref="N321">IFERROR(IF(Tabla8[[#This Row],[P/NP]]="NO PROGRAMADA","",_xlfn.TEXTJOIN(", ",TRUE,_xlfn._xlws.FILTER(Tabla4[[#All],[PIEZA]],ISNUMBER(SEARCH(Tabla4[[#All],[PCLAVE]],Tabla8[[#This Row],[DESCRIPCION DE TRABAJO]])),""))),"")</f>
        <v/>
      </c>
      <c r="O321" s="35" t="str" cm="1">
        <f t="array" ref="O321">_xlfn.TEXTJOIN(", ",TRUE,_xlfn._xlws.FILTER(Tabla28[[#All],[PARTE]],ISNUMBER(SEARCH(Tabla28[[#All],[PCLAVE2]],Tabla8[[#This Row],[DESCRIPCION DE TRABAJO]])),""))</f>
        <v/>
      </c>
      <c r="P321" s="303" t="str">
        <f>IFERROR(LEFT(O321, FIND(",", O321)-1), O321)</f>
        <v/>
      </c>
      <c r="Q321" s="303" t="str">
        <f>IFERROR(IF(ISERROR(FIND(",", O321, FIND(",", O321)+1)), RIGHT(O321, LEN(O321)-FIND(",", O321)-1), MID(O321, FIND(",", O321)+2, FIND(",", O321, FIND(",", O321)+1)-FIND(",", O321)-2)), "")</f>
        <v/>
      </c>
      <c r="R321" s="303" t="str">
        <f>IFERROR(RIGHT(O321, LEN(O321)-FIND(",", O321, FIND(",", O321)+1)-1), "")</f>
        <v/>
      </c>
      <c r="S321" s="35" t="str" cm="1">
        <f t="array" ref="S321">_xlfn.TEXTJOIN(", ",TRUE,_xlfn._xlws.FILTER(Tabla29[[#All],[PARTE]],ISNUMBER(SEARCH(Tabla29[[#All],[PCLAVE3]],Tabla8[[#This Row],[DESCRIPCION DE TRABAJO]])),""))</f>
        <v/>
      </c>
      <c r="T321" s="34" t="str">
        <f>IF(AND(Tabla8[[#This Row],[PIEZA]]="",Tabla8[[#This Row],[PARTE]]=""),"VACIO","OK")</f>
        <v>VACIO</v>
      </c>
      <c r="U321" s="303" t="str">
        <f>+CONCATENATE(WEEKNUM(Tabla8[[#This Row],[FECHA]]),"-",YEAR(Tabla8[[#This Row],[FECHA]]))</f>
        <v>8-2026</v>
      </c>
    </row>
    <row r="322" spans="1:21" ht="15" customHeight="1">
      <c r="A322" s="22">
        <v>46071</v>
      </c>
      <c r="B322" s="16" t="s">
        <v>179</v>
      </c>
      <c r="C322" s="10" t="s">
        <v>36</v>
      </c>
      <c r="D322" s="381">
        <v>0.35416666666666669</v>
      </c>
      <c r="E322" s="381">
        <v>0.41666666666666669</v>
      </c>
      <c r="F322" s="380">
        <f>+MOD(Tabla8[[#This Row],[HR. FIN]]-Tabla8[[#This Row],[HR. INICIO]],1)</f>
        <v>6.25E-2</v>
      </c>
      <c r="G322" s="16" t="s">
        <v>153</v>
      </c>
      <c r="H322" s="343" t="str">
        <f>IFERROR(VLOOKUP(G322,DATOS!$M$2:$N$219,2,FALSE),"")</f>
        <v>Maquinaria</v>
      </c>
      <c r="I322" s="115" t="s">
        <v>28</v>
      </c>
      <c r="J322" s="115" t="str">
        <f>+VLOOKUP($I322,Tabla7[#All],2,FALSE)</f>
        <v>NO PROGRAMADA</v>
      </c>
      <c r="K322" s="114" t="s">
        <v>93</v>
      </c>
      <c r="L322" s="35" t="s">
        <v>831</v>
      </c>
      <c r="M322" s="35" t="s">
        <v>832</v>
      </c>
      <c r="N322" s="35" t="str" cm="1">
        <f t="array" ref="N322">IFERROR(IF(Tabla8[[#This Row],[P/NP]]="NO PROGRAMADA","",_xlfn.TEXTJOIN(", ",TRUE,_xlfn._xlws.FILTER(Tabla4[[#All],[PIEZA]],ISNUMBER(SEARCH(Tabla4[[#All],[PCLAVE]],Tabla8[[#This Row],[DESCRIPCION DE TRABAJO]])),""))),"")</f>
        <v/>
      </c>
      <c r="O322" s="35" t="str" cm="1">
        <f t="array" ref="O322">_xlfn.TEXTJOIN(", ",TRUE,_xlfn._xlws.FILTER(Tabla28[[#All],[PARTE]],ISNUMBER(SEARCH(Tabla28[[#All],[PCLAVE2]],Tabla8[[#This Row],[DESCRIPCION DE TRABAJO]])),""))</f>
        <v/>
      </c>
      <c r="P322" s="303" t="str">
        <f>IFERROR(LEFT(O322, FIND(",", O322)-1), O322)</f>
        <v/>
      </c>
      <c r="Q322" s="303" t="str">
        <f>IFERROR(IF(ISERROR(FIND(",", O322, FIND(",", O322)+1)), RIGHT(O322, LEN(O322)-FIND(",", O322)-1), MID(O322, FIND(",", O322)+2, FIND(",", O322, FIND(",", O322)+1)-FIND(",", O322)-2)), "")</f>
        <v/>
      </c>
      <c r="R322" s="303" t="str">
        <f>IFERROR(RIGHT(O322, LEN(O322)-FIND(",", O322, FIND(",", O322)+1)-1), "")</f>
        <v/>
      </c>
      <c r="S322" s="35" t="str" cm="1">
        <f t="array" ref="S322">_xlfn.TEXTJOIN(", ",TRUE,_xlfn._xlws.FILTER(Tabla29[[#All],[PARTE]],ISNUMBER(SEARCH(Tabla29[[#All],[PCLAVE3]],Tabla8[[#This Row],[DESCRIPCION DE TRABAJO]])),""))</f>
        <v/>
      </c>
      <c r="T322" s="34" t="str">
        <f>IF(AND(Tabla8[[#This Row],[PIEZA]]="",Tabla8[[#This Row],[PARTE]]=""),"VACIO","OK")</f>
        <v>VACIO</v>
      </c>
      <c r="U322" s="303" t="str">
        <f>+CONCATENATE(WEEKNUM(Tabla8[[#This Row],[FECHA]]),"-",YEAR(Tabla8[[#This Row],[FECHA]]))</f>
        <v>8-2026</v>
      </c>
    </row>
    <row r="323" spans="1:21" ht="15" customHeight="1">
      <c r="A323" s="22">
        <v>46071</v>
      </c>
      <c r="B323" s="16" t="s">
        <v>179</v>
      </c>
      <c r="C323" s="10" t="s">
        <v>36</v>
      </c>
      <c r="D323" s="381">
        <v>0.4861111111111111</v>
      </c>
      <c r="E323" s="381">
        <v>0.51041666666666663</v>
      </c>
      <c r="F323" s="380">
        <f>+MOD(Tabla8[[#This Row],[HR. FIN]]-Tabla8[[#This Row],[HR. INICIO]],1)</f>
        <v>2.4305555555555525E-2</v>
      </c>
      <c r="G323" s="16" t="s">
        <v>833</v>
      </c>
      <c r="H323" s="343" t="str">
        <f>IFERROR(VLOOKUP(G323,DATOS!$M$2:$N$219,2,FALSE),"")</f>
        <v>Area</v>
      </c>
      <c r="I323" s="115" t="s">
        <v>57</v>
      </c>
      <c r="J323" s="115" t="str">
        <f>+VLOOKUP($I323,Tabla7[#All],2,FALSE)</f>
        <v>NO PROGRAMADA</v>
      </c>
      <c r="K323" s="114" t="str">
        <f>IF(VLOOKUP(I323,Tabla7[#All],3,FALSE)=0,"",VLOOKUP(I323,Tabla7[#All],3,FALSE))</f>
        <v>MECÁNICA</v>
      </c>
      <c r="L323" s="35" t="s">
        <v>834</v>
      </c>
      <c r="M323" s="35" t="s">
        <v>835</v>
      </c>
      <c r="N323" s="35" t="str" cm="1">
        <f t="array" ref="N323">IFERROR(IF(Tabla8[[#This Row],[P/NP]]="NO PROGRAMADA","",_xlfn.TEXTJOIN(", ",TRUE,_xlfn._xlws.FILTER(Tabla4[[#All],[PIEZA]],ISNUMBER(SEARCH(Tabla4[[#All],[PCLAVE]],Tabla8[[#This Row],[DESCRIPCION DE TRABAJO]])),""))),"")</f>
        <v/>
      </c>
      <c r="O323" s="35" t="str" cm="1">
        <f t="array" ref="O323">_xlfn.TEXTJOIN(", ",TRUE,_xlfn._xlws.FILTER(Tabla28[[#All],[PARTE]],ISNUMBER(SEARCH(Tabla28[[#All],[PCLAVE2]],Tabla8[[#This Row],[DESCRIPCION DE TRABAJO]])),""))</f>
        <v/>
      </c>
      <c r="P323" s="303" t="str">
        <f>IFERROR(LEFT(O323, FIND(",", O323)-1), O323)</f>
        <v/>
      </c>
      <c r="Q323" s="303" t="str">
        <f>IFERROR(IF(ISERROR(FIND(",", O323, FIND(",", O323)+1)), RIGHT(O323, LEN(O323)-FIND(",", O323)-1), MID(O323, FIND(",", O323)+2, FIND(",", O323, FIND(",", O323)+1)-FIND(",", O323)-2)), "")</f>
        <v/>
      </c>
      <c r="R323" s="303" t="str">
        <f>IFERROR(RIGHT(O323, LEN(O323)-FIND(",", O323, FIND(",", O323)+1)-1), "")</f>
        <v/>
      </c>
      <c r="S323" s="35" t="str" cm="1">
        <f t="array" ref="S323">_xlfn.TEXTJOIN(", ",TRUE,_xlfn._xlws.FILTER(Tabla29[[#All],[PARTE]],ISNUMBER(SEARCH(Tabla29[[#All],[PCLAVE3]],Tabla8[[#This Row],[DESCRIPCION DE TRABAJO]])),""))</f>
        <v>Desalineado</v>
      </c>
      <c r="T323" s="34" t="str">
        <f>IF(AND(Tabla8[[#This Row],[PIEZA]]="",Tabla8[[#This Row],[PARTE]]=""),"VACIO","OK")</f>
        <v>VACIO</v>
      </c>
      <c r="U323" s="303" t="str">
        <f>+CONCATENATE(WEEKNUM(Tabla8[[#This Row],[FECHA]]),"-",YEAR(Tabla8[[#This Row],[FECHA]]))</f>
        <v>8-2026</v>
      </c>
    </row>
    <row r="324" spans="1:21" ht="15" customHeight="1">
      <c r="A324" s="22">
        <v>46071</v>
      </c>
      <c r="B324" s="16" t="s">
        <v>131</v>
      </c>
      <c r="C324" s="10" t="s">
        <v>36</v>
      </c>
      <c r="D324" s="381">
        <v>0.54166666666666663</v>
      </c>
      <c r="E324" s="381">
        <v>0.56458333333333333</v>
      </c>
      <c r="F324" s="380">
        <f>+MOD(Tabla8[[#This Row],[HR. FIN]]-Tabla8[[#This Row],[HR. INICIO]],1)</f>
        <v>2.2916666666666696E-2</v>
      </c>
      <c r="G324" s="16" t="s">
        <v>119</v>
      </c>
      <c r="H324" s="343" t="str">
        <f>IFERROR(VLOOKUP(G324,DATOS!$M$2:$N$219,2,FALSE),"")</f>
        <v>Maquinaria</v>
      </c>
      <c r="I324" s="115" t="s">
        <v>32</v>
      </c>
      <c r="J324" s="115" t="str">
        <f>+VLOOKUP($I324,Tabla7[#All],2,FALSE)</f>
        <v>PROGRAMADA</v>
      </c>
      <c r="K324" s="114" t="str">
        <f>IF(VLOOKUP(I324,Tabla7[#All],3,FALSE)=0,"",VLOOKUP(I324,Tabla7[#All],3,FALSE))</f>
        <v/>
      </c>
      <c r="L324" s="35" t="s">
        <v>836</v>
      </c>
      <c r="M324" s="35" t="s">
        <v>121</v>
      </c>
      <c r="N324" s="35" t="str" cm="1">
        <f t="array" ref="N324">IFERROR(IF(Tabla8[[#This Row],[P/NP]]="NO PROGRAMADA","",_xlfn.TEXTJOIN(", ",TRUE,_xlfn._xlws.FILTER(Tabla4[[#All],[PIEZA]],ISNUMBER(SEARCH(Tabla4[[#All],[PCLAVE]],Tabla8[[#This Row],[DESCRIPCION DE TRABAJO]])),""))),"")</f>
        <v/>
      </c>
      <c r="O324" s="35" t="str" cm="1">
        <f t="array" ref="O324">_xlfn.TEXTJOIN(", ",TRUE,_xlfn._xlws.FILTER(Tabla28[[#All],[PARTE]],ISNUMBER(SEARCH(Tabla28[[#All],[PCLAVE2]],Tabla8[[#This Row],[DESCRIPCION DE TRABAJO]])),""))</f>
        <v/>
      </c>
      <c r="P324" s="303" t="str">
        <f>IFERROR(LEFT(O324, FIND(",", O324)-1), O324)</f>
        <v/>
      </c>
      <c r="Q324" s="303" t="str">
        <f>IFERROR(IF(ISERROR(FIND(",", O324, FIND(",", O324)+1)), RIGHT(O324, LEN(O324)-FIND(",", O324)-1), MID(O324, FIND(",", O324)+2, FIND(",", O324, FIND(",", O324)+1)-FIND(",", O324)-2)), "")</f>
        <v/>
      </c>
      <c r="R324" s="303" t="str">
        <f>IFERROR(RIGHT(O324, LEN(O324)-FIND(",", O324, FIND(",", O324)+1)-1), "")</f>
        <v/>
      </c>
      <c r="S324" s="35" t="str" cm="1">
        <f t="array" ref="S324">_xlfn.TEXTJOIN(", ",TRUE,_xlfn._xlws.FILTER(Tabla29[[#All],[PARTE]],ISNUMBER(SEARCH(Tabla29[[#All],[PCLAVE3]],Tabla8[[#This Row],[DESCRIPCION DE TRABAJO]])),""))</f>
        <v>Cambio De Formato</v>
      </c>
      <c r="T324" s="34" t="str">
        <f>IF(AND(Tabla8[[#This Row],[PIEZA]]="",Tabla8[[#This Row],[PARTE]]=""),"VACIO","OK")</f>
        <v>VACIO</v>
      </c>
      <c r="U324" s="303" t="str">
        <f>+CONCATENATE(WEEKNUM(Tabla8[[#This Row],[FECHA]]),"-",YEAR(Tabla8[[#This Row],[FECHA]]))</f>
        <v>8-2026</v>
      </c>
    </row>
    <row r="325" spans="1:21" ht="15" customHeight="1">
      <c r="A325" s="22">
        <v>46071</v>
      </c>
      <c r="B325" s="16" t="s">
        <v>131</v>
      </c>
      <c r="C325" s="10" t="s">
        <v>36</v>
      </c>
      <c r="D325" s="381">
        <v>0.33888888888888891</v>
      </c>
      <c r="E325" s="381">
        <v>0.3611111111111111</v>
      </c>
      <c r="F325" s="380">
        <f>+MOD(Tabla8[[#This Row],[HR. FIN]]-Tabla8[[#This Row],[HR. INICIO]],1)</f>
        <v>2.2222222222222199E-2</v>
      </c>
      <c r="G325" s="16" t="s">
        <v>119</v>
      </c>
      <c r="H325" s="343" t="str">
        <f>IFERROR(VLOOKUP(G325,DATOS!$M$2:$N$219,2,FALSE),"")</f>
        <v>Maquinaria</v>
      </c>
      <c r="I325" s="115" t="s">
        <v>32</v>
      </c>
      <c r="J325" s="115" t="str">
        <f>+VLOOKUP($I325,Tabla7[#All],2,FALSE)</f>
        <v>PROGRAMADA</v>
      </c>
      <c r="K325" s="114" t="str">
        <f>IF(VLOOKUP(I325,Tabla7[#All],3,FALSE)=0,"",VLOOKUP(I325,Tabla7[#All],3,FALSE))</f>
        <v/>
      </c>
      <c r="L325" s="35" t="s">
        <v>837</v>
      </c>
      <c r="M325" s="35" t="s">
        <v>121</v>
      </c>
      <c r="N325" s="35" t="str" cm="1">
        <f t="array" ref="N325">IFERROR(IF(Tabla8[[#This Row],[P/NP]]="NO PROGRAMADA","",_xlfn.TEXTJOIN(", ",TRUE,_xlfn._xlws.FILTER(Tabla4[[#All],[PIEZA]],ISNUMBER(SEARCH(Tabla4[[#All],[PCLAVE]],Tabla8[[#This Row],[DESCRIPCION DE TRABAJO]])),""))),"")</f>
        <v/>
      </c>
      <c r="O325" s="35" t="str" cm="1">
        <f t="array" ref="O325">_xlfn.TEXTJOIN(", ",TRUE,_xlfn._xlws.FILTER(Tabla28[[#All],[PARTE]],ISNUMBER(SEARCH(Tabla28[[#All],[PCLAVE2]],Tabla8[[#This Row],[DESCRIPCION DE TRABAJO]])),""))</f>
        <v>Mds</v>
      </c>
      <c r="P325" s="303" t="str">
        <f>IFERROR(LEFT(O325, FIND(",", O325)-1), O325)</f>
        <v>Mds</v>
      </c>
      <c r="Q325" s="303" t="str">
        <f>IFERROR(IF(ISERROR(FIND(",", O325, FIND(",", O325)+1)), RIGHT(O325, LEN(O325)-FIND(",", O325)-1), MID(O325, FIND(",", O325)+2, FIND(",", O325, FIND(",", O325)+1)-FIND(",", O325)-2)), "")</f>
        <v/>
      </c>
      <c r="R325" s="303" t="str">
        <f>IFERROR(RIGHT(O325, LEN(O325)-FIND(",", O325, FIND(",", O325)+1)-1), "")</f>
        <v/>
      </c>
      <c r="S325" s="35" t="str" cm="1">
        <f t="array" ref="S325">_xlfn.TEXTJOIN(", ",TRUE,_xlfn._xlws.FILTER(Tabla29[[#All],[PARTE]],ISNUMBER(SEARCH(Tabla29[[#All],[PCLAVE3]],Tabla8[[#This Row],[DESCRIPCION DE TRABAJO]])),""))</f>
        <v/>
      </c>
      <c r="T325" s="34" t="str">
        <f>IF(AND(Tabla8[[#This Row],[PIEZA]]="",Tabla8[[#This Row],[PARTE]]=""),"VACIO","OK")</f>
        <v>OK</v>
      </c>
      <c r="U325" s="303" t="str">
        <f>+CONCATENATE(WEEKNUM(Tabla8[[#This Row],[FECHA]]),"-",YEAR(Tabla8[[#This Row],[FECHA]]))</f>
        <v>8-2026</v>
      </c>
    </row>
    <row r="326" spans="1:21" ht="15" customHeight="1">
      <c r="A326" s="22">
        <v>46071</v>
      </c>
      <c r="B326" s="16" t="s">
        <v>131</v>
      </c>
      <c r="C326" s="10" t="s">
        <v>36</v>
      </c>
      <c r="D326" s="381">
        <v>0.38750000000000001</v>
      </c>
      <c r="E326" s="381">
        <v>0.40972222222222221</v>
      </c>
      <c r="F326" s="380">
        <f>+MOD(Tabla8[[#This Row],[HR. FIN]]-Tabla8[[#This Row],[HR. INICIO]],1)</f>
        <v>2.2222222222222199E-2</v>
      </c>
      <c r="G326" s="16" t="s">
        <v>119</v>
      </c>
      <c r="H326" s="343" t="str">
        <f>IFERROR(VLOOKUP(G326,DATOS!$M$2:$N$219,2,FALSE),"")</f>
        <v>Maquinaria</v>
      </c>
      <c r="I326" s="115" t="s">
        <v>28</v>
      </c>
      <c r="J326" s="115" t="str">
        <f>+VLOOKUP($I326,Tabla7[#All],2,FALSE)</f>
        <v>NO PROGRAMADA</v>
      </c>
      <c r="K326" s="114" t="s">
        <v>93</v>
      </c>
      <c r="L326" s="35" t="s">
        <v>838</v>
      </c>
      <c r="M326" s="35" t="s">
        <v>839</v>
      </c>
      <c r="N326" s="35" t="str" cm="1">
        <f t="array" ref="N326">IFERROR(IF(Tabla8[[#This Row],[P/NP]]="NO PROGRAMADA","",_xlfn.TEXTJOIN(", ",TRUE,_xlfn._xlws.FILTER(Tabla4[[#All],[PIEZA]],ISNUMBER(SEARCH(Tabla4[[#All],[PCLAVE]],Tabla8[[#This Row],[DESCRIPCION DE TRABAJO]])),""))),"")</f>
        <v/>
      </c>
      <c r="O326" s="35" t="str" cm="1">
        <f t="array" ref="O326">_xlfn.TEXTJOIN(", ",TRUE,_xlfn._xlws.FILTER(Tabla28[[#All],[PARTE]],ISNUMBER(SEARCH(Tabla28[[#All],[PCLAVE2]],Tabla8[[#This Row],[DESCRIPCION DE TRABAJO]])),""))</f>
        <v/>
      </c>
      <c r="P326" s="303" t="str">
        <f>IFERROR(LEFT(O326, FIND(",", O326)-1), O326)</f>
        <v/>
      </c>
      <c r="Q326" s="303" t="str">
        <f>IFERROR(IF(ISERROR(FIND(",", O326, FIND(",", O326)+1)), RIGHT(O326, LEN(O326)-FIND(",", O326)-1), MID(O326, FIND(",", O326)+2, FIND(",", O326, FIND(",", O326)+1)-FIND(",", O326)-2)), "")</f>
        <v/>
      </c>
      <c r="R326" s="303" t="str">
        <f>IFERROR(RIGHT(O326, LEN(O326)-FIND(",", O326, FIND(",", O326)+1)-1), "")</f>
        <v/>
      </c>
      <c r="S326" s="35" t="str" cm="1">
        <f t="array" ref="S326">_xlfn.TEXTJOIN(", ",TRUE,_xlfn._xlws.FILTER(Tabla29[[#All],[PARTE]],ISNUMBER(SEARCH(Tabla29[[#All],[PCLAVE3]],Tabla8[[#This Row],[DESCRIPCION DE TRABAJO]])),""))</f>
        <v>Calibracion</v>
      </c>
      <c r="T326" s="34" t="str">
        <f>IF(AND(Tabla8[[#This Row],[PIEZA]]="",Tabla8[[#This Row],[PARTE]]=""),"VACIO","OK")</f>
        <v>VACIO</v>
      </c>
      <c r="U326" s="303" t="str">
        <f>+CONCATENATE(WEEKNUM(Tabla8[[#This Row],[FECHA]]),"-",YEAR(Tabla8[[#This Row],[FECHA]]))</f>
        <v>8-2026</v>
      </c>
    </row>
    <row r="327" spans="1:21" ht="15" customHeight="1">
      <c r="A327" s="22">
        <v>46071</v>
      </c>
      <c r="B327" s="16" t="s">
        <v>131</v>
      </c>
      <c r="C327" s="10" t="s">
        <v>36</v>
      </c>
      <c r="D327" s="381">
        <v>0.51041666666666663</v>
      </c>
      <c r="E327" s="381">
        <v>0.53125</v>
      </c>
      <c r="F327" s="380">
        <f>+MOD(Tabla8[[#This Row],[HR. FIN]]-Tabla8[[#This Row],[HR. INICIO]],1)</f>
        <v>2.083333333333337E-2</v>
      </c>
      <c r="G327" s="16" t="s">
        <v>31</v>
      </c>
      <c r="H327" s="343" t="str">
        <f>IFERROR(VLOOKUP(G327,DATOS!$M$2:$N$219,2,FALSE),"")</f>
        <v>Maquinaria</v>
      </c>
      <c r="I327" s="115" t="s">
        <v>54</v>
      </c>
      <c r="J327" s="115" t="str">
        <f>+VLOOKUP($I327,Tabla7[#All],2,FALSE)</f>
        <v>PROGRAMADA</v>
      </c>
      <c r="K327" s="114" t="str">
        <f>IF(VLOOKUP(I327,Tabla7[#All],3,FALSE)=0,"",VLOOKUP(I327,Tabla7[#All],3,FALSE))</f>
        <v/>
      </c>
      <c r="L327" s="35" t="s">
        <v>225</v>
      </c>
      <c r="M327" s="35" t="s">
        <v>121</v>
      </c>
      <c r="N327" s="35" t="str" cm="1">
        <f t="array" ref="N327">IFERROR(IF(Tabla8[[#This Row],[P/NP]]="NO PROGRAMADA","",_xlfn.TEXTJOIN(", ",TRUE,_xlfn._xlws.FILTER(Tabla4[[#All],[PIEZA]],ISNUMBER(SEARCH(Tabla4[[#All],[PCLAVE]],Tabla8[[#This Row],[DESCRIPCION DE TRABAJO]])),""))),"")</f>
        <v/>
      </c>
      <c r="O327" s="35" t="str" cm="1">
        <f t="array" ref="O327">_xlfn.TEXTJOIN(", ",TRUE,_xlfn._xlws.FILTER(Tabla28[[#All],[PARTE]],ISNUMBER(SEARCH(Tabla28[[#All],[PCLAVE2]],Tabla8[[#This Row],[DESCRIPCION DE TRABAJO]])),""))</f>
        <v/>
      </c>
      <c r="P327" s="303" t="str">
        <f>IFERROR(LEFT(O327, FIND(",", O327)-1), O327)</f>
        <v/>
      </c>
      <c r="Q327" s="303" t="str">
        <f>IFERROR(IF(ISERROR(FIND(",", O327, FIND(",", O327)+1)), RIGHT(O327, LEN(O327)-FIND(",", O327)-1), MID(O327, FIND(",", O327)+2, FIND(",", O327, FIND(",", O327)+1)-FIND(",", O327)-2)), "")</f>
        <v/>
      </c>
      <c r="R327" s="303" t="str">
        <f>IFERROR(RIGHT(O327, LEN(O327)-FIND(",", O327, FIND(",", O327)+1)-1), "")</f>
        <v/>
      </c>
      <c r="S327" s="35" t="str" cm="1">
        <f t="array" ref="S327">_xlfn.TEXTJOIN(", ",TRUE,_xlfn._xlws.FILTER(Tabla29[[#All],[PARTE]],ISNUMBER(SEARCH(Tabla29[[#All],[PCLAVE3]],Tabla8[[#This Row],[DESCRIPCION DE TRABAJO]])),""))</f>
        <v/>
      </c>
      <c r="T327" s="34" t="str">
        <f>IF(AND(Tabla8[[#This Row],[PIEZA]]="",Tabla8[[#This Row],[PARTE]]=""),"VACIO","OK")</f>
        <v>VACIO</v>
      </c>
      <c r="U327" s="303" t="str">
        <f>+CONCATENATE(WEEKNUM(Tabla8[[#This Row],[FECHA]]),"-",YEAR(Tabla8[[#This Row],[FECHA]]))</f>
        <v>8-2026</v>
      </c>
    </row>
    <row r="328" spans="1:21" ht="15" customHeight="1">
      <c r="A328" s="22">
        <v>46071</v>
      </c>
      <c r="B328" s="16" t="s">
        <v>131</v>
      </c>
      <c r="C328" s="10" t="s">
        <v>36</v>
      </c>
      <c r="D328" s="381">
        <v>0.27430555555555558</v>
      </c>
      <c r="E328" s="381">
        <v>0.2951388888888889</v>
      </c>
      <c r="F328" s="380">
        <f>+MOD(Tabla8[[#This Row],[HR. FIN]]-Tabla8[[#This Row],[HR. INICIO]],1)</f>
        <v>2.0833333333333315E-2</v>
      </c>
      <c r="G328" s="16" t="s">
        <v>534</v>
      </c>
      <c r="H328" s="343" t="str">
        <f>IFERROR(VLOOKUP(G328,DATOS!$M$2:$N$219,2,FALSE),"")</f>
        <v>Maquinaria</v>
      </c>
      <c r="I328" s="115" t="s">
        <v>32</v>
      </c>
      <c r="J328" s="115" t="s">
        <v>92</v>
      </c>
      <c r="K328" s="114" t="s">
        <v>93</v>
      </c>
      <c r="L328" s="35" t="s">
        <v>840</v>
      </c>
      <c r="M328" s="35" t="s">
        <v>841</v>
      </c>
      <c r="N328" s="35" t="str" cm="1">
        <f t="array" ref="N328">IFERROR(IF(Tabla8[[#This Row],[P/NP]]="NO PROGRAMADA","",_xlfn.TEXTJOIN(", ",TRUE,_xlfn._xlws.FILTER(Tabla4[[#All],[PIEZA]],ISNUMBER(SEARCH(Tabla4[[#All],[PCLAVE]],Tabla8[[#This Row],[DESCRIPCION DE TRABAJO]])),""))),"")</f>
        <v/>
      </c>
      <c r="O328" s="35" t="str" cm="1">
        <f t="array" ref="O328">_xlfn.TEXTJOIN(", ",TRUE,_xlfn._xlws.FILTER(Tabla28[[#All],[PARTE]],ISNUMBER(SEARCH(Tabla28[[#All],[PCLAVE2]],Tabla8[[#This Row],[DESCRIPCION DE TRABAJO]])),""))</f>
        <v/>
      </c>
      <c r="P328" s="303" t="str">
        <f>IFERROR(LEFT(O328, FIND(",", O328)-1), O328)</f>
        <v/>
      </c>
      <c r="Q328" s="303" t="str">
        <f>IFERROR(IF(ISERROR(FIND(",", O328, FIND(",", O328)+1)), RIGHT(O328, LEN(O328)-FIND(",", O328)-1), MID(O328, FIND(",", O328)+2, FIND(",", O328, FIND(",", O328)+1)-FIND(",", O328)-2)), "")</f>
        <v/>
      </c>
      <c r="R328" s="303" t="str">
        <f>IFERROR(RIGHT(O328, LEN(O328)-FIND(",", O328, FIND(",", O328)+1)-1), "")</f>
        <v/>
      </c>
      <c r="S328" s="35" t="str" cm="1">
        <f t="array" ref="S328">_xlfn.TEXTJOIN(", ",TRUE,_xlfn._xlws.FILTER(Tabla29[[#All],[PARTE]],ISNUMBER(SEARCH(Tabla29[[#All],[PCLAVE3]],Tabla8[[#This Row],[DESCRIPCION DE TRABAJO]])),""))</f>
        <v/>
      </c>
      <c r="T328" s="34" t="str">
        <f>IF(AND(Tabla8[[#This Row],[PIEZA]]="",Tabla8[[#This Row],[PARTE]]=""),"VACIO","OK")</f>
        <v>VACIO</v>
      </c>
      <c r="U328" s="303" t="str">
        <f>+CONCATENATE(WEEKNUM(Tabla8[[#This Row],[FECHA]]),"-",YEAR(Tabla8[[#This Row],[FECHA]]))</f>
        <v>8-2026</v>
      </c>
    </row>
    <row r="329" spans="1:21" ht="15" customHeight="1">
      <c r="A329" s="22">
        <v>46071</v>
      </c>
      <c r="B329" s="16" t="s">
        <v>131</v>
      </c>
      <c r="C329" s="10" t="s">
        <v>36</v>
      </c>
      <c r="D329" s="381">
        <v>0.36666666666666664</v>
      </c>
      <c r="E329" s="381">
        <v>0.38541666666666669</v>
      </c>
      <c r="F329" s="380">
        <f>+MOD(Tabla8[[#This Row],[HR. FIN]]-Tabla8[[#This Row],[HR. INICIO]],1)</f>
        <v>1.8750000000000044E-2</v>
      </c>
      <c r="G329" s="16" t="s">
        <v>31</v>
      </c>
      <c r="H329" s="343" t="str">
        <f>IFERROR(VLOOKUP(G329,DATOS!$M$2:$N$219,2,FALSE),"")</f>
        <v>Maquinaria</v>
      </c>
      <c r="I329" s="115" t="s">
        <v>32</v>
      </c>
      <c r="J329" s="115" t="str">
        <f>+VLOOKUP($I329,Tabla7[#All],2,FALSE)</f>
        <v>PROGRAMADA</v>
      </c>
      <c r="K329" s="114" t="str">
        <f>IF(VLOOKUP(I329,Tabla7[#All],3,FALSE)=0,"",VLOOKUP(I329,Tabla7[#All],3,FALSE))</f>
        <v/>
      </c>
      <c r="L329" s="35" t="s">
        <v>842</v>
      </c>
      <c r="M329" s="35" t="s">
        <v>843</v>
      </c>
      <c r="N329" s="35" t="str" cm="1">
        <f t="array" ref="N329">IFERROR(IF(Tabla8[[#This Row],[P/NP]]="NO PROGRAMADA","",_xlfn.TEXTJOIN(", ",TRUE,_xlfn._xlws.FILTER(Tabla4[[#All],[PIEZA]],ISNUMBER(SEARCH(Tabla4[[#All],[PCLAVE]],Tabla8[[#This Row],[DESCRIPCION DE TRABAJO]])),""))),"")</f>
        <v/>
      </c>
      <c r="O329" s="35" t="str" cm="1">
        <f t="array" ref="O329">_xlfn.TEXTJOIN(", ",TRUE,_xlfn._xlws.FILTER(Tabla28[[#All],[PARTE]],ISNUMBER(SEARCH(Tabla28[[#All],[PCLAVE2]],Tabla8[[#This Row],[DESCRIPCION DE TRABAJO]])),""))</f>
        <v/>
      </c>
      <c r="P329" s="303" t="str">
        <f>IFERROR(LEFT(O329, FIND(",", O329)-1), O329)</f>
        <v/>
      </c>
      <c r="Q329" s="303" t="str">
        <f>IFERROR(IF(ISERROR(FIND(",", O329, FIND(",", O329)+1)), RIGHT(O329, LEN(O329)-FIND(",", O329)-1), MID(O329, FIND(",", O329)+2, FIND(",", O329, FIND(",", O329)+1)-FIND(",", O329)-2)), "")</f>
        <v/>
      </c>
      <c r="R329" s="303" t="str">
        <f>IFERROR(RIGHT(O329, LEN(O329)-FIND(",", O329, FIND(",", O329)+1)-1), "")</f>
        <v/>
      </c>
      <c r="S329" s="35" t="str" cm="1">
        <f t="array" ref="S329">_xlfn.TEXTJOIN(", ",TRUE,_xlfn._xlws.FILTER(Tabla29[[#All],[PARTE]],ISNUMBER(SEARCH(Tabla29[[#All],[PCLAVE3]],Tabla8[[#This Row],[DESCRIPCION DE TRABAJO]])),""))</f>
        <v>Cambio De Formato</v>
      </c>
      <c r="T329" s="34" t="str">
        <f>IF(AND(Tabla8[[#This Row],[PIEZA]]="",Tabla8[[#This Row],[PARTE]]=""),"VACIO","OK")</f>
        <v>VACIO</v>
      </c>
      <c r="U329" s="303" t="str">
        <f>+CONCATENATE(WEEKNUM(Tabla8[[#This Row],[FECHA]]),"-",YEAR(Tabla8[[#This Row],[FECHA]]))</f>
        <v>8-2026</v>
      </c>
    </row>
    <row r="330" spans="1:21" ht="15" customHeight="1">
      <c r="A330" s="22">
        <v>46071</v>
      </c>
      <c r="B330" s="16" t="s">
        <v>131</v>
      </c>
      <c r="C330" s="10" t="s">
        <v>36</v>
      </c>
      <c r="D330" s="381">
        <v>0.31944444444444442</v>
      </c>
      <c r="E330" s="381">
        <v>0.33680555555555558</v>
      </c>
      <c r="F330" s="380">
        <f>+MOD(Tabla8[[#This Row],[HR. FIN]]-Tabla8[[#This Row],[HR. INICIO]],1)</f>
        <v>1.736111111111116E-2</v>
      </c>
      <c r="G330" s="16" t="s">
        <v>119</v>
      </c>
      <c r="H330" s="343" t="str">
        <f>IFERROR(VLOOKUP(G330,DATOS!$M$2:$N$219,2,FALSE),"")</f>
        <v>Maquinaria</v>
      </c>
      <c r="I330" s="115" t="s">
        <v>32</v>
      </c>
      <c r="J330" s="115" t="str">
        <f>+VLOOKUP($I330,Tabla7[#All],2,FALSE)</f>
        <v>PROGRAMADA</v>
      </c>
      <c r="K330" s="114" t="str">
        <f>IF(VLOOKUP(I330,Tabla7[#All],3,FALSE)=0,"",VLOOKUP(I330,Tabla7[#All],3,FALSE))</f>
        <v/>
      </c>
      <c r="L330" s="35" t="s">
        <v>844</v>
      </c>
      <c r="M330" s="35" t="s">
        <v>121</v>
      </c>
      <c r="N330" s="35" t="str" cm="1">
        <f t="array" ref="N330">IFERROR(IF(Tabla8[[#This Row],[P/NP]]="NO PROGRAMADA","",_xlfn.TEXTJOIN(", ",TRUE,_xlfn._xlws.FILTER(Tabla4[[#All],[PIEZA]],ISNUMBER(SEARCH(Tabla4[[#All],[PCLAVE]],Tabla8[[#This Row],[DESCRIPCION DE TRABAJO]])),""))),"")</f>
        <v/>
      </c>
      <c r="O330" s="35" t="str" cm="1">
        <f t="array" ref="O330">_xlfn.TEXTJOIN(", ",TRUE,_xlfn._xlws.FILTER(Tabla28[[#All],[PARTE]],ISNUMBER(SEARCH(Tabla28[[#All],[PCLAVE2]],Tabla8[[#This Row],[DESCRIPCION DE TRABAJO]])),""))</f>
        <v>Mds</v>
      </c>
      <c r="P330" s="303" t="str">
        <f>IFERROR(LEFT(O330, FIND(",", O330)-1), O330)</f>
        <v>Mds</v>
      </c>
      <c r="Q330" s="303" t="str">
        <f>IFERROR(IF(ISERROR(FIND(",", O330, FIND(",", O330)+1)), RIGHT(O330, LEN(O330)-FIND(",", O330)-1), MID(O330, FIND(",", O330)+2, FIND(",", O330, FIND(",", O330)+1)-FIND(",", O330)-2)), "")</f>
        <v/>
      </c>
      <c r="R330" s="303" t="str">
        <f>IFERROR(RIGHT(O330, LEN(O330)-FIND(",", O330, FIND(",", O330)+1)-1), "")</f>
        <v/>
      </c>
      <c r="S330" s="35" t="str" cm="1">
        <f t="array" ref="S330">_xlfn.TEXTJOIN(", ",TRUE,_xlfn._xlws.FILTER(Tabla29[[#All],[PARTE]],ISNUMBER(SEARCH(Tabla29[[#All],[PCLAVE3]],Tabla8[[#This Row],[DESCRIPCION DE TRABAJO]])),""))</f>
        <v>Cambio De Formato</v>
      </c>
      <c r="T330" s="34" t="str">
        <f>IF(AND(Tabla8[[#This Row],[PIEZA]]="",Tabla8[[#This Row],[PARTE]]=""),"VACIO","OK")</f>
        <v>OK</v>
      </c>
      <c r="U330" s="303" t="str">
        <f>+CONCATENATE(WEEKNUM(Tabla8[[#This Row],[FECHA]]),"-",YEAR(Tabla8[[#This Row],[FECHA]]))</f>
        <v>8-2026</v>
      </c>
    </row>
    <row r="331" spans="1:21" ht="15" customHeight="1">
      <c r="A331" s="22">
        <v>46071</v>
      </c>
      <c r="B331" s="16" t="s">
        <v>131</v>
      </c>
      <c r="C331" s="10" t="s">
        <v>36</v>
      </c>
      <c r="D331" s="381">
        <v>0.42708333333333331</v>
      </c>
      <c r="E331" s="381">
        <v>0.44444444444444442</v>
      </c>
      <c r="F331" s="380">
        <f>+MOD(Tabla8[[#This Row],[HR. FIN]]-Tabla8[[#This Row],[HR. INICIO]],1)</f>
        <v>1.7361111111111105E-2</v>
      </c>
      <c r="G331" s="16" t="s">
        <v>119</v>
      </c>
      <c r="H331" s="343" t="str">
        <f>IFERROR(VLOOKUP(G331,DATOS!$M$2:$N$219,2,FALSE),"")</f>
        <v>Maquinaria</v>
      </c>
      <c r="I331" s="115" t="s">
        <v>32</v>
      </c>
      <c r="J331" s="115" t="s">
        <v>92</v>
      </c>
      <c r="K331" s="114" t="s">
        <v>93</v>
      </c>
      <c r="L331" s="35" t="s">
        <v>845</v>
      </c>
      <c r="M331" s="35" t="s">
        <v>846</v>
      </c>
      <c r="N331" s="35" t="str" cm="1">
        <f t="array" ref="N331">IFERROR(IF(Tabla8[[#This Row],[P/NP]]="NO PROGRAMADA","",_xlfn.TEXTJOIN(", ",TRUE,_xlfn._xlws.FILTER(Tabla4[[#All],[PIEZA]],ISNUMBER(SEARCH(Tabla4[[#All],[PCLAVE]],Tabla8[[#This Row],[DESCRIPCION DE TRABAJO]])),""))),"")</f>
        <v/>
      </c>
      <c r="O331" s="35" t="str" cm="1">
        <f t="array" ref="O331">_xlfn.TEXTJOIN(", ",TRUE,_xlfn._xlws.FILTER(Tabla28[[#All],[PARTE]],ISNUMBER(SEARCH(Tabla28[[#All],[PCLAVE2]],Tabla8[[#This Row],[DESCRIPCION DE TRABAJO]])),""))</f>
        <v>Mds</v>
      </c>
      <c r="P331" s="303" t="str">
        <f>IFERROR(LEFT(O331, FIND(",", O331)-1), O331)</f>
        <v>Mds</v>
      </c>
      <c r="Q331" s="303" t="str">
        <f>IFERROR(IF(ISERROR(FIND(",", O331, FIND(",", O331)+1)), RIGHT(O331, LEN(O331)-FIND(",", O331)-1), MID(O331, FIND(",", O331)+2, FIND(",", O331, FIND(",", O331)+1)-FIND(",", O331)-2)), "")</f>
        <v/>
      </c>
      <c r="R331" s="303" t="str">
        <f>IFERROR(RIGHT(O331, LEN(O331)-FIND(",", O331, FIND(",", O331)+1)-1), "")</f>
        <v/>
      </c>
      <c r="S331" s="35" t="str" cm="1">
        <f t="array" ref="S331">_xlfn.TEXTJOIN(", ",TRUE,_xlfn._xlws.FILTER(Tabla29[[#All],[PARTE]],ISNUMBER(SEARCH(Tabla29[[#All],[PCLAVE3]],Tabla8[[#This Row],[DESCRIPCION DE TRABAJO]])),""))</f>
        <v>Temperatura, Temperatura</v>
      </c>
      <c r="T331" s="34" t="str">
        <f>IF(AND(Tabla8[[#This Row],[PIEZA]]="",Tabla8[[#This Row],[PARTE]]=""),"VACIO","OK")</f>
        <v>OK</v>
      </c>
      <c r="U331" s="303" t="str">
        <f>+CONCATENATE(WEEKNUM(Tabla8[[#This Row],[FECHA]]),"-",YEAR(Tabla8[[#This Row],[FECHA]]))</f>
        <v>8-2026</v>
      </c>
    </row>
    <row r="332" spans="1:21" ht="15" customHeight="1">
      <c r="A332" s="22">
        <v>46071</v>
      </c>
      <c r="B332" s="16" t="s">
        <v>131</v>
      </c>
      <c r="C332" s="10" t="s">
        <v>36</v>
      </c>
      <c r="D332" s="381">
        <v>0.2986111111111111</v>
      </c>
      <c r="E332" s="381">
        <v>0.3125</v>
      </c>
      <c r="F332" s="380">
        <f>+MOD(Tabla8[[#This Row],[HR. FIN]]-Tabla8[[#This Row],[HR. INICIO]],1)</f>
        <v>1.3888888888888895E-2</v>
      </c>
      <c r="G332" s="16" t="s">
        <v>98</v>
      </c>
      <c r="H332" s="343" t="str">
        <f>IFERROR(VLOOKUP(G332,DATOS!$M$2:$N$219,2,FALSE),"")</f>
        <v>Maquinaria</v>
      </c>
      <c r="I332" s="115" t="s">
        <v>57</v>
      </c>
      <c r="J332" s="115" t="str">
        <f>+VLOOKUP($I332,Tabla7[#All],2,FALSE)</f>
        <v>NO PROGRAMADA</v>
      </c>
      <c r="K332" s="114" t="str">
        <f>IF(VLOOKUP(I332,Tabla7[#All],3,FALSE)=0,"",VLOOKUP(I332,Tabla7[#All],3,FALSE))</f>
        <v>MECÁNICA</v>
      </c>
      <c r="L332" s="35" t="s">
        <v>847</v>
      </c>
      <c r="M332" s="35" t="s">
        <v>848</v>
      </c>
      <c r="N332" s="35" t="str" cm="1">
        <f t="array" ref="N332">IFERROR(IF(Tabla8[[#This Row],[P/NP]]="NO PROGRAMADA","",_xlfn.TEXTJOIN(", ",TRUE,_xlfn._xlws.FILTER(Tabla4[[#All],[PIEZA]],ISNUMBER(SEARCH(Tabla4[[#All],[PCLAVE]],Tabla8[[#This Row],[DESCRIPCION DE TRABAJO]])),""))),"")</f>
        <v/>
      </c>
      <c r="O332" s="35" t="str" cm="1">
        <f t="array" ref="O332">_xlfn.TEXTJOIN(", ",TRUE,_xlfn._xlws.FILTER(Tabla28[[#All],[PARTE]],ISNUMBER(SEARCH(Tabla28[[#All],[PCLAVE2]],Tabla8[[#This Row],[DESCRIPCION DE TRABAJO]])),""))</f>
        <v>Tanque</v>
      </c>
      <c r="P332" s="303" t="str">
        <f>IFERROR(LEFT(O332, FIND(",", O332)-1), O332)</f>
        <v>Tanque</v>
      </c>
      <c r="Q332" s="303" t="str">
        <f>IFERROR(IF(ISERROR(FIND(",", O332, FIND(",", O332)+1)), RIGHT(O332, LEN(O332)-FIND(",", O332)-1), MID(O332, FIND(",", O332)+2, FIND(",", O332, FIND(",", O332)+1)-FIND(",", O332)-2)), "")</f>
        <v/>
      </c>
      <c r="R332" s="303" t="str">
        <f>IFERROR(RIGHT(O332, LEN(O332)-FIND(",", O332, FIND(",", O332)+1)-1), "")</f>
        <v/>
      </c>
      <c r="S332" s="35" t="str" cm="1">
        <f t="array" ref="S332">_xlfn.TEXTJOIN(", ",TRUE,_xlfn._xlws.FILTER(Tabla29[[#All],[PARTE]],ISNUMBER(SEARCH(Tabla29[[#All],[PCLAVE3]],Tabla8[[#This Row],[DESCRIPCION DE TRABAJO]])),""))</f>
        <v>No Recircula</v>
      </c>
      <c r="T332" s="34" t="str">
        <f>IF(AND(Tabla8[[#This Row],[PIEZA]]="",Tabla8[[#This Row],[PARTE]]=""),"VACIO","OK")</f>
        <v>OK</v>
      </c>
      <c r="U332" s="303" t="str">
        <f>+CONCATENATE(WEEKNUM(Tabla8[[#This Row],[FECHA]]),"-",YEAR(Tabla8[[#This Row],[FECHA]]))</f>
        <v>8-2026</v>
      </c>
    </row>
    <row r="333" spans="1:21" ht="15" customHeight="1">
      <c r="A333" s="22">
        <v>46071</v>
      </c>
      <c r="B333" s="16" t="s">
        <v>131</v>
      </c>
      <c r="C333" s="10" t="s">
        <v>36</v>
      </c>
      <c r="D333" s="381">
        <v>0.4513888888888889</v>
      </c>
      <c r="E333" s="381">
        <v>0.46527777777777779</v>
      </c>
      <c r="F333" s="380">
        <f>+MOD(Tabla8[[#This Row],[HR. FIN]]-Tabla8[[#This Row],[HR. INICIO]],1)</f>
        <v>1.3888888888888895E-2</v>
      </c>
      <c r="G333" s="16" t="s">
        <v>31</v>
      </c>
      <c r="H333" s="343" t="str">
        <f>IFERROR(VLOOKUP(G333,DATOS!$M$2:$N$219,2,FALSE),"")</f>
        <v>Maquinaria</v>
      </c>
      <c r="I333" s="115" t="s">
        <v>57</v>
      </c>
      <c r="J333" s="115" t="str">
        <f>+VLOOKUP($I333,Tabla7[#All],2,FALSE)</f>
        <v>NO PROGRAMADA</v>
      </c>
      <c r="K333" s="114" t="str">
        <f>IF(VLOOKUP(I333,Tabla7[#All],3,FALSE)=0,"",VLOOKUP(I333,Tabla7[#All],3,FALSE))</f>
        <v>MECÁNICA</v>
      </c>
      <c r="L333" s="35" t="s">
        <v>849</v>
      </c>
      <c r="M333" s="35" t="s">
        <v>850</v>
      </c>
      <c r="N333" s="35" t="str" cm="1">
        <f t="array" ref="N333">IFERROR(IF(Tabla8[[#This Row],[P/NP]]="NO PROGRAMADA","",_xlfn.TEXTJOIN(", ",TRUE,_xlfn._xlws.FILTER(Tabla4[[#All],[PIEZA]],ISNUMBER(SEARCH(Tabla4[[#All],[PCLAVE]],Tabla8[[#This Row],[DESCRIPCION DE TRABAJO]])),""))),"")</f>
        <v/>
      </c>
      <c r="O333" s="35" t="str" cm="1">
        <f t="array" ref="O333">_xlfn.TEXTJOIN(", ",TRUE,_xlfn._xlws.FILTER(Tabla28[[#All],[PARTE]],ISNUMBER(SEARCH(Tabla28[[#All],[PCLAVE2]],Tabla8[[#This Row],[DESCRIPCION DE TRABAJO]])),""))</f>
        <v/>
      </c>
      <c r="P333" s="303" t="str">
        <f>IFERROR(LEFT(O333, FIND(",", O333)-1), O333)</f>
        <v/>
      </c>
      <c r="Q333" s="303" t="str">
        <f>IFERROR(IF(ISERROR(FIND(",", O333, FIND(",", O333)+1)), RIGHT(O333, LEN(O333)-FIND(",", O333)-1), MID(O333, FIND(",", O333)+2, FIND(",", O333, FIND(",", O333)+1)-FIND(",", O333)-2)), "")</f>
        <v/>
      </c>
      <c r="R333" s="303" t="str">
        <f>IFERROR(RIGHT(O333, LEN(O333)-FIND(",", O333, FIND(",", O333)+1)-1), "")</f>
        <v/>
      </c>
      <c r="S333" s="35" t="str" cm="1">
        <f t="array" ref="S333">_xlfn.TEXTJOIN(", ",TRUE,_xlfn._xlws.FILTER(Tabla29[[#All],[PARTE]],ISNUMBER(SEARCH(Tabla29[[#All],[PCLAVE3]],Tabla8[[#This Row],[DESCRIPCION DE TRABAJO]])),""))</f>
        <v>Calibracion, Laminado</v>
      </c>
      <c r="T333" s="34" t="str">
        <f>IF(AND(Tabla8[[#This Row],[PIEZA]]="",Tabla8[[#This Row],[PARTE]]=""),"VACIO","OK")</f>
        <v>VACIO</v>
      </c>
      <c r="U333" s="303" t="str">
        <f>+CONCATENATE(WEEKNUM(Tabla8[[#This Row],[FECHA]]),"-",YEAR(Tabla8[[#This Row],[FECHA]]))</f>
        <v>8-2026</v>
      </c>
    </row>
    <row r="334" spans="1:21" ht="15" customHeight="1">
      <c r="A334" s="22">
        <v>46071</v>
      </c>
      <c r="B334" s="16" t="s">
        <v>131</v>
      </c>
      <c r="C334" s="10" t="s">
        <v>36</v>
      </c>
      <c r="D334" s="381">
        <v>0.24305555555555555</v>
      </c>
      <c r="E334" s="381">
        <v>0.25694444444444442</v>
      </c>
      <c r="F334" s="380">
        <f>+MOD(Tabla8[[#This Row],[HR. FIN]]-Tabla8[[#This Row],[HR. INICIO]],1)</f>
        <v>1.3888888888888867E-2</v>
      </c>
      <c r="G334" s="16" t="s">
        <v>211</v>
      </c>
      <c r="H334" s="343" t="str">
        <f>IFERROR(VLOOKUP(G334,DATOS!$M$2:$N$219,2,FALSE),"")</f>
        <v>Maquinaria</v>
      </c>
      <c r="I334" s="115" t="s">
        <v>54</v>
      </c>
      <c r="J334" s="115" t="str">
        <f>+VLOOKUP($I334,Tabla7[#All],2,FALSE)</f>
        <v>PROGRAMADA</v>
      </c>
      <c r="K334" s="114" t="str">
        <f>IF(VLOOKUP(I334,Tabla7[#All],3,FALSE)=0,"",VLOOKUP(I334,Tabla7[#All],3,FALSE))</f>
        <v/>
      </c>
      <c r="L334" s="35" t="s">
        <v>154</v>
      </c>
      <c r="M334" s="35" t="s">
        <v>121</v>
      </c>
      <c r="N334" s="35" t="str" cm="1">
        <f t="array" ref="N334">IFERROR(IF(Tabla8[[#This Row],[P/NP]]="NO PROGRAMADA","",_xlfn.TEXTJOIN(", ",TRUE,_xlfn._xlws.FILTER(Tabla4[[#All],[PIEZA]],ISNUMBER(SEARCH(Tabla4[[#All],[PCLAVE]],Tabla8[[#This Row],[DESCRIPCION DE TRABAJO]])),""))),"")</f>
        <v/>
      </c>
      <c r="O334" s="35" t="str" cm="1">
        <f t="array" ref="O334">_xlfn.TEXTJOIN(", ",TRUE,_xlfn._xlws.FILTER(Tabla28[[#All],[PARTE]],ISNUMBER(SEARCH(Tabla28[[#All],[PCLAVE2]],Tabla8[[#This Row],[DESCRIPCION DE TRABAJO]])),""))</f>
        <v/>
      </c>
      <c r="P334" s="303" t="str">
        <f>IFERROR(LEFT(O334, FIND(",", O334)-1), O334)</f>
        <v/>
      </c>
      <c r="Q334" s="303" t="str">
        <f>IFERROR(IF(ISERROR(FIND(",", O334, FIND(",", O334)+1)), RIGHT(O334, LEN(O334)-FIND(",", O334)-1), MID(O334, FIND(",", O334)+2, FIND(",", O334, FIND(",", O334)+1)-FIND(",", O334)-2)), "")</f>
        <v/>
      </c>
      <c r="R334" s="303" t="str">
        <f>IFERROR(RIGHT(O334, LEN(O334)-FIND(",", O334, FIND(",", O334)+1)-1), "")</f>
        <v/>
      </c>
      <c r="S334" s="35" t="str" cm="1">
        <f t="array" ref="S334">_xlfn.TEXTJOIN(", ",TRUE,_xlfn._xlws.FILTER(Tabla29[[#All],[PARTE]],ISNUMBER(SEARCH(Tabla29[[#All],[PCLAVE3]],Tabla8[[#This Row],[DESCRIPCION DE TRABAJO]])),""))</f>
        <v/>
      </c>
      <c r="T334" s="34" t="str">
        <f>IF(AND(Tabla8[[#This Row],[PIEZA]]="",Tabla8[[#This Row],[PARTE]]=""),"VACIO","OK")</f>
        <v>VACIO</v>
      </c>
      <c r="U334" s="303" t="str">
        <f>+CONCATENATE(WEEKNUM(Tabla8[[#This Row],[FECHA]]),"-",YEAR(Tabla8[[#This Row],[FECHA]]))</f>
        <v>8-2026</v>
      </c>
    </row>
    <row r="335" spans="1:21" ht="15" customHeight="1">
      <c r="A335" s="22">
        <v>46071</v>
      </c>
      <c r="B335" s="16" t="s">
        <v>179</v>
      </c>
      <c r="C335" s="10" t="s">
        <v>36</v>
      </c>
      <c r="D335" s="381">
        <v>0.26458333333333334</v>
      </c>
      <c r="E335" s="381">
        <v>0.27777777777777779</v>
      </c>
      <c r="F335" s="380">
        <f>+MOD(Tabla8[[#This Row],[HR. FIN]]-Tabla8[[#This Row],[HR. INICIO]],1)</f>
        <v>1.3194444444444453E-2</v>
      </c>
      <c r="G335" s="16" t="s">
        <v>205</v>
      </c>
      <c r="H335" s="343" t="str">
        <f>IFERROR(VLOOKUP(G335,DATOS!$M$2:$N$219,2,FALSE),"")</f>
        <v>Maquinaria</v>
      </c>
      <c r="I335" s="115" t="s">
        <v>61</v>
      </c>
      <c r="J335" s="115" t="s">
        <v>92</v>
      </c>
      <c r="K335" s="114" t="s">
        <v>93</v>
      </c>
      <c r="L335" s="35" t="s">
        <v>851</v>
      </c>
      <c r="M335" s="35" t="s">
        <v>852</v>
      </c>
      <c r="N335" s="35" t="str" cm="1">
        <f t="array" ref="N335">IFERROR(IF(Tabla8[[#This Row],[P/NP]]="NO PROGRAMADA","",_xlfn.TEXTJOIN(", ",TRUE,_xlfn._xlws.FILTER(Tabla4[[#All],[PIEZA]],ISNUMBER(SEARCH(Tabla4[[#All],[PCLAVE]],Tabla8[[#This Row],[DESCRIPCION DE TRABAJO]])),""))),"")</f>
        <v/>
      </c>
      <c r="O335" s="35" t="str" cm="1">
        <f t="array" ref="O335">_xlfn.TEXTJOIN(", ",TRUE,_xlfn._xlws.FILTER(Tabla28[[#All],[PARTE]],ISNUMBER(SEARCH(Tabla28[[#All],[PCLAVE2]],Tabla8[[#This Row],[DESCRIPCION DE TRABAJO]])),""))</f>
        <v>Codificador</v>
      </c>
      <c r="P335" s="303" t="str">
        <f>IFERROR(LEFT(O335, FIND(",", O335)-1), O335)</f>
        <v>Codificador</v>
      </c>
      <c r="Q335" s="303" t="str">
        <f>IFERROR(IF(ISERROR(FIND(",", O335, FIND(",", O335)+1)), RIGHT(O335, LEN(O335)-FIND(",", O335)-1), MID(O335, FIND(",", O335)+2, FIND(",", O335, FIND(",", O335)+1)-FIND(",", O335)-2)), "")</f>
        <v/>
      </c>
      <c r="R335" s="303" t="str">
        <f>IFERROR(RIGHT(O335, LEN(O335)-FIND(",", O335, FIND(",", O335)+1)-1), "")</f>
        <v/>
      </c>
      <c r="S335" s="35" t="str" cm="1">
        <f t="array" ref="S335">_xlfn.TEXTJOIN(", ",TRUE,_xlfn._xlws.FILTER(Tabla29[[#All],[PARTE]],ISNUMBER(SEARCH(Tabla29[[#All],[PCLAVE3]],Tabla8[[#This Row],[DESCRIPCION DE TRABAJO]])),""))</f>
        <v>No Codifica</v>
      </c>
      <c r="T335" s="34" t="str">
        <f>IF(AND(Tabla8[[#This Row],[PIEZA]]="",Tabla8[[#This Row],[PARTE]]=""),"VACIO","OK")</f>
        <v>OK</v>
      </c>
      <c r="U335" s="303" t="str">
        <f>+CONCATENATE(WEEKNUM(Tabla8[[#This Row],[FECHA]]),"-",YEAR(Tabla8[[#This Row],[FECHA]]))</f>
        <v>8-2026</v>
      </c>
    </row>
    <row r="336" spans="1:21" ht="15" customHeight="1">
      <c r="A336" s="22">
        <v>46071</v>
      </c>
      <c r="B336" s="16" t="s">
        <v>179</v>
      </c>
      <c r="C336" s="10" t="s">
        <v>36</v>
      </c>
      <c r="D336" s="381">
        <v>0.25</v>
      </c>
      <c r="E336" s="381">
        <v>0.26041666666666669</v>
      </c>
      <c r="F336" s="380">
        <f>+MOD(Tabla8[[#This Row],[HR. FIN]]-Tabla8[[#This Row],[HR. INICIO]],1)</f>
        <v>1.0416666666666685E-2</v>
      </c>
      <c r="G336" s="16" t="s">
        <v>651</v>
      </c>
      <c r="H336" s="343" t="str">
        <f>IFERROR(VLOOKUP(G336,DATOS!$M$2:$N$219,2,FALSE),"")</f>
        <v>Maquinaria</v>
      </c>
      <c r="I336" s="115" t="s">
        <v>32</v>
      </c>
      <c r="J336" s="115" t="str">
        <f>+VLOOKUP($I336,Tabla7[#All],2,FALSE)</f>
        <v>PROGRAMADA</v>
      </c>
      <c r="K336" s="114" t="str">
        <f>IF(VLOOKUP(I336,Tabla7[#All],3,FALSE)=0,"",VLOOKUP(I336,Tabla7[#All],3,FALSE))</f>
        <v/>
      </c>
      <c r="L336" s="35" t="s">
        <v>652</v>
      </c>
      <c r="M336" s="35" t="s">
        <v>121</v>
      </c>
      <c r="N336" s="35" t="str" cm="1">
        <f t="array" ref="N336">IFERROR(IF(Tabla8[[#This Row],[P/NP]]="NO PROGRAMADA","",_xlfn.TEXTJOIN(", ",TRUE,_xlfn._xlws.FILTER(Tabla4[[#All],[PIEZA]],ISNUMBER(SEARCH(Tabla4[[#All],[PCLAVE]],Tabla8[[#This Row],[DESCRIPCION DE TRABAJO]])),""))),"")</f>
        <v/>
      </c>
      <c r="O336" s="35" t="str" cm="1">
        <f t="array" ref="O336">_xlfn.TEXTJOIN(", ",TRUE,_xlfn._xlws.FILTER(Tabla28[[#All],[PARTE]],ISNUMBER(SEARCH(Tabla28[[#All],[PCLAVE2]],Tabla8[[#This Row],[DESCRIPCION DE TRABAJO]])),""))</f>
        <v/>
      </c>
      <c r="P336" s="303" t="str">
        <f>IFERROR(LEFT(O336, FIND(",", O336)-1), O336)</f>
        <v/>
      </c>
      <c r="Q336" s="303" t="str">
        <f>IFERROR(IF(ISERROR(FIND(",", O336, FIND(",", O336)+1)), RIGHT(O336, LEN(O336)-FIND(",", O336)-1), MID(O336, FIND(",", O336)+2, FIND(",", O336, FIND(",", O336)+1)-FIND(",", O336)-2)), "")</f>
        <v/>
      </c>
      <c r="R336" s="303" t="str">
        <f>IFERROR(RIGHT(O336, LEN(O336)-FIND(",", O336, FIND(",", O336)+1)-1), "")</f>
        <v/>
      </c>
      <c r="S336" s="35" t="str" cm="1">
        <f t="array" ref="S336">_xlfn.TEXTJOIN(", ",TRUE,_xlfn._xlws.FILTER(Tabla29[[#All],[PARTE]],ISNUMBER(SEARCH(Tabla29[[#All],[PCLAVE3]],Tabla8[[#This Row],[DESCRIPCION DE TRABAJO]])),""))</f>
        <v/>
      </c>
      <c r="T336" s="34" t="str">
        <f>IF(AND(Tabla8[[#This Row],[PIEZA]]="",Tabla8[[#This Row],[PARTE]]=""),"VACIO","OK")</f>
        <v>VACIO</v>
      </c>
      <c r="U336" s="303" t="str">
        <f>+CONCATENATE(WEEKNUM(Tabla8[[#This Row],[FECHA]]),"-",YEAR(Tabla8[[#This Row],[FECHA]]))</f>
        <v>8-2026</v>
      </c>
    </row>
    <row r="337" spans="1:21" ht="15" customHeight="1">
      <c r="A337" s="22">
        <v>46071</v>
      </c>
      <c r="B337" s="16" t="s">
        <v>131</v>
      </c>
      <c r="C337" s="10" t="s">
        <v>36</v>
      </c>
      <c r="D337" s="381">
        <v>0.26041666666666669</v>
      </c>
      <c r="E337" s="381">
        <v>0.27083333333333331</v>
      </c>
      <c r="F337" s="380">
        <f>+MOD(Tabla8[[#This Row],[HR. FIN]]-Tabla8[[#This Row],[HR. INICIO]],1)</f>
        <v>1.041666666666663E-2</v>
      </c>
      <c r="G337" s="16" t="s">
        <v>241</v>
      </c>
      <c r="H337" s="343" t="str">
        <f>IFERROR(VLOOKUP(G337,DATOS!$M$2:$N$219,2,FALSE),"")</f>
        <v>Maquinaria</v>
      </c>
      <c r="I337" s="115" t="s">
        <v>57</v>
      </c>
      <c r="J337" s="115" t="str">
        <f>+VLOOKUP($I337,Tabla7[#All],2,FALSE)</f>
        <v>NO PROGRAMADA</v>
      </c>
      <c r="K337" s="114" t="str">
        <f>IF(VLOOKUP(I337,Tabla7[#All],3,FALSE)=0,"",VLOOKUP(I337,Tabla7[#All],3,FALSE))</f>
        <v>MECÁNICA</v>
      </c>
      <c r="L337" s="35" t="s">
        <v>853</v>
      </c>
      <c r="M337" s="35" t="s">
        <v>854</v>
      </c>
      <c r="N337" s="35" t="str" cm="1">
        <f t="array" ref="N337">IFERROR(IF(Tabla8[[#This Row],[P/NP]]="NO PROGRAMADA","",_xlfn.TEXTJOIN(", ",TRUE,_xlfn._xlws.FILTER(Tabla4[[#All],[PIEZA]],ISNUMBER(SEARCH(Tabla4[[#All],[PCLAVE]],Tabla8[[#This Row],[DESCRIPCION DE TRABAJO]])),""))),"")</f>
        <v/>
      </c>
      <c r="O337" s="35" t="str" cm="1">
        <f t="array" ref="O337">_xlfn.TEXTJOIN(", ",TRUE,_xlfn._xlws.FILTER(Tabla28[[#All],[PARTE]],ISNUMBER(SEARCH(Tabla28[[#All],[PCLAVE2]],Tabla8[[#This Row],[DESCRIPCION DE TRABAJO]])),""))</f>
        <v/>
      </c>
      <c r="P337" s="303" t="str">
        <f>IFERROR(LEFT(O337, FIND(",", O337)-1), O337)</f>
        <v/>
      </c>
      <c r="Q337" s="303" t="str">
        <f>IFERROR(IF(ISERROR(FIND(",", O337, FIND(",", O337)+1)), RIGHT(O337, LEN(O337)-FIND(",", O337)-1), MID(O337, FIND(",", O337)+2, FIND(",", O337, FIND(",", O337)+1)-FIND(",", O337)-2)), "")</f>
        <v/>
      </c>
      <c r="R337" s="303" t="str">
        <f>IFERROR(RIGHT(O337, LEN(O337)-FIND(",", O337, FIND(",", O337)+1)-1), "")</f>
        <v/>
      </c>
      <c r="S337" s="35" t="str" cm="1">
        <f t="array" ref="S337">_xlfn.TEXTJOIN(", ",TRUE,_xlfn._xlws.FILTER(Tabla29[[#All],[PARTE]],ISNUMBER(SEARCH(Tabla29[[#All],[PCLAVE3]],Tabla8[[#This Row],[DESCRIPCION DE TRABAJO]])),""))</f>
        <v>No Inicia</v>
      </c>
      <c r="T337" s="34" t="str">
        <f>IF(AND(Tabla8[[#This Row],[PIEZA]]="",Tabla8[[#This Row],[PARTE]]=""),"VACIO","OK")</f>
        <v>VACIO</v>
      </c>
      <c r="U337" s="303" t="str">
        <f>+CONCATENATE(WEEKNUM(Tabla8[[#This Row],[FECHA]]),"-",YEAR(Tabla8[[#This Row],[FECHA]]))</f>
        <v>8-2026</v>
      </c>
    </row>
    <row r="338" spans="1:21" ht="15" customHeight="1">
      <c r="A338" s="22">
        <v>46071</v>
      </c>
      <c r="B338" s="16" t="s">
        <v>131</v>
      </c>
      <c r="C338" s="10" t="s">
        <v>36</v>
      </c>
      <c r="D338" s="381">
        <v>0.41319444444444442</v>
      </c>
      <c r="E338" s="381">
        <v>0.42222222222222222</v>
      </c>
      <c r="F338" s="380">
        <f>+MOD(Tabla8[[#This Row],[HR. FIN]]-Tabla8[[#This Row],[HR. INICIO]],1)</f>
        <v>9.0277777777778012E-3</v>
      </c>
      <c r="G338" s="16" t="s">
        <v>238</v>
      </c>
      <c r="H338" s="343" t="str">
        <f>IFERROR(VLOOKUP(G338,DATOS!$M$2:$N$219,2,FALSE),"")</f>
        <v>Maquinaria</v>
      </c>
      <c r="I338" s="115" t="s">
        <v>54</v>
      </c>
      <c r="J338" s="115" t="str">
        <f>+VLOOKUP($I338,Tabla7[#All],2,FALSE)</f>
        <v>PROGRAMADA</v>
      </c>
      <c r="K338" s="114" t="str">
        <f>IF(VLOOKUP(I338,Tabla7[#All],3,FALSE)=0,"",VLOOKUP(I338,Tabla7[#All],3,FALSE))</f>
        <v/>
      </c>
      <c r="L338" s="35" t="s">
        <v>154</v>
      </c>
      <c r="M338" s="35" t="s">
        <v>121</v>
      </c>
      <c r="N338" s="35" t="str" cm="1">
        <f t="array" ref="N338">IFERROR(IF(Tabla8[[#This Row],[P/NP]]="NO PROGRAMADA","",_xlfn.TEXTJOIN(", ",TRUE,_xlfn._xlws.FILTER(Tabla4[[#All],[PIEZA]],ISNUMBER(SEARCH(Tabla4[[#All],[PCLAVE]],Tabla8[[#This Row],[DESCRIPCION DE TRABAJO]])),""))),"")</f>
        <v/>
      </c>
      <c r="O338" s="35" t="str" cm="1">
        <f t="array" ref="O338">_xlfn.TEXTJOIN(", ",TRUE,_xlfn._xlws.FILTER(Tabla28[[#All],[PARTE]],ISNUMBER(SEARCH(Tabla28[[#All],[PCLAVE2]],Tabla8[[#This Row],[DESCRIPCION DE TRABAJO]])),""))</f>
        <v/>
      </c>
      <c r="P338" s="303" t="str">
        <f>IFERROR(LEFT(O338, FIND(",", O338)-1), O338)</f>
        <v/>
      </c>
      <c r="Q338" s="303" t="str">
        <f>IFERROR(IF(ISERROR(FIND(",", O338, FIND(",", O338)+1)), RIGHT(O338, LEN(O338)-FIND(",", O338)-1), MID(O338, FIND(",", O338)+2, FIND(",", O338, FIND(",", O338)+1)-FIND(",", O338)-2)), "")</f>
        <v/>
      </c>
      <c r="R338" s="303" t="str">
        <f>IFERROR(RIGHT(O338, LEN(O338)-FIND(",", O338, FIND(",", O338)+1)-1), "")</f>
        <v/>
      </c>
      <c r="S338" s="35" t="str" cm="1">
        <f t="array" ref="S338">_xlfn.TEXTJOIN(", ",TRUE,_xlfn._xlws.FILTER(Tabla29[[#All],[PARTE]],ISNUMBER(SEARCH(Tabla29[[#All],[PCLAVE3]],Tabla8[[#This Row],[DESCRIPCION DE TRABAJO]])),""))</f>
        <v/>
      </c>
      <c r="T338" s="34" t="str">
        <f>IF(AND(Tabla8[[#This Row],[PIEZA]]="",Tabla8[[#This Row],[PARTE]]=""),"VACIO","OK")</f>
        <v>VACIO</v>
      </c>
      <c r="U338" s="303" t="str">
        <f>+CONCATENATE(WEEKNUM(Tabla8[[#This Row],[FECHA]]),"-",YEAR(Tabla8[[#This Row],[FECHA]]))</f>
        <v>8-2026</v>
      </c>
    </row>
    <row r="339" spans="1:21" ht="15" customHeight="1">
      <c r="A339" s="22">
        <v>46076</v>
      </c>
      <c r="B339" s="16" t="s">
        <v>191</v>
      </c>
      <c r="C339" s="10" t="s">
        <v>36</v>
      </c>
      <c r="D339" s="381" t="s">
        <v>855</v>
      </c>
      <c r="E339" s="381" t="s">
        <v>856</v>
      </c>
      <c r="F339" s="380">
        <f>+MOD(Tabla8[[#This Row],[HR. FIN]]-Tabla8[[#This Row],[HR. INICIO]],1)</f>
        <v>3.9583333333333304E-2</v>
      </c>
      <c r="G339" s="16" t="s">
        <v>215</v>
      </c>
      <c r="H339" s="343" t="str">
        <f>IFERROR(VLOOKUP(G339,DATOS!$M$2:$N$219,2,FALSE),"")</f>
        <v>Equipos auxiliares</v>
      </c>
      <c r="I339" s="115" t="s">
        <v>43</v>
      </c>
      <c r="J339" s="115" t="str">
        <f>+VLOOKUP($I339,Tabla7[#All],2,FALSE)</f>
        <v>PROGRAMADA</v>
      </c>
      <c r="K339" s="114" t="str">
        <f>IF(VLOOKUP(I339,Tabla7[#All],3,FALSE)=0,"",VLOOKUP(I339,Tabla7[#All],3,FALSE))</f>
        <v/>
      </c>
      <c r="L339" s="35" t="s">
        <v>857</v>
      </c>
      <c r="M339" s="35" t="s">
        <v>121</v>
      </c>
      <c r="N339" s="35" t="str" cm="1">
        <f t="array" ref="N339">IFERROR(IF(Tabla8[[#This Row],[P/NP]]="NO PROGRAMADA","",_xlfn.TEXTJOIN(", ",TRUE,_xlfn._xlws.FILTER(Tabla4[[#All],[PIEZA]],ISNUMBER(SEARCH(Tabla4[[#All],[PCLAVE]],Tabla8[[#This Row],[DESCRIPCION DE TRABAJO]])),""))),"")</f>
        <v/>
      </c>
      <c r="O339" s="35" t="str" cm="1">
        <f t="array" ref="O339">_xlfn.TEXTJOIN(", ",TRUE,_xlfn._xlws.FILTER(Tabla28[[#All],[PARTE]],ISNUMBER(SEARCH(Tabla28[[#All],[PCLAVE2]],Tabla8[[#This Row],[DESCRIPCION DE TRABAJO]])),""))</f>
        <v/>
      </c>
      <c r="P339" s="303" t="str">
        <f>IFERROR(LEFT(O339, FIND(",", O339)-1), O339)</f>
        <v/>
      </c>
      <c r="Q339" s="303" t="str">
        <f>IFERROR(IF(ISERROR(FIND(",", O339, FIND(",", O339)+1)), RIGHT(O339, LEN(O339)-FIND(",", O339)-1), MID(O339, FIND(",", O339)+2, FIND(",", O339, FIND(",", O339)+1)-FIND(",", O339)-2)), "")</f>
        <v/>
      </c>
      <c r="R339" s="303" t="str">
        <f>IFERROR(RIGHT(O339, LEN(O339)-FIND(",", O339, FIND(",", O339)+1)-1), "")</f>
        <v/>
      </c>
      <c r="S339" s="35" t="str" cm="1">
        <f t="array" ref="S339">_xlfn.TEXTJOIN(", ",TRUE,_xlfn._xlws.FILTER(Tabla29[[#All],[PARTE]],ISNUMBER(SEARCH(Tabla29[[#All],[PCLAVE3]],Tabla8[[#This Row],[DESCRIPCION DE TRABAJO]])),""))</f>
        <v/>
      </c>
      <c r="T339" s="34" t="str">
        <f>IF(AND(Tabla8[[#This Row],[PIEZA]]="",Tabla8[[#This Row],[PARTE]]=""),"VACIO","OK")</f>
        <v>VACIO</v>
      </c>
      <c r="U339" s="303" t="str">
        <f>+CONCATENATE(WEEKNUM(Tabla8[[#This Row],[FECHA]]),"-",YEAR(Tabla8[[#This Row],[FECHA]]))</f>
        <v>9-2026</v>
      </c>
    </row>
    <row r="340" spans="1:21" ht="15" customHeight="1">
      <c r="A340" s="22">
        <v>46076</v>
      </c>
      <c r="B340" s="16" t="s">
        <v>179</v>
      </c>
      <c r="C340" s="10" t="s">
        <v>36</v>
      </c>
      <c r="D340" s="381" t="s">
        <v>858</v>
      </c>
      <c r="E340" s="381">
        <v>0.55902777777777779</v>
      </c>
      <c r="F340" s="380">
        <f>+MOD(Tabla8[[#This Row],[HR. FIN]]-Tabla8[[#This Row],[HR. INICIO]],1)</f>
        <v>3.819444444444442E-2</v>
      </c>
      <c r="G340" s="16" t="s">
        <v>91</v>
      </c>
      <c r="H340" s="343" t="str">
        <f>IFERROR(VLOOKUP(G340,DATOS!$M$2:$N$219,2,FALSE),"")</f>
        <v>Area</v>
      </c>
      <c r="I340" s="115" t="s">
        <v>32</v>
      </c>
      <c r="J340" s="115" t="str">
        <f>+VLOOKUP($I340,Tabla7[#All],2,FALSE)</f>
        <v>PROGRAMADA</v>
      </c>
      <c r="K340" s="114" t="str">
        <f>IF(VLOOKUP(I340,Tabla7[#All],3,FALSE)=0,"",VLOOKUP(I340,Tabla7[#All],3,FALSE))</f>
        <v/>
      </c>
      <c r="L340" s="35" t="s">
        <v>859</v>
      </c>
      <c r="M340" s="35" t="s">
        <v>121</v>
      </c>
      <c r="N340" s="35" t="str" cm="1">
        <f t="array" ref="N340">IFERROR(IF(Tabla8[[#This Row],[P/NP]]="NO PROGRAMADA","",_xlfn.TEXTJOIN(", ",TRUE,_xlfn._xlws.FILTER(Tabla4[[#All],[PIEZA]],ISNUMBER(SEARCH(Tabla4[[#All],[PCLAVE]],Tabla8[[#This Row],[DESCRIPCION DE TRABAJO]])),""))),"")</f>
        <v/>
      </c>
      <c r="O340" s="35" t="str" cm="1">
        <f t="array" ref="O340">_xlfn.TEXTJOIN(", ",TRUE,_xlfn._xlws.FILTER(Tabla28[[#All],[PARTE]],ISNUMBER(SEARCH(Tabla28[[#All],[PCLAVE2]],Tabla8[[#This Row],[DESCRIPCION DE TRABAJO]])),""))</f>
        <v/>
      </c>
      <c r="P340" s="303" t="str">
        <f>IFERROR(LEFT(O340, FIND(",", O340)-1), O340)</f>
        <v/>
      </c>
      <c r="Q340" s="303" t="str">
        <f>IFERROR(IF(ISERROR(FIND(",", O340, FIND(",", O340)+1)), RIGHT(O340, LEN(O340)-FIND(",", O340)-1), MID(O340, FIND(",", O340)+2, FIND(",", O340, FIND(",", O340)+1)-FIND(",", O340)-2)), "")</f>
        <v/>
      </c>
      <c r="R340" s="303" t="str">
        <f>IFERROR(RIGHT(O340, LEN(O340)-FIND(",", O340, FIND(",", O340)+1)-1), "")</f>
        <v/>
      </c>
      <c r="S340" s="35" t="str" cm="1">
        <f t="array" ref="S340">_xlfn.TEXTJOIN(", ",TRUE,_xlfn._xlws.FILTER(Tabla29[[#All],[PARTE]],ISNUMBER(SEARCH(Tabla29[[#All],[PCLAVE3]],Tabla8[[#This Row],[DESCRIPCION DE TRABAJO]])),""))</f>
        <v/>
      </c>
      <c r="T340" s="34" t="str">
        <f>IF(AND(Tabla8[[#This Row],[PIEZA]]="",Tabla8[[#This Row],[PARTE]]=""),"VACIO","OK")</f>
        <v>VACIO</v>
      </c>
      <c r="U340" s="303" t="str">
        <f>+CONCATENATE(WEEKNUM(Tabla8[[#This Row],[FECHA]]),"-",YEAR(Tabla8[[#This Row],[FECHA]]))</f>
        <v>9-2026</v>
      </c>
    </row>
    <row r="341" spans="1:21" ht="15" customHeight="1">
      <c r="A341" s="22">
        <v>46076</v>
      </c>
      <c r="B341" s="16" t="s">
        <v>179</v>
      </c>
      <c r="C341" s="10" t="s">
        <v>36</v>
      </c>
      <c r="D341" s="381" t="s">
        <v>551</v>
      </c>
      <c r="E341" s="381" t="s">
        <v>675</v>
      </c>
      <c r="F341" s="380">
        <f>+MOD(Tabla8[[#This Row],[HR. FIN]]-Tabla8[[#This Row],[HR. INICIO]],1)</f>
        <v>3.4722222222222154E-2</v>
      </c>
      <c r="G341" s="16" t="s">
        <v>312</v>
      </c>
      <c r="H341" s="343" t="str">
        <f>IFERROR(VLOOKUP(G341,DATOS!$M$2:$N$219,2,FALSE),"")</f>
        <v>Maquinaria</v>
      </c>
      <c r="I341" s="115" t="s">
        <v>186</v>
      </c>
      <c r="J341" s="115" t="s">
        <v>157</v>
      </c>
      <c r="K341" s="114"/>
      <c r="L341" s="35" t="s">
        <v>860</v>
      </c>
      <c r="M341" s="35" t="s">
        <v>861</v>
      </c>
      <c r="N341" s="35" t="str" cm="1">
        <f t="array" ref="N341">IFERROR(IF(Tabla8[[#This Row],[P/NP]]="NO PROGRAMADA","",_xlfn.TEXTJOIN(", ",TRUE,_xlfn._xlws.FILTER(Tabla4[[#All],[PIEZA]],ISNUMBER(SEARCH(Tabla4[[#All],[PCLAVE]],Tabla8[[#This Row],[DESCRIPCION DE TRABAJO]])),""))),"")</f>
        <v>Puerta</v>
      </c>
      <c r="O341" s="35" t="str" cm="1">
        <f t="array" ref="O341">_xlfn.TEXTJOIN(", ",TRUE,_xlfn._xlws.FILTER(Tabla28[[#All],[PARTE]],ISNUMBER(SEARCH(Tabla28[[#All],[PCLAVE2]],Tabla8[[#This Row],[DESCRIPCION DE TRABAJO]])),""))</f>
        <v/>
      </c>
      <c r="P341" s="303" t="str">
        <f>IFERROR(LEFT(O341, FIND(",", O341)-1), O341)</f>
        <v/>
      </c>
      <c r="Q341" s="303" t="str">
        <f>IFERROR(IF(ISERROR(FIND(",", O341, FIND(",", O341)+1)), RIGHT(O341, LEN(O341)-FIND(",", O341)-1), MID(O341, FIND(",", O341)+2, FIND(",", O341, FIND(",", O341)+1)-FIND(",", O341)-2)), "")</f>
        <v/>
      </c>
      <c r="R341" s="303" t="str">
        <f>IFERROR(RIGHT(O341, LEN(O341)-FIND(",", O341, FIND(",", O341)+1)-1), "")</f>
        <v/>
      </c>
      <c r="S341" s="35" t="str" cm="1">
        <f t="array" ref="S341">_xlfn.TEXTJOIN(", ",TRUE,_xlfn._xlws.FILTER(Tabla29[[#All],[PARTE]],ISNUMBER(SEARCH(Tabla29[[#All],[PCLAVE3]],Tabla8[[#This Row],[DESCRIPCION DE TRABAJO]])),""))</f>
        <v>Dañado</v>
      </c>
      <c r="T341" s="34" t="str">
        <f>IF(AND(Tabla8[[#This Row],[PIEZA]]="",Tabla8[[#This Row],[PARTE]]=""),"VACIO","OK")</f>
        <v>OK</v>
      </c>
      <c r="U341" s="303" t="str">
        <f>+CONCATENATE(WEEKNUM(Tabla8[[#This Row],[FECHA]]),"-",YEAR(Tabla8[[#This Row],[FECHA]]))</f>
        <v>9-2026</v>
      </c>
    </row>
    <row r="342" spans="1:21" ht="15" customHeight="1">
      <c r="A342" s="22">
        <v>46076</v>
      </c>
      <c r="B342" s="16" t="s">
        <v>131</v>
      </c>
      <c r="C342" s="10" t="s">
        <v>39</v>
      </c>
      <c r="D342" s="381" t="s">
        <v>396</v>
      </c>
      <c r="E342" s="381" t="s">
        <v>862</v>
      </c>
      <c r="F342" s="380">
        <f>+MOD(Tabla8[[#This Row],[HR. FIN]]-Tabla8[[#This Row],[HR. INICIO]],1)</f>
        <v>3.125E-2</v>
      </c>
      <c r="G342" s="16" t="s">
        <v>182</v>
      </c>
      <c r="H342" s="343" t="str">
        <f>IFERROR(VLOOKUP(G342,DATOS!$M$2:$N$219,2,FALSE),"")</f>
        <v>Maquinaria</v>
      </c>
      <c r="I342" s="115" t="s">
        <v>57</v>
      </c>
      <c r="J342" s="115" t="s">
        <v>157</v>
      </c>
      <c r="K342" s="114"/>
      <c r="L342" s="35" t="s">
        <v>863</v>
      </c>
      <c r="M342" s="35" t="s">
        <v>864</v>
      </c>
      <c r="N342" s="35" t="str" cm="1">
        <f t="array" ref="N342">IFERROR(IF(Tabla8[[#This Row],[P/NP]]="NO PROGRAMADA","",_xlfn.TEXTJOIN(", ",TRUE,_xlfn._xlws.FILTER(Tabla4[[#All],[PIEZA]],ISNUMBER(SEARCH(Tabla4[[#All],[PCLAVE]],Tabla8[[#This Row],[DESCRIPCION DE TRABAJO]])),""))),"")</f>
        <v>Laminado, Plegador</v>
      </c>
      <c r="O342" s="35" t="str" cm="1">
        <f t="array" ref="O342">_xlfn.TEXTJOIN(", ",TRUE,_xlfn._xlws.FILTER(Tabla28[[#All],[PARTE]],ISNUMBER(SEARCH(Tabla28[[#All],[PCLAVE2]],Tabla8[[#This Row],[DESCRIPCION DE TRABAJO]])),""))</f>
        <v/>
      </c>
      <c r="P342" s="303" t="str">
        <f>IFERROR(LEFT(O342, FIND(",", O342)-1), O342)</f>
        <v/>
      </c>
      <c r="Q342" s="303" t="str">
        <f>IFERROR(IF(ISERROR(FIND(",", O342, FIND(",", O342)+1)), RIGHT(O342, LEN(O342)-FIND(",", O342)-1), MID(O342, FIND(",", O342)+2, FIND(",", O342, FIND(",", O342)+1)-FIND(",", O342)-2)), "")</f>
        <v/>
      </c>
      <c r="R342" s="303" t="str">
        <f>IFERROR(RIGHT(O342, LEN(O342)-FIND(",", O342, FIND(",", O342)+1)-1), "")</f>
        <v/>
      </c>
      <c r="S342" s="35" t="str" cm="1">
        <f t="array" ref="S342">_xlfn.TEXTJOIN(", ",TRUE,_xlfn._xlws.FILTER(Tabla29[[#All],[PARTE]],ISNUMBER(SEARCH(Tabla29[[#All],[PCLAVE3]],Tabla8[[#This Row],[DESCRIPCION DE TRABAJO]])),""))</f>
        <v>Laminado</v>
      </c>
      <c r="T342" s="34" t="str">
        <f>IF(AND(Tabla8[[#This Row],[PIEZA]]="",Tabla8[[#This Row],[PARTE]]=""),"VACIO","OK")</f>
        <v>OK</v>
      </c>
      <c r="U342" s="303" t="str">
        <f>+CONCATENATE(WEEKNUM(Tabla8[[#This Row],[FECHA]]),"-",YEAR(Tabla8[[#This Row],[FECHA]]))</f>
        <v>9-2026</v>
      </c>
    </row>
    <row r="343" spans="1:21" ht="15" customHeight="1">
      <c r="A343" s="22">
        <v>46076</v>
      </c>
      <c r="B343" s="16" t="s">
        <v>131</v>
      </c>
      <c r="C343" s="10" t="s">
        <v>39</v>
      </c>
      <c r="D343" s="381" t="s">
        <v>865</v>
      </c>
      <c r="E343" s="381" t="s">
        <v>866</v>
      </c>
      <c r="F343" s="380">
        <f>+MOD(Tabla8[[#This Row],[HR. FIN]]-Tabla8[[#This Row],[HR. INICIO]],1)</f>
        <v>2.5000000000000001E-2</v>
      </c>
      <c r="G343" s="16" t="s">
        <v>24</v>
      </c>
      <c r="H343" s="343" t="str">
        <f>IFERROR(VLOOKUP(G343,DATOS!$M$2:$N$219,2,FALSE),"")</f>
        <v>Maquinaria</v>
      </c>
      <c r="I343" s="115" t="s">
        <v>54</v>
      </c>
      <c r="J343" s="115" t="str">
        <f>+VLOOKUP($I343,Tabla7[#All],2,FALSE)</f>
        <v>PROGRAMADA</v>
      </c>
      <c r="K343" s="114" t="str">
        <f>IF(VLOOKUP(I343,Tabla7[#All],3,FALSE)=0,"",VLOOKUP(I343,Tabla7[#All],3,FALSE))</f>
        <v/>
      </c>
      <c r="L343" s="35" t="s">
        <v>154</v>
      </c>
      <c r="M343" s="35" t="s">
        <v>121</v>
      </c>
      <c r="N343" s="35" t="str" cm="1">
        <f t="array" ref="N343">IFERROR(IF(Tabla8[[#This Row],[P/NP]]="NO PROGRAMADA","",_xlfn.TEXTJOIN(", ",TRUE,_xlfn._xlws.FILTER(Tabla4[[#All],[PIEZA]],ISNUMBER(SEARCH(Tabla4[[#All],[PCLAVE]],Tabla8[[#This Row],[DESCRIPCION DE TRABAJO]])),""))),"")</f>
        <v/>
      </c>
      <c r="O343" s="35" t="str" cm="1">
        <f t="array" ref="O343">_xlfn.TEXTJOIN(", ",TRUE,_xlfn._xlws.FILTER(Tabla28[[#All],[PARTE]],ISNUMBER(SEARCH(Tabla28[[#All],[PCLAVE2]],Tabla8[[#This Row],[DESCRIPCION DE TRABAJO]])),""))</f>
        <v/>
      </c>
      <c r="P343" s="303" t="str">
        <f>IFERROR(LEFT(O343, FIND(",", O343)-1), O343)</f>
        <v/>
      </c>
      <c r="Q343" s="303" t="str">
        <f>IFERROR(IF(ISERROR(FIND(",", O343, FIND(",", O343)+1)), RIGHT(O343, LEN(O343)-FIND(",", O343)-1), MID(O343, FIND(",", O343)+2, FIND(",", O343, FIND(",", O343)+1)-FIND(",", O343)-2)), "")</f>
        <v/>
      </c>
      <c r="R343" s="303" t="str">
        <f>IFERROR(RIGHT(O343, LEN(O343)-FIND(",", O343, FIND(",", O343)+1)-1), "")</f>
        <v/>
      </c>
      <c r="S343" s="35" t="str" cm="1">
        <f t="array" ref="S343">_xlfn.TEXTJOIN(", ",TRUE,_xlfn._xlws.FILTER(Tabla29[[#All],[PARTE]],ISNUMBER(SEARCH(Tabla29[[#All],[PCLAVE3]],Tabla8[[#This Row],[DESCRIPCION DE TRABAJO]])),""))</f>
        <v/>
      </c>
      <c r="T343" s="34" t="str">
        <f>IF(AND(Tabla8[[#This Row],[PIEZA]]="",Tabla8[[#This Row],[PARTE]]=""),"VACIO","OK")</f>
        <v>VACIO</v>
      </c>
      <c r="U343" s="303" t="str">
        <f>+CONCATENATE(WEEKNUM(Tabla8[[#This Row],[FECHA]]),"-",YEAR(Tabla8[[#This Row],[FECHA]]))</f>
        <v>9-2026</v>
      </c>
    </row>
    <row r="344" spans="1:21" ht="15" customHeight="1">
      <c r="A344" s="22">
        <v>46076</v>
      </c>
      <c r="B344" s="16" t="s">
        <v>191</v>
      </c>
      <c r="C344" s="10" t="s">
        <v>36</v>
      </c>
      <c r="D344" s="381" t="s">
        <v>867</v>
      </c>
      <c r="E344" s="381" t="s">
        <v>868</v>
      </c>
      <c r="F344" s="380">
        <f>+MOD(Tabla8[[#This Row],[HR. FIN]]-Tabla8[[#This Row],[HR. INICIO]],1)</f>
        <v>2.430555555555558E-2</v>
      </c>
      <c r="G344" s="16" t="s">
        <v>690</v>
      </c>
      <c r="H344" s="343" t="str">
        <f>IFERROR(VLOOKUP(G344,DATOS!$M$2:$N$219,2,FALSE),"")</f>
        <v>Equipos auxiliares</v>
      </c>
      <c r="I344" s="115" t="s">
        <v>57</v>
      </c>
      <c r="J344" s="115" t="str">
        <f>+VLOOKUP($I344,Tabla7[#All],2,FALSE)</f>
        <v>NO PROGRAMADA</v>
      </c>
      <c r="K344" s="114" t="str">
        <f>IF(VLOOKUP(I344,Tabla7[#All],3,FALSE)=0,"",VLOOKUP(I344,Tabla7[#All],3,FALSE))</f>
        <v>MECÁNICA</v>
      </c>
      <c r="L344" s="35" t="s">
        <v>869</v>
      </c>
      <c r="M344" s="35" t="s">
        <v>870</v>
      </c>
      <c r="N344" s="35" t="str" cm="1">
        <f t="array" ref="N344">IFERROR(IF(Tabla8[[#This Row],[P/NP]]="NO PROGRAMADA","",_xlfn.TEXTJOIN(", ",TRUE,_xlfn._xlws.FILTER(Tabla4[[#All],[PIEZA]],ISNUMBER(SEARCH(Tabla4[[#All],[PCLAVE]],Tabla8[[#This Row],[DESCRIPCION DE TRABAJO]])),""))),"")</f>
        <v/>
      </c>
      <c r="O344" s="35" t="str" cm="1">
        <f t="array" ref="O344">_xlfn.TEXTJOIN(", ",TRUE,_xlfn._xlws.FILTER(Tabla28[[#All],[PARTE]],ISNUMBER(SEARCH(Tabla28[[#All],[PCLAVE2]],Tabla8[[#This Row],[DESCRIPCION DE TRABAJO]])),""))</f>
        <v/>
      </c>
      <c r="P344" s="303" t="str">
        <f>IFERROR(LEFT(O344, FIND(",", O344)-1), O344)</f>
        <v/>
      </c>
      <c r="Q344" s="303" t="str">
        <f>IFERROR(IF(ISERROR(FIND(",", O344, FIND(",", O344)+1)), RIGHT(O344, LEN(O344)-FIND(",", O344)-1), MID(O344, FIND(",", O344)+2, FIND(",", O344, FIND(",", O344)+1)-FIND(",", O344)-2)), "")</f>
        <v/>
      </c>
      <c r="R344" s="303" t="str">
        <f>IFERROR(RIGHT(O344, LEN(O344)-FIND(",", O344, FIND(",", O344)+1)-1), "")</f>
        <v/>
      </c>
      <c r="S344" s="35" t="str" cm="1">
        <f t="array" ref="S344">_xlfn.TEXTJOIN(", ",TRUE,_xlfn._xlws.FILTER(Tabla29[[#All],[PARTE]],ISNUMBER(SEARCH(Tabla29[[#All],[PCLAVE3]],Tabla8[[#This Row],[DESCRIPCION DE TRABAJO]])),""))</f>
        <v>Temperatura, Temperatura</v>
      </c>
      <c r="T344" s="34" t="str">
        <f>IF(AND(Tabla8[[#This Row],[PIEZA]]="",Tabla8[[#This Row],[PARTE]]=""),"VACIO","OK")</f>
        <v>VACIO</v>
      </c>
      <c r="U344" s="303" t="str">
        <f>+CONCATENATE(WEEKNUM(Tabla8[[#This Row],[FECHA]]),"-",YEAR(Tabla8[[#This Row],[FECHA]]))</f>
        <v>9-2026</v>
      </c>
    </row>
    <row r="345" spans="1:21" ht="15" customHeight="1">
      <c r="A345" s="22">
        <v>46076</v>
      </c>
      <c r="B345" s="16" t="s">
        <v>179</v>
      </c>
      <c r="C345" s="10" t="s">
        <v>36</v>
      </c>
      <c r="D345" s="381" t="s">
        <v>456</v>
      </c>
      <c r="E345" s="381" t="s">
        <v>543</v>
      </c>
      <c r="F345" s="380">
        <f>+MOD(Tabla8[[#This Row],[HR. FIN]]-Tabla8[[#This Row],[HR. INICIO]],1)</f>
        <v>2.430555555555558E-2</v>
      </c>
      <c r="G345" s="16" t="s">
        <v>365</v>
      </c>
      <c r="H345" s="343" t="str">
        <f>IFERROR(VLOOKUP(G345,DATOS!$M$2:$N$219,2,FALSE),"")</f>
        <v>Area</v>
      </c>
      <c r="I345" s="115" t="s">
        <v>32</v>
      </c>
      <c r="J345" s="115" t="str">
        <f>+VLOOKUP($I345,Tabla7[#All],2,FALSE)</f>
        <v>PROGRAMADA</v>
      </c>
      <c r="K345" s="114" t="str">
        <f>IF(VLOOKUP(I345,Tabla7[#All],3,FALSE)=0,"",VLOOKUP(I345,Tabla7[#All],3,FALSE))</f>
        <v/>
      </c>
      <c r="L345" s="35" t="s">
        <v>871</v>
      </c>
      <c r="M345" s="35" t="s">
        <v>121</v>
      </c>
      <c r="N345" s="35" t="str" cm="1">
        <f t="array" ref="N345">IFERROR(IF(Tabla8[[#This Row],[P/NP]]="NO PROGRAMADA","",_xlfn.TEXTJOIN(", ",TRUE,_xlfn._xlws.FILTER(Tabla4[[#All],[PIEZA]],ISNUMBER(SEARCH(Tabla4[[#All],[PCLAVE]],Tabla8[[#This Row],[DESCRIPCION DE TRABAJO]])),""))),"")</f>
        <v/>
      </c>
      <c r="O345" s="35" t="str" cm="1">
        <f t="array" ref="O345">_xlfn.TEXTJOIN(", ",TRUE,_xlfn._xlws.FILTER(Tabla28[[#All],[PARTE]],ISNUMBER(SEARCH(Tabla28[[#All],[PCLAVE2]],Tabla8[[#This Row],[DESCRIPCION DE TRABAJO]])),""))</f>
        <v>Mds</v>
      </c>
      <c r="P345" s="303" t="str">
        <f>IFERROR(LEFT(O345, FIND(",", O345)-1), O345)</f>
        <v>Mds</v>
      </c>
      <c r="Q345" s="303" t="str">
        <f>IFERROR(IF(ISERROR(FIND(",", O345, FIND(",", O345)+1)), RIGHT(O345, LEN(O345)-FIND(",", O345)-1), MID(O345, FIND(",", O345)+2, FIND(",", O345, FIND(",", O345)+1)-FIND(",", O345)-2)), "")</f>
        <v/>
      </c>
      <c r="R345" s="303" t="str">
        <f>IFERROR(RIGHT(O345, LEN(O345)-FIND(",", O345, FIND(",", O345)+1)-1), "")</f>
        <v/>
      </c>
      <c r="S345" s="35" t="str" cm="1">
        <f t="array" ref="S345">_xlfn.TEXTJOIN(", ",TRUE,_xlfn._xlws.FILTER(Tabla29[[#All],[PARTE]],ISNUMBER(SEARCH(Tabla29[[#All],[PCLAVE3]],Tabla8[[#This Row],[DESCRIPCION DE TRABAJO]])),""))</f>
        <v>Cambio De Formato</v>
      </c>
      <c r="T345" s="34" t="str">
        <f>IF(AND(Tabla8[[#This Row],[PIEZA]]="",Tabla8[[#This Row],[PARTE]]=""),"VACIO","OK")</f>
        <v>OK</v>
      </c>
      <c r="U345" s="303" t="str">
        <f>+CONCATENATE(WEEKNUM(Tabla8[[#This Row],[FECHA]]),"-",YEAR(Tabla8[[#This Row],[FECHA]]))</f>
        <v>9-2026</v>
      </c>
    </row>
    <row r="346" spans="1:21" ht="15" customHeight="1">
      <c r="A346" s="22">
        <v>46076</v>
      </c>
      <c r="B346" s="16" t="s">
        <v>131</v>
      </c>
      <c r="C346" s="10" t="s">
        <v>39</v>
      </c>
      <c r="D346" s="381" t="s">
        <v>872</v>
      </c>
      <c r="E346" s="381" t="s">
        <v>873</v>
      </c>
      <c r="F346" s="380">
        <f>+MOD(Tabla8[[#This Row],[HR. FIN]]-Tabla8[[#This Row],[HR. INICIO]],1)</f>
        <v>2.4305555555555552E-2</v>
      </c>
      <c r="G346" s="16" t="s">
        <v>119</v>
      </c>
      <c r="H346" s="343" t="str">
        <f>IFERROR(VLOOKUP(G346,DATOS!$M$2:$N$219,2,FALSE),"")</f>
        <v>Maquinaria</v>
      </c>
      <c r="I346" s="115" t="s">
        <v>32</v>
      </c>
      <c r="J346" s="115" t="str">
        <f>+VLOOKUP($I346,Tabla7[#All],2,FALSE)</f>
        <v>PROGRAMADA</v>
      </c>
      <c r="K346" s="114" t="str">
        <f>IF(VLOOKUP(I346,Tabla7[#All],3,FALSE)=0,"",VLOOKUP(I346,Tabla7[#All],3,FALSE))</f>
        <v/>
      </c>
      <c r="L346" s="35" t="s">
        <v>874</v>
      </c>
      <c r="M346" s="35" t="s">
        <v>121</v>
      </c>
      <c r="N346" s="35" t="str" cm="1">
        <f t="array" ref="N346">IFERROR(IF(Tabla8[[#This Row],[P/NP]]="NO PROGRAMADA","",_xlfn.TEXTJOIN(", ",TRUE,_xlfn._xlws.FILTER(Tabla4[[#All],[PIEZA]],ISNUMBER(SEARCH(Tabla4[[#All],[PCLAVE]],Tabla8[[#This Row],[DESCRIPCION DE TRABAJO]])),""))),"")</f>
        <v>Husillo, Husillo, Planchas</v>
      </c>
      <c r="O346" s="35" t="str" cm="1">
        <f t="array" ref="O346">_xlfn.TEXTJOIN(", ",TRUE,_xlfn._xlws.FILTER(Tabla28[[#All],[PARTE]],ISNUMBER(SEARCH(Tabla28[[#All],[PCLAVE2]],Tabla8[[#This Row],[DESCRIPCION DE TRABAJO]])),""))</f>
        <v/>
      </c>
      <c r="P346" s="303" t="str">
        <f>IFERROR(LEFT(O346, FIND(",", O346)-1), O346)</f>
        <v/>
      </c>
      <c r="Q346" s="303" t="str">
        <f>IFERROR(IF(ISERROR(FIND(",", O346, FIND(",", O346)+1)), RIGHT(O346, LEN(O346)-FIND(",", O346)-1), MID(O346, FIND(",", O346)+2, FIND(",", O346, FIND(",", O346)+1)-FIND(",", O346)-2)), "")</f>
        <v/>
      </c>
      <c r="R346" s="303" t="str">
        <f>IFERROR(RIGHT(O346, LEN(O346)-FIND(",", O346, FIND(",", O346)+1)-1), "")</f>
        <v/>
      </c>
      <c r="S346" s="35" t="str" cm="1">
        <f t="array" ref="S346">_xlfn.TEXTJOIN(", ",TRUE,_xlfn._xlws.FILTER(Tabla29[[#All],[PARTE]],ISNUMBER(SEARCH(Tabla29[[#All],[PCLAVE3]],Tabla8[[#This Row],[DESCRIPCION DE TRABAJO]])),""))</f>
        <v>Sustitucion</v>
      </c>
      <c r="T346" s="34" t="str">
        <f>IF(AND(Tabla8[[#This Row],[PIEZA]]="",Tabla8[[#This Row],[PARTE]]=""),"VACIO","OK")</f>
        <v>OK</v>
      </c>
      <c r="U346" s="303" t="str">
        <f>+CONCATENATE(WEEKNUM(Tabla8[[#This Row],[FECHA]]),"-",YEAR(Tabla8[[#This Row],[FECHA]]))</f>
        <v>9-2026</v>
      </c>
    </row>
    <row r="347" spans="1:21" ht="15" customHeight="1">
      <c r="A347" s="22">
        <v>46076</v>
      </c>
      <c r="B347" s="16" t="s">
        <v>191</v>
      </c>
      <c r="C347" s="10" t="s">
        <v>36</v>
      </c>
      <c r="D347" s="381" t="s">
        <v>875</v>
      </c>
      <c r="E347" s="381" t="s">
        <v>876</v>
      </c>
      <c r="F347" s="380">
        <f>+MOD(Tabla8[[#This Row],[HR. FIN]]-Tabla8[[#This Row],[HR. INICIO]],1)</f>
        <v>2.2916666666666641E-2</v>
      </c>
      <c r="G347" s="16" t="s">
        <v>312</v>
      </c>
      <c r="H347" s="343" t="str">
        <f>IFERROR(VLOOKUP(G347,DATOS!$M$2:$N$219,2,FALSE),"")</f>
        <v>Maquinaria</v>
      </c>
      <c r="I347" s="115" t="s">
        <v>32</v>
      </c>
      <c r="J347" s="115" t="str">
        <f>+VLOOKUP($I347,Tabla7[#All],2,FALSE)</f>
        <v>PROGRAMADA</v>
      </c>
      <c r="K347" s="114" t="str">
        <f>IF(VLOOKUP(I347,Tabla7[#All],3,FALSE)=0,"",VLOOKUP(I347,Tabla7[#All],3,FALSE))</f>
        <v/>
      </c>
      <c r="L347" s="35" t="s">
        <v>877</v>
      </c>
      <c r="M347" s="35" t="s">
        <v>121</v>
      </c>
      <c r="N347" s="35" t="str" cm="1">
        <f t="array" ref="N347">IFERROR(IF(Tabla8[[#This Row],[P/NP]]="NO PROGRAMADA","",_xlfn.TEXTJOIN(", ",TRUE,_xlfn._xlws.FILTER(Tabla4[[#All],[PIEZA]],ISNUMBER(SEARCH(Tabla4[[#All],[PCLAVE]],Tabla8[[#This Row],[DESCRIPCION DE TRABAJO]])),""))),"")</f>
        <v/>
      </c>
      <c r="O347" s="35" t="str" cm="1">
        <f t="array" ref="O347">_xlfn.TEXTJOIN(", ",TRUE,_xlfn._xlws.FILTER(Tabla28[[#All],[PARTE]],ISNUMBER(SEARCH(Tabla28[[#All],[PCLAVE2]],Tabla8[[#This Row],[DESCRIPCION DE TRABAJO]])),""))</f>
        <v/>
      </c>
      <c r="P347" s="303" t="str">
        <f>IFERROR(LEFT(O347, FIND(",", O347)-1), O347)</f>
        <v/>
      </c>
      <c r="Q347" s="303" t="str">
        <f>IFERROR(IF(ISERROR(FIND(",", O347, FIND(",", O347)+1)), RIGHT(O347, LEN(O347)-FIND(",", O347)-1), MID(O347, FIND(",", O347)+2, FIND(",", O347, FIND(",", O347)+1)-FIND(",", O347)-2)), "")</f>
        <v/>
      </c>
      <c r="R347" s="303" t="str">
        <f>IFERROR(RIGHT(O347, LEN(O347)-FIND(",", O347, FIND(",", O347)+1)-1), "")</f>
        <v/>
      </c>
      <c r="S347" s="35" t="str" cm="1">
        <f t="array" ref="S347">_xlfn.TEXTJOIN(", ",TRUE,_xlfn._xlws.FILTER(Tabla29[[#All],[PARTE]],ISNUMBER(SEARCH(Tabla29[[#All],[PCLAVE3]],Tabla8[[#This Row],[DESCRIPCION DE TRABAJO]])),""))</f>
        <v/>
      </c>
      <c r="T347" s="34" t="str">
        <f>IF(AND(Tabla8[[#This Row],[PIEZA]]="",Tabla8[[#This Row],[PARTE]]=""),"VACIO","OK")</f>
        <v>VACIO</v>
      </c>
      <c r="U347" s="303" t="str">
        <f>+CONCATENATE(WEEKNUM(Tabla8[[#This Row],[FECHA]]),"-",YEAR(Tabla8[[#This Row],[FECHA]]))</f>
        <v>9-2026</v>
      </c>
    </row>
    <row r="348" spans="1:21" ht="15" customHeight="1">
      <c r="A348" s="22">
        <v>46076</v>
      </c>
      <c r="B348" s="16" t="s">
        <v>191</v>
      </c>
      <c r="C348" s="10" t="s">
        <v>36</v>
      </c>
      <c r="D348" s="381" t="s">
        <v>878</v>
      </c>
      <c r="E348" s="381" t="s">
        <v>879</v>
      </c>
      <c r="F348" s="380">
        <f>+MOD(Tabla8[[#This Row],[HR. FIN]]-Tabla8[[#This Row],[HR. INICIO]],1)</f>
        <v>2.2222222222222254E-2</v>
      </c>
      <c r="G348" s="16" t="s">
        <v>24</v>
      </c>
      <c r="H348" s="343" t="str">
        <f>IFERROR(VLOOKUP(G348,DATOS!$M$2:$N$219,2,FALSE),"")</f>
        <v>Maquinaria</v>
      </c>
      <c r="I348" s="115" t="s">
        <v>32</v>
      </c>
      <c r="J348" s="115" t="str">
        <f>+VLOOKUP($I348,Tabla7[#All],2,FALSE)</f>
        <v>PROGRAMADA</v>
      </c>
      <c r="K348" s="114" t="str">
        <f>IF(VLOOKUP(I348,Tabla7[#All],3,FALSE)=0,"",VLOOKUP(I348,Tabla7[#All],3,FALSE))</f>
        <v/>
      </c>
      <c r="L348" s="35" t="s">
        <v>880</v>
      </c>
      <c r="M348" s="35" t="s">
        <v>121</v>
      </c>
      <c r="N348" s="35" t="str" cm="1">
        <f t="array" ref="N348">IFERROR(IF(Tabla8[[#This Row],[P/NP]]="NO PROGRAMADA","",_xlfn.TEXTJOIN(", ",TRUE,_xlfn._xlws.FILTER(Tabla4[[#All],[PIEZA]],ISNUMBER(SEARCH(Tabla4[[#All],[PCLAVE]],Tabla8[[#This Row],[DESCRIPCION DE TRABAJO]])),""))),"")</f>
        <v/>
      </c>
      <c r="O348" s="35" t="str" cm="1">
        <f t="array" ref="O348">_xlfn.TEXTJOIN(", ",TRUE,_xlfn._xlws.FILTER(Tabla28[[#All],[PARTE]],ISNUMBER(SEARCH(Tabla28[[#All],[PCLAVE2]],Tabla8[[#This Row],[DESCRIPCION DE TRABAJO]])),""))</f>
        <v/>
      </c>
      <c r="P348" s="303" t="str">
        <f>IFERROR(LEFT(O348, FIND(",", O348)-1), O348)</f>
        <v/>
      </c>
      <c r="Q348" s="303" t="str">
        <f>IFERROR(IF(ISERROR(FIND(",", O348, FIND(",", O348)+1)), RIGHT(O348, LEN(O348)-FIND(",", O348)-1), MID(O348, FIND(",", O348)+2, FIND(",", O348, FIND(",", O348)+1)-FIND(",", O348)-2)), "")</f>
        <v/>
      </c>
      <c r="R348" s="303" t="str">
        <f>IFERROR(RIGHT(O348, LEN(O348)-FIND(",", O348, FIND(",", O348)+1)-1), "")</f>
        <v/>
      </c>
      <c r="S348" s="35" t="str" cm="1">
        <f t="array" ref="S348">_xlfn.TEXTJOIN(", ",TRUE,_xlfn._xlws.FILTER(Tabla29[[#All],[PARTE]],ISNUMBER(SEARCH(Tabla29[[#All],[PCLAVE3]],Tabla8[[#This Row],[DESCRIPCION DE TRABAJO]])),""))</f>
        <v/>
      </c>
      <c r="T348" s="34" t="str">
        <f>IF(AND(Tabla8[[#This Row],[PIEZA]]="",Tabla8[[#This Row],[PARTE]]=""),"VACIO","OK")</f>
        <v>VACIO</v>
      </c>
      <c r="U348" s="303" t="str">
        <f>+CONCATENATE(WEEKNUM(Tabla8[[#This Row],[FECHA]]),"-",YEAR(Tabla8[[#This Row],[FECHA]]))</f>
        <v>9-2026</v>
      </c>
    </row>
    <row r="349" spans="1:21" ht="15" customHeight="1">
      <c r="A349" s="22">
        <v>46076</v>
      </c>
      <c r="B349" s="16" t="s">
        <v>191</v>
      </c>
      <c r="C349" s="10" t="s">
        <v>36</v>
      </c>
      <c r="D349" s="381" t="s">
        <v>881</v>
      </c>
      <c r="E349" s="381" t="s">
        <v>882</v>
      </c>
      <c r="F349" s="380">
        <f>+MOD(Tabla8[[#This Row],[HR. FIN]]-Tabla8[[#This Row],[HR. INICIO]],1)</f>
        <v>2.1527777777777812E-2</v>
      </c>
      <c r="G349" s="16" t="s">
        <v>114</v>
      </c>
      <c r="H349" s="343" t="str">
        <f>IFERROR(VLOOKUP(G349,DATOS!$M$2:$N$219,2,FALSE),"")</f>
        <v>Maquinaria</v>
      </c>
      <c r="I349" s="115" t="s">
        <v>32</v>
      </c>
      <c r="J349" s="115" t="str">
        <f>+VLOOKUP($I349,Tabla7[#All],2,FALSE)</f>
        <v>PROGRAMADA</v>
      </c>
      <c r="K349" s="114" t="str">
        <f>IF(VLOOKUP(I349,Tabla7[#All],3,FALSE)=0,"",VLOOKUP(I349,Tabla7[#All],3,FALSE))</f>
        <v/>
      </c>
      <c r="L349" s="35" t="s">
        <v>76</v>
      </c>
      <c r="M349" s="35" t="s">
        <v>121</v>
      </c>
      <c r="N349" s="35" t="str" cm="1">
        <f t="array" ref="N349">IFERROR(IF(Tabla8[[#This Row],[P/NP]]="NO PROGRAMADA","",_xlfn.TEXTJOIN(", ",TRUE,_xlfn._xlws.FILTER(Tabla4[[#All],[PIEZA]],ISNUMBER(SEARCH(Tabla4[[#All],[PCLAVE]],Tabla8[[#This Row],[DESCRIPCION DE TRABAJO]])),""))),"")</f>
        <v/>
      </c>
      <c r="O349" s="35" t="str" cm="1">
        <f t="array" ref="O349">_xlfn.TEXTJOIN(", ",TRUE,_xlfn._xlws.FILTER(Tabla28[[#All],[PARTE]],ISNUMBER(SEARCH(Tabla28[[#All],[PCLAVE2]],Tabla8[[#This Row],[DESCRIPCION DE TRABAJO]])),""))</f>
        <v/>
      </c>
      <c r="P349" s="303" t="str">
        <f>IFERROR(LEFT(O349, FIND(",", O349)-1), O349)</f>
        <v/>
      </c>
      <c r="Q349" s="303" t="str">
        <f>IFERROR(IF(ISERROR(FIND(",", O349, FIND(",", O349)+1)), RIGHT(O349, LEN(O349)-FIND(",", O349)-1), MID(O349, FIND(",", O349)+2, FIND(",", O349, FIND(",", O349)+1)-FIND(",", O349)-2)), "")</f>
        <v/>
      </c>
      <c r="R349" s="303" t="str">
        <f>IFERROR(RIGHT(O349, LEN(O349)-FIND(",", O349, FIND(",", O349)+1)-1), "")</f>
        <v/>
      </c>
      <c r="S349" s="35" t="str" cm="1">
        <f t="array" ref="S349">_xlfn.TEXTJOIN(", ",TRUE,_xlfn._xlws.FILTER(Tabla29[[#All],[PARTE]],ISNUMBER(SEARCH(Tabla29[[#All],[PCLAVE3]],Tabla8[[#This Row],[DESCRIPCION DE TRABAJO]])),""))</f>
        <v/>
      </c>
      <c r="T349" s="34" t="str">
        <f>IF(AND(Tabla8[[#This Row],[PIEZA]]="",Tabla8[[#This Row],[PARTE]]=""),"VACIO","OK")</f>
        <v>VACIO</v>
      </c>
      <c r="U349" s="303" t="str">
        <f>+CONCATENATE(WEEKNUM(Tabla8[[#This Row],[FECHA]]),"-",YEAR(Tabla8[[#This Row],[FECHA]]))</f>
        <v>9-2026</v>
      </c>
    </row>
    <row r="350" spans="1:21" ht="15" customHeight="1">
      <c r="A350" s="22">
        <v>46076</v>
      </c>
      <c r="B350" s="16" t="s">
        <v>179</v>
      </c>
      <c r="C350" s="10" t="s">
        <v>36</v>
      </c>
      <c r="D350" s="381" t="s">
        <v>883</v>
      </c>
      <c r="E350" s="381" t="s">
        <v>884</v>
      </c>
      <c r="F350" s="380">
        <f>+MOD(Tabla8[[#This Row],[HR. FIN]]-Tabla8[[#This Row],[HR. INICIO]],1)</f>
        <v>2.0833333333333315E-2</v>
      </c>
      <c r="G350" s="16" t="s">
        <v>103</v>
      </c>
      <c r="H350" s="343" t="str">
        <f>IFERROR(VLOOKUP(G350,DATOS!$M$2:$N$219,2,FALSE),"")</f>
        <v>Area</v>
      </c>
      <c r="I350" s="115" t="s">
        <v>43</v>
      </c>
      <c r="J350" s="115" t="str">
        <f>+VLOOKUP($I350,Tabla7[#All],2,FALSE)</f>
        <v>PROGRAMADA</v>
      </c>
      <c r="K350" s="114" t="str">
        <f>IF(VLOOKUP(I350,Tabla7[#All],3,FALSE)=0,"",VLOOKUP(I350,Tabla7[#All],3,FALSE))</f>
        <v/>
      </c>
      <c r="L350" s="35" t="s">
        <v>755</v>
      </c>
      <c r="M350" s="35" t="s">
        <v>121</v>
      </c>
      <c r="N350" s="35" t="str" cm="1">
        <f t="array" ref="N350">IFERROR(IF(Tabla8[[#This Row],[P/NP]]="NO PROGRAMADA","",_xlfn.TEXTJOIN(", ",TRUE,_xlfn._xlws.FILTER(Tabla4[[#All],[PIEZA]],ISNUMBER(SEARCH(Tabla4[[#All],[PCLAVE]],Tabla8[[#This Row],[DESCRIPCION DE TRABAJO]])),""))),"")</f>
        <v/>
      </c>
      <c r="O350" s="35" t="str" cm="1">
        <f t="array" ref="O350">_xlfn.TEXTJOIN(", ",TRUE,_xlfn._xlws.FILTER(Tabla28[[#All],[PARTE]],ISNUMBER(SEARCH(Tabla28[[#All],[PCLAVE2]],Tabla8[[#This Row],[DESCRIPCION DE TRABAJO]])),""))</f>
        <v/>
      </c>
      <c r="P350" s="303" t="str">
        <f>IFERROR(LEFT(O350, FIND(",", O350)-1), O350)</f>
        <v/>
      </c>
      <c r="Q350" s="303" t="str">
        <f>IFERROR(IF(ISERROR(FIND(",", O350, FIND(",", O350)+1)), RIGHT(O350, LEN(O350)-FIND(",", O350)-1), MID(O350, FIND(",", O350)+2, FIND(",", O350, FIND(",", O350)+1)-FIND(",", O350)-2)), "")</f>
        <v/>
      </c>
      <c r="R350" s="303" t="str">
        <f>IFERROR(RIGHT(O350, LEN(O350)-FIND(",", O350, FIND(",", O350)+1)-1), "")</f>
        <v/>
      </c>
      <c r="S350" s="35" t="str" cm="1">
        <f t="array" ref="S350">_xlfn.TEXTJOIN(", ",TRUE,_xlfn._xlws.FILTER(Tabla29[[#All],[PARTE]],ISNUMBER(SEARCH(Tabla29[[#All],[PCLAVE3]],Tabla8[[#This Row],[DESCRIPCION DE TRABAJO]])),""))</f>
        <v/>
      </c>
      <c r="T350" s="34" t="str">
        <f>IF(AND(Tabla8[[#This Row],[PIEZA]]="",Tabla8[[#This Row],[PARTE]]=""),"VACIO","OK")</f>
        <v>VACIO</v>
      </c>
      <c r="U350" s="303" t="str">
        <f>+CONCATENATE(WEEKNUM(Tabla8[[#This Row],[FECHA]]),"-",YEAR(Tabla8[[#This Row],[FECHA]]))</f>
        <v>9-2026</v>
      </c>
    </row>
    <row r="351" spans="1:21" ht="15" customHeight="1">
      <c r="A351" s="22">
        <v>46076</v>
      </c>
      <c r="B351" s="16" t="s">
        <v>179</v>
      </c>
      <c r="C351" s="10" t="s">
        <v>36</v>
      </c>
      <c r="D351" s="381" t="s">
        <v>556</v>
      </c>
      <c r="E351" s="381" t="s">
        <v>557</v>
      </c>
      <c r="F351" s="380">
        <f>+MOD(Tabla8[[#This Row],[HR. FIN]]-Tabla8[[#This Row],[HR. INICIO]],1)</f>
        <v>2.0833333333333315E-2</v>
      </c>
      <c r="G351" s="16" t="s">
        <v>312</v>
      </c>
      <c r="H351" s="343" t="str">
        <f>IFERROR(VLOOKUP(G351,DATOS!$M$2:$N$219,2,FALSE),"")</f>
        <v>Maquinaria</v>
      </c>
      <c r="I351" s="115" t="s">
        <v>32</v>
      </c>
      <c r="J351" s="115" t="str">
        <f>+VLOOKUP($I351,Tabla7[#All],2,FALSE)</f>
        <v>PROGRAMADA</v>
      </c>
      <c r="K351" s="114" t="str">
        <f>IF(VLOOKUP(I351,Tabla7[#All],3,FALSE)=0,"",VLOOKUP(I351,Tabla7[#All],3,FALSE))</f>
        <v/>
      </c>
      <c r="L351" s="35" t="s">
        <v>885</v>
      </c>
      <c r="M351" s="35" t="s">
        <v>121</v>
      </c>
      <c r="N351" s="35" t="str" cm="1">
        <f t="array" ref="N351">IFERROR(IF(Tabla8[[#This Row],[P/NP]]="NO PROGRAMADA","",_xlfn.TEXTJOIN(", ",TRUE,_xlfn._xlws.FILTER(Tabla4[[#All],[PIEZA]],ISNUMBER(SEARCH(Tabla4[[#All],[PCLAVE]],Tabla8[[#This Row],[DESCRIPCION DE TRABAJO]])),""))),"")</f>
        <v>Banda</v>
      </c>
      <c r="O351" s="35" t="str" cm="1">
        <f t="array" ref="O351">_xlfn.TEXTJOIN(", ",TRUE,_xlfn._xlws.FILTER(Tabla28[[#All],[PARTE]],ISNUMBER(SEARCH(Tabla28[[#All],[PCLAVE2]],Tabla8[[#This Row],[DESCRIPCION DE TRABAJO]])),""))</f>
        <v/>
      </c>
      <c r="P351" s="303" t="str">
        <f>IFERROR(LEFT(O351, FIND(",", O351)-1), O351)</f>
        <v/>
      </c>
      <c r="Q351" s="303" t="str">
        <f>IFERROR(IF(ISERROR(FIND(",", O351, FIND(",", O351)+1)), RIGHT(O351, LEN(O351)-FIND(",", O351)-1), MID(O351, FIND(",", O351)+2, FIND(",", O351, FIND(",", O351)+1)-FIND(",", O351)-2)), "")</f>
        <v/>
      </c>
      <c r="R351" s="303" t="str">
        <f>IFERROR(RIGHT(O351, LEN(O351)-FIND(",", O351, FIND(",", O351)+1)-1), "")</f>
        <v/>
      </c>
      <c r="S351" s="35" t="str" cm="1">
        <f t="array" ref="S351">_xlfn.TEXTJOIN(", ",TRUE,_xlfn._xlws.FILTER(Tabla29[[#All],[PARTE]],ISNUMBER(SEARCH(Tabla29[[#All],[PCLAVE3]],Tabla8[[#This Row],[DESCRIPCION DE TRABAJO]])),""))</f>
        <v/>
      </c>
      <c r="T351" s="34" t="str">
        <f>IF(AND(Tabla8[[#This Row],[PIEZA]]="",Tabla8[[#This Row],[PARTE]]=""),"VACIO","OK")</f>
        <v>OK</v>
      </c>
      <c r="U351" s="303" t="str">
        <f>+CONCATENATE(WEEKNUM(Tabla8[[#This Row],[FECHA]]),"-",YEAR(Tabla8[[#This Row],[FECHA]]))</f>
        <v>9-2026</v>
      </c>
    </row>
    <row r="352" spans="1:21" ht="15" customHeight="1">
      <c r="A352" s="22">
        <v>46076</v>
      </c>
      <c r="B352" s="16" t="s">
        <v>131</v>
      </c>
      <c r="C352" s="10" t="s">
        <v>39</v>
      </c>
      <c r="D352" s="381" t="s">
        <v>886</v>
      </c>
      <c r="E352" s="381" t="s">
        <v>887</v>
      </c>
      <c r="F352" s="380">
        <f>+MOD(Tabla8[[#This Row],[HR. FIN]]-Tabla8[[#This Row],[HR. INICIO]],1)</f>
        <v>2.0833333333333259E-2</v>
      </c>
      <c r="G352" s="16" t="s">
        <v>119</v>
      </c>
      <c r="H352" s="343" t="str">
        <f>IFERROR(VLOOKUP(G352,DATOS!$M$2:$N$219,2,FALSE),"")</f>
        <v>Maquinaria</v>
      </c>
      <c r="I352" s="115" t="s">
        <v>61</v>
      </c>
      <c r="J352" s="115" t="str">
        <f>+VLOOKUP($I352,Tabla7[#All],2,FALSE)</f>
        <v>PROGRAMADA</v>
      </c>
      <c r="K352" s="114" t="str">
        <f>IF(VLOOKUP(I352,Tabla7[#All],3,FALSE)=0,"",VLOOKUP(I352,Tabla7[#All],3,FALSE))</f>
        <v/>
      </c>
      <c r="L352" s="35" t="s">
        <v>888</v>
      </c>
      <c r="M352" s="35" t="s">
        <v>121</v>
      </c>
      <c r="N352" s="35" t="str" cm="1">
        <f t="array" ref="N352">IFERROR(IF(Tabla8[[#This Row],[P/NP]]="NO PROGRAMADA","",_xlfn.TEXTJOIN(", ",TRUE,_xlfn._xlws.FILTER(Tabla4[[#All],[PIEZA]],ISNUMBER(SEARCH(Tabla4[[#All],[PCLAVE]],Tabla8[[#This Row],[DESCRIPCION DE TRABAJO]])),""))),"")</f>
        <v>Husillo, Husillo</v>
      </c>
      <c r="O352" s="35" t="str" cm="1">
        <f t="array" ref="O352">_xlfn.TEXTJOIN(", ",TRUE,_xlfn._xlws.FILTER(Tabla28[[#All],[PARTE]],ISNUMBER(SEARCH(Tabla28[[#All],[PCLAVE2]],Tabla8[[#This Row],[DESCRIPCION DE TRABAJO]])),""))</f>
        <v/>
      </c>
      <c r="P352" s="303" t="str">
        <f>IFERROR(LEFT(O352, FIND(",", O352)-1), O352)</f>
        <v/>
      </c>
      <c r="Q352" s="303" t="str">
        <f>IFERROR(IF(ISERROR(FIND(",", O352, FIND(",", O352)+1)), RIGHT(O352, LEN(O352)-FIND(",", O352)-1), MID(O352, FIND(",", O352)+2, FIND(",", O352, FIND(",", O352)+1)-FIND(",", O352)-2)), "")</f>
        <v/>
      </c>
      <c r="R352" s="303" t="str">
        <f>IFERROR(RIGHT(O352, LEN(O352)-FIND(",", O352, FIND(",", O352)+1)-1), "")</f>
        <v/>
      </c>
      <c r="S352" s="35" t="str" cm="1">
        <f t="array" ref="S352">_xlfn.TEXTJOIN(", ",TRUE,_xlfn._xlws.FILTER(Tabla29[[#All],[PARTE]],ISNUMBER(SEARCH(Tabla29[[#All],[PCLAVE3]],Tabla8[[#This Row],[DESCRIPCION DE TRABAJO]])),""))</f>
        <v>Cambio De Formato, Sustitucion</v>
      </c>
      <c r="T352" s="34" t="str">
        <f>IF(AND(Tabla8[[#This Row],[PIEZA]]="",Tabla8[[#This Row],[PARTE]]=""),"VACIO","OK")</f>
        <v>OK</v>
      </c>
      <c r="U352" s="303" t="str">
        <f>+CONCATENATE(WEEKNUM(Tabla8[[#This Row],[FECHA]]),"-",YEAR(Tabla8[[#This Row],[FECHA]]))</f>
        <v>9-2026</v>
      </c>
    </row>
    <row r="353" spans="1:21" ht="15" customHeight="1">
      <c r="A353" s="22">
        <v>46076</v>
      </c>
      <c r="B353" s="16" t="s">
        <v>191</v>
      </c>
      <c r="C353" s="10" t="s">
        <v>36</v>
      </c>
      <c r="D353" s="381" t="s">
        <v>889</v>
      </c>
      <c r="E353" s="381" t="s">
        <v>890</v>
      </c>
      <c r="F353" s="380">
        <f>+MOD(Tabla8[[#This Row],[HR. FIN]]-Tabla8[[#This Row],[HR. INICIO]],1)</f>
        <v>1.8055555555555602E-2</v>
      </c>
      <c r="G353" s="16" t="s">
        <v>119</v>
      </c>
      <c r="H353" s="343" t="str">
        <f>IFERROR(VLOOKUP(G353,DATOS!$M$2:$N$219,2,FALSE),"")</f>
        <v>Maquinaria</v>
      </c>
      <c r="I353" s="115" t="s">
        <v>32</v>
      </c>
      <c r="J353" s="115" t="str">
        <f>+VLOOKUP($I353,Tabla7[#All],2,FALSE)</f>
        <v>PROGRAMADA</v>
      </c>
      <c r="K353" s="114" t="str">
        <f>IF(VLOOKUP(I353,Tabla7[#All],3,FALSE)=0,"",VLOOKUP(I353,Tabla7[#All],3,FALSE))</f>
        <v/>
      </c>
      <c r="L353" s="35" t="s">
        <v>712</v>
      </c>
      <c r="M353" s="35" t="s">
        <v>121</v>
      </c>
      <c r="N353" s="35" t="str" cm="1">
        <f t="array" ref="N353">IFERROR(IF(Tabla8[[#This Row],[P/NP]]="NO PROGRAMADA","",_xlfn.TEXTJOIN(", ",TRUE,_xlfn._xlws.FILTER(Tabla4[[#All],[PIEZA]],ISNUMBER(SEARCH(Tabla4[[#All],[PCLAVE]],Tabla8[[#This Row],[DESCRIPCION DE TRABAJO]])),""))),"")</f>
        <v/>
      </c>
      <c r="O353" s="35" t="str" cm="1">
        <f t="array" ref="O353">_xlfn.TEXTJOIN(", ",TRUE,_xlfn._xlws.FILTER(Tabla28[[#All],[PARTE]],ISNUMBER(SEARCH(Tabla28[[#All],[PCLAVE2]],Tabla8[[#This Row],[DESCRIPCION DE TRABAJO]])),""))</f>
        <v>Mds</v>
      </c>
      <c r="P353" s="303" t="str">
        <f>IFERROR(LEFT(O353, FIND(",", O353)-1), O353)</f>
        <v>Mds</v>
      </c>
      <c r="Q353" s="303" t="str">
        <f>IFERROR(IF(ISERROR(FIND(",", O353, FIND(",", O353)+1)), RIGHT(O353, LEN(O353)-FIND(",", O353)-1), MID(O353, FIND(",", O353)+2, FIND(",", O353, FIND(",", O353)+1)-FIND(",", O353)-2)), "")</f>
        <v/>
      </c>
      <c r="R353" s="303" t="str">
        <f>IFERROR(RIGHT(O353, LEN(O353)-FIND(",", O353, FIND(",", O353)+1)-1), "")</f>
        <v/>
      </c>
      <c r="S353" s="35" t="str" cm="1">
        <f t="array" ref="S353">_xlfn.TEXTJOIN(", ",TRUE,_xlfn._xlws.FILTER(Tabla29[[#All],[PARTE]],ISNUMBER(SEARCH(Tabla29[[#All],[PCLAVE3]],Tabla8[[#This Row],[DESCRIPCION DE TRABAJO]])),""))</f>
        <v>Cambio De Formato</v>
      </c>
      <c r="T353" s="34" t="str">
        <f>IF(AND(Tabla8[[#This Row],[PIEZA]]="",Tabla8[[#This Row],[PARTE]]=""),"VACIO","OK")</f>
        <v>OK</v>
      </c>
      <c r="U353" s="303" t="str">
        <f>+CONCATENATE(WEEKNUM(Tabla8[[#This Row],[FECHA]]),"-",YEAR(Tabla8[[#This Row],[FECHA]]))</f>
        <v>9-2026</v>
      </c>
    </row>
    <row r="354" spans="1:21" ht="15" customHeight="1">
      <c r="A354" s="22">
        <v>46076</v>
      </c>
      <c r="B354" s="16" t="s">
        <v>191</v>
      </c>
      <c r="C354" s="10" t="s">
        <v>36</v>
      </c>
      <c r="D354" s="381" t="s">
        <v>891</v>
      </c>
      <c r="E354" s="381" t="s">
        <v>892</v>
      </c>
      <c r="F354" s="380">
        <f>+MOD(Tabla8[[#This Row],[HR. FIN]]-Tabla8[[#This Row],[HR. INICIO]],1)</f>
        <v>1.8055555555555547E-2</v>
      </c>
      <c r="G354" s="16" t="s">
        <v>114</v>
      </c>
      <c r="H354" s="343" t="str">
        <f>IFERROR(VLOOKUP(G354,DATOS!$M$2:$N$219,2,FALSE),"")</f>
        <v>Maquinaria</v>
      </c>
      <c r="I354" s="115" t="s">
        <v>32</v>
      </c>
      <c r="J354" s="115" t="str">
        <f>+VLOOKUP($I354,Tabla7[#All],2,FALSE)</f>
        <v>PROGRAMADA</v>
      </c>
      <c r="K354" s="114" t="str">
        <f>IF(VLOOKUP(I354,Tabla7[#All],3,FALSE)=0,"",VLOOKUP(I354,Tabla7[#All],3,FALSE))</f>
        <v/>
      </c>
      <c r="L354" s="35" t="s">
        <v>893</v>
      </c>
      <c r="M354" s="35" t="s">
        <v>121</v>
      </c>
      <c r="N354" s="35" t="str" cm="1">
        <f t="array" ref="N354">IFERROR(IF(Tabla8[[#This Row],[P/NP]]="NO PROGRAMADA","",_xlfn.TEXTJOIN(", ",TRUE,_xlfn._xlws.FILTER(Tabla4[[#All],[PIEZA]],ISNUMBER(SEARCH(Tabla4[[#All],[PCLAVE]],Tabla8[[#This Row],[DESCRIPCION DE TRABAJO]])),""))),"")</f>
        <v/>
      </c>
      <c r="O354" s="35" t="str" cm="1">
        <f t="array" ref="O354">_xlfn.TEXTJOIN(", ",TRUE,_xlfn._xlws.FILTER(Tabla28[[#All],[PARTE]],ISNUMBER(SEARCH(Tabla28[[#All],[PCLAVE2]],Tabla8[[#This Row],[DESCRIPCION DE TRABAJO]])),""))</f>
        <v/>
      </c>
      <c r="P354" s="303" t="str">
        <f>IFERROR(LEFT(O354, FIND(",", O354)-1), O354)</f>
        <v/>
      </c>
      <c r="Q354" s="303" t="str">
        <f>IFERROR(IF(ISERROR(FIND(",", O354, FIND(",", O354)+1)), RIGHT(O354, LEN(O354)-FIND(",", O354)-1), MID(O354, FIND(",", O354)+2, FIND(",", O354, FIND(",", O354)+1)-FIND(",", O354)-2)), "")</f>
        <v/>
      </c>
      <c r="R354" s="303" t="str">
        <f>IFERROR(RIGHT(O354, LEN(O354)-FIND(",", O354, FIND(",", O354)+1)-1), "")</f>
        <v/>
      </c>
      <c r="S354" s="35" t="str" cm="1">
        <f t="array" ref="S354">_xlfn.TEXTJOIN(", ",TRUE,_xlfn._xlws.FILTER(Tabla29[[#All],[PARTE]],ISNUMBER(SEARCH(Tabla29[[#All],[PCLAVE3]],Tabla8[[#This Row],[DESCRIPCION DE TRABAJO]])),""))</f>
        <v/>
      </c>
      <c r="T354" s="34" t="str">
        <f>IF(AND(Tabla8[[#This Row],[PIEZA]]="",Tabla8[[#This Row],[PARTE]]=""),"VACIO","OK")</f>
        <v>VACIO</v>
      </c>
      <c r="U354" s="303" t="str">
        <f>+CONCATENATE(WEEKNUM(Tabla8[[#This Row],[FECHA]]),"-",YEAR(Tabla8[[#This Row],[FECHA]]))</f>
        <v>9-2026</v>
      </c>
    </row>
    <row r="355" spans="1:21" ht="15" customHeight="1">
      <c r="A355" s="22">
        <v>46076</v>
      </c>
      <c r="B355" s="16" t="s">
        <v>191</v>
      </c>
      <c r="C355" s="10" t="s">
        <v>36</v>
      </c>
      <c r="D355" s="381" t="s">
        <v>894</v>
      </c>
      <c r="E355" s="381" t="s">
        <v>895</v>
      </c>
      <c r="F355" s="380">
        <f>+MOD(Tabla8[[#This Row],[HR. FIN]]-Tabla8[[#This Row],[HR. INICIO]],1)</f>
        <v>1.8055555555555547E-2</v>
      </c>
      <c r="G355" s="16" t="s">
        <v>312</v>
      </c>
      <c r="H355" s="343" t="str">
        <f>IFERROR(VLOOKUP(G355,DATOS!$M$2:$N$219,2,FALSE),"")</f>
        <v>Maquinaria</v>
      </c>
      <c r="I355" s="115" t="s">
        <v>32</v>
      </c>
      <c r="J355" s="115" t="str">
        <f>+VLOOKUP($I355,Tabla7[#All],2,FALSE)</f>
        <v>PROGRAMADA</v>
      </c>
      <c r="K355" s="114" t="str">
        <f>IF(VLOOKUP(I355,Tabla7[#All],3,FALSE)=0,"",VLOOKUP(I355,Tabla7[#All],3,FALSE))</f>
        <v/>
      </c>
      <c r="L355" s="35" t="s">
        <v>896</v>
      </c>
      <c r="M355" s="35" t="s">
        <v>121</v>
      </c>
      <c r="N355" s="35" t="str" cm="1">
        <f t="array" ref="N355">IFERROR(IF(Tabla8[[#This Row],[P/NP]]="NO PROGRAMADA","",_xlfn.TEXTJOIN(", ",TRUE,_xlfn._xlws.FILTER(Tabla4[[#All],[PIEZA]],ISNUMBER(SEARCH(Tabla4[[#All],[PCLAVE]],Tabla8[[#This Row],[DESCRIPCION DE TRABAJO]])),""))),"")</f>
        <v>Polin De Arrastre</v>
      </c>
      <c r="O355" s="35" t="str" cm="1">
        <f t="array" ref="O355">_xlfn.TEXTJOIN(", ",TRUE,_xlfn._xlws.FILTER(Tabla28[[#All],[PARTE]],ISNUMBER(SEARCH(Tabla28[[#All],[PCLAVE2]],Tabla8[[#This Row],[DESCRIPCION DE TRABAJO]])),""))</f>
        <v/>
      </c>
      <c r="P355" s="303" t="str">
        <f>IFERROR(LEFT(O355, FIND(",", O355)-1), O355)</f>
        <v/>
      </c>
      <c r="Q355" s="303" t="str">
        <f>IFERROR(IF(ISERROR(FIND(",", O355, FIND(",", O355)+1)), RIGHT(O355, LEN(O355)-FIND(",", O355)-1), MID(O355, FIND(",", O355)+2, FIND(",", O355, FIND(",", O355)+1)-FIND(",", O355)-2)), "")</f>
        <v/>
      </c>
      <c r="R355" s="303" t="str">
        <f>IFERROR(RIGHT(O355, LEN(O355)-FIND(",", O355, FIND(",", O355)+1)-1), "")</f>
        <v/>
      </c>
      <c r="S355" s="35" t="str" cm="1">
        <f t="array" ref="S355">_xlfn.TEXTJOIN(", ",TRUE,_xlfn._xlws.FILTER(Tabla29[[#All],[PARTE]],ISNUMBER(SEARCH(Tabla29[[#All],[PCLAVE3]],Tabla8[[#This Row],[DESCRIPCION DE TRABAJO]])),""))</f>
        <v/>
      </c>
      <c r="T355" s="34" t="str">
        <f>IF(AND(Tabla8[[#This Row],[PIEZA]]="",Tabla8[[#This Row],[PARTE]]=""),"VACIO","OK")</f>
        <v>OK</v>
      </c>
      <c r="U355" s="303" t="str">
        <f>+CONCATENATE(WEEKNUM(Tabla8[[#This Row],[FECHA]]),"-",YEAR(Tabla8[[#This Row],[FECHA]]))</f>
        <v>9-2026</v>
      </c>
    </row>
    <row r="356" spans="1:21" ht="15" customHeight="1">
      <c r="A356" s="22">
        <v>46076</v>
      </c>
      <c r="B356" s="16" t="s">
        <v>179</v>
      </c>
      <c r="C356" s="10" t="s">
        <v>36</v>
      </c>
      <c r="D356" s="381" t="s">
        <v>897</v>
      </c>
      <c r="E356" s="381">
        <v>0.28472222222222221</v>
      </c>
      <c r="F356" s="380">
        <f>+MOD(Tabla8[[#This Row],[HR. FIN]]-Tabla8[[#This Row],[HR. INICIO]],1)</f>
        <v>1.8055555555555547E-2</v>
      </c>
      <c r="G356" s="16" t="s">
        <v>241</v>
      </c>
      <c r="H356" s="343" t="str">
        <f>IFERROR(VLOOKUP(G356,DATOS!$M$2:$N$219,2,FALSE),"")</f>
        <v>Maquinaria</v>
      </c>
      <c r="I356" s="115" t="s">
        <v>43</v>
      </c>
      <c r="J356" s="115" t="str">
        <f>+VLOOKUP($I356,Tabla7[#All],2,FALSE)</f>
        <v>PROGRAMADA</v>
      </c>
      <c r="K356" s="114" t="str">
        <f>IF(VLOOKUP(I356,Tabla7[#All],3,FALSE)=0,"",VLOOKUP(I356,Tabla7[#All],3,FALSE))</f>
        <v/>
      </c>
      <c r="L356" s="35" t="s">
        <v>898</v>
      </c>
      <c r="M356" s="35" t="s">
        <v>121</v>
      </c>
      <c r="N356" s="35" t="str" cm="1">
        <f t="array" ref="N356">IFERROR(IF(Tabla8[[#This Row],[P/NP]]="NO PROGRAMADA","",_xlfn.TEXTJOIN(", ",TRUE,_xlfn._xlws.FILTER(Tabla4[[#All],[PIEZA]],ISNUMBER(SEARCH(Tabla4[[#All],[PCLAVE]],Tabla8[[#This Row],[DESCRIPCION DE TRABAJO]])),""))),"")</f>
        <v/>
      </c>
      <c r="O356" s="35" t="str" cm="1">
        <f t="array" ref="O356">_xlfn.TEXTJOIN(", ",TRUE,_xlfn._xlws.FILTER(Tabla28[[#All],[PARTE]],ISNUMBER(SEARCH(Tabla28[[#All],[PCLAVE2]],Tabla8[[#This Row],[DESCRIPCION DE TRABAJO]])),""))</f>
        <v/>
      </c>
      <c r="P356" s="303" t="str">
        <f>IFERROR(LEFT(O356, FIND(",", O356)-1), O356)</f>
        <v/>
      </c>
      <c r="Q356" s="303" t="str">
        <f>IFERROR(IF(ISERROR(FIND(",", O356, FIND(",", O356)+1)), RIGHT(O356, LEN(O356)-FIND(",", O356)-1), MID(O356, FIND(",", O356)+2, FIND(",", O356, FIND(",", O356)+1)-FIND(",", O356)-2)), "")</f>
        <v/>
      </c>
      <c r="R356" s="303" t="str">
        <f>IFERROR(RIGHT(O356, LEN(O356)-FIND(",", O356, FIND(",", O356)+1)-1), "")</f>
        <v/>
      </c>
      <c r="S356" s="35" t="str" cm="1">
        <f t="array" ref="S356">_xlfn.TEXTJOIN(", ",TRUE,_xlfn._xlws.FILTER(Tabla29[[#All],[PARTE]],ISNUMBER(SEARCH(Tabla29[[#All],[PCLAVE3]],Tabla8[[#This Row],[DESCRIPCION DE TRABAJO]])),""))</f>
        <v/>
      </c>
      <c r="T356" s="34" t="str">
        <f>IF(AND(Tabla8[[#This Row],[PIEZA]]="",Tabla8[[#This Row],[PARTE]]=""),"VACIO","OK")</f>
        <v>VACIO</v>
      </c>
      <c r="U356" s="303" t="str">
        <f>+CONCATENATE(WEEKNUM(Tabla8[[#This Row],[FECHA]]),"-",YEAR(Tabla8[[#This Row],[FECHA]]))</f>
        <v>9-2026</v>
      </c>
    </row>
    <row r="357" spans="1:21" ht="15" customHeight="1">
      <c r="A357" s="22">
        <v>46076</v>
      </c>
      <c r="B357" s="16" t="s">
        <v>131</v>
      </c>
      <c r="C357" s="10" t="s">
        <v>39</v>
      </c>
      <c r="D357" s="381" t="s">
        <v>899</v>
      </c>
      <c r="E357" s="381" t="s">
        <v>900</v>
      </c>
      <c r="F357" s="380">
        <f>+MOD(Tabla8[[#This Row],[HR. FIN]]-Tabla8[[#This Row],[HR. INICIO]],1)</f>
        <v>1.5972222222222165E-2</v>
      </c>
      <c r="G357" s="16" t="s">
        <v>169</v>
      </c>
      <c r="H357" s="343" t="str">
        <f>IFERROR(VLOOKUP(G357,DATOS!$M$2:$N$219,2,FALSE),"")</f>
        <v>Maquinaria</v>
      </c>
      <c r="I357" s="115" t="s">
        <v>32</v>
      </c>
      <c r="J357" s="115" t="str">
        <f>+VLOOKUP($I357,Tabla7[#All],2,FALSE)</f>
        <v>PROGRAMADA</v>
      </c>
      <c r="K357" s="114" t="str">
        <f>IF(VLOOKUP(I357,Tabla7[#All],3,FALSE)=0,"",VLOOKUP(I357,Tabla7[#All],3,FALSE))</f>
        <v/>
      </c>
      <c r="L357" s="35" t="s">
        <v>449</v>
      </c>
      <c r="M357" s="35" t="s">
        <v>121</v>
      </c>
      <c r="N357" s="35" t="str" cm="1">
        <f t="array" ref="N357">IFERROR(IF(Tabla8[[#This Row],[P/NP]]="NO PROGRAMADA","",_xlfn.TEXTJOIN(", ",TRUE,_xlfn._xlws.FILTER(Tabla4[[#All],[PIEZA]],ISNUMBER(SEARCH(Tabla4[[#All],[PCLAVE]],Tabla8[[#This Row],[DESCRIPCION DE TRABAJO]])),""))),"")</f>
        <v/>
      </c>
      <c r="O357" s="35" t="str" cm="1">
        <f t="array" ref="O357">_xlfn.TEXTJOIN(", ",TRUE,_xlfn._xlws.FILTER(Tabla28[[#All],[PARTE]],ISNUMBER(SEARCH(Tabla28[[#All],[PCLAVE2]],Tabla8[[#This Row],[DESCRIPCION DE TRABAJO]])),""))</f>
        <v/>
      </c>
      <c r="P357" s="303" t="str">
        <f>IFERROR(LEFT(O357, FIND(",", O357)-1), O357)</f>
        <v/>
      </c>
      <c r="Q357" s="303" t="str">
        <f>IFERROR(IF(ISERROR(FIND(",", O357, FIND(",", O357)+1)), RIGHT(O357, LEN(O357)-FIND(",", O357)-1), MID(O357, FIND(",", O357)+2, FIND(",", O357, FIND(",", O357)+1)-FIND(",", O357)-2)), "")</f>
        <v/>
      </c>
      <c r="R357" s="303" t="str">
        <f>IFERROR(RIGHT(O357, LEN(O357)-FIND(",", O357, FIND(",", O357)+1)-1), "")</f>
        <v/>
      </c>
      <c r="S357" s="35" t="str" cm="1">
        <f t="array" ref="S357">_xlfn.TEXTJOIN(", ",TRUE,_xlfn._xlws.FILTER(Tabla29[[#All],[PARTE]],ISNUMBER(SEARCH(Tabla29[[#All],[PCLAVE3]],Tabla8[[#This Row],[DESCRIPCION DE TRABAJO]])),""))</f>
        <v/>
      </c>
      <c r="T357" s="34" t="str">
        <f>IF(AND(Tabla8[[#This Row],[PIEZA]]="",Tabla8[[#This Row],[PARTE]]=""),"VACIO","OK")</f>
        <v>VACIO</v>
      </c>
      <c r="U357" s="303" t="str">
        <f>+CONCATENATE(WEEKNUM(Tabla8[[#This Row],[FECHA]]),"-",YEAR(Tabla8[[#This Row],[FECHA]]))</f>
        <v>9-2026</v>
      </c>
    </row>
    <row r="358" spans="1:21" ht="15" customHeight="1">
      <c r="A358" s="22">
        <v>46076</v>
      </c>
      <c r="B358" s="16" t="s">
        <v>131</v>
      </c>
      <c r="C358" s="10" t="s">
        <v>39</v>
      </c>
      <c r="D358" s="381" t="s">
        <v>901</v>
      </c>
      <c r="E358" s="381" t="s">
        <v>422</v>
      </c>
      <c r="F358" s="380">
        <f>+MOD(Tabla8[[#This Row],[HR. FIN]]-Tabla8[[#This Row],[HR. INICIO]],1)</f>
        <v>1.3888888888888951E-2</v>
      </c>
      <c r="G358" s="16" t="s">
        <v>241</v>
      </c>
      <c r="H358" s="343" t="str">
        <f>IFERROR(VLOOKUP(G358,DATOS!$M$2:$N$219,2,FALSE),"")</f>
        <v>Maquinaria</v>
      </c>
      <c r="I358" s="115" t="s">
        <v>54</v>
      </c>
      <c r="J358" s="115" t="str">
        <f>+VLOOKUP($I358,Tabla7[#All],2,FALSE)</f>
        <v>PROGRAMADA</v>
      </c>
      <c r="K358" s="114" t="str">
        <f>IF(VLOOKUP(I358,Tabla7[#All],3,FALSE)=0,"",VLOOKUP(I358,Tabla7[#All],3,FALSE))</f>
        <v/>
      </c>
      <c r="L358" s="35" t="s">
        <v>154</v>
      </c>
      <c r="M358" s="35" t="s">
        <v>121</v>
      </c>
      <c r="N358" s="35" t="str" cm="1">
        <f t="array" ref="N358">IFERROR(IF(Tabla8[[#This Row],[P/NP]]="NO PROGRAMADA","",_xlfn.TEXTJOIN(", ",TRUE,_xlfn._xlws.FILTER(Tabla4[[#All],[PIEZA]],ISNUMBER(SEARCH(Tabla4[[#All],[PCLAVE]],Tabla8[[#This Row],[DESCRIPCION DE TRABAJO]])),""))),"")</f>
        <v/>
      </c>
      <c r="O358" s="35" t="str" cm="1">
        <f t="array" ref="O358">_xlfn.TEXTJOIN(", ",TRUE,_xlfn._xlws.FILTER(Tabla28[[#All],[PARTE]],ISNUMBER(SEARCH(Tabla28[[#All],[PCLAVE2]],Tabla8[[#This Row],[DESCRIPCION DE TRABAJO]])),""))</f>
        <v/>
      </c>
      <c r="P358" s="303" t="str">
        <f>IFERROR(LEFT(O358, FIND(",", O358)-1), O358)</f>
        <v/>
      </c>
      <c r="Q358" s="303" t="str">
        <f>IFERROR(IF(ISERROR(FIND(",", O358, FIND(",", O358)+1)), RIGHT(O358, LEN(O358)-FIND(",", O358)-1), MID(O358, FIND(",", O358)+2, FIND(",", O358, FIND(",", O358)+1)-FIND(",", O358)-2)), "")</f>
        <v/>
      </c>
      <c r="R358" s="303" t="str">
        <f>IFERROR(RIGHT(O358, LEN(O358)-FIND(",", O358, FIND(",", O358)+1)-1), "")</f>
        <v/>
      </c>
      <c r="S358" s="35" t="str" cm="1">
        <f t="array" ref="S358">_xlfn.TEXTJOIN(", ",TRUE,_xlfn._xlws.FILTER(Tabla29[[#All],[PARTE]],ISNUMBER(SEARCH(Tabla29[[#All],[PCLAVE3]],Tabla8[[#This Row],[DESCRIPCION DE TRABAJO]])),""))</f>
        <v/>
      </c>
      <c r="T358" s="34" t="str">
        <f>IF(AND(Tabla8[[#This Row],[PIEZA]]="",Tabla8[[#This Row],[PARTE]]=""),"VACIO","OK")</f>
        <v>VACIO</v>
      </c>
      <c r="U358" s="303" t="str">
        <f>+CONCATENATE(WEEKNUM(Tabla8[[#This Row],[FECHA]]),"-",YEAR(Tabla8[[#This Row],[FECHA]]))</f>
        <v>9-2026</v>
      </c>
    </row>
    <row r="359" spans="1:21" ht="15" customHeight="1">
      <c r="A359" s="22">
        <v>46076</v>
      </c>
      <c r="B359" s="16" t="s">
        <v>191</v>
      </c>
      <c r="C359" s="10" t="s">
        <v>36</v>
      </c>
      <c r="D359" s="381" t="s">
        <v>902</v>
      </c>
      <c r="E359" s="381" t="s">
        <v>903</v>
      </c>
      <c r="F359" s="380">
        <f>+MOD(Tabla8[[#This Row],[HR. FIN]]-Tabla8[[#This Row],[HR. INICIO]],1)</f>
        <v>1.2500000000000011E-2</v>
      </c>
      <c r="G359" s="16" t="s">
        <v>198</v>
      </c>
      <c r="H359" s="343" t="str">
        <f>IFERROR(VLOOKUP(G359,DATOS!$M$2:$N$219,2,FALSE),"")</f>
        <v>Maquinaria</v>
      </c>
      <c r="I359" s="115" t="s">
        <v>57</v>
      </c>
      <c r="J359" s="115" t="str">
        <f>+VLOOKUP($I359,Tabla7[#All],2,FALSE)</f>
        <v>NO PROGRAMADA</v>
      </c>
      <c r="K359" s="114" t="str">
        <f>IF(VLOOKUP(I359,Tabla7[#All],3,FALSE)=0,"",VLOOKUP(I359,Tabla7[#All],3,FALSE))</f>
        <v>MECÁNICA</v>
      </c>
      <c r="L359" s="35" t="s">
        <v>904</v>
      </c>
      <c r="M359" s="35" t="s">
        <v>905</v>
      </c>
      <c r="N359" s="35" t="str" cm="1">
        <f t="array" ref="N359">IFERROR(IF(Tabla8[[#This Row],[P/NP]]="NO PROGRAMADA","",_xlfn.TEXTJOIN(", ",TRUE,_xlfn._xlws.FILTER(Tabla4[[#All],[PIEZA]],ISNUMBER(SEARCH(Tabla4[[#All],[PCLAVE]],Tabla8[[#This Row],[DESCRIPCION DE TRABAJO]])),""))),"")</f>
        <v/>
      </c>
      <c r="O359" s="35" t="str" cm="1">
        <f t="array" ref="O359">_xlfn.TEXTJOIN(", ",TRUE,_xlfn._xlws.FILTER(Tabla28[[#All],[PARTE]],ISNUMBER(SEARCH(Tabla28[[#All],[PCLAVE2]],Tabla8[[#This Row],[DESCRIPCION DE TRABAJO]])),""))</f>
        <v/>
      </c>
      <c r="P359" s="303" t="str">
        <f>IFERROR(LEFT(O359, FIND(",", O359)-1), O359)</f>
        <v/>
      </c>
      <c r="Q359" s="303" t="str">
        <f>IFERROR(IF(ISERROR(FIND(",", O359, FIND(",", O359)+1)), RIGHT(O359, LEN(O359)-FIND(",", O359)-1), MID(O359, FIND(",", O359)+2, FIND(",", O359, FIND(",", O359)+1)-FIND(",", O359)-2)), "")</f>
        <v/>
      </c>
      <c r="R359" s="303" t="str">
        <f>IFERROR(RIGHT(O359, LEN(O359)-FIND(",", O359, FIND(",", O359)+1)-1), "")</f>
        <v/>
      </c>
      <c r="S359" s="35" t="str" cm="1">
        <f t="array" ref="S359">_xlfn.TEXTJOIN(", ",TRUE,_xlfn._xlws.FILTER(Tabla29[[#All],[PARTE]],ISNUMBER(SEARCH(Tabla29[[#All],[PCLAVE3]],Tabla8[[#This Row],[DESCRIPCION DE TRABAJO]])),""))</f>
        <v>Desgaste</v>
      </c>
      <c r="T359" s="34" t="str">
        <f>IF(AND(Tabla8[[#This Row],[PIEZA]]="",Tabla8[[#This Row],[PARTE]]=""),"VACIO","OK")</f>
        <v>VACIO</v>
      </c>
      <c r="U359" s="303" t="str">
        <f>+CONCATENATE(WEEKNUM(Tabla8[[#This Row],[FECHA]]),"-",YEAR(Tabla8[[#This Row],[FECHA]]))</f>
        <v>9-2026</v>
      </c>
    </row>
    <row r="360" spans="1:21" ht="15" customHeight="1">
      <c r="A360" s="22">
        <v>46076</v>
      </c>
      <c r="B360" s="16" t="s">
        <v>191</v>
      </c>
      <c r="C360" s="10" t="s">
        <v>36</v>
      </c>
      <c r="D360" s="381" t="s">
        <v>906</v>
      </c>
      <c r="E360" s="381" t="s">
        <v>907</v>
      </c>
      <c r="F360" s="380">
        <f>+MOD(Tabla8[[#This Row],[HR. FIN]]-Tabla8[[#This Row],[HR. INICIO]],1)</f>
        <v>1.1805555555555569E-2</v>
      </c>
      <c r="G360" s="16" t="s">
        <v>312</v>
      </c>
      <c r="H360" s="343" t="str">
        <f>IFERROR(VLOOKUP(G360,DATOS!$M$2:$N$219,2,FALSE),"")</f>
        <v>Maquinaria</v>
      </c>
      <c r="I360" s="115" t="s">
        <v>32</v>
      </c>
      <c r="J360" s="115" t="str">
        <f>+VLOOKUP($I360,Tabla7[#All],2,FALSE)</f>
        <v>PROGRAMADA</v>
      </c>
      <c r="K360" s="114" t="str">
        <f>IF(VLOOKUP(I360,Tabla7[#All],3,FALSE)=0,"",VLOOKUP(I360,Tabla7[#All],3,FALSE))</f>
        <v/>
      </c>
      <c r="L360" s="35" t="s">
        <v>908</v>
      </c>
      <c r="M360" s="35" t="s">
        <v>121</v>
      </c>
      <c r="N360" s="35" t="str" cm="1">
        <f t="array" ref="N360">IFERROR(IF(Tabla8[[#This Row],[P/NP]]="NO PROGRAMADA","",_xlfn.TEXTJOIN(", ",TRUE,_xlfn._xlws.FILTER(Tabla4[[#All],[PIEZA]],ISNUMBER(SEARCH(Tabla4[[#All],[PCLAVE]],Tabla8[[#This Row],[DESCRIPCION DE TRABAJO]])),""))),"")</f>
        <v>Filtro</v>
      </c>
      <c r="O360" s="35" t="str" cm="1">
        <f t="array" ref="O360">_xlfn.TEXTJOIN(", ",TRUE,_xlfn._xlws.FILTER(Tabla28[[#All],[PARTE]],ISNUMBER(SEARCH(Tabla28[[#All],[PCLAVE2]],Tabla8[[#This Row],[DESCRIPCION DE TRABAJO]])),""))</f>
        <v/>
      </c>
      <c r="P360" s="303" t="str">
        <f>IFERROR(LEFT(O360, FIND(",", O360)-1), O360)</f>
        <v/>
      </c>
      <c r="Q360" s="303" t="str">
        <f>IFERROR(IF(ISERROR(FIND(",", O360, FIND(",", O360)+1)), RIGHT(O360, LEN(O360)-FIND(",", O360)-1), MID(O360, FIND(",", O360)+2, FIND(",", O360, FIND(",", O360)+1)-FIND(",", O360)-2)), "")</f>
        <v/>
      </c>
      <c r="R360" s="303" t="str">
        <f>IFERROR(RIGHT(O360, LEN(O360)-FIND(",", O360, FIND(",", O360)+1)-1), "")</f>
        <v/>
      </c>
      <c r="S360" s="35" t="str" cm="1">
        <f t="array" ref="S360">_xlfn.TEXTJOIN(", ",TRUE,_xlfn._xlws.FILTER(Tabla29[[#All],[PARTE]],ISNUMBER(SEARCH(Tabla29[[#All],[PCLAVE3]],Tabla8[[#This Row],[DESCRIPCION DE TRABAJO]])),""))</f>
        <v>Filtracion, Sustitucion</v>
      </c>
      <c r="T360" s="34" t="str">
        <f>IF(AND(Tabla8[[#This Row],[PIEZA]]="",Tabla8[[#This Row],[PARTE]]=""),"VACIO","OK")</f>
        <v>OK</v>
      </c>
      <c r="U360" s="303" t="str">
        <f>+CONCATENATE(WEEKNUM(Tabla8[[#This Row],[FECHA]]),"-",YEAR(Tabla8[[#This Row],[FECHA]]))</f>
        <v>9-2026</v>
      </c>
    </row>
    <row r="361" spans="1:21" ht="15" customHeight="1">
      <c r="A361" s="22">
        <v>46076</v>
      </c>
      <c r="B361" s="16" t="s">
        <v>191</v>
      </c>
      <c r="C361" s="10" t="s">
        <v>36</v>
      </c>
      <c r="D361" s="381" t="s">
        <v>909</v>
      </c>
      <c r="E361" s="381" t="s">
        <v>910</v>
      </c>
      <c r="F361" s="380">
        <f>+MOD(Tabla8[[#This Row],[HR. FIN]]-Tabla8[[#This Row],[HR. INICIO]],1)</f>
        <v>1.1111111111111127E-2</v>
      </c>
      <c r="G361" s="16" t="s">
        <v>328</v>
      </c>
      <c r="H361" s="343" t="str">
        <f>IFERROR(VLOOKUP(G361,DATOS!$M$2:$N$219,2,FALSE),"")</f>
        <v>Area</v>
      </c>
      <c r="I361" s="115" t="s">
        <v>61</v>
      </c>
      <c r="J361" s="115" t="str">
        <f>+VLOOKUP($I361,Tabla7[#All],2,FALSE)</f>
        <v>PROGRAMADA</v>
      </c>
      <c r="K361" s="114" t="str">
        <f>IF(VLOOKUP(I361,Tabla7[#All],3,FALSE)=0,"",VLOOKUP(I361,Tabla7[#All],3,FALSE))</f>
        <v/>
      </c>
      <c r="L361" s="35" t="s">
        <v>911</v>
      </c>
      <c r="M361" s="35" t="s">
        <v>121</v>
      </c>
      <c r="N361" s="35" t="str" cm="1">
        <f t="array" ref="N361">IFERROR(IF(Tabla8[[#This Row],[P/NP]]="NO PROGRAMADA","",_xlfn.TEXTJOIN(", ",TRUE,_xlfn._xlws.FILTER(Tabla4[[#All],[PIEZA]],ISNUMBER(SEARCH(Tabla4[[#All],[PCLAVE]],Tabla8[[#This Row],[DESCRIPCION DE TRABAJO]])),""))),"")</f>
        <v>Perno</v>
      </c>
      <c r="O361" s="35" t="str" cm="1">
        <f t="array" ref="O361">_xlfn.TEXTJOIN(", ",TRUE,_xlfn._xlws.FILTER(Tabla28[[#All],[PARTE]],ISNUMBER(SEARCH(Tabla28[[#All],[PCLAVE2]],Tabla8[[#This Row],[DESCRIPCION DE TRABAJO]])),""))</f>
        <v/>
      </c>
      <c r="P361" s="303" t="str">
        <f>IFERROR(LEFT(O361, FIND(",", O361)-1), O361)</f>
        <v/>
      </c>
      <c r="Q361" s="303" t="str">
        <f>IFERROR(IF(ISERROR(FIND(",", O361, FIND(",", O361)+1)), RIGHT(O361, LEN(O361)-FIND(",", O361)-1), MID(O361, FIND(",", O361)+2, FIND(",", O361, FIND(",", O361)+1)-FIND(",", O361)-2)), "")</f>
        <v/>
      </c>
      <c r="R361" s="303" t="str">
        <f>IFERROR(RIGHT(O361, LEN(O361)-FIND(",", O361, FIND(",", O361)+1)-1), "")</f>
        <v/>
      </c>
      <c r="S361" s="35" t="str" cm="1">
        <f t="array" ref="S361">_xlfn.TEXTJOIN(", ",TRUE,_xlfn._xlws.FILTER(Tabla29[[#All],[PARTE]],ISNUMBER(SEARCH(Tabla29[[#All],[PCLAVE3]],Tabla8[[#This Row],[DESCRIPCION DE TRABAJO]])),""))</f>
        <v/>
      </c>
      <c r="T361" s="34" t="str">
        <f>IF(AND(Tabla8[[#This Row],[PIEZA]]="",Tabla8[[#This Row],[PARTE]]=""),"VACIO","OK")</f>
        <v>OK</v>
      </c>
      <c r="U361" s="303" t="str">
        <f>+CONCATENATE(WEEKNUM(Tabla8[[#This Row],[FECHA]]),"-",YEAR(Tabla8[[#This Row],[FECHA]]))</f>
        <v>9-2026</v>
      </c>
    </row>
    <row r="362" spans="1:21" ht="15" customHeight="1">
      <c r="A362" s="22">
        <v>46076</v>
      </c>
      <c r="B362" s="16" t="s">
        <v>131</v>
      </c>
      <c r="C362" s="10" t="s">
        <v>39</v>
      </c>
      <c r="D362" s="381" t="s">
        <v>415</v>
      </c>
      <c r="E362" s="381" t="s">
        <v>912</v>
      </c>
      <c r="F362" s="380">
        <f>+MOD(Tabla8[[#This Row],[HR. FIN]]-Tabla8[[#This Row],[HR. INICIO]],1)</f>
        <v>1.1111111111111072E-2</v>
      </c>
      <c r="G362" s="16" t="s">
        <v>202</v>
      </c>
      <c r="H362" s="343" t="str">
        <f>IFERROR(VLOOKUP(G362,DATOS!$M$2:$N$219,2,FALSE),"")</f>
        <v>Maquinaria</v>
      </c>
      <c r="I362" s="115" t="s">
        <v>32</v>
      </c>
      <c r="J362" s="115" t="str">
        <f>+VLOOKUP($I362,Tabla7[#All],2,FALSE)</f>
        <v>PROGRAMADA</v>
      </c>
      <c r="K362" s="114" t="str">
        <f>IF(VLOOKUP(I362,Tabla7[#All],3,FALSE)=0,"",VLOOKUP(I362,Tabla7[#All],3,FALSE))</f>
        <v/>
      </c>
      <c r="L362" s="35" t="s">
        <v>913</v>
      </c>
      <c r="M362" s="35" t="s">
        <v>121</v>
      </c>
      <c r="N362" s="35" t="str" cm="1">
        <f t="array" ref="N362">IFERROR(IF(Tabla8[[#This Row],[P/NP]]="NO PROGRAMADA","",_xlfn.TEXTJOIN(", ",TRUE,_xlfn._xlws.FILTER(Tabla4[[#All],[PIEZA]],ISNUMBER(SEARCH(Tabla4[[#All],[PCLAVE]],Tabla8[[#This Row],[DESCRIPCION DE TRABAJO]])),""))),"")</f>
        <v/>
      </c>
      <c r="O362" s="35" t="str" cm="1">
        <f t="array" ref="O362">_xlfn.TEXTJOIN(", ",TRUE,_xlfn._xlws.FILTER(Tabla28[[#All],[PARTE]],ISNUMBER(SEARCH(Tabla28[[#All],[PCLAVE2]],Tabla8[[#This Row],[DESCRIPCION DE TRABAJO]])),""))</f>
        <v/>
      </c>
      <c r="P362" s="303" t="str">
        <f>IFERROR(LEFT(O362, FIND(",", O362)-1), O362)</f>
        <v/>
      </c>
      <c r="Q362" s="303" t="str">
        <f>IFERROR(IF(ISERROR(FIND(",", O362, FIND(",", O362)+1)), RIGHT(O362, LEN(O362)-FIND(",", O362)-1), MID(O362, FIND(",", O362)+2, FIND(",", O362, FIND(",", O362)+1)-FIND(",", O362)-2)), "")</f>
        <v/>
      </c>
      <c r="R362" s="303" t="str">
        <f>IFERROR(RIGHT(O362, LEN(O362)-FIND(",", O362, FIND(",", O362)+1)-1), "")</f>
        <v/>
      </c>
      <c r="S362" s="35" t="str" cm="1">
        <f t="array" ref="S362">_xlfn.TEXTJOIN(", ",TRUE,_xlfn._xlws.FILTER(Tabla29[[#All],[PARTE]],ISNUMBER(SEARCH(Tabla29[[#All],[PCLAVE3]],Tabla8[[#This Row],[DESCRIPCION DE TRABAJO]])),""))</f>
        <v>Sustitucion</v>
      </c>
      <c r="T362" s="34" t="str">
        <f>IF(AND(Tabla8[[#This Row],[PIEZA]]="",Tabla8[[#This Row],[PARTE]]=""),"VACIO","OK")</f>
        <v>VACIO</v>
      </c>
      <c r="U362" s="303" t="str">
        <f>+CONCATENATE(WEEKNUM(Tabla8[[#This Row],[FECHA]]),"-",YEAR(Tabla8[[#This Row],[FECHA]]))</f>
        <v>9-2026</v>
      </c>
    </row>
    <row r="363" spans="1:21" ht="15" customHeight="1">
      <c r="A363" s="22">
        <v>46076</v>
      </c>
      <c r="B363" s="16" t="s">
        <v>131</v>
      </c>
      <c r="C363" s="10" t="s">
        <v>39</v>
      </c>
      <c r="D363" s="381" t="s">
        <v>659</v>
      </c>
      <c r="E363" s="381" t="s">
        <v>414</v>
      </c>
      <c r="F363" s="380">
        <f>+MOD(Tabla8[[#This Row],[HR. FIN]]-Tabla8[[#This Row],[HR. INICIO]],1)</f>
        <v>8.3333333333333037E-3</v>
      </c>
      <c r="G363" s="16" t="s">
        <v>81</v>
      </c>
      <c r="H363" s="343" t="str">
        <f>IFERROR(VLOOKUP(G363,DATOS!$M$2:$N$219,2,FALSE),"")</f>
        <v>Maquinaria</v>
      </c>
      <c r="I363" s="115" t="s">
        <v>32</v>
      </c>
      <c r="J363" s="115" t="str">
        <f>+VLOOKUP($I363,Tabla7[#All],2,FALSE)</f>
        <v>PROGRAMADA</v>
      </c>
      <c r="K363" s="114" t="str">
        <f>IF(VLOOKUP(I363,Tabla7[#All],3,FALSE)=0,"",VLOOKUP(I363,Tabla7[#All],3,FALSE))</f>
        <v/>
      </c>
      <c r="L363" s="35" t="s">
        <v>914</v>
      </c>
      <c r="M363" s="35" t="s">
        <v>121</v>
      </c>
      <c r="N363" s="35" t="str" cm="1">
        <f t="array" ref="N363">IFERROR(IF(Tabla8[[#This Row],[P/NP]]="NO PROGRAMADA","",_xlfn.TEXTJOIN(", ",TRUE,_xlfn._xlws.FILTER(Tabla4[[#All],[PIEZA]],ISNUMBER(SEARCH(Tabla4[[#All],[PCLAVE]],Tabla8[[#This Row],[DESCRIPCION DE TRABAJO]])),""))),"")</f>
        <v>Cuchilla</v>
      </c>
      <c r="O363" s="35" t="str" cm="1">
        <f t="array" ref="O363">_xlfn.TEXTJOIN(", ",TRUE,_xlfn._xlws.FILTER(Tabla28[[#All],[PARTE]],ISNUMBER(SEARCH(Tabla28[[#All],[PCLAVE2]],Tabla8[[#This Row],[DESCRIPCION DE TRABAJO]])),""))</f>
        <v/>
      </c>
      <c r="P363" s="303" t="str">
        <f>IFERROR(LEFT(O363, FIND(",", O363)-1), O363)</f>
        <v/>
      </c>
      <c r="Q363" s="303" t="str">
        <f>IFERROR(IF(ISERROR(FIND(",", O363, FIND(",", O363)+1)), RIGHT(O363, LEN(O363)-FIND(",", O363)-1), MID(O363, FIND(",", O363)+2, FIND(",", O363, FIND(",", O363)+1)-FIND(",", O363)-2)), "")</f>
        <v/>
      </c>
      <c r="R363" s="303" t="str">
        <f>IFERROR(RIGHT(O363, LEN(O363)-FIND(",", O363, FIND(",", O363)+1)-1), "")</f>
        <v/>
      </c>
      <c r="S363" s="35" t="str" cm="1">
        <f t="array" ref="S363">_xlfn.TEXTJOIN(", ",TRUE,_xlfn._xlws.FILTER(Tabla29[[#All],[PARTE]],ISNUMBER(SEARCH(Tabla29[[#All],[PCLAVE3]],Tabla8[[#This Row],[DESCRIPCION DE TRABAJO]])),""))</f>
        <v/>
      </c>
      <c r="T363" s="34" t="str">
        <f>IF(AND(Tabla8[[#This Row],[PIEZA]]="",Tabla8[[#This Row],[PARTE]]=""),"VACIO","OK")</f>
        <v>OK</v>
      </c>
      <c r="U363" s="303" t="str">
        <f>+CONCATENATE(WEEKNUM(Tabla8[[#This Row],[FECHA]]),"-",YEAR(Tabla8[[#This Row],[FECHA]]))</f>
        <v>9-2026</v>
      </c>
    </row>
    <row r="364" spans="1:21" ht="15" customHeight="1">
      <c r="A364" s="22">
        <v>46076</v>
      </c>
      <c r="B364" s="16" t="s">
        <v>191</v>
      </c>
      <c r="C364" s="10" t="s">
        <v>36</v>
      </c>
      <c r="D364" s="381" t="s">
        <v>915</v>
      </c>
      <c r="E364" s="381" t="s">
        <v>306</v>
      </c>
      <c r="F364" s="380">
        <f>+MOD(Tabla8[[#This Row],[HR. FIN]]-Tabla8[[#This Row],[HR. INICIO]],1)</f>
        <v>7.6388888888888618E-3</v>
      </c>
      <c r="G364" s="16" t="s">
        <v>270</v>
      </c>
      <c r="H364" s="343" t="str">
        <f>IFERROR(VLOOKUP(G364,DATOS!$M$2:$N$219,2,FALSE),"")</f>
        <v>Maquinaria</v>
      </c>
      <c r="I364" s="115" t="s">
        <v>57</v>
      </c>
      <c r="J364" s="115" t="str">
        <f>+VLOOKUP($I364,Tabla7[#All],2,FALSE)</f>
        <v>NO PROGRAMADA</v>
      </c>
      <c r="K364" s="114" t="str">
        <f>IF(VLOOKUP(I364,Tabla7[#All],3,FALSE)=0,"",VLOOKUP(I364,Tabla7[#All],3,FALSE))</f>
        <v>MECÁNICA</v>
      </c>
      <c r="L364" s="35" t="s">
        <v>916</v>
      </c>
      <c r="M364" s="35" t="s">
        <v>917</v>
      </c>
      <c r="N364" s="35" t="str" cm="1">
        <f t="array" ref="N364">IFERROR(IF(Tabla8[[#This Row],[P/NP]]="NO PROGRAMADA","",_xlfn.TEXTJOIN(", ",TRUE,_xlfn._xlws.FILTER(Tabla4[[#All],[PIEZA]],ISNUMBER(SEARCH(Tabla4[[#All],[PCLAVE]],Tabla8[[#This Row],[DESCRIPCION DE TRABAJO]])),""))),"")</f>
        <v/>
      </c>
      <c r="O364" s="35" t="str" cm="1">
        <f t="array" ref="O364">_xlfn.TEXTJOIN(", ",TRUE,_xlfn._xlws.FILTER(Tabla28[[#All],[PARTE]],ISNUMBER(SEARCH(Tabla28[[#All],[PCLAVE2]],Tabla8[[#This Row],[DESCRIPCION DE TRABAJO]])),""))</f>
        <v/>
      </c>
      <c r="P364" s="303" t="str">
        <f>IFERROR(LEFT(O364, FIND(",", O364)-1), O364)</f>
        <v/>
      </c>
      <c r="Q364" s="303" t="str">
        <f>IFERROR(IF(ISERROR(FIND(",", O364, FIND(",", O364)+1)), RIGHT(O364, LEN(O364)-FIND(",", O364)-1), MID(O364, FIND(",", O364)+2, FIND(",", O364, FIND(",", O364)+1)-FIND(",", O364)-2)), "")</f>
        <v/>
      </c>
      <c r="R364" s="303" t="str">
        <f>IFERROR(RIGHT(O364, LEN(O364)-FIND(",", O364, FIND(",", O364)+1)-1), "")</f>
        <v/>
      </c>
      <c r="S364" s="35" t="str" cm="1">
        <f t="array" ref="S364">_xlfn.TEXTJOIN(", ",TRUE,_xlfn._xlws.FILTER(Tabla29[[#All],[PARTE]],ISNUMBER(SEARCH(Tabla29[[#All],[PCLAVE3]],Tabla8[[#This Row],[DESCRIPCION DE TRABAJO]])),""))</f>
        <v/>
      </c>
      <c r="T364" s="34" t="str">
        <f>IF(AND(Tabla8[[#This Row],[PIEZA]]="",Tabla8[[#This Row],[PARTE]]=""),"VACIO","OK")</f>
        <v>VACIO</v>
      </c>
      <c r="U364" s="303" t="str">
        <f>+CONCATENATE(WEEKNUM(Tabla8[[#This Row],[FECHA]]),"-",YEAR(Tabla8[[#This Row],[FECHA]]))</f>
        <v>9-2026</v>
      </c>
    </row>
    <row r="365" spans="1:21" ht="15" customHeight="1">
      <c r="A365" s="22">
        <v>46076</v>
      </c>
      <c r="B365" s="16" t="s">
        <v>131</v>
      </c>
      <c r="C365" s="10" t="s">
        <v>39</v>
      </c>
      <c r="D365" s="381" t="s">
        <v>918</v>
      </c>
      <c r="E365" s="381" t="s">
        <v>919</v>
      </c>
      <c r="F365" s="380">
        <f>+MOD(Tabla8[[#This Row],[HR. FIN]]-Tabla8[[#This Row],[HR. INICIO]],1)</f>
        <v>6.9444444444444475E-3</v>
      </c>
      <c r="G365" s="16" t="s">
        <v>211</v>
      </c>
      <c r="H365" s="343" t="str">
        <f>IFERROR(VLOOKUP(G365,DATOS!$M$2:$N$219,2,FALSE),"")</f>
        <v>Maquinaria</v>
      </c>
      <c r="I365" s="115" t="s">
        <v>28</v>
      </c>
      <c r="J365" s="115" t="str">
        <f>+VLOOKUP($I365,Tabla7[#All],2,FALSE)</f>
        <v>NO PROGRAMADA</v>
      </c>
      <c r="K365" s="114" t="s">
        <v>93</v>
      </c>
      <c r="L365" s="35" t="s">
        <v>920</v>
      </c>
      <c r="M365" s="35" t="s">
        <v>921</v>
      </c>
      <c r="N365" s="35" t="str" cm="1">
        <f t="array" ref="N365">IFERROR(IF(Tabla8[[#This Row],[P/NP]]="NO PROGRAMADA","",_xlfn.TEXTJOIN(", ",TRUE,_xlfn._xlws.FILTER(Tabla4[[#All],[PIEZA]],ISNUMBER(SEARCH(Tabla4[[#All],[PCLAVE]],Tabla8[[#This Row],[DESCRIPCION DE TRABAJO]])),""))),"")</f>
        <v/>
      </c>
      <c r="O365" s="35" t="str" cm="1">
        <f t="array" ref="O365">_xlfn.TEXTJOIN(", ",TRUE,_xlfn._xlws.FILTER(Tabla28[[#All],[PARTE]],ISNUMBER(SEARCH(Tabla28[[#All],[PCLAVE2]],Tabla8[[#This Row],[DESCRIPCION DE TRABAJO]])),""))</f>
        <v/>
      </c>
      <c r="P365" s="303" t="str">
        <f>IFERROR(LEFT(O365, FIND(",", O365)-1), O365)</f>
        <v/>
      </c>
      <c r="Q365" s="303" t="str">
        <f>IFERROR(IF(ISERROR(FIND(",", O365, FIND(",", O365)+1)), RIGHT(O365, LEN(O365)-FIND(",", O365)-1), MID(O365, FIND(",", O365)+2, FIND(",", O365, FIND(",", O365)+1)-FIND(",", O365)-2)), "")</f>
        <v/>
      </c>
      <c r="R365" s="303" t="str">
        <f>IFERROR(RIGHT(O365, LEN(O365)-FIND(",", O365, FIND(",", O365)+1)-1), "")</f>
        <v/>
      </c>
      <c r="S365" s="35" t="str" cm="1">
        <f t="array" ref="S365">_xlfn.TEXTJOIN(", ",TRUE,_xlfn._xlws.FILTER(Tabla29[[#All],[PARTE]],ISNUMBER(SEARCH(Tabla29[[#All],[PCLAVE3]],Tabla8[[#This Row],[DESCRIPCION DE TRABAJO]])),""))</f>
        <v>Rotura, Carga/descarga</v>
      </c>
      <c r="T365" s="34" t="str">
        <f>IF(AND(Tabla8[[#This Row],[PIEZA]]="",Tabla8[[#This Row],[PARTE]]=""),"VACIO","OK")</f>
        <v>VACIO</v>
      </c>
      <c r="U365" s="303" t="str">
        <f>+CONCATENATE(WEEKNUM(Tabla8[[#This Row],[FECHA]]),"-",YEAR(Tabla8[[#This Row],[FECHA]]))</f>
        <v>9-2026</v>
      </c>
    </row>
    <row r="366" spans="1:21" ht="15" customHeight="1">
      <c r="A366" s="22">
        <v>46077</v>
      </c>
      <c r="B366" s="16" t="s">
        <v>111</v>
      </c>
      <c r="C366" s="10" t="s">
        <v>23</v>
      </c>
      <c r="D366" s="381" t="s">
        <v>274</v>
      </c>
      <c r="E366" s="381" t="s">
        <v>922</v>
      </c>
      <c r="F366" s="380">
        <f>+MOD(Tabla8[[#This Row],[HR. FIN]]-Tabla8[[#This Row],[HR. INICIO]],1)</f>
        <v>2.430555555555558E-2</v>
      </c>
      <c r="G366" s="16" t="s">
        <v>192</v>
      </c>
      <c r="H366" s="343" t="str">
        <f>IFERROR(VLOOKUP(G366,DATOS!$M$2:$N$219,2,FALSE),"")</f>
        <v>Maquinaria</v>
      </c>
      <c r="I366" s="115" t="s">
        <v>32</v>
      </c>
      <c r="J366" s="115" t="str">
        <f>+VLOOKUP($I366,Tabla7[#All],2,FALSE)</f>
        <v>PROGRAMADA</v>
      </c>
      <c r="K366" s="114" t="str">
        <f>IF(VLOOKUP(I366,Tabla7[#All],3,FALSE)=0,"",VLOOKUP(I366,Tabla7[#All],3,FALSE))</f>
        <v/>
      </c>
      <c r="L366" s="35" t="s">
        <v>923</v>
      </c>
      <c r="M366" s="35" t="s">
        <v>121</v>
      </c>
      <c r="N366" s="35" t="str" cm="1">
        <f t="array" ref="N366">IFERROR(IF(Tabla8[[#This Row],[P/NP]]="NO PROGRAMADA","",_xlfn.TEXTJOIN(", ",TRUE,_xlfn._xlws.FILTER(Tabla4[[#All],[PIEZA]],ISNUMBER(SEARCH(Tabla4[[#All],[PCLAVE]],Tabla8[[#This Row],[DESCRIPCION DE TRABAJO]])),""))),"")</f>
        <v/>
      </c>
      <c r="O366" s="35" t="str" cm="1">
        <f t="array" ref="O366">_xlfn.TEXTJOIN(", ",TRUE,_xlfn._xlws.FILTER(Tabla28[[#All],[PARTE]],ISNUMBER(SEARCH(Tabla28[[#All],[PCLAVE2]],Tabla8[[#This Row],[DESCRIPCION DE TRABAJO]])),""))</f>
        <v/>
      </c>
      <c r="P366" s="303" t="str">
        <f>IFERROR(LEFT(O366, FIND(",", O366)-1), O366)</f>
        <v/>
      </c>
      <c r="Q366" s="303" t="str">
        <f>IFERROR(IF(ISERROR(FIND(",", O366, FIND(",", O366)+1)), RIGHT(O366, LEN(O366)-FIND(",", O366)-1), MID(O366, FIND(",", O366)+2, FIND(",", O366, FIND(",", O366)+1)-FIND(",", O366)-2)), "")</f>
        <v/>
      </c>
      <c r="R366" s="303" t="str">
        <f>IFERROR(RIGHT(O366, LEN(O366)-FIND(",", O366, FIND(",", O366)+1)-1), "")</f>
        <v/>
      </c>
      <c r="S366" s="35" t="str" cm="1">
        <f t="array" ref="S366">_xlfn.TEXTJOIN(", ",TRUE,_xlfn._xlws.FILTER(Tabla29[[#All],[PARTE]],ISNUMBER(SEARCH(Tabla29[[#All],[PCLAVE3]],Tabla8[[#This Row],[DESCRIPCION DE TRABAJO]])),""))</f>
        <v>Cambio De Formato</v>
      </c>
      <c r="T366" s="34" t="str">
        <f>IF(AND(Tabla8[[#This Row],[PIEZA]]="",Tabla8[[#This Row],[PARTE]]=""),"VACIO","OK")</f>
        <v>VACIO</v>
      </c>
      <c r="U366" s="303" t="str">
        <f>+CONCATENATE(WEEKNUM(Tabla8[[#This Row],[FECHA]]),"-",YEAR(Tabla8[[#This Row],[FECHA]]))</f>
        <v>9-2026</v>
      </c>
    </row>
    <row r="367" spans="1:21" ht="15" customHeight="1">
      <c r="A367" s="22">
        <v>46077</v>
      </c>
      <c r="B367" s="16" t="s">
        <v>111</v>
      </c>
      <c r="C367" s="10" t="s">
        <v>23</v>
      </c>
      <c r="D367" s="381" t="s">
        <v>533</v>
      </c>
      <c r="E367" s="381" t="s">
        <v>265</v>
      </c>
      <c r="F367" s="380">
        <f>+MOD(Tabla8[[#This Row],[HR. FIN]]-Tabla8[[#This Row],[HR. INICIO]],1)</f>
        <v>1.7361111111111049E-2</v>
      </c>
      <c r="G367" s="16" t="s">
        <v>924</v>
      </c>
      <c r="H367" s="343" t="str">
        <f>IFERROR(VLOOKUP(G367,DATOS!$M$2:$N$219,2,FALSE),"")</f>
        <v>Maquinaria</v>
      </c>
      <c r="I367" s="115" t="s">
        <v>32</v>
      </c>
      <c r="J367" s="115" t="str">
        <f>+VLOOKUP($I367,Tabla7[#All],2,FALSE)</f>
        <v>PROGRAMADA</v>
      </c>
      <c r="K367" s="114" t="str">
        <f>IF(VLOOKUP(I367,Tabla7[#All],3,FALSE)=0,"",VLOOKUP(I367,Tabla7[#All],3,FALSE))</f>
        <v/>
      </c>
      <c r="L367" s="35" t="s">
        <v>925</v>
      </c>
      <c r="M367" s="35" t="s">
        <v>121</v>
      </c>
      <c r="N367" s="35" t="str" cm="1">
        <f t="array" ref="N367">IFERROR(IF(Tabla8[[#This Row],[P/NP]]="NO PROGRAMADA","",_xlfn.TEXTJOIN(", ",TRUE,_xlfn._xlws.FILTER(Tabla4[[#All],[PIEZA]],ISNUMBER(SEARCH(Tabla4[[#All],[PCLAVE]],Tabla8[[#This Row],[DESCRIPCION DE TRABAJO]])),""))),"")</f>
        <v>Quemador</v>
      </c>
      <c r="O367" s="35" t="str" cm="1">
        <f t="array" ref="O367">_xlfn.TEXTJOIN(", ",TRUE,_xlfn._xlws.FILTER(Tabla28[[#All],[PARTE]],ISNUMBER(SEARCH(Tabla28[[#All],[PCLAVE2]],Tabla8[[#This Row],[DESCRIPCION DE TRABAJO]])),""))</f>
        <v/>
      </c>
      <c r="P367" s="303" t="str">
        <f>IFERROR(LEFT(O367, FIND(",", O367)-1), O367)</f>
        <v/>
      </c>
      <c r="Q367" s="303" t="str">
        <f>IFERROR(IF(ISERROR(FIND(",", O367, FIND(",", O367)+1)), RIGHT(O367, LEN(O367)-FIND(",", O367)-1), MID(O367, FIND(",", O367)+2, FIND(",", O367, FIND(",", O367)+1)-FIND(",", O367)-2)), "")</f>
        <v/>
      </c>
      <c r="R367" s="303" t="str">
        <f>IFERROR(RIGHT(O367, LEN(O367)-FIND(",", O367, FIND(",", O367)+1)-1), "")</f>
        <v/>
      </c>
      <c r="S367" s="35" t="str" cm="1">
        <f t="array" ref="S367">_xlfn.TEXTJOIN(", ",TRUE,_xlfn._xlws.FILTER(Tabla29[[#All],[PARTE]],ISNUMBER(SEARCH(Tabla29[[#All],[PCLAVE3]],Tabla8[[#This Row],[DESCRIPCION DE TRABAJO]])),""))</f>
        <v>Quemado</v>
      </c>
      <c r="T367" s="34" t="str">
        <f>IF(AND(Tabla8[[#This Row],[PIEZA]]="",Tabla8[[#This Row],[PARTE]]=""),"VACIO","OK")</f>
        <v>OK</v>
      </c>
      <c r="U367" s="303" t="str">
        <f>+CONCATENATE(WEEKNUM(Tabla8[[#This Row],[FECHA]]),"-",YEAR(Tabla8[[#This Row],[FECHA]]))</f>
        <v>9-2026</v>
      </c>
    </row>
    <row r="368" spans="1:21" ht="15" customHeight="1">
      <c r="A368" s="22">
        <v>46077</v>
      </c>
      <c r="B368" s="16" t="s">
        <v>191</v>
      </c>
      <c r="C368" s="10" t="s">
        <v>36</v>
      </c>
      <c r="D368" s="381" t="s">
        <v>926</v>
      </c>
      <c r="E368" s="381" t="s">
        <v>927</v>
      </c>
      <c r="F368" s="380">
        <f>+MOD(Tabla8[[#This Row],[HR. FIN]]-Tabla8[[#This Row],[HR. INICIO]],1)</f>
        <v>1.5277777777777779E-2</v>
      </c>
      <c r="G368" s="16" t="s">
        <v>793</v>
      </c>
      <c r="H368" s="343" t="str">
        <f>IFERROR(VLOOKUP(G368,DATOS!$M$2:$N$219,2,FALSE),"")</f>
        <v>Maquinaria</v>
      </c>
      <c r="I368" s="115" t="s">
        <v>57</v>
      </c>
      <c r="J368" s="115" t="str">
        <f>+VLOOKUP($I368,Tabla7[#All],2,FALSE)</f>
        <v>NO PROGRAMADA</v>
      </c>
      <c r="K368" s="114" t="s">
        <v>148</v>
      </c>
      <c r="L368" s="35" t="s">
        <v>928</v>
      </c>
      <c r="M368" s="35" t="s">
        <v>929</v>
      </c>
      <c r="N368" s="35" t="str" cm="1">
        <f t="array" ref="N368">IFERROR(IF(Tabla8[[#This Row],[P/NP]]="NO PROGRAMADA","",_xlfn.TEXTJOIN(", ",TRUE,_xlfn._xlws.FILTER(Tabla4[[#All],[PIEZA]],ISNUMBER(SEARCH(Tabla4[[#All],[PCLAVE]],Tabla8[[#This Row],[DESCRIPCION DE TRABAJO]])),""))),"")</f>
        <v/>
      </c>
      <c r="O368" s="35" t="str" cm="1">
        <f t="array" ref="O368">_xlfn.TEXTJOIN(", ",TRUE,_xlfn._xlws.FILTER(Tabla28[[#All],[PARTE]],ISNUMBER(SEARCH(Tabla28[[#All],[PCLAVE2]],Tabla8[[#This Row],[DESCRIPCION DE TRABAJO]])),""))</f>
        <v/>
      </c>
      <c r="P368" s="303" t="str">
        <f>IFERROR(LEFT(O368, FIND(",", O368)-1), O368)</f>
        <v/>
      </c>
      <c r="Q368" s="303" t="str">
        <f>IFERROR(IF(ISERROR(FIND(",", O368, FIND(",", O368)+1)), RIGHT(O368, LEN(O368)-FIND(",", O368)-1), MID(O368, FIND(",", O368)+2, FIND(",", O368, FIND(",", O368)+1)-FIND(",", O368)-2)), "")</f>
        <v/>
      </c>
      <c r="R368" s="303" t="str">
        <f>IFERROR(RIGHT(O368, LEN(O368)-FIND(",", O368, FIND(",", O368)+1)-1), "")</f>
        <v/>
      </c>
      <c r="S368" s="35" t="str" cm="1">
        <f t="array" ref="S368">_xlfn.TEXTJOIN(", ",TRUE,_xlfn._xlws.FILTER(Tabla29[[#All],[PARTE]],ISNUMBER(SEARCH(Tabla29[[#All],[PCLAVE3]],Tabla8[[#This Row],[DESCRIPCION DE TRABAJO]])),""))</f>
        <v/>
      </c>
      <c r="T368" s="34" t="str">
        <f>IF(AND(Tabla8[[#This Row],[PIEZA]]="",Tabla8[[#This Row],[PARTE]]=""),"VACIO","OK")</f>
        <v>VACIO</v>
      </c>
      <c r="U368" s="303" t="str">
        <f>+CONCATENATE(WEEKNUM(Tabla8[[#This Row],[FECHA]]),"-",YEAR(Tabla8[[#This Row],[FECHA]]))</f>
        <v>9-2026</v>
      </c>
    </row>
    <row r="369" spans="1:21" ht="15" customHeight="1">
      <c r="A369" s="22">
        <v>46077</v>
      </c>
      <c r="B369" s="16" t="s">
        <v>191</v>
      </c>
      <c r="C369" s="10" t="s">
        <v>36</v>
      </c>
      <c r="D369" s="381" t="s">
        <v>891</v>
      </c>
      <c r="E369" s="381" t="s">
        <v>930</v>
      </c>
      <c r="F369" s="380">
        <f>+MOD(Tabla8[[#This Row],[HR. FIN]]-Tabla8[[#This Row],[HR. INICIO]],1)</f>
        <v>1.4583333333333337E-2</v>
      </c>
      <c r="G369" s="16" t="s">
        <v>236</v>
      </c>
      <c r="H369" s="343" t="str">
        <f>IFERROR(VLOOKUP(G369,DATOS!$M$2:$N$219,2,FALSE),"")</f>
        <v>Sistema</v>
      </c>
      <c r="I369" s="115" t="s">
        <v>405</v>
      </c>
      <c r="J369" s="115" t="s">
        <v>92</v>
      </c>
      <c r="K369" s="114" t="s">
        <v>93</v>
      </c>
      <c r="L369" s="35" t="s">
        <v>931</v>
      </c>
      <c r="M369" s="35" t="s">
        <v>932</v>
      </c>
      <c r="N369" s="35" t="str" cm="1">
        <f t="array" ref="N369">IFERROR(IF(Tabla8[[#This Row],[P/NP]]="NO PROGRAMADA","",_xlfn.TEXTJOIN(", ",TRUE,_xlfn._xlws.FILTER(Tabla4[[#All],[PIEZA]],ISNUMBER(SEARCH(Tabla4[[#All],[PCLAVE]],Tabla8[[#This Row],[DESCRIPCION DE TRABAJO]])),""))),"")</f>
        <v/>
      </c>
      <c r="O369" s="35" t="str" cm="1">
        <f t="array" ref="O369">_xlfn.TEXTJOIN(", ",TRUE,_xlfn._xlws.FILTER(Tabla28[[#All],[PARTE]],ISNUMBER(SEARCH(Tabla28[[#All],[PCLAVE2]],Tabla8[[#This Row],[DESCRIPCION DE TRABAJO]])),""))</f>
        <v/>
      </c>
      <c r="P369" s="303" t="str">
        <f>IFERROR(LEFT(O369, FIND(",", O369)-1), O369)</f>
        <v/>
      </c>
      <c r="Q369" s="303" t="str">
        <f>IFERROR(IF(ISERROR(FIND(",", O369, FIND(",", O369)+1)), RIGHT(O369, LEN(O369)-FIND(",", O369)-1), MID(O369, FIND(",", O369)+2, FIND(",", O369, FIND(",", O369)+1)-FIND(",", O369)-2)), "")</f>
        <v/>
      </c>
      <c r="R369" s="303" t="str">
        <f>IFERROR(RIGHT(O369, LEN(O369)-FIND(",", O369, FIND(",", O369)+1)-1), "")</f>
        <v/>
      </c>
      <c r="S369" s="35" t="str" cm="1">
        <f t="array" ref="S369">_xlfn.TEXTJOIN(", ",TRUE,_xlfn._xlws.FILTER(Tabla29[[#All],[PARTE]],ISNUMBER(SEARCH(Tabla29[[#All],[PCLAVE3]],Tabla8[[#This Row],[DESCRIPCION DE TRABAJO]])),""))</f>
        <v/>
      </c>
      <c r="T369" s="34" t="str">
        <f>IF(AND(Tabla8[[#This Row],[PIEZA]]="",Tabla8[[#This Row],[PARTE]]=""),"VACIO","OK")</f>
        <v>VACIO</v>
      </c>
      <c r="U369" s="303" t="str">
        <f>+CONCATENATE(WEEKNUM(Tabla8[[#This Row],[FECHA]]),"-",YEAR(Tabla8[[#This Row],[FECHA]]))</f>
        <v>9-2026</v>
      </c>
    </row>
    <row r="370" spans="1:21" ht="15" customHeight="1">
      <c r="A370" s="22">
        <v>46077</v>
      </c>
      <c r="B370" s="16" t="s">
        <v>191</v>
      </c>
      <c r="C370" s="10" t="s">
        <v>36</v>
      </c>
      <c r="D370" s="381" t="s">
        <v>933</v>
      </c>
      <c r="E370" s="381" t="s">
        <v>934</v>
      </c>
      <c r="F370" s="380">
        <f>+MOD(Tabla8[[#This Row],[HR. FIN]]-Tabla8[[#This Row],[HR. INICIO]],1)</f>
        <v>1.4583333333333337E-2</v>
      </c>
      <c r="G370" s="16" t="s">
        <v>215</v>
      </c>
      <c r="H370" s="343" t="str">
        <f>IFERROR(VLOOKUP(G370,DATOS!$M$2:$N$219,2,FALSE),"")</f>
        <v>Equipos auxiliares</v>
      </c>
      <c r="I370" s="115" t="s">
        <v>32</v>
      </c>
      <c r="J370" s="115" t="str">
        <f>+VLOOKUP($I370,Tabla7[#All],2,FALSE)</f>
        <v>PROGRAMADA</v>
      </c>
      <c r="K370" s="114" t="str">
        <f>IF(VLOOKUP(I370,Tabla7[#All],3,FALSE)=0,"",VLOOKUP(I370,Tabla7[#All],3,FALSE))</f>
        <v/>
      </c>
      <c r="L370" s="35" t="s">
        <v>248</v>
      </c>
      <c r="M370" s="35" t="s">
        <v>121</v>
      </c>
      <c r="N370" s="35" t="str" cm="1">
        <f t="array" ref="N370">IFERROR(IF(Tabla8[[#This Row],[P/NP]]="NO PROGRAMADA","",_xlfn.TEXTJOIN(", ",TRUE,_xlfn._xlws.FILTER(Tabla4[[#All],[PIEZA]],ISNUMBER(SEARCH(Tabla4[[#All],[PCLAVE]],Tabla8[[#This Row],[DESCRIPCION DE TRABAJO]])),""))),"")</f>
        <v/>
      </c>
      <c r="O370" s="35" t="str" cm="1">
        <f t="array" ref="O370">_xlfn.TEXTJOIN(", ",TRUE,_xlfn._xlws.FILTER(Tabla28[[#All],[PARTE]],ISNUMBER(SEARCH(Tabla28[[#All],[PCLAVE2]],Tabla8[[#This Row],[DESCRIPCION DE TRABAJO]])),""))</f>
        <v/>
      </c>
      <c r="P370" s="303" t="str">
        <f>IFERROR(LEFT(O370, FIND(",", O370)-1), O370)</f>
        <v/>
      </c>
      <c r="Q370" s="303" t="str">
        <f>IFERROR(IF(ISERROR(FIND(",", O370, FIND(",", O370)+1)), RIGHT(O370, LEN(O370)-FIND(",", O370)-1), MID(O370, FIND(",", O370)+2, FIND(",", O370, FIND(",", O370)+1)-FIND(",", O370)-2)), "")</f>
        <v/>
      </c>
      <c r="R370" s="303" t="str">
        <f>IFERROR(RIGHT(O370, LEN(O370)-FIND(",", O370, FIND(",", O370)+1)-1), "")</f>
        <v/>
      </c>
      <c r="S370" s="35" t="str" cm="1">
        <f t="array" ref="S370">_xlfn.TEXTJOIN(", ",TRUE,_xlfn._xlws.FILTER(Tabla29[[#All],[PARTE]],ISNUMBER(SEARCH(Tabla29[[#All],[PCLAVE3]],Tabla8[[#This Row],[DESCRIPCION DE TRABAJO]])),""))</f>
        <v/>
      </c>
      <c r="T370" s="34" t="str">
        <f>IF(AND(Tabla8[[#This Row],[PIEZA]]="",Tabla8[[#This Row],[PARTE]]=""),"VACIO","OK")</f>
        <v>VACIO</v>
      </c>
      <c r="U370" s="303" t="str">
        <f>+CONCATENATE(WEEKNUM(Tabla8[[#This Row],[FECHA]]),"-",YEAR(Tabla8[[#This Row],[FECHA]]))</f>
        <v>9-2026</v>
      </c>
    </row>
    <row r="371" spans="1:21" ht="15" customHeight="1">
      <c r="A371" s="22">
        <v>46077</v>
      </c>
      <c r="B371" s="16" t="s">
        <v>111</v>
      </c>
      <c r="C371" s="10" t="s">
        <v>23</v>
      </c>
      <c r="D371" s="381" t="s">
        <v>457</v>
      </c>
      <c r="E371" s="381" t="s">
        <v>686</v>
      </c>
      <c r="F371" s="380">
        <f>+MOD(Tabla8[[#This Row],[HR. FIN]]-Tabla8[[#This Row],[HR. INICIO]],1)</f>
        <v>1.3888888888888951E-2</v>
      </c>
      <c r="G371" s="16" t="s">
        <v>31</v>
      </c>
      <c r="H371" s="343" t="str">
        <f>IFERROR(VLOOKUP(G371,DATOS!$M$2:$N$219,2,FALSE),"")</f>
        <v>Maquinaria</v>
      </c>
      <c r="I371" s="115" t="s">
        <v>57</v>
      </c>
      <c r="J371" s="115" t="str">
        <f>+VLOOKUP($I371,Tabla7[#All],2,FALSE)</f>
        <v>NO PROGRAMADA</v>
      </c>
      <c r="K371" s="114" t="str">
        <f>IF(VLOOKUP(I371,Tabla7[#All],3,FALSE)=0,"",VLOOKUP(I371,Tabla7[#All],3,FALSE))</f>
        <v>MECÁNICA</v>
      </c>
      <c r="L371" s="35" t="s">
        <v>935</v>
      </c>
      <c r="M371" s="35" t="s">
        <v>121</v>
      </c>
      <c r="N371" s="35" t="str" cm="1">
        <f t="array" ref="N371">IFERROR(IF(Tabla8[[#This Row],[P/NP]]="NO PROGRAMADA","",_xlfn.TEXTJOIN(", ",TRUE,_xlfn._xlws.FILTER(Tabla4[[#All],[PIEZA]],ISNUMBER(SEARCH(Tabla4[[#All],[PCLAVE]],Tabla8[[#This Row],[DESCRIPCION DE TRABAJO]])),""))),"")</f>
        <v/>
      </c>
      <c r="O371" s="35" t="str" cm="1">
        <f t="array" ref="O371">_xlfn.TEXTJOIN(", ",TRUE,_xlfn._xlws.FILTER(Tabla28[[#All],[PARTE]],ISNUMBER(SEARCH(Tabla28[[#All],[PCLAVE2]],Tabla8[[#This Row],[DESCRIPCION DE TRABAJO]])),""))</f>
        <v/>
      </c>
      <c r="P371" s="303" t="str">
        <f>IFERROR(LEFT(O371, FIND(",", O371)-1), O371)</f>
        <v/>
      </c>
      <c r="Q371" s="303" t="str">
        <f>IFERROR(IF(ISERROR(FIND(",", O371, FIND(",", O371)+1)), RIGHT(O371, LEN(O371)-FIND(",", O371)-1), MID(O371, FIND(",", O371)+2, FIND(",", O371, FIND(",", O371)+1)-FIND(",", O371)-2)), "")</f>
        <v/>
      </c>
      <c r="R371" s="303" t="str">
        <f>IFERROR(RIGHT(O371, LEN(O371)-FIND(",", O371, FIND(",", O371)+1)-1), "")</f>
        <v/>
      </c>
      <c r="S371" s="35" t="str" cm="1">
        <f t="array" ref="S371">_xlfn.TEXTJOIN(", ",TRUE,_xlfn._xlws.FILTER(Tabla29[[#All],[PARTE]],ISNUMBER(SEARCH(Tabla29[[#All],[PCLAVE3]],Tabla8[[#This Row],[DESCRIPCION DE TRABAJO]])),""))</f>
        <v>Lubricacion</v>
      </c>
      <c r="T371" s="34" t="str">
        <f>IF(AND(Tabla8[[#This Row],[PIEZA]]="",Tabla8[[#This Row],[PARTE]]=""),"VACIO","OK")</f>
        <v>VACIO</v>
      </c>
      <c r="U371" s="303" t="str">
        <f>+CONCATENATE(WEEKNUM(Tabla8[[#This Row],[FECHA]]),"-",YEAR(Tabla8[[#This Row],[FECHA]]))</f>
        <v>9-2026</v>
      </c>
    </row>
    <row r="372" spans="1:21" ht="15" customHeight="1">
      <c r="A372" s="22">
        <v>46077</v>
      </c>
      <c r="B372" s="16" t="s">
        <v>111</v>
      </c>
      <c r="C372" s="10" t="s">
        <v>23</v>
      </c>
      <c r="D372" s="381" t="s">
        <v>310</v>
      </c>
      <c r="E372" s="381" t="s">
        <v>936</v>
      </c>
      <c r="F372" s="380">
        <f>+MOD(Tabla8[[#This Row],[HR. FIN]]-Tabla8[[#This Row],[HR. INICIO]],1)</f>
        <v>1.3888888888888951E-2</v>
      </c>
      <c r="G372" s="16" t="s">
        <v>182</v>
      </c>
      <c r="H372" s="343" t="str">
        <f>IFERROR(VLOOKUP(G372,DATOS!$M$2:$N$219,2,FALSE),"")</f>
        <v>Maquinaria</v>
      </c>
      <c r="I372" s="115" t="s">
        <v>57</v>
      </c>
      <c r="J372" s="115" t="str">
        <f>+VLOOKUP($I372,Tabla7[#All],2,FALSE)</f>
        <v>NO PROGRAMADA</v>
      </c>
      <c r="K372" s="114" t="str">
        <f>IF(VLOOKUP(I372,Tabla7[#All],3,FALSE)=0,"",VLOOKUP(I372,Tabla7[#All],3,FALSE))</f>
        <v>MECÁNICA</v>
      </c>
      <c r="L372" s="35" t="s">
        <v>937</v>
      </c>
      <c r="M372" s="35" t="s">
        <v>938</v>
      </c>
      <c r="N372" s="35" t="str" cm="1">
        <f t="array" ref="N372">IFERROR(IF(Tabla8[[#This Row],[P/NP]]="NO PROGRAMADA","",_xlfn.TEXTJOIN(", ",TRUE,_xlfn._xlws.FILTER(Tabla4[[#All],[PIEZA]],ISNUMBER(SEARCH(Tabla4[[#All],[PCLAVE]],Tabla8[[#This Row],[DESCRIPCION DE TRABAJO]])),""))),"")</f>
        <v/>
      </c>
      <c r="O372" s="35" t="str" cm="1">
        <f t="array" ref="O372">_xlfn.TEXTJOIN(", ",TRUE,_xlfn._xlws.FILTER(Tabla28[[#All],[PARTE]],ISNUMBER(SEARCH(Tabla28[[#All],[PCLAVE2]],Tabla8[[#This Row],[DESCRIPCION DE TRABAJO]])),""))</f>
        <v/>
      </c>
      <c r="P372" s="303" t="str">
        <f>IFERROR(LEFT(O372, FIND(",", O372)-1), O372)</f>
        <v/>
      </c>
      <c r="Q372" s="303" t="str">
        <f>IFERROR(IF(ISERROR(FIND(",", O372, FIND(",", O372)+1)), RIGHT(O372, LEN(O372)-FIND(",", O372)-1), MID(O372, FIND(",", O372)+2, FIND(",", O372, FIND(",", O372)+1)-FIND(",", O372)-2)), "")</f>
        <v/>
      </c>
      <c r="R372" s="303" t="str">
        <f>IFERROR(RIGHT(O372, LEN(O372)-FIND(",", O372, FIND(",", O372)+1)-1), "")</f>
        <v/>
      </c>
      <c r="S372" s="35" t="str" cm="1">
        <f t="array" ref="S372">_xlfn.TEXTJOIN(", ",TRUE,_xlfn._xlws.FILTER(Tabla29[[#All],[PARTE]],ISNUMBER(SEARCH(Tabla29[[#All],[PCLAVE3]],Tabla8[[#This Row],[DESCRIPCION DE TRABAJO]])),""))</f>
        <v>Desalineado</v>
      </c>
      <c r="T372" s="34" t="str">
        <f>IF(AND(Tabla8[[#This Row],[PIEZA]]="",Tabla8[[#This Row],[PARTE]]=""),"VACIO","OK")</f>
        <v>VACIO</v>
      </c>
      <c r="U372" s="303" t="str">
        <f>+CONCATENATE(WEEKNUM(Tabla8[[#This Row],[FECHA]]),"-",YEAR(Tabla8[[#This Row],[FECHA]]))</f>
        <v>9-2026</v>
      </c>
    </row>
    <row r="373" spans="1:21" ht="15" customHeight="1">
      <c r="A373" s="22">
        <v>46077</v>
      </c>
      <c r="B373" s="16" t="s">
        <v>111</v>
      </c>
      <c r="C373" s="10" t="s">
        <v>23</v>
      </c>
      <c r="D373" s="381" t="s">
        <v>939</v>
      </c>
      <c r="E373" s="381" t="s">
        <v>940</v>
      </c>
      <c r="F373" s="380">
        <f>+MOD(Tabla8[[#This Row],[HR. FIN]]-Tabla8[[#This Row],[HR. INICIO]],1)</f>
        <v>1.3888888888888951E-2</v>
      </c>
      <c r="G373" s="16" t="s">
        <v>119</v>
      </c>
      <c r="H373" s="343" t="str">
        <f>IFERROR(VLOOKUP(G373,DATOS!$M$2:$N$219,2,FALSE),"")</f>
        <v>Maquinaria</v>
      </c>
      <c r="I373" s="115" t="s">
        <v>32</v>
      </c>
      <c r="J373" s="115" t="str">
        <f>+VLOOKUP($I373,Tabla7[#All],2,FALSE)</f>
        <v>PROGRAMADA</v>
      </c>
      <c r="K373" s="114" t="str">
        <f>IF(VLOOKUP(I373,Tabla7[#All],3,FALSE)=0,"",VLOOKUP(I373,Tabla7[#All],3,FALSE))</f>
        <v/>
      </c>
      <c r="L373" s="35" t="s">
        <v>941</v>
      </c>
      <c r="M373" s="35" t="s">
        <v>121</v>
      </c>
      <c r="N373" s="35" t="str" cm="1">
        <f t="array" ref="N373">IFERROR(IF(Tabla8[[#This Row],[P/NP]]="NO PROGRAMADA","",_xlfn.TEXTJOIN(", ",TRUE,_xlfn._xlws.FILTER(Tabla4[[#All],[PIEZA]],ISNUMBER(SEARCH(Tabla4[[#All],[PCLAVE]],Tabla8[[#This Row],[DESCRIPCION DE TRABAJO]])),""))),"")</f>
        <v/>
      </c>
      <c r="O373" s="35" t="str" cm="1">
        <f t="array" ref="O373">_xlfn.TEXTJOIN(", ",TRUE,_xlfn._xlws.FILTER(Tabla28[[#All],[PARTE]],ISNUMBER(SEARCH(Tabla28[[#All],[PCLAVE2]],Tabla8[[#This Row],[DESCRIPCION DE TRABAJO]])),""))</f>
        <v>Mds</v>
      </c>
      <c r="P373" s="303" t="str">
        <f>IFERROR(LEFT(O373, FIND(",", O373)-1), O373)</f>
        <v>Mds</v>
      </c>
      <c r="Q373" s="303" t="str">
        <f>IFERROR(IF(ISERROR(FIND(",", O373, FIND(",", O373)+1)), RIGHT(O373, LEN(O373)-FIND(",", O373)-1), MID(O373, FIND(",", O373)+2, FIND(",", O373, FIND(",", O373)+1)-FIND(",", O373)-2)), "")</f>
        <v/>
      </c>
      <c r="R373" s="303" t="str">
        <f>IFERROR(RIGHT(O373, LEN(O373)-FIND(",", O373, FIND(",", O373)+1)-1), "")</f>
        <v/>
      </c>
      <c r="S373" s="35" t="str" cm="1">
        <f t="array" ref="S373">_xlfn.TEXTJOIN(", ",TRUE,_xlfn._xlws.FILTER(Tabla29[[#All],[PARTE]],ISNUMBER(SEARCH(Tabla29[[#All],[PCLAVE3]],Tabla8[[#This Row],[DESCRIPCION DE TRABAJO]])),""))</f>
        <v/>
      </c>
      <c r="T373" s="34" t="str">
        <f>IF(AND(Tabla8[[#This Row],[PIEZA]]="",Tabla8[[#This Row],[PARTE]]=""),"VACIO","OK")</f>
        <v>OK</v>
      </c>
      <c r="U373" s="303" t="str">
        <f>+CONCATENATE(WEEKNUM(Tabla8[[#This Row],[FECHA]]),"-",YEAR(Tabla8[[#This Row],[FECHA]]))</f>
        <v>9-2026</v>
      </c>
    </row>
    <row r="374" spans="1:21" ht="15" customHeight="1">
      <c r="A374" s="22">
        <v>46077</v>
      </c>
      <c r="B374" s="16" t="s">
        <v>179</v>
      </c>
      <c r="C374" s="10" t="s">
        <v>36</v>
      </c>
      <c r="D374" s="381" t="s">
        <v>884</v>
      </c>
      <c r="E374" s="381" t="s">
        <v>122</v>
      </c>
      <c r="F374" s="380">
        <f>+MOD(Tabla8[[#This Row],[HR. FIN]]-Tabla8[[#This Row],[HR. INICIO]],1)</f>
        <v>1.3888888888888895E-2</v>
      </c>
      <c r="G374" s="16" t="s">
        <v>942</v>
      </c>
      <c r="H374" s="343" t="str">
        <f>IFERROR(VLOOKUP(G374,DATOS!$M$2:$N$219,2,FALSE),"")</f>
        <v>Maquinaria</v>
      </c>
      <c r="I374" s="115" t="s">
        <v>57</v>
      </c>
      <c r="J374" s="115" t="str">
        <f>+VLOOKUP($I374,Tabla7[#All],2,FALSE)</f>
        <v>NO PROGRAMADA</v>
      </c>
      <c r="K374" s="114" t="str">
        <f>IF(VLOOKUP(I374,Tabla7[#All],3,FALSE)=0,"",VLOOKUP(I374,Tabla7[#All],3,FALSE))</f>
        <v>MECÁNICA</v>
      </c>
      <c r="L374" s="35" t="s">
        <v>943</v>
      </c>
      <c r="M374" s="35" t="s">
        <v>944</v>
      </c>
      <c r="N374" s="35" t="str" cm="1">
        <f t="array" ref="N374">IFERROR(IF(Tabla8[[#This Row],[P/NP]]="NO PROGRAMADA","",_xlfn.TEXTJOIN(", ",TRUE,_xlfn._xlws.FILTER(Tabla4[[#All],[PIEZA]],ISNUMBER(SEARCH(Tabla4[[#All],[PCLAVE]],Tabla8[[#This Row],[DESCRIPCION DE TRABAJO]])),""))),"")</f>
        <v/>
      </c>
      <c r="O374" s="35" t="str" cm="1">
        <f t="array" ref="O374">_xlfn.TEXTJOIN(", ",TRUE,_xlfn._xlws.FILTER(Tabla28[[#All],[PARTE]],ISNUMBER(SEARCH(Tabla28[[#All],[PCLAVE2]],Tabla8[[#This Row],[DESCRIPCION DE TRABAJO]])),""))</f>
        <v/>
      </c>
      <c r="P374" s="303" t="str">
        <f>IFERROR(LEFT(O374, FIND(",", O374)-1), O374)</f>
        <v/>
      </c>
      <c r="Q374" s="303" t="str">
        <f>IFERROR(IF(ISERROR(FIND(",", O374, FIND(",", O374)+1)), RIGHT(O374, LEN(O374)-FIND(",", O374)-1), MID(O374, FIND(",", O374)+2, FIND(",", O374, FIND(",", O374)+1)-FIND(",", O374)-2)), "")</f>
        <v/>
      </c>
      <c r="R374" s="303" t="str">
        <f>IFERROR(RIGHT(O374, LEN(O374)-FIND(",", O374, FIND(",", O374)+1)-1), "")</f>
        <v/>
      </c>
      <c r="S374" s="35" t="str" cm="1">
        <f t="array" ref="S374">_xlfn.TEXTJOIN(", ",TRUE,_xlfn._xlws.FILTER(Tabla29[[#All],[PARTE]],ISNUMBER(SEARCH(Tabla29[[#All],[PCLAVE3]],Tabla8[[#This Row],[DESCRIPCION DE TRABAJO]])),""))</f>
        <v>Calibracion, Desajustado, Soltura</v>
      </c>
      <c r="T374" s="34" t="str">
        <f>IF(AND(Tabla8[[#This Row],[PIEZA]]="",Tabla8[[#This Row],[PARTE]]=""),"VACIO","OK")</f>
        <v>VACIO</v>
      </c>
      <c r="U374" s="303" t="str">
        <f>+CONCATENATE(WEEKNUM(Tabla8[[#This Row],[FECHA]]),"-",YEAR(Tabla8[[#This Row],[FECHA]]))</f>
        <v>9-2026</v>
      </c>
    </row>
    <row r="375" spans="1:21" ht="15" customHeight="1">
      <c r="A375" s="22">
        <v>46077</v>
      </c>
      <c r="B375" s="16" t="s">
        <v>179</v>
      </c>
      <c r="C375" s="10" t="s">
        <v>36</v>
      </c>
      <c r="D375" s="381" t="s">
        <v>883</v>
      </c>
      <c r="E375" s="381" t="s">
        <v>430</v>
      </c>
      <c r="F375" s="380">
        <f>+MOD(Tabla8[[#This Row],[HR. FIN]]-Tabla8[[#This Row],[HR. INICIO]],1)</f>
        <v>1.3888888888888895E-2</v>
      </c>
      <c r="G375" s="16" t="s">
        <v>793</v>
      </c>
      <c r="H375" s="343" t="str">
        <f>IFERROR(VLOOKUP(G375,DATOS!$M$2:$N$219,2,FALSE),"")</f>
        <v>Maquinaria</v>
      </c>
      <c r="I375" s="115" t="s">
        <v>54</v>
      </c>
      <c r="J375" s="115" t="str">
        <f>+VLOOKUP($I375,Tabla7[#All],2,FALSE)</f>
        <v>PROGRAMADA</v>
      </c>
      <c r="K375" s="114" t="str">
        <f>IF(VLOOKUP(I375,Tabla7[#All],3,FALSE)=0,"",VLOOKUP(I375,Tabla7[#All],3,FALSE))</f>
        <v/>
      </c>
      <c r="L375" s="35" t="s">
        <v>945</v>
      </c>
      <c r="M375" s="35" t="s">
        <v>121</v>
      </c>
      <c r="N375" s="35" t="str" cm="1">
        <f t="array" ref="N375">IFERROR(IF(Tabla8[[#This Row],[P/NP]]="NO PROGRAMADA","",_xlfn.TEXTJOIN(", ",TRUE,_xlfn._xlws.FILTER(Tabla4[[#All],[PIEZA]],ISNUMBER(SEARCH(Tabla4[[#All],[PCLAVE]],Tabla8[[#This Row],[DESCRIPCION DE TRABAJO]])),""))),"")</f>
        <v>Sensor</v>
      </c>
      <c r="O375" s="35" t="str" cm="1">
        <f t="array" ref="O375">_xlfn.TEXTJOIN(", ",TRUE,_xlfn._xlws.FILTER(Tabla28[[#All],[PARTE]],ISNUMBER(SEARCH(Tabla28[[#All],[PCLAVE2]],Tabla8[[#This Row],[DESCRIPCION DE TRABAJO]])),""))</f>
        <v/>
      </c>
      <c r="P375" s="303" t="str">
        <f>IFERROR(LEFT(O375, FIND(",", O375)-1), O375)</f>
        <v/>
      </c>
      <c r="Q375" s="303" t="str">
        <f>IFERROR(IF(ISERROR(FIND(",", O375, FIND(",", O375)+1)), RIGHT(O375, LEN(O375)-FIND(",", O375)-1), MID(O375, FIND(",", O375)+2, FIND(",", O375, FIND(",", O375)+1)-FIND(",", O375)-2)), "")</f>
        <v/>
      </c>
      <c r="R375" s="303" t="str">
        <f>IFERROR(RIGHT(O375, LEN(O375)-FIND(",", O375, FIND(",", O375)+1)-1), "")</f>
        <v/>
      </c>
      <c r="S375" s="35" t="str" cm="1">
        <f t="array" ref="S375">_xlfn.TEXTJOIN(", ",TRUE,_xlfn._xlws.FILTER(Tabla29[[#All],[PARTE]],ISNUMBER(SEARCH(Tabla29[[#All],[PCLAVE3]],Tabla8[[#This Row],[DESCRIPCION DE TRABAJO]])),""))</f>
        <v/>
      </c>
      <c r="T375" s="34" t="str">
        <f>IF(AND(Tabla8[[#This Row],[PIEZA]]="",Tabla8[[#This Row],[PARTE]]=""),"VACIO","OK")</f>
        <v>OK</v>
      </c>
      <c r="U375" s="303" t="str">
        <f>+CONCATENATE(WEEKNUM(Tabla8[[#This Row],[FECHA]]),"-",YEAR(Tabla8[[#This Row],[FECHA]]))</f>
        <v>9-2026</v>
      </c>
    </row>
    <row r="376" spans="1:21" ht="15" customHeight="1">
      <c r="A376" s="22">
        <v>46077</v>
      </c>
      <c r="B376" s="16" t="s">
        <v>111</v>
      </c>
      <c r="C376" s="10" t="s">
        <v>23</v>
      </c>
      <c r="D376" s="381" t="s">
        <v>946</v>
      </c>
      <c r="E376" s="381" t="s">
        <v>107</v>
      </c>
      <c r="F376" s="380">
        <f>+MOD(Tabla8[[#This Row],[HR. FIN]]-Tabla8[[#This Row],[HR. INICIO]],1)</f>
        <v>1.388888888888884E-2</v>
      </c>
      <c r="G376" s="16" t="s">
        <v>31</v>
      </c>
      <c r="H376" s="343" t="str">
        <f>IFERROR(VLOOKUP(G376,DATOS!$M$2:$N$219,2,FALSE),"")</f>
        <v>Maquinaria</v>
      </c>
      <c r="I376" s="115" t="s">
        <v>32</v>
      </c>
      <c r="J376" s="115" t="str">
        <f>+VLOOKUP($I376,Tabla7[#All],2,FALSE)</f>
        <v>PROGRAMADA</v>
      </c>
      <c r="K376" s="114" t="str">
        <f>IF(VLOOKUP(I376,Tabla7[#All],3,FALSE)=0,"",VLOOKUP(I376,Tabla7[#All],3,FALSE))</f>
        <v/>
      </c>
      <c r="L376" s="35" t="s">
        <v>947</v>
      </c>
      <c r="M376" s="35" t="s">
        <v>121</v>
      </c>
      <c r="N376" s="35" t="str" cm="1">
        <f t="array" ref="N376">IFERROR(IF(Tabla8[[#This Row],[P/NP]]="NO PROGRAMADA","",_xlfn.TEXTJOIN(", ",TRUE,_xlfn._xlws.FILTER(Tabla4[[#All],[PIEZA]],ISNUMBER(SEARCH(Tabla4[[#All],[PCLAVE]],Tabla8[[#This Row],[DESCRIPCION DE TRABAJO]])),""))),"")</f>
        <v>Mordaza</v>
      </c>
      <c r="O376" s="35" t="str" cm="1">
        <f t="array" ref="O376">_xlfn.TEXTJOIN(", ",TRUE,_xlfn._xlws.FILTER(Tabla28[[#All],[PARTE]],ISNUMBER(SEARCH(Tabla28[[#All],[PCLAVE2]],Tabla8[[#This Row],[DESCRIPCION DE TRABAJO]])),""))</f>
        <v/>
      </c>
      <c r="P376" s="303" t="str">
        <f>IFERROR(LEFT(O376, FIND(",", O376)-1), O376)</f>
        <v/>
      </c>
      <c r="Q376" s="303" t="str">
        <f>IFERROR(IF(ISERROR(FIND(",", O376, FIND(",", O376)+1)), RIGHT(O376, LEN(O376)-FIND(",", O376)-1), MID(O376, FIND(",", O376)+2, FIND(",", O376, FIND(",", O376)+1)-FIND(",", O376)-2)), "")</f>
        <v/>
      </c>
      <c r="R376" s="303" t="str">
        <f>IFERROR(RIGHT(O376, LEN(O376)-FIND(",", O376, FIND(",", O376)+1)-1), "")</f>
        <v/>
      </c>
      <c r="S376" s="35" t="str" cm="1">
        <f t="array" ref="S376">_xlfn.TEXTJOIN(", ",TRUE,_xlfn._xlws.FILTER(Tabla29[[#All],[PARTE]],ISNUMBER(SEARCH(Tabla29[[#All],[PCLAVE3]],Tabla8[[#This Row],[DESCRIPCION DE TRABAJO]])),""))</f>
        <v/>
      </c>
      <c r="T376" s="34" t="str">
        <f>IF(AND(Tabla8[[#This Row],[PIEZA]]="",Tabla8[[#This Row],[PARTE]]=""),"VACIO","OK")</f>
        <v>OK</v>
      </c>
      <c r="U376" s="303" t="str">
        <f>+CONCATENATE(WEEKNUM(Tabla8[[#This Row],[FECHA]]),"-",YEAR(Tabla8[[#This Row],[FECHA]]))</f>
        <v>9-2026</v>
      </c>
    </row>
    <row r="377" spans="1:21" ht="15" customHeight="1">
      <c r="A377" s="22">
        <v>46077</v>
      </c>
      <c r="B377" s="16" t="s">
        <v>111</v>
      </c>
      <c r="C377" s="10" t="s">
        <v>23</v>
      </c>
      <c r="D377" s="381" t="s">
        <v>948</v>
      </c>
      <c r="E377" s="381" t="s">
        <v>949</v>
      </c>
      <c r="F377" s="380">
        <f>+MOD(Tabla8[[#This Row],[HR. FIN]]-Tabla8[[#This Row],[HR. INICIO]],1)</f>
        <v>1.3194444444444509E-2</v>
      </c>
      <c r="G377" s="16" t="s">
        <v>119</v>
      </c>
      <c r="H377" s="343" t="str">
        <f>IFERROR(VLOOKUP(G377,DATOS!$M$2:$N$219,2,FALSE),"")</f>
        <v>Maquinaria</v>
      </c>
      <c r="I377" s="115" t="s">
        <v>32</v>
      </c>
      <c r="J377" s="115" t="s">
        <v>92</v>
      </c>
      <c r="K377" s="114" t="s">
        <v>148</v>
      </c>
      <c r="L377" s="35" t="s">
        <v>950</v>
      </c>
      <c r="M377" s="35" t="s">
        <v>951</v>
      </c>
      <c r="N377" s="35" t="str" cm="1">
        <f t="array" ref="N377">IFERROR(IF(Tabla8[[#This Row],[P/NP]]="NO PROGRAMADA","",_xlfn.TEXTJOIN(", ",TRUE,_xlfn._xlws.FILTER(Tabla4[[#All],[PIEZA]],ISNUMBER(SEARCH(Tabla4[[#All],[PCLAVE]],Tabla8[[#This Row],[DESCRIPCION DE TRABAJO]])),""))),"")</f>
        <v/>
      </c>
      <c r="O377" s="35" t="str" cm="1">
        <f t="array" ref="O377">_xlfn.TEXTJOIN(", ",TRUE,_xlfn._xlws.FILTER(Tabla28[[#All],[PARTE]],ISNUMBER(SEARCH(Tabla28[[#All],[PCLAVE2]],Tabla8[[#This Row],[DESCRIPCION DE TRABAJO]])),""))</f>
        <v>Sammfill</v>
      </c>
      <c r="P377" s="303" t="str">
        <f>IFERROR(LEFT(O377, FIND(",", O377)-1), O377)</f>
        <v>Sammfill</v>
      </c>
      <c r="Q377" s="303" t="str">
        <f>IFERROR(IF(ISERROR(FIND(",", O377, FIND(",", O377)+1)), RIGHT(O377, LEN(O377)-FIND(",", O377)-1), MID(O377, FIND(",", O377)+2, FIND(",", O377, FIND(",", O377)+1)-FIND(",", O377)-2)), "")</f>
        <v/>
      </c>
      <c r="R377" s="303" t="str">
        <f>IFERROR(RIGHT(O377, LEN(O377)-FIND(",", O377, FIND(",", O377)+1)-1), "")</f>
        <v/>
      </c>
      <c r="S377" s="35" t="str" cm="1">
        <f t="array" ref="S377">_xlfn.TEXTJOIN(", ",TRUE,_xlfn._xlws.FILTER(Tabla29[[#All],[PARTE]],ISNUMBER(SEARCH(Tabla29[[#All],[PCLAVE3]],Tabla8[[#This Row],[DESCRIPCION DE TRABAJO]])),""))</f>
        <v/>
      </c>
      <c r="T377" s="34" t="str">
        <f>IF(AND(Tabla8[[#This Row],[PIEZA]]="",Tabla8[[#This Row],[PARTE]]=""),"VACIO","OK")</f>
        <v>OK</v>
      </c>
      <c r="U377" s="303" t="str">
        <f>+CONCATENATE(WEEKNUM(Tabla8[[#This Row],[FECHA]]),"-",YEAR(Tabla8[[#This Row],[FECHA]]))</f>
        <v>9-2026</v>
      </c>
    </row>
    <row r="378" spans="1:21" ht="15" customHeight="1">
      <c r="A378" s="22">
        <v>46077</v>
      </c>
      <c r="B378" s="16" t="s">
        <v>111</v>
      </c>
      <c r="C378" s="10" t="s">
        <v>23</v>
      </c>
      <c r="D378" s="381" t="s">
        <v>952</v>
      </c>
      <c r="E378" s="381" t="s">
        <v>493</v>
      </c>
      <c r="F378" s="380">
        <f>+MOD(Tabla8[[#This Row],[HR. FIN]]-Tabla8[[#This Row],[HR. INICIO]],1)</f>
        <v>1.1805555555555514E-2</v>
      </c>
      <c r="G378" s="16" t="s">
        <v>24</v>
      </c>
      <c r="H378" s="343" t="str">
        <f>IFERROR(VLOOKUP(G378,DATOS!$M$2:$N$219,2,FALSE),"")</f>
        <v>Maquinaria</v>
      </c>
      <c r="I378" s="115" t="s">
        <v>61</v>
      </c>
      <c r="J378" s="115" t="s">
        <v>92</v>
      </c>
      <c r="K378" s="114" t="s">
        <v>93</v>
      </c>
      <c r="L378" s="35" t="s">
        <v>953</v>
      </c>
      <c r="M378" s="35" t="s">
        <v>954</v>
      </c>
      <c r="N378" s="35" t="str" cm="1">
        <f t="array" ref="N378">IFERROR(IF(Tabla8[[#This Row],[P/NP]]="NO PROGRAMADA","",_xlfn.TEXTJOIN(", ",TRUE,_xlfn._xlws.FILTER(Tabla4[[#All],[PIEZA]],ISNUMBER(SEARCH(Tabla4[[#All],[PCLAVE]],Tabla8[[#This Row],[DESCRIPCION DE TRABAJO]])),""))),"")</f>
        <v/>
      </c>
      <c r="O378" s="35" t="str" cm="1">
        <f t="array" ref="O378">_xlfn.TEXTJOIN(", ",TRUE,_xlfn._xlws.FILTER(Tabla28[[#All],[PARTE]],ISNUMBER(SEARCH(Tabla28[[#All],[PCLAVE2]],Tabla8[[#This Row],[DESCRIPCION DE TRABAJO]])),""))</f>
        <v/>
      </c>
      <c r="P378" s="303" t="str">
        <f>IFERROR(LEFT(O378, FIND(",", O378)-1), O378)</f>
        <v/>
      </c>
      <c r="Q378" s="303" t="str">
        <f>IFERROR(IF(ISERROR(FIND(",", O378, FIND(",", O378)+1)), RIGHT(O378, LEN(O378)-FIND(",", O378)-1), MID(O378, FIND(",", O378)+2, FIND(",", O378, FIND(",", O378)+1)-FIND(",", O378)-2)), "")</f>
        <v/>
      </c>
      <c r="R378" s="303" t="str">
        <f>IFERROR(RIGHT(O378, LEN(O378)-FIND(",", O378, FIND(",", O378)+1)-1), "")</f>
        <v/>
      </c>
      <c r="S378" s="35" t="str" cm="1">
        <f t="array" ref="S378">_xlfn.TEXTJOIN(", ",TRUE,_xlfn._xlws.FILTER(Tabla29[[#All],[PARTE]],ISNUMBER(SEARCH(Tabla29[[#All],[PCLAVE3]],Tabla8[[#This Row],[DESCRIPCION DE TRABAJO]])),""))</f>
        <v>Con Restos</v>
      </c>
      <c r="T378" s="34" t="str">
        <f>IF(AND(Tabla8[[#This Row],[PIEZA]]="",Tabla8[[#This Row],[PARTE]]=""),"VACIO","OK")</f>
        <v>VACIO</v>
      </c>
      <c r="U378" s="303" t="str">
        <f>+CONCATENATE(WEEKNUM(Tabla8[[#This Row],[FECHA]]),"-",YEAR(Tabla8[[#This Row],[FECHA]]))</f>
        <v>9-2026</v>
      </c>
    </row>
    <row r="379" spans="1:21" ht="15" customHeight="1">
      <c r="A379" s="22">
        <v>46077</v>
      </c>
      <c r="B379" s="16" t="s">
        <v>111</v>
      </c>
      <c r="C379" s="10" t="s">
        <v>23</v>
      </c>
      <c r="D379" s="381" t="s">
        <v>281</v>
      </c>
      <c r="E379" s="381" t="s">
        <v>543</v>
      </c>
      <c r="F379" s="380">
        <f>+MOD(Tabla8[[#This Row],[HR. FIN]]-Tabla8[[#This Row],[HR. INICIO]],1)</f>
        <v>1.041666666666663E-2</v>
      </c>
      <c r="G379" s="16" t="s">
        <v>182</v>
      </c>
      <c r="H379" s="343" t="str">
        <f>IFERROR(VLOOKUP(G379,DATOS!$M$2:$N$219,2,FALSE),"")</f>
        <v>Maquinaria</v>
      </c>
      <c r="I379" s="115" t="s">
        <v>32</v>
      </c>
      <c r="J379" s="115" t="str">
        <f>+VLOOKUP($I379,Tabla7[#All],2,FALSE)</f>
        <v>PROGRAMADA</v>
      </c>
      <c r="K379" s="114" t="str">
        <f>IF(VLOOKUP(I379,Tabla7[#All],3,FALSE)=0,"",VLOOKUP(I379,Tabla7[#All],3,FALSE))</f>
        <v/>
      </c>
      <c r="L379" s="35" t="s">
        <v>955</v>
      </c>
      <c r="M379" s="35" t="s">
        <v>121</v>
      </c>
      <c r="N379" s="35" t="str" cm="1">
        <f t="array" ref="N379">IFERROR(IF(Tabla8[[#This Row],[P/NP]]="NO PROGRAMADA","",_xlfn.TEXTJOIN(", ",TRUE,_xlfn._xlws.FILTER(Tabla4[[#All],[PIEZA]],ISNUMBER(SEARCH(Tabla4[[#All],[PCLAVE]],Tabla8[[#This Row],[DESCRIPCION DE TRABAJO]])),""))),"")</f>
        <v>Laminado</v>
      </c>
      <c r="O379" s="35" t="str" cm="1">
        <f t="array" ref="O379">_xlfn.TEXTJOIN(", ",TRUE,_xlfn._xlws.FILTER(Tabla28[[#All],[PARTE]],ISNUMBER(SEARCH(Tabla28[[#All],[PCLAVE2]],Tabla8[[#This Row],[DESCRIPCION DE TRABAJO]])),""))</f>
        <v/>
      </c>
      <c r="P379" s="303" t="str">
        <f>IFERROR(LEFT(O379, FIND(",", O379)-1), O379)</f>
        <v/>
      </c>
      <c r="Q379" s="303" t="str">
        <f>IFERROR(IF(ISERROR(FIND(",", O379, FIND(",", O379)+1)), RIGHT(O379, LEN(O379)-FIND(",", O379)-1), MID(O379, FIND(",", O379)+2, FIND(",", O379, FIND(",", O379)+1)-FIND(",", O379)-2)), "")</f>
        <v/>
      </c>
      <c r="R379" s="303" t="str">
        <f>IFERROR(RIGHT(O379, LEN(O379)-FIND(",", O379, FIND(",", O379)+1)-1), "")</f>
        <v/>
      </c>
      <c r="S379" s="35" t="str" cm="1">
        <f t="array" ref="S379">_xlfn.TEXTJOIN(", ",TRUE,_xlfn._xlws.FILTER(Tabla29[[#All],[PARTE]],ISNUMBER(SEARCH(Tabla29[[#All],[PCLAVE3]],Tabla8[[#This Row],[DESCRIPCION DE TRABAJO]])),""))</f>
        <v>Laminado</v>
      </c>
      <c r="T379" s="34" t="str">
        <f>IF(AND(Tabla8[[#This Row],[PIEZA]]="",Tabla8[[#This Row],[PARTE]]=""),"VACIO","OK")</f>
        <v>OK</v>
      </c>
      <c r="U379" s="303" t="str">
        <f>+CONCATENATE(WEEKNUM(Tabla8[[#This Row],[FECHA]]),"-",YEAR(Tabla8[[#This Row],[FECHA]]))</f>
        <v>9-2026</v>
      </c>
    </row>
    <row r="380" spans="1:21" ht="15" customHeight="1">
      <c r="A380" s="22">
        <v>46077</v>
      </c>
      <c r="B380" s="16" t="s">
        <v>111</v>
      </c>
      <c r="C380" s="10" t="s">
        <v>23</v>
      </c>
      <c r="D380" s="381" t="s">
        <v>956</v>
      </c>
      <c r="E380" s="381" t="s">
        <v>957</v>
      </c>
      <c r="F380" s="380">
        <f>+MOD(Tabla8[[#This Row],[HR. FIN]]-Tabla8[[#This Row],[HR. INICIO]],1)</f>
        <v>1.041666666666663E-2</v>
      </c>
      <c r="G380" s="16" t="s">
        <v>924</v>
      </c>
      <c r="H380" s="343" t="str">
        <f>IFERROR(VLOOKUP(G380,DATOS!$M$2:$N$219,2,FALSE),"")</f>
        <v>Maquinaria</v>
      </c>
      <c r="I380" s="115" t="s">
        <v>54</v>
      </c>
      <c r="J380" s="115" t="str">
        <f>+VLOOKUP($I380,Tabla7[#All],2,FALSE)</f>
        <v>PROGRAMADA</v>
      </c>
      <c r="K380" s="114" t="str">
        <f>IF(VLOOKUP(I380,Tabla7[#All],3,FALSE)=0,"",VLOOKUP(I380,Tabla7[#All],3,FALSE))</f>
        <v/>
      </c>
      <c r="L380" s="35" t="s">
        <v>958</v>
      </c>
      <c r="M380" s="35" t="s">
        <v>121</v>
      </c>
      <c r="N380" s="35" t="str" cm="1">
        <f t="array" ref="N380">IFERROR(IF(Tabla8[[#This Row],[P/NP]]="NO PROGRAMADA","",_xlfn.TEXTJOIN(", ",TRUE,_xlfn._xlws.FILTER(Tabla4[[#All],[PIEZA]],ISNUMBER(SEARCH(Tabla4[[#All],[PCLAVE]],Tabla8[[#This Row],[DESCRIPCION DE TRABAJO]])),""))),"")</f>
        <v/>
      </c>
      <c r="O380" s="35" t="str" cm="1">
        <f t="array" ref="O380">_xlfn.TEXTJOIN(", ",TRUE,_xlfn._xlws.FILTER(Tabla28[[#All],[PARTE]],ISNUMBER(SEARCH(Tabla28[[#All],[PCLAVE2]],Tabla8[[#This Row],[DESCRIPCION DE TRABAJO]])),""))</f>
        <v/>
      </c>
      <c r="P380" s="303" t="str">
        <f>IFERROR(LEFT(O380, FIND(",", O380)-1), O380)</f>
        <v/>
      </c>
      <c r="Q380" s="303" t="str">
        <f>IFERROR(IF(ISERROR(FIND(",", O380, FIND(",", O380)+1)), RIGHT(O380, LEN(O380)-FIND(",", O380)-1), MID(O380, FIND(",", O380)+2, FIND(",", O380, FIND(",", O380)+1)-FIND(",", O380)-2)), "")</f>
        <v/>
      </c>
      <c r="R380" s="303" t="str">
        <f>IFERROR(RIGHT(O380, LEN(O380)-FIND(",", O380, FIND(",", O380)+1)-1), "")</f>
        <v/>
      </c>
      <c r="S380" s="35" t="str" cm="1">
        <f t="array" ref="S380">_xlfn.TEXTJOIN(", ",TRUE,_xlfn._xlws.FILTER(Tabla29[[#All],[PARTE]],ISNUMBER(SEARCH(Tabla29[[#All],[PCLAVE3]],Tabla8[[#This Row],[DESCRIPCION DE TRABAJO]])),""))</f>
        <v/>
      </c>
      <c r="T380" s="34" t="str">
        <f>IF(AND(Tabla8[[#This Row],[PIEZA]]="",Tabla8[[#This Row],[PARTE]]=""),"VACIO","OK")</f>
        <v>VACIO</v>
      </c>
      <c r="U380" s="303" t="str">
        <f>+CONCATENATE(WEEKNUM(Tabla8[[#This Row],[FECHA]]),"-",YEAR(Tabla8[[#This Row],[FECHA]]))</f>
        <v>9-2026</v>
      </c>
    </row>
    <row r="381" spans="1:21" ht="15" customHeight="1">
      <c r="A381" s="22">
        <v>46077</v>
      </c>
      <c r="B381" s="16" t="s">
        <v>111</v>
      </c>
      <c r="C381" s="10" t="s">
        <v>23</v>
      </c>
      <c r="D381" s="381" t="s">
        <v>453</v>
      </c>
      <c r="E381" s="381" t="s">
        <v>959</v>
      </c>
      <c r="F381" s="380">
        <f>+MOD(Tabla8[[#This Row],[HR. FIN]]-Tabla8[[#This Row],[HR. INICIO]],1)</f>
        <v>8.3333333333334147E-3</v>
      </c>
      <c r="G381" s="16" t="s">
        <v>169</v>
      </c>
      <c r="H381" s="343" t="str">
        <f>IFERROR(VLOOKUP(G381,DATOS!$M$2:$N$219,2,FALSE),"")</f>
        <v>Maquinaria</v>
      </c>
      <c r="I381" s="115" t="s">
        <v>32</v>
      </c>
      <c r="J381" s="115" t="str">
        <f>+VLOOKUP($I381,Tabla7[#All],2,FALSE)</f>
        <v>PROGRAMADA</v>
      </c>
      <c r="K381" s="114" t="str">
        <f>IF(VLOOKUP(I381,Tabla7[#All],3,FALSE)=0,"",VLOOKUP(I381,Tabla7[#All],3,FALSE))</f>
        <v/>
      </c>
      <c r="L381" s="35" t="s">
        <v>960</v>
      </c>
      <c r="M381" s="35" t="s">
        <v>121</v>
      </c>
      <c r="N381" s="35" t="str" cm="1">
        <f t="array" ref="N381">IFERROR(IF(Tabla8[[#This Row],[P/NP]]="NO PROGRAMADA","",_xlfn.TEXTJOIN(", ",TRUE,_xlfn._xlws.FILTER(Tabla4[[#All],[PIEZA]],ISNUMBER(SEARCH(Tabla4[[#All],[PCLAVE]],Tabla8[[#This Row],[DESCRIPCION DE TRABAJO]])),""))),"")</f>
        <v/>
      </c>
      <c r="O381" s="35" t="str" cm="1">
        <f t="array" ref="O381">_xlfn.TEXTJOIN(", ",TRUE,_xlfn._xlws.FILTER(Tabla28[[#All],[PARTE]],ISNUMBER(SEARCH(Tabla28[[#All],[PCLAVE2]],Tabla8[[#This Row],[DESCRIPCION DE TRABAJO]])),""))</f>
        <v/>
      </c>
      <c r="P381" s="303" t="str">
        <f>IFERROR(LEFT(O381, FIND(",", O381)-1), O381)</f>
        <v/>
      </c>
      <c r="Q381" s="303" t="str">
        <f>IFERROR(IF(ISERROR(FIND(",", O381, FIND(",", O381)+1)), RIGHT(O381, LEN(O381)-FIND(",", O381)-1), MID(O381, FIND(",", O381)+2, FIND(",", O381, FIND(",", O381)+1)-FIND(",", O381)-2)), "")</f>
        <v/>
      </c>
      <c r="R381" s="303" t="str">
        <f>IFERROR(RIGHT(O381, LEN(O381)-FIND(",", O381, FIND(",", O381)+1)-1), "")</f>
        <v/>
      </c>
      <c r="S381" s="35" t="str" cm="1">
        <f t="array" ref="S381">_xlfn.TEXTJOIN(", ",TRUE,_xlfn._xlws.FILTER(Tabla29[[#All],[PARTE]],ISNUMBER(SEARCH(Tabla29[[#All],[PCLAVE3]],Tabla8[[#This Row],[DESCRIPCION DE TRABAJO]])),""))</f>
        <v/>
      </c>
      <c r="T381" s="34" t="str">
        <f>IF(AND(Tabla8[[#This Row],[PIEZA]]="",Tabla8[[#This Row],[PARTE]]=""),"VACIO","OK")</f>
        <v>VACIO</v>
      </c>
      <c r="U381" s="303" t="str">
        <f>+CONCATENATE(WEEKNUM(Tabla8[[#This Row],[FECHA]]),"-",YEAR(Tabla8[[#This Row],[FECHA]]))</f>
        <v>9-2026</v>
      </c>
    </row>
    <row r="382" spans="1:21" ht="15" customHeight="1">
      <c r="A382" s="22">
        <v>46078</v>
      </c>
      <c r="B382" s="16" t="s">
        <v>111</v>
      </c>
      <c r="C382" s="10" t="s">
        <v>23</v>
      </c>
      <c r="D382" s="381">
        <v>0.64930555555555558</v>
      </c>
      <c r="E382" s="381">
        <v>0.72916666666666663</v>
      </c>
      <c r="F382" s="380">
        <f>+MOD(Tabla8[[#This Row],[HR. FIN]]-Tabla8[[#This Row],[HR. INICIO]],1)</f>
        <v>7.9861111111111049E-2</v>
      </c>
      <c r="G382" s="16" t="s">
        <v>31</v>
      </c>
      <c r="H382" s="343" t="str">
        <f>IFERROR(VLOOKUP(G382,DATOS!$M$2:$N$219,2,FALSE),"")</f>
        <v>Maquinaria</v>
      </c>
      <c r="I382" s="115" t="s">
        <v>32</v>
      </c>
      <c r="J382" s="115" t="str">
        <f>+VLOOKUP($I382,Tabla7[#All],2,FALSE)</f>
        <v>PROGRAMADA</v>
      </c>
      <c r="K382" s="114" t="str">
        <f>IF(VLOOKUP(I382,Tabla7[#All],3,FALSE)=0,"",VLOOKUP(I382,Tabla7[#All],3,FALSE))</f>
        <v/>
      </c>
      <c r="L382" s="35" t="s">
        <v>961</v>
      </c>
      <c r="M382" s="35" t="s">
        <v>121</v>
      </c>
      <c r="N382" s="35" t="str" cm="1">
        <f t="array" ref="N382">IFERROR(IF(Tabla8[[#This Row],[P/NP]]="NO PROGRAMADA","",_xlfn.TEXTJOIN(", ",TRUE,_xlfn._xlws.FILTER(Tabla4[[#All],[PIEZA]],ISNUMBER(SEARCH(Tabla4[[#All],[PCLAVE]],Tabla8[[#This Row],[DESCRIPCION DE TRABAJO]])),""))),"")</f>
        <v>Producto</v>
      </c>
      <c r="O382" s="35" t="str" cm="1">
        <f t="array" ref="O382">_xlfn.TEXTJOIN(", ",TRUE,_xlfn._xlws.FILTER(Tabla28[[#All],[PARTE]],ISNUMBER(SEARCH(Tabla28[[#All],[PCLAVE2]],Tabla8[[#This Row],[DESCRIPCION DE TRABAJO]])),""))</f>
        <v/>
      </c>
      <c r="P382" s="303" t="str">
        <f>IFERROR(LEFT(O382, FIND(",", O382)-1), O382)</f>
        <v/>
      </c>
      <c r="Q382" s="303" t="str">
        <f>IFERROR(IF(ISERROR(FIND(",", O382, FIND(",", O382)+1)), RIGHT(O382, LEN(O382)-FIND(",", O382)-1), MID(O382, FIND(",", O382)+2, FIND(",", O382, FIND(",", O382)+1)-FIND(",", O382)-2)), "")</f>
        <v/>
      </c>
      <c r="R382" s="303" t="str">
        <f>IFERROR(RIGHT(O382, LEN(O382)-FIND(",", O382, FIND(",", O382)+1)-1), "")</f>
        <v/>
      </c>
      <c r="S382" s="35" t="str" cm="1">
        <f t="array" ref="S382">_xlfn.TEXTJOIN(", ",TRUE,_xlfn._xlws.FILTER(Tabla29[[#All],[PARTE]],ISNUMBER(SEARCH(Tabla29[[#All],[PCLAVE3]],Tabla8[[#This Row],[DESCRIPCION DE TRABAJO]])),""))</f>
        <v/>
      </c>
      <c r="T382" s="34" t="str">
        <f>IF(AND(Tabla8[[#This Row],[PIEZA]]="",Tabla8[[#This Row],[PARTE]]=""),"VACIO","OK")</f>
        <v>OK</v>
      </c>
      <c r="U382" s="303" t="str">
        <f>+CONCATENATE(WEEKNUM(Tabla8[[#This Row],[FECHA]]),"-",YEAR(Tabla8[[#This Row],[FECHA]]))</f>
        <v>9-2026</v>
      </c>
    </row>
    <row r="383" spans="1:21" ht="15" customHeight="1">
      <c r="A383" s="22">
        <v>46078</v>
      </c>
      <c r="B383" s="16" t="s">
        <v>111</v>
      </c>
      <c r="C383" s="10" t="s">
        <v>23</v>
      </c>
      <c r="D383" s="381">
        <v>0.57291666666666663</v>
      </c>
      <c r="E383" s="381">
        <v>0.625</v>
      </c>
      <c r="F383" s="380">
        <f>+MOD(Tabla8[[#This Row],[HR. FIN]]-Tabla8[[#This Row],[HR. INICIO]],1)</f>
        <v>5.208333333333337E-2</v>
      </c>
      <c r="G383" s="16" t="s">
        <v>31</v>
      </c>
      <c r="H383" s="343" t="str">
        <f>IFERROR(VLOOKUP(G383,DATOS!$M$2:$N$219,2,FALSE),"")</f>
        <v>Maquinaria</v>
      </c>
      <c r="I383" s="115" t="s">
        <v>32</v>
      </c>
      <c r="J383" s="115" t="str">
        <f>+VLOOKUP($I383,Tabla7[#All],2,FALSE)</f>
        <v>PROGRAMADA</v>
      </c>
      <c r="K383" s="114" t="str">
        <f>IF(VLOOKUP(I383,Tabla7[#All],3,FALSE)=0,"",VLOOKUP(I383,Tabla7[#All],3,FALSE))</f>
        <v/>
      </c>
      <c r="L383" s="35" t="s">
        <v>962</v>
      </c>
      <c r="M383" s="35" t="s">
        <v>121</v>
      </c>
      <c r="N383" s="35" t="str" cm="1">
        <f t="array" ref="N383">IFERROR(IF(Tabla8[[#This Row],[P/NP]]="NO PROGRAMADA","",_xlfn.TEXTJOIN(", ",TRUE,_xlfn._xlws.FILTER(Tabla4[[#All],[PIEZA]],ISNUMBER(SEARCH(Tabla4[[#All],[PCLAVE]],Tabla8[[#This Row],[DESCRIPCION DE TRABAJO]])),""))),"")</f>
        <v>Banda, Guias, Producto</v>
      </c>
      <c r="O383" s="35" t="str" cm="1">
        <f t="array" ref="O383">_xlfn.TEXTJOIN(", ",TRUE,_xlfn._xlws.FILTER(Tabla28[[#All],[PARTE]],ISNUMBER(SEARCH(Tabla28[[#All],[PCLAVE2]],Tabla8[[#This Row],[DESCRIPCION DE TRABAJO]])),""))</f>
        <v/>
      </c>
      <c r="P383" s="303" t="str">
        <f>IFERROR(LEFT(O383, FIND(",", O383)-1), O383)</f>
        <v/>
      </c>
      <c r="Q383" s="303" t="str">
        <f>IFERROR(IF(ISERROR(FIND(",", O383, FIND(",", O383)+1)), RIGHT(O383, LEN(O383)-FIND(",", O383)-1), MID(O383, FIND(",", O383)+2, FIND(",", O383, FIND(",", O383)+1)-FIND(",", O383)-2)), "")</f>
        <v/>
      </c>
      <c r="R383" s="303" t="str">
        <f>IFERROR(RIGHT(O383, LEN(O383)-FIND(",", O383, FIND(",", O383)+1)-1), "")</f>
        <v/>
      </c>
      <c r="S383" s="35" t="str" cm="1">
        <f t="array" ref="S383">_xlfn.TEXTJOIN(", ",TRUE,_xlfn._xlws.FILTER(Tabla29[[#All],[PARTE]],ISNUMBER(SEARCH(Tabla29[[#All],[PCLAVE3]],Tabla8[[#This Row],[DESCRIPCION DE TRABAJO]])),""))</f>
        <v>Cambio De Formato</v>
      </c>
      <c r="T383" s="34" t="str">
        <f>IF(AND(Tabla8[[#This Row],[PIEZA]]="",Tabla8[[#This Row],[PARTE]]=""),"VACIO","OK")</f>
        <v>OK</v>
      </c>
      <c r="U383" s="303" t="str">
        <f>+CONCATENATE(WEEKNUM(Tabla8[[#This Row],[FECHA]]),"-",YEAR(Tabla8[[#This Row],[FECHA]]))</f>
        <v>9-2026</v>
      </c>
    </row>
    <row r="384" spans="1:21" ht="15" customHeight="1">
      <c r="A384" s="22">
        <v>46078</v>
      </c>
      <c r="B384" s="16" t="s">
        <v>131</v>
      </c>
      <c r="C384" s="10" t="s">
        <v>39</v>
      </c>
      <c r="D384" s="381">
        <v>4.4444444444444446E-2</v>
      </c>
      <c r="E384" s="381">
        <v>8.6805555555555552E-2</v>
      </c>
      <c r="F384" s="380">
        <f>+MOD(Tabla8[[#This Row],[HR. FIN]]-Tabla8[[#This Row],[HR. INICIO]],1)</f>
        <v>4.2361111111111106E-2</v>
      </c>
      <c r="G384" s="16" t="s">
        <v>119</v>
      </c>
      <c r="H384" s="343" t="str">
        <f>IFERROR(VLOOKUP(G384,DATOS!$M$2:$N$219,2,FALSE),"")</f>
        <v>Maquinaria</v>
      </c>
      <c r="I384" s="115" t="s">
        <v>32</v>
      </c>
      <c r="J384" s="115" t="str">
        <f>+VLOOKUP($I384,Tabla7[#All],2,FALSE)</f>
        <v>PROGRAMADA</v>
      </c>
      <c r="K384" s="114" t="str">
        <f>IF(VLOOKUP(I384,Tabla7[#All],3,FALSE)=0,"",VLOOKUP(I384,Tabla7[#All],3,FALSE))</f>
        <v/>
      </c>
      <c r="L384" s="35" t="s">
        <v>963</v>
      </c>
      <c r="M384" s="35" t="s">
        <v>121</v>
      </c>
      <c r="N384" s="35" t="str" cm="1">
        <f t="array" ref="N384">IFERROR(IF(Tabla8[[#This Row],[P/NP]]="NO PROGRAMADA","",_xlfn.TEXTJOIN(", ",TRUE,_xlfn._xlws.FILTER(Tabla4[[#All],[PIEZA]],ISNUMBER(SEARCH(Tabla4[[#All],[PCLAVE]],Tabla8[[#This Row],[DESCRIPCION DE TRABAJO]])),""))),"")</f>
        <v/>
      </c>
      <c r="O384" s="35" t="str" cm="1">
        <f t="array" ref="O384">_xlfn.TEXTJOIN(", ",TRUE,_xlfn._xlws.FILTER(Tabla28[[#All],[PARTE]],ISNUMBER(SEARCH(Tabla28[[#All],[PCLAVE2]],Tabla8[[#This Row],[DESCRIPCION DE TRABAJO]])),""))</f>
        <v>Mds</v>
      </c>
      <c r="P384" s="303" t="str">
        <f>IFERROR(LEFT(O384, FIND(",", O384)-1), O384)</f>
        <v>Mds</v>
      </c>
      <c r="Q384" s="303" t="str">
        <f>IFERROR(IF(ISERROR(FIND(",", O384, FIND(",", O384)+1)), RIGHT(O384, LEN(O384)-FIND(",", O384)-1), MID(O384, FIND(",", O384)+2, FIND(",", O384, FIND(",", O384)+1)-FIND(",", O384)-2)), "")</f>
        <v/>
      </c>
      <c r="R384" s="303" t="str">
        <f>IFERROR(RIGHT(O384, LEN(O384)-FIND(",", O384, FIND(",", O384)+1)-1), "")</f>
        <v/>
      </c>
      <c r="S384" s="35" t="str" cm="1">
        <f t="array" ref="S384">_xlfn.TEXTJOIN(", ",TRUE,_xlfn._xlws.FILTER(Tabla29[[#All],[PARTE]],ISNUMBER(SEARCH(Tabla29[[#All],[PCLAVE3]],Tabla8[[#This Row],[DESCRIPCION DE TRABAJO]])),""))</f>
        <v/>
      </c>
      <c r="T384" s="34" t="str">
        <f>IF(AND(Tabla8[[#This Row],[PIEZA]]="",Tabla8[[#This Row],[PARTE]]=""),"VACIO","OK")</f>
        <v>OK</v>
      </c>
      <c r="U384" s="303" t="str">
        <f>+CONCATENATE(WEEKNUM(Tabla8[[#This Row],[FECHA]]),"-",YEAR(Tabla8[[#This Row],[FECHA]]))</f>
        <v>9-2026</v>
      </c>
    </row>
    <row r="385" spans="1:21" ht="15" customHeight="1">
      <c r="A385" s="22">
        <v>46078</v>
      </c>
      <c r="B385" s="16" t="s">
        <v>179</v>
      </c>
      <c r="C385" s="10" t="s">
        <v>36</v>
      </c>
      <c r="D385" s="381">
        <v>0.54166666666666663</v>
      </c>
      <c r="E385" s="381">
        <v>0.58333333333333337</v>
      </c>
      <c r="F385" s="380">
        <f>+MOD(Tabla8[[#This Row],[HR. FIN]]-Tabla8[[#This Row],[HR. INICIO]],1)</f>
        <v>4.1666666666666741E-2</v>
      </c>
      <c r="G385" s="16" t="s">
        <v>31</v>
      </c>
      <c r="H385" s="343" t="str">
        <f>IFERROR(VLOOKUP(G385,DATOS!$M$2:$N$219,2,FALSE),"")</f>
        <v>Maquinaria</v>
      </c>
      <c r="I385" s="115" t="s">
        <v>32</v>
      </c>
      <c r="J385" s="115" t="str">
        <f>+VLOOKUP($I385,Tabla7[#All],2,FALSE)</f>
        <v>PROGRAMADA</v>
      </c>
      <c r="K385" s="114" t="str">
        <f>IF(VLOOKUP(I385,Tabla7[#All],3,FALSE)=0,"",VLOOKUP(I385,Tabla7[#All],3,FALSE))</f>
        <v/>
      </c>
      <c r="L385" s="35" t="s">
        <v>964</v>
      </c>
      <c r="M385" s="35" t="s">
        <v>121</v>
      </c>
      <c r="N385" s="35" t="str" cm="1">
        <f t="array" ref="N385">IFERROR(IF(Tabla8[[#This Row],[P/NP]]="NO PROGRAMADA","",_xlfn.TEXTJOIN(", ",TRUE,_xlfn._xlws.FILTER(Tabla4[[#All],[PIEZA]],ISNUMBER(SEARCH(Tabla4[[#All],[PCLAVE]],Tabla8[[#This Row],[DESCRIPCION DE TRABAJO]])),""))),"")</f>
        <v>Producto</v>
      </c>
      <c r="O385" s="35" t="str" cm="1">
        <f t="array" ref="O385">_xlfn.TEXTJOIN(", ",TRUE,_xlfn._xlws.FILTER(Tabla28[[#All],[PARTE]],ISNUMBER(SEARCH(Tabla28[[#All],[PCLAVE2]],Tabla8[[#This Row],[DESCRIPCION DE TRABAJO]])),""))</f>
        <v/>
      </c>
      <c r="P385" s="303" t="str">
        <f>IFERROR(LEFT(O385, FIND(",", O385)-1), O385)</f>
        <v/>
      </c>
      <c r="Q385" s="303" t="str">
        <f>IFERROR(IF(ISERROR(FIND(",", O385, FIND(",", O385)+1)), RIGHT(O385, LEN(O385)-FIND(",", O385)-1), MID(O385, FIND(",", O385)+2, FIND(",", O385, FIND(",", O385)+1)-FIND(",", O385)-2)), "")</f>
        <v/>
      </c>
      <c r="R385" s="303" t="str">
        <f>IFERROR(RIGHT(O385, LEN(O385)-FIND(",", O385, FIND(",", O385)+1)-1), "")</f>
        <v/>
      </c>
      <c r="S385" s="35" t="str" cm="1">
        <f t="array" ref="S385">_xlfn.TEXTJOIN(", ",TRUE,_xlfn._xlws.FILTER(Tabla29[[#All],[PARTE]],ISNUMBER(SEARCH(Tabla29[[#All],[PCLAVE3]],Tabla8[[#This Row],[DESCRIPCION DE TRABAJO]])),""))</f>
        <v>Cambio De Formato</v>
      </c>
      <c r="T385" s="34" t="str">
        <f>IF(AND(Tabla8[[#This Row],[PIEZA]]="",Tabla8[[#This Row],[PARTE]]=""),"VACIO","OK")</f>
        <v>OK</v>
      </c>
      <c r="U385" s="303" t="str">
        <f>+CONCATENATE(WEEKNUM(Tabla8[[#This Row],[FECHA]]),"-",YEAR(Tabla8[[#This Row],[FECHA]]))</f>
        <v>9-2026</v>
      </c>
    </row>
    <row r="386" spans="1:21" ht="15" customHeight="1">
      <c r="A386" s="22">
        <v>46078</v>
      </c>
      <c r="B386" s="16" t="s">
        <v>111</v>
      </c>
      <c r="C386" s="10" t="s">
        <v>23</v>
      </c>
      <c r="D386" s="381">
        <v>0.80208333333333337</v>
      </c>
      <c r="E386" s="381">
        <v>0.83333333333333337</v>
      </c>
      <c r="F386" s="380">
        <f>+MOD(Tabla8[[#This Row],[HR. FIN]]-Tabla8[[#This Row],[HR. INICIO]],1)</f>
        <v>3.125E-2</v>
      </c>
      <c r="G386" s="16" t="s">
        <v>965</v>
      </c>
      <c r="H386" s="343" t="str">
        <f>IFERROR(VLOOKUP(G386,DATOS!$M$2:$N$219,2,FALSE),"")</f>
        <v>Maquinaria</v>
      </c>
      <c r="I386" s="115" t="s">
        <v>186</v>
      </c>
      <c r="J386" s="115" t="str">
        <f>+VLOOKUP($I386,Tabla7[#All],2,FALSE)</f>
        <v>NO PROGRAMADA</v>
      </c>
      <c r="K386" s="114" t="s">
        <v>93</v>
      </c>
      <c r="L386" s="35" t="s">
        <v>966</v>
      </c>
      <c r="M386" s="35" t="s">
        <v>967</v>
      </c>
      <c r="N386" s="35" t="str" cm="1">
        <f t="array" ref="N386">IFERROR(IF(Tabla8[[#This Row],[P/NP]]="NO PROGRAMADA","",_xlfn.TEXTJOIN(", ",TRUE,_xlfn._xlws.FILTER(Tabla4[[#All],[PIEZA]],ISNUMBER(SEARCH(Tabla4[[#All],[PCLAVE]],Tabla8[[#This Row],[DESCRIPCION DE TRABAJO]])),""))),"")</f>
        <v/>
      </c>
      <c r="O386" s="35" t="str" cm="1">
        <f t="array" ref="O386">_xlfn.TEXTJOIN(", ",TRUE,_xlfn._xlws.FILTER(Tabla28[[#All],[PARTE]],ISNUMBER(SEARCH(Tabla28[[#All],[PCLAVE2]],Tabla8[[#This Row],[DESCRIPCION DE TRABAJO]])),""))</f>
        <v/>
      </c>
      <c r="P386" s="303" t="str">
        <f>IFERROR(LEFT(O386, FIND(",", O386)-1), O386)</f>
        <v/>
      </c>
      <c r="Q386" s="303" t="str">
        <f>IFERROR(IF(ISERROR(FIND(",", O386, FIND(",", O386)+1)), RIGHT(O386, LEN(O386)-FIND(",", O386)-1), MID(O386, FIND(",", O386)+2, FIND(",", O386, FIND(",", O386)+1)-FIND(",", O386)-2)), "")</f>
        <v/>
      </c>
      <c r="R386" s="303" t="str">
        <f>IFERROR(RIGHT(O386, LEN(O386)-FIND(",", O386, FIND(",", O386)+1)-1), "")</f>
        <v/>
      </c>
      <c r="S386" s="35" t="str" cm="1">
        <f t="array" ref="S386">_xlfn.TEXTJOIN(", ",TRUE,_xlfn._xlws.FILTER(Tabla29[[#All],[PARTE]],ISNUMBER(SEARCH(Tabla29[[#All],[PCLAVE3]],Tabla8[[#This Row],[DESCRIPCION DE TRABAJO]])),""))</f>
        <v/>
      </c>
      <c r="T386" s="34" t="str">
        <f>IF(AND(Tabla8[[#This Row],[PIEZA]]="",Tabla8[[#This Row],[PARTE]]=""),"VACIO","OK")</f>
        <v>VACIO</v>
      </c>
      <c r="U386" s="303" t="str">
        <f>+CONCATENATE(WEEKNUM(Tabla8[[#This Row],[FECHA]]),"-",YEAR(Tabla8[[#This Row],[FECHA]]))</f>
        <v>9-2026</v>
      </c>
    </row>
    <row r="387" spans="1:21" ht="15" customHeight="1">
      <c r="A387" s="22">
        <v>46078</v>
      </c>
      <c r="B387" s="16" t="s">
        <v>111</v>
      </c>
      <c r="C387" s="10" t="s">
        <v>23</v>
      </c>
      <c r="D387" s="381">
        <v>0.84375</v>
      </c>
      <c r="E387" s="381">
        <v>0.875</v>
      </c>
      <c r="F387" s="380">
        <f>+MOD(Tabla8[[#This Row],[HR. FIN]]-Tabla8[[#This Row],[HR. INICIO]],1)</f>
        <v>3.125E-2</v>
      </c>
      <c r="G387" s="16" t="s">
        <v>182</v>
      </c>
      <c r="H387" s="343" t="str">
        <f>IFERROR(VLOOKUP(G387,DATOS!$M$2:$N$219,2,FALSE),"")</f>
        <v>Maquinaria</v>
      </c>
      <c r="I387" s="115" t="s">
        <v>32</v>
      </c>
      <c r="J387" s="115" t="str">
        <f>+VLOOKUP($I387,Tabla7[#All],2,FALSE)</f>
        <v>PROGRAMADA</v>
      </c>
      <c r="K387" s="114" t="str">
        <f>IF(VLOOKUP(I387,Tabla7[#All],3,FALSE)=0,"",VLOOKUP(I387,Tabla7[#All],3,FALSE))</f>
        <v/>
      </c>
      <c r="L387" s="35" t="s">
        <v>968</v>
      </c>
      <c r="M387" s="35" t="s">
        <v>969</v>
      </c>
      <c r="N387" s="35" t="str" cm="1">
        <f t="array" ref="N387">IFERROR(IF(Tabla8[[#This Row],[P/NP]]="NO PROGRAMADA","",_xlfn.TEXTJOIN(", ",TRUE,_xlfn._xlws.FILTER(Tabla4[[#All],[PIEZA]],ISNUMBER(SEARCH(Tabla4[[#All],[PCLAVE]],Tabla8[[#This Row],[DESCRIPCION DE TRABAJO]])),""))),"")</f>
        <v/>
      </c>
      <c r="O387" s="35" t="str" cm="1">
        <f t="array" ref="O387">_xlfn.TEXTJOIN(", ",TRUE,_xlfn._xlws.FILTER(Tabla28[[#All],[PARTE]],ISNUMBER(SEARCH(Tabla28[[#All],[PCLAVE2]],Tabla8[[#This Row],[DESCRIPCION DE TRABAJO]])),""))</f>
        <v/>
      </c>
      <c r="P387" s="303" t="str">
        <f>IFERROR(LEFT(O387, FIND(",", O387)-1), O387)</f>
        <v/>
      </c>
      <c r="Q387" s="303" t="str">
        <f>IFERROR(IF(ISERROR(FIND(",", O387, FIND(",", O387)+1)), RIGHT(O387, LEN(O387)-FIND(",", O387)-1), MID(O387, FIND(",", O387)+2, FIND(",", O387, FIND(",", O387)+1)-FIND(",", O387)-2)), "")</f>
        <v/>
      </c>
      <c r="R387" s="303" t="str">
        <f>IFERROR(RIGHT(O387, LEN(O387)-FIND(",", O387, FIND(",", O387)+1)-1), "")</f>
        <v/>
      </c>
      <c r="S387" s="35" t="str" cm="1">
        <f t="array" ref="S387">_xlfn.TEXTJOIN(", ",TRUE,_xlfn._xlws.FILTER(Tabla29[[#All],[PARTE]],ISNUMBER(SEARCH(Tabla29[[#All],[PCLAVE3]],Tabla8[[#This Row],[DESCRIPCION DE TRABAJO]])),""))</f>
        <v>Cambio De Formato</v>
      </c>
      <c r="T387" s="34" t="str">
        <f>IF(AND(Tabla8[[#This Row],[PIEZA]]="",Tabla8[[#This Row],[PARTE]]=""),"VACIO","OK")</f>
        <v>VACIO</v>
      </c>
      <c r="U387" s="303" t="str">
        <f>+CONCATENATE(WEEKNUM(Tabla8[[#This Row],[FECHA]]),"-",YEAR(Tabla8[[#This Row],[FECHA]]))</f>
        <v>9-2026</v>
      </c>
    </row>
    <row r="388" spans="1:21" ht="15" customHeight="1">
      <c r="A388" s="22">
        <v>46078</v>
      </c>
      <c r="B388" s="16" t="s">
        <v>131</v>
      </c>
      <c r="C388" s="10" t="s">
        <v>39</v>
      </c>
      <c r="D388" s="381">
        <v>0.91319444444444442</v>
      </c>
      <c r="E388" s="381">
        <v>0.94444444444444442</v>
      </c>
      <c r="F388" s="380">
        <f>+MOD(Tabla8[[#This Row],[HR. FIN]]-Tabla8[[#This Row],[HR. INICIO]],1)</f>
        <v>3.125E-2</v>
      </c>
      <c r="G388" s="16" t="s">
        <v>140</v>
      </c>
      <c r="H388" s="343" t="str">
        <f>IFERROR(VLOOKUP(G388,DATOS!$M$2:$N$219,2,FALSE),"")</f>
        <v>Maquinaria</v>
      </c>
      <c r="I388" s="115" t="s">
        <v>57</v>
      </c>
      <c r="J388" s="115" t="str">
        <f>+VLOOKUP($I388,Tabla7[#All],2,FALSE)</f>
        <v>NO PROGRAMADA</v>
      </c>
      <c r="K388" s="114" t="str">
        <f>IF(VLOOKUP(I388,Tabla7[#All],3,FALSE)=0,"",VLOOKUP(I388,Tabla7[#All],3,FALSE))</f>
        <v>MECÁNICA</v>
      </c>
      <c r="L388" s="35" t="s">
        <v>970</v>
      </c>
      <c r="M388" s="35" t="s">
        <v>971</v>
      </c>
      <c r="N388" s="35" t="str" cm="1">
        <f t="array" ref="N388">IFERROR(IF(Tabla8[[#This Row],[P/NP]]="NO PROGRAMADA","",_xlfn.TEXTJOIN(", ",TRUE,_xlfn._xlws.FILTER(Tabla4[[#All],[PIEZA]],ISNUMBER(SEARCH(Tabla4[[#All],[PCLAVE]],Tabla8[[#This Row],[DESCRIPCION DE TRABAJO]])),""))),"")</f>
        <v/>
      </c>
      <c r="O388" s="35" t="str" cm="1">
        <f t="array" ref="O388">_xlfn.TEXTJOIN(", ",TRUE,_xlfn._xlws.FILTER(Tabla28[[#All],[PARTE]],ISNUMBER(SEARCH(Tabla28[[#All],[PCLAVE2]],Tabla8[[#This Row],[DESCRIPCION DE TRABAJO]])),""))</f>
        <v/>
      </c>
      <c r="P388" s="303" t="str">
        <f>IFERROR(LEFT(O388, FIND(",", O388)-1), O388)</f>
        <v/>
      </c>
      <c r="Q388" s="303" t="str">
        <f>IFERROR(IF(ISERROR(FIND(",", O388, FIND(",", O388)+1)), RIGHT(O388, LEN(O388)-FIND(",", O388)-1), MID(O388, FIND(",", O388)+2, FIND(",", O388, FIND(",", O388)+1)-FIND(",", O388)-2)), "")</f>
        <v/>
      </c>
      <c r="R388" s="303" t="str">
        <f>IFERROR(RIGHT(O388, LEN(O388)-FIND(",", O388, FIND(",", O388)+1)-1), "")</f>
        <v/>
      </c>
      <c r="S388" s="35" t="str" cm="1">
        <f t="array" ref="S388">_xlfn.TEXTJOIN(", ",TRUE,_xlfn._xlws.FILTER(Tabla29[[#All],[PARTE]],ISNUMBER(SEARCH(Tabla29[[#All],[PCLAVE3]],Tabla8[[#This Row],[DESCRIPCION DE TRABAJO]])),""))</f>
        <v>Soltura</v>
      </c>
      <c r="T388" s="34" t="str">
        <f>IF(AND(Tabla8[[#This Row],[PIEZA]]="",Tabla8[[#This Row],[PARTE]]=""),"VACIO","OK")</f>
        <v>VACIO</v>
      </c>
      <c r="U388" s="303" t="str">
        <f>+CONCATENATE(WEEKNUM(Tabla8[[#This Row],[FECHA]]),"-",YEAR(Tabla8[[#This Row],[FECHA]]))</f>
        <v>9-2026</v>
      </c>
    </row>
    <row r="389" spans="1:21" ht="15" customHeight="1">
      <c r="A389" s="22">
        <v>46078</v>
      </c>
      <c r="B389" s="16" t="s">
        <v>131</v>
      </c>
      <c r="C389" s="10" t="s">
        <v>39</v>
      </c>
      <c r="D389" s="381">
        <v>0.19791666666666666</v>
      </c>
      <c r="E389" s="381">
        <v>0.22916666666666666</v>
      </c>
      <c r="F389" s="380">
        <f>+MOD(Tabla8[[#This Row],[HR. FIN]]-Tabla8[[#This Row],[HR. INICIO]],1)</f>
        <v>3.125E-2</v>
      </c>
      <c r="G389" s="16" t="s">
        <v>972</v>
      </c>
      <c r="H389" s="343" t="str">
        <f>IFERROR(VLOOKUP(G389,DATOS!$M$2:$N$219,2,FALSE),"")</f>
        <v>Maquinaria</v>
      </c>
      <c r="I389" s="115" t="s">
        <v>43</v>
      </c>
      <c r="J389" s="115" t="s">
        <v>92</v>
      </c>
      <c r="K389" s="114" t="s">
        <v>148</v>
      </c>
      <c r="L389" s="35" t="s">
        <v>973</v>
      </c>
      <c r="M389" s="35" t="s">
        <v>974</v>
      </c>
      <c r="N389" s="35" t="str" cm="1">
        <f t="array" ref="N389">IFERROR(IF(Tabla8[[#This Row],[P/NP]]="NO PROGRAMADA","",_xlfn.TEXTJOIN(", ",TRUE,_xlfn._xlws.FILTER(Tabla4[[#All],[PIEZA]],ISNUMBER(SEARCH(Tabla4[[#All],[PCLAVE]],Tabla8[[#This Row],[DESCRIPCION DE TRABAJO]])),""))),"")</f>
        <v/>
      </c>
      <c r="O389" s="35" t="str" cm="1">
        <f t="array" ref="O389">_xlfn.TEXTJOIN(", ",TRUE,_xlfn._xlws.FILTER(Tabla28[[#All],[PARTE]],ISNUMBER(SEARCH(Tabla28[[#All],[PCLAVE2]],Tabla8[[#This Row],[DESCRIPCION DE TRABAJO]])),""))</f>
        <v/>
      </c>
      <c r="P389" s="303" t="str">
        <f>IFERROR(LEFT(O389, FIND(",", O389)-1), O389)</f>
        <v/>
      </c>
      <c r="Q389" s="303" t="str">
        <f>IFERROR(IF(ISERROR(FIND(",", O389, FIND(",", O389)+1)), RIGHT(O389, LEN(O389)-FIND(",", O389)-1), MID(O389, FIND(",", O389)+2, FIND(",", O389, FIND(",", O389)+1)-FIND(",", O389)-2)), "")</f>
        <v/>
      </c>
      <c r="R389" s="303" t="str">
        <f>IFERROR(RIGHT(O389, LEN(O389)-FIND(",", O389, FIND(",", O389)+1)-1), "")</f>
        <v/>
      </c>
      <c r="S389" s="35" t="str" cm="1">
        <f t="array" ref="S389">_xlfn.TEXTJOIN(", ",TRUE,_xlfn._xlws.FILTER(Tabla29[[#All],[PARTE]],ISNUMBER(SEARCH(Tabla29[[#All],[PCLAVE3]],Tabla8[[#This Row],[DESCRIPCION DE TRABAJO]])),""))</f>
        <v>No Enciende</v>
      </c>
      <c r="T389" s="34" t="str">
        <f>IF(AND(Tabla8[[#This Row],[PIEZA]]="",Tabla8[[#This Row],[PARTE]]=""),"VACIO","OK")</f>
        <v>VACIO</v>
      </c>
      <c r="U389" s="303" t="str">
        <f>+CONCATENATE(WEEKNUM(Tabla8[[#This Row],[FECHA]]),"-",YEAR(Tabla8[[#This Row],[FECHA]]))</f>
        <v>9-2026</v>
      </c>
    </row>
    <row r="390" spans="1:21" ht="15" customHeight="1">
      <c r="A390" s="22">
        <v>46078</v>
      </c>
      <c r="B390" s="16" t="s">
        <v>179</v>
      </c>
      <c r="C390" s="10" t="s">
        <v>36</v>
      </c>
      <c r="D390" s="381">
        <v>0.25486111111111109</v>
      </c>
      <c r="E390" s="381">
        <v>0.27777777777777779</v>
      </c>
      <c r="F390" s="380">
        <f>+MOD(Tabla8[[#This Row],[HR. FIN]]-Tabla8[[#This Row],[HR. INICIO]],1)</f>
        <v>2.2916666666666696E-2</v>
      </c>
      <c r="G390" s="16" t="s">
        <v>42</v>
      </c>
      <c r="H390" s="343" t="str">
        <f>IFERROR(VLOOKUP(G390,DATOS!$M$2:$N$219,2,FALSE),"")</f>
        <v>Maquinaria</v>
      </c>
      <c r="I390" s="115" t="s">
        <v>57</v>
      </c>
      <c r="J390" s="115" t="str">
        <f>+VLOOKUP($I390,Tabla7[#All],2,FALSE)</f>
        <v>NO PROGRAMADA</v>
      </c>
      <c r="K390" s="114" t="str">
        <f>IF(VLOOKUP(I390,Tabla7[#All],3,FALSE)=0,"",VLOOKUP(I390,Tabla7[#All],3,FALSE))</f>
        <v>MECÁNICA</v>
      </c>
      <c r="L390" s="35" t="s">
        <v>975</v>
      </c>
      <c r="M390" s="35" t="s">
        <v>976</v>
      </c>
      <c r="N390" s="35" t="str" cm="1">
        <f t="array" ref="N390">IFERROR(IF(Tabla8[[#This Row],[P/NP]]="NO PROGRAMADA","",_xlfn.TEXTJOIN(", ",TRUE,_xlfn._xlws.FILTER(Tabla4[[#All],[PIEZA]],ISNUMBER(SEARCH(Tabla4[[#All],[PCLAVE]],Tabla8[[#This Row],[DESCRIPCION DE TRABAJO]])),""))),"")</f>
        <v/>
      </c>
      <c r="O390" s="35" t="str" cm="1">
        <f t="array" ref="O390">_xlfn.TEXTJOIN(", ",TRUE,_xlfn._xlws.FILTER(Tabla28[[#All],[PARTE]],ISNUMBER(SEARCH(Tabla28[[#All],[PCLAVE2]],Tabla8[[#This Row],[DESCRIPCION DE TRABAJO]])),""))</f>
        <v/>
      </c>
      <c r="P390" s="303" t="str">
        <f>IFERROR(LEFT(O390, FIND(",", O390)-1), O390)</f>
        <v/>
      </c>
      <c r="Q390" s="303" t="str">
        <f>IFERROR(IF(ISERROR(FIND(",", O390, FIND(",", O390)+1)), RIGHT(O390, LEN(O390)-FIND(",", O390)-1), MID(O390, FIND(",", O390)+2, FIND(",", O390, FIND(",", O390)+1)-FIND(",", O390)-2)), "")</f>
        <v/>
      </c>
      <c r="R390" s="303" t="str">
        <f>IFERROR(RIGHT(O390, LEN(O390)-FIND(",", O390, FIND(",", O390)+1)-1), "")</f>
        <v/>
      </c>
      <c r="S390" s="35" t="str" cm="1">
        <f t="array" ref="S390">_xlfn.TEXTJOIN(", ",TRUE,_xlfn._xlws.FILTER(Tabla29[[#All],[PARTE]],ISNUMBER(SEARCH(Tabla29[[#All],[PCLAVE3]],Tabla8[[#This Row],[DESCRIPCION DE TRABAJO]])),""))</f>
        <v>Ruido, Soltura</v>
      </c>
      <c r="T390" s="34" t="str">
        <f>IF(AND(Tabla8[[#This Row],[PIEZA]]="",Tabla8[[#This Row],[PARTE]]=""),"VACIO","OK")</f>
        <v>VACIO</v>
      </c>
      <c r="U390" s="303" t="str">
        <f>+CONCATENATE(WEEKNUM(Tabla8[[#This Row],[FECHA]]),"-",YEAR(Tabla8[[#This Row],[FECHA]]))</f>
        <v>9-2026</v>
      </c>
    </row>
    <row r="391" spans="1:21" ht="15" customHeight="1">
      <c r="A391" s="22">
        <v>46078</v>
      </c>
      <c r="B391" s="16" t="s">
        <v>179</v>
      </c>
      <c r="C391" s="10" t="s">
        <v>36</v>
      </c>
      <c r="D391" s="381">
        <v>0.36805555555555558</v>
      </c>
      <c r="E391" s="381">
        <v>0.3888888888888889</v>
      </c>
      <c r="F391" s="380">
        <f>+MOD(Tabla8[[#This Row],[HR. FIN]]-Tabla8[[#This Row],[HR. INICIO]],1)</f>
        <v>2.0833333333333315E-2</v>
      </c>
      <c r="G391" s="16" t="s">
        <v>977</v>
      </c>
      <c r="H391" s="343" t="str">
        <f>IFERROR(VLOOKUP(G391,DATOS!$M$2:$N$219,2,FALSE),"")</f>
        <v>Maquinaria</v>
      </c>
      <c r="I391" s="115" t="s">
        <v>57</v>
      </c>
      <c r="J391" s="115" t="str">
        <f>+VLOOKUP($I391,Tabla7[#All],2,FALSE)</f>
        <v>NO PROGRAMADA</v>
      </c>
      <c r="K391" s="114" t="str">
        <f>IF(VLOOKUP(I391,Tabla7[#All],3,FALSE)=0,"",VLOOKUP(I391,Tabla7[#All],3,FALSE))</f>
        <v>MECÁNICA</v>
      </c>
      <c r="L391" s="35" t="s">
        <v>978</v>
      </c>
      <c r="M391" s="35" t="s">
        <v>979</v>
      </c>
      <c r="N391" s="35" t="str" cm="1">
        <f t="array" ref="N391">IFERROR(IF(Tabla8[[#This Row],[P/NP]]="NO PROGRAMADA","",_xlfn.TEXTJOIN(", ",TRUE,_xlfn._xlws.FILTER(Tabla4[[#All],[PIEZA]],ISNUMBER(SEARCH(Tabla4[[#All],[PCLAVE]],Tabla8[[#This Row],[DESCRIPCION DE TRABAJO]])),""))),"")</f>
        <v/>
      </c>
      <c r="O391" s="35" t="str" cm="1">
        <f t="array" ref="O391">_xlfn.TEXTJOIN(", ",TRUE,_xlfn._xlws.FILTER(Tabla28[[#All],[PARTE]],ISNUMBER(SEARCH(Tabla28[[#All],[PCLAVE2]],Tabla8[[#This Row],[DESCRIPCION DE TRABAJO]])),""))</f>
        <v>Tanque</v>
      </c>
      <c r="P391" s="303" t="str">
        <f>IFERROR(LEFT(O391, FIND(",", O391)-1), O391)</f>
        <v>Tanque</v>
      </c>
      <c r="Q391" s="303" t="str">
        <f>IFERROR(IF(ISERROR(FIND(",", O391, FIND(",", O391)+1)), RIGHT(O391, LEN(O391)-FIND(",", O391)-1), MID(O391, FIND(",", O391)+2, FIND(",", O391, FIND(",", O391)+1)-FIND(",", O391)-2)), "")</f>
        <v/>
      </c>
      <c r="R391" s="303" t="str">
        <f>IFERROR(RIGHT(O391, LEN(O391)-FIND(",", O391, FIND(",", O391)+1)-1), "")</f>
        <v/>
      </c>
      <c r="S391" s="35" t="str" cm="1">
        <f t="array" ref="S391">_xlfn.TEXTJOIN(", ",TRUE,_xlfn._xlws.FILTER(Tabla29[[#All],[PARTE]],ISNUMBER(SEARCH(Tabla29[[#All],[PCLAVE3]],Tabla8[[#This Row],[DESCRIPCION DE TRABAJO]])),""))</f>
        <v>Rotura, Ruido</v>
      </c>
      <c r="T391" s="34" t="str">
        <f>IF(AND(Tabla8[[#This Row],[PIEZA]]="",Tabla8[[#This Row],[PARTE]]=""),"VACIO","OK")</f>
        <v>OK</v>
      </c>
      <c r="U391" s="303" t="str">
        <f>+CONCATENATE(WEEKNUM(Tabla8[[#This Row],[FECHA]]),"-",YEAR(Tabla8[[#This Row],[FECHA]]))</f>
        <v>9-2026</v>
      </c>
    </row>
    <row r="392" spans="1:21" ht="15" customHeight="1">
      <c r="A392" s="22">
        <v>46078</v>
      </c>
      <c r="B392" s="16" t="s">
        <v>179</v>
      </c>
      <c r="C392" s="10" t="s">
        <v>36</v>
      </c>
      <c r="D392" s="381">
        <v>0.26041666666666669</v>
      </c>
      <c r="E392" s="381">
        <v>0.28125</v>
      </c>
      <c r="F392" s="380">
        <f>+MOD(Tabla8[[#This Row],[HR. FIN]]-Tabla8[[#This Row],[HR. INICIO]],1)</f>
        <v>2.0833333333333315E-2</v>
      </c>
      <c r="G392" s="16" t="s">
        <v>27</v>
      </c>
      <c r="H392" s="343" t="str">
        <f>IFERROR(VLOOKUP(G392,DATOS!$M$2:$N$219,2,FALSE),"")</f>
        <v>Maquinaria</v>
      </c>
      <c r="I392" s="115" t="s">
        <v>32</v>
      </c>
      <c r="J392" s="115" t="str">
        <f>+VLOOKUP($I392,Tabla7[#All],2,FALSE)</f>
        <v>PROGRAMADA</v>
      </c>
      <c r="K392" s="114" t="str">
        <f>IF(VLOOKUP(I392,Tabla7[#All],3,FALSE)=0,"",VLOOKUP(I392,Tabla7[#All],3,FALSE))</f>
        <v/>
      </c>
      <c r="L392" s="35" t="s">
        <v>980</v>
      </c>
      <c r="M392" s="35" t="s">
        <v>121</v>
      </c>
      <c r="N392" s="35" t="str" cm="1">
        <f t="array" ref="N392">IFERROR(IF(Tabla8[[#This Row],[P/NP]]="NO PROGRAMADA","",_xlfn.TEXTJOIN(", ",TRUE,_xlfn._xlws.FILTER(Tabla4[[#All],[PIEZA]],ISNUMBER(SEARCH(Tabla4[[#All],[PCLAVE]],Tabla8[[#This Row],[DESCRIPCION DE TRABAJO]])),""))),"")</f>
        <v/>
      </c>
      <c r="O392" s="35" t="str" cm="1">
        <f t="array" ref="O392">_xlfn.TEXTJOIN(", ",TRUE,_xlfn._xlws.FILTER(Tabla28[[#All],[PARTE]],ISNUMBER(SEARCH(Tabla28[[#All],[PCLAVE2]],Tabla8[[#This Row],[DESCRIPCION DE TRABAJO]])),""))</f>
        <v/>
      </c>
      <c r="P392" s="303" t="str">
        <f>IFERROR(LEFT(O392, FIND(",", O392)-1), O392)</f>
        <v/>
      </c>
      <c r="Q392" s="303" t="str">
        <f>IFERROR(IF(ISERROR(FIND(",", O392, FIND(",", O392)+1)), RIGHT(O392, LEN(O392)-FIND(",", O392)-1), MID(O392, FIND(",", O392)+2, FIND(",", O392, FIND(",", O392)+1)-FIND(",", O392)-2)), "")</f>
        <v/>
      </c>
      <c r="R392" s="303" t="str">
        <f>IFERROR(RIGHT(O392, LEN(O392)-FIND(",", O392, FIND(",", O392)+1)-1), "")</f>
        <v/>
      </c>
      <c r="S392" s="35" t="str" cm="1">
        <f t="array" ref="S392">_xlfn.TEXTJOIN(", ",TRUE,_xlfn._xlws.FILTER(Tabla29[[#All],[PARTE]],ISNUMBER(SEARCH(Tabla29[[#All],[PCLAVE3]],Tabla8[[#This Row],[DESCRIPCION DE TRABAJO]])),""))</f>
        <v>Sustitucion</v>
      </c>
      <c r="T392" s="34" t="str">
        <f>IF(AND(Tabla8[[#This Row],[PIEZA]]="",Tabla8[[#This Row],[PARTE]]=""),"VACIO","OK")</f>
        <v>VACIO</v>
      </c>
      <c r="U392" s="303" t="str">
        <f>+CONCATENATE(WEEKNUM(Tabla8[[#This Row],[FECHA]]),"-",YEAR(Tabla8[[#This Row],[FECHA]]))</f>
        <v>9-2026</v>
      </c>
    </row>
    <row r="393" spans="1:21" ht="15" customHeight="1">
      <c r="A393" s="22">
        <v>46078</v>
      </c>
      <c r="B393" s="16" t="s">
        <v>179</v>
      </c>
      <c r="C393" s="10" t="s">
        <v>36</v>
      </c>
      <c r="D393" s="381">
        <v>0.29166666666666669</v>
      </c>
      <c r="E393" s="381">
        <v>0.3125</v>
      </c>
      <c r="F393" s="380">
        <f>+MOD(Tabla8[[#This Row],[HR. FIN]]-Tabla8[[#This Row],[HR. INICIO]],1)</f>
        <v>2.0833333333333315E-2</v>
      </c>
      <c r="G393" s="16" t="s">
        <v>27</v>
      </c>
      <c r="H393" s="343" t="str">
        <f>IFERROR(VLOOKUP(G393,DATOS!$M$2:$N$219,2,FALSE),"")</f>
        <v>Maquinaria</v>
      </c>
      <c r="I393" s="115" t="s">
        <v>245</v>
      </c>
      <c r="J393" s="115" t="str">
        <f>+VLOOKUP($I393,Tabla7[#All],2,FALSE)</f>
        <v>PROGRAMADA</v>
      </c>
      <c r="K393" s="114" t="str">
        <f>IF(VLOOKUP(I393,Tabla7[#All],3,FALSE)=0,"",VLOOKUP(I393,Tabla7[#All],3,FALSE))</f>
        <v/>
      </c>
      <c r="L393" s="35" t="s">
        <v>981</v>
      </c>
      <c r="M393" s="35" t="s">
        <v>121</v>
      </c>
      <c r="N393" s="35" t="str" cm="1">
        <f t="array" ref="N393">IFERROR(IF(Tabla8[[#This Row],[P/NP]]="NO PROGRAMADA","",_xlfn.TEXTJOIN(", ",TRUE,_xlfn._xlws.FILTER(Tabla4[[#All],[PIEZA]],ISNUMBER(SEARCH(Tabla4[[#All],[PCLAVE]],Tabla8[[#This Row],[DESCRIPCION DE TRABAJO]])),""))),"")</f>
        <v>Empujador, Moldes</v>
      </c>
      <c r="O393" s="35" t="str" cm="1">
        <f t="array" ref="O393">_xlfn.TEXTJOIN(", ",TRUE,_xlfn._xlws.FILTER(Tabla28[[#All],[PARTE]],ISNUMBER(SEARCH(Tabla28[[#All],[PCLAVE2]],Tabla8[[#This Row],[DESCRIPCION DE TRABAJO]])),""))</f>
        <v/>
      </c>
      <c r="P393" s="303" t="str">
        <f>IFERROR(LEFT(O393, FIND(",", O393)-1), O393)</f>
        <v/>
      </c>
      <c r="Q393" s="303" t="str">
        <f>IFERROR(IF(ISERROR(FIND(",", O393, FIND(",", O393)+1)), RIGHT(O393, LEN(O393)-FIND(",", O393)-1), MID(O393, FIND(",", O393)+2, FIND(",", O393, FIND(",", O393)+1)-FIND(",", O393)-2)), "")</f>
        <v/>
      </c>
      <c r="R393" s="303" t="str">
        <f>IFERROR(RIGHT(O393, LEN(O393)-FIND(",", O393, FIND(",", O393)+1)-1), "")</f>
        <v/>
      </c>
      <c r="S393" s="35" t="str" cm="1">
        <f t="array" ref="S393">_xlfn.TEXTJOIN(", ",TRUE,_xlfn._xlws.FILTER(Tabla29[[#All],[PARTE]],ISNUMBER(SEARCH(Tabla29[[#All],[PCLAVE3]],Tabla8[[#This Row],[DESCRIPCION DE TRABAJO]])),""))</f>
        <v>Lubricacion</v>
      </c>
      <c r="T393" s="34" t="str">
        <f>IF(AND(Tabla8[[#This Row],[PIEZA]]="",Tabla8[[#This Row],[PARTE]]=""),"VACIO","OK")</f>
        <v>OK</v>
      </c>
      <c r="U393" s="303" t="str">
        <f>+CONCATENATE(WEEKNUM(Tabla8[[#This Row],[FECHA]]),"-",YEAR(Tabla8[[#This Row],[FECHA]]))</f>
        <v>9-2026</v>
      </c>
    </row>
    <row r="394" spans="1:21" ht="15" customHeight="1">
      <c r="A394" s="22">
        <v>46078</v>
      </c>
      <c r="B394" s="16" t="s">
        <v>131</v>
      </c>
      <c r="C394" s="10" t="s">
        <v>39</v>
      </c>
      <c r="D394" s="381">
        <v>0.95833333333333337</v>
      </c>
      <c r="E394" s="381">
        <v>0.97916666666666663</v>
      </c>
      <c r="F394" s="380">
        <f>+MOD(Tabla8[[#This Row],[HR. FIN]]-Tabla8[[#This Row],[HR. INICIO]],1)</f>
        <v>2.0833333333333259E-2</v>
      </c>
      <c r="G394" s="16" t="s">
        <v>438</v>
      </c>
      <c r="H394" s="343" t="str">
        <f>IFERROR(VLOOKUP(G394,DATOS!$M$2:$N$219,2,FALSE),"")</f>
        <v>Maquinaria</v>
      </c>
      <c r="I394" s="115" t="s">
        <v>54</v>
      </c>
      <c r="J394" s="115" t="str">
        <f>+VLOOKUP($I394,Tabla7[#All],2,FALSE)</f>
        <v>PROGRAMADA</v>
      </c>
      <c r="K394" s="114" t="str">
        <f>IF(VLOOKUP(I394,Tabla7[#All],3,FALSE)=0,"",VLOOKUP(I394,Tabla7[#All],3,FALSE))</f>
        <v/>
      </c>
      <c r="L394" s="35" t="s">
        <v>240</v>
      </c>
      <c r="M394" s="35" t="s">
        <v>121</v>
      </c>
      <c r="N394" s="35" t="str" cm="1">
        <f t="array" ref="N394">IFERROR(IF(Tabla8[[#This Row],[P/NP]]="NO PROGRAMADA","",_xlfn.TEXTJOIN(", ",TRUE,_xlfn._xlws.FILTER(Tabla4[[#All],[PIEZA]],ISNUMBER(SEARCH(Tabla4[[#All],[PCLAVE]],Tabla8[[#This Row],[DESCRIPCION DE TRABAJO]])),""))),"")</f>
        <v/>
      </c>
      <c r="O394" s="35" t="str" cm="1">
        <f t="array" ref="O394">_xlfn.TEXTJOIN(", ",TRUE,_xlfn._xlws.FILTER(Tabla28[[#All],[PARTE]],ISNUMBER(SEARCH(Tabla28[[#All],[PCLAVE2]],Tabla8[[#This Row],[DESCRIPCION DE TRABAJO]])),""))</f>
        <v/>
      </c>
      <c r="P394" s="303" t="str">
        <f>IFERROR(LEFT(O394, FIND(",", O394)-1), O394)</f>
        <v/>
      </c>
      <c r="Q394" s="303" t="str">
        <f>IFERROR(IF(ISERROR(FIND(",", O394, FIND(",", O394)+1)), RIGHT(O394, LEN(O394)-FIND(",", O394)-1), MID(O394, FIND(",", O394)+2, FIND(",", O394, FIND(",", O394)+1)-FIND(",", O394)-2)), "")</f>
        <v/>
      </c>
      <c r="R394" s="303" t="str">
        <f>IFERROR(RIGHT(O394, LEN(O394)-FIND(",", O394, FIND(",", O394)+1)-1), "")</f>
        <v/>
      </c>
      <c r="S394" s="35" t="str" cm="1">
        <f t="array" ref="S394">_xlfn.TEXTJOIN(", ",TRUE,_xlfn._xlws.FILTER(Tabla29[[#All],[PARTE]],ISNUMBER(SEARCH(Tabla29[[#All],[PCLAVE3]],Tabla8[[#This Row],[DESCRIPCION DE TRABAJO]])),""))</f>
        <v/>
      </c>
      <c r="T394" s="34" t="str">
        <f>IF(AND(Tabla8[[#This Row],[PIEZA]]="",Tabla8[[#This Row],[PARTE]]=""),"VACIO","OK")</f>
        <v>VACIO</v>
      </c>
      <c r="U394" s="303" t="str">
        <f>+CONCATENATE(WEEKNUM(Tabla8[[#This Row],[FECHA]]),"-",YEAR(Tabla8[[#This Row],[FECHA]]))</f>
        <v>9-2026</v>
      </c>
    </row>
    <row r="395" spans="1:21" ht="15" customHeight="1">
      <c r="A395" s="22">
        <v>46078</v>
      </c>
      <c r="B395" s="16" t="s">
        <v>131</v>
      </c>
      <c r="C395" s="10" t="s">
        <v>39</v>
      </c>
      <c r="D395" s="381">
        <v>0.98611111111111116</v>
      </c>
      <c r="E395" s="381">
        <v>5.5555555555555558E-3</v>
      </c>
      <c r="F395" s="380">
        <f>+MOD(Tabla8[[#This Row],[HR. FIN]]-Tabla8[[#This Row],[HR. INICIO]],1)</f>
        <v>1.9444444444444375E-2</v>
      </c>
      <c r="G395" s="16" t="s">
        <v>119</v>
      </c>
      <c r="H395" s="343" t="str">
        <f>IFERROR(VLOOKUP(G395,DATOS!$M$2:$N$219,2,FALSE),"")</f>
        <v>Maquinaria</v>
      </c>
      <c r="I395" s="115" t="s">
        <v>54</v>
      </c>
      <c r="J395" s="115" t="str">
        <f>+VLOOKUP($I395,Tabla7[#All],2,FALSE)</f>
        <v>PROGRAMADA</v>
      </c>
      <c r="K395" s="114" t="str">
        <f>IF(VLOOKUP(I395,Tabla7[#All],3,FALSE)=0,"",VLOOKUP(I395,Tabla7[#All],3,FALSE))</f>
        <v/>
      </c>
      <c r="L395" s="35" t="s">
        <v>225</v>
      </c>
      <c r="M395" s="35" t="s">
        <v>121</v>
      </c>
      <c r="N395" s="35" t="str" cm="1">
        <f t="array" ref="N395">IFERROR(IF(Tabla8[[#This Row],[P/NP]]="NO PROGRAMADA","",_xlfn.TEXTJOIN(", ",TRUE,_xlfn._xlws.FILTER(Tabla4[[#All],[PIEZA]],ISNUMBER(SEARCH(Tabla4[[#All],[PCLAVE]],Tabla8[[#This Row],[DESCRIPCION DE TRABAJO]])),""))),"")</f>
        <v/>
      </c>
      <c r="O395" s="35" t="str" cm="1">
        <f t="array" ref="O395">_xlfn.TEXTJOIN(", ",TRUE,_xlfn._xlws.FILTER(Tabla28[[#All],[PARTE]],ISNUMBER(SEARCH(Tabla28[[#All],[PCLAVE2]],Tabla8[[#This Row],[DESCRIPCION DE TRABAJO]])),""))</f>
        <v/>
      </c>
      <c r="P395" s="303" t="str">
        <f>IFERROR(LEFT(O395, FIND(",", O395)-1), O395)</f>
        <v/>
      </c>
      <c r="Q395" s="303" t="str">
        <f>IFERROR(IF(ISERROR(FIND(",", O395, FIND(",", O395)+1)), RIGHT(O395, LEN(O395)-FIND(",", O395)-1), MID(O395, FIND(",", O395)+2, FIND(",", O395, FIND(",", O395)+1)-FIND(",", O395)-2)), "")</f>
        <v/>
      </c>
      <c r="R395" s="303" t="str">
        <f>IFERROR(RIGHT(O395, LEN(O395)-FIND(",", O395, FIND(",", O395)+1)-1), "")</f>
        <v/>
      </c>
      <c r="S395" s="35" t="str" cm="1">
        <f t="array" ref="S395">_xlfn.TEXTJOIN(", ",TRUE,_xlfn._xlws.FILTER(Tabla29[[#All],[PARTE]],ISNUMBER(SEARCH(Tabla29[[#All],[PCLAVE3]],Tabla8[[#This Row],[DESCRIPCION DE TRABAJO]])),""))</f>
        <v/>
      </c>
      <c r="T395" s="34" t="str">
        <f>IF(AND(Tabla8[[#This Row],[PIEZA]]="",Tabla8[[#This Row],[PARTE]]=""),"VACIO","OK")</f>
        <v>VACIO</v>
      </c>
      <c r="U395" s="303" t="str">
        <f>+CONCATENATE(WEEKNUM(Tabla8[[#This Row],[FECHA]]),"-",YEAR(Tabla8[[#This Row],[FECHA]]))</f>
        <v>9-2026</v>
      </c>
    </row>
    <row r="396" spans="1:21" ht="15" customHeight="1">
      <c r="A396" s="22">
        <v>46078</v>
      </c>
      <c r="B396" s="16" t="s">
        <v>131</v>
      </c>
      <c r="C396" s="10" t="s">
        <v>39</v>
      </c>
      <c r="D396" s="381">
        <v>0.88541666666666663</v>
      </c>
      <c r="E396" s="381">
        <v>0.90277777777777779</v>
      </c>
      <c r="F396" s="380">
        <f>+MOD(Tabla8[[#This Row],[HR. FIN]]-Tabla8[[#This Row],[HR. INICIO]],1)</f>
        <v>1.736111111111116E-2</v>
      </c>
      <c r="G396" s="16" t="s">
        <v>31</v>
      </c>
      <c r="H396" s="343" t="str">
        <f>IFERROR(VLOOKUP(G396,DATOS!$M$2:$N$219,2,FALSE),"")</f>
        <v>Maquinaria</v>
      </c>
      <c r="I396" s="115" t="s">
        <v>32</v>
      </c>
      <c r="J396" s="115" t="str">
        <f>+VLOOKUP($I396,Tabla7[#All],2,FALSE)</f>
        <v>PROGRAMADA</v>
      </c>
      <c r="K396" s="114" t="str">
        <f>IF(VLOOKUP(I396,Tabla7[#All],3,FALSE)=0,"",VLOOKUP(I396,Tabla7[#All],3,FALSE))</f>
        <v/>
      </c>
      <c r="L396" s="35" t="s">
        <v>982</v>
      </c>
      <c r="M396" s="35" t="s">
        <v>983</v>
      </c>
      <c r="N396" s="35" t="str" cm="1">
        <f t="array" ref="N396">IFERROR(IF(Tabla8[[#This Row],[P/NP]]="NO PROGRAMADA","",_xlfn.TEXTJOIN(", ",TRUE,_xlfn._xlws.FILTER(Tabla4[[#All],[PIEZA]],ISNUMBER(SEARCH(Tabla4[[#All],[PCLAVE]],Tabla8[[#This Row],[DESCRIPCION DE TRABAJO]])),""))),"")</f>
        <v/>
      </c>
      <c r="O396" s="35" t="str" cm="1">
        <f t="array" ref="O396">_xlfn.TEXTJOIN(", ",TRUE,_xlfn._xlws.FILTER(Tabla28[[#All],[PARTE]],ISNUMBER(SEARCH(Tabla28[[#All],[PCLAVE2]],Tabla8[[#This Row],[DESCRIPCION DE TRABAJO]])),""))</f>
        <v/>
      </c>
      <c r="P396" s="303" t="str">
        <f>IFERROR(LEFT(O396, FIND(",", O396)-1), O396)</f>
        <v/>
      </c>
      <c r="Q396" s="303" t="str">
        <f>IFERROR(IF(ISERROR(FIND(",", O396, FIND(",", O396)+1)), RIGHT(O396, LEN(O396)-FIND(",", O396)-1), MID(O396, FIND(",", O396)+2, FIND(",", O396, FIND(",", O396)+1)-FIND(",", O396)-2)), "")</f>
        <v/>
      </c>
      <c r="R396" s="303" t="str">
        <f>IFERROR(RIGHT(O396, LEN(O396)-FIND(",", O396, FIND(",", O396)+1)-1), "")</f>
        <v/>
      </c>
      <c r="S396" s="35" t="str" cm="1">
        <f t="array" ref="S396">_xlfn.TEXTJOIN(", ",TRUE,_xlfn._xlws.FILTER(Tabla29[[#All],[PARTE]],ISNUMBER(SEARCH(Tabla29[[#All],[PCLAVE3]],Tabla8[[#This Row],[DESCRIPCION DE TRABAJO]])),""))</f>
        <v>Cambio De Formato</v>
      </c>
      <c r="T396" s="34" t="str">
        <f>IF(AND(Tabla8[[#This Row],[PIEZA]]="",Tabla8[[#This Row],[PARTE]]=""),"VACIO","OK")</f>
        <v>VACIO</v>
      </c>
      <c r="U396" s="303" t="str">
        <f>+CONCATENATE(WEEKNUM(Tabla8[[#This Row],[FECHA]]),"-",YEAR(Tabla8[[#This Row],[FECHA]]))</f>
        <v>9-2026</v>
      </c>
    </row>
    <row r="397" spans="1:21" ht="15" customHeight="1">
      <c r="A397" s="22">
        <v>46078</v>
      </c>
      <c r="B397" s="16" t="s">
        <v>131</v>
      </c>
      <c r="C397" s="10" t="s">
        <v>39</v>
      </c>
      <c r="D397" s="381">
        <v>0.17708333333333334</v>
      </c>
      <c r="E397" s="381">
        <v>0.19444444444444445</v>
      </c>
      <c r="F397" s="380">
        <f>+MOD(Tabla8[[#This Row],[HR. FIN]]-Tabla8[[#This Row],[HR. INICIO]],1)</f>
        <v>1.7361111111111105E-2</v>
      </c>
      <c r="G397" s="16" t="s">
        <v>31</v>
      </c>
      <c r="H397" s="343" t="str">
        <f>IFERROR(VLOOKUP(G397,DATOS!$M$2:$N$219,2,FALSE),"")</f>
        <v>Maquinaria</v>
      </c>
      <c r="I397" s="115" t="s">
        <v>54</v>
      </c>
      <c r="J397" s="115" t="str">
        <f>+VLOOKUP($I397,Tabla7[#All],2,FALSE)</f>
        <v>PROGRAMADA</v>
      </c>
      <c r="K397" s="114" t="str">
        <f>IF(VLOOKUP(I397,Tabla7[#All],3,FALSE)=0,"",VLOOKUP(I397,Tabla7[#All],3,FALSE))</f>
        <v/>
      </c>
      <c r="L397" s="35" t="s">
        <v>240</v>
      </c>
      <c r="M397" s="35" t="s">
        <v>121</v>
      </c>
      <c r="N397" s="35" t="str" cm="1">
        <f t="array" ref="N397">IFERROR(IF(Tabla8[[#This Row],[P/NP]]="NO PROGRAMADA","",_xlfn.TEXTJOIN(", ",TRUE,_xlfn._xlws.FILTER(Tabla4[[#All],[PIEZA]],ISNUMBER(SEARCH(Tabla4[[#All],[PCLAVE]],Tabla8[[#This Row],[DESCRIPCION DE TRABAJO]])),""))),"")</f>
        <v/>
      </c>
      <c r="O397" s="35" t="str" cm="1">
        <f t="array" ref="O397">_xlfn.TEXTJOIN(", ",TRUE,_xlfn._xlws.FILTER(Tabla28[[#All],[PARTE]],ISNUMBER(SEARCH(Tabla28[[#All],[PCLAVE2]],Tabla8[[#This Row],[DESCRIPCION DE TRABAJO]])),""))</f>
        <v/>
      </c>
      <c r="P397" s="303" t="str">
        <f>IFERROR(LEFT(O397, FIND(",", O397)-1), O397)</f>
        <v/>
      </c>
      <c r="Q397" s="303" t="str">
        <f>IFERROR(IF(ISERROR(FIND(",", O397, FIND(",", O397)+1)), RIGHT(O397, LEN(O397)-FIND(",", O397)-1), MID(O397, FIND(",", O397)+2, FIND(",", O397, FIND(",", O397)+1)-FIND(",", O397)-2)), "")</f>
        <v/>
      </c>
      <c r="R397" s="303" t="str">
        <f>IFERROR(RIGHT(O397, LEN(O397)-FIND(",", O397, FIND(",", O397)+1)-1), "")</f>
        <v/>
      </c>
      <c r="S397" s="35" t="str" cm="1">
        <f t="array" ref="S397">_xlfn.TEXTJOIN(", ",TRUE,_xlfn._xlws.FILTER(Tabla29[[#All],[PARTE]],ISNUMBER(SEARCH(Tabla29[[#All],[PCLAVE3]],Tabla8[[#This Row],[DESCRIPCION DE TRABAJO]])),""))</f>
        <v/>
      </c>
      <c r="T397" s="34" t="str">
        <f>IF(AND(Tabla8[[#This Row],[PIEZA]]="",Tabla8[[#This Row],[PARTE]]=""),"VACIO","OK")</f>
        <v>VACIO</v>
      </c>
      <c r="U397" s="303" t="str">
        <f>+CONCATENATE(WEEKNUM(Tabla8[[#This Row],[FECHA]]),"-",YEAR(Tabla8[[#This Row],[FECHA]]))</f>
        <v>9-2026</v>
      </c>
    </row>
    <row r="398" spans="1:21" ht="15" customHeight="1">
      <c r="A398" s="22">
        <v>46078</v>
      </c>
      <c r="B398" s="16" t="s">
        <v>131</v>
      </c>
      <c r="C398" s="10" t="s">
        <v>39</v>
      </c>
      <c r="D398" s="381">
        <v>0.15277777777777779</v>
      </c>
      <c r="E398" s="381">
        <v>0.16944444444444445</v>
      </c>
      <c r="F398" s="380">
        <f>+MOD(Tabla8[[#This Row],[HR. FIN]]-Tabla8[[#This Row],[HR. INICIO]],1)</f>
        <v>1.6666666666666663E-2</v>
      </c>
      <c r="G398" s="16" t="s">
        <v>165</v>
      </c>
      <c r="H398" s="343" t="str">
        <f>IFERROR(VLOOKUP(G398,DATOS!$M$2:$N$219,2,FALSE),"")</f>
        <v>Maquinaria</v>
      </c>
      <c r="I398" s="115" t="s">
        <v>54</v>
      </c>
      <c r="J398" s="115" t="str">
        <f>+VLOOKUP($I398,Tabla7[#All],2,FALSE)</f>
        <v>PROGRAMADA</v>
      </c>
      <c r="K398" s="114" t="str">
        <f>IF(VLOOKUP(I398,Tabla7[#All],3,FALSE)=0,"",VLOOKUP(I398,Tabla7[#All],3,FALSE))</f>
        <v/>
      </c>
      <c r="L398" s="35" t="s">
        <v>240</v>
      </c>
      <c r="M398" s="35" t="s">
        <v>121</v>
      </c>
      <c r="N398" s="35" t="str" cm="1">
        <f t="array" ref="N398">IFERROR(IF(Tabla8[[#This Row],[P/NP]]="NO PROGRAMADA","",_xlfn.TEXTJOIN(", ",TRUE,_xlfn._xlws.FILTER(Tabla4[[#All],[PIEZA]],ISNUMBER(SEARCH(Tabla4[[#All],[PCLAVE]],Tabla8[[#This Row],[DESCRIPCION DE TRABAJO]])),""))),"")</f>
        <v/>
      </c>
      <c r="O398" s="35" t="str" cm="1">
        <f t="array" ref="O398">_xlfn.TEXTJOIN(", ",TRUE,_xlfn._xlws.FILTER(Tabla28[[#All],[PARTE]],ISNUMBER(SEARCH(Tabla28[[#All],[PCLAVE2]],Tabla8[[#This Row],[DESCRIPCION DE TRABAJO]])),""))</f>
        <v/>
      </c>
      <c r="P398" s="303" t="str">
        <f>IFERROR(LEFT(O398, FIND(",", O398)-1), O398)</f>
        <v/>
      </c>
      <c r="Q398" s="303" t="str">
        <f>IFERROR(IF(ISERROR(FIND(",", O398, FIND(",", O398)+1)), RIGHT(O398, LEN(O398)-FIND(",", O398)-1), MID(O398, FIND(",", O398)+2, FIND(",", O398, FIND(",", O398)+1)-FIND(",", O398)-2)), "")</f>
        <v/>
      </c>
      <c r="R398" s="303" t="str">
        <f>IFERROR(RIGHT(O398, LEN(O398)-FIND(",", O398, FIND(",", O398)+1)-1), "")</f>
        <v/>
      </c>
      <c r="S398" s="35" t="str" cm="1">
        <f t="array" ref="S398">_xlfn.TEXTJOIN(", ",TRUE,_xlfn._xlws.FILTER(Tabla29[[#All],[PARTE]],ISNUMBER(SEARCH(Tabla29[[#All],[PCLAVE3]],Tabla8[[#This Row],[DESCRIPCION DE TRABAJO]])),""))</f>
        <v/>
      </c>
      <c r="T398" s="34" t="str">
        <f>IF(AND(Tabla8[[#This Row],[PIEZA]]="",Tabla8[[#This Row],[PARTE]]=""),"VACIO","OK")</f>
        <v>VACIO</v>
      </c>
      <c r="U398" s="303" t="str">
        <f>+CONCATENATE(WEEKNUM(Tabla8[[#This Row],[FECHA]]),"-",YEAR(Tabla8[[#This Row],[FECHA]]))</f>
        <v>9-2026</v>
      </c>
    </row>
    <row r="399" spans="1:21" ht="15" customHeight="1">
      <c r="A399" s="22">
        <v>46078</v>
      </c>
      <c r="B399" s="16" t="s">
        <v>111</v>
      </c>
      <c r="C399" s="10" t="s">
        <v>23</v>
      </c>
      <c r="D399" s="381">
        <v>0.63194444444444442</v>
      </c>
      <c r="E399" s="381">
        <v>0.64583333333333337</v>
      </c>
      <c r="F399" s="380">
        <f>+MOD(Tabla8[[#This Row],[HR. FIN]]-Tabla8[[#This Row],[HR. INICIO]],1)</f>
        <v>1.3888888888888951E-2</v>
      </c>
      <c r="G399" s="16" t="s">
        <v>140</v>
      </c>
      <c r="H399" s="343" t="str">
        <f>IFERROR(VLOOKUP(G399,DATOS!$M$2:$N$219,2,FALSE),"")</f>
        <v>Maquinaria</v>
      </c>
      <c r="I399" s="115" t="s">
        <v>57</v>
      </c>
      <c r="J399" s="115" t="str">
        <f>+VLOOKUP($I399,Tabla7[#All],2,FALSE)</f>
        <v>NO PROGRAMADA</v>
      </c>
      <c r="K399" s="114" t="str">
        <f>IF(VLOOKUP(I399,Tabla7[#All],3,FALSE)=0,"",VLOOKUP(I399,Tabla7[#All],3,FALSE))</f>
        <v>MECÁNICA</v>
      </c>
      <c r="L399" s="35" t="s">
        <v>984</v>
      </c>
      <c r="M399" s="35" t="s">
        <v>985</v>
      </c>
      <c r="N399" s="35" t="str" cm="1">
        <f t="array" ref="N399">IFERROR(IF(Tabla8[[#This Row],[P/NP]]="NO PROGRAMADA","",_xlfn.TEXTJOIN(", ",TRUE,_xlfn._xlws.FILTER(Tabla4[[#All],[PIEZA]],ISNUMBER(SEARCH(Tabla4[[#All],[PCLAVE]],Tabla8[[#This Row],[DESCRIPCION DE TRABAJO]])),""))),"")</f>
        <v/>
      </c>
      <c r="O399" s="35" t="str" cm="1">
        <f t="array" ref="O399">_xlfn.TEXTJOIN(", ",TRUE,_xlfn._xlws.FILTER(Tabla28[[#All],[PARTE]],ISNUMBER(SEARCH(Tabla28[[#All],[PCLAVE2]],Tabla8[[#This Row],[DESCRIPCION DE TRABAJO]])),""))</f>
        <v/>
      </c>
      <c r="P399" s="303" t="str">
        <f>IFERROR(LEFT(O399, FIND(",", O399)-1), O399)</f>
        <v/>
      </c>
      <c r="Q399" s="303" t="str">
        <f>IFERROR(IF(ISERROR(FIND(",", O399, FIND(",", O399)+1)), RIGHT(O399, LEN(O399)-FIND(",", O399)-1), MID(O399, FIND(",", O399)+2, FIND(",", O399, FIND(",", O399)+1)-FIND(",", O399)-2)), "")</f>
        <v/>
      </c>
      <c r="R399" s="303" t="str">
        <f>IFERROR(RIGHT(O399, LEN(O399)-FIND(",", O399, FIND(",", O399)+1)-1), "")</f>
        <v/>
      </c>
      <c r="S399" s="35" t="str" cm="1">
        <f t="array" ref="S399">_xlfn.TEXTJOIN(", ",TRUE,_xlfn._xlws.FILTER(Tabla29[[#All],[PARTE]],ISNUMBER(SEARCH(Tabla29[[#All],[PCLAVE3]],Tabla8[[#This Row],[DESCRIPCION DE TRABAJO]])),""))</f>
        <v>No Arrastra</v>
      </c>
      <c r="T399" s="34" t="str">
        <f>IF(AND(Tabla8[[#This Row],[PIEZA]]="",Tabla8[[#This Row],[PARTE]]=""),"VACIO","OK")</f>
        <v>VACIO</v>
      </c>
      <c r="U399" s="303" t="str">
        <f>+CONCATENATE(WEEKNUM(Tabla8[[#This Row],[FECHA]]),"-",YEAR(Tabla8[[#This Row],[FECHA]]))</f>
        <v>9-2026</v>
      </c>
    </row>
    <row r="400" spans="1:21" ht="15" customHeight="1">
      <c r="A400" s="22">
        <v>46078</v>
      </c>
      <c r="B400" s="16" t="s">
        <v>179</v>
      </c>
      <c r="C400" s="10" t="s">
        <v>36</v>
      </c>
      <c r="D400" s="381">
        <v>0.2361111111111111</v>
      </c>
      <c r="E400" s="381">
        <v>0.25</v>
      </c>
      <c r="F400" s="380">
        <f>+MOD(Tabla8[[#This Row],[HR. FIN]]-Tabla8[[#This Row],[HR. INICIO]],1)</f>
        <v>1.3888888888888895E-2</v>
      </c>
      <c r="G400" s="16" t="s">
        <v>119</v>
      </c>
      <c r="H400" s="343" t="str">
        <f>IFERROR(VLOOKUP(G400,DATOS!$M$2:$N$219,2,FALSE),"")</f>
        <v>Maquinaria</v>
      </c>
      <c r="I400" s="115" t="s">
        <v>32</v>
      </c>
      <c r="J400" s="115" t="str">
        <f>+VLOOKUP($I400,Tabla7[#All],2,FALSE)</f>
        <v>PROGRAMADA</v>
      </c>
      <c r="K400" s="114" t="str">
        <f>IF(VLOOKUP(I400,Tabla7[#All],3,FALSE)=0,"",VLOOKUP(I400,Tabla7[#All],3,FALSE))</f>
        <v/>
      </c>
      <c r="L400" s="35" t="s">
        <v>986</v>
      </c>
      <c r="M400" s="35" t="s">
        <v>987</v>
      </c>
      <c r="N400" s="35" t="str" cm="1">
        <f t="array" ref="N400">IFERROR(IF(Tabla8[[#This Row],[P/NP]]="NO PROGRAMADA","",_xlfn.TEXTJOIN(", ",TRUE,_xlfn._xlws.FILTER(Tabla4[[#All],[PIEZA]],ISNUMBER(SEARCH(Tabla4[[#All],[PCLAVE]],Tabla8[[#This Row],[DESCRIPCION DE TRABAJO]])),""))),"")</f>
        <v/>
      </c>
      <c r="O400" s="35" t="str" cm="1">
        <f t="array" ref="O400">_xlfn.TEXTJOIN(", ",TRUE,_xlfn._xlws.FILTER(Tabla28[[#All],[PARTE]],ISNUMBER(SEARCH(Tabla28[[#All],[PCLAVE2]],Tabla8[[#This Row],[DESCRIPCION DE TRABAJO]])),""))</f>
        <v>Mds</v>
      </c>
      <c r="P400" s="303" t="str">
        <f>IFERROR(LEFT(O400, FIND(",", O400)-1), O400)</f>
        <v>Mds</v>
      </c>
      <c r="Q400" s="303" t="str">
        <f>IFERROR(IF(ISERROR(FIND(",", O400, FIND(",", O400)+1)), RIGHT(O400, LEN(O400)-FIND(",", O400)-1), MID(O400, FIND(",", O400)+2, FIND(",", O400, FIND(",", O400)+1)-FIND(",", O400)-2)), "")</f>
        <v/>
      </c>
      <c r="R400" s="303" t="str">
        <f>IFERROR(RIGHT(O400, LEN(O400)-FIND(",", O400, FIND(",", O400)+1)-1), "")</f>
        <v/>
      </c>
      <c r="S400" s="35" t="str" cm="1">
        <f t="array" ref="S400">_xlfn.TEXTJOIN(", ",TRUE,_xlfn._xlws.FILTER(Tabla29[[#All],[PARTE]],ISNUMBER(SEARCH(Tabla29[[#All],[PCLAVE3]],Tabla8[[#This Row],[DESCRIPCION DE TRABAJO]])),""))</f>
        <v>Cambio De Formato</v>
      </c>
      <c r="T400" s="34" t="str">
        <f>IF(AND(Tabla8[[#This Row],[PIEZA]]="",Tabla8[[#This Row],[PARTE]]=""),"VACIO","OK")</f>
        <v>OK</v>
      </c>
      <c r="U400" s="303" t="str">
        <f>+CONCATENATE(WEEKNUM(Tabla8[[#This Row],[FECHA]]),"-",YEAR(Tabla8[[#This Row],[FECHA]]))</f>
        <v>9-2026</v>
      </c>
    </row>
    <row r="401" spans="1:21" ht="15" customHeight="1">
      <c r="A401" s="22">
        <v>46078</v>
      </c>
      <c r="B401" s="16" t="s">
        <v>179</v>
      </c>
      <c r="C401" s="10" t="s">
        <v>36</v>
      </c>
      <c r="D401" s="381">
        <v>0.33333333333333331</v>
      </c>
      <c r="E401" s="381">
        <v>0.34722222222222221</v>
      </c>
      <c r="F401" s="380">
        <f>+MOD(Tabla8[[#This Row],[HR. FIN]]-Tabla8[[#This Row],[HR. INICIO]],1)</f>
        <v>1.3888888888888895E-2</v>
      </c>
      <c r="G401" s="16" t="s">
        <v>365</v>
      </c>
      <c r="H401" s="343" t="str">
        <f>IFERROR(VLOOKUP(G401,DATOS!$M$2:$N$219,2,FALSE),"")</f>
        <v>Area</v>
      </c>
      <c r="I401" s="115" t="s">
        <v>61</v>
      </c>
      <c r="J401" s="115" t="str">
        <f>+VLOOKUP($I401,Tabla7[#All],2,FALSE)</f>
        <v>PROGRAMADA</v>
      </c>
      <c r="K401" s="114" t="str">
        <f>IF(VLOOKUP(I401,Tabla7[#All],3,FALSE)=0,"",VLOOKUP(I401,Tabla7[#All],3,FALSE))</f>
        <v/>
      </c>
      <c r="L401" s="35" t="s">
        <v>988</v>
      </c>
      <c r="M401" s="35" t="s">
        <v>989</v>
      </c>
      <c r="N401" s="35" t="str" cm="1">
        <f t="array" ref="N401">IFERROR(IF(Tabla8[[#This Row],[P/NP]]="NO PROGRAMADA","",_xlfn.TEXTJOIN(", ",TRUE,_xlfn._xlws.FILTER(Tabla4[[#All],[PIEZA]],ISNUMBER(SEARCH(Tabla4[[#All],[PCLAVE]],Tabla8[[#This Row],[DESCRIPCION DE TRABAJO]])),""))),"")</f>
        <v/>
      </c>
      <c r="O401" s="35" t="str" cm="1">
        <f t="array" ref="O401">_xlfn.TEXTJOIN(", ",TRUE,_xlfn._xlws.FILTER(Tabla28[[#All],[PARTE]],ISNUMBER(SEARCH(Tabla28[[#All],[PCLAVE2]],Tabla8[[#This Row],[DESCRIPCION DE TRABAJO]])),""))</f>
        <v>Camara De Temperado</v>
      </c>
      <c r="P401" s="303" t="str">
        <f>IFERROR(LEFT(O401, FIND(",", O401)-1), O401)</f>
        <v>Camara De Temperado</v>
      </c>
      <c r="Q401" s="303" t="str">
        <f>IFERROR(IF(ISERROR(FIND(",", O401, FIND(",", O401)+1)), RIGHT(O401, LEN(O401)-FIND(",", O401)-1), MID(O401, FIND(",", O401)+2, FIND(",", O401, FIND(",", O401)+1)-FIND(",", O401)-2)), "")</f>
        <v/>
      </c>
      <c r="R401" s="303" t="str">
        <f>IFERROR(RIGHT(O401, LEN(O401)-FIND(",", O401, FIND(",", O401)+1)-1), "")</f>
        <v/>
      </c>
      <c r="S401" s="35" t="str" cm="1">
        <f t="array" ref="S401">_xlfn.TEXTJOIN(", ",TRUE,_xlfn._xlws.FILTER(Tabla29[[#All],[PARTE]],ISNUMBER(SEARCH(Tabla29[[#All],[PCLAVE3]],Tabla8[[#This Row],[DESCRIPCION DE TRABAJO]])),""))</f>
        <v>Muy Frio</v>
      </c>
      <c r="T401" s="34" t="str">
        <f>IF(AND(Tabla8[[#This Row],[PIEZA]]="",Tabla8[[#This Row],[PARTE]]=""),"VACIO","OK")</f>
        <v>OK</v>
      </c>
      <c r="U401" s="303" t="str">
        <f>+CONCATENATE(WEEKNUM(Tabla8[[#This Row],[FECHA]]),"-",YEAR(Tabla8[[#This Row],[FECHA]]))</f>
        <v>9-2026</v>
      </c>
    </row>
    <row r="402" spans="1:21" ht="15" customHeight="1">
      <c r="A402" s="22">
        <v>46078</v>
      </c>
      <c r="B402" s="16" t="s">
        <v>131</v>
      </c>
      <c r="C402" s="10" t="s">
        <v>39</v>
      </c>
      <c r="D402" s="381">
        <v>2.7777777777777776E-2</v>
      </c>
      <c r="E402" s="381">
        <v>4.1666666666666664E-2</v>
      </c>
      <c r="F402" s="380">
        <f>+MOD(Tabla8[[#This Row],[HR. FIN]]-Tabla8[[#This Row],[HR. INICIO]],1)</f>
        <v>1.3888888888888888E-2</v>
      </c>
      <c r="G402" s="16" t="s">
        <v>153</v>
      </c>
      <c r="H402" s="343" t="str">
        <f>IFERROR(VLOOKUP(G402,DATOS!$M$2:$N$219,2,FALSE),"")</f>
        <v>Maquinaria</v>
      </c>
      <c r="I402" s="115" t="s">
        <v>54</v>
      </c>
      <c r="J402" s="115" t="str">
        <f>+VLOOKUP($I402,Tabla7[#All],2,FALSE)</f>
        <v>PROGRAMADA</v>
      </c>
      <c r="K402" s="114" t="str">
        <f>IF(VLOOKUP(I402,Tabla7[#All],3,FALSE)=0,"",VLOOKUP(I402,Tabla7[#All],3,FALSE))</f>
        <v/>
      </c>
      <c r="L402" s="35" t="s">
        <v>240</v>
      </c>
      <c r="M402" s="35" t="s">
        <v>121</v>
      </c>
      <c r="N402" s="35" t="str" cm="1">
        <f t="array" ref="N402">IFERROR(IF(Tabla8[[#This Row],[P/NP]]="NO PROGRAMADA","",_xlfn.TEXTJOIN(", ",TRUE,_xlfn._xlws.FILTER(Tabla4[[#All],[PIEZA]],ISNUMBER(SEARCH(Tabla4[[#All],[PCLAVE]],Tabla8[[#This Row],[DESCRIPCION DE TRABAJO]])),""))),"")</f>
        <v/>
      </c>
      <c r="O402" s="35" t="str" cm="1">
        <f t="array" ref="O402">_xlfn.TEXTJOIN(", ",TRUE,_xlfn._xlws.FILTER(Tabla28[[#All],[PARTE]],ISNUMBER(SEARCH(Tabla28[[#All],[PCLAVE2]],Tabla8[[#This Row],[DESCRIPCION DE TRABAJO]])),""))</f>
        <v/>
      </c>
      <c r="P402" s="303" t="str">
        <f>IFERROR(LEFT(O402, FIND(",", O402)-1), O402)</f>
        <v/>
      </c>
      <c r="Q402" s="303" t="str">
        <f>IFERROR(IF(ISERROR(FIND(",", O402, FIND(",", O402)+1)), RIGHT(O402, LEN(O402)-FIND(",", O402)-1), MID(O402, FIND(",", O402)+2, FIND(",", O402, FIND(",", O402)+1)-FIND(",", O402)-2)), "")</f>
        <v/>
      </c>
      <c r="R402" s="303" t="str">
        <f>IFERROR(RIGHT(O402, LEN(O402)-FIND(",", O402, FIND(",", O402)+1)-1), "")</f>
        <v/>
      </c>
      <c r="S402" s="35" t="str" cm="1">
        <f t="array" ref="S402">_xlfn.TEXTJOIN(", ",TRUE,_xlfn._xlws.FILTER(Tabla29[[#All],[PARTE]],ISNUMBER(SEARCH(Tabla29[[#All],[PCLAVE3]],Tabla8[[#This Row],[DESCRIPCION DE TRABAJO]])),""))</f>
        <v/>
      </c>
      <c r="T402" s="34" t="str">
        <f>IF(AND(Tabla8[[#This Row],[PIEZA]]="",Tabla8[[#This Row],[PARTE]]=""),"VACIO","OK")</f>
        <v>VACIO</v>
      </c>
      <c r="U402" s="303" t="str">
        <f>+CONCATENATE(WEEKNUM(Tabla8[[#This Row],[FECHA]]),"-",YEAR(Tabla8[[#This Row],[FECHA]]))</f>
        <v>9-2026</v>
      </c>
    </row>
    <row r="403" spans="1:21" ht="15" customHeight="1">
      <c r="A403" s="22">
        <v>46078</v>
      </c>
      <c r="B403" s="16" t="s">
        <v>131</v>
      </c>
      <c r="C403" s="10" t="s">
        <v>39</v>
      </c>
      <c r="D403" s="381">
        <v>0.14027777777777778</v>
      </c>
      <c r="E403" s="381">
        <v>0.15277777777777779</v>
      </c>
      <c r="F403" s="380">
        <f>+MOD(Tabla8[[#This Row],[HR. FIN]]-Tabla8[[#This Row],[HR. INICIO]],1)</f>
        <v>1.2500000000000011E-2</v>
      </c>
      <c r="G403" s="16" t="s">
        <v>165</v>
      </c>
      <c r="H403" s="343" t="str">
        <f>IFERROR(VLOOKUP(G403,DATOS!$M$2:$N$219,2,FALSE),"")</f>
        <v>Maquinaria</v>
      </c>
      <c r="I403" s="115" t="s">
        <v>32</v>
      </c>
      <c r="J403" s="115" t="s">
        <v>92</v>
      </c>
      <c r="K403" s="114" t="s">
        <v>148</v>
      </c>
      <c r="L403" s="35" t="s">
        <v>990</v>
      </c>
      <c r="M403" s="35" t="s">
        <v>991</v>
      </c>
      <c r="N403" s="35" t="str" cm="1">
        <f t="array" ref="N403">IFERROR(IF(Tabla8[[#This Row],[P/NP]]="NO PROGRAMADA","",_xlfn.TEXTJOIN(", ",TRUE,_xlfn._xlws.FILTER(Tabla4[[#All],[PIEZA]],ISNUMBER(SEARCH(Tabla4[[#All],[PCLAVE]],Tabla8[[#This Row],[DESCRIPCION DE TRABAJO]])),""))),"")</f>
        <v/>
      </c>
      <c r="O403" s="35" t="str" cm="1">
        <f t="array" ref="O403">_xlfn.TEXTJOIN(", ",TRUE,_xlfn._xlws.FILTER(Tabla28[[#All],[PARTE]],ISNUMBER(SEARCH(Tabla28[[#All],[PCLAVE2]],Tabla8[[#This Row],[DESCRIPCION DE TRABAJO]])),""))</f>
        <v/>
      </c>
      <c r="P403" s="303" t="str">
        <f>IFERROR(LEFT(O403, FIND(",", O403)-1), O403)</f>
        <v/>
      </c>
      <c r="Q403" s="303" t="str">
        <f>IFERROR(IF(ISERROR(FIND(",", O403, FIND(",", O403)+1)), RIGHT(O403, LEN(O403)-FIND(",", O403)-1), MID(O403, FIND(",", O403)+2, FIND(",", O403, FIND(",", O403)+1)-FIND(",", O403)-2)), "")</f>
        <v/>
      </c>
      <c r="R403" s="303" t="str">
        <f>IFERROR(RIGHT(O403, LEN(O403)-FIND(",", O403, FIND(",", O403)+1)-1), "")</f>
        <v/>
      </c>
      <c r="S403" s="35" t="str" cm="1">
        <f t="array" ref="S403">_xlfn.TEXTJOIN(", ",TRUE,_xlfn._xlws.FILTER(Tabla29[[#All],[PARTE]],ISNUMBER(SEARCH(Tabla29[[#All],[PCLAVE3]],Tabla8[[#This Row],[DESCRIPCION DE TRABAJO]])),""))</f>
        <v/>
      </c>
      <c r="T403" s="34" t="str">
        <f>IF(AND(Tabla8[[#This Row],[PIEZA]]="",Tabla8[[#This Row],[PARTE]]=""),"VACIO","OK")</f>
        <v>VACIO</v>
      </c>
      <c r="U403" s="303" t="str">
        <f>+CONCATENATE(WEEKNUM(Tabla8[[#This Row],[FECHA]]),"-",YEAR(Tabla8[[#This Row],[FECHA]]))</f>
        <v>9-2026</v>
      </c>
    </row>
    <row r="404" spans="1:21" ht="15" customHeight="1">
      <c r="A404" s="22">
        <v>46078</v>
      </c>
      <c r="B404" s="16" t="s">
        <v>131</v>
      </c>
      <c r="C404" s="10" t="s">
        <v>39</v>
      </c>
      <c r="D404" s="381">
        <v>1.0416666666666666E-2</v>
      </c>
      <c r="E404" s="381">
        <v>2.1527777777777778E-2</v>
      </c>
      <c r="F404" s="380">
        <f>+MOD(Tabla8[[#This Row],[HR. FIN]]-Tabla8[[#This Row],[HR. INICIO]],1)</f>
        <v>1.1111111111111112E-2</v>
      </c>
      <c r="G404" s="16" t="s">
        <v>140</v>
      </c>
      <c r="H404" s="343" t="str">
        <f>IFERROR(VLOOKUP(G404,DATOS!$M$2:$N$219,2,FALSE),"")</f>
        <v>Maquinaria</v>
      </c>
      <c r="I404" s="115" t="s">
        <v>57</v>
      </c>
      <c r="J404" s="115" t="str">
        <f>+VLOOKUP($I404,Tabla7[#All],2,FALSE)</f>
        <v>NO PROGRAMADA</v>
      </c>
      <c r="K404" s="114" t="str">
        <f>IF(VLOOKUP(I404,Tabla7[#All],3,FALSE)=0,"",VLOOKUP(I404,Tabla7[#All],3,FALSE))</f>
        <v>MECÁNICA</v>
      </c>
      <c r="L404" s="35" t="s">
        <v>992</v>
      </c>
      <c r="M404" s="35" t="s">
        <v>993</v>
      </c>
      <c r="N404" s="35" t="str" cm="1">
        <f t="array" ref="N404">IFERROR(IF(Tabla8[[#This Row],[P/NP]]="NO PROGRAMADA","",_xlfn.TEXTJOIN(", ",TRUE,_xlfn._xlws.FILTER(Tabla4[[#All],[PIEZA]],ISNUMBER(SEARCH(Tabla4[[#All],[PCLAVE]],Tabla8[[#This Row],[DESCRIPCION DE TRABAJO]])),""))),"")</f>
        <v/>
      </c>
      <c r="O404" s="35" t="str" cm="1">
        <f t="array" ref="O404">_xlfn.TEXTJOIN(", ",TRUE,_xlfn._xlws.FILTER(Tabla28[[#All],[PARTE]],ISNUMBER(SEARCH(Tabla28[[#All],[PCLAVE2]],Tabla8[[#This Row],[DESCRIPCION DE TRABAJO]])),""))</f>
        <v/>
      </c>
      <c r="P404" s="303" t="str">
        <f>IFERROR(LEFT(O404, FIND(",", O404)-1), O404)</f>
        <v/>
      </c>
      <c r="Q404" s="303" t="str">
        <f>IFERROR(IF(ISERROR(FIND(",", O404, FIND(",", O404)+1)), RIGHT(O404, LEN(O404)-FIND(",", O404)-1), MID(O404, FIND(",", O404)+2, FIND(",", O404, FIND(",", O404)+1)-FIND(",", O404)-2)), "")</f>
        <v/>
      </c>
      <c r="R404" s="303" t="str">
        <f>IFERROR(RIGHT(O404, LEN(O404)-FIND(",", O404, FIND(",", O404)+1)-1), "")</f>
        <v/>
      </c>
      <c r="S404" s="35" t="str" cm="1">
        <f t="array" ref="S404">_xlfn.TEXTJOIN(", ",TRUE,_xlfn._xlws.FILTER(Tabla29[[#All],[PARTE]],ISNUMBER(SEARCH(Tabla29[[#All],[PCLAVE3]],Tabla8[[#This Row],[DESCRIPCION DE TRABAJO]])),""))</f>
        <v>Mancha Etiquetas</v>
      </c>
      <c r="T404" s="34" t="str">
        <f>IF(AND(Tabla8[[#This Row],[PIEZA]]="",Tabla8[[#This Row],[PARTE]]=""),"VACIO","OK")</f>
        <v>VACIO</v>
      </c>
      <c r="U404" s="303" t="str">
        <f>+CONCATENATE(WEEKNUM(Tabla8[[#This Row],[FECHA]]),"-",YEAR(Tabla8[[#This Row],[FECHA]]))</f>
        <v>9-2026</v>
      </c>
    </row>
    <row r="405" spans="1:21" ht="15" customHeight="1">
      <c r="A405" s="22">
        <v>46078</v>
      </c>
      <c r="B405" s="16" t="s">
        <v>111</v>
      </c>
      <c r="C405" s="10" t="s">
        <v>23</v>
      </c>
      <c r="D405" s="381">
        <v>0.79166666666666663</v>
      </c>
      <c r="E405" s="381">
        <v>0.79861111111111116</v>
      </c>
      <c r="F405" s="380">
        <f>+MOD(Tabla8[[#This Row],[HR. FIN]]-Tabla8[[#This Row],[HR. INICIO]],1)</f>
        <v>6.9444444444445308E-3</v>
      </c>
      <c r="G405" s="16" t="s">
        <v>165</v>
      </c>
      <c r="H405" s="343" t="str">
        <f>IFERROR(VLOOKUP(G405,DATOS!$M$2:$N$219,2,FALSE),"")</f>
        <v>Maquinaria</v>
      </c>
      <c r="I405" s="115" t="s">
        <v>43</v>
      </c>
      <c r="J405" s="115" t="s">
        <v>92</v>
      </c>
      <c r="K405" s="114" t="s">
        <v>148</v>
      </c>
      <c r="L405" s="35" t="s">
        <v>994</v>
      </c>
      <c r="M405" s="35" t="s">
        <v>995</v>
      </c>
      <c r="N405" s="35" t="str" cm="1">
        <f t="array" ref="N405">IFERROR(IF(Tabla8[[#This Row],[P/NP]]="NO PROGRAMADA","",_xlfn.TEXTJOIN(", ",TRUE,_xlfn._xlws.FILTER(Tabla4[[#All],[PIEZA]],ISNUMBER(SEARCH(Tabla4[[#All],[PCLAVE]],Tabla8[[#This Row],[DESCRIPCION DE TRABAJO]])),""))),"")</f>
        <v/>
      </c>
      <c r="O405" s="35" t="str" cm="1">
        <f t="array" ref="O405">_xlfn.TEXTJOIN(", ",TRUE,_xlfn._xlws.FILTER(Tabla28[[#All],[PARTE]],ISNUMBER(SEARCH(Tabla28[[#All],[PCLAVE2]],Tabla8[[#This Row],[DESCRIPCION DE TRABAJO]])),""))</f>
        <v/>
      </c>
      <c r="P405" s="303" t="str">
        <f>IFERROR(LEFT(O405, FIND(",", O405)-1), O405)</f>
        <v/>
      </c>
      <c r="Q405" s="303" t="str">
        <f>IFERROR(IF(ISERROR(FIND(",", O405, FIND(",", O405)+1)), RIGHT(O405, LEN(O405)-FIND(",", O405)-1), MID(O405, FIND(",", O405)+2, FIND(",", O405, FIND(",", O405)+1)-FIND(",", O405)-2)), "")</f>
        <v/>
      </c>
      <c r="R405" s="303" t="str">
        <f>IFERROR(RIGHT(O405, LEN(O405)-FIND(",", O405, FIND(",", O405)+1)-1), "")</f>
        <v/>
      </c>
      <c r="S405" s="35" t="str" cm="1">
        <f t="array" ref="S405">_xlfn.TEXTJOIN(", ",TRUE,_xlfn._xlws.FILTER(Tabla29[[#All],[PARTE]],ISNUMBER(SEARCH(Tabla29[[#All],[PCLAVE3]],Tabla8[[#This Row],[DESCRIPCION DE TRABAJO]])),""))</f>
        <v>No Enciende</v>
      </c>
      <c r="T405" s="34" t="str">
        <f>IF(AND(Tabla8[[#This Row],[PIEZA]]="",Tabla8[[#This Row],[PARTE]]=""),"VACIO","OK")</f>
        <v>VACIO</v>
      </c>
      <c r="U405" s="303" t="str">
        <f>+CONCATENATE(WEEKNUM(Tabla8[[#This Row],[FECHA]]),"-",YEAR(Tabla8[[#This Row],[FECHA]]))</f>
        <v>9-2026</v>
      </c>
    </row>
    <row r="406" spans="1:21" ht="15" customHeight="1">
      <c r="A406" s="22">
        <v>46079</v>
      </c>
      <c r="B406" s="16" t="s">
        <v>111</v>
      </c>
      <c r="C406" s="10" t="s">
        <v>23</v>
      </c>
      <c r="D406" s="381">
        <v>0.75</v>
      </c>
      <c r="E406" s="381">
        <v>0.81597222222222221</v>
      </c>
      <c r="F406" s="380">
        <f>+MOD(Tabla8[[#This Row],[HR. FIN]]-Tabla8[[#This Row],[HR. INICIO]],1)</f>
        <v>6.597222222222221E-2</v>
      </c>
      <c r="G406" s="16" t="s">
        <v>972</v>
      </c>
      <c r="H406" s="343" t="str">
        <f>IFERROR(VLOOKUP(G406,DATOS!$M$2:$N$219,2,FALSE),"")</f>
        <v>Maquinaria</v>
      </c>
      <c r="I406" s="115" t="s">
        <v>54</v>
      </c>
      <c r="J406" s="115" t="str">
        <f>+VLOOKUP($I406,Tabla7[#All],2,FALSE)</f>
        <v>PROGRAMADA</v>
      </c>
      <c r="K406" s="114" t="str">
        <f>IF(VLOOKUP(I406,Tabla7[#All],3,FALSE)=0,"",VLOOKUP(I406,Tabla7[#All],3,FALSE))</f>
        <v/>
      </c>
      <c r="L406" s="35" t="s">
        <v>225</v>
      </c>
      <c r="M406" s="35" t="s">
        <v>121</v>
      </c>
      <c r="N406" s="35" t="str" cm="1">
        <f t="array" ref="N406">IFERROR(IF(Tabla8[[#This Row],[P/NP]]="NO PROGRAMADA","",_xlfn.TEXTJOIN(", ",TRUE,_xlfn._xlws.FILTER(Tabla4[[#All],[PIEZA]],ISNUMBER(SEARCH(Tabla4[[#All],[PCLAVE]],Tabla8[[#This Row],[DESCRIPCION DE TRABAJO]])),""))),"")</f>
        <v/>
      </c>
      <c r="O406" s="35" t="str" cm="1">
        <f t="array" ref="O406">_xlfn.TEXTJOIN(", ",TRUE,_xlfn._xlws.FILTER(Tabla28[[#All],[PARTE]],ISNUMBER(SEARCH(Tabla28[[#All],[PCLAVE2]],Tabla8[[#This Row],[DESCRIPCION DE TRABAJO]])),""))</f>
        <v/>
      </c>
      <c r="P406" s="303" t="str">
        <f>IFERROR(LEFT(O406, FIND(",", O406)-1), O406)</f>
        <v/>
      </c>
      <c r="Q406" s="303" t="str">
        <f>IFERROR(IF(ISERROR(FIND(",", O406, FIND(",", O406)+1)), RIGHT(O406, LEN(O406)-FIND(",", O406)-1), MID(O406, FIND(",", O406)+2, FIND(",", O406, FIND(",", O406)+1)-FIND(",", O406)-2)), "")</f>
        <v/>
      </c>
      <c r="R406" s="303" t="str">
        <f>IFERROR(RIGHT(O406, LEN(O406)-FIND(",", O406, FIND(",", O406)+1)-1), "")</f>
        <v/>
      </c>
      <c r="S406" s="35" t="str" cm="1">
        <f t="array" ref="S406">_xlfn.TEXTJOIN(", ",TRUE,_xlfn._xlws.FILTER(Tabla29[[#All],[PARTE]],ISNUMBER(SEARCH(Tabla29[[#All],[PCLAVE3]],Tabla8[[#This Row],[DESCRIPCION DE TRABAJO]])),""))</f>
        <v/>
      </c>
      <c r="T406" s="34" t="str">
        <f>IF(AND(Tabla8[[#This Row],[PIEZA]]="",Tabla8[[#This Row],[PARTE]]=""),"VACIO","OK")</f>
        <v>VACIO</v>
      </c>
      <c r="U406" s="303" t="str">
        <f>+CONCATENATE(WEEKNUM(Tabla8[[#This Row],[FECHA]]),"-",YEAR(Tabla8[[#This Row],[FECHA]]))</f>
        <v>9-2026</v>
      </c>
    </row>
    <row r="407" spans="1:21" ht="15" customHeight="1">
      <c r="A407" s="22">
        <v>46079</v>
      </c>
      <c r="B407" s="16" t="s">
        <v>111</v>
      </c>
      <c r="C407" s="10" t="s">
        <v>23</v>
      </c>
      <c r="D407" s="381">
        <v>0.65277777777777779</v>
      </c>
      <c r="E407" s="381">
        <v>0.70833333333333337</v>
      </c>
      <c r="F407" s="380">
        <f>+MOD(Tabla8[[#This Row],[HR. FIN]]-Tabla8[[#This Row],[HR. INICIO]],1)</f>
        <v>5.555555555555558E-2</v>
      </c>
      <c r="G407" s="16" t="s">
        <v>996</v>
      </c>
      <c r="H407" s="343" t="str">
        <f>IFERROR(VLOOKUP(G407,DATOS!$M$2:$N$219,2,FALSE),"")</f>
        <v>Area</v>
      </c>
      <c r="I407" s="115" t="s">
        <v>186</v>
      </c>
      <c r="J407" s="115" t="str">
        <f>+VLOOKUP($I407,Tabla7[#All],2,FALSE)</f>
        <v>NO PROGRAMADA</v>
      </c>
      <c r="K407" s="114" t="str">
        <f>IF(VLOOKUP(I407,Tabla7[#All],3,FALSE)=0,"",VLOOKUP(I407,Tabla7[#All],3,FALSE))</f>
        <v>ELÉCTRICA</v>
      </c>
      <c r="L407" s="35" t="s">
        <v>997</v>
      </c>
      <c r="M407" s="35" t="s">
        <v>998</v>
      </c>
      <c r="N407" s="35" t="str" cm="1">
        <f t="array" ref="N407">IFERROR(IF(Tabla8[[#This Row],[P/NP]]="NO PROGRAMADA","",_xlfn.TEXTJOIN(", ",TRUE,_xlfn._xlws.FILTER(Tabla4[[#All],[PIEZA]],ISNUMBER(SEARCH(Tabla4[[#All],[PCLAVE]],Tabla8[[#This Row],[DESCRIPCION DE TRABAJO]])),""))),"")</f>
        <v/>
      </c>
      <c r="O407" s="35" t="str" cm="1">
        <f t="array" ref="O407">_xlfn.TEXTJOIN(", ",TRUE,_xlfn._xlws.FILTER(Tabla28[[#All],[PARTE]],ISNUMBER(SEARCH(Tabla28[[#All],[PCLAVE2]],Tabla8[[#This Row],[DESCRIPCION DE TRABAJO]])),""))</f>
        <v/>
      </c>
      <c r="P407" s="303" t="str">
        <f>IFERROR(LEFT(O407, FIND(",", O407)-1), O407)</f>
        <v/>
      </c>
      <c r="Q407" s="303" t="str">
        <f>IFERROR(IF(ISERROR(FIND(",", O407, FIND(",", O407)+1)), RIGHT(O407, LEN(O407)-FIND(",", O407)-1), MID(O407, FIND(",", O407)+2, FIND(",", O407, FIND(",", O407)+1)-FIND(",", O407)-2)), "")</f>
        <v/>
      </c>
      <c r="R407" s="303" t="str">
        <f>IFERROR(RIGHT(O407, LEN(O407)-FIND(",", O407, FIND(",", O407)+1)-1), "")</f>
        <v/>
      </c>
      <c r="S407" s="35" t="str" cm="1">
        <f t="array" ref="S407">_xlfn.TEXTJOIN(", ",TRUE,_xlfn._xlws.FILTER(Tabla29[[#All],[PARTE]],ISNUMBER(SEARCH(Tabla29[[#All],[PCLAVE3]],Tabla8[[#This Row],[DESCRIPCION DE TRABAJO]])),""))</f>
        <v>Rotura</v>
      </c>
      <c r="T407" s="34" t="str">
        <f>IF(AND(Tabla8[[#This Row],[PIEZA]]="",Tabla8[[#This Row],[PARTE]]=""),"VACIO","OK")</f>
        <v>VACIO</v>
      </c>
      <c r="U407" s="303" t="str">
        <f>+CONCATENATE(WEEKNUM(Tabla8[[#This Row],[FECHA]]),"-",YEAR(Tabla8[[#This Row],[FECHA]]))</f>
        <v>9-2026</v>
      </c>
    </row>
    <row r="408" spans="1:21" ht="15" customHeight="1">
      <c r="A408" s="22">
        <v>46079</v>
      </c>
      <c r="B408" s="16" t="s">
        <v>111</v>
      </c>
      <c r="C408" s="10" t="s">
        <v>23</v>
      </c>
      <c r="D408" s="381">
        <v>0.5</v>
      </c>
      <c r="E408" s="381">
        <v>0.55208333333333337</v>
      </c>
      <c r="F408" s="380">
        <f>+MOD(Tabla8[[#This Row],[HR. FIN]]-Tabla8[[#This Row],[HR. INICIO]],1)</f>
        <v>5.208333333333337E-2</v>
      </c>
      <c r="G408" s="16" t="s">
        <v>312</v>
      </c>
      <c r="H408" s="343" t="str">
        <f>IFERROR(VLOOKUP(G408,DATOS!$M$2:$N$219,2,FALSE),"")</f>
        <v>Maquinaria</v>
      </c>
      <c r="I408" s="115" t="s">
        <v>54</v>
      </c>
      <c r="J408" s="115" t="str">
        <f>+VLOOKUP($I408,Tabla7[#All],2,FALSE)</f>
        <v>PROGRAMADA</v>
      </c>
      <c r="K408" s="114" t="str">
        <f>IF(VLOOKUP(I408,Tabla7[#All],3,FALSE)=0,"",VLOOKUP(I408,Tabla7[#All],3,FALSE))</f>
        <v/>
      </c>
      <c r="L408" s="35" t="s">
        <v>225</v>
      </c>
      <c r="M408" s="35" t="s">
        <v>121</v>
      </c>
      <c r="N408" s="35" t="str" cm="1">
        <f t="array" ref="N408">IFERROR(IF(Tabla8[[#This Row],[P/NP]]="NO PROGRAMADA","",_xlfn.TEXTJOIN(", ",TRUE,_xlfn._xlws.FILTER(Tabla4[[#All],[PIEZA]],ISNUMBER(SEARCH(Tabla4[[#All],[PCLAVE]],Tabla8[[#This Row],[DESCRIPCION DE TRABAJO]])),""))),"")</f>
        <v/>
      </c>
      <c r="O408" s="35" t="str" cm="1">
        <f t="array" ref="O408">_xlfn.TEXTJOIN(", ",TRUE,_xlfn._xlws.FILTER(Tabla28[[#All],[PARTE]],ISNUMBER(SEARCH(Tabla28[[#All],[PCLAVE2]],Tabla8[[#This Row],[DESCRIPCION DE TRABAJO]])),""))</f>
        <v/>
      </c>
      <c r="P408" s="303" t="str">
        <f>IFERROR(LEFT(O408, FIND(",", O408)-1), O408)</f>
        <v/>
      </c>
      <c r="Q408" s="303" t="str">
        <f>IFERROR(IF(ISERROR(FIND(",", O408, FIND(",", O408)+1)), RIGHT(O408, LEN(O408)-FIND(",", O408)-1), MID(O408, FIND(",", O408)+2, FIND(",", O408, FIND(",", O408)+1)-FIND(",", O408)-2)), "")</f>
        <v/>
      </c>
      <c r="R408" s="303" t="str">
        <f>IFERROR(RIGHT(O408, LEN(O408)-FIND(",", O408, FIND(",", O408)+1)-1), "")</f>
        <v/>
      </c>
      <c r="S408" s="35" t="str" cm="1">
        <f t="array" ref="S408">_xlfn.TEXTJOIN(", ",TRUE,_xlfn._xlws.FILTER(Tabla29[[#All],[PARTE]],ISNUMBER(SEARCH(Tabla29[[#All],[PCLAVE3]],Tabla8[[#This Row],[DESCRIPCION DE TRABAJO]])),""))</f>
        <v/>
      </c>
      <c r="T408" s="34" t="str">
        <f>IF(AND(Tabla8[[#This Row],[PIEZA]]="",Tabla8[[#This Row],[PARTE]]=""),"VACIO","OK")</f>
        <v>VACIO</v>
      </c>
      <c r="U408" s="303" t="str">
        <f>+CONCATENATE(WEEKNUM(Tabla8[[#This Row],[FECHA]]),"-",YEAR(Tabla8[[#This Row],[FECHA]]))</f>
        <v>9-2026</v>
      </c>
    </row>
    <row r="409" spans="1:21" ht="15" customHeight="1">
      <c r="A409" s="22">
        <v>46079</v>
      </c>
      <c r="B409" s="16" t="s">
        <v>191</v>
      </c>
      <c r="C409" s="10" t="s">
        <v>36</v>
      </c>
      <c r="D409" s="381">
        <v>0.28402777777777777</v>
      </c>
      <c r="E409" s="381">
        <v>0.32708333333333334</v>
      </c>
      <c r="F409" s="380">
        <f>+MOD(Tabla8[[#This Row],[HR. FIN]]-Tabla8[[#This Row],[HR. INICIO]],1)</f>
        <v>4.3055555555555569E-2</v>
      </c>
      <c r="G409" s="16" t="s">
        <v>270</v>
      </c>
      <c r="H409" s="343" t="str">
        <f>IFERROR(VLOOKUP(G409,DATOS!$M$2:$N$219,2,FALSE),"")</f>
        <v>Maquinaria</v>
      </c>
      <c r="I409" s="115" t="s">
        <v>32</v>
      </c>
      <c r="J409" s="115" t="s">
        <v>92</v>
      </c>
      <c r="K409" s="114" t="s">
        <v>93</v>
      </c>
      <c r="L409" s="35" t="s">
        <v>999</v>
      </c>
      <c r="M409" s="35" t="s">
        <v>1000</v>
      </c>
      <c r="N409" s="35" t="str" cm="1">
        <f t="array" ref="N409">IFERROR(IF(Tabla8[[#This Row],[P/NP]]="NO PROGRAMADA","",_xlfn.TEXTJOIN(", ",TRUE,_xlfn._xlws.FILTER(Tabla4[[#All],[PIEZA]],ISNUMBER(SEARCH(Tabla4[[#All],[PCLAVE]],Tabla8[[#This Row],[DESCRIPCION DE TRABAJO]])),""))),"")</f>
        <v/>
      </c>
      <c r="O409" s="35" t="str" cm="1">
        <f t="array" ref="O409">_xlfn.TEXTJOIN(", ",TRUE,_xlfn._xlws.FILTER(Tabla28[[#All],[PARTE]],ISNUMBER(SEARCH(Tabla28[[#All],[PCLAVE2]],Tabla8[[#This Row],[DESCRIPCION DE TRABAJO]])),""))</f>
        <v>Columna</v>
      </c>
      <c r="P409" s="303" t="str">
        <f>IFERROR(LEFT(O409, FIND(",", O409)-1), O409)</f>
        <v>Columna</v>
      </c>
      <c r="Q409" s="303" t="str">
        <f>IFERROR(IF(ISERROR(FIND(",", O409, FIND(",", O409)+1)), RIGHT(O409, LEN(O409)-FIND(",", O409)-1), MID(O409, FIND(",", O409)+2, FIND(",", O409, FIND(",", O409)+1)-FIND(",", O409)-2)), "")</f>
        <v/>
      </c>
      <c r="R409" s="303" t="str">
        <f>IFERROR(RIGHT(O409, LEN(O409)-FIND(",", O409, FIND(",", O409)+1)-1), "")</f>
        <v/>
      </c>
      <c r="S409" s="35" t="str" cm="1">
        <f t="array" ref="S409">_xlfn.TEXTJOIN(", ",TRUE,_xlfn._xlws.FILTER(Tabla29[[#All],[PARTE]],ISNUMBER(SEARCH(Tabla29[[#All],[PCLAVE3]],Tabla8[[#This Row],[DESCRIPCION DE TRABAJO]])),""))</f>
        <v>Sobretorque</v>
      </c>
      <c r="T409" s="34" t="str">
        <f>IF(AND(Tabla8[[#This Row],[PIEZA]]="",Tabla8[[#This Row],[PARTE]]=""),"VACIO","OK")</f>
        <v>OK</v>
      </c>
      <c r="U409" s="303" t="str">
        <f>+CONCATENATE(WEEKNUM(Tabla8[[#This Row],[FECHA]]),"-",YEAR(Tabla8[[#This Row],[FECHA]]))</f>
        <v>9-2026</v>
      </c>
    </row>
    <row r="410" spans="1:21" ht="15" customHeight="1">
      <c r="A410" s="22">
        <v>46079</v>
      </c>
      <c r="B410" s="16" t="s">
        <v>111</v>
      </c>
      <c r="C410" s="10" t="s">
        <v>23</v>
      </c>
      <c r="D410" s="381">
        <v>0.60069444444444442</v>
      </c>
      <c r="E410" s="381">
        <v>0.63194444444444442</v>
      </c>
      <c r="F410" s="380">
        <f>+MOD(Tabla8[[#This Row],[HR. FIN]]-Tabla8[[#This Row],[HR. INICIO]],1)</f>
        <v>3.125E-2</v>
      </c>
      <c r="G410" s="16" t="s">
        <v>182</v>
      </c>
      <c r="H410" s="343" t="str">
        <f>IFERROR(VLOOKUP(G410,DATOS!$M$2:$N$219,2,FALSE),"")</f>
        <v>Maquinaria</v>
      </c>
      <c r="I410" s="115" t="s">
        <v>32</v>
      </c>
      <c r="J410" s="115" t="str">
        <f>+VLOOKUP($I410,Tabla7[#All],2,FALSE)</f>
        <v>PROGRAMADA</v>
      </c>
      <c r="K410" s="114" t="str">
        <f>IF(VLOOKUP(I410,Tabla7[#All],3,FALSE)=0,"",VLOOKUP(I410,Tabla7[#All],3,FALSE))</f>
        <v/>
      </c>
      <c r="L410" s="35" t="s">
        <v>1001</v>
      </c>
      <c r="M410" s="35" t="s">
        <v>121</v>
      </c>
      <c r="N410" s="35" t="str" cm="1">
        <f t="array" ref="N410">IFERROR(IF(Tabla8[[#This Row],[P/NP]]="NO PROGRAMADA","",_xlfn.TEXTJOIN(", ",TRUE,_xlfn._xlws.FILTER(Tabla4[[#All],[PIEZA]],ISNUMBER(SEARCH(Tabla4[[#All],[PCLAVE]],Tabla8[[#This Row],[DESCRIPCION DE TRABAJO]])),""))),"")</f>
        <v/>
      </c>
      <c r="O410" s="35" t="str" cm="1">
        <f t="array" ref="O410">_xlfn.TEXTJOIN(", ",TRUE,_xlfn._xlws.FILTER(Tabla28[[#All],[PARTE]],ISNUMBER(SEARCH(Tabla28[[#All],[PCLAVE2]],Tabla8[[#This Row],[DESCRIPCION DE TRABAJO]])),""))</f>
        <v/>
      </c>
      <c r="P410" s="303" t="str">
        <f>IFERROR(LEFT(O410, FIND(",", O410)-1), O410)</f>
        <v/>
      </c>
      <c r="Q410" s="303" t="str">
        <f>IFERROR(IF(ISERROR(FIND(",", O410, FIND(",", O410)+1)), RIGHT(O410, LEN(O410)-FIND(",", O410)-1), MID(O410, FIND(",", O410)+2, FIND(",", O410, FIND(",", O410)+1)-FIND(",", O410)-2)), "")</f>
        <v/>
      </c>
      <c r="R410" s="303" t="str">
        <f>IFERROR(RIGHT(O410, LEN(O410)-FIND(",", O410, FIND(",", O410)+1)-1), "")</f>
        <v/>
      </c>
      <c r="S410" s="35" t="str" cm="1">
        <f t="array" ref="S410">_xlfn.TEXTJOIN(", ",TRUE,_xlfn._xlws.FILTER(Tabla29[[#All],[PARTE]],ISNUMBER(SEARCH(Tabla29[[#All],[PCLAVE3]],Tabla8[[#This Row],[DESCRIPCION DE TRABAJO]])),""))</f>
        <v>Calibracion, Cambio De Formato</v>
      </c>
      <c r="T410" s="34" t="str">
        <f>IF(AND(Tabla8[[#This Row],[PIEZA]]="",Tabla8[[#This Row],[PARTE]]=""),"VACIO","OK")</f>
        <v>VACIO</v>
      </c>
      <c r="U410" s="303" t="str">
        <f>+CONCATENATE(WEEKNUM(Tabla8[[#This Row],[FECHA]]),"-",YEAR(Tabla8[[#This Row],[FECHA]]))</f>
        <v>9-2026</v>
      </c>
    </row>
    <row r="411" spans="1:21" ht="15" customHeight="1">
      <c r="A411" s="22">
        <v>46079</v>
      </c>
      <c r="B411" s="16" t="s">
        <v>111</v>
      </c>
      <c r="C411" s="10" t="s">
        <v>23</v>
      </c>
      <c r="D411" s="381">
        <v>0.81944444444444442</v>
      </c>
      <c r="E411" s="381">
        <v>0.85069444444444442</v>
      </c>
      <c r="F411" s="380">
        <f>+MOD(Tabla8[[#This Row],[HR. FIN]]-Tabla8[[#This Row],[HR. INICIO]],1)</f>
        <v>3.125E-2</v>
      </c>
      <c r="G411" s="16" t="s">
        <v>31</v>
      </c>
      <c r="H411" s="343" t="str">
        <f>IFERROR(VLOOKUP(G411,DATOS!$M$2:$N$219,2,FALSE),"")</f>
        <v>Maquinaria</v>
      </c>
      <c r="I411" s="115" t="s">
        <v>32</v>
      </c>
      <c r="J411" s="115" t="str">
        <f>+VLOOKUP($I411,Tabla7[#All],2,FALSE)</f>
        <v>PROGRAMADA</v>
      </c>
      <c r="K411" s="114" t="str">
        <f>IF(VLOOKUP(I411,Tabla7[#All],3,FALSE)=0,"",VLOOKUP(I411,Tabla7[#All],3,FALSE))</f>
        <v/>
      </c>
      <c r="L411" s="35" t="s">
        <v>1002</v>
      </c>
      <c r="M411" s="35" t="s">
        <v>121</v>
      </c>
      <c r="N411" s="35" t="str" cm="1">
        <f t="array" ref="N411">IFERROR(IF(Tabla8[[#This Row],[P/NP]]="NO PROGRAMADA","",_xlfn.TEXTJOIN(", ",TRUE,_xlfn._xlws.FILTER(Tabla4[[#All],[PIEZA]],ISNUMBER(SEARCH(Tabla4[[#All],[PCLAVE]],Tabla8[[#This Row],[DESCRIPCION DE TRABAJO]])),""))),"")</f>
        <v>Banda, Producto</v>
      </c>
      <c r="O411" s="35" t="str" cm="1">
        <f t="array" ref="O411">_xlfn.TEXTJOIN(", ",TRUE,_xlfn._xlws.FILTER(Tabla28[[#All],[PARTE]],ISNUMBER(SEARCH(Tabla28[[#All],[PCLAVE2]],Tabla8[[#This Row],[DESCRIPCION DE TRABAJO]])),""))</f>
        <v/>
      </c>
      <c r="P411" s="303" t="str">
        <f>IFERROR(LEFT(O411, FIND(",", O411)-1), O411)</f>
        <v/>
      </c>
      <c r="Q411" s="303" t="str">
        <f>IFERROR(IF(ISERROR(FIND(",", O411, FIND(",", O411)+1)), RIGHT(O411, LEN(O411)-FIND(",", O411)-1), MID(O411, FIND(",", O411)+2, FIND(",", O411, FIND(",", O411)+1)-FIND(",", O411)-2)), "")</f>
        <v/>
      </c>
      <c r="R411" s="303" t="str">
        <f>IFERROR(RIGHT(O411, LEN(O411)-FIND(",", O411, FIND(",", O411)+1)-1), "")</f>
        <v/>
      </c>
      <c r="S411" s="35" t="str" cm="1">
        <f t="array" ref="S411">_xlfn.TEXTJOIN(", ",TRUE,_xlfn._xlws.FILTER(Tabla29[[#All],[PARTE]],ISNUMBER(SEARCH(Tabla29[[#All],[PCLAVE3]],Tabla8[[#This Row],[DESCRIPCION DE TRABAJO]])),""))</f>
        <v>Cambio De Formato</v>
      </c>
      <c r="T411" s="34" t="str">
        <f>IF(AND(Tabla8[[#This Row],[PIEZA]]="",Tabla8[[#This Row],[PARTE]]=""),"VACIO","OK")</f>
        <v>OK</v>
      </c>
      <c r="U411" s="303" t="str">
        <f>+CONCATENATE(WEEKNUM(Tabla8[[#This Row],[FECHA]]),"-",YEAR(Tabla8[[#This Row],[FECHA]]))</f>
        <v>9-2026</v>
      </c>
    </row>
    <row r="412" spans="1:21" ht="15" customHeight="1">
      <c r="A412" s="22">
        <v>46079</v>
      </c>
      <c r="B412" s="16" t="s">
        <v>111</v>
      </c>
      <c r="C412" s="10" t="s">
        <v>23</v>
      </c>
      <c r="D412" s="381">
        <v>0.85416666666666663</v>
      </c>
      <c r="E412" s="381">
        <v>0.875</v>
      </c>
      <c r="F412" s="380">
        <f>+MOD(Tabla8[[#This Row],[HR. FIN]]-Tabla8[[#This Row],[HR. INICIO]],1)</f>
        <v>2.083333333333337E-2</v>
      </c>
      <c r="G412" s="16" t="s">
        <v>972</v>
      </c>
      <c r="H412" s="343" t="str">
        <f>IFERROR(VLOOKUP(G412,DATOS!$M$2:$N$219,2,FALSE),"")</f>
        <v>Maquinaria</v>
      </c>
      <c r="I412" s="115" t="s">
        <v>57</v>
      </c>
      <c r="J412" s="115" t="str">
        <f>+VLOOKUP($I412,Tabla7[#All],2,FALSE)</f>
        <v>NO PROGRAMADA</v>
      </c>
      <c r="K412" s="114" t="str">
        <f>IF(VLOOKUP(I412,Tabla7[#All],3,FALSE)=0,"",VLOOKUP(I412,Tabla7[#All],3,FALSE))</f>
        <v>MECÁNICA</v>
      </c>
      <c r="L412" s="35" t="s">
        <v>1003</v>
      </c>
      <c r="M412" s="35" t="s">
        <v>121</v>
      </c>
      <c r="N412" s="35" t="str" cm="1">
        <f t="array" ref="N412">IFERROR(IF(Tabla8[[#This Row],[P/NP]]="NO PROGRAMADA","",_xlfn.TEXTJOIN(", ",TRUE,_xlfn._xlws.FILTER(Tabla4[[#All],[PIEZA]],ISNUMBER(SEARCH(Tabla4[[#All],[PCLAVE]],Tabla8[[#This Row],[DESCRIPCION DE TRABAJO]])),""))),"")</f>
        <v/>
      </c>
      <c r="O412" s="35" t="str" cm="1">
        <f t="array" ref="O412">_xlfn.TEXTJOIN(", ",TRUE,_xlfn._xlws.FILTER(Tabla28[[#All],[PARTE]],ISNUMBER(SEARCH(Tabla28[[#All],[PCLAVE2]],Tabla8[[#This Row],[DESCRIPCION DE TRABAJO]])),""))</f>
        <v/>
      </c>
      <c r="P412" s="303" t="str">
        <f>IFERROR(LEFT(O412, FIND(",", O412)-1), O412)</f>
        <v/>
      </c>
      <c r="Q412" s="303" t="str">
        <f>IFERROR(IF(ISERROR(FIND(",", O412, FIND(",", O412)+1)), RIGHT(O412, LEN(O412)-FIND(",", O412)-1), MID(O412, FIND(",", O412)+2, FIND(",", O412, FIND(",", O412)+1)-FIND(",", O412)-2)), "")</f>
        <v/>
      </c>
      <c r="R412" s="303" t="str">
        <f>IFERROR(RIGHT(O412, LEN(O412)-FIND(",", O412, FIND(",", O412)+1)-1), "")</f>
        <v/>
      </c>
      <c r="S412" s="35" t="str" cm="1">
        <f t="array" ref="S412">_xlfn.TEXTJOIN(", ",TRUE,_xlfn._xlws.FILTER(Tabla29[[#All],[PARTE]],ISNUMBER(SEARCH(Tabla29[[#All],[PCLAVE3]],Tabla8[[#This Row],[DESCRIPCION DE TRABAJO]])),""))</f>
        <v>Calibracion, Falla De Presion</v>
      </c>
      <c r="T412" s="34" t="str">
        <f>IF(AND(Tabla8[[#This Row],[PIEZA]]="",Tabla8[[#This Row],[PARTE]]=""),"VACIO","OK")</f>
        <v>VACIO</v>
      </c>
      <c r="U412" s="303" t="str">
        <f>+CONCATENATE(WEEKNUM(Tabla8[[#This Row],[FECHA]]),"-",YEAR(Tabla8[[#This Row],[FECHA]]))</f>
        <v>9-2026</v>
      </c>
    </row>
    <row r="413" spans="1:21" ht="15" customHeight="1">
      <c r="A413" s="22">
        <v>46079</v>
      </c>
      <c r="B413" s="16" t="s">
        <v>111</v>
      </c>
      <c r="C413" s="10" t="s">
        <v>23</v>
      </c>
      <c r="D413" s="381">
        <v>0.63541666666666663</v>
      </c>
      <c r="E413" s="381">
        <v>0.64930555555555558</v>
      </c>
      <c r="F413" s="380">
        <f>+MOD(Tabla8[[#This Row],[HR. FIN]]-Tabla8[[#This Row],[HR. INICIO]],1)</f>
        <v>1.3888888888888951E-2</v>
      </c>
      <c r="G413" s="16" t="s">
        <v>331</v>
      </c>
      <c r="H413" s="343" t="str">
        <f>IFERROR(VLOOKUP(G413,DATOS!$M$2:$N$219,2,FALSE),"")</f>
        <v>Maquinaria</v>
      </c>
      <c r="I413" s="115" t="s">
        <v>43</v>
      </c>
      <c r="J413" s="115" t="str">
        <f>+VLOOKUP($I413,Tabla7[#All],2,FALSE)</f>
        <v>PROGRAMADA</v>
      </c>
      <c r="K413" s="114" t="str">
        <f>IF(VLOOKUP(I413,Tabla7[#All],3,FALSE)=0,"",VLOOKUP(I413,Tabla7[#All],3,FALSE))</f>
        <v/>
      </c>
      <c r="L413" s="35" t="s">
        <v>1004</v>
      </c>
      <c r="M413" s="35" t="s">
        <v>121</v>
      </c>
      <c r="N413" s="35" t="str" cm="1">
        <f t="array" ref="N413">IFERROR(IF(Tabla8[[#This Row],[P/NP]]="NO PROGRAMADA","",_xlfn.TEXTJOIN(", ",TRUE,_xlfn._xlws.FILTER(Tabla4[[#All],[PIEZA]],ISNUMBER(SEARCH(Tabla4[[#All],[PCLAVE]],Tabla8[[#This Row],[DESCRIPCION DE TRABAJO]])),""))),"")</f>
        <v>Mesa</v>
      </c>
      <c r="O413" s="35" t="str" cm="1">
        <f t="array" ref="O413">_xlfn.TEXTJOIN(", ",TRUE,_xlfn._xlws.FILTER(Tabla28[[#All],[PARTE]],ISNUMBER(SEARCH(Tabla28[[#All],[PCLAVE2]],Tabla8[[#This Row],[DESCRIPCION DE TRABAJO]])),""))</f>
        <v/>
      </c>
      <c r="P413" s="303" t="str">
        <f>IFERROR(LEFT(O413, FIND(",", O413)-1), O413)</f>
        <v/>
      </c>
      <c r="Q413" s="303" t="str">
        <f>IFERROR(IF(ISERROR(FIND(",", O413, FIND(",", O413)+1)), RIGHT(O413, LEN(O413)-FIND(",", O413)-1), MID(O413, FIND(",", O413)+2, FIND(",", O413, FIND(",", O413)+1)-FIND(",", O413)-2)), "")</f>
        <v/>
      </c>
      <c r="R413" s="303" t="str">
        <f>IFERROR(RIGHT(O413, LEN(O413)-FIND(",", O413, FIND(",", O413)+1)-1), "")</f>
        <v/>
      </c>
      <c r="S413" s="35" t="str" cm="1">
        <f t="array" ref="S413">_xlfn.TEXTJOIN(", ",TRUE,_xlfn._xlws.FILTER(Tabla29[[#All],[PARTE]],ISNUMBER(SEARCH(Tabla29[[#All],[PCLAVE3]],Tabla8[[#This Row],[DESCRIPCION DE TRABAJO]])),""))</f>
        <v>Lubricacion</v>
      </c>
      <c r="T413" s="34" t="str">
        <f>IF(AND(Tabla8[[#This Row],[PIEZA]]="",Tabla8[[#This Row],[PARTE]]=""),"VACIO","OK")</f>
        <v>OK</v>
      </c>
      <c r="U413" s="303" t="str">
        <f>+CONCATENATE(WEEKNUM(Tabla8[[#This Row],[FECHA]]),"-",YEAR(Tabla8[[#This Row],[FECHA]]))</f>
        <v>9-2026</v>
      </c>
    </row>
    <row r="414" spans="1:21" ht="15" customHeight="1">
      <c r="A414" s="22">
        <v>46079</v>
      </c>
      <c r="B414" s="16" t="s">
        <v>111</v>
      </c>
      <c r="C414" s="10" t="s">
        <v>23</v>
      </c>
      <c r="D414" s="381">
        <v>0.71180555555555558</v>
      </c>
      <c r="E414" s="381">
        <v>0.72569444444444442</v>
      </c>
      <c r="F414" s="380">
        <f>+MOD(Tabla8[[#This Row],[HR. FIN]]-Tabla8[[#This Row],[HR. INICIO]],1)</f>
        <v>1.388888888888884E-2</v>
      </c>
      <c r="G414" s="16" t="s">
        <v>972</v>
      </c>
      <c r="H414" s="343" t="str">
        <f>IFERROR(VLOOKUP(G414,DATOS!$M$2:$N$219,2,FALSE),"")</f>
        <v>Maquinaria</v>
      </c>
      <c r="I414" s="115" t="s">
        <v>54</v>
      </c>
      <c r="J414" s="115" t="s">
        <v>92</v>
      </c>
      <c r="K414" s="114" t="s">
        <v>148</v>
      </c>
      <c r="L414" s="35" t="s">
        <v>1005</v>
      </c>
      <c r="M414" s="35" t="s">
        <v>1006</v>
      </c>
      <c r="N414" s="35" t="str" cm="1">
        <f t="array" ref="N414">IFERROR(IF(Tabla8[[#This Row],[P/NP]]="NO PROGRAMADA","",_xlfn.TEXTJOIN(", ",TRUE,_xlfn._xlws.FILTER(Tabla4[[#All],[PIEZA]],ISNUMBER(SEARCH(Tabla4[[#All],[PCLAVE]],Tabla8[[#This Row],[DESCRIPCION DE TRABAJO]])),""))),"")</f>
        <v/>
      </c>
      <c r="O414" s="35" t="str" cm="1">
        <f t="array" ref="O414">_xlfn.TEXTJOIN(", ",TRUE,_xlfn._xlws.FILTER(Tabla28[[#All],[PARTE]],ISNUMBER(SEARCH(Tabla28[[#All],[PCLAVE2]],Tabla8[[#This Row],[DESCRIPCION DE TRABAJO]])),""))</f>
        <v/>
      </c>
      <c r="P414" s="303" t="str">
        <f>IFERROR(LEFT(O414, FIND(",", O414)-1), O414)</f>
        <v/>
      </c>
      <c r="Q414" s="303" t="str">
        <f>IFERROR(IF(ISERROR(FIND(",", O414, FIND(",", O414)+1)), RIGHT(O414, LEN(O414)-FIND(",", O414)-1), MID(O414, FIND(",", O414)+2, FIND(",", O414, FIND(",", O414)+1)-FIND(",", O414)-2)), "")</f>
        <v/>
      </c>
      <c r="R414" s="303" t="str">
        <f>IFERROR(RIGHT(O414, LEN(O414)-FIND(",", O414, FIND(",", O414)+1)-1), "")</f>
        <v/>
      </c>
      <c r="S414" s="35" t="str" cm="1">
        <f t="array" ref="S414">_xlfn.TEXTJOIN(", ",TRUE,_xlfn._xlws.FILTER(Tabla29[[#All],[PARTE]],ISNUMBER(SEARCH(Tabla29[[#All],[PCLAVE3]],Tabla8[[#This Row],[DESCRIPCION DE TRABAJO]])),""))</f>
        <v>Apagado</v>
      </c>
      <c r="T414" s="34" t="str">
        <f>IF(AND(Tabla8[[#This Row],[PIEZA]]="",Tabla8[[#This Row],[PARTE]]=""),"VACIO","OK")</f>
        <v>VACIO</v>
      </c>
      <c r="U414" s="303" t="str">
        <f>+CONCATENATE(WEEKNUM(Tabla8[[#This Row],[FECHA]]),"-",YEAR(Tabla8[[#This Row],[FECHA]]))</f>
        <v>9-2026</v>
      </c>
    </row>
    <row r="415" spans="1:21" ht="15" customHeight="1">
      <c r="A415" s="22">
        <v>46079</v>
      </c>
      <c r="B415" s="16" t="s">
        <v>191</v>
      </c>
      <c r="C415" s="10" t="s">
        <v>36</v>
      </c>
      <c r="D415" s="381">
        <v>0.24027777777777778</v>
      </c>
      <c r="E415" s="381">
        <v>0.25208333333333333</v>
      </c>
      <c r="F415" s="380">
        <f>+MOD(Tabla8[[#This Row],[HR. FIN]]-Tabla8[[#This Row],[HR. INICIO]],1)</f>
        <v>1.1805555555555541E-2</v>
      </c>
      <c r="G415" s="16" t="s">
        <v>215</v>
      </c>
      <c r="H415" s="343" t="str">
        <f>IFERROR(VLOOKUP(G415,DATOS!$M$2:$N$219,2,FALSE),"")</f>
        <v>Equipos auxiliares</v>
      </c>
      <c r="I415" s="115" t="s">
        <v>54</v>
      </c>
      <c r="J415" s="115" t="str">
        <f>+VLOOKUP($I415,Tabla7[#All],2,FALSE)</f>
        <v>PROGRAMADA</v>
      </c>
      <c r="K415" s="114" t="str">
        <f>IF(VLOOKUP(I415,Tabla7[#All],3,FALSE)=0,"",VLOOKUP(I415,Tabla7[#All],3,FALSE))</f>
        <v/>
      </c>
      <c r="L415" s="35" t="s">
        <v>248</v>
      </c>
      <c r="M415" s="35" t="s">
        <v>121</v>
      </c>
      <c r="N415" s="35" t="str" cm="1">
        <f t="array" ref="N415">IFERROR(IF(Tabla8[[#This Row],[P/NP]]="NO PROGRAMADA","",_xlfn.TEXTJOIN(", ",TRUE,_xlfn._xlws.FILTER(Tabla4[[#All],[PIEZA]],ISNUMBER(SEARCH(Tabla4[[#All],[PCLAVE]],Tabla8[[#This Row],[DESCRIPCION DE TRABAJO]])),""))),"")</f>
        <v/>
      </c>
      <c r="O415" s="35" t="str" cm="1">
        <f t="array" ref="O415">_xlfn.TEXTJOIN(", ",TRUE,_xlfn._xlws.FILTER(Tabla28[[#All],[PARTE]],ISNUMBER(SEARCH(Tabla28[[#All],[PCLAVE2]],Tabla8[[#This Row],[DESCRIPCION DE TRABAJO]])),""))</f>
        <v/>
      </c>
      <c r="P415" s="303" t="str">
        <f>IFERROR(LEFT(O415, FIND(",", O415)-1), O415)</f>
        <v/>
      </c>
      <c r="Q415" s="303" t="str">
        <f>IFERROR(IF(ISERROR(FIND(",", O415, FIND(",", O415)+1)), RIGHT(O415, LEN(O415)-FIND(",", O415)-1), MID(O415, FIND(",", O415)+2, FIND(",", O415, FIND(",", O415)+1)-FIND(",", O415)-2)), "")</f>
        <v/>
      </c>
      <c r="R415" s="303" t="str">
        <f>IFERROR(RIGHT(O415, LEN(O415)-FIND(",", O415, FIND(",", O415)+1)-1), "")</f>
        <v/>
      </c>
      <c r="S415" s="35" t="str" cm="1">
        <f t="array" ref="S415">_xlfn.TEXTJOIN(", ",TRUE,_xlfn._xlws.FILTER(Tabla29[[#All],[PARTE]],ISNUMBER(SEARCH(Tabla29[[#All],[PCLAVE3]],Tabla8[[#This Row],[DESCRIPCION DE TRABAJO]])),""))</f>
        <v/>
      </c>
      <c r="T415" s="34" t="str">
        <f>IF(AND(Tabla8[[#This Row],[PIEZA]]="",Tabla8[[#This Row],[PARTE]]=""),"VACIO","OK")</f>
        <v>VACIO</v>
      </c>
      <c r="U415" s="303" t="str">
        <f>+CONCATENATE(WEEKNUM(Tabla8[[#This Row],[FECHA]]),"-",YEAR(Tabla8[[#This Row],[FECHA]]))</f>
        <v>9-2026</v>
      </c>
    </row>
    <row r="416" spans="1:21" ht="15" customHeight="1">
      <c r="A416" s="22">
        <v>46079</v>
      </c>
      <c r="B416" s="16" t="s">
        <v>191</v>
      </c>
      <c r="C416" s="10" t="s">
        <v>36</v>
      </c>
      <c r="D416" s="381">
        <v>0.25763888888888886</v>
      </c>
      <c r="E416" s="381">
        <v>0.26874999999999999</v>
      </c>
      <c r="F416" s="380">
        <f>+MOD(Tabla8[[#This Row],[HR. FIN]]-Tabla8[[#This Row],[HR. INICIO]],1)</f>
        <v>1.1111111111111127E-2</v>
      </c>
      <c r="G416" s="16" t="s">
        <v>153</v>
      </c>
      <c r="H416" s="343" t="str">
        <f>IFERROR(VLOOKUP(G416,DATOS!$M$2:$N$219,2,FALSE),"")</f>
        <v>Maquinaria</v>
      </c>
      <c r="I416" s="115" t="s">
        <v>57</v>
      </c>
      <c r="J416" s="115" t="str">
        <f>+VLOOKUP($I416,Tabla7[#All],2,FALSE)</f>
        <v>NO PROGRAMADA</v>
      </c>
      <c r="K416" s="114" t="str">
        <f>IF(VLOOKUP(I416,Tabla7[#All],3,FALSE)=0,"",VLOOKUP(I416,Tabla7[#All],3,FALSE))</f>
        <v>MECÁNICA</v>
      </c>
      <c r="L416" s="35" t="s">
        <v>1007</v>
      </c>
      <c r="M416" s="35" t="s">
        <v>1008</v>
      </c>
      <c r="N416" s="35" t="str" cm="1">
        <f t="array" ref="N416">IFERROR(IF(Tabla8[[#This Row],[P/NP]]="NO PROGRAMADA","",_xlfn.TEXTJOIN(", ",TRUE,_xlfn._xlws.FILTER(Tabla4[[#All],[PIEZA]],ISNUMBER(SEARCH(Tabla4[[#All],[PCLAVE]],Tabla8[[#This Row],[DESCRIPCION DE TRABAJO]])),""))),"")</f>
        <v/>
      </c>
      <c r="O416" s="35" t="str" cm="1">
        <f t="array" ref="O416">_xlfn.TEXTJOIN(", ",TRUE,_xlfn._xlws.FILTER(Tabla28[[#All],[PARTE]],ISNUMBER(SEARCH(Tabla28[[#All],[PCLAVE2]],Tabla8[[#This Row],[DESCRIPCION DE TRABAJO]])),""))</f>
        <v/>
      </c>
      <c r="P416" s="303" t="str">
        <f>IFERROR(LEFT(O416, FIND(",", O416)-1), O416)</f>
        <v/>
      </c>
      <c r="Q416" s="303" t="str">
        <f>IFERROR(IF(ISERROR(FIND(",", O416, FIND(",", O416)+1)), RIGHT(O416, LEN(O416)-FIND(",", O416)-1), MID(O416, FIND(",", O416)+2, FIND(",", O416, FIND(",", O416)+1)-FIND(",", O416)-2)), "")</f>
        <v/>
      </c>
      <c r="R416" s="303" t="str">
        <f>IFERROR(RIGHT(O416, LEN(O416)-FIND(",", O416, FIND(",", O416)+1)-1), "")</f>
        <v/>
      </c>
      <c r="S416" s="35" t="str" cm="1">
        <f t="array" ref="S416">_xlfn.TEXTJOIN(", ",TRUE,_xlfn._xlws.FILTER(Tabla29[[#All],[PARTE]],ISNUMBER(SEARCH(Tabla29[[#All],[PCLAVE3]],Tabla8[[#This Row],[DESCRIPCION DE TRABAJO]])),""))</f>
        <v>Calibracion</v>
      </c>
      <c r="T416" s="34" t="str">
        <f>IF(AND(Tabla8[[#This Row],[PIEZA]]="",Tabla8[[#This Row],[PARTE]]=""),"VACIO","OK")</f>
        <v>VACIO</v>
      </c>
      <c r="U416" s="303" t="str">
        <f>+CONCATENATE(WEEKNUM(Tabla8[[#This Row],[FECHA]]),"-",YEAR(Tabla8[[#This Row],[FECHA]]))</f>
        <v>9-2026</v>
      </c>
    </row>
    <row r="417" spans="1:21" ht="15" customHeight="1">
      <c r="A417" s="22">
        <v>46079</v>
      </c>
      <c r="B417" s="16" t="s">
        <v>111</v>
      </c>
      <c r="C417" s="10" t="s">
        <v>23</v>
      </c>
      <c r="D417" s="381">
        <v>0.59027777777777779</v>
      </c>
      <c r="E417" s="381">
        <v>0.59722222222222221</v>
      </c>
      <c r="F417" s="380">
        <f>+MOD(Tabla8[[#This Row],[HR. FIN]]-Tabla8[[#This Row],[HR. INICIO]],1)</f>
        <v>6.9444444444444198E-3</v>
      </c>
      <c r="G417" s="16" t="s">
        <v>136</v>
      </c>
      <c r="H417" s="343" t="str">
        <f>IFERROR(VLOOKUP(G417,DATOS!$M$2:$N$219,2,FALSE),"")</f>
        <v>Maquinaria</v>
      </c>
      <c r="I417" s="115" t="s">
        <v>28</v>
      </c>
      <c r="J417" s="115" t="str">
        <f>+VLOOKUP($I417,Tabla7[#All],2,FALSE)</f>
        <v>NO PROGRAMADA</v>
      </c>
      <c r="K417" s="114" t="s">
        <v>93</v>
      </c>
      <c r="L417" s="35" t="s">
        <v>1009</v>
      </c>
      <c r="M417" s="35" t="s">
        <v>121</v>
      </c>
      <c r="N417" s="35" t="str" cm="1">
        <f t="array" ref="N417">IFERROR(IF(Tabla8[[#This Row],[P/NP]]="NO PROGRAMADA","",_xlfn.TEXTJOIN(", ",TRUE,_xlfn._xlws.FILTER(Tabla4[[#All],[PIEZA]],ISNUMBER(SEARCH(Tabla4[[#All],[PCLAVE]],Tabla8[[#This Row],[DESCRIPCION DE TRABAJO]])),""))),"")</f>
        <v/>
      </c>
      <c r="O417" s="35" t="str" cm="1">
        <f t="array" ref="O417">_xlfn.TEXTJOIN(", ",TRUE,_xlfn._xlws.FILTER(Tabla28[[#All],[PARTE]],ISNUMBER(SEARCH(Tabla28[[#All],[PCLAVE2]],Tabla8[[#This Row],[DESCRIPCION DE TRABAJO]])),""))</f>
        <v/>
      </c>
      <c r="P417" s="303" t="str">
        <f>IFERROR(LEFT(O417, FIND(",", O417)-1), O417)</f>
        <v/>
      </c>
      <c r="Q417" s="303" t="str">
        <f>IFERROR(IF(ISERROR(FIND(",", O417, FIND(",", O417)+1)), RIGHT(O417, LEN(O417)-FIND(",", O417)-1), MID(O417, FIND(",", O417)+2, FIND(",", O417, FIND(",", O417)+1)-FIND(",", O417)-2)), "")</f>
        <v/>
      </c>
      <c r="R417" s="303" t="str">
        <f>IFERROR(RIGHT(O417, LEN(O417)-FIND(",", O417, FIND(",", O417)+1)-1), "")</f>
        <v/>
      </c>
      <c r="S417" s="35" t="str" cm="1">
        <f t="array" ref="S417">_xlfn.TEXTJOIN(", ",TRUE,_xlfn._xlws.FILTER(Tabla29[[#All],[PARTE]],ISNUMBER(SEARCH(Tabla29[[#All],[PCLAVE3]],Tabla8[[#This Row],[DESCRIPCION DE TRABAJO]])),""))</f>
        <v>Dañado</v>
      </c>
      <c r="T417" s="34" t="str">
        <f>IF(AND(Tabla8[[#This Row],[PIEZA]]="",Tabla8[[#This Row],[PARTE]]=""),"VACIO","OK")</f>
        <v>VACIO</v>
      </c>
      <c r="U417" s="303" t="str">
        <f>+CONCATENATE(WEEKNUM(Tabla8[[#This Row],[FECHA]]),"-",YEAR(Tabla8[[#This Row],[FECHA]]))</f>
        <v>9-2026</v>
      </c>
    </row>
    <row r="418" spans="1:21" ht="15" customHeight="1">
      <c r="A418" s="22">
        <v>46080</v>
      </c>
      <c r="B418" s="16" t="s">
        <v>111</v>
      </c>
      <c r="C418" s="10" t="s">
        <v>36</v>
      </c>
      <c r="D418" s="381">
        <v>0.56388888888888888</v>
      </c>
      <c r="E418" s="381">
        <v>0.61111111111111116</v>
      </c>
      <c r="F418" s="380">
        <f>+MOD(Tabla8[[#This Row],[HR. FIN]]-Tabla8[[#This Row],[HR. INICIO]],1)</f>
        <v>4.7222222222222276E-2</v>
      </c>
      <c r="G418" s="16" t="s">
        <v>182</v>
      </c>
      <c r="H418" s="343" t="str">
        <f>IFERROR(VLOOKUP(G418,DATOS!$M$2:$N$219,2,FALSE),"")</f>
        <v>Maquinaria</v>
      </c>
      <c r="I418" s="115" t="s">
        <v>32</v>
      </c>
      <c r="J418" s="115" t="str">
        <f>+VLOOKUP($I418,Tabla7[#All],2,FALSE)</f>
        <v>PROGRAMADA</v>
      </c>
      <c r="K418" s="114" t="str">
        <f>IF(VLOOKUP(I418,Tabla7[#All],3,FALSE)=0,"",VLOOKUP(I418,Tabla7[#All],3,FALSE))</f>
        <v/>
      </c>
      <c r="L418" s="35" t="s">
        <v>1010</v>
      </c>
      <c r="M418" s="35" t="s">
        <v>121</v>
      </c>
      <c r="N418" s="35" t="str" cm="1">
        <f t="array" ref="N418">IFERROR(IF(Tabla8[[#This Row],[P/NP]]="NO PROGRAMADA","",_xlfn.TEXTJOIN(", ",TRUE,_xlfn._xlws.FILTER(Tabla4[[#All],[PIEZA]],ISNUMBER(SEARCH(Tabla4[[#All],[PCLAVE]],Tabla8[[#This Row],[DESCRIPCION DE TRABAJO]])),""))),"")</f>
        <v/>
      </c>
      <c r="O418" s="35" t="str" cm="1">
        <f t="array" ref="O418">_xlfn.TEXTJOIN(", ",TRUE,_xlfn._xlws.FILTER(Tabla28[[#All],[PARTE]],ISNUMBER(SEARCH(Tabla28[[#All],[PCLAVE2]],Tabla8[[#This Row],[DESCRIPCION DE TRABAJO]])),""))</f>
        <v/>
      </c>
      <c r="P418" s="303" t="str">
        <f>IFERROR(LEFT(O418, FIND(",", O418)-1), O418)</f>
        <v/>
      </c>
      <c r="Q418" s="303" t="str">
        <f>IFERROR(IF(ISERROR(FIND(",", O418, FIND(",", O418)+1)), RIGHT(O418, LEN(O418)-FIND(",", O418)-1), MID(O418, FIND(",", O418)+2, FIND(",", O418, FIND(",", O418)+1)-FIND(",", O418)-2)), "")</f>
        <v/>
      </c>
      <c r="R418" s="303" t="str">
        <f>IFERROR(RIGHT(O418, LEN(O418)-FIND(",", O418, FIND(",", O418)+1)-1), "")</f>
        <v/>
      </c>
      <c r="S418" s="35" t="str" cm="1">
        <f t="array" ref="S418">_xlfn.TEXTJOIN(", ",TRUE,_xlfn._xlws.FILTER(Tabla29[[#All],[PARTE]],ISNUMBER(SEARCH(Tabla29[[#All],[PCLAVE3]],Tabla8[[#This Row],[DESCRIPCION DE TRABAJO]])),""))</f>
        <v>Calibracion, Cambio De Formato</v>
      </c>
      <c r="T418" s="34" t="str">
        <f>IF(AND(Tabla8[[#This Row],[PIEZA]]="",Tabla8[[#This Row],[PARTE]]=""),"VACIO","OK")</f>
        <v>VACIO</v>
      </c>
      <c r="U418" s="303" t="str">
        <f>+CONCATENATE(WEEKNUM(Tabla8[[#This Row],[FECHA]]),"-",YEAR(Tabla8[[#This Row],[FECHA]]))</f>
        <v>9-2026</v>
      </c>
    </row>
    <row r="419" spans="1:21" ht="15" customHeight="1">
      <c r="A419" s="22">
        <v>46080</v>
      </c>
      <c r="B419" s="16" t="s">
        <v>111</v>
      </c>
      <c r="C419" s="10" t="s">
        <v>23</v>
      </c>
      <c r="D419" s="381">
        <v>0.70833333333333337</v>
      </c>
      <c r="E419" s="381">
        <v>0.72916666666666663</v>
      </c>
      <c r="F419" s="380">
        <f>+MOD(Tabla8[[#This Row],[HR. FIN]]-Tabla8[[#This Row],[HR. INICIO]],1)</f>
        <v>2.0833333333333259E-2</v>
      </c>
      <c r="G419" s="16" t="s">
        <v>972</v>
      </c>
      <c r="H419" s="343" t="str">
        <f>IFERROR(VLOOKUP(G419,DATOS!$M$2:$N$219,2,FALSE),"")</f>
        <v>Maquinaria</v>
      </c>
      <c r="I419" s="115" t="s">
        <v>57</v>
      </c>
      <c r="J419" s="115" t="str">
        <f>+VLOOKUP($I419,Tabla7[#All],2,FALSE)</f>
        <v>NO PROGRAMADA</v>
      </c>
      <c r="K419" s="114" t="s">
        <v>148</v>
      </c>
      <c r="L419" s="35" t="s">
        <v>1011</v>
      </c>
      <c r="M419" s="35" t="s">
        <v>1012</v>
      </c>
      <c r="N419" s="35" t="str" cm="1">
        <f t="array" ref="N419">IFERROR(IF(Tabla8[[#This Row],[P/NP]]="NO PROGRAMADA","",_xlfn.TEXTJOIN(", ",TRUE,_xlfn._xlws.FILTER(Tabla4[[#All],[PIEZA]],ISNUMBER(SEARCH(Tabla4[[#All],[PCLAVE]],Tabla8[[#This Row],[DESCRIPCION DE TRABAJO]])),""))),"")</f>
        <v/>
      </c>
      <c r="O419" s="35" t="str" cm="1">
        <f t="array" ref="O419">_xlfn.TEXTJOIN(", ",TRUE,_xlfn._xlws.FILTER(Tabla28[[#All],[PARTE]],ISNUMBER(SEARCH(Tabla28[[#All],[PCLAVE2]],Tabla8[[#This Row],[DESCRIPCION DE TRABAJO]])),""))</f>
        <v>Vibradora</v>
      </c>
      <c r="P419" s="303" t="str">
        <f>IFERROR(LEFT(O419, FIND(",", O419)-1), O419)</f>
        <v>Vibradora</v>
      </c>
      <c r="Q419" s="303" t="str">
        <f>IFERROR(IF(ISERROR(FIND(",", O419, FIND(",", O419)+1)), RIGHT(O419, LEN(O419)-FIND(",", O419)-1), MID(O419, FIND(",", O419)+2, FIND(",", O419, FIND(",", O419)+1)-FIND(",", O419)-2)), "")</f>
        <v/>
      </c>
      <c r="R419" s="303" t="str">
        <f>IFERROR(RIGHT(O419, LEN(O419)-FIND(",", O419, FIND(",", O419)+1)-1), "")</f>
        <v/>
      </c>
      <c r="S419" s="35" t="str" cm="1">
        <f t="array" ref="S419">_xlfn.TEXTJOIN(", ",TRUE,_xlfn._xlws.FILTER(Tabla29[[#All],[PARTE]],ISNUMBER(SEARCH(Tabla29[[#All],[PCLAVE3]],Tabla8[[#This Row],[DESCRIPCION DE TRABAJO]])),""))</f>
        <v>Vibracion</v>
      </c>
      <c r="T419" s="34" t="str">
        <f>IF(AND(Tabla8[[#This Row],[PIEZA]]="",Tabla8[[#This Row],[PARTE]]=""),"VACIO","OK")</f>
        <v>OK</v>
      </c>
      <c r="U419" s="303" t="str">
        <f>+CONCATENATE(WEEKNUM(Tabla8[[#This Row],[FECHA]]),"-",YEAR(Tabla8[[#This Row],[FECHA]]))</f>
        <v>9-2026</v>
      </c>
    </row>
    <row r="420" spans="1:21" ht="15" customHeight="1">
      <c r="A420" s="22">
        <v>46080</v>
      </c>
      <c r="B420" s="16" t="s">
        <v>111</v>
      </c>
      <c r="C420" s="10" t="s">
        <v>23</v>
      </c>
      <c r="D420" s="381">
        <v>0.57638888888888884</v>
      </c>
      <c r="E420" s="381">
        <v>0.59375</v>
      </c>
      <c r="F420" s="380">
        <f>+MOD(Tabla8[[#This Row],[HR. FIN]]-Tabla8[[#This Row],[HR. INICIO]],1)</f>
        <v>1.736111111111116E-2</v>
      </c>
      <c r="G420" s="16" t="s">
        <v>119</v>
      </c>
      <c r="H420" s="343" t="str">
        <f>IFERROR(VLOOKUP(G420,DATOS!$M$2:$N$219,2,FALSE),"")</f>
        <v>Maquinaria</v>
      </c>
      <c r="I420" s="115" t="s">
        <v>32</v>
      </c>
      <c r="J420" s="115" t="str">
        <f>+VLOOKUP($I420,Tabla7[#All],2,FALSE)</f>
        <v>PROGRAMADA</v>
      </c>
      <c r="K420" s="114" t="str">
        <f>IF(VLOOKUP(I420,Tabla7[#All],3,FALSE)=0,"",VLOOKUP(I420,Tabla7[#All],3,FALSE))</f>
        <v/>
      </c>
      <c r="L420" s="35" t="s">
        <v>1013</v>
      </c>
      <c r="M420" s="35" t="s">
        <v>121</v>
      </c>
      <c r="N420" s="35" t="str" cm="1">
        <f t="array" ref="N420">IFERROR(IF(Tabla8[[#This Row],[P/NP]]="NO PROGRAMADA","",_xlfn.TEXTJOIN(", ",TRUE,_xlfn._xlws.FILTER(Tabla4[[#All],[PIEZA]],ISNUMBER(SEARCH(Tabla4[[#All],[PCLAVE]],Tabla8[[#This Row],[DESCRIPCION DE TRABAJO]])),""))),"")</f>
        <v/>
      </c>
      <c r="O420" s="35" t="str" cm="1">
        <f t="array" ref="O420">_xlfn.TEXTJOIN(", ",TRUE,_xlfn._xlws.FILTER(Tabla28[[#All],[PARTE]],ISNUMBER(SEARCH(Tabla28[[#All],[PCLAVE2]],Tabla8[[#This Row],[DESCRIPCION DE TRABAJO]])),""))</f>
        <v>Mds</v>
      </c>
      <c r="P420" s="303" t="str">
        <f>IFERROR(LEFT(O420, FIND(",", O420)-1), O420)</f>
        <v>Mds</v>
      </c>
      <c r="Q420" s="303" t="str">
        <f>IFERROR(IF(ISERROR(FIND(",", O420, FIND(",", O420)+1)), RIGHT(O420, LEN(O420)-FIND(",", O420)-1), MID(O420, FIND(",", O420)+2, FIND(",", O420, FIND(",", O420)+1)-FIND(",", O420)-2)), "")</f>
        <v/>
      </c>
      <c r="R420" s="303" t="str">
        <f>IFERROR(RIGHT(O420, LEN(O420)-FIND(",", O420, FIND(",", O420)+1)-1), "")</f>
        <v/>
      </c>
      <c r="S420" s="35" t="str" cm="1">
        <f t="array" ref="S420">_xlfn.TEXTJOIN(", ",TRUE,_xlfn._xlws.FILTER(Tabla29[[#All],[PARTE]],ISNUMBER(SEARCH(Tabla29[[#All],[PCLAVE3]],Tabla8[[#This Row],[DESCRIPCION DE TRABAJO]])),""))</f>
        <v>Cambio De Formato</v>
      </c>
      <c r="T420" s="34" t="str">
        <f>IF(AND(Tabla8[[#This Row],[PIEZA]]="",Tabla8[[#This Row],[PARTE]]=""),"VACIO","OK")</f>
        <v>OK</v>
      </c>
      <c r="U420" s="303" t="str">
        <f>+CONCATENATE(WEEKNUM(Tabla8[[#This Row],[FECHA]]),"-",YEAR(Tabla8[[#This Row],[FECHA]]))</f>
        <v>9-2026</v>
      </c>
    </row>
    <row r="421" spans="1:21" ht="15" customHeight="1">
      <c r="A421" s="22">
        <v>46080</v>
      </c>
      <c r="B421" s="16" t="s">
        <v>111</v>
      </c>
      <c r="C421" s="10" t="s">
        <v>23</v>
      </c>
      <c r="D421" s="381">
        <v>0.61458333333333337</v>
      </c>
      <c r="E421" s="381">
        <v>0.63194444444444442</v>
      </c>
      <c r="F421" s="380">
        <f>+MOD(Tabla8[[#This Row],[HR. FIN]]-Tabla8[[#This Row],[HR. INICIO]],1)</f>
        <v>1.7361111111111049E-2</v>
      </c>
      <c r="G421" s="16" t="s">
        <v>119</v>
      </c>
      <c r="H421" s="343" t="str">
        <f>IFERROR(VLOOKUP(G421,DATOS!$M$2:$N$219,2,FALSE),"")</f>
        <v>Maquinaria</v>
      </c>
      <c r="I421" s="115" t="s">
        <v>32</v>
      </c>
      <c r="J421" s="115" t="str">
        <f>+VLOOKUP($I421,Tabla7[#All],2,FALSE)</f>
        <v>PROGRAMADA</v>
      </c>
      <c r="K421" s="114" t="str">
        <f>IF(VLOOKUP(I421,Tabla7[#All],3,FALSE)=0,"",VLOOKUP(I421,Tabla7[#All],3,FALSE))</f>
        <v/>
      </c>
      <c r="L421" s="35" t="s">
        <v>1014</v>
      </c>
      <c r="M421" s="35" t="s">
        <v>121</v>
      </c>
      <c r="N421" s="35" t="str" cm="1">
        <f t="array" ref="N421">IFERROR(IF(Tabla8[[#This Row],[P/NP]]="NO PROGRAMADA","",_xlfn.TEXTJOIN(", ",TRUE,_xlfn._xlws.FILTER(Tabla4[[#All],[PIEZA]],ISNUMBER(SEARCH(Tabla4[[#All],[PCLAVE]],Tabla8[[#This Row],[DESCRIPCION DE TRABAJO]])),""))),"")</f>
        <v/>
      </c>
      <c r="O421" s="35" t="str" cm="1">
        <f t="array" ref="O421">_xlfn.TEXTJOIN(", ",TRUE,_xlfn._xlws.FILTER(Tabla28[[#All],[PARTE]],ISNUMBER(SEARCH(Tabla28[[#All],[PCLAVE2]],Tabla8[[#This Row],[DESCRIPCION DE TRABAJO]])),""))</f>
        <v>Mds</v>
      </c>
      <c r="P421" s="303" t="str">
        <f>IFERROR(LEFT(O421, FIND(",", O421)-1), O421)</f>
        <v>Mds</v>
      </c>
      <c r="Q421" s="303" t="str">
        <f>IFERROR(IF(ISERROR(FIND(",", O421, FIND(",", O421)+1)), RIGHT(O421, LEN(O421)-FIND(",", O421)-1), MID(O421, FIND(",", O421)+2, FIND(",", O421, FIND(",", O421)+1)-FIND(",", O421)-2)), "")</f>
        <v/>
      </c>
      <c r="R421" s="303" t="str">
        <f>IFERROR(RIGHT(O421, LEN(O421)-FIND(",", O421, FIND(",", O421)+1)-1), "")</f>
        <v/>
      </c>
      <c r="S421" s="35" t="str" cm="1">
        <f t="array" ref="S421">_xlfn.TEXTJOIN(", ",TRUE,_xlfn._xlws.FILTER(Tabla29[[#All],[PARTE]],ISNUMBER(SEARCH(Tabla29[[#All],[PCLAVE3]],Tabla8[[#This Row],[DESCRIPCION DE TRABAJO]])),""))</f>
        <v>Cambio De Formato</v>
      </c>
      <c r="T421" s="34" t="str">
        <f>IF(AND(Tabla8[[#This Row],[PIEZA]]="",Tabla8[[#This Row],[PARTE]]=""),"VACIO","OK")</f>
        <v>OK</v>
      </c>
      <c r="U421" s="303" t="str">
        <f>+CONCATENATE(WEEKNUM(Tabla8[[#This Row],[FECHA]]),"-",YEAR(Tabla8[[#This Row],[FECHA]]))</f>
        <v>9-2026</v>
      </c>
    </row>
    <row r="422" spans="1:21" ht="15" customHeight="1">
      <c r="A422" s="22">
        <v>46080</v>
      </c>
      <c r="B422" s="16" t="s">
        <v>111</v>
      </c>
      <c r="C422" s="10" t="s">
        <v>23</v>
      </c>
      <c r="D422" s="381">
        <v>0.59722222222222221</v>
      </c>
      <c r="E422" s="381">
        <v>0.61111111111111116</v>
      </c>
      <c r="F422" s="380">
        <f>+MOD(Tabla8[[#This Row],[HR. FIN]]-Tabla8[[#This Row],[HR. INICIO]],1)</f>
        <v>1.3888888888888951E-2</v>
      </c>
      <c r="G422" s="16" t="s">
        <v>119</v>
      </c>
      <c r="H422" s="343" t="str">
        <f>IFERROR(VLOOKUP(G422,DATOS!$M$2:$N$219,2,FALSE),"")</f>
        <v>Maquinaria</v>
      </c>
      <c r="I422" s="115" t="s">
        <v>54</v>
      </c>
      <c r="J422" s="115" t="str">
        <f>+VLOOKUP($I422,Tabla7[#All],2,FALSE)</f>
        <v>PROGRAMADA</v>
      </c>
      <c r="K422" s="114" t="str">
        <f>IF(VLOOKUP(I422,Tabla7[#All],3,FALSE)=0,"",VLOOKUP(I422,Tabla7[#All],3,FALSE))</f>
        <v/>
      </c>
      <c r="L422" s="35" t="s">
        <v>489</v>
      </c>
      <c r="M422" s="35" t="s">
        <v>121</v>
      </c>
      <c r="N422" s="35" t="str" cm="1">
        <f t="array" ref="N422">IFERROR(IF(Tabla8[[#This Row],[P/NP]]="NO PROGRAMADA","",_xlfn.TEXTJOIN(", ",TRUE,_xlfn._xlws.FILTER(Tabla4[[#All],[PIEZA]],ISNUMBER(SEARCH(Tabla4[[#All],[PCLAVE]],Tabla8[[#This Row],[DESCRIPCION DE TRABAJO]])),""))),"")</f>
        <v/>
      </c>
      <c r="O422" s="35" t="str" cm="1">
        <f t="array" ref="O422">_xlfn.TEXTJOIN(", ",TRUE,_xlfn._xlws.FILTER(Tabla28[[#All],[PARTE]],ISNUMBER(SEARCH(Tabla28[[#All],[PCLAVE2]],Tabla8[[#This Row],[DESCRIPCION DE TRABAJO]])),""))</f>
        <v>Temperadora</v>
      </c>
      <c r="P422" s="303" t="str">
        <f>IFERROR(LEFT(O422, FIND(",", O422)-1), O422)</f>
        <v>Temperadora</v>
      </c>
      <c r="Q422" s="303" t="str">
        <f>IFERROR(IF(ISERROR(FIND(",", O422, FIND(",", O422)+1)), RIGHT(O422, LEN(O422)-FIND(",", O422)-1), MID(O422, FIND(",", O422)+2, FIND(",", O422, FIND(",", O422)+1)-FIND(",", O422)-2)), "")</f>
        <v/>
      </c>
      <c r="R422" s="303" t="str">
        <f>IFERROR(RIGHT(O422, LEN(O422)-FIND(",", O422, FIND(",", O422)+1)-1), "")</f>
        <v/>
      </c>
      <c r="S422" s="35" t="str" cm="1">
        <f t="array" ref="S422">_xlfn.TEXTJOIN(", ",TRUE,_xlfn._xlws.FILTER(Tabla29[[#All],[PARTE]],ISNUMBER(SEARCH(Tabla29[[#All],[PCLAVE3]],Tabla8[[#This Row],[DESCRIPCION DE TRABAJO]])),""))</f>
        <v/>
      </c>
      <c r="T422" s="34" t="str">
        <f>IF(AND(Tabla8[[#This Row],[PIEZA]]="",Tabla8[[#This Row],[PARTE]]=""),"VACIO","OK")</f>
        <v>OK</v>
      </c>
      <c r="U422" s="303" t="str">
        <f>+CONCATENATE(WEEKNUM(Tabla8[[#This Row],[FECHA]]),"-",YEAR(Tabla8[[#This Row],[FECHA]]))</f>
        <v>9-2026</v>
      </c>
    </row>
    <row r="423" spans="1:21" ht="15" customHeight="1">
      <c r="A423" s="22">
        <v>46081</v>
      </c>
      <c r="B423" s="16" t="s">
        <v>111</v>
      </c>
      <c r="C423" s="10" t="s">
        <v>23</v>
      </c>
      <c r="D423" s="381">
        <v>0.54861111111111116</v>
      </c>
      <c r="E423" s="381">
        <v>0.5625</v>
      </c>
      <c r="F423" s="380">
        <f>+MOD(Tabla8[[#This Row],[HR. FIN]]-Tabla8[[#This Row],[HR. INICIO]],1)</f>
        <v>1.388888888888884E-2</v>
      </c>
      <c r="G423" s="16" t="s">
        <v>1015</v>
      </c>
      <c r="H423" s="343" t="str">
        <f>IFERROR(VLOOKUP(G423,DATOS!$M$2:$N$219,2,FALSE),"")</f>
        <v>Maquinaria</v>
      </c>
      <c r="I423" s="115" t="s">
        <v>54</v>
      </c>
      <c r="J423" s="115" t="str">
        <f>+VLOOKUP($I423,Tabla7[#All],2,FALSE)</f>
        <v>PROGRAMADA</v>
      </c>
      <c r="K423" s="114" t="str">
        <f>IF(VLOOKUP(I423,Tabla7[#All],3,FALSE)=0,"",VLOOKUP(I423,Tabla7[#All],3,FALSE))</f>
        <v/>
      </c>
      <c r="L423" s="35" t="s">
        <v>225</v>
      </c>
      <c r="M423" s="35" t="s">
        <v>121</v>
      </c>
      <c r="N423" s="35" t="str" cm="1">
        <f t="array" ref="N423">IFERROR(IF(Tabla8[[#This Row],[P/NP]]="NO PROGRAMADA","",_xlfn.TEXTJOIN(", ",TRUE,_xlfn._xlws.FILTER(Tabla4[[#All],[PIEZA]],ISNUMBER(SEARCH(Tabla4[[#All],[PCLAVE]],Tabla8[[#This Row],[DESCRIPCION DE TRABAJO]])),""))),"")</f>
        <v/>
      </c>
      <c r="O423" s="35" t="str" cm="1">
        <f t="array" ref="O423">_xlfn.TEXTJOIN(", ",TRUE,_xlfn._xlws.FILTER(Tabla28[[#All],[PARTE]],ISNUMBER(SEARCH(Tabla28[[#All],[PCLAVE2]],Tabla8[[#This Row],[DESCRIPCION DE TRABAJO]])),""))</f>
        <v/>
      </c>
      <c r="P423" s="303" t="str">
        <f>IFERROR(LEFT(O423, FIND(",", O423)-1), O423)</f>
        <v/>
      </c>
      <c r="Q423" s="303" t="str">
        <f>IFERROR(IF(ISERROR(FIND(",", O423, FIND(",", O423)+1)), RIGHT(O423, LEN(O423)-FIND(",", O423)-1), MID(O423, FIND(",", O423)+2, FIND(",", O423, FIND(",", O423)+1)-FIND(",", O423)-2)), "")</f>
        <v/>
      </c>
      <c r="R423" s="303" t="str">
        <f>IFERROR(RIGHT(O423, LEN(O423)-FIND(",", O423, FIND(",", O423)+1)-1), "")</f>
        <v/>
      </c>
      <c r="S423" s="35" t="str" cm="1">
        <f t="array" ref="S423">_xlfn.TEXTJOIN(", ",TRUE,_xlfn._xlws.FILTER(Tabla29[[#All],[PARTE]],ISNUMBER(SEARCH(Tabla29[[#All],[PCLAVE3]],Tabla8[[#This Row],[DESCRIPCION DE TRABAJO]])),""))</f>
        <v/>
      </c>
      <c r="T423" s="34" t="str">
        <f>IF(AND(Tabla8[[#This Row],[PIEZA]]="",Tabla8[[#This Row],[PARTE]]=""),"VACIO","OK")</f>
        <v>VACIO</v>
      </c>
      <c r="U423" s="303" t="str">
        <f>+CONCATENATE(WEEKNUM(Tabla8[[#This Row],[FECHA]]),"-",YEAR(Tabla8[[#This Row],[FECHA]]))</f>
        <v>9-2026</v>
      </c>
    </row>
    <row r="424" spans="1:21" ht="15" customHeight="1">
      <c r="A424" s="22">
        <v>46083</v>
      </c>
      <c r="B424" s="16" t="s">
        <v>111</v>
      </c>
      <c r="C424" s="10" t="s">
        <v>36</v>
      </c>
      <c r="D424" s="381">
        <v>0.44097222222222221</v>
      </c>
      <c r="E424" s="381">
        <v>0.52083333333333337</v>
      </c>
      <c r="F424" s="380">
        <f>+MOD(Tabla8[[#This Row],[HR. FIN]]-Tabla8[[#This Row],[HR. INICIO]],1)</f>
        <v>7.986111111111116E-2</v>
      </c>
      <c r="G424" s="16" t="s">
        <v>119</v>
      </c>
      <c r="H424" s="343" t="str">
        <f>IFERROR(VLOOKUP(G424,DATOS!$M$2:$N$219,2,FALSE),"")</f>
        <v>Maquinaria</v>
      </c>
      <c r="I424" s="115" t="s">
        <v>32</v>
      </c>
      <c r="J424" s="115" t="str">
        <f>+VLOOKUP($I424,Tabla7[#All],2,FALSE)</f>
        <v>PROGRAMADA</v>
      </c>
      <c r="K424" s="114" t="str">
        <f>IF(VLOOKUP(I424,Tabla7[#All],3,FALSE)=0,"",VLOOKUP(I424,Tabla7[#All],3,FALSE))</f>
        <v/>
      </c>
      <c r="L424" s="35" t="s">
        <v>1016</v>
      </c>
      <c r="M424" s="35" t="s">
        <v>1017</v>
      </c>
      <c r="N424" s="35" t="str" cm="1">
        <f t="array" ref="N424">IFERROR(IF(Tabla8[[#This Row],[P/NP]]="NO PROGRAMADA","",_xlfn.TEXTJOIN(", ",TRUE,_xlfn._xlws.FILTER(Tabla4[[#All],[PIEZA]],ISNUMBER(SEARCH(Tabla4[[#All],[PCLAVE]],Tabla8[[#This Row],[DESCRIPCION DE TRABAJO]])),""))),"")</f>
        <v/>
      </c>
      <c r="O424" s="35" t="str" cm="1">
        <f t="array" ref="O424">_xlfn.TEXTJOIN(", ",TRUE,_xlfn._xlws.FILTER(Tabla28[[#All],[PARTE]],ISNUMBER(SEARCH(Tabla28[[#All],[PCLAVE2]],Tabla8[[#This Row],[DESCRIPCION DE TRABAJO]])),""))</f>
        <v/>
      </c>
      <c r="P424" s="303" t="str">
        <f>IFERROR(LEFT(O424, FIND(",", O424)-1), O424)</f>
        <v/>
      </c>
      <c r="Q424" s="303" t="str">
        <f>IFERROR(IF(ISERROR(FIND(",", O424, FIND(",", O424)+1)), RIGHT(O424, LEN(O424)-FIND(",", O424)-1), MID(O424, FIND(",", O424)+2, FIND(",", O424, FIND(",", O424)+1)-FIND(",", O424)-2)), "")</f>
        <v/>
      </c>
      <c r="R424" s="303" t="str">
        <f>IFERROR(RIGHT(O424, LEN(O424)-FIND(",", O424, FIND(",", O424)+1)-1), "")</f>
        <v/>
      </c>
      <c r="S424" s="35" t="str" cm="1">
        <f t="array" ref="S424">_xlfn.TEXTJOIN(", ",TRUE,_xlfn._xlws.FILTER(Tabla29[[#All],[PARTE]],ISNUMBER(SEARCH(Tabla29[[#All],[PCLAVE3]],Tabla8[[#This Row],[DESCRIPCION DE TRABAJO]])),""))</f>
        <v>Temperatura</v>
      </c>
      <c r="T424" s="34" t="str">
        <f>IF(AND(Tabla8[[#This Row],[PIEZA]]="",Tabla8[[#This Row],[PARTE]]=""),"VACIO","OK")</f>
        <v>VACIO</v>
      </c>
      <c r="U424" s="303" t="str">
        <f>+CONCATENATE(WEEKNUM(Tabla8[[#This Row],[FECHA]]),"-",YEAR(Tabla8[[#This Row],[FECHA]]))</f>
        <v>10-2026</v>
      </c>
    </row>
    <row r="425" spans="1:21" ht="15" customHeight="1">
      <c r="A425" s="22">
        <v>46083</v>
      </c>
      <c r="B425" s="16" t="s">
        <v>111</v>
      </c>
      <c r="C425" s="10" t="s">
        <v>36</v>
      </c>
      <c r="D425" s="381">
        <v>0.37847222222222221</v>
      </c>
      <c r="E425" s="381">
        <v>0.41666666666666669</v>
      </c>
      <c r="F425" s="380">
        <f>+MOD(Tabla8[[#This Row],[HR. FIN]]-Tabla8[[#This Row],[HR. INICIO]],1)</f>
        <v>3.8194444444444475E-2</v>
      </c>
      <c r="G425" s="16" t="s">
        <v>222</v>
      </c>
      <c r="H425" s="343" t="str">
        <f>IFERROR(VLOOKUP(G425,DATOS!$M$2:$N$219,2,FALSE),"")</f>
        <v>Maquinaria</v>
      </c>
      <c r="I425" s="115" t="s">
        <v>32</v>
      </c>
      <c r="J425" s="115" t="s">
        <v>92</v>
      </c>
      <c r="K425" s="114" t="s">
        <v>148</v>
      </c>
      <c r="L425" s="35" t="s">
        <v>1018</v>
      </c>
      <c r="M425" s="35" t="s">
        <v>1019</v>
      </c>
      <c r="N425" s="35" t="str" cm="1">
        <f t="array" ref="N425">IFERROR(IF(Tabla8[[#This Row],[P/NP]]="NO PROGRAMADA","",_xlfn.TEXTJOIN(", ",TRUE,_xlfn._xlws.FILTER(Tabla4[[#All],[PIEZA]],ISNUMBER(SEARCH(Tabla4[[#All],[PCLAVE]],Tabla8[[#This Row],[DESCRIPCION DE TRABAJO]])),""))),"")</f>
        <v/>
      </c>
      <c r="O425" s="35" t="str" cm="1">
        <f t="array" ref="O425">_xlfn.TEXTJOIN(", ",TRUE,_xlfn._xlws.FILTER(Tabla28[[#All],[PARTE]],ISNUMBER(SEARCH(Tabla28[[#All],[PCLAVE2]],Tabla8[[#This Row],[DESCRIPCION DE TRABAJO]])),""))</f>
        <v/>
      </c>
      <c r="P425" s="303" t="str">
        <f>IFERROR(LEFT(O425, FIND(",", O425)-1), O425)</f>
        <v/>
      </c>
      <c r="Q425" s="303" t="str">
        <f>IFERROR(IF(ISERROR(FIND(",", O425, FIND(",", O425)+1)), RIGHT(O425, LEN(O425)-FIND(",", O425)-1), MID(O425, FIND(",", O425)+2, FIND(",", O425, FIND(",", O425)+1)-FIND(",", O425)-2)), "")</f>
        <v/>
      </c>
      <c r="R425" s="303" t="str">
        <f>IFERROR(RIGHT(O425, LEN(O425)-FIND(",", O425, FIND(",", O425)+1)-1), "")</f>
        <v/>
      </c>
      <c r="S425" s="35" t="str" cm="1">
        <f t="array" ref="S425">_xlfn.TEXTJOIN(", ",TRUE,_xlfn._xlws.FILTER(Tabla29[[#All],[PARTE]],ISNUMBER(SEARCH(Tabla29[[#All],[PCLAVE3]],Tabla8[[#This Row],[DESCRIPCION DE TRABAJO]])),""))</f>
        <v>No Responde</v>
      </c>
      <c r="T425" s="34" t="str">
        <f>IF(AND(Tabla8[[#This Row],[PIEZA]]="",Tabla8[[#This Row],[PARTE]]=""),"VACIO","OK")</f>
        <v>VACIO</v>
      </c>
      <c r="U425" s="303" t="str">
        <f>+CONCATENATE(WEEKNUM(Tabla8[[#This Row],[FECHA]]),"-",YEAR(Tabla8[[#This Row],[FECHA]]))</f>
        <v>10-2026</v>
      </c>
    </row>
    <row r="426" spans="1:21" ht="15" customHeight="1">
      <c r="A426" s="22">
        <v>46083</v>
      </c>
      <c r="B426" s="16" t="s">
        <v>111</v>
      </c>
      <c r="C426" s="10" t="s">
        <v>36</v>
      </c>
      <c r="D426" s="381">
        <v>0.55555555555555558</v>
      </c>
      <c r="E426" s="381">
        <v>0.59027777777777779</v>
      </c>
      <c r="F426" s="380">
        <f>+MOD(Tabla8[[#This Row],[HR. FIN]]-Tabla8[[#This Row],[HR. INICIO]],1)</f>
        <v>3.472222222222221E-2</v>
      </c>
      <c r="G426" s="16" t="s">
        <v>328</v>
      </c>
      <c r="H426" s="343" t="str">
        <f>IFERROR(VLOOKUP(G426,DATOS!$M$2:$N$219,2,FALSE),"")</f>
        <v>Area</v>
      </c>
      <c r="I426" s="115" t="s">
        <v>61</v>
      </c>
      <c r="J426" s="115" t="s">
        <v>92</v>
      </c>
      <c r="K426" s="114" t="s">
        <v>93</v>
      </c>
      <c r="L426" s="35" t="s">
        <v>1020</v>
      </c>
      <c r="M426" s="35" t="s">
        <v>121</v>
      </c>
      <c r="N426" s="35" t="str" cm="1">
        <f t="array" ref="N426">IFERROR(IF(Tabla8[[#This Row],[P/NP]]="NO PROGRAMADA","",_xlfn.TEXTJOIN(", ",TRUE,_xlfn._xlws.FILTER(Tabla4[[#All],[PIEZA]],ISNUMBER(SEARCH(Tabla4[[#All],[PCLAVE]],Tabla8[[#This Row],[DESCRIPCION DE TRABAJO]])),""))),"")</f>
        <v/>
      </c>
      <c r="O426" s="35" t="str" cm="1">
        <f t="array" ref="O426">_xlfn.TEXTJOIN(", ",TRUE,_xlfn._xlws.FILTER(Tabla28[[#All],[PARTE]],ISNUMBER(SEARCH(Tabla28[[#All],[PCLAVE2]],Tabla8[[#This Row],[DESCRIPCION DE TRABAJO]])),""))</f>
        <v/>
      </c>
      <c r="P426" s="303" t="str">
        <f>IFERROR(LEFT(O426, FIND(",", O426)-1), O426)</f>
        <v/>
      </c>
      <c r="Q426" s="303" t="str">
        <f>IFERROR(IF(ISERROR(FIND(",", O426, FIND(",", O426)+1)), RIGHT(O426, LEN(O426)-FIND(",", O426)-1), MID(O426, FIND(",", O426)+2, FIND(",", O426, FIND(",", O426)+1)-FIND(",", O426)-2)), "")</f>
        <v/>
      </c>
      <c r="R426" s="303" t="str">
        <f>IFERROR(RIGHT(O426, LEN(O426)-FIND(",", O426, FIND(",", O426)+1)-1), "")</f>
        <v/>
      </c>
      <c r="S426" s="35" t="str" cm="1">
        <f t="array" ref="S426">_xlfn.TEXTJOIN(", ",TRUE,_xlfn._xlws.FILTER(Tabla29[[#All],[PARTE]],ISNUMBER(SEARCH(Tabla29[[#All],[PCLAVE3]],Tabla8[[#This Row],[DESCRIPCION DE TRABAJO]])),""))</f>
        <v/>
      </c>
      <c r="T426" s="34" t="str">
        <f>IF(AND(Tabla8[[#This Row],[PIEZA]]="",Tabla8[[#This Row],[PARTE]]=""),"VACIO","OK")</f>
        <v>VACIO</v>
      </c>
      <c r="U426" s="303" t="str">
        <f>+CONCATENATE(WEEKNUM(Tabla8[[#This Row],[FECHA]]),"-",YEAR(Tabla8[[#This Row],[FECHA]]))</f>
        <v>10-2026</v>
      </c>
    </row>
    <row r="427" spans="1:21" ht="15" customHeight="1">
      <c r="A427" s="22">
        <v>46083</v>
      </c>
      <c r="B427" s="16" t="s">
        <v>111</v>
      </c>
      <c r="C427" s="10" t="s">
        <v>36</v>
      </c>
      <c r="D427" s="381">
        <v>0.2361111111111111</v>
      </c>
      <c r="E427" s="381">
        <v>0.2638888888888889</v>
      </c>
      <c r="F427" s="380">
        <f>+MOD(Tabla8[[#This Row],[HR. FIN]]-Tabla8[[#This Row],[HR. INICIO]],1)</f>
        <v>2.777777777777779E-2</v>
      </c>
      <c r="G427" s="16" t="s">
        <v>103</v>
      </c>
      <c r="H427" s="343" t="str">
        <f>IFERROR(VLOOKUP(G427,DATOS!$M$2:$N$219,2,FALSE),"")</f>
        <v>Area</v>
      </c>
      <c r="I427" s="115" t="s">
        <v>43</v>
      </c>
      <c r="J427" s="115" t="str">
        <f>+VLOOKUP($I427,Tabla7[#All],2,FALSE)</f>
        <v>PROGRAMADA</v>
      </c>
      <c r="K427" s="114" t="str">
        <f>IF(VLOOKUP(I427,Tabla7[#All],3,FALSE)=0,"",VLOOKUP(I427,Tabla7[#All],3,FALSE))</f>
        <v/>
      </c>
      <c r="L427" s="35" t="s">
        <v>446</v>
      </c>
      <c r="M427" s="35" t="s">
        <v>121</v>
      </c>
      <c r="N427" s="35" t="str" cm="1">
        <f t="array" ref="N427">IFERROR(IF(Tabla8[[#This Row],[P/NP]]="NO PROGRAMADA","",_xlfn.TEXTJOIN(", ",TRUE,_xlfn._xlws.FILTER(Tabla4[[#All],[PIEZA]],ISNUMBER(SEARCH(Tabla4[[#All],[PCLAVE]],Tabla8[[#This Row],[DESCRIPCION DE TRABAJO]])),""))),"")</f>
        <v/>
      </c>
      <c r="O427" s="35" t="str" cm="1">
        <f t="array" ref="O427">_xlfn.TEXTJOIN(", ",TRUE,_xlfn._xlws.FILTER(Tabla28[[#All],[PARTE]],ISNUMBER(SEARCH(Tabla28[[#All],[PCLAVE2]],Tabla8[[#This Row],[DESCRIPCION DE TRABAJO]])),""))</f>
        <v/>
      </c>
      <c r="P427" s="303" t="str">
        <f>IFERROR(LEFT(O427, FIND(",", O427)-1), O427)</f>
        <v/>
      </c>
      <c r="Q427" s="303" t="str">
        <f>IFERROR(IF(ISERROR(FIND(",", O427, FIND(",", O427)+1)), RIGHT(O427, LEN(O427)-FIND(",", O427)-1), MID(O427, FIND(",", O427)+2, FIND(",", O427, FIND(",", O427)+1)-FIND(",", O427)-2)), "")</f>
        <v/>
      </c>
      <c r="R427" s="303" t="str">
        <f>IFERROR(RIGHT(O427, LEN(O427)-FIND(",", O427, FIND(",", O427)+1)-1), "")</f>
        <v/>
      </c>
      <c r="S427" s="35" t="str" cm="1">
        <f t="array" ref="S427">_xlfn.TEXTJOIN(", ",TRUE,_xlfn._xlws.FILTER(Tabla29[[#All],[PARTE]],ISNUMBER(SEARCH(Tabla29[[#All],[PCLAVE3]],Tabla8[[#This Row],[DESCRIPCION DE TRABAJO]])),""))</f>
        <v/>
      </c>
      <c r="T427" s="34" t="str">
        <f>IF(AND(Tabla8[[#This Row],[PIEZA]]="",Tabla8[[#This Row],[PARTE]]=""),"VACIO","OK")</f>
        <v>VACIO</v>
      </c>
      <c r="U427" s="303" t="str">
        <f>+CONCATENATE(WEEKNUM(Tabla8[[#This Row],[FECHA]]),"-",YEAR(Tabla8[[#This Row],[FECHA]]))</f>
        <v>10-2026</v>
      </c>
    </row>
    <row r="428" spans="1:21" ht="15" customHeight="1">
      <c r="A428" s="22">
        <v>46083</v>
      </c>
      <c r="B428" s="16" t="s">
        <v>179</v>
      </c>
      <c r="C428" s="10" t="s">
        <v>36</v>
      </c>
      <c r="D428" s="381">
        <v>0.2361111111111111</v>
      </c>
      <c r="E428" s="381">
        <v>0.2638888888888889</v>
      </c>
      <c r="F428" s="380">
        <f>+MOD(Tabla8[[#This Row],[HR. FIN]]-Tabla8[[#This Row],[HR. INICIO]],1)</f>
        <v>2.777777777777779E-2</v>
      </c>
      <c r="G428" s="16" t="s">
        <v>103</v>
      </c>
      <c r="H428" s="343" t="str">
        <f>IFERROR(VLOOKUP(G428,DATOS!$M$2:$N$219,2,FALSE),"")</f>
        <v>Area</v>
      </c>
      <c r="I428" s="115" t="s">
        <v>43</v>
      </c>
      <c r="J428" s="115" t="str">
        <f>+VLOOKUP($I428,Tabla7[#All],2,FALSE)</f>
        <v>PROGRAMADA</v>
      </c>
      <c r="K428" s="114" t="str">
        <f>IF(VLOOKUP(I428,Tabla7[#All],3,FALSE)=0,"",VLOOKUP(I428,Tabla7[#All],3,FALSE))</f>
        <v/>
      </c>
      <c r="L428" s="35" t="s">
        <v>755</v>
      </c>
      <c r="M428" s="35" t="s">
        <v>121</v>
      </c>
      <c r="N428" s="35" t="str" cm="1">
        <f t="array" ref="N428">IFERROR(IF(Tabla8[[#This Row],[P/NP]]="NO PROGRAMADA","",_xlfn.TEXTJOIN(", ",TRUE,_xlfn._xlws.FILTER(Tabla4[[#All],[PIEZA]],ISNUMBER(SEARCH(Tabla4[[#All],[PCLAVE]],Tabla8[[#This Row],[DESCRIPCION DE TRABAJO]])),""))),"")</f>
        <v/>
      </c>
      <c r="O428" s="35" t="str" cm="1">
        <f t="array" ref="O428">_xlfn.TEXTJOIN(", ",TRUE,_xlfn._xlws.FILTER(Tabla28[[#All],[PARTE]],ISNUMBER(SEARCH(Tabla28[[#All],[PCLAVE2]],Tabla8[[#This Row],[DESCRIPCION DE TRABAJO]])),""))</f>
        <v/>
      </c>
      <c r="P428" s="303" t="str">
        <f>IFERROR(LEFT(O428, FIND(",", O428)-1), O428)</f>
        <v/>
      </c>
      <c r="Q428" s="303" t="str">
        <f>IFERROR(IF(ISERROR(FIND(",", O428, FIND(",", O428)+1)), RIGHT(O428, LEN(O428)-FIND(",", O428)-1), MID(O428, FIND(",", O428)+2, FIND(",", O428, FIND(",", O428)+1)-FIND(",", O428)-2)), "")</f>
        <v/>
      </c>
      <c r="R428" s="303" t="str">
        <f>IFERROR(RIGHT(O428, LEN(O428)-FIND(",", O428, FIND(",", O428)+1)-1), "")</f>
        <v/>
      </c>
      <c r="S428" s="35" t="str" cm="1">
        <f t="array" ref="S428">_xlfn.TEXTJOIN(", ",TRUE,_xlfn._xlws.FILTER(Tabla29[[#All],[PARTE]],ISNUMBER(SEARCH(Tabla29[[#All],[PCLAVE3]],Tabla8[[#This Row],[DESCRIPCION DE TRABAJO]])),""))</f>
        <v/>
      </c>
      <c r="T428" s="34" t="str">
        <f>IF(AND(Tabla8[[#This Row],[PIEZA]]="",Tabla8[[#This Row],[PARTE]]=""),"VACIO","OK")</f>
        <v>VACIO</v>
      </c>
      <c r="U428" s="303" t="str">
        <f>+CONCATENATE(WEEKNUM(Tabla8[[#This Row],[FECHA]]),"-",YEAR(Tabla8[[#This Row],[FECHA]]))</f>
        <v>10-2026</v>
      </c>
    </row>
    <row r="429" spans="1:21" ht="15" customHeight="1">
      <c r="A429" s="22">
        <v>46083</v>
      </c>
      <c r="B429" s="16" t="s">
        <v>111</v>
      </c>
      <c r="C429" s="10" t="s">
        <v>36</v>
      </c>
      <c r="D429" s="381">
        <v>0.2951388888888889</v>
      </c>
      <c r="E429" s="381">
        <v>0.31944444444444442</v>
      </c>
      <c r="F429" s="380">
        <f>+MOD(Tabla8[[#This Row],[HR. FIN]]-Tabla8[[#This Row],[HR. INICIO]],1)</f>
        <v>2.4305555555555525E-2</v>
      </c>
      <c r="G429" s="16" t="s">
        <v>98</v>
      </c>
      <c r="H429" s="343" t="str">
        <f>IFERROR(VLOOKUP(G429,DATOS!$M$2:$N$219,2,FALSE),"")</f>
        <v>Maquinaria</v>
      </c>
      <c r="I429" s="115" t="s">
        <v>32</v>
      </c>
      <c r="J429" s="115" t="str">
        <f>+VLOOKUP($I429,Tabla7[#All],2,FALSE)</f>
        <v>PROGRAMADA</v>
      </c>
      <c r="K429" s="114" t="str">
        <f>IF(VLOOKUP(I429,Tabla7[#All],3,FALSE)=0,"",VLOOKUP(I429,Tabla7[#All],3,FALSE))</f>
        <v/>
      </c>
      <c r="L429" s="35" t="s">
        <v>449</v>
      </c>
      <c r="M429" s="35" t="s">
        <v>121</v>
      </c>
      <c r="N429" s="35" t="str" cm="1">
        <f t="array" ref="N429">IFERROR(IF(Tabla8[[#This Row],[P/NP]]="NO PROGRAMADA","",_xlfn.TEXTJOIN(", ",TRUE,_xlfn._xlws.FILTER(Tabla4[[#All],[PIEZA]],ISNUMBER(SEARCH(Tabla4[[#All],[PCLAVE]],Tabla8[[#This Row],[DESCRIPCION DE TRABAJO]])),""))),"")</f>
        <v/>
      </c>
      <c r="O429" s="35" t="str" cm="1">
        <f t="array" ref="O429">_xlfn.TEXTJOIN(", ",TRUE,_xlfn._xlws.FILTER(Tabla28[[#All],[PARTE]],ISNUMBER(SEARCH(Tabla28[[#All],[PCLAVE2]],Tabla8[[#This Row],[DESCRIPCION DE TRABAJO]])),""))</f>
        <v/>
      </c>
      <c r="P429" s="303" t="str">
        <f>IFERROR(LEFT(O429, FIND(",", O429)-1), O429)</f>
        <v/>
      </c>
      <c r="Q429" s="303" t="str">
        <f>IFERROR(IF(ISERROR(FIND(",", O429, FIND(",", O429)+1)), RIGHT(O429, LEN(O429)-FIND(",", O429)-1), MID(O429, FIND(",", O429)+2, FIND(",", O429, FIND(",", O429)+1)-FIND(",", O429)-2)), "")</f>
        <v/>
      </c>
      <c r="R429" s="303" t="str">
        <f>IFERROR(RIGHT(O429, LEN(O429)-FIND(",", O429, FIND(",", O429)+1)-1), "")</f>
        <v/>
      </c>
      <c r="S429" s="35" t="str" cm="1">
        <f t="array" ref="S429">_xlfn.TEXTJOIN(", ",TRUE,_xlfn._xlws.FILTER(Tabla29[[#All],[PARTE]],ISNUMBER(SEARCH(Tabla29[[#All],[PCLAVE3]],Tabla8[[#This Row],[DESCRIPCION DE TRABAJO]])),""))</f>
        <v/>
      </c>
      <c r="T429" s="34" t="str">
        <f>IF(AND(Tabla8[[#This Row],[PIEZA]]="",Tabla8[[#This Row],[PARTE]]=""),"VACIO","OK")</f>
        <v>VACIO</v>
      </c>
      <c r="U429" s="303" t="str">
        <f>+CONCATENATE(WEEKNUM(Tabla8[[#This Row],[FECHA]]),"-",YEAR(Tabla8[[#This Row],[FECHA]]))</f>
        <v>10-2026</v>
      </c>
    </row>
    <row r="430" spans="1:21" ht="15" customHeight="1">
      <c r="A430" s="22">
        <v>46083</v>
      </c>
      <c r="B430" s="16" t="s">
        <v>111</v>
      </c>
      <c r="C430" s="10" t="s">
        <v>36</v>
      </c>
      <c r="D430" s="381">
        <v>0.27083333333333331</v>
      </c>
      <c r="E430" s="381">
        <v>0.29166666666666669</v>
      </c>
      <c r="F430" s="380">
        <f>+MOD(Tabla8[[#This Row],[HR. FIN]]-Tabla8[[#This Row],[HR. INICIO]],1)</f>
        <v>2.083333333333337E-2</v>
      </c>
      <c r="G430" s="16" t="s">
        <v>24</v>
      </c>
      <c r="H430" s="343" t="str">
        <f>IFERROR(VLOOKUP(G430,DATOS!$M$2:$N$219,2,FALSE),"")</f>
        <v>Maquinaria</v>
      </c>
      <c r="I430" s="115" t="s">
        <v>32</v>
      </c>
      <c r="J430" s="115" t="str">
        <f>+VLOOKUP($I430,Tabla7[#All],2,FALSE)</f>
        <v>PROGRAMADA</v>
      </c>
      <c r="K430" s="114" t="str">
        <f>IF(VLOOKUP(I430,Tabla7[#All],3,FALSE)=0,"",VLOOKUP(I430,Tabla7[#All],3,FALSE))</f>
        <v/>
      </c>
      <c r="L430" s="35" t="s">
        <v>170</v>
      </c>
      <c r="M430" s="35" t="s">
        <v>121</v>
      </c>
      <c r="N430" s="35" t="str" cm="1">
        <f t="array" ref="N430">IFERROR(IF(Tabla8[[#This Row],[P/NP]]="NO PROGRAMADA","",_xlfn.TEXTJOIN(", ",TRUE,_xlfn._xlws.FILTER(Tabla4[[#All],[PIEZA]],ISNUMBER(SEARCH(Tabla4[[#All],[PCLAVE]],Tabla8[[#This Row],[DESCRIPCION DE TRABAJO]])),""))),"")</f>
        <v/>
      </c>
      <c r="O430" s="35" t="str" cm="1">
        <f t="array" ref="O430">_xlfn.TEXTJOIN(", ",TRUE,_xlfn._xlws.FILTER(Tabla28[[#All],[PARTE]],ISNUMBER(SEARCH(Tabla28[[#All],[PCLAVE2]],Tabla8[[#This Row],[DESCRIPCION DE TRABAJO]])),""))</f>
        <v/>
      </c>
      <c r="P430" s="303" t="str">
        <f>IFERROR(LEFT(O430, FIND(",", O430)-1), O430)</f>
        <v/>
      </c>
      <c r="Q430" s="303" t="str">
        <f>IFERROR(IF(ISERROR(FIND(",", O430, FIND(",", O430)+1)), RIGHT(O430, LEN(O430)-FIND(",", O430)-1), MID(O430, FIND(",", O430)+2, FIND(",", O430, FIND(",", O430)+1)-FIND(",", O430)-2)), "")</f>
        <v/>
      </c>
      <c r="R430" s="303" t="str">
        <f>IFERROR(RIGHT(O430, LEN(O430)-FIND(",", O430, FIND(",", O430)+1)-1), "")</f>
        <v/>
      </c>
      <c r="S430" s="35" t="str" cm="1">
        <f t="array" ref="S430">_xlfn.TEXTJOIN(", ",TRUE,_xlfn._xlws.FILTER(Tabla29[[#All],[PARTE]],ISNUMBER(SEARCH(Tabla29[[#All],[PCLAVE3]],Tabla8[[#This Row],[DESCRIPCION DE TRABAJO]])),""))</f>
        <v/>
      </c>
      <c r="T430" s="34" t="str">
        <f>IF(AND(Tabla8[[#This Row],[PIEZA]]="",Tabla8[[#This Row],[PARTE]]=""),"VACIO","OK")</f>
        <v>VACIO</v>
      </c>
      <c r="U430" s="303" t="str">
        <f>+CONCATENATE(WEEKNUM(Tabla8[[#This Row],[FECHA]]),"-",YEAR(Tabla8[[#This Row],[FECHA]]))</f>
        <v>10-2026</v>
      </c>
    </row>
    <row r="431" spans="1:21" ht="15" customHeight="1">
      <c r="A431" s="22">
        <v>46083</v>
      </c>
      <c r="B431" s="16" t="s">
        <v>111</v>
      </c>
      <c r="C431" s="10" t="s">
        <v>36</v>
      </c>
      <c r="D431" s="381">
        <v>0.33333333333333331</v>
      </c>
      <c r="E431" s="381">
        <v>0.35416666666666669</v>
      </c>
      <c r="F431" s="380">
        <f>+MOD(Tabla8[[#This Row],[HR. FIN]]-Tabla8[[#This Row],[HR. INICIO]],1)</f>
        <v>2.083333333333337E-2</v>
      </c>
      <c r="G431" s="16" t="s">
        <v>119</v>
      </c>
      <c r="H431" s="343" t="str">
        <f>IFERROR(VLOOKUP(G431,DATOS!$M$2:$N$219,2,FALSE),"")</f>
        <v>Maquinaria</v>
      </c>
      <c r="I431" s="115" t="s">
        <v>32</v>
      </c>
      <c r="J431" s="115" t="str">
        <f>+VLOOKUP($I431,Tabla7[#All],2,FALSE)</f>
        <v>PROGRAMADA</v>
      </c>
      <c r="K431" s="114" t="str">
        <f>IF(VLOOKUP(I431,Tabla7[#All],3,FALSE)=0,"",VLOOKUP(I431,Tabla7[#All],3,FALSE))</f>
        <v/>
      </c>
      <c r="L431" s="35" t="s">
        <v>1021</v>
      </c>
      <c r="M431" s="35" t="s">
        <v>121</v>
      </c>
      <c r="N431" s="35" t="str" cm="1">
        <f t="array" ref="N431">IFERROR(IF(Tabla8[[#This Row],[P/NP]]="NO PROGRAMADA","",_xlfn.TEXTJOIN(", ",TRUE,_xlfn._xlws.FILTER(Tabla4[[#All],[PIEZA]],ISNUMBER(SEARCH(Tabla4[[#All],[PCLAVE]],Tabla8[[#This Row],[DESCRIPCION DE TRABAJO]])),""))),"")</f>
        <v/>
      </c>
      <c r="O431" s="35" t="str" cm="1">
        <f t="array" ref="O431">_xlfn.TEXTJOIN(", ",TRUE,_xlfn._xlws.FILTER(Tabla28[[#All],[PARTE]],ISNUMBER(SEARCH(Tabla28[[#All],[PCLAVE2]],Tabla8[[#This Row],[DESCRIPCION DE TRABAJO]])),""))</f>
        <v>Preenfriamiento</v>
      </c>
      <c r="P431" s="303" t="str">
        <f>IFERROR(LEFT(O431, FIND(",", O431)-1), O431)</f>
        <v>Preenfriamiento</v>
      </c>
      <c r="Q431" s="303" t="str">
        <f>IFERROR(IF(ISERROR(FIND(",", O431, FIND(",", O431)+1)), RIGHT(O431, LEN(O431)-FIND(",", O431)-1), MID(O431, FIND(",", O431)+2, FIND(",", O431, FIND(",", O431)+1)-FIND(",", O431)-2)), "")</f>
        <v/>
      </c>
      <c r="R431" s="303" t="str">
        <f>IFERROR(RIGHT(O431, LEN(O431)-FIND(",", O431, FIND(",", O431)+1)-1), "")</f>
        <v/>
      </c>
      <c r="S431" s="35" t="str" cm="1">
        <f t="array" ref="S431">_xlfn.TEXTJOIN(", ",TRUE,_xlfn._xlws.FILTER(Tabla29[[#All],[PARTE]],ISNUMBER(SEARCH(Tabla29[[#All],[PCLAVE3]],Tabla8[[#This Row],[DESCRIPCION DE TRABAJO]])),""))</f>
        <v>Temperatura</v>
      </c>
      <c r="T431" s="34" t="str">
        <f>IF(AND(Tabla8[[#This Row],[PIEZA]]="",Tabla8[[#This Row],[PARTE]]=""),"VACIO","OK")</f>
        <v>OK</v>
      </c>
      <c r="U431" s="303" t="str">
        <f>+CONCATENATE(WEEKNUM(Tabla8[[#This Row],[FECHA]]),"-",YEAR(Tabla8[[#This Row],[FECHA]]))</f>
        <v>10-2026</v>
      </c>
    </row>
    <row r="432" spans="1:21" ht="15" customHeight="1">
      <c r="A432" s="22">
        <v>46083</v>
      </c>
      <c r="B432" s="16" t="s">
        <v>179</v>
      </c>
      <c r="C432" s="10" t="s">
        <v>36</v>
      </c>
      <c r="D432" s="381">
        <v>0.27777777777777779</v>
      </c>
      <c r="E432" s="381">
        <v>0.2986111111111111</v>
      </c>
      <c r="F432" s="380">
        <f>+MOD(Tabla8[[#This Row],[HR. FIN]]-Tabla8[[#This Row],[HR. INICIO]],1)</f>
        <v>2.0833333333333315E-2</v>
      </c>
      <c r="G432" s="16" t="s">
        <v>312</v>
      </c>
      <c r="H432" s="343" t="str">
        <f>IFERROR(VLOOKUP(G432,DATOS!$M$2:$N$219,2,FALSE),"")</f>
        <v>Maquinaria</v>
      </c>
      <c r="I432" s="115" t="s">
        <v>32</v>
      </c>
      <c r="J432" s="115" t="str">
        <f>+VLOOKUP($I432,Tabla7[#All],2,FALSE)</f>
        <v>PROGRAMADA</v>
      </c>
      <c r="K432" s="114" t="str">
        <f>IF(VLOOKUP(I432,Tabla7[#All],3,FALSE)=0,"",VLOOKUP(I432,Tabla7[#All],3,FALSE))</f>
        <v/>
      </c>
      <c r="L432" s="35" t="s">
        <v>1022</v>
      </c>
      <c r="M432" s="35" t="s">
        <v>121</v>
      </c>
      <c r="N432" s="35" t="str" cm="1">
        <f t="array" ref="N432">IFERROR(IF(Tabla8[[#This Row],[P/NP]]="NO PROGRAMADA","",_xlfn.TEXTJOIN(", ",TRUE,_xlfn._xlws.FILTER(Tabla4[[#All],[PIEZA]],ISNUMBER(SEARCH(Tabla4[[#All],[PCLAVE]],Tabla8[[#This Row],[DESCRIPCION DE TRABAJO]])),""))),"")</f>
        <v>Polin De Arrastre</v>
      </c>
      <c r="O432" s="35" t="str" cm="1">
        <f t="array" ref="O432">_xlfn.TEXTJOIN(", ",TRUE,_xlfn._xlws.FILTER(Tabla28[[#All],[PARTE]],ISNUMBER(SEARCH(Tabla28[[#All],[PCLAVE2]],Tabla8[[#This Row],[DESCRIPCION DE TRABAJO]])),""))</f>
        <v/>
      </c>
      <c r="P432" s="303" t="str">
        <f>IFERROR(LEFT(O432, FIND(",", O432)-1), O432)</f>
        <v/>
      </c>
      <c r="Q432" s="303" t="str">
        <f>IFERROR(IF(ISERROR(FIND(",", O432, FIND(",", O432)+1)), RIGHT(O432, LEN(O432)-FIND(",", O432)-1), MID(O432, FIND(",", O432)+2, FIND(",", O432, FIND(",", O432)+1)-FIND(",", O432)-2)), "")</f>
        <v/>
      </c>
      <c r="R432" s="303" t="str">
        <f>IFERROR(RIGHT(O432, LEN(O432)-FIND(",", O432, FIND(",", O432)+1)-1), "")</f>
        <v/>
      </c>
      <c r="S432" s="35" t="str" cm="1">
        <f t="array" ref="S432">_xlfn.TEXTJOIN(", ",TRUE,_xlfn._xlws.FILTER(Tabla29[[#All],[PARTE]],ISNUMBER(SEARCH(Tabla29[[#All],[PCLAVE3]],Tabla8[[#This Row],[DESCRIPCION DE TRABAJO]])),""))</f>
        <v>Sustitucion</v>
      </c>
      <c r="T432" s="34" t="str">
        <f>IF(AND(Tabla8[[#This Row],[PIEZA]]="",Tabla8[[#This Row],[PARTE]]=""),"VACIO","OK")</f>
        <v>OK</v>
      </c>
      <c r="U432" s="303" t="str">
        <f>+CONCATENATE(WEEKNUM(Tabla8[[#This Row],[FECHA]]),"-",YEAR(Tabla8[[#This Row],[FECHA]]))</f>
        <v>10-2026</v>
      </c>
    </row>
    <row r="433" spans="1:21" ht="15" customHeight="1">
      <c r="A433" s="22">
        <v>46083</v>
      </c>
      <c r="B433" s="16" t="s">
        <v>179</v>
      </c>
      <c r="C433" s="10" t="s">
        <v>36</v>
      </c>
      <c r="D433" s="381">
        <v>0.3263888888888889</v>
      </c>
      <c r="E433" s="381">
        <v>0.34722222222222221</v>
      </c>
      <c r="F433" s="380">
        <f>+MOD(Tabla8[[#This Row],[HR. FIN]]-Tabla8[[#This Row],[HR. INICIO]],1)</f>
        <v>2.0833333333333315E-2</v>
      </c>
      <c r="G433" s="16" t="s">
        <v>119</v>
      </c>
      <c r="H433" s="343" t="str">
        <f>IFERROR(VLOOKUP(G433,DATOS!$M$2:$N$219,2,FALSE),"")</f>
        <v>Maquinaria</v>
      </c>
      <c r="I433" s="115" t="s">
        <v>32</v>
      </c>
      <c r="J433" s="115" t="str">
        <f>+VLOOKUP($I433,Tabla7[#All],2,FALSE)</f>
        <v>PROGRAMADA</v>
      </c>
      <c r="K433" s="114" t="str">
        <f>IF(VLOOKUP(I433,Tabla7[#All],3,FALSE)=0,"",VLOOKUP(I433,Tabla7[#All],3,FALSE))</f>
        <v/>
      </c>
      <c r="L433" s="35" t="s">
        <v>1023</v>
      </c>
      <c r="M433" s="35" t="s">
        <v>121</v>
      </c>
      <c r="N433" s="35" t="str" cm="1">
        <f t="array" ref="N433">IFERROR(IF(Tabla8[[#This Row],[P/NP]]="NO PROGRAMADA","",_xlfn.TEXTJOIN(", ",TRUE,_xlfn._xlws.FILTER(Tabla4[[#All],[PIEZA]],ISNUMBER(SEARCH(Tabla4[[#All],[PCLAVE]],Tabla8[[#This Row],[DESCRIPCION DE TRABAJO]])),""))),"")</f>
        <v/>
      </c>
      <c r="O433" s="35" t="str" cm="1">
        <f t="array" ref="O433">_xlfn.TEXTJOIN(", ",TRUE,_xlfn._xlws.FILTER(Tabla28[[#All],[PARTE]],ISNUMBER(SEARCH(Tabla28[[#All],[PCLAVE2]],Tabla8[[#This Row],[DESCRIPCION DE TRABAJO]])),""))</f>
        <v>Temperadora</v>
      </c>
      <c r="P433" s="303" t="str">
        <f>IFERROR(LEFT(O433, FIND(",", O433)-1), O433)</f>
        <v>Temperadora</v>
      </c>
      <c r="Q433" s="303" t="str">
        <f>IFERROR(IF(ISERROR(FIND(",", O433, FIND(",", O433)+1)), RIGHT(O433, LEN(O433)-FIND(",", O433)-1), MID(O433, FIND(",", O433)+2, FIND(",", O433, FIND(",", O433)+1)-FIND(",", O433)-2)), "")</f>
        <v/>
      </c>
      <c r="R433" s="303" t="str">
        <f>IFERROR(RIGHT(O433, LEN(O433)-FIND(",", O433, FIND(",", O433)+1)-1), "")</f>
        <v/>
      </c>
      <c r="S433" s="35" t="str" cm="1">
        <f t="array" ref="S433">_xlfn.TEXTJOIN(", ",TRUE,_xlfn._xlws.FILTER(Tabla29[[#All],[PARTE]],ISNUMBER(SEARCH(Tabla29[[#All],[PCLAVE3]],Tabla8[[#This Row],[DESCRIPCION DE TRABAJO]])),""))</f>
        <v/>
      </c>
      <c r="T433" s="34" t="str">
        <f>IF(AND(Tabla8[[#This Row],[PIEZA]]="",Tabla8[[#This Row],[PARTE]]=""),"VACIO","OK")</f>
        <v>OK</v>
      </c>
      <c r="U433" s="303" t="str">
        <f>+CONCATENATE(WEEKNUM(Tabla8[[#This Row],[FECHA]]),"-",YEAR(Tabla8[[#This Row],[FECHA]]))</f>
        <v>10-2026</v>
      </c>
    </row>
    <row r="434" spans="1:21" ht="15" customHeight="1">
      <c r="A434" s="22">
        <v>46083</v>
      </c>
      <c r="B434" s="16" t="s">
        <v>111</v>
      </c>
      <c r="C434" s="10" t="s">
        <v>36</v>
      </c>
      <c r="D434" s="381">
        <v>0.4201388888888889</v>
      </c>
      <c r="E434" s="381">
        <v>0.4375</v>
      </c>
      <c r="F434" s="380">
        <f>+MOD(Tabla8[[#This Row],[HR. FIN]]-Tabla8[[#This Row],[HR. INICIO]],1)</f>
        <v>1.7361111111111105E-2</v>
      </c>
      <c r="G434" s="16" t="s">
        <v>24</v>
      </c>
      <c r="H434" s="343" t="str">
        <f>IFERROR(VLOOKUP(G434,DATOS!$M$2:$N$219,2,FALSE),"")</f>
        <v>Maquinaria</v>
      </c>
      <c r="I434" s="115" t="s">
        <v>32</v>
      </c>
      <c r="J434" s="115" t="str">
        <f>+VLOOKUP($I434,Tabla7[#All],2,FALSE)</f>
        <v>PROGRAMADA</v>
      </c>
      <c r="K434" s="114" t="str">
        <f>IF(VLOOKUP(I434,Tabla7[#All],3,FALSE)=0,"",VLOOKUP(I434,Tabla7[#All],3,FALSE))</f>
        <v/>
      </c>
      <c r="L434" s="35" t="s">
        <v>449</v>
      </c>
      <c r="M434" s="35" t="s">
        <v>121</v>
      </c>
      <c r="N434" s="35" t="str" cm="1">
        <f t="array" ref="N434">IFERROR(IF(Tabla8[[#This Row],[P/NP]]="NO PROGRAMADA","",_xlfn.TEXTJOIN(", ",TRUE,_xlfn._xlws.FILTER(Tabla4[[#All],[PIEZA]],ISNUMBER(SEARCH(Tabla4[[#All],[PCLAVE]],Tabla8[[#This Row],[DESCRIPCION DE TRABAJO]])),""))),"")</f>
        <v/>
      </c>
      <c r="O434" s="35" t="str" cm="1">
        <f t="array" ref="O434">_xlfn.TEXTJOIN(", ",TRUE,_xlfn._xlws.FILTER(Tabla28[[#All],[PARTE]],ISNUMBER(SEARCH(Tabla28[[#All],[PCLAVE2]],Tabla8[[#This Row],[DESCRIPCION DE TRABAJO]])),""))</f>
        <v/>
      </c>
      <c r="P434" s="303" t="str">
        <f>IFERROR(LEFT(O434, FIND(",", O434)-1), O434)</f>
        <v/>
      </c>
      <c r="Q434" s="303" t="str">
        <f>IFERROR(IF(ISERROR(FIND(",", O434, FIND(",", O434)+1)), RIGHT(O434, LEN(O434)-FIND(",", O434)-1), MID(O434, FIND(",", O434)+2, FIND(",", O434, FIND(",", O434)+1)-FIND(",", O434)-2)), "")</f>
        <v/>
      </c>
      <c r="R434" s="303" t="str">
        <f>IFERROR(RIGHT(O434, LEN(O434)-FIND(",", O434, FIND(",", O434)+1)-1), "")</f>
        <v/>
      </c>
      <c r="S434" s="35" t="str" cm="1">
        <f t="array" ref="S434">_xlfn.TEXTJOIN(", ",TRUE,_xlfn._xlws.FILTER(Tabla29[[#All],[PARTE]],ISNUMBER(SEARCH(Tabla29[[#All],[PCLAVE3]],Tabla8[[#This Row],[DESCRIPCION DE TRABAJO]])),""))</f>
        <v/>
      </c>
      <c r="T434" s="34" t="str">
        <f>IF(AND(Tabla8[[#This Row],[PIEZA]]="",Tabla8[[#This Row],[PARTE]]=""),"VACIO","OK")</f>
        <v>VACIO</v>
      </c>
      <c r="U434" s="303" t="str">
        <f>+CONCATENATE(WEEKNUM(Tabla8[[#This Row],[FECHA]]),"-",YEAR(Tabla8[[#This Row],[FECHA]]))</f>
        <v>10-2026</v>
      </c>
    </row>
    <row r="435" spans="1:21" ht="15" customHeight="1">
      <c r="A435" s="22">
        <v>46083</v>
      </c>
      <c r="B435" s="16" t="s">
        <v>111</v>
      </c>
      <c r="C435" s="10" t="s">
        <v>36</v>
      </c>
      <c r="D435" s="381">
        <v>0.3611111111111111</v>
      </c>
      <c r="E435" s="381">
        <v>0.375</v>
      </c>
      <c r="F435" s="380">
        <f>+MOD(Tabla8[[#This Row],[HR. FIN]]-Tabla8[[#This Row],[HR. INICIO]],1)</f>
        <v>1.3888888888888895E-2</v>
      </c>
      <c r="G435" s="16" t="s">
        <v>119</v>
      </c>
      <c r="H435" s="343" t="str">
        <f>IFERROR(VLOOKUP(G435,DATOS!$M$2:$N$219,2,FALSE),"")</f>
        <v>Maquinaria</v>
      </c>
      <c r="I435" s="115" t="s">
        <v>54</v>
      </c>
      <c r="J435" s="115" t="str">
        <f>+VLOOKUP($I435,Tabla7[#All],2,FALSE)</f>
        <v>PROGRAMADA</v>
      </c>
      <c r="K435" s="114" t="str">
        <f>IF(VLOOKUP(I435,Tabla7[#All],3,FALSE)=0,"",VLOOKUP(I435,Tabla7[#All],3,FALSE))</f>
        <v/>
      </c>
      <c r="L435" s="35" t="s">
        <v>1024</v>
      </c>
      <c r="M435" s="35" t="s">
        <v>121</v>
      </c>
      <c r="N435" s="35" t="str" cm="1">
        <f t="array" ref="N435">IFERROR(IF(Tabla8[[#This Row],[P/NP]]="NO PROGRAMADA","",_xlfn.TEXTJOIN(", ",TRUE,_xlfn._xlws.FILTER(Tabla4[[#All],[PIEZA]],ISNUMBER(SEARCH(Tabla4[[#All],[PCLAVE]],Tabla8[[#This Row],[DESCRIPCION DE TRABAJO]])),""))),"")</f>
        <v/>
      </c>
      <c r="O435" s="35" t="str" cm="1">
        <f t="array" ref="O435">_xlfn.TEXTJOIN(", ",TRUE,_xlfn._xlws.FILTER(Tabla28[[#All],[PARTE]],ISNUMBER(SEARCH(Tabla28[[#All],[PCLAVE2]],Tabla8[[#This Row],[DESCRIPCION DE TRABAJO]])),""))</f>
        <v>Temperadora</v>
      </c>
      <c r="P435" s="303" t="str">
        <f>IFERROR(LEFT(O435, FIND(",", O435)-1), O435)</f>
        <v>Temperadora</v>
      </c>
      <c r="Q435" s="303" t="str">
        <f>IFERROR(IF(ISERROR(FIND(",", O435, FIND(",", O435)+1)), RIGHT(O435, LEN(O435)-FIND(",", O435)-1), MID(O435, FIND(",", O435)+2, FIND(",", O435, FIND(",", O435)+1)-FIND(",", O435)-2)), "")</f>
        <v/>
      </c>
      <c r="R435" s="303" t="str">
        <f>IFERROR(RIGHT(O435, LEN(O435)-FIND(",", O435, FIND(",", O435)+1)-1), "")</f>
        <v/>
      </c>
      <c r="S435" s="35" t="str" cm="1">
        <f t="array" ref="S435">_xlfn.TEXTJOIN(", ",TRUE,_xlfn._xlws.FILTER(Tabla29[[#All],[PARTE]],ISNUMBER(SEARCH(Tabla29[[#All],[PCLAVE3]],Tabla8[[#This Row],[DESCRIPCION DE TRABAJO]])),""))</f>
        <v/>
      </c>
      <c r="T435" s="34" t="str">
        <f>IF(AND(Tabla8[[#This Row],[PIEZA]]="",Tabla8[[#This Row],[PARTE]]=""),"VACIO","OK")</f>
        <v>OK</v>
      </c>
      <c r="U435" s="303" t="str">
        <f>+CONCATENATE(WEEKNUM(Tabla8[[#This Row],[FECHA]]),"-",YEAR(Tabla8[[#This Row],[FECHA]]))</f>
        <v>10-2026</v>
      </c>
    </row>
    <row r="436" spans="1:21" ht="15" customHeight="1">
      <c r="A436" s="22">
        <v>46083</v>
      </c>
      <c r="B436" s="16" t="s">
        <v>179</v>
      </c>
      <c r="C436" s="10" t="s">
        <v>36</v>
      </c>
      <c r="D436" s="381">
        <v>0.2986111111111111</v>
      </c>
      <c r="E436" s="381">
        <v>0.30555555555555558</v>
      </c>
      <c r="F436" s="380">
        <f>+MOD(Tabla8[[#This Row],[HR. FIN]]-Tabla8[[#This Row],[HR. INICIO]],1)</f>
        <v>6.9444444444444753E-3</v>
      </c>
      <c r="G436" s="16" t="s">
        <v>312</v>
      </c>
      <c r="H436" s="343" t="str">
        <f>IFERROR(VLOOKUP(G436,DATOS!$M$2:$N$219,2,FALSE),"")</f>
        <v>Maquinaria</v>
      </c>
      <c r="I436" s="115" t="s">
        <v>32</v>
      </c>
      <c r="J436" s="115" t="str">
        <f>+VLOOKUP($I436,Tabla7[#All],2,FALSE)</f>
        <v>PROGRAMADA</v>
      </c>
      <c r="K436" s="114" t="str">
        <f>IF(VLOOKUP(I436,Tabla7[#All],3,FALSE)=0,"",VLOOKUP(I436,Tabla7[#All],3,FALSE))</f>
        <v/>
      </c>
      <c r="L436" s="35" t="s">
        <v>1025</v>
      </c>
      <c r="M436" s="35" t="s">
        <v>121</v>
      </c>
      <c r="N436" s="35" t="str" cm="1">
        <f t="array" ref="N436">IFERROR(IF(Tabla8[[#This Row],[P/NP]]="NO PROGRAMADA","",_xlfn.TEXTJOIN(", ",TRUE,_xlfn._xlws.FILTER(Tabla4[[#All],[PIEZA]],ISNUMBER(SEARCH(Tabla4[[#All],[PCLAVE]],Tabla8[[#This Row],[DESCRIPCION DE TRABAJO]])),""))),"")</f>
        <v>Filtro</v>
      </c>
      <c r="O436" s="35" t="str" cm="1">
        <f t="array" ref="O436">_xlfn.TEXTJOIN(", ",TRUE,_xlfn._xlws.FILTER(Tabla28[[#All],[PARTE]],ISNUMBER(SEARCH(Tabla28[[#All],[PCLAVE2]],Tabla8[[#This Row],[DESCRIPCION DE TRABAJO]])),""))</f>
        <v/>
      </c>
      <c r="P436" s="303" t="str">
        <f>IFERROR(LEFT(O436, FIND(",", O436)-1), O436)</f>
        <v/>
      </c>
      <c r="Q436" s="303" t="str">
        <f>IFERROR(IF(ISERROR(FIND(",", O436, FIND(",", O436)+1)), RIGHT(O436, LEN(O436)-FIND(",", O436)-1), MID(O436, FIND(",", O436)+2, FIND(",", O436, FIND(",", O436)+1)-FIND(",", O436)-2)), "")</f>
        <v/>
      </c>
      <c r="R436" s="303" t="str">
        <f>IFERROR(RIGHT(O436, LEN(O436)-FIND(",", O436, FIND(",", O436)+1)-1), "")</f>
        <v/>
      </c>
      <c r="S436" s="35" t="str" cm="1">
        <f t="array" ref="S436">_xlfn.TEXTJOIN(", ",TRUE,_xlfn._xlws.FILTER(Tabla29[[#All],[PARTE]],ISNUMBER(SEARCH(Tabla29[[#All],[PCLAVE3]],Tabla8[[#This Row],[DESCRIPCION DE TRABAJO]])),""))</f>
        <v>Filtracion, Sustitucion</v>
      </c>
      <c r="T436" s="34" t="str">
        <f>IF(AND(Tabla8[[#This Row],[PIEZA]]="",Tabla8[[#This Row],[PARTE]]=""),"VACIO","OK")</f>
        <v>OK</v>
      </c>
      <c r="U436" s="303" t="str">
        <f>+CONCATENATE(WEEKNUM(Tabla8[[#This Row],[FECHA]]),"-",YEAR(Tabla8[[#This Row],[FECHA]]))</f>
        <v>10-2026</v>
      </c>
    </row>
    <row r="437" spans="1:21" ht="15" customHeight="1">
      <c r="A437" s="22">
        <v>46084</v>
      </c>
      <c r="B437" s="16" t="s">
        <v>111</v>
      </c>
      <c r="C437" s="10" t="s">
        <v>36</v>
      </c>
      <c r="D437" s="381">
        <v>0.27083333333333331</v>
      </c>
      <c r="E437" s="381">
        <v>0.4826388888888889</v>
      </c>
      <c r="F437" s="380">
        <f>+MOD(Tabla8[[#This Row],[HR. FIN]]-Tabla8[[#This Row],[HR. INICIO]],1)</f>
        <v>0.21180555555555558</v>
      </c>
      <c r="G437" s="16" t="s">
        <v>119</v>
      </c>
      <c r="H437" s="343" t="str">
        <f>IFERROR(VLOOKUP(G437,DATOS!$M$2:$N$219,2,FALSE),"")</f>
        <v>Maquinaria</v>
      </c>
      <c r="I437" s="115" t="s">
        <v>32</v>
      </c>
      <c r="J437" s="115" t="s">
        <v>92</v>
      </c>
      <c r="K437" s="114" t="s">
        <v>148</v>
      </c>
      <c r="L437" s="35" t="s">
        <v>1026</v>
      </c>
      <c r="M437" s="35" t="s">
        <v>1027</v>
      </c>
      <c r="N437" s="35" t="str" cm="1">
        <f t="array" ref="N437">IFERROR(IF(Tabla8[[#This Row],[P/NP]]="NO PROGRAMADA","",_xlfn.TEXTJOIN(", ",TRUE,_xlfn._xlws.FILTER(Tabla4[[#All],[PIEZA]],ISNUMBER(SEARCH(Tabla4[[#All],[PCLAVE]],Tabla8[[#This Row],[DESCRIPCION DE TRABAJO]])),""))),"")</f>
        <v/>
      </c>
      <c r="O437" s="35" t="str" cm="1">
        <f t="array" ref="O437">_xlfn.TEXTJOIN(", ",TRUE,_xlfn._xlws.FILTER(Tabla28[[#All],[PARTE]],ISNUMBER(SEARCH(Tabla28[[#All],[PCLAVE2]],Tabla8[[#This Row],[DESCRIPCION DE TRABAJO]])),""))</f>
        <v/>
      </c>
      <c r="P437" s="303" t="str">
        <f>IFERROR(LEFT(O437, FIND(",", O437)-1), O437)</f>
        <v/>
      </c>
      <c r="Q437" s="303" t="str">
        <f>IFERROR(IF(ISERROR(FIND(",", O437, FIND(",", O437)+1)), RIGHT(O437, LEN(O437)-FIND(",", O437)-1), MID(O437, FIND(",", O437)+2, FIND(",", O437, FIND(",", O437)+1)-FIND(",", O437)-2)), "")</f>
        <v/>
      </c>
      <c r="R437" s="303" t="str">
        <f>IFERROR(RIGHT(O437, LEN(O437)-FIND(",", O437, FIND(",", O437)+1)-1), "")</f>
        <v/>
      </c>
      <c r="S437" s="35" t="str" cm="1">
        <f t="array" ref="S437">_xlfn.TEXTJOIN(", ",TRUE,_xlfn._xlws.FILTER(Tabla29[[#All],[PARTE]],ISNUMBER(SEARCH(Tabla29[[#All],[PCLAVE3]],Tabla8[[#This Row],[DESCRIPCION DE TRABAJO]])),""))</f>
        <v/>
      </c>
      <c r="T437" s="34" t="str">
        <f>IF(AND(Tabla8[[#This Row],[PIEZA]]="",Tabla8[[#This Row],[PARTE]]=""),"VACIO","OK")</f>
        <v>VACIO</v>
      </c>
      <c r="U437" s="303" t="str">
        <f>+CONCATENATE(WEEKNUM(Tabla8[[#This Row],[FECHA]]),"-",YEAR(Tabla8[[#This Row],[FECHA]]))</f>
        <v>10-2026</v>
      </c>
    </row>
    <row r="438" spans="1:21" ht="15" customHeight="1">
      <c r="A438" s="22">
        <v>46084</v>
      </c>
      <c r="B438" s="16" t="s">
        <v>179</v>
      </c>
      <c r="C438" s="10" t="s">
        <v>36</v>
      </c>
      <c r="D438" s="381">
        <v>0.28888888888888886</v>
      </c>
      <c r="E438" s="381">
        <v>0.34027777777777779</v>
      </c>
      <c r="F438" s="380">
        <f>+MOD(Tabla8[[#This Row],[HR. FIN]]-Tabla8[[#This Row],[HR. INICIO]],1)</f>
        <v>5.1388888888888928E-2</v>
      </c>
      <c r="G438" s="16" t="s">
        <v>1028</v>
      </c>
      <c r="H438" s="343" t="str">
        <f>IFERROR(VLOOKUP(G438,DATOS!$M$2:$N$219,2,FALSE),"")</f>
        <v>Maquinaria</v>
      </c>
      <c r="I438" s="115" t="s">
        <v>32</v>
      </c>
      <c r="J438" s="115" t="str">
        <f>+VLOOKUP($I438,Tabla7[#All],2,FALSE)</f>
        <v>PROGRAMADA</v>
      </c>
      <c r="K438" s="114" t="str">
        <f>IF(VLOOKUP(I438,Tabla7[#All],3,FALSE)=0,"",VLOOKUP(I438,Tabla7[#All],3,FALSE))</f>
        <v/>
      </c>
      <c r="L438" s="35" t="s">
        <v>1029</v>
      </c>
      <c r="M438" s="35" t="s">
        <v>121</v>
      </c>
      <c r="N438" s="35" t="str" cm="1">
        <f t="array" ref="N438">IFERROR(IF(Tabla8[[#This Row],[P/NP]]="NO PROGRAMADA","",_xlfn.TEXTJOIN(", ",TRUE,_xlfn._xlws.FILTER(Tabla4[[#All],[PIEZA]],ISNUMBER(SEARCH(Tabla4[[#All],[PCLAVE]],Tabla8[[#This Row],[DESCRIPCION DE TRABAJO]])),""))),"")</f>
        <v/>
      </c>
      <c r="O438" s="35" t="str" cm="1">
        <f t="array" ref="O438">_xlfn.TEXTJOIN(", ",TRUE,_xlfn._xlws.FILTER(Tabla28[[#All],[PARTE]],ISNUMBER(SEARCH(Tabla28[[#All],[PCLAVE2]],Tabla8[[#This Row],[DESCRIPCION DE TRABAJO]])),""))</f>
        <v/>
      </c>
      <c r="P438" s="303" t="str">
        <f>IFERROR(LEFT(O438, FIND(",", O438)-1), O438)</f>
        <v/>
      </c>
      <c r="Q438" s="303" t="str">
        <f>IFERROR(IF(ISERROR(FIND(",", O438, FIND(",", O438)+1)), RIGHT(O438, LEN(O438)-FIND(",", O438)-1), MID(O438, FIND(",", O438)+2, FIND(",", O438, FIND(",", O438)+1)-FIND(",", O438)-2)), "")</f>
        <v/>
      </c>
      <c r="R438" s="303" t="str">
        <f>IFERROR(RIGHT(O438, LEN(O438)-FIND(",", O438, FIND(",", O438)+1)-1), "")</f>
        <v/>
      </c>
      <c r="S438" s="35" t="str" cm="1">
        <f t="array" ref="S438">_xlfn.TEXTJOIN(", ",TRUE,_xlfn._xlws.FILTER(Tabla29[[#All],[PARTE]],ISNUMBER(SEARCH(Tabla29[[#All],[PCLAVE3]],Tabla8[[#This Row],[DESCRIPCION DE TRABAJO]])),""))</f>
        <v>Cambio De Formato</v>
      </c>
      <c r="T438" s="34" t="str">
        <f>IF(AND(Tabla8[[#This Row],[PIEZA]]="",Tabla8[[#This Row],[PARTE]]=""),"VACIO","OK")</f>
        <v>VACIO</v>
      </c>
      <c r="U438" s="303" t="str">
        <f>+CONCATENATE(WEEKNUM(Tabla8[[#This Row],[FECHA]]),"-",YEAR(Tabla8[[#This Row],[FECHA]]))</f>
        <v>10-2026</v>
      </c>
    </row>
    <row r="439" spans="1:21" ht="15" customHeight="1">
      <c r="A439" s="22">
        <v>46084</v>
      </c>
      <c r="B439" s="16" t="s">
        <v>179</v>
      </c>
      <c r="C439" s="10" t="s">
        <v>36</v>
      </c>
      <c r="D439" s="381">
        <v>0.28541666666666665</v>
      </c>
      <c r="E439" s="381">
        <v>0.32291666666666669</v>
      </c>
      <c r="F439" s="380">
        <f>+MOD(Tabla8[[#This Row],[HR. FIN]]-Tabla8[[#This Row],[HR. INICIO]],1)</f>
        <v>3.7500000000000033E-2</v>
      </c>
      <c r="G439" s="16" t="s">
        <v>27</v>
      </c>
      <c r="H439" s="343" t="str">
        <f>IFERROR(VLOOKUP(G439,DATOS!$M$2:$N$219,2,FALSE),"")</f>
        <v>Maquinaria</v>
      </c>
      <c r="I439" s="115" t="s">
        <v>32</v>
      </c>
      <c r="J439" s="115" t="s">
        <v>92</v>
      </c>
      <c r="K439" s="114" t="s">
        <v>93</v>
      </c>
      <c r="L439" s="35" t="s">
        <v>1030</v>
      </c>
      <c r="M439" s="35" t="s">
        <v>1031</v>
      </c>
      <c r="N439" s="35" t="str" cm="1">
        <f t="array" ref="N439">IFERROR(IF(Tabla8[[#This Row],[P/NP]]="NO PROGRAMADA","",_xlfn.TEXTJOIN(", ",TRUE,_xlfn._xlws.FILTER(Tabla4[[#All],[PIEZA]],ISNUMBER(SEARCH(Tabla4[[#All],[PCLAVE]],Tabla8[[#This Row],[DESCRIPCION DE TRABAJO]])),""))),"")</f>
        <v/>
      </c>
      <c r="O439" s="35" t="str" cm="1">
        <f t="array" ref="O439">_xlfn.TEXTJOIN(", ",TRUE,_xlfn._xlws.FILTER(Tabla28[[#All],[PARTE]],ISNUMBER(SEARCH(Tabla28[[#All],[PCLAVE2]],Tabla8[[#This Row],[DESCRIPCION DE TRABAJO]])),""))</f>
        <v>Temperadora</v>
      </c>
      <c r="P439" s="303" t="str">
        <f>IFERROR(LEFT(O439, FIND(",", O439)-1), O439)</f>
        <v>Temperadora</v>
      </c>
      <c r="Q439" s="303" t="str">
        <f>IFERROR(IF(ISERROR(FIND(",", O439, FIND(",", O439)+1)), RIGHT(O439, LEN(O439)-FIND(",", O439)-1), MID(O439, FIND(",", O439)+2, FIND(",", O439, FIND(",", O439)+1)-FIND(",", O439)-2)), "")</f>
        <v/>
      </c>
      <c r="R439" s="303" t="str">
        <f>IFERROR(RIGHT(O439, LEN(O439)-FIND(",", O439, FIND(",", O439)+1)-1), "")</f>
        <v/>
      </c>
      <c r="S439" s="35" t="str" cm="1">
        <f t="array" ref="S439">_xlfn.TEXTJOIN(", ",TRUE,_xlfn._xlws.FILTER(Tabla29[[#All],[PARTE]],ISNUMBER(SEARCH(Tabla29[[#All],[PCLAVE3]],Tabla8[[#This Row],[DESCRIPCION DE TRABAJO]])),""))</f>
        <v>Temperatura, Temperatura</v>
      </c>
      <c r="T439" s="34" t="str">
        <f>IF(AND(Tabla8[[#This Row],[PIEZA]]="",Tabla8[[#This Row],[PARTE]]=""),"VACIO","OK")</f>
        <v>OK</v>
      </c>
      <c r="U439" s="303" t="str">
        <f>+CONCATENATE(WEEKNUM(Tabla8[[#This Row],[FECHA]]),"-",YEAR(Tabla8[[#This Row],[FECHA]]))</f>
        <v>10-2026</v>
      </c>
    </row>
    <row r="440" spans="1:21" ht="15" customHeight="1">
      <c r="A440" s="22">
        <v>46084</v>
      </c>
      <c r="B440" s="16" t="s">
        <v>179</v>
      </c>
      <c r="C440" s="10" t="s">
        <v>36</v>
      </c>
      <c r="D440" s="381">
        <v>0.29583333333333334</v>
      </c>
      <c r="E440" s="381">
        <v>0.33055555555555555</v>
      </c>
      <c r="F440" s="380">
        <f>+MOD(Tabla8[[#This Row],[HR. FIN]]-Tabla8[[#This Row],[HR. INICIO]],1)</f>
        <v>3.472222222222221E-2</v>
      </c>
      <c r="G440" s="16" t="s">
        <v>42</v>
      </c>
      <c r="H440" s="343" t="str">
        <f>IFERROR(VLOOKUP(G440,DATOS!$M$2:$N$219,2,FALSE),"")</f>
        <v>Maquinaria</v>
      </c>
      <c r="I440" s="115" t="s">
        <v>57</v>
      </c>
      <c r="J440" s="115" t="str">
        <f>+VLOOKUP($I440,Tabla7[#All],2,FALSE)</f>
        <v>NO PROGRAMADA</v>
      </c>
      <c r="K440" s="114" t="str">
        <f>IF(VLOOKUP(I440,Tabla7[#All],3,FALSE)=0,"",VLOOKUP(I440,Tabla7[#All],3,FALSE))</f>
        <v>MECÁNICA</v>
      </c>
      <c r="L440" s="35" t="s">
        <v>1032</v>
      </c>
      <c r="M440" s="35" t="s">
        <v>1033</v>
      </c>
      <c r="N440" s="35" t="str" cm="1">
        <f t="array" ref="N440">IFERROR(IF(Tabla8[[#This Row],[P/NP]]="NO PROGRAMADA","",_xlfn.TEXTJOIN(", ",TRUE,_xlfn._xlws.FILTER(Tabla4[[#All],[PIEZA]],ISNUMBER(SEARCH(Tabla4[[#All],[PCLAVE]],Tabla8[[#This Row],[DESCRIPCION DE TRABAJO]])),""))),"")</f>
        <v/>
      </c>
      <c r="O440" s="35" t="str" cm="1">
        <f t="array" ref="O440">_xlfn.TEXTJOIN(", ",TRUE,_xlfn._xlws.FILTER(Tabla28[[#All],[PARTE]],ISNUMBER(SEARCH(Tabla28[[#All],[PCLAVE2]],Tabla8[[#This Row],[DESCRIPCION DE TRABAJO]])),""))</f>
        <v/>
      </c>
      <c r="P440" s="303" t="str">
        <f>IFERROR(LEFT(O440, FIND(",", O440)-1), O440)</f>
        <v/>
      </c>
      <c r="Q440" s="303" t="str">
        <f>IFERROR(IF(ISERROR(FIND(",", O440, FIND(",", O440)+1)), RIGHT(O440, LEN(O440)-FIND(",", O440)-1), MID(O440, FIND(",", O440)+2, FIND(",", O440, FIND(",", O440)+1)-FIND(",", O440)-2)), "")</f>
        <v/>
      </c>
      <c r="R440" s="303" t="str">
        <f>IFERROR(RIGHT(O440, LEN(O440)-FIND(",", O440, FIND(",", O440)+1)-1), "")</f>
        <v/>
      </c>
      <c r="S440" s="35" t="str" cm="1">
        <f t="array" ref="S440">_xlfn.TEXTJOIN(", ",TRUE,_xlfn._xlws.FILTER(Tabla29[[#All],[PARTE]],ISNUMBER(SEARCH(Tabla29[[#All],[PCLAVE3]],Tabla8[[#This Row],[DESCRIPCION DE TRABAJO]])),""))</f>
        <v/>
      </c>
      <c r="T440" s="34" t="str">
        <f>IF(AND(Tabla8[[#This Row],[PIEZA]]="",Tabla8[[#This Row],[PARTE]]=""),"VACIO","OK")</f>
        <v>VACIO</v>
      </c>
      <c r="U440" s="303" t="str">
        <f>+CONCATENATE(WEEKNUM(Tabla8[[#This Row],[FECHA]]),"-",YEAR(Tabla8[[#This Row],[FECHA]]))</f>
        <v>10-2026</v>
      </c>
    </row>
    <row r="441" spans="1:21" ht="15" customHeight="1">
      <c r="A441" s="22">
        <v>46084</v>
      </c>
      <c r="B441" s="16" t="s">
        <v>179</v>
      </c>
      <c r="C441" s="10" t="s">
        <v>36</v>
      </c>
      <c r="D441" s="381">
        <v>0.2361111111111111</v>
      </c>
      <c r="E441" s="381">
        <v>0.27083333333333331</v>
      </c>
      <c r="F441" s="380">
        <f>+MOD(Tabla8[[#This Row],[HR. FIN]]-Tabla8[[#This Row],[HR. INICIO]],1)</f>
        <v>3.472222222222221E-2</v>
      </c>
      <c r="G441" s="16" t="s">
        <v>119</v>
      </c>
      <c r="H441" s="343" t="str">
        <f>IFERROR(VLOOKUP(G441,DATOS!$M$2:$N$219,2,FALSE),"")</f>
        <v>Maquinaria</v>
      </c>
      <c r="I441" s="115" t="s">
        <v>32</v>
      </c>
      <c r="J441" s="115" t="str">
        <f>+VLOOKUP($I441,Tabla7[#All],2,FALSE)</f>
        <v>PROGRAMADA</v>
      </c>
      <c r="K441" s="114" t="str">
        <f>IF(VLOOKUP(I441,Tabla7[#All],3,FALSE)=0,"",VLOOKUP(I441,Tabla7[#All],3,FALSE))</f>
        <v/>
      </c>
      <c r="L441" s="35" t="s">
        <v>1034</v>
      </c>
      <c r="M441" s="35" t="s">
        <v>121</v>
      </c>
      <c r="N441" s="35" t="str" cm="1">
        <f t="array" ref="N441">IFERROR(IF(Tabla8[[#This Row],[P/NP]]="NO PROGRAMADA","",_xlfn.TEXTJOIN(", ",TRUE,_xlfn._xlws.FILTER(Tabla4[[#All],[PIEZA]],ISNUMBER(SEARCH(Tabla4[[#All],[PCLAVE]],Tabla8[[#This Row],[DESCRIPCION DE TRABAJO]])),""))),"")</f>
        <v/>
      </c>
      <c r="O441" s="35" t="str" cm="1">
        <f t="array" ref="O441">_xlfn.TEXTJOIN(", ",TRUE,_xlfn._xlws.FILTER(Tabla28[[#All],[PARTE]],ISNUMBER(SEARCH(Tabla28[[#All],[PCLAVE2]],Tabla8[[#This Row],[DESCRIPCION DE TRABAJO]])),""))</f>
        <v/>
      </c>
      <c r="P441" s="303" t="str">
        <f>IFERROR(LEFT(O441, FIND(",", O441)-1), O441)</f>
        <v/>
      </c>
      <c r="Q441" s="303" t="str">
        <f>IFERROR(IF(ISERROR(FIND(",", O441, FIND(",", O441)+1)), RIGHT(O441, LEN(O441)-FIND(",", O441)-1), MID(O441, FIND(",", O441)+2, FIND(",", O441, FIND(",", O441)+1)-FIND(",", O441)-2)), "")</f>
        <v/>
      </c>
      <c r="R441" s="303" t="str">
        <f>IFERROR(RIGHT(O441, LEN(O441)-FIND(",", O441, FIND(",", O441)+1)-1), "")</f>
        <v/>
      </c>
      <c r="S441" s="35" t="str" cm="1">
        <f t="array" ref="S441">_xlfn.TEXTJOIN(", ",TRUE,_xlfn._xlws.FILTER(Tabla29[[#All],[PARTE]],ISNUMBER(SEARCH(Tabla29[[#All],[PCLAVE3]],Tabla8[[#This Row],[DESCRIPCION DE TRABAJO]])),""))</f>
        <v/>
      </c>
      <c r="T441" s="34" t="str">
        <f>IF(AND(Tabla8[[#This Row],[PIEZA]]="",Tabla8[[#This Row],[PARTE]]=""),"VACIO","OK")</f>
        <v>VACIO</v>
      </c>
      <c r="U441" s="303" t="str">
        <f>+CONCATENATE(WEEKNUM(Tabla8[[#This Row],[FECHA]]),"-",YEAR(Tabla8[[#This Row],[FECHA]]))</f>
        <v>10-2026</v>
      </c>
    </row>
    <row r="442" spans="1:21" ht="15" customHeight="1">
      <c r="A442" s="22">
        <v>46084</v>
      </c>
      <c r="B442" s="16" t="s">
        <v>111</v>
      </c>
      <c r="C442" s="10" t="s">
        <v>36</v>
      </c>
      <c r="D442" s="381">
        <v>0.53472222222222221</v>
      </c>
      <c r="E442" s="381">
        <v>0.5625</v>
      </c>
      <c r="F442" s="380">
        <f>+MOD(Tabla8[[#This Row],[HR. FIN]]-Tabla8[[#This Row],[HR. INICIO]],1)</f>
        <v>2.777777777777779E-2</v>
      </c>
      <c r="G442" s="16" t="s">
        <v>31</v>
      </c>
      <c r="H442" s="343" t="str">
        <f>IFERROR(VLOOKUP(G442,DATOS!$M$2:$N$219,2,FALSE),"")</f>
        <v>Maquinaria</v>
      </c>
      <c r="I442" s="115" t="s">
        <v>32</v>
      </c>
      <c r="J442" s="115" t="str">
        <f>+VLOOKUP($I442,Tabla7[#All],2,FALSE)</f>
        <v>PROGRAMADA</v>
      </c>
      <c r="K442" s="114" t="str">
        <f>IF(VLOOKUP(I442,Tabla7[#All],3,FALSE)=0,"",VLOOKUP(I442,Tabla7[#All],3,FALSE))</f>
        <v/>
      </c>
      <c r="L442" s="35" t="s">
        <v>1035</v>
      </c>
      <c r="M442" s="35" t="s">
        <v>121</v>
      </c>
      <c r="N442" s="35" t="str" cm="1">
        <f t="array" ref="N442">IFERROR(IF(Tabla8[[#This Row],[P/NP]]="NO PROGRAMADA","",_xlfn.TEXTJOIN(", ",TRUE,_xlfn._xlws.FILTER(Tabla4[[#All],[PIEZA]],ISNUMBER(SEARCH(Tabla4[[#All],[PCLAVE]],Tabla8[[#This Row],[DESCRIPCION DE TRABAJO]])),""))),"")</f>
        <v>Disco</v>
      </c>
      <c r="O442" s="35" t="str" cm="1">
        <f t="array" ref="O442">_xlfn.TEXTJOIN(", ",TRUE,_xlfn._xlws.FILTER(Tabla28[[#All],[PARTE]],ISNUMBER(SEARCH(Tabla28[[#All],[PCLAVE2]],Tabla8[[#This Row],[DESCRIPCION DE TRABAJO]])),""))</f>
        <v/>
      </c>
      <c r="P442" s="303" t="str">
        <f>IFERROR(LEFT(O442, FIND(",", O442)-1), O442)</f>
        <v/>
      </c>
      <c r="Q442" s="303" t="str">
        <f>IFERROR(IF(ISERROR(FIND(",", O442, FIND(",", O442)+1)), RIGHT(O442, LEN(O442)-FIND(",", O442)-1), MID(O442, FIND(",", O442)+2, FIND(",", O442, FIND(",", O442)+1)-FIND(",", O442)-2)), "")</f>
        <v/>
      </c>
      <c r="R442" s="303" t="str">
        <f>IFERROR(RIGHT(O442, LEN(O442)-FIND(",", O442, FIND(",", O442)+1)-1), "")</f>
        <v/>
      </c>
      <c r="S442" s="35" t="str" cm="1">
        <f t="array" ref="S442">_xlfn.TEXTJOIN(", ",TRUE,_xlfn._xlws.FILTER(Tabla29[[#All],[PARTE]],ISNUMBER(SEARCH(Tabla29[[#All],[PCLAVE3]],Tabla8[[#This Row],[DESCRIPCION DE TRABAJO]])),""))</f>
        <v/>
      </c>
      <c r="T442" s="34" t="str">
        <f>IF(AND(Tabla8[[#This Row],[PIEZA]]="",Tabla8[[#This Row],[PARTE]]=""),"VACIO","OK")</f>
        <v>OK</v>
      </c>
      <c r="U442" s="303" t="str">
        <f>+CONCATENATE(WEEKNUM(Tabla8[[#This Row],[FECHA]]),"-",YEAR(Tabla8[[#This Row],[FECHA]]))</f>
        <v>10-2026</v>
      </c>
    </row>
    <row r="443" spans="1:21" ht="15" customHeight="1">
      <c r="A443" s="22">
        <v>46084</v>
      </c>
      <c r="B443" s="16" t="s">
        <v>179</v>
      </c>
      <c r="C443" s="10" t="s">
        <v>36</v>
      </c>
      <c r="D443" s="381">
        <v>0.3611111111111111</v>
      </c>
      <c r="E443" s="381">
        <v>0.3888888888888889</v>
      </c>
      <c r="F443" s="380">
        <f>+MOD(Tabla8[[#This Row],[HR. FIN]]-Tabla8[[#This Row],[HR. INICIO]],1)</f>
        <v>2.777777777777779E-2</v>
      </c>
      <c r="G443" s="16" t="s">
        <v>31</v>
      </c>
      <c r="H443" s="343" t="str">
        <f>IFERROR(VLOOKUP(G443,DATOS!$M$2:$N$219,2,FALSE),"")</f>
        <v>Maquinaria</v>
      </c>
      <c r="I443" s="115" t="s">
        <v>57</v>
      </c>
      <c r="J443" s="115" t="str">
        <f>+VLOOKUP($I443,Tabla7[#All],2,FALSE)</f>
        <v>NO PROGRAMADA</v>
      </c>
      <c r="K443" s="114" t="str">
        <f>IF(VLOOKUP(I443,Tabla7[#All],3,FALSE)=0,"",VLOOKUP(I443,Tabla7[#All],3,FALSE))</f>
        <v>MECÁNICA</v>
      </c>
      <c r="L443" s="35" t="s">
        <v>1036</v>
      </c>
      <c r="M443" s="35" t="s">
        <v>1037</v>
      </c>
      <c r="N443" s="35" t="str" cm="1">
        <f t="array" ref="N443">IFERROR(IF(Tabla8[[#This Row],[P/NP]]="NO PROGRAMADA","",_xlfn.TEXTJOIN(", ",TRUE,_xlfn._xlws.FILTER(Tabla4[[#All],[PIEZA]],ISNUMBER(SEARCH(Tabla4[[#All],[PCLAVE]],Tabla8[[#This Row],[DESCRIPCION DE TRABAJO]])),""))),"")</f>
        <v/>
      </c>
      <c r="O443" s="35" t="str" cm="1">
        <f t="array" ref="O443">_xlfn.TEXTJOIN(", ",TRUE,_xlfn._xlws.FILTER(Tabla28[[#All],[PARTE]],ISNUMBER(SEARCH(Tabla28[[#All],[PCLAVE2]],Tabla8[[#This Row],[DESCRIPCION DE TRABAJO]])),""))</f>
        <v/>
      </c>
      <c r="P443" s="303" t="str">
        <f>IFERROR(LEFT(O443, FIND(",", O443)-1), O443)</f>
        <v/>
      </c>
      <c r="Q443" s="303" t="str">
        <f>IFERROR(IF(ISERROR(FIND(",", O443, FIND(",", O443)+1)), RIGHT(O443, LEN(O443)-FIND(",", O443)-1), MID(O443, FIND(",", O443)+2, FIND(",", O443, FIND(",", O443)+1)-FIND(",", O443)-2)), "")</f>
        <v/>
      </c>
      <c r="R443" s="303" t="str">
        <f>IFERROR(RIGHT(O443, LEN(O443)-FIND(",", O443, FIND(",", O443)+1)-1), "")</f>
        <v/>
      </c>
      <c r="S443" s="35" t="str" cm="1">
        <f t="array" ref="S443">_xlfn.TEXTJOIN(", ",TRUE,_xlfn._xlws.FILTER(Tabla29[[#All],[PARTE]],ISNUMBER(SEARCH(Tabla29[[#All],[PCLAVE3]],Tabla8[[#This Row],[DESCRIPCION DE TRABAJO]])),""))</f>
        <v>Rotura</v>
      </c>
      <c r="T443" s="34" t="str">
        <f>IF(AND(Tabla8[[#This Row],[PIEZA]]="",Tabla8[[#This Row],[PARTE]]=""),"VACIO","OK")</f>
        <v>VACIO</v>
      </c>
      <c r="U443" s="303" t="str">
        <f>+CONCATENATE(WEEKNUM(Tabla8[[#This Row],[FECHA]]),"-",YEAR(Tabla8[[#This Row],[FECHA]]))</f>
        <v>10-2026</v>
      </c>
    </row>
    <row r="444" spans="1:21" ht="15" customHeight="1">
      <c r="A444" s="22">
        <v>46084</v>
      </c>
      <c r="B444" s="16" t="s">
        <v>191</v>
      </c>
      <c r="C444" s="10" t="s">
        <v>39</v>
      </c>
      <c r="D444" s="381">
        <v>0.97777777777777775</v>
      </c>
      <c r="E444" s="381">
        <v>0.99930555555555556</v>
      </c>
      <c r="F444" s="380">
        <f>+MOD(Tabla8[[#This Row],[HR. FIN]]-Tabla8[[#This Row],[HR. INICIO]],1)</f>
        <v>2.1527777777777812E-2</v>
      </c>
      <c r="G444" s="16" t="s">
        <v>119</v>
      </c>
      <c r="H444" s="343" t="str">
        <f>IFERROR(VLOOKUP(G444,DATOS!$M$2:$N$219,2,FALSE),"")</f>
        <v>Maquinaria</v>
      </c>
      <c r="I444" s="115" t="s">
        <v>32</v>
      </c>
      <c r="J444" s="115" t="s">
        <v>92</v>
      </c>
      <c r="K444" s="114" t="s">
        <v>148</v>
      </c>
      <c r="L444" s="35" t="s">
        <v>1038</v>
      </c>
      <c r="M444" s="35" t="s">
        <v>1039</v>
      </c>
      <c r="N444" s="35" t="str" cm="1">
        <f t="array" ref="N444">IFERROR(IF(Tabla8[[#This Row],[P/NP]]="NO PROGRAMADA","",_xlfn.TEXTJOIN(", ",TRUE,_xlfn._xlws.FILTER(Tabla4[[#All],[PIEZA]],ISNUMBER(SEARCH(Tabla4[[#All],[PCLAVE]],Tabla8[[#This Row],[DESCRIPCION DE TRABAJO]])),""))),"")</f>
        <v/>
      </c>
      <c r="O444" s="35" t="str" cm="1">
        <f t="array" ref="O444">_xlfn.TEXTJOIN(", ",TRUE,_xlfn._xlws.FILTER(Tabla28[[#All],[PARTE]],ISNUMBER(SEARCH(Tabla28[[#All],[PCLAVE2]],Tabla8[[#This Row],[DESCRIPCION DE TRABAJO]])),""))</f>
        <v/>
      </c>
      <c r="P444" s="303" t="str">
        <f>IFERROR(LEFT(O444, FIND(",", O444)-1), O444)</f>
        <v/>
      </c>
      <c r="Q444" s="303" t="str">
        <f>IFERROR(IF(ISERROR(FIND(",", O444, FIND(",", O444)+1)), RIGHT(O444, LEN(O444)-FIND(",", O444)-1), MID(O444, FIND(",", O444)+2, FIND(",", O444, FIND(",", O444)+1)-FIND(",", O444)-2)), "")</f>
        <v/>
      </c>
      <c r="R444" s="303" t="str">
        <f>IFERROR(RIGHT(O444, LEN(O444)-FIND(",", O444, FIND(",", O444)+1)-1), "")</f>
        <v/>
      </c>
      <c r="S444" s="35" t="str" cm="1">
        <f t="array" ref="S444">_xlfn.TEXTJOIN(", ",TRUE,_xlfn._xlws.FILTER(Tabla29[[#All],[PARTE]],ISNUMBER(SEARCH(Tabla29[[#All],[PCLAVE3]],Tabla8[[#This Row],[DESCRIPCION DE TRABAJO]])),""))</f>
        <v>Apagado, Rotura</v>
      </c>
      <c r="T444" s="34" t="str">
        <f>IF(AND(Tabla8[[#This Row],[PIEZA]]="",Tabla8[[#This Row],[PARTE]]=""),"VACIO","OK")</f>
        <v>VACIO</v>
      </c>
      <c r="U444" s="303" t="str">
        <f>+CONCATENATE(WEEKNUM(Tabla8[[#This Row],[FECHA]]),"-",YEAR(Tabla8[[#This Row],[FECHA]]))</f>
        <v>10-2026</v>
      </c>
    </row>
    <row r="445" spans="1:21" ht="15" customHeight="1">
      <c r="A445" s="22">
        <v>46084</v>
      </c>
      <c r="B445" s="16" t="s">
        <v>88</v>
      </c>
      <c r="C445" s="10" t="s">
        <v>23</v>
      </c>
      <c r="D445" s="381">
        <v>0.54166666666666663</v>
      </c>
      <c r="E445" s="381">
        <v>0.5625</v>
      </c>
      <c r="F445" s="380">
        <f>+MOD(Tabla8[[#This Row],[HR. FIN]]-Tabla8[[#This Row],[HR. INICIO]],1)</f>
        <v>2.083333333333337E-2</v>
      </c>
      <c r="G445" s="16" t="s">
        <v>103</v>
      </c>
      <c r="H445" s="343" t="str">
        <f>IFERROR(VLOOKUP(G445,DATOS!$M$2:$N$219,2,FALSE),"")</f>
        <v>Area</v>
      </c>
      <c r="I445" s="115" t="s">
        <v>54</v>
      </c>
      <c r="J445" s="115" t="str">
        <f>+VLOOKUP($I445,Tabla7[#All],2,FALSE)</f>
        <v>PROGRAMADA</v>
      </c>
      <c r="K445" s="114" t="str">
        <f>IF(VLOOKUP(I445,Tabla7[#All],3,FALSE)=0,"",VLOOKUP(I445,Tabla7[#All],3,FALSE))</f>
        <v/>
      </c>
      <c r="L445" s="35" t="s">
        <v>1040</v>
      </c>
      <c r="M445" s="35" t="s">
        <v>1041</v>
      </c>
      <c r="N445" s="35" t="str" cm="1">
        <f t="array" ref="N445">IFERROR(IF(Tabla8[[#This Row],[P/NP]]="NO PROGRAMADA","",_xlfn.TEXTJOIN(", ",TRUE,_xlfn._xlws.FILTER(Tabla4[[#All],[PIEZA]],ISNUMBER(SEARCH(Tabla4[[#All],[PCLAVE]],Tabla8[[#This Row],[DESCRIPCION DE TRABAJO]])),""))),"")</f>
        <v/>
      </c>
      <c r="O445" s="35" t="str" cm="1">
        <f t="array" ref="O445">_xlfn.TEXTJOIN(", ",TRUE,_xlfn._xlws.FILTER(Tabla28[[#All],[PARTE]],ISNUMBER(SEARCH(Tabla28[[#All],[PCLAVE2]],Tabla8[[#This Row],[DESCRIPCION DE TRABAJO]])),""))</f>
        <v/>
      </c>
      <c r="P445" s="303" t="str">
        <f>IFERROR(LEFT(O445, FIND(",", O445)-1), O445)</f>
        <v/>
      </c>
      <c r="Q445" s="303" t="str">
        <f>IFERROR(IF(ISERROR(FIND(",", O445, FIND(",", O445)+1)), RIGHT(O445, LEN(O445)-FIND(",", O445)-1), MID(O445, FIND(",", O445)+2, FIND(",", O445, FIND(",", O445)+1)-FIND(",", O445)-2)), "")</f>
        <v/>
      </c>
      <c r="R445" s="303" t="str">
        <f>IFERROR(RIGHT(O445, LEN(O445)-FIND(",", O445, FIND(",", O445)+1)-1), "")</f>
        <v/>
      </c>
      <c r="S445" s="35" t="str" cm="1">
        <f t="array" ref="S445">_xlfn.TEXTJOIN(", ",TRUE,_xlfn._xlws.FILTER(Tabla29[[#All],[PARTE]],ISNUMBER(SEARCH(Tabla29[[#All],[PCLAVE3]],Tabla8[[#This Row],[DESCRIPCION DE TRABAJO]])),""))</f>
        <v/>
      </c>
      <c r="T445" s="34" t="str">
        <f>IF(AND(Tabla8[[#This Row],[PIEZA]]="",Tabla8[[#This Row],[PARTE]]=""),"VACIO","OK")</f>
        <v>VACIO</v>
      </c>
      <c r="U445" s="303" t="str">
        <f>+CONCATENATE(WEEKNUM(Tabla8[[#This Row],[FECHA]]),"-",YEAR(Tabla8[[#This Row],[FECHA]]))</f>
        <v>10-2026</v>
      </c>
    </row>
    <row r="446" spans="1:21" ht="15" customHeight="1">
      <c r="A446" s="22">
        <v>46084</v>
      </c>
      <c r="B446" s="16" t="s">
        <v>191</v>
      </c>
      <c r="C446" s="10" t="s">
        <v>39</v>
      </c>
      <c r="D446" s="381">
        <v>2.7777777777777779E-3</v>
      </c>
      <c r="E446" s="381">
        <v>2.1527777777777778E-2</v>
      </c>
      <c r="F446" s="380">
        <f>+MOD(Tabla8[[#This Row],[HR. FIN]]-Tabla8[[#This Row],[HR. INICIO]],1)</f>
        <v>1.8749999999999999E-2</v>
      </c>
      <c r="G446" s="16" t="s">
        <v>119</v>
      </c>
      <c r="H446" s="343" t="str">
        <f>IFERROR(VLOOKUP(G446,DATOS!$M$2:$N$219,2,FALSE),"")</f>
        <v>Maquinaria</v>
      </c>
      <c r="I446" s="115" t="s">
        <v>32</v>
      </c>
      <c r="J446" s="115" t="str">
        <f>+VLOOKUP($I446,Tabla7[#All],2,FALSE)</f>
        <v>PROGRAMADA</v>
      </c>
      <c r="K446" s="114" t="str">
        <f>IF(VLOOKUP(I446,Tabla7[#All],3,FALSE)=0,"",VLOOKUP(I446,Tabla7[#All],3,FALSE))</f>
        <v/>
      </c>
      <c r="L446" s="35" t="s">
        <v>233</v>
      </c>
      <c r="M446" s="35" t="s">
        <v>121</v>
      </c>
      <c r="N446" s="35" t="str" cm="1">
        <f t="array" ref="N446">IFERROR(IF(Tabla8[[#This Row],[P/NP]]="NO PROGRAMADA","",_xlfn.TEXTJOIN(", ",TRUE,_xlfn._xlws.FILTER(Tabla4[[#All],[PIEZA]],ISNUMBER(SEARCH(Tabla4[[#All],[PCLAVE]],Tabla8[[#This Row],[DESCRIPCION DE TRABAJO]])),""))),"")</f>
        <v/>
      </c>
      <c r="O446" s="35" t="str" cm="1">
        <f t="array" ref="O446">_xlfn.TEXTJOIN(", ",TRUE,_xlfn._xlws.FILTER(Tabla28[[#All],[PARTE]],ISNUMBER(SEARCH(Tabla28[[#All],[PCLAVE2]],Tabla8[[#This Row],[DESCRIPCION DE TRABAJO]])),""))</f>
        <v>Mds</v>
      </c>
      <c r="P446" s="303" t="str">
        <f>IFERROR(LEFT(O446, FIND(",", O446)-1), O446)</f>
        <v>Mds</v>
      </c>
      <c r="Q446" s="303" t="str">
        <f>IFERROR(IF(ISERROR(FIND(",", O446, FIND(",", O446)+1)), RIGHT(O446, LEN(O446)-FIND(",", O446)-1), MID(O446, FIND(",", O446)+2, FIND(",", O446, FIND(",", O446)+1)-FIND(",", O446)-2)), "")</f>
        <v/>
      </c>
      <c r="R446" s="303" t="str">
        <f>IFERROR(RIGHT(O446, LEN(O446)-FIND(",", O446, FIND(",", O446)+1)-1), "")</f>
        <v/>
      </c>
      <c r="S446" s="35" t="str" cm="1">
        <f t="array" ref="S446">_xlfn.TEXTJOIN(", ",TRUE,_xlfn._xlws.FILTER(Tabla29[[#All],[PARTE]],ISNUMBER(SEARCH(Tabla29[[#All],[PCLAVE3]],Tabla8[[#This Row],[DESCRIPCION DE TRABAJO]])),""))</f>
        <v>Cambio De Formato</v>
      </c>
      <c r="T446" s="34" t="str">
        <f>IF(AND(Tabla8[[#This Row],[PIEZA]]="",Tabla8[[#This Row],[PARTE]]=""),"VACIO","OK")</f>
        <v>OK</v>
      </c>
      <c r="U446" s="303" t="str">
        <f>+CONCATENATE(WEEKNUM(Tabla8[[#This Row],[FECHA]]),"-",YEAR(Tabla8[[#This Row],[FECHA]]))</f>
        <v>10-2026</v>
      </c>
    </row>
    <row r="447" spans="1:21" ht="15" customHeight="1">
      <c r="A447" s="22">
        <v>46084</v>
      </c>
      <c r="B447" s="16" t="s">
        <v>179</v>
      </c>
      <c r="C447" s="10" t="s">
        <v>36</v>
      </c>
      <c r="D447" s="381">
        <v>0.38541666666666669</v>
      </c>
      <c r="E447" s="381">
        <v>0.40277777777777779</v>
      </c>
      <c r="F447" s="380">
        <f>+MOD(Tabla8[[#This Row],[HR. FIN]]-Tabla8[[#This Row],[HR. INICIO]],1)</f>
        <v>1.7361111111111105E-2</v>
      </c>
      <c r="G447" s="16" t="s">
        <v>119</v>
      </c>
      <c r="H447" s="343" t="str">
        <f>IFERROR(VLOOKUP(G447,DATOS!$M$2:$N$219,2,FALSE),"")</f>
        <v>Maquinaria</v>
      </c>
      <c r="I447" s="115" t="s">
        <v>57</v>
      </c>
      <c r="J447" s="115" t="str">
        <f>+VLOOKUP($I447,Tabla7[#All],2,FALSE)</f>
        <v>NO PROGRAMADA</v>
      </c>
      <c r="K447" s="114" t="str">
        <f>IF(VLOOKUP(I447,Tabla7[#All],3,FALSE)=0,"",VLOOKUP(I447,Tabla7[#All],3,FALSE))</f>
        <v>MECÁNICA</v>
      </c>
      <c r="L447" s="35" t="s">
        <v>1042</v>
      </c>
      <c r="M447" s="35" t="s">
        <v>1043</v>
      </c>
      <c r="N447" s="35" t="str" cm="1">
        <f t="array" ref="N447">IFERROR(IF(Tabla8[[#This Row],[P/NP]]="NO PROGRAMADA","",_xlfn.TEXTJOIN(", ",TRUE,_xlfn._xlws.FILTER(Tabla4[[#All],[PIEZA]],ISNUMBER(SEARCH(Tabla4[[#All],[PCLAVE]],Tabla8[[#This Row],[DESCRIPCION DE TRABAJO]])),""))),"")</f>
        <v/>
      </c>
      <c r="O447" s="35" t="str" cm="1">
        <f t="array" ref="O447">_xlfn.TEXTJOIN(", ",TRUE,_xlfn._xlws.FILTER(Tabla28[[#All],[PARTE]],ISNUMBER(SEARCH(Tabla28[[#All],[PCLAVE2]],Tabla8[[#This Row],[DESCRIPCION DE TRABAJO]])),""))</f>
        <v/>
      </c>
      <c r="P447" s="303" t="str">
        <f>IFERROR(LEFT(O447, FIND(",", O447)-1), O447)</f>
        <v/>
      </c>
      <c r="Q447" s="303" t="str">
        <f>IFERROR(IF(ISERROR(FIND(",", O447, FIND(",", O447)+1)), RIGHT(O447, LEN(O447)-FIND(",", O447)-1), MID(O447, FIND(",", O447)+2, FIND(",", O447, FIND(",", O447)+1)-FIND(",", O447)-2)), "")</f>
        <v/>
      </c>
      <c r="R447" s="303" t="str">
        <f>IFERROR(RIGHT(O447, LEN(O447)-FIND(",", O447, FIND(",", O447)+1)-1), "")</f>
        <v/>
      </c>
      <c r="S447" s="35" t="str" cm="1">
        <f t="array" ref="S447">_xlfn.TEXTJOIN(", ",TRUE,_xlfn._xlws.FILTER(Tabla29[[#All],[PARTE]],ISNUMBER(SEARCH(Tabla29[[#All],[PCLAVE3]],Tabla8[[#This Row],[DESCRIPCION DE TRABAJO]])),""))</f>
        <v>Fuera De Posicion, Fuera De Tiempo</v>
      </c>
      <c r="T447" s="34" t="str">
        <f>IF(AND(Tabla8[[#This Row],[PIEZA]]="",Tabla8[[#This Row],[PARTE]]=""),"VACIO","OK")</f>
        <v>VACIO</v>
      </c>
      <c r="U447" s="303" t="str">
        <f>+CONCATENATE(WEEKNUM(Tabla8[[#This Row],[FECHA]]),"-",YEAR(Tabla8[[#This Row],[FECHA]]))</f>
        <v>10-2026</v>
      </c>
    </row>
    <row r="448" spans="1:21" ht="15" customHeight="1">
      <c r="A448" s="22">
        <v>46084</v>
      </c>
      <c r="B448" s="16" t="s">
        <v>179</v>
      </c>
      <c r="C448" s="10" t="s">
        <v>36</v>
      </c>
      <c r="D448" s="381">
        <v>0.3125</v>
      </c>
      <c r="E448" s="381">
        <v>0.3298611111111111</v>
      </c>
      <c r="F448" s="380">
        <f>+MOD(Tabla8[[#This Row],[HR. FIN]]-Tabla8[[#This Row],[HR. INICIO]],1)</f>
        <v>1.7361111111111105E-2</v>
      </c>
      <c r="G448" s="16" t="s">
        <v>153</v>
      </c>
      <c r="H448" s="343" t="str">
        <f>IFERROR(VLOOKUP(G448,DATOS!$M$2:$N$219,2,FALSE),"")</f>
        <v>Maquinaria</v>
      </c>
      <c r="I448" s="115" t="s">
        <v>57</v>
      </c>
      <c r="J448" s="115" t="str">
        <f>+VLOOKUP($I448,Tabla7[#All],2,FALSE)</f>
        <v>NO PROGRAMADA</v>
      </c>
      <c r="K448" s="114" t="str">
        <f>IF(VLOOKUP(I448,Tabla7[#All],3,FALSE)=0,"",VLOOKUP(I448,Tabla7[#All],3,FALSE))</f>
        <v>MECÁNICA</v>
      </c>
      <c r="L448" s="35" t="s">
        <v>1044</v>
      </c>
      <c r="M448" s="35" t="s">
        <v>1045</v>
      </c>
      <c r="N448" s="35" t="str" cm="1">
        <f t="array" ref="N448">IFERROR(IF(Tabla8[[#This Row],[P/NP]]="NO PROGRAMADA","",_xlfn.TEXTJOIN(", ",TRUE,_xlfn._xlws.FILTER(Tabla4[[#All],[PIEZA]],ISNUMBER(SEARCH(Tabla4[[#All],[PCLAVE]],Tabla8[[#This Row],[DESCRIPCION DE TRABAJO]])),""))),"")</f>
        <v/>
      </c>
      <c r="O448" s="35" t="str" cm="1">
        <f t="array" ref="O448">_xlfn.TEXTJOIN(", ",TRUE,_xlfn._xlws.FILTER(Tabla28[[#All],[PARTE]],ISNUMBER(SEARCH(Tabla28[[#All],[PCLAVE2]],Tabla8[[#This Row],[DESCRIPCION DE TRABAJO]])),""))</f>
        <v/>
      </c>
      <c r="P448" s="303" t="str">
        <f>IFERROR(LEFT(O448, FIND(",", O448)-1), O448)</f>
        <v/>
      </c>
      <c r="Q448" s="303" t="str">
        <f>IFERROR(IF(ISERROR(FIND(",", O448, FIND(",", O448)+1)), RIGHT(O448, LEN(O448)-FIND(",", O448)-1), MID(O448, FIND(",", O448)+2, FIND(",", O448, FIND(",", O448)+1)-FIND(",", O448)-2)), "")</f>
        <v/>
      </c>
      <c r="R448" s="303" t="str">
        <f>IFERROR(RIGHT(O448, LEN(O448)-FIND(",", O448, FIND(",", O448)+1)-1), "")</f>
        <v/>
      </c>
      <c r="S448" s="35" t="str" cm="1">
        <f t="array" ref="S448">_xlfn.TEXTJOIN(", ",TRUE,_xlfn._xlws.FILTER(Tabla29[[#All],[PARTE]],ISNUMBER(SEARCH(Tabla29[[#All],[PCLAVE3]],Tabla8[[#This Row],[DESCRIPCION DE TRABAJO]])),""))</f>
        <v>Rotura</v>
      </c>
      <c r="T448" s="34" t="str">
        <f>IF(AND(Tabla8[[#This Row],[PIEZA]]="",Tabla8[[#This Row],[PARTE]]=""),"VACIO","OK")</f>
        <v>VACIO</v>
      </c>
      <c r="U448" s="303" t="str">
        <f>+CONCATENATE(WEEKNUM(Tabla8[[#This Row],[FECHA]]),"-",YEAR(Tabla8[[#This Row],[FECHA]]))</f>
        <v>10-2026</v>
      </c>
    </row>
    <row r="449" spans="1:21" ht="15" customHeight="1">
      <c r="A449" s="22">
        <v>46084</v>
      </c>
      <c r="B449" s="16" t="s">
        <v>179</v>
      </c>
      <c r="C449" s="10" t="s">
        <v>36</v>
      </c>
      <c r="D449" s="381">
        <v>0.4826388888888889</v>
      </c>
      <c r="E449" s="381">
        <v>0.5</v>
      </c>
      <c r="F449" s="380">
        <f>+MOD(Tabla8[[#This Row],[HR. FIN]]-Tabla8[[#This Row],[HR. INICIO]],1)</f>
        <v>1.7361111111111105E-2</v>
      </c>
      <c r="G449" s="16" t="s">
        <v>128</v>
      </c>
      <c r="H449" s="343" t="str">
        <f>IFERROR(VLOOKUP(G449,DATOS!$M$2:$N$219,2,FALSE),"")</f>
        <v>Maquinaria</v>
      </c>
      <c r="I449" s="115" t="s">
        <v>57</v>
      </c>
      <c r="J449" s="115" t="str">
        <f>+VLOOKUP($I449,Tabla7[#All],2,FALSE)</f>
        <v>NO PROGRAMADA</v>
      </c>
      <c r="K449" s="114" t="s">
        <v>148</v>
      </c>
      <c r="L449" s="35" t="s">
        <v>1046</v>
      </c>
      <c r="M449" s="35" t="s">
        <v>1047</v>
      </c>
      <c r="N449" s="35" t="str" cm="1">
        <f t="array" ref="N449">IFERROR(IF(Tabla8[[#This Row],[P/NP]]="NO PROGRAMADA","",_xlfn.TEXTJOIN(", ",TRUE,_xlfn._xlws.FILTER(Tabla4[[#All],[PIEZA]],ISNUMBER(SEARCH(Tabla4[[#All],[PCLAVE]],Tabla8[[#This Row],[DESCRIPCION DE TRABAJO]])),""))),"")</f>
        <v/>
      </c>
      <c r="O449" s="35" t="str" cm="1">
        <f t="array" ref="O449">_xlfn.TEXTJOIN(", ",TRUE,_xlfn._xlws.FILTER(Tabla28[[#All],[PARTE]],ISNUMBER(SEARCH(Tabla28[[#All],[PCLAVE2]],Tabla8[[#This Row],[DESCRIPCION DE TRABAJO]])),""))</f>
        <v/>
      </c>
      <c r="P449" s="303" t="str">
        <f>IFERROR(LEFT(O449, FIND(",", O449)-1), O449)</f>
        <v/>
      </c>
      <c r="Q449" s="303" t="str">
        <f>IFERROR(IF(ISERROR(FIND(",", O449, FIND(",", O449)+1)), RIGHT(O449, LEN(O449)-FIND(",", O449)-1), MID(O449, FIND(",", O449)+2, FIND(",", O449, FIND(",", O449)+1)-FIND(",", O449)-2)), "")</f>
        <v/>
      </c>
      <c r="R449" s="303" t="str">
        <f>IFERROR(RIGHT(O449, LEN(O449)-FIND(",", O449, FIND(",", O449)+1)-1), "")</f>
        <v/>
      </c>
      <c r="S449" s="35" t="str" cm="1">
        <f t="array" ref="S449">_xlfn.TEXTJOIN(", ",TRUE,_xlfn._xlws.FILTER(Tabla29[[#All],[PARTE]],ISNUMBER(SEARCH(Tabla29[[#All],[PCLAVE3]],Tabla8[[#This Row],[DESCRIPCION DE TRABAJO]])),""))</f>
        <v/>
      </c>
      <c r="T449" s="34" t="str">
        <f>IF(AND(Tabla8[[#This Row],[PIEZA]]="",Tabla8[[#This Row],[PARTE]]=""),"VACIO","OK")</f>
        <v>VACIO</v>
      </c>
      <c r="U449" s="303" t="str">
        <f>+CONCATENATE(WEEKNUM(Tabla8[[#This Row],[FECHA]]),"-",YEAR(Tabla8[[#This Row],[FECHA]]))</f>
        <v>10-2026</v>
      </c>
    </row>
    <row r="450" spans="1:21" ht="15" customHeight="1">
      <c r="A450" s="22">
        <v>46084</v>
      </c>
      <c r="B450" s="16" t="s">
        <v>111</v>
      </c>
      <c r="C450" s="10" t="s">
        <v>36</v>
      </c>
      <c r="D450" s="381">
        <v>0.57291666666666663</v>
      </c>
      <c r="E450" s="381">
        <v>0.58680555555555558</v>
      </c>
      <c r="F450" s="380">
        <f>+MOD(Tabla8[[#This Row],[HR. FIN]]-Tabla8[[#This Row],[HR. INICIO]],1)</f>
        <v>1.3888888888888951E-2</v>
      </c>
      <c r="G450" s="16" t="s">
        <v>182</v>
      </c>
      <c r="H450" s="343" t="str">
        <f>IFERROR(VLOOKUP(G450,DATOS!$M$2:$N$219,2,FALSE),"")</f>
        <v>Maquinaria</v>
      </c>
      <c r="I450" s="115" t="s">
        <v>32</v>
      </c>
      <c r="J450" s="115" t="str">
        <f>+VLOOKUP($I450,Tabla7[#All],2,FALSE)</f>
        <v>PROGRAMADA</v>
      </c>
      <c r="K450" s="114" t="str">
        <f>IF(VLOOKUP(I450,Tabla7[#All],3,FALSE)=0,"",VLOOKUP(I450,Tabla7[#All],3,FALSE))</f>
        <v/>
      </c>
      <c r="L450" s="35" t="s">
        <v>1048</v>
      </c>
      <c r="M450" s="35" t="s">
        <v>121</v>
      </c>
      <c r="N450" s="35" t="str" cm="1">
        <f t="array" ref="N450">IFERROR(IF(Tabla8[[#This Row],[P/NP]]="NO PROGRAMADA","",_xlfn.TEXTJOIN(", ",TRUE,_xlfn._xlws.FILTER(Tabla4[[#All],[PIEZA]],ISNUMBER(SEARCH(Tabla4[[#All],[PCLAVE]],Tabla8[[#This Row],[DESCRIPCION DE TRABAJO]])),""))),"")</f>
        <v>Abrefacil</v>
      </c>
      <c r="O450" s="35" t="str" cm="1">
        <f t="array" ref="O450">_xlfn.TEXTJOIN(", ",TRUE,_xlfn._xlws.FILTER(Tabla28[[#All],[PARTE]],ISNUMBER(SEARCH(Tabla28[[#All],[PCLAVE2]],Tabla8[[#This Row],[DESCRIPCION DE TRABAJO]])),""))</f>
        <v/>
      </c>
      <c r="P450" s="303" t="str">
        <f>IFERROR(LEFT(O450, FIND(",", O450)-1), O450)</f>
        <v/>
      </c>
      <c r="Q450" s="303" t="str">
        <f>IFERROR(IF(ISERROR(FIND(",", O450, FIND(",", O450)+1)), RIGHT(O450, LEN(O450)-FIND(",", O450)-1), MID(O450, FIND(",", O450)+2, FIND(",", O450, FIND(",", O450)+1)-FIND(",", O450)-2)), "")</f>
        <v/>
      </c>
      <c r="R450" s="303" t="str">
        <f>IFERROR(RIGHT(O450, LEN(O450)-FIND(",", O450, FIND(",", O450)+1)-1), "")</f>
        <v/>
      </c>
      <c r="S450" s="35" t="str" cm="1">
        <f t="array" ref="S450">_xlfn.TEXTJOIN(", ",TRUE,_xlfn._xlws.FILTER(Tabla29[[#All],[PARTE]],ISNUMBER(SEARCH(Tabla29[[#All],[PCLAVE3]],Tabla8[[#This Row],[DESCRIPCION DE TRABAJO]])),""))</f>
        <v>Calibracion, Sellado</v>
      </c>
      <c r="T450" s="34" t="str">
        <f>IF(AND(Tabla8[[#This Row],[PIEZA]]="",Tabla8[[#This Row],[PARTE]]=""),"VACIO","OK")</f>
        <v>OK</v>
      </c>
      <c r="U450" s="303" t="str">
        <f>+CONCATENATE(WEEKNUM(Tabla8[[#This Row],[FECHA]]),"-",YEAR(Tabla8[[#This Row],[FECHA]]))</f>
        <v>10-2026</v>
      </c>
    </row>
    <row r="451" spans="1:21" ht="15" customHeight="1">
      <c r="A451" s="22">
        <v>46084</v>
      </c>
      <c r="B451" s="16" t="s">
        <v>88</v>
      </c>
      <c r="C451" s="10" t="s">
        <v>23</v>
      </c>
      <c r="D451" s="381">
        <v>0.59722222222222221</v>
      </c>
      <c r="E451" s="381">
        <v>0.61111111111111116</v>
      </c>
      <c r="F451" s="380">
        <f>+MOD(Tabla8[[#This Row],[HR. FIN]]-Tabla8[[#This Row],[HR. INICIO]],1)</f>
        <v>1.3888888888888951E-2</v>
      </c>
      <c r="G451" s="16" t="s">
        <v>31</v>
      </c>
      <c r="H451" s="343" t="str">
        <f>IFERROR(VLOOKUP(G451,DATOS!$M$2:$N$219,2,FALSE),"")</f>
        <v>Maquinaria</v>
      </c>
      <c r="I451" s="115" t="s">
        <v>57</v>
      </c>
      <c r="J451" s="115" t="str">
        <f>+VLOOKUP($I451,Tabla7[#All],2,FALSE)</f>
        <v>NO PROGRAMADA</v>
      </c>
      <c r="K451" s="114" t="str">
        <f>IF(VLOOKUP(I451,Tabla7[#All],3,FALSE)=0,"",VLOOKUP(I451,Tabla7[#All],3,FALSE))</f>
        <v>MECÁNICA</v>
      </c>
      <c r="L451" s="35" t="s">
        <v>1049</v>
      </c>
      <c r="M451" s="35" t="s">
        <v>1050</v>
      </c>
      <c r="N451" s="35" t="str" cm="1">
        <f t="array" ref="N451">IFERROR(IF(Tabla8[[#This Row],[P/NP]]="NO PROGRAMADA","",_xlfn.TEXTJOIN(", ",TRUE,_xlfn._xlws.FILTER(Tabla4[[#All],[PIEZA]],ISNUMBER(SEARCH(Tabla4[[#All],[PCLAVE]],Tabla8[[#This Row],[DESCRIPCION DE TRABAJO]])),""))),"")</f>
        <v/>
      </c>
      <c r="O451" s="35" t="str" cm="1">
        <f t="array" ref="O451">_xlfn.TEXTJOIN(", ",TRUE,_xlfn._xlws.FILTER(Tabla28[[#All],[PARTE]],ISNUMBER(SEARCH(Tabla28[[#All],[PCLAVE2]],Tabla8[[#This Row],[DESCRIPCION DE TRABAJO]])),""))</f>
        <v/>
      </c>
      <c r="P451" s="303" t="str">
        <f>IFERROR(LEFT(O451, FIND(",", O451)-1), O451)</f>
        <v/>
      </c>
      <c r="Q451" s="303" t="str">
        <f>IFERROR(IF(ISERROR(FIND(",", O451, FIND(",", O451)+1)), RIGHT(O451, LEN(O451)-FIND(",", O451)-1), MID(O451, FIND(",", O451)+2, FIND(",", O451, FIND(",", O451)+1)-FIND(",", O451)-2)), "")</f>
        <v/>
      </c>
      <c r="R451" s="303" t="str">
        <f>IFERROR(RIGHT(O451, LEN(O451)-FIND(",", O451, FIND(",", O451)+1)-1), "")</f>
        <v/>
      </c>
      <c r="S451" s="35" t="str" cm="1">
        <f t="array" ref="S451">_xlfn.TEXTJOIN(", ",TRUE,_xlfn._xlws.FILTER(Tabla29[[#All],[PARTE]],ISNUMBER(SEARCH(Tabla29[[#All],[PCLAVE3]],Tabla8[[#This Row],[DESCRIPCION DE TRABAJO]])),""))</f>
        <v>Calibracion, Sellado</v>
      </c>
      <c r="T451" s="34" t="str">
        <f>IF(AND(Tabla8[[#This Row],[PIEZA]]="",Tabla8[[#This Row],[PARTE]]=""),"VACIO","OK")</f>
        <v>VACIO</v>
      </c>
      <c r="U451" s="303" t="str">
        <f>+CONCATENATE(WEEKNUM(Tabla8[[#This Row],[FECHA]]),"-",YEAR(Tabla8[[#This Row],[FECHA]]))</f>
        <v>10-2026</v>
      </c>
    </row>
    <row r="452" spans="1:21" ht="15" customHeight="1">
      <c r="A452" s="22">
        <v>46084</v>
      </c>
      <c r="B452" s="16" t="s">
        <v>88</v>
      </c>
      <c r="C452" s="10" t="s">
        <v>23</v>
      </c>
      <c r="D452" s="381">
        <v>0.63194444444444442</v>
      </c>
      <c r="E452" s="381">
        <v>0.64583333333333337</v>
      </c>
      <c r="F452" s="380">
        <f>+MOD(Tabla8[[#This Row],[HR. FIN]]-Tabla8[[#This Row],[HR. INICIO]],1)</f>
        <v>1.3888888888888951E-2</v>
      </c>
      <c r="G452" s="16" t="s">
        <v>270</v>
      </c>
      <c r="H452" s="343" t="str">
        <f>IFERROR(VLOOKUP(G452,DATOS!$M$2:$N$219,2,FALSE),"")</f>
        <v>Maquinaria</v>
      </c>
      <c r="I452" s="115" t="s">
        <v>32</v>
      </c>
      <c r="J452" s="115" t="str">
        <f>+VLOOKUP($I452,Tabla7[#All],2,FALSE)</f>
        <v>PROGRAMADA</v>
      </c>
      <c r="K452" s="114" t="str">
        <f>IF(VLOOKUP(I452,Tabla7[#All],3,FALSE)=0,"",VLOOKUP(I452,Tabla7[#All],3,FALSE))</f>
        <v/>
      </c>
      <c r="L452" s="35" t="s">
        <v>1051</v>
      </c>
      <c r="M452" s="35" t="s">
        <v>1052</v>
      </c>
      <c r="N452" s="35" t="str" cm="1">
        <f t="array" ref="N452">IFERROR(IF(Tabla8[[#This Row],[P/NP]]="NO PROGRAMADA","",_xlfn.TEXTJOIN(", ",TRUE,_xlfn._xlws.FILTER(Tabla4[[#All],[PIEZA]],ISNUMBER(SEARCH(Tabla4[[#All],[PCLAVE]],Tabla8[[#This Row],[DESCRIPCION DE TRABAJO]])),""))),"")</f>
        <v/>
      </c>
      <c r="O452" s="35" t="str" cm="1">
        <f t="array" ref="O452">_xlfn.TEXTJOIN(", ",TRUE,_xlfn._xlws.FILTER(Tabla28[[#All],[PARTE]],ISNUMBER(SEARCH(Tabla28[[#All],[PCLAVE2]],Tabla8[[#This Row],[DESCRIPCION DE TRABAJO]])),""))</f>
        <v>Columna</v>
      </c>
      <c r="P452" s="303" t="str">
        <f>IFERROR(LEFT(O452, FIND(",", O452)-1), O452)</f>
        <v>Columna</v>
      </c>
      <c r="Q452" s="303" t="str">
        <f>IFERROR(IF(ISERROR(FIND(",", O452, FIND(",", O452)+1)), RIGHT(O452, LEN(O452)-FIND(",", O452)-1), MID(O452, FIND(",", O452)+2, FIND(",", O452, FIND(",", O452)+1)-FIND(",", O452)-2)), "")</f>
        <v/>
      </c>
      <c r="R452" s="303" t="str">
        <f>IFERROR(RIGHT(O452, LEN(O452)-FIND(",", O452, FIND(",", O452)+1)-1), "")</f>
        <v/>
      </c>
      <c r="S452" s="35" t="str" cm="1">
        <f t="array" ref="S452">_xlfn.TEXTJOIN(", ",TRUE,_xlfn._xlws.FILTER(Tabla29[[#All],[PARTE]],ISNUMBER(SEARCH(Tabla29[[#All],[PCLAVE3]],Tabla8[[#This Row],[DESCRIPCION DE TRABAJO]])),""))</f>
        <v/>
      </c>
      <c r="T452" s="34" t="str">
        <f>IF(AND(Tabla8[[#This Row],[PIEZA]]="",Tabla8[[#This Row],[PARTE]]=""),"VACIO","OK")</f>
        <v>OK</v>
      </c>
      <c r="U452" s="303" t="str">
        <f>+CONCATENATE(WEEKNUM(Tabla8[[#This Row],[FECHA]]),"-",YEAR(Tabla8[[#This Row],[FECHA]]))</f>
        <v>10-2026</v>
      </c>
    </row>
    <row r="453" spans="1:21" ht="15" customHeight="1">
      <c r="A453" s="22">
        <v>46084</v>
      </c>
      <c r="B453" s="16" t="s">
        <v>88</v>
      </c>
      <c r="C453" s="10" t="s">
        <v>23</v>
      </c>
      <c r="D453" s="381">
        <v>0.65277777777777779</v>
      </c>
      <c r="E453" s="381">
        <v>0.66666666666666663</v>
      </c>
      <c r="F453" s="380">
        <f>+MOD(Tabla8[[#This Row],[HR. FIN]]-Tabla8[[#This Row],[HR. INICIO]],1)</f>
        <v>1.388888888888884E-2</v>
      </c>
      <c r="G453" s="16" t="s">
        <v>182</v>
      </c>
      <c r="H453" s="343" t="str">
        <f>IFERROR(VLOOKUP(G453,DATOS!$M$2:$N$219,2,FALSE),"")</f>
        <v>Maquinaria</v>
      </c>
      <c r="I453" s="115" t="s">
        <v>57</v>
      </c>
      <c r="J453" s="115" t="str">
        <f>+VLOOKUP($I453,Tabla7[#All],2,FALSE)</f>
        <v>NO PROGRAMADA</v>
      </c>
      <c r="K453" s="114" t="str">
        <f>IF(VLOOKUP(I453,Tabla7[#All],3,FALSE)=0,"",VLOOKUP(I453,Tabla7[#All],3,FALSE))</f>
        <v>MECÁNICA</v>
      </c>
      <c r="L453" s="35" t="s">
        <v>1053</v>
      </c>
      <c r="M453" s="35" t="s">
        <v>1054</v>
      </c>
      <c r="N453" s="35" t="str" cm="1">
        <f t="array" ref="N453">IFERROR(IF(Tabla8[[#This Row],[P/NP]]="NO PROGRAMADA","",_xlfn.TEXTJOIN(", ",TRUE,_xlfn._xlws.FILTER(Tabla4[[#All],[PIEZA]],ISNUMBER(SEARCH(Tabla4[[#All],[PCLAVE]],Tabla8[[#This Row],[DESCRIPCION DE TRABAJO]])),""))),"")</f>
        <v/>
      </c>
      <c r="O453" s="35" t="str" cm="1">
        <f t="array" ref="O453">_xlfn.TEXTJOIN(", ",TRUE,_xlfn._xlws.FILTER(Tabla28[[#All],[PARTE]],ISNUMBER(SEARCH(Tabla28[[#All],[PCLAVE2]],Tabla8[[#This Row],[DESCRIPCION DE TRABAJO]])),""))</f>
        <v/>
      </c>
      <c r="P453" s="303" t="str">
        <f>IFERROR(LEFT(O453, FIND(",", O453)-1), O453)</f>
        <v/>
      </c>
      <c r="Q453" s="303" t="str">
        <f>IFERROR(IF(ISERROR(FIND(",", O453, FIND(",", O453)+1)), RIGHT(O453, LEN(O453)-FIND(",", O453)-1), MID(O453, FIND(",", O453)+2, FIND(",", O453, FIND(",", O453)+1)-FIND(",", O453)-2)), "")</f>
        <v/>
      </c>
      <c r="R453" s="303" t="str">
        <f>IFERROR(RIGHT(O453, LEN(O453)-FIND(",", O453, FIND(",", O453)+1)-1), "")</f>
        <v/>
      </c>
      <c r="S453" s="35" t="str" cm="1">
        <f t="array" ref="S453">_xlfn.TEXTJOIN(", ",TRUE,_xlfn._xlws.FILTER(Tabla29[[#All],[PARTE]],ISNUMBER(SEARCH(Tabla29[[#All],[PCLAVE3]],Tabla8[[#This Row],[DESCRIPCION DE TRABAJO]])),""))</f>
        <v/>
      </c>
      <c r="T453" s="34" t="str">
        <f>IF(AND(Tabla8[[#This Row],[PIEZA]]="",Tabla8[[#This Row],[PARTE]]=""),"VACIO","OK")</f>
        <v>VACIO</v>
      </c>
      <c r="U453" s="303" t="str">
        <f>+CONCATENATE(WEEKNUM(Tabla8[[#This Row],[FECHA]]),"-",YEAR(Tabla8[[#This Row],[FECHA]]))</f>
        <v>10-2026</v>
      </c>
    </row>
    <row r="454" spans="1:21" ht="15" customHeight="1">
      <c r="A454" s="22">
        <v>46084</v>
      </c>
      <c r="B454" s="16" t="s">
        <v>191</v>
      </c>
      <c r="C454" s="10" t="s">
        <v>39</v>
      </c>
      <c r="D454" s="381">
        <v>0.89166666666666672</v>
      </c>
      <c r="E454" s="381">
        <v>0.90486111111111112</v>
      </c>
      <c r="F454" s="380">
        <f>+MOD(Tabla8[[#This Row],[HR. FIN]]-Tabla8[[#This Row],[HR. INICIO]],1)</f>
        <v>1.3194444444444398E-2</v>
      </c>
      <c r="G454" s="16" t="s">
        <v>215</v>
      </c>
      <c r="H454" s="343" t="str">
        <f>IFERROR(VLOOKUP(G454,DATOS!$M$2:$N$219,2,FALSE),"")</f>
        <v>Equipos auxiliares</v>
      </c>
      <c r="I454" s="115" t="s">
        <v>54</v>
      </c>
      <c r="J454" s="115" t="str">
        <f>+VLOOKUP($I454,Tabla7[#All],2,FALSE)</f>
        <v>PROGRAMADA</v>
      </c>
      <c r="K454" s="114" t="str">
        <f>IF(VLOOKUP(I454,Tabla7[#All],3,FALSE)=0,"",VLOOKUP(I454,Tabla7[#All],3,FALSE))</f>
        <v/>
      </c>
      <c r="L454" s="35" t="s">
        <v>248</v>
      </c>
      <c r="M454" s="35" t="s">
        <v>121</v>
      </c>
      <c r="N454" s="35" t="str" cm="1">
        <f t="array" ref="N454">IFERROR(IF(Tabla8[[#This Row],[P/NP]]="NO PROGRAMADA","",_xlfn.TEXTJOIN(", ",TRUE,_xlfn._xlws.FILTER(Tabla4[[#All],[PIEZA]],ISNUMBER(SEARCH(Tabla4[[#All],[PCLAVE]],Tabla8[[#This Row],[DESCRIPCION DE TRABAJO]])),""))),"")</f>
        <v/>
      </c>
      <c r="O454" s="35" t="str" cm="1">
        <f t="array" ref="O454">_xlfn.TEXTJOIN(", ",TRUE,_xlfn._xlws.FILTER(Tabla28[[#All],[PARTE]],ISNUMBER(SEARCH(Tabla28[[#All],[PCLAVE2]],Tabla8[[#This Row],[DESCRIPCION DE TRABAJO]])),""))</f>
        <v/>
      </c>
      <c r="P454" s="303" t="str">
        <f>IFERROR(LEFT(O454, FIND(",", O454)-1), O454)</f>
        <v/>
      </c>
      <c r="Q454" s="303" t="str">
        <f>IFERROR(IF(ISERROR(FIND(",", O454, FIND(",", O454)+1)), RIGHT(O454, LEN(O454)-FIND(",", O454)-1), MID(O454, FIND(",", O454)+2, FIND(",", O454, FIND(",", O454)+1)-FIND(",", O454)-2)), "")</f>
        <v/>
      </c>
      <c r="R454" s="303" t="str">
        <f>IFERROR(RIGHT(O454, LEN(O454)-FIND(",", O454, FIND(",", O454)+1)-1), "")</f>
        <v/>
      </c>
      <c r="S454" s="35" t="str" cm="1">
        <f t="array" ref="S454">_xlfn.TEXTJOIN(", ",TRUE,_xlfn._xlws.FILTER(Tabla29[[#All],[PARTE]],ISNUMBER(SEARCH(Tabla29[[#All],[PCLAVE3]],Tabla8[[#This Row],[DESCRIPCION DE TRABAJO]])),""))</f>
        <v/>
      </c>
      <c r="T454" s="34" t="str">
        <f>IF(AND(Tabla8[[#This Row],[PIEZA]]="",Tabla8[[#This Row],[PARTE]]=""),"VACIO","OK")</f>
        <v>VACIO</v>
      </c>
      <c r="U454" s="303" t="str">
        <f>+CONCATENATE(WEEKNUM(Tabla8[[#This Row],[FECHA]]),"-",YEAR(Tabla8[[#This Row],[FECHA]]))</f>
        <v>10-2026</v>
      </c>
    </row>
    <row r="455" spans="1:21" ht="15" customHeight="1">
      <c r="A455" s="22">
        <v>46084</v>
      </c>
      <c r="B455" s="16" t="s">
        <v>111</v>
      </c>
      <c r="C455" s="10" t="s">
        <v>36</v>
      </c>
      <c r="D455" s="381">
        <v>0.24305555555555555</v>
      </c>
      <c r="E455" s="381">
        <v>0.25555555555555554</v>
      </c>
      <c r="F455" s="380">
        <f>+MOD(Tabla8[[#This Row],[HR. FIN]]-Tabla8[[#This Row],[HR. INICIO]],1)</f>
        <v>1.2499999999999983E-2</v>
      </c>
      <c r="G455" s="16" t="s">
        <v>312</v>
      </c>
      <c r="H455" s="343" t="str">
        <f>IFERROR(VLOOKUP(G455,DATOS!$M$2:$N$219,2,FALSE),"")</f>
        <v>Maquinaria</v>
      </c>
      <c r="I455" s="115" t="s">
        <v>57</v>
      </c>
      <c r="J455" s="115" t="str">
        <f>+VLOOKUP($I455,Tabla7[#All],2,FALSE)</f>
        <v>NO PROGRAMADA</v>
      </c>
      <c r="K455" s="114" t="str">
        <f>IF(VLOOKUP(I455,Tabla7[#All],3,FALSE)=0,"",VLOOKUP(I455,Tabla7[#All],3,FALSE))</f>
        <v>MECÁNICA</v>
      </c>
      <c r="L455" s="35" t="s">
        <v>1055</v>
      </c>
      <c r="M455" s="35" t="s">
        <v>1056</v>
      </c>
      <c r="N455" s="35" t="str" cm="1">
        <f t="array" ref="N455">IFERROR(IF(Tabla8[[#This Row],[P/NP]]="NO PROGRAMADA","",_xlfn.TEXTJOIN(", ",TRUE,_xlfn._xlws.FILTER(Tabla4[[#All],[PIEZA]],ISNUMBER(SEARCH(Tabla4[[#All],[PCLAVE]],Tabla8[[#This Row],[DESCRIPCION DE TRABAJO]])),""))),"")</f>
        <v/>
      </c>
      <c r="O455" s="35" t="str" cm="1">
        <f t="array" ref="O455">_xlfn.TEXTJOIN(", ",TRUE,_xlfn._xlws.FILTER(Tabla28[[#All],[PARTE]],ISNUMBER(SEARCH(Tabla28[[#All],[PCLAVE2]],Tabla8[[#This Row],[DESCRIPCION DE TRABAJO]])),""))</f>
        <v/>
      </c>
      <c r="P455" s="303" t="str">
        <f>IFERROR(LEFT(O455, FIND(",", O455)-1), O455)</f>
        <v/>
      </c>
      <c r="Q455" s="303" t="str">
        <f>IFERROR(IF(ISERROR(FIND(",", O455, FIND(",", O455)+1)), RIGHT(O455, LEN(O455)-FIND(",", O455)-1), MID(O455, FIND(",", O455)+2, FIND(",", O455, FIND(",", O455)+1)-FIND(",", O455)-2)), "")</f>
        <v/>
      </c>
      <c r="R455" s="303" t="str">
        <f>IFERROR(RIGHT(O455, LEN(O455)-FIND(",", O455, FIND(",", O455)+1)-1), "")</f>
        <v/>
      </c>
      <c r="S455" s="35" t="str" cm="1">
        <f t="array" ref="S455">_xlfn.TEXTJOIN(", ",TRUE,_xlfn._xlws.FILTER(Tabla29[[#All],[PARTE]],ISNUMBER(SEARCH(Tabla29[[#All],[PCLAVE3]],Tabla8[[#This Row],[DESCRIPCION DE TRABAJO]])),""))</f>
        <v>Amarrado, Desalineado, Soltura</v>
      </c>
      <c r="T455" s="34" t="str">
        <f>IF(AND(Tabla8[[#This Row],[PIEZA]]="",Tabla8[[#This Row],[PARTE]]=""),"VACIO","OK")</f>
        <v>VACIO</v>
      </c>
      <c r="U455" s="303" t="str">
        <f>+CONCATENATE(WEEKNUM(Tabla8[[#This Row],[FECHA]]),"-",YEAR(Tabla8[[#This Row],[FECHA]]))</f>
        <v>10-2026</v>
      </c>
    </row>
    <row r="456" spans="1:21" ht="15" customHeight="1">
      <c r="A456" s="22">
        <v>46084</v>
      </c>
      <c r="B456" s="16" t="s">
        <v>191</v>
      </c>
      <c r="C456" s="10" t="s">
        <v>39</v>
      </c>
      <c r="D456" s="381">
        <v>0.92500000000000004</v>
      </c>
      <c r="E456" s="381">
        <v>0.9375</v>
      </c>
      <c r="F456" s="380">
        <f>+MOD(Tabla8[[#This Row],[HR. FIN]]-Tabla8[[#This Row],[HR. INICIO]],1)</f>
        <v>1.2499999999999956E-2</v>
      </c>
      <c r="G456" s="16" t="s">
        <v>270</v>
      </c>
      <c r="H456" s="343" t="str">
        <f>IFERROR(VLOOKUP(G456,DATOS!$M$2:$N$219,2,FALSE),"")</f>
        <v>Maquinaria</v>
      </c>
      <c r="I456" s="115" t="s">
        <v>32</v>
      </c>
      <c r="J456" s="115" t="s">
        <v>92</v>
      </c>
      <c r="K456" s="114" t="s">
        <v>148</v>
      </c>
      <c r="L456" s="35" t="s">
        <v>1057</v>
      </c>
      <c r="M456" s="35" t="s">
        <v>1058</v>
      </c>
      <c r="N456" s="35" t="str" cm="1">
        <f t="array" ref="N456">IFERROR(IF(Tabla8[[#This Row],[P/NP]]="NO PROGRAMADA","",_xlfn.TEXTJOIN(", ",TRUE,_xlfn._xlws.FILTER(Tabla4[[#All],[PIEZA]],ISNUMBER(SEARCH(Tabla4[[#All],[PCLAVE]],Tabla8[[#This Row],[DESCRIPCION DE TRABAJO]])),""))),"")</f>
        <v/>
      </c>
      <c r="O456" s="35" t="str" cm="1">
        <f t="array" ref="O456">_xlfn.TEXTJOIN(", ",TRUE,_xlfn._xlws.FILTER(Tabla28[[#All],[PARTE]],ISNUMBER(SEARCH(Tabla28[[#All],[PCLAVE2]],Tabla8[[#This Row],[DESCRIPCION DE TRABAJO]])),""))</f>
        <v>Columna, Temperadora</v>
      </c>
      <c r="P456" s="303" t="str">
        <f>IFERROR(LEFT(O456, FIND(",", O456)-1), O456)</f>
        <v>Columna</v>
      </c>
      <c r="Q456" s="303" t="str">
        <f>IFERROR(IF(ISERROR(FIND(",", O456, FIND(",", O456)+1)), RIGHT(O456, LEN(O456)-FIND(",", O456)-1), MID(O456, FIND(",", O456)+2, FIND(",", O456, FIND(",", O456)+1)-FIND(",", O456)-2)), "")</f>
        <v>Temperadora</v>
      </c>
      <c r="R456" s="303" t="str">
        <f>IFERROR(RIGHT(O456, LEN(O456)-FIND(",", O456, FIND(",", O456)+1)-1), "")</f>
        <v/>
      </c>
      <c r="S456" s="35" t="str" cm="1">
        <f t="array" ref="S456">_xlfn.TEXTJOIN(", ",TRUE,_xlfn._xlws.FILTER(Tabla29[[#All],[PARTE]],ISNUMBER(SEARCH(Tabla29[[#All],[PCLAVE3]],Tabla8[[#This Row],[DESCRIPCION DE TRABAJO]])),""))</f>
        <v>Error</v>
      </c>
      <c r="T456" s="34" t="str">
        <f>IF(AND(Tabla8[[#This Row],[PIEZA]]="",Tabla8[[#This Row],[PARTE]]=""),"VACIO","OK")</f>
        <v>OK</v>
      </c>
      <c r="U456" s="303" t="str">
        <f>+CONCATENATE(WEEKNUM(Tabla8[[#This Row],[FECHA]]),"-",YEAR(Tabla8[[#This Row],[FECHA]]))</f>
        <v>10-2026</v>
      </c>
    </row>
    <row r="457" spans="1:21" ht="15" customHeight="1">
      <c r="A457" s="22">
        <v>46084</v>
      </c>
      <c r="B457" s="16" t="s">
        <v>191</v>
      </c>
      <c r="C457" s="10" t="s">
        <v>39</v>
      </c>
      <c r="D457" s="381">
        <v>0.94513888888888886</v>
      </c>
      <c r="E457" s="381">
        <v>0.95694444444444449</v>
      </c>
      <c r="F457" s="380">
        <f>+MOD(Tabla8[[#This Row],[HR. FIN]]-Tabla8[[#This Row],[HR. INICIO]],1)</f>
        <v>1.1805555555555625E-2</v>
      </c>
      <c r="G457" s="16" t="s">
        <v>119</v>
      </c>
      <c r="H457" s="343" t="str">
        <f>IFERROR(VLOOKUP(G457,DATOS!$M$2:$N$219,2,FALSE),"")</f>
        <v>Maquinaria</v>
      </c>
      <c r="I457" s="115" t="s">
        <v>32</v>
      </c>
      <c r="J457" s="115" t="s">
        <v>92</v>
      </c>
      <c r="K457" s="114" t="s">
        <v>148</v>
      </c>
      <c r="L457" s="35" t="s">
        <v>1059</v>
      </c>
      <c r="M457" s="35" t="s">
        <v>1060</v>
      </c>
      <c r="N457" s="35" t="str" cm="1">
        <f t="array" ref="N457">IFERROR(IF(Tabla8[[#This Row],[P/NP]]="NO PROGRAMADA","",_xlfn.TEXTJOIN(", ",TRUE,_xlfn._xlws.FILTER(Tabla4[[#All],[PIEZA]],ISNUMBER(SEARCH(Tabla4[[#All],[PCLAVE]],Tabla8[[#This Row],[DESCRIPCION DE TRABAJO]])),""))),"")</f>
        <v/>
      </c>
      <c r="O457" s="35" t="str" cm="1">
        <f t="array" ref="O457">_xlfn.TEXTJOIN(", ",TRUE,_xlfn._xlws.FILTER(Tabla28[[#All],[PARTE]],ISNUMBER(SEARCH(Tabla28[[#All],[PCLAVE2]],Tabla8[[#This Row],[DESCRIPCION DE TRABAJO]])),""))</f>
        <v/>
      </c>
      <c r="P457" s="303" t="str">
        <f>IFERROR(LEFT(O457, FIND(",", O457)-1), O457)</f>
        <v/>
      </c>
      <c r="Q457" s="303" t="str">
        <f>IFERROR(IF(ISERROR(FIND(",", O457, FIND(",", O457)+1)), RIGHT(O457, LEN(O457)-FIND(",", O457)-1), MID(O457, FIND(",", O457)+2, FIND(",", O457, FIND(",", O457)+1)-FIND(",", O457)-2)), "")</f>
        <v/>
      </c>
      <c r="R457" s="303" t="str">
        <f>IFERROR(RIGHT(O457, LEN(O457)-FIND(",", O457, FIND(",", O457)+1)-1), "")</f>
        <v/>
      </c>
      <c r="S457" s="35" t="str" cm="1">
        <f t="array" ref="S457">_xlfn.TEXTJOIN(", ",TRUE,_xlfn._xlws.FILTER(Tabla29[[#All],[PARTE]],ISNUMBER(SEARCH(Tabla29[[#All],[PCLAVE3]],Tabla8[[#This Row],[DESCRIPCION DE TRABAJO]])),""))</f>
        <v/>
      </c>
      <c r="T457" s="34" t="str">
        <f>IF(AND(Tabla8[[#This Row],[PIEZA]]="",Tabla8[[#This Row],[PARTE]]=""),"VACIO","OK")</f>
        <v>VACIO</v>
      </c>
      <c r="U457" s="303" t="str">
        <f>+CONCATENATE(WEEKNUM(Tabla8[[#This Row],[FECHA]]),"-",YEAR(Tabla8[[#This Row],[FECHA]]))</f>
        <v>10-2026</v>
      </c>
    </row>
    <row r="458" spans="1:21" ht="15" customHeight="1">
      <c r="A458" s="22">
        <v>46084</v>
      </c>
      <c r="B458" s="16" t="s">
        <v>88</v>
      </c>
      <c r="C458" s="10" t="s">
        <v>23</v>
      </c>
      <c r="D458" s="381">
        <v>0.69444444444444442</v>
      </c>
      <c r="E458" s="381">
        <v>0.70486111111111116</v>
      </c>
      <c r="F458" s="380">
        <f>+MOD(Tabla8[[#This Row],[HR. FIN]]-Tabla8[[#This Row],[HR. INICIO]],1)</f>
        <v>1.0416666666666741E-2</v>
      </c>
      <c r="G458" s="16" t="s">
        <v>793</v>
      </c>
      <c r="H458" s="343" t="str">
        <f>IFERROR(VLOOKUP(G458,DATOS!$M$2:$N$219,2,FALSE),"")</f>
        <v>Maquinaria</v>
      </c>
      <c r="I458" s="115" t="s">
        <v>28</v>
      </c>
      <c r="J458" s="115" t="str">
        <f>+VLOOKUP($I458,Tabla7[#All],2,FALSE)</f>
        <v>NO PROGRAMADA</v>
      </c>
      <c r="K458" s="114" t="s">
        <v>93</v>
      </c>
      <c r="L458" s="35" t="s">
        <v>1061</v>
      </c>
      <c r="M458" s="35" t="s">
        <v>1062</v>
      </c>
      <c r="N458" s="35" t="str" cm="1">
        <f t="array" ref="N458">IFERROR(IF(Tabla8[[#This Row],[P/NP]]="NO PROGRAMADA","",_xlfn.TEXTJOIN(", ",TRUE,_xlfn._xlws.FILTER(Tabla4[[#All],[PIEZA]],ISNUMBER(SEARCH(Tabla4[[#All],[PCLAVE]],Tabla8[[#This Row],[DESCRIPCION DE TRABAJO]])),""))),"")</f>
        <v/>
      </c>
      <c r="O458" s="35" t="str" cm="1">
        <f t="array" ref="O458">_xlfn.TEXTJOIN(", ",TRUE,_xlfn._xlws.FILTER(Tabla28[[#All],[PARTE]],ISNUMBER(SEARCH(Tabla28[[#All],[PCLAVE2]],Tabla8[[#This Row],[DESCRIPCION DE TRABAJO]])),""))</f>
        <v/>
      </c>
      <c r="P458" s="303" t="str">
        <f>IFERROR(LEFT(O458, FIND(",", O458)-1), O458)</f>
        <v/>
      </c>
      <c r="Q458" s="303" t="str">
        <f>IFERROR(IF(ISERROR(FIND(",", O458, FIND(",", O458)+1)), RIGHT(O458, LEN(O458)-FIND(",", O458)-1), MID(O458, FIND(",", O458)+2, FIND(",", O458, FIND(",", O458)+1)-FIND(",", O458)-2)), "")</f>
        <v/>
      </c>
      <c r="R458" s="303" t="str">
        <f>IFERROR(RIGHT(O458, LEN(O458)-FIND(",", O458, FIND(",", O458)+1)-1), "")</f>
        <v/>
      </c>
      <c r="S458" s="35" t="str" cm="1">
        <f t="array" ref="S458">_xlfn.TEXTJOIN(", ",TRUE,_xlfn._xlws.FILTER(Tabla29[[#All],[PARTE]],ISNUMBER(SEARCH(Tabla29[[#All],[PCLAVE3]],Tabla8[[#This Row],[DESCRIPCION DE TRABAJO]])),""))</f>
        <v>Calibracion, Dañado</v>
      </c>
      <c r="T458" s="34" t="str">
        <f>IF(AND(Tabla8[[#This Row],[PIEZA]]="",Tabla8[[#This Row],[PARTE]]=""),"VACIO","OK")</f>
        <v>VACIO</v>
      </c>
      <c r="U458" s="303" t="str">
        <f>+CONCATENATE(WEEKNUM(Tabla8[[#This Row],[FECHA]]),"-",YEAR(Tabla8[[#This Row],[FECHA]]))</f>
        <v>10-2026</v>
      </c>
    </row>
    <row r="459" spans="1:21" ht="15" customHeight="1">
      <c r="A459" s="22">
        <v>46084</v>
      </c>
      <c r="B459" s="16" t="s">
        <v>179</v>
      </c>
      <c r="C459" s="10" t="s">
        <v>36</v>
      </c>
      <c r="D459" s="381">
        <v>0.33333333333333331</v>
      </c>
      <c r="E459" s="381">
        <v>0.34375</v>
      </c>
      <c r="F459" s="380">
        <f>+MOD(Tabla8[[#This Row],[HR. FIN]]-Tabla8[[#This Row],[HR. INICIO]],1)</f>
        <v>1.0416666666666685E-2</v>
      </c>
      <c r="G459" s="16" t="s">
        <v>1063</v>
      </c>
      <c r="H459" s="343" t="str">
        <f>IFERROR(VLOOKUP(G459,DATOS!$M$2:$N$219,2,FALSE),"")</f>
        <v>Maquinaria</v>
      </c>
      <c r="I459" s="115" t="s">
        <v>32</v>
      </c>
      <c r="J459" s="115" t="str">
        <f>+VLOOKUP($I459,Tabla7[#All],2,FALSE)</f>
        <v>PROGRAMADA</v>
      </c>
      <c r="K459" s="114" t="str">
        <f>IF(VLOOKUP(I459,Tabla7[#All],3,FALSE)=0,"",VLOOKUP(I459,Tabla7[#All],3,FALSE))</f>
        <v/>
      </c>
      <c r="L459" s="35" t="s">
        <v>1064</v>
      </c>
      <c r="M459" s="35" t="s">
        <v>121</v>
      </c>
      <c r="N459" s="35" t="str" cm="1">
        <f t="array" ref="N459">IFERROR(IF(Tabla8[[#This Row],[P/NP]]="NO PROGRAMADA","",_xlfn.TEXTJOIN(", ",TRUE,_xlfn._xlws.FILTER(Tabla4[[#All],[PIEZA]],ISNUMBER(SEARCH(Tabla4[[#All],[PCLAVE]],Tabla8[[#This Row],[DESCRIPCION DE TRABAJO]])),""))),"")</f>
        <v/>
      </c>
      <c r="O459" s="35" t="str" cm="1">
        <f t="array" ref="O459">_xlfn.TEXTJOIN(", ",TRUE,_xlfn._xlws.FILTER(Tabla28[[#All],[PARTE]],ISNUMBER(SEARCH(Tabla28[[#All],[PCLAVE2]],Tabla8[[#This Row],[DESCRIPCION DE TRABAJO]])),""))</f>
        <v/>
      </c>
      <c r="P459" s="303" t="str">
        <f>IFERROR(LEFT(O459, FIND(",", O459)-1), O459)</f>
        <v/>
      </c>
      <c r="Q459" s="303" t="str">
        <f>IFERROR(IF(ISERROR(FIND(",", O459, FIND(",", O459)+1)), RIGHT(O459, LEN(O459)-FIND(",", O459)-1), MID(O459, FIND(",", O459)+2, FIND(",", O459, FIND(",", O459)+1)-FIND(",", O459)-2)), "")</f>
        <v/>
      </c>
      <c r="R459" s="303" t="str">
        <f>IFERROR(RIGHT(O459, LEN(O459)-FIND(",", O459, FIND(",", O459)+1)-1), "")</f>
        <v/>
      </c>
      <c r="S459" s="35" t="str" cm="1">
        <f t="array" ref="S459">_xlfn.TEXTJOIN(", ",TRUE,_xlfn._xlws.FILTER(Tabla29[[#All],[PARTE]],ISNUMBER(SEARCH(Tabla29[[#All],[PCLAVE3]],Tabla8[[#This Row],[DESCRIPCION DE TRABAJO]])),""))</f>
        <v/>
      </c>
      <c r="T459" s="34" t="str">
        <f>IF(AND(Tabla8[[#This Row],[PIEZA]]="",Tabla8[[#This Row],[PARTE]]=""),"VACIO","OK")</f>
        <v>VACIO</v>
      </c>
      <c r="U459" s="303" t="str">
        <f>+CONCATENATE(WEEKNUM(Tabla8[[#This Row],[FECHA]]),"-",YEAR(Tabla8[[#This Row],[FECHA]]))</f>
        <v>10-2026</v>
      </c>
    </row>
    <row r="460" spans="1:21" ht="15" customHeight="1">
      <c r="A460" s="22">
        <v>46084</v>
      </c>
      <c r="B460" s="16" t="s">
        <v>191</v>
      </c>
      <c r="C460" s="10" t="s">
        <v>39</v>
      </c>
      <c r="D460" s="381">
        <v>2.8472222222222222E-2</v>
      </c>
      <c r="E460" s="381">
        <v>3.888888888888889E-2</v>
      </c>
      <c r="F460" s="380">
        <f>+MOD(Tabla8[[#This Row],[HR. FIN]]-Tabla8[[#This Row],[HR. INICIO]],1)</f>
        <v>1.0416666666666668E-2</v>
      </c>
      <c r="G460" s="16" t="s">
        <v>153</v>
      </c>
      <c r="H460" s="343" t="str">
        <f>IFERROR(VLOOKUP(G460,DATOS!$M$2:$N$219,2,FALSE),"")</f>
        <v>Maquinaria</v>
      </c>
      <c r="I460" s="115" t="s">
        <v>57</v>
      </c>
      <c r="J460" s="115" t="str">
        <f>+VLOOKUP($I460,Tabla7[#All],2,FALSE)</f>
        <v>NO PROGRAMADA</v>
      </c>
      <c r="K460" s="114" t="str">
        <f>IF(VLOOKUP(I460,Tabla7[#All],3,FALSE)=0,"",VLOOKUP(I460,Tabla7[#All],3,FALSE))</f>
        <v>MECÁNICA</v>
      </c>
      <c r="L460" s="35" t="s">
        <v>1065</v>
      </c>
      <c r="M460" s="35" t="s">
        <v>1066</v>
      </c>
      <c r="N460" s="35" t="str" cm="1">
        <f t="array" ref="N460">IFERROR(IF(Tabla8[[#This Row],[P/NP]]="NO PROGRAMADA","",_xlfn.TEXTJOIN(", ",TRUE,_xlfn._xlws.FILTER(Tabla4[[#All],[PIEZA]],ISNUMBER(SEARCH(Tabla4[[#All],[PCLAVE]],Tabla8[[#This Row],[DESCRIPCION DE TRABAJO]])),""))),"")</f>
        <v/>
      </c>
      <c r="O460" s="35" t="str" cm="1">
        <f t="array" ref="O460">_xlfn.TEXTJOIN(", ",TRUE,_xlfn._xlws.FILTER(Tabla28[[#All],[PARTE]],ISNUMBER(SEARCH(Tabla28[[#All],[PCLAVE2]],Tabla8[[#This Row],[DESCRIPCION DE TRABAJO]])),""))</f>
        <v>Contraelevador</v>
      </c>
      <c r="P460" s="303" t="str">
        <f>IFERROR(LEFT(O460, FIND(",", O460)-1), O460)</f>
        <v>Contraelevador</v>
      </c>
      <c r="Q460" s="303" t="str">
        <f>IFERROR(IF(ISERROR(FIND(",", O460, FIND(",", O460)+1)), RIGHT(O460, LEN(O460)-FIND(",", O460)-1), MID(O460, FIND(",", O460)+2, FIND(",", O460, FIND(",", O460)+1)-FIND(",", O460)-2)), "")</f>
        <v/>
      </c>
      <c r="R460" s="303" t="str">
        <f>IFERROR(RIGHT(O460, LEN(O460)-FIND(",", O460, FIND(",", O460)+1)-1), "")</f>
        <v/>
      </c>
      <c r="S460" s="35" t="str" cm="1">
        <f t="array" ref="S460">_xlfn.TEXTJOIN(", ",TRUE,_xlfn._xlws.FILTER(Tabla29[[#All],[PARTE]],ISNUMBER(SEARCH(Tabla29[[#All],[PCLAVE3]],Tabla8[[#This Row],[DESCRIPCION DE TRABAJO]])),""))</f>
        <v/>
      </c>
      <c r="T460" s="34" t="str">
        <f>IF(AND(Tabla8[[#This Row],[PIEZA]]="",Tabla8[[#This Row],[PARTE]]=""),"VACIO","OK")</f>
        <v>OK</v>
      </c>
      <c r="U460" s="303" t="str">
        <f>+CONCATENATE(WEEKNUM(Tabla8[[#This Row],[FECHA]]),"-",YEAR(Tabla8[[#This Row],[FECHA]]))</f>
        <v>10-2026</v>
      </c>
    </row>
    <row r="461" spans="1:21" ht="15" customHeight="1">
      <c r="A461" s="22">
        <v>46084</v>
      </c>
      <c r="B461" s="16" t="s">
        <v>111</v>
      </c>
      <c r="C461" s="10" t="s">
        <v>36</v>
      </c>
      <c r="D461" s="381">
        <v>0.4861111111111111</v>
      </c>
      <c r="E461" s="381">
        <v>0.49513888888888891</v>
      </c>
      <c r="F461" s="380">
        <f>+MOD(Tabla8[[#This Row],[HR. FIN]]-Tabla8[[#This Row],[HR. INICIO]],1)</f>
        <v>9.0277777777778012E-3</v>
      </c>
      <c r="G461" s="16" t="s">
        <v>312</v>
      </c>
      <c r="H461" s="343" t="str">
        <f>IFERROR(VLOOKUP(G461,DATOS!$M$2:$N$219,2,FALSE),"")</f>
        <v>Maquinaria</v>
      </c>
      <c r="I461" s="115" t="s">
        <v>54</v>
      </c>
      <c r="J461" s="115" t="str">
        <f>+VLOOKUP($I461,Tabla7[#All],2,FALSE)</f>
        <v>PROGRAMADA</v>
      </c>
      <c r="K461" s="114" t="str">
        <f>IF(VLOOKUP(I461,Tabla7[#All],3,FALSE)=0,"",VLOOKUP(I461,Tabla7[#All],3,FALSE))</f>
        <v/>
      </c>
      <c r="L461" s="35" t="s">
        <v>695</v>
      </c>
      <c r="M461" s="35" t="s">
        <v>121</v>
      </c>
      <c r="N461" s="35" t="str" cm="1">
        <f t="array" ref="N461">IFERROR(IF(Tabla8[[#This Row],[P/NP]]="NO PROGRAMADA","",_xlfn.TEXTJOIN(", ",TRUE,_xlfn._xlws.FILTER(Tabla4[[#All],[PIEZA]],ISNUMBER(SEARCH(Tabla4[[#All],[PCLAVE]],Tabla8[[#This Row],[DESCRIPCION DE TRABAJO]])),""))),"")</f>
        <v/>
      </c>
      <c r="O461" s="35" t="str" cm="1">
        <f t="array" ref="O461">_xlfn.TEXTJOIN(", ",TRUE,_xlfn._xlws.FILTER(Tabla28[[#All],[PARTE]],ISNUMBER(SEARCH(Tabla28[[#All],[PCLAVE2]],Tabla8[[#This Row],[DESCRIPCION DE TRABAJO]])),""))</f>
        <v/>
      </c>
      <c r="P461" s="303" t="str">
        <f>IFERROR(LEFT(O461, FIND(",", O461)-1), O461)</f>
        <v/>
      </c>
      <c r="Q461" s="303" t="str">
        <f>IFERROR(IF(ISERROR(FIND(",", O461, FIND(",", O461)+1)), RIGHT(O461, LEN(O461)-FIND(",", O461)-1), MID(O461, FIND(",", O461)+2, FIND(",", O461, FIND(",", O461)+1)-FIND(",", O461)-2)), "")</f>
        <v/>
      </c>
      <c r="R461" s="303" t="str">
        <f>IFERROR(RIGHT(O461, LEN(O461)-FIND(",", O461, FIND(",", O461)+1)-1), "")</f>
        <v/>
      </c>
      <c r="S461" s="35" t="str" cm="1">
        <f t="array" ref="S461">_xlfn.TEXTJOIN(", ",TRUE,_xlfn._xlws.FILTER(Tabla29[[#All],[PARTE]],ISNUMBER(SEARCH(Tabla29[[#All],[PCLAVE3]],Tabla8[[#This Row],[DESCRIPCION DE TRABAJO]])),""))</f>
        <v/>
      </c>
      <c r="T461" s="34" t="str">
        <f>IF(AND(Tabla8[[#This Row],[PIEZA]]="",Tabla8[[#This Row],[PARTE]]=""),"VACIO","OK")</f>
        <v>VACIO</v>
      </c>
      <c r="U461" s="303" t="str">
        <f>+CONCATENATE(WEEKNUM(Tabla8[[#This Row],[FECHA]]),"-",YEAR(Tabla8[[#This Row],[FECHA]]))</f>
        <v>10-2026</v>
      </c>
    </row>
    <row r="462" spans="1:21" ht="15" customHeight="1">
      <c r="A462" s="22">
        <v>46084</v>
      </c>
      <c r="B462" s="16" t="s">
        <v>191</v>
      </c>
      <c r="C462" s="10" t="s">
        <v>39</v>
      </c>
      <c r="D462" s="381">
        <v>0.96805555555555556</v>
      </c>
      <c r="E462" s="381">
        <v>0.97569444444444442</v>
      </c>
      <c r="F462" s="380">
        <f>+MOD(Tabla8[[#This Row],[HR. FIN]]-Tabla8[[#This Row],[HR. INICIO]],1)</f>
        <v>7.6388888888888618E-3</v>
      </c>
      <c r="G462" s="16" t="s">
        <v>31</v>
      </c>
      <c r="H462" s="343" t="str">
        <f>IFERROR(VLOOKUP(G462,DATOS!$M$2:$N$219,2,FALSE),"")</f>
        <v>Maquinaria</v>
      </c>
      <c r="I462" s="115" t="s">
        <v>57</v>
      </c>
      <c r="J462" s="115" t="str">
        <f>+VLOOKUP($I462,Tabla7[#All],2,FALSE)</f>
        <v>NO PROGRAMADA</v>
      </c>
      <c r="K462" s="114" t="str">
        <f>IF(VLOOKUP(I462,Tabla7[#All],3,FALSE)=0,"",VLOOKUP(I462,Tabla7[#All],3,FALSE))</f>
        <v>MECÁNICA</v>
      </c>
      <c r="L462" s="35" t="s">
        <v>1067</v>
      </c>
      <c r="M462" s="35" t="s">
        <v>121</v>
      </c>
      <c r="N462" s="35" t="str" cm="1">
        <f t="array" ref="N462">IFERROR(IF(Tabla8[[#This Row],[P/NP]]="NO PROGRAMADA","",_xlfn.TEXTJOIN(", ",TRUE,_xlfn._xlws.FILTER(Tabla4[[#All],[PIEZA]],ISNUMBER(SEARCH(Tabla4[[#All],[PCLAVE]],Tabla8[[#This Row],[DESCRIPCION DE TRABAJO]])),""))),"")</f>
        <v/>
      </c>
      <c r="O462" s="35" t="str" cm="1">
        <f t="array" ref="O462">_xlfn.TEXTJOIN(", ",TRUE,_xlfn._xlws.FILTER(Tabla28[[#All],[PARTE]],ISNUMBER(SEARCH(Tabla28[[#All],[PCLAVE2]],Tabla8[[#This Row],[DESCRIPCION DE TRABAJO]])),""))</f>
        <v/>
      </c>
      <c r="P462" s="303" t="str">
        <f>IFERROR(LEFT(O462, FIND(",", O462)-1), O462)</f>
        <v/>
      </c>
      <c r="Q462" s="303" t="str">
        <f>IFERROR(IF(ISERROR(FIND(",", O462, FIND(",", O462)+1)), RIGHT(O462, LEN(O462)-FIND(",", O462)-1), MID(O462, FIND(",", O462)+2, FIND(",", O462, FIND(",", O462)+1)-FIND(",", O462)-2)), "")</f>
        <v/>
      </c>
      <c r="R462" s="303" t="str">
        <f>IFERROR(RIGHT(O462, LEN(O462)-FIND(",", O462, FIND(",", O462)+1)-1), "")</f>
        <v/>
      </c>
      <c r="S462" s="35" t="str" cm="1">
        <f t="array" ref="S462">_xlfn.TEXTJOIN(", ",TRUE,_xlfn._xlws.FILTER(Tabla29[[#All],[PARTE]],ISNUMBER(SEARCH(Tabla29[[#All],[PCLAVE3]],Tabla8[[#This Row],[DESCRIPCION DE TRABAJO]])),""))</f>
        <v>Calibracion</v>
      </c>
      <c r="T462" s="34" t="str">
        <f>IF(AND(Tabla8[[#This Row],[PIEZA]]="",Tabla8[[#This Row],[PARTE]]=""),"VACIO","OK")</f>
        <v>VACIO</v>
      </c>
      <c r="U462" s="303" t="str">
        <f>+CONCATENATE(WEEKNUM(Tabla8[[#This Row],[FECHA]]),"-",YEAR(Tabla8[[#This Row],[FECHA]]))</f>
        <v>10-2026</v>
      </c>
    </row>
    <row r="463" spans="1:21" ht="15" customHeight="1">
      <c r="A463" s="22">
        <v>46084</v>
      </c>
      <c r="B463" s="16" t="s">
        <v>191</v>
      </c>
      <c r="C463" s="10" t="s">
        <v>39</v>
      </c>
      <c r="D463" s="381">
        <v>0.91249999999999998</v>
      </c>
      <c r="E463" s="381">
        <v>0.92013888888888884</v>
      </c>
      <c r="F463" s="380">
        <f>+MOD(Tabla8[[#This Row],[HR. FIN]]-Tabla8[[#This Row],[HR. INICIO]],1)</f>
        <v>7.6388888888888618E-3</v>
      </c>
      <c r="G463" s="16" t="s">
        <v>211</v>
      </c>
      <c r="H463" s="343" t="str">
        <f>IFERROR(VLOOKUP(G463,DATOS!$M$2:$N$219,2,FALSE),"")</f>
        <v>Maquinaria</v>
      </c>
      <c r="I463" s="115" t="s">
        <v>54</v>
      </c>
      <c r="J463" s="115" t="str">
        <f>+VLOOKUP($I463,Tabla7[#All],2,FALSE)</f>
        <v>PROGRAMADA</v>
      </c>
      <c r="K463" s="114" t="str">
        <f>IF(VLOOKUP(I463,Tabla7[#All],3,FALSE)=0,"",VLOOKUP(I463,Tabla7[#All],3,FALSE))</f>
        <v/>
      </c>
      <c r="L463" s="35" t="s">
        <v>1068</v>
      </c>
      <c r="M463" s="35" t="s">
        <v>121</v>
      </c>
      <c r="N463" s="35" t="str" cm="1">
        <f t="array" ref="N463">IFERROR(IF(Tabla8[[#This Row],[P/NP]]="NO PROGRAMADA","",_xlfn.TEXTJOIN(", ",TRUE,_xlfn._xlws.FILTER(Tabla4[[#All],[PIEZA]],ISNUMBER(SEARCH(Tabla4[[#All],[PCLAVE]],Tabla8[[#This Row],[DESCRIPCION DE TRABAJO]])),""))),"")</f>
        <v/>
      </c>
      <c r="O463" s="35" t="str" cm="1">
        <f t="array" ref="O463">_xlfn.TEXTJOIN(", ",TRUE,_xlfn._xlws.FILTER(Tabla28[[#All],[PARTE]],ISNUMBER(SEARCH(Tabla28[[#All],[PCLAVE2]],Tabla8[[#This Row],[DESCRIPCION DE TRABAJO]])),""))</f>
        <v/>
      </c>
      <c r="P463" s="303" t="str">
        <f>IFERROR(LEFT(O463, FIND(",", O463)-1), O463)</f>
        <v/>
      </c>
      <c r="Q463" s="303" t="str">
        <f>IFERROR(IF(ISERROR(FIND(",", O463, FIND(",", O463)+1)), RIGHT(O463, LEN(O463)-FIND(",", O463)-1), MID(O463, FIND(",", O463)+2, FIND(",", O463, FIND(",", O463)+1)-FIND(",", O463)-2)), "")</f>
        <v/>
      </c>
      <c r="R463" s="303" t="str">
        <f>IFERROR(RIGHT(O463, LEN(O463)-FIND(",", O463, FIND(",", O463)+1)-1), "")</f>
        <v/>
      </c>
      <c r="S463" s="35" t="str" cm="1">
        <f t="array" ref="S463">_xlfn.TEXTJOIN(", ",TRUE,_xlfn._xlws.FILTER(Tabla29[[#All],[PARTE]],ISNUMBER(SEARCH(Tabla29[[#All],[PCLAVE3]],Tabla8[[#This Row],[DESCRIPCION DE TRABAJO]])),""))</f>
        <v/>
      </c>
      <c r="T463" s="34" t="str">
        <f>IF(AND(Tabla8[[#This Row],[PIEZA]]="",Tabla8[[#This Row],[PARTE]]=""),"VACIO","OK")</f>
        <v>VACIO</v>
      </c>
      <c r="U463" s="303" t="str">
        <f>+CONCATENATE(WEEKNUM(Tabla8[[#This Row],[FECHA]]),"-",YEAR(Tabla8[[#This Row],[FECHA]]))</f>
        <v>10-2026</v>
      </c>
    </row>
    <row r="464" spans="1:21" ht="15" customHeight="1">
      <c r="A464" s="22">
        <v>46084</v>
      </c>
      <c r="B464" s="16" t="s">
        <v>191</v>
      </c>
      <c r="C464" s="10" t="s">
        <v>39</v>
      </c>
      <c r="D464" s="381">
        <v>0.88749999999999996</v>
      </c>
      <c r="E464" s="381">
        <v>0.89097222222222228</v>
      </c>
      <c r="F464" s="380">
        <f>+MOD(Tabla8[[#This Row],[HR. FIN]]-Tabla8[[#This Row],[HR. INICIO]],1)</f>
        <v>3.4722222222223209E-3</v>
      </c>
      <c r="G464" s="16" t="s">
        <v>748</v>
      </c>
      <c r="H464" s="343" t="str">
        <f>IFERROR(VLOOKUP(G464,DATOS!$M$2:$N$219,2,FALSE),"")</f>
        <v>Area</v>
      </c>
      <c r="I464" s="115" t="s">
        <v>25</v>
      </c>
      <c r="J464" s="115" t="str">
        <f>+VLOOKUP($I464,Tabla7[#All],2,FALSE)</f>
        <v>PROGRAMADA</v>
      </c>
      <c r="K464" s="114" t="str">
        <f>IF(VLOOKUP(I464,Tabla7[#All],3,FALSE)=0,"",VLOOKUP(I464,Tabla7[#All],3,FALSE))</f>
        <v/>
      </c>
      <c r="L464" s="35" t="s">
        <v>1069</v>
      </c>
      <c r="M464" s="35" t="s">
        <v>121</v>
      </c>
      <c r="N464" s="35" t="str" cm="1">
        <f t="array" ref="N464">IFERROR(IF(Tabla8[[#This Row],[P/NP]]="NO PROGRAMADA","",_xlfn.TEXTJOIN(", ",TRUE,_xlfn._xlws.FILTER(Tabla4[[#All],[PIEZA]],ISNUMBER(SEARCH(Tabla4[[#All],[PCLAVE]],Tabla8[[#This Row],[DESCRIPCION DE TRABAJO]])),""))),"")</f>
        <v>Llave</v>
      </c>
      <c r="O464" s="35" t="str" cm="1">
        <f t="array" ref="O464">_xlfn.TEXTJOIN(", ",TRUE,_xlfn._xlws.FILTER(Tabla28[[#All],[PARTE]],ISNUMBER(SEARCH(Tabla28[[#All],[PCLAVE2]],Tabla8[[#This Row],[DESCRIPCION DE TRABAJO]])),""))</f>
        <v/>
      </c>
      <c r="P464" s="303" t="str">
        <f>IFERROR(LEFT(O464, FIND(",", O464)-1), O464)</f>
        <v/>
      </c>
      <c r="Q464" s="303" t="str">
        <f>IFERROR(IF(ISERROR(FIND(",", O464, FIND(",", O464)+1)), RIGHT(O464, LEN(O464)-FIND(",", O464)-1), MID(O464, FIND(",", O464)+2, FIND(",", O464, FIND(",", O464)+1)-FIND(",", O464)-2)), "")</f>
        <v/>
      </c>
      <c r="R464" s="303" t="str">
        <f>IFERROR(RIGHT(O464, LEN(O464)-FIND(",", O464, FIND(",", O464)+1)-1), "")</f>
        <v/>
      </c>
      <c r="S464" s="35" t="str" cm="1">
        <f t="array" ref="S464">_xlfn.TEXTJOIN(", ",TRUE,_xlfn._xlws.FILTER(Tabla29[[#All],[PARTE]],ISNUMBER(SEARCH(Tabla29[[#All],[PCLAVE3]],Tabla8[[#This Row],[DESCRIPCION DE TRABAJO]])),""))</f>
        <v>Rotura</v>
      </c>
      <c r="T464" s="34" t="str">
        <f>IF(AND(Tabla8[[#This Row],[PIEZA]]="",Tabla8[[#This Row],[PARTE]]=""),"VACIO","OK")</f>
        <v>OK</v>
      </c>
      <c r="U464" s="303" t="str">
        <f>+CONCATENATE(WEEKNUM(Tabla8[[#This Row],[FECHA]]),"-",YEAR(Tabla8[[#This Row],[FECHA]]))</f>
        <v>10-2026</v>
      </c>
    </row>
    <row r="465" spans="1:21" ht="15" customHeight="1">
      <c r="A465" s="22">
        <v>46085</v>
      </c>
      <c r="B465" s="16" t="s">
        <v>111</v>
      </c>
      <c r="C465" s="10" t="s">
        <v>36</v>
      </c>
      <c r="D465" s="381">
        <v>0.34375</v>
      </c>
      <c r="E465" s="381">
        <v>0.39930555555555558</v>
      </c>
      <c r="F465" s="380">
        <f>+MOD(Tabla8[[#This Row],[HR. FIN]]-Tabla8[[#This Row],[HR. INICIO]],1)</f>
        <v>5.555555555555558E-2</v>
      </c>
      <c r="G465" s="16" t="s">
        <v>182</v>
      </c>
      <c r="H465" s="343" t="str">
        <f>IFERROR(VLOOKUP(G465,DATOS!$M$2:$N$219,2,FALSE),"")</f>
        <v>Maquinaria</v>
      </c>
      <c r="I465" s="115" t="s">
        <v>57</v>
      </c>
      <c r="J465" s="115" t="str">
        <f>+VLOOKUP($I465,Tabla7[#All],2,FALSE)</f>
        <v>NO PROGRAMADA</v>
      </c>
      <c r="K465" s="114" t="str">
        <f>IF(VLOOKUP(I465,Tabla7[#All],3,FALSE)=0,"",VLOOKUP(I465,Tabla7[#All],3,FALSE))</f>
        <v>MECÁNICA</v>
      </c>
      <c r="L465" s="35" t="s">
        <v>1070</v>
      </c>
      <c r="M465" s="35" t="s">
        <v>1071</v>
      </c>
      <c r="N465" s="35" t="str" cm="1">
        <f t="array" ref="N465">IFERROR(IF(Tabla8[[#This Row],[P/NP]]="NO PROGRAMADA","",_xlfn.TEXTJOIN(", ",TRUE,_xlfn._xlws.FILTER(Tabla4[[#All],[PIEZA]],ISNUMBER(SEARCH(Tabla4[[#All],[PCLAVE]],Tabla8[[#This Row],[DESCRIPCION DE TRABAJO]])),""))),"")</f>
        <v/>
      </c>
      <c r="O465" s="35" t="str" cm="1">
        <f t="array" ref="O465">_xlfn.TEXTJOIN(", ",TRUE,_xlfn._xlws.FILTER(Tabla28[[#All],[PARTE]],ISNUMBER(SEARCH(Tabla28[[#All],[PCLAVE2]],Tabla8[[#This Row],[DESCRIPCION DE TRABAJO]])),""))</f>
        <v/>
      </c>
      <c r="P465" s="303" t="str">
        <f>IFERROR(LEFT(O465, FIND(",", O465)-1), O465)</f>
        <v/>
      </c>
      <c r="Q465" s="303" t="str">
        <f>IFERROR(IF(ISERROR(FIND(",", O465, FIND(",", O465)+1)), RIGHT(O465, LEN(O465)-FIND(",", O465)-1), MID(O465, FIND(",", O465)+2, FIND(",", O465, FIND(",", O465)+1)-FIND(",", O465)-2)), "")</f>
        <v/>
      </c>
      <c r="R465" s="303" t="str">
        <f>IFERROR(RIGHT(O465, LEN(O465)-FIND(",", O465, FIND(",", O465)+1)-1), "")</f>
        <v/>
      </c>
      <c r="S465" s="35" t="str" cm="1">
        <f t="array" ref="S465">_xlfn.TEXTJOIN(", ",TRUE,_xlfn._xlws.FILTER(Tabla29[[#All],[PARTE]],ISNUMBER(SEARCH(Tabla29[[#All],[PCLAVE3]],Tabla8[[#This Row],[DESCRIPCION DE TRABAJO]])),""))</f>
        <v>Desalineado</v>
      </c>
      <c r="T465" s="34" t="str">
        <f>IF(AND(Tabla8[[#This Row],[PIEZA]]="",Tabla8[[#This Row],[PARTE]]=""),"VACIO","OK")</f>
        <v>VACIO</v>
      </c>
      <c r="U465" s="303" t="str">
        <f>+CONCATENATE(WEEKNUM(Tabla8[[#This Row],[FECHA]]),"-",YEAR(Tabla8[[#This Row],[FECHA]]))</f>
        <v>10-2026</v>
      </c>
    </row>
    <row r="466" spans="1:21" ht="15" customHeight="1">
      <c r="A466" s="22">
        <v>46085</v>
      </c>
      <c r="B466" s="16" t="s">
        <v>111</v>
      </c>
      <c r="C466" s="10" t="s">
        <v>36</v>
      </c>
      <c r="D466" s="381">
        <v>0.50694444444444442</v>
      </c>
      <c r="E466" s="381">
        <v>0.5625</v>
      </c>
      <c r="F466" s="380">
        <f>+MOD(Tabla8[[#This Row],[HR. FIN]]-Tabla8[[#This Row],[HR. INICIO]],1)</f>
        <v>5.555555555555558E-2</v>
      </c>
      <c r="G466" s="16" t="s">
        <v>182</v>
      </c>
      <c r="H466" s="343" t="str">
        <f>IFERROR(VLOOKUP(G466,DATOS!$M$2:$N$219,2,FALSE),"")</f>
        <v>Maquinaria</v>
      </c>
      <c r="I466" s="115" t="s">
        <v>32</v>
      </c>
      <c r="J466" s="115" t="str">
        <f>+VLOOKUP($I466,Tabla7[#All],2,FALSE)</f>
        <v>PROGRAMADA</v>
      </c>
      <c r="K466" s="114" t="str">
        <f>IF(VLOOKUP(I466,Tabla7[#All],3,FALSE)=0,"",VLOOKUP(I466,Tabla7[#All],3,FALSE))</f>
        <v/>
      </c>
      <c r="L466" s="35" t="s">
        <v>1072</v>
      </c>
      <c r="M466" s="35" t="s">
        <v>1073</v>
      </c>
      <c r="N466" s="35" t="str" cm="1">
        <f t="array" ref="N466">IFERROR(IF(Tabla8[[#This Row],[P/NP]]="NO PROGRAMADA","",_xlfn.TEXTJOIN(", ",TRUE,_xlfn._xlws.FILTER(Tabla4[[#All],[PIEZA]],ISNUMBER(SEARCH(Tabla4[[#All],[PCLAVE]],Tabla8[[#This Row],[DESCRIPCION DE TRABAJO]])),""))),"")</f>
        <v/>
      </c>
      <c r="O466" s="35" t="str" cm="1">
        <f t="array" ref="O466">_xlfn.TEXTJOIN(", ",TRUE,_xlfn._xlws.FILTER(Tabla28[[#All],[PARTE]],ISNUMBER(SEARCH(Tabla28[[#All],[PCLAVE2]],Tabla8[[#This Row],[DESCRIPCION DE TRABAJO]])),""))</f>
        <v/>
      </c>
      <c r="P466" s="303" t="str">
        <f>IFERROR(LEFT(O466, FIND(",", O466)-1), O466)</f>
        <v/>
      </c>
      <c r="Q466" s="303" t="str">
        <f>IFERROR(IF(ISERROR(FIND(",", O466, FIND(",", O466)+1)), RIGHT(O466, LEN(O466)-FIND(",", O466)-1), MID(O466, FIND(",", O466)+2, FIND(",", O466, FIND(",", O466)+1)-FIND(",", O466)-2)), "")</f>
        <v/>
      </c>
      <c r="R466" s="303" t="str">
        <f>IFERROR(RIGHT(O466, LEN(O466)-FIND(",", O466, FIND(",", O466)+1)-1), "")</f>
        <v/>
      </c>
      <c r="S466" s="35" t="str" cm="1">
        <f t="array" ref="S466">_xlfn.TEXTJOIN(", ",TRUE,_xlfn._xlws.FILTER(Tabla29[[#All],[PARTE]],ISNUMBER(SEARCH(Tabla29[[#All],[PCLAVE3]],Tabla8[[#This Row],[DESCRIPCION DE TRABAJO]])),""))</f>
        <v>Cambio De Formato</v>
      </c>
      <c r="T466" s="34" t="str">
        <f>IF(AND(Tabla8[[#This Row],[PIEZA]]="",Tabla8[[#This Row],[PARTE]]=""),"VACIO","OK")</f>
        <v>VACIO</v>
      </c>
      <c r="U466" s="303" t="str">
        <f>+CONCATENATE(WEEKNUM(Tabla8[[#This Row],[FECHA]]),"-",YEAR(Tabla8[[#This Row],[FECHA]]))</f>
        <v>10-2026</v>
      </c>
    </row>
    <row r="467" spans="1:21" ht="15" customHeight="1">
      <c r="A467" s="22">
        <v>46085</v>
      </c>
      <c r="B467" s="16" t="s">
        <v>111</v>
      </c>
      <c r="C467" s="10" t="s">
        <v>36</v>
      </c>
      <c r="D467" s="381">
        <v>0.46180555555555558</v>
      </c>
      <c r="E467" s="381">
        <v>0.49305555555555558</v>
      </c>
      <c r="F467" s="380">
        <f>+MOD(Tabla8[[#This Row],[HR. FIN]]-Tabla8[[#This Row],[HR. INICIO]],1)</f>
        <v>3.125E-2</v>
      </c>
      <c r="G467" s="16" t="s">
        <v>119</v>
      </c>
      <c r="H467" s="343" t="str">
        <f>IFERROR(VLOOKUP(G467,DATOS!$M$2:$N$219,2,FALSE),"")</f>
        <v>Maquinaria</v>
      </c>
      <c r="I467" s="115" t="s">
        <v>32</v>
      </c>
      <c r="J467" s="115" t="str">
        <f>+VLOOKUP($I467,Tabla7[#All],2,FALSE)</f>
        <v>PROGRAMADA</v>
      </c>
      <c r="K467" s="114" t="str">
        <f>IF(VLOOKUP(I467,Tabla7[#All],3,FALSE)=0,"",VLOOKUP(I467,Tabla7[#All],3,FALSE))</f>
        <v/>
      </c>
      <c r="L467" s="35" t="s">
        <v>1074</v>
      </c>
      <c r="M467" s="35" t="s">
        <v>121</v>
      </c>
      <c r="N467" s="35" t="str" cm="1">
        <f t="array" ref="N467">IFERROR(IF(Tabla8[[#This Row],[P/NP]]="NO PROGRAMADA","",_xlfn.TEXTJOIN(", ",TRUE,_xlfn._xlws.FILTER(Tabla4[[#All],[PIEZA]],ISNUMBER(SEARCH(Tabla4[[#All],[PCLAVE]],Tabla8[[#This Row],[DESCRIPCION DE TRABAJO]])),""))),"")</f>
        <v/>
      </c>
      <c r="O467" s="35" t="str" cm="1">
        <f t="array" ref="O467">_xlfn.TEXTJOIN(", ",TRUE,_xlfn._xlws.FILTER(Tabla28[[#All],[PARTE]],ISNUMBER(SEARCH(Tabla28[[#All],[PCLAVE2]],Tabla8[[#This Row],[DESCRIPCION DE TRABAJO]])),""))</f>
        <v>Mds</v>
      </c>
      <c r="P467" s="303" t="str">
        <f>IFERROR(LEFT(O467, FIND(",", O467)-1), O467)</f>
        <v>Mds</v>
      </c>
      <c r="Q467" s="303" t="str">
        <f>IFERROR(IF(ISERROR(FIND(",", O467, FIND(",", O467)+1)), RIGHT(O467, LEN(O467)-FIND(",", O467)-1), MID(O467, FIND(",", O467)+2, FIND(",", O467, FIND(",", O467)+1)-FIND(",", O467)-2)), "")</f>
        <v/>
      </c>
      <c r="R467" s="303" t="str">
        <f>IFERROR(RIGHT(O467, LEN(O467)-FIND(",", O467, FIND(",", O467)+1)-1), "")</f>
        <v/>
      </c>
      <c r="S467" s="35" t="str" cm="1">
        <f t="array" ref="S467">_xlfn.TEXTJOIN(", ",TRUE,_xlfn._xlws.FILTER(Tabla29[[#All],[PARTE]],ISNUMBER(SEARCH(Tabla29[[#All],[PCLAVE3]],Tabla8[[#This Row],[DESCRIPCION DE TRABAJO]])),""))</f>
        <v>Cambio De Formato</v>
      </c>
      <c r="T467" s="34" t="str">
        <f>IF(AND(Tabla8[[#This Row],[PIEZA]]="",Tabla8[[#This Row],[PARTE]]=""),"VACIO","OK")</f>
        <v>OK</v>
      </c>
      <c r="U467" s="303" t="str">
        <f>+CONCATENATE(WEEKNUM(Tabla8[[#This Row],[FECHA]]),"-",YEAR(Tabla8[[#This Row],[FECHA]]))</f>
        <v>10-2026</v>
      </c>
    </row>
    <row r="468" spans="1:21" ht="15" customHeight="1">
      <c r="A468" s="22">
        <v>46085</v>
      </c>
      <c r="B468" s="16" t="s">
        <v>191</v>
      </c>
      <c r="C468" s="10" t="s">
        <v>39</v>
      </c>
      <c r="D468" s="381">
        <v>0.95347222222222228</v>
      </c>
      <c r="E468" s="381">
        <v>0.97986111111111107</v>
      </c>
      <c r="F468" s="380">
        <f>+MOD(Tabla8[[#This Row],[HR. FIN]]-Tabla8[[#This Row],[HR. INICIO]],1)</f>
        <v>2.6388888888888795E-2</v>
      </c>
      <c r="G468" s="16" t="s">
        <v>153</v>
      </c>
      <c r="H468" s="343" t="str">
        <f>IFERROR(VLOOKUP(G468,DATOS!$M$2:$N$219,2,FALSE),"")</f>
        <v>Maquinaria</v>
      </c>
      <c r="I468" s="115" t="s">
        <v>57</v>
      </c>
      <c r="J468" s="115" t="str">
        <f>+VLOOKUP($I468,Tabla7[#All],2,FALSE)</f>
        <v>NO PROGRAMADA</v>
      </c>
      <c r="K468" s="114" t="str">
        <f>IF(VLOOKUP(I468,Tabla7[#All],3,FALSE)=0,"",VLOOKUP(I468,Tabla7[#All],3,FALSE))</f>
        <v>MECÁNICA</v>
      </c>
      <c r="L468" s="35" t="s">
        <v>1075</v>
      </c>
      <c r="M468" s="35" t="s">
        <v>1076</v>
      </c>
      <c r="N468" s="35" t="str" cm="1">
        <f t="array" ref="N468">IFERROR(IF(Tabla8[[#This Row],[P/NP]]="NO PROGRAMADA","",_xlfn.TEXTJOIN(", ",TRUE,_xlfn._xlws.FILTER(Tabla4[[#All],[PIEZA]],ISNUMBER(SEARCH(Tabla4[[#All],[PCLAVE]],Tabla8[[#This Row],[DESCRIPCION DE TRABAJO]])),""))),"")</f>
        <v/>
      </c>
      <c r="O468" s="35" t="str" cm="1">
        <f t="array" ref="O468">_xlfn.TEXTJOIN(", ",TRUE,_xlfn._xlws.FILTER(Tabla28[[#All],[PARTE]],ISNUMBER(SEARCH(Tabla28[[#All],[PCLAVE2]],Tabla8[[#This Row],[DESCRIPCION DE TRABAJO]])),""))</f>
        <v/>
      </c>
      <c r="P468" s="303" t="str">
        <f>IFERROR(LEFT(O468, FIND(",", O468)-1), O468)</f>
        <v/>
      </c>
      <c r="Q468" s="303" t="str">
        <f>IFERROR(IF(ISERROR(FIND(",", O468, FIND(",", O468)+1)), RIGHT(O468, LEN(O468)-FIND(",", O468)-1), MID(O468, FIND(",", O468)+2, FIND(",", O468, FIND(",", O468)+1)-FIND(",", O468)-2)), "")</f>
        <v/>
      </c>
      <c r="R468" s="303" t="str">
        <f>IFERROR(RIGHT(O468, LEN(O468)-FIND(",", O468, FIND(",", O468)+1)-1), "")</f>
        <v/>
      </c>
      <c r="S468" s="35" t="str" cm="1">
        <f t="array" ref="S468">_xlfn.TEXTJOIN(", ",TRUE,_xlfn._xlws.FILTER(Tabla29[[#All],[PARTE]],ISNUMBER(SEARCH(Tabla29[[#All],[PCLAVE3]],Tabla8[[#This Row],[DESCRIPCION DE TRABAJO]])),""))</f>
        <v/>
      </c>
      <c r="T468" s="34" t="str">
        <f>IF(AND(Tabla8[[#This Row],[PIEZA]]="",Tabla8[[#This Row],[PARTE]]=""),"VACIO","OK")</f>
        <v>VACIO</v>
      </c>
      <c r="U468" s="303" t="str">
        <f>+CONCATENATE(WEEKNUM(Tabla8[[#This Row],[FECHA]]),"-",YEAR(Tabla8[[#This Row],[FECHA]]))</f>
        <v>10-2026</v>
      </c>
    </row>
    <row r="469" spans="1:21" ht="15" customHeight="1">
      <c r="A469" s="22">
        <v>46085</v>
      </c>
      <c r="B469" s="16" t="s">
        <v>191</v>
      </c>
      <c r="C469" s="10" t="s">
        <v>39</v>
      </c>
      <c r="D469" s="381">
        <v>0.90138888888888891</v>
      </c>
      <c r="E469" s="381">
        <v>0.92361111111111116</v>
      </c>
      <c r="F469" s="380">
        <f>+MOD(Tabla8[[#This Row],[HR. FIN]]-Tabla8[[#This Row],[HR. INICIO]],1)</f>
        <v>2.2222222222222254E-2</v>
      </c>
      <c r="G469" s="16" t="s">
        <v>119</v>
      </c>
      <c r="H469" s="343" t="str">
        <f>IFERROR(VLOOKUP(G469,DATOS!$M$2:$N$219,2,FALSE),"")</f>
        <v>Maquinaria</v>
      </c>
      <c r="I469" s="115" t="s">
        <v>32</v>
      </c>
      <c r="J469" s="115" t="s">
        <v>92</v>
      </c>
      <c r="K469" s="114" t="s">
        <v>148</v>
      </c>
      <c r="L469" s="35" t="s">
        <v>1077</v>
      </c>
      <c r="M469" s="35" t="s">
        <v>1078</v>
      </c>
      <c r="N469" s="35" t="str" cm="1">
        <f t="array" ref="N469">IFERROR(IF(Tabla8[[#This Row],[P/NP]]="NO PROGRAMADA","",_xlfn.TEXTJOIN(", ",TRUE,_xlfn._xlws.FILTER(Tabla4[[#All],[PIEZA]],ISNUMBER(SEARCH(Tabla4[[#All],[PCLAVE]],Tabla8[[#This Row],[DESCRIPCION DE TRABAJO]])),""))),"")</f>
        <v/>
      </c>
      <c r="O469" s="35" t="str" cm="1">
        <f t="array" ref="O469">_xlfn.TEXTJOIN(", ",TRUE,_xlfn._xlws.FILTER(Tabla28[[#All],[PARTE]],ISNUMBER(SEARCH(Tabla28[[#All],[PCLAVE2]],Tabla8[[#This Row],[DESCRIPCION DE TRABAJO]])),""))</f>
        <v/>
      </c>
      <c r="P469" s="303" t="str">
        <f>IFERROR(LEFT(O469, FIND(",", O469)-1), O469)</f>
        <v/>
      </c>
      <c r="Q469" s="303" t="str">
        <f>IFERROR(IF(ISERROR(FIND(",", O469, FIND(",", O469)+1)), RIGHT(O469, LEN(O469)-FIND(",", O469)-1), MID(O469, FIND(",", O469)+2, FIND(",", O469, FIND(",", O469)+1)-FIND(",", O469)-2)), "")</f>
        <v/>
      </c>
      <c r="R469" s="303" t="str">
        <f>IFERROR(RIGHT(O469, LEN(O469)-FIND(",", O469, FIND(",", O469)+1)-1), "")</f>
        <v/>
      </c>
      <c r="S469" s="35" t="str" cm="1">
        <f t="array" ref="S469">_xlfn.TEXTJOIN(", ",TRUE,_xlfn._xlws.FILTER(Tabla29[[#All],[PARTE]],ISNUMBER(SEARCH(Tabla29[[#All],[PCLAVE3]],Tabla8[[#This Row],[DESCRIPCION DE TRABAJO]])),""))</f>
        <v>Temperatura, Temperatura</v>
      </c>
      <c r="T469" s="34" t="str">
        <f>IF(AND(Tabla8[[#This Row],[PIEZA]]="",Tabla8[[#This Row],[PARTE]]=""),"VACIO","OK")</f>
        <v>VACIO</v>
      </c>
      <c r="U469" s="303" t="str">
        <f>+CONCATENATE(WEEKNUM(Tabla8[[#This Row],[FECHA]]),"-",YEAR(Tabla8[[#This Row],[FECHA]]))</f>
        <v>10-2026</v>
      </c>
    </row>
    <row r="470" spans="1:21" ht="15" customHeight="1">
      <c r="A470" s="22">
        <v>46085</v>
      </c>
      <c r="B470" s="16" t="s">
        <v>111</v>
      </c>
      <c r="C470" s="10" t="s">
        <v>36</v>
      </c>
      <c r="D470" s="381">
        <v>0.41666666666666669</v>
      </c>
      <c r="E470" s="381">
        <v>0.43611111111111112</v>
      </c>
      <c r="F470" s="380">
        <f>+MOD(Tabla8[[#This Row],[HR. FIN]]-Tabla8[[#This Row],[HR. INICIO]],1)</f>
        <v>1.9444444444444431E-2</v>
      </c>
      <c r="G470" s="16" t="s">
        <v>241</v>
      </c>
      <c r="H470" s="343" t="str">
        <f>IFERROR(VLOOKUP(G470,DATOS!$M$2:$N$219,2,FALSE),"")</f>
        <v>Maquinaria</v>
      </c>
      <c r="I470" s="115" t="s">
        <v>28</v>
      </c>
      <c r="J470" s="115" t="s">
        <v>157</v>
      </c>
      <c r="K470" s="114"/>
      <c r="L470" s="35" t="s">
        <v>1079</v>
      </c>
      <c r="M470" s="35" t="s">
        <v>121</v>
      </c>
      <c r="N470" s="35" t="str" cm="1">
        <f t="array" ref="N470">IFERROR(IF(Tabla8[[#This Row],[P/NP]]="NO PROGRAMADA","",_xlfn.TEXTJOIN(", ",TRUE,_xlfn._xlws.FILTER(Tabla4[[#All],[PIEZA]],ISNUMBER(SEARCH(Tabla4[[#All],[PCLAVE]],Tabla8[[#This Row],[DESCRIPCION DE TRABAJO]])),""))),"")</f>
        <v>Interruptor</v>
      </c>
      <c r="O470" s="35" t="str" cm="1">
        <f t="array" ref="O470">_xlfn.TEXTJOIN(", ",TRUE,_xlfn._xlws.FILTER(Tabla28[[#All],[PARTE]],ISNUMBER(SEARCH(Tabla28[[#All],[PCLAVE2]],Tabla8[[#This Row],[DESCRIPCION DE TRABAJO]])),""))</f>
        <v/>
      </c>
      <c r="P470" s="303" t="str">
        <f>IFERROR(LEFT(O470, FIND(",", O470)-1), O470)</f>
        <v/>
      </c>
      <c r="Q470" s="303" t="str">
        <f>IFERROR(IF(ISERROR(FIND(",", O470, FIND(",", O470)+1)), RIGHT(O470, LEN(O470)-FIND(",", O470)-1), MID(O470, FIND(",", O470)+2, FIND(",", O470, FIND(",", O470)+1)-FIND(",", O470)-2)), "")</f>
        <v/>
      </c>
      <c r="R470" s="303" t="str">
        <f>IFERROR(RIGHT(O470, LEN(O470)-FIND(",", O470, FIND(",", O470)+1)-1), "")</f>
        <v/>
      </c>
      <c r="S470" s="35" t="str" cm="1">
        <f t="array" ref="S470">_xlfn.TEXTJOIN(", ",TRUE,_xlfn._xlws.FILTER(Tabla29[[#All],[PARTE]],ISNUMBER(SEARCH(Tabla29[[#All],[PCLAVE3]],Tabla8[[#This Row],[DESCRIPCION DE TRABAJO]])),""))</f>
        <v/>
      </c>
      <c r="T470" s="34" t="str">
        <f>IF(AND(Tabla8[[#This Row],[PIEZA]]="",Tabla8[[#This Row],[PARTE]]=""),"VACIO","OK")</f>
        <v>OK</v>
      </c>
      <c r="U470" s="303" t="str">
        <f>+CONCATENATE(WEEKNUM(Tabla8[[#This Row],[FECHA]]),"-",YEAR(Tabla8[[#This Row],[FECHA]]))</f>
        <v>10-2026</v>
      </c>
    </row>
    <row r="471" spans="1:21" ht="15" customHeight="1">
      <c r="A471" s="22">
        <v>46085</v>
      </c>
      <c r="B471" s="16" t="s">
        <v>191</v>
      </c>
      <c r="C471" s="10" t="s">
        <v>39</v>
      </c>
      <c r="D471" s="381">
        <v>2.7777777777777779E-3</v>
      </c>
      <c r="E471" s="381">
        <v>2.1527777777777778E-2</v>
      </c>
      <c r="F471" s="380">
        <f>+MOD(Tabla8[[#This Row],[HR. FIN]]-Tabla8[[#This Row],[HR. INICIO]],1)</f>
        <v>1.8749999999999999E-2</v>
      </c>
      <c r="G471" s="16" t="s">
        <v>119</v>
      </c>
      <c r="H471" s="343" t="str">
        <f>IFERROR(VLOOKUP(G471,DATOS!$M$2:$N$219,2,FALSE),"")</f>
        <v>Maquinaria</v>
      </c>
      <c r="I471" s="115" t="s">
        <v>32</v>
      </c>
      <c r="J471" s="115" t="str">
        <f>+VLOOKUP($I471,Tabla7[#All],2,FALSE)</f>
        <v>PROGRAMADA</v>
      </c>
      <c r="K471" s="114" t="str">
        <f>IF(VLOOKUP(I471,Tabla7[#All],3,FALSE)=0,"",VLOOKUP(I471,Tabla7[#All],3,FALSE))</f>
        <v/>
      </c>
      <c r="L471" s="35" t="s">
        <v>233</v>
      </c>
      <c r="M471" s="35" t="s">
        <v>121</v>
      </c>
      <c r="N471" s="35" t="str" cm="1">
        <f t="array" ref="N471">IFERROR(IF(Tabla8[[#This Row],[P/NP]]="NO PROGRAMADA","",_xlfn.TEXTJOIN(", ",TRUE,_xlfn._xlws.FILTER(Tabla4[[#All],[PIEZA]],ISNUMBER(SEARCH(Tabla4[[#All],[PCLAVE]],Tabla8[[#This Row],[DESCRIPCION DE TRABAJO]])),""))),"")</f>
        <v/>
      </c>
      <c r="O471" s="35" t="str" cm="1">
        <f t="array" ref="O471">_xlfn.TEXTJOIN(", ",TRUE,_xlfn._xlws.FILTER(Tabla28[[#All],[PARTE]],ISNUMBER(SEARCH(Tabla28[[#All],[PCLAVE2]],Tabla8[[#This Row],[DESCRIPCION DE TRABAJO]])),""))</f>
        <v>Mds</v>
      </c>
      <c r="P471" s="303" t="str">
        <f>IFERROR(LEFT(O471, FIND(",", O471)-1), O471)</f>
        <v>Mds</v>
      </c>
      <c r="Q471" s="303" t="str">
        <f>IFERROR(IF(ISERROR(FIND(",", O471, FIND(",", O471)+1)), RIGHT(O471, LEN(O471)-FIND(",", O471)-1), MID(O471, FIND(",", O471)+2, FIND(",", O471, FIND(",", O471)+1)-FIND(",", O471)-2)), "")</f>
        <v/>
      </c>
      <c r="R471" s="303" t="str">
        <f>IFERROR(RIGHT(O471, LEN(O471)-FIND(",", O471, FIND(",", O471)+1)-1), "")</f>
        <v/>
      </c>
      <c r="S471" s="35" t="str" cm="1">
        <f t="array" ref="S471">_xlfn.TEXTJOIN(", ",TRUE,_xlfn._xlws.FILTER(Tabla29[[#All],[PARTE]],ISNUMBER(SEARCH(Tabla29[[#All],[PCLAVE3]],Tabla8[[#This Row],[DESCRIPCION DE TRABAJO]])),""))</f>
        <v>Cambio De Formato</v>
      </c>
      <c r="T471" s="34" t="str">
        <f>IF(AND(Tabla8[[#This Row],[PIEZA]]="",Tabla8[[#This Row],[PARTE]]=""),"VACIO","OK")</f>
        <v>OK</v>
      </c>
      <c r="U471" s="303" t="str">
        <f>+CONCATENATE(WEEKNUM(Tabla8[[#This Row],[FECHA]]),"-",YEAR(Tabla8[[#This Row],[FECHA]]))</f>
        <v>10-2026</v>
      </c>
    </row>
    <row r="472" spans="1:21" ht="15" customHeight="1">
      <c r="A472" s="22">
        <v>46085</v>
      </c>
      <c r="B472" s="16" t="s">
        <v>111</v>
      </c>
      <c r="C472" s="10" t="s">
        <v>36</v>
      </c>
      <c r="D472" s="381">
        <v>0.56597222222222221</v>
      </c>
      <c r="E472" s="381">
        <v>0.58333333333333337</v>
      </c>
      <c r="F472" s="380">
        <f>+MOD(Tabla8[[#This Row],[HR. FIN]]-Tabla8[[#This Row],[HR. INICIO]],1)</f>
        <v>1.736111111111116E-2</v>
      </c>
      <c r="G472" s="16" t="s">
        <v>31</v>
      </c>
      <c r="H472" s="343" t="str">
        <f>IFERROR(VLOOKUP(G472,DATOS!$M$2:$N$219,2,FALSE),"")</f>
        <v>Maquinaria</v>
      </c>
      <c r="I472" s="115" t="s">
        <v>32</v>
      </c>
      <c r="J472" s="115" t="str">
        <f>+VLOOKUP($I472,Tabla7[#All],2,FALSE)</f>
        <v>PROGRAMADA</v>
      </c>
      <c r="K472" s="114" t="str">
        <f>IF(VLOOKUP(I472,Tabla7[#All],3,FALSE)=0,"",VLOOKUP(I472,Tabla7[#All],3,FALSE))</f>
        <v/>
      </c>
      <c r="L472" s="35" t="s">
        <v>1080</v>
      </c>
      <c r="M472" s="35" t="s">
        <v>1081</v>
      </c>
      <c r="N472" s="35" t="str" cm="1">
        <f t="array" ref="N472">IFERROR(IF(Tabla8[[#This Row],[P/NP]]="NO PROGRAMADA","",_xlfn.TEXTJOIN(", ",TRUE,_xlfn._xlws.FILTER(Tabla4[[#All],[PIEZA]],ISNUMBER(SEARCH(Tabla4[[#All],[PCLAVE]],Tabla8[[#This Row],[DESCRIPCION DE TRABAJO]])),""))),"")</f>
        <v/>
      </c>
      <c r="O472" s="35" t="str" cm="1">
        <f t="array" ref="O472">_xlfn.TEXTJOIN(", ",TRUE,_xlfn._xlws.FILTER(Tabla28[[#All],[PARTE]],ISNUMBER(SEARCH(Tabla28[[#All],[PCLAVE2]],Tabla8[[#This Row],[DESCRIPCION DE TRABAJO]])),""))</f>
        <v/>
      </c>
      <c r="P472" s="303" t="str">
        <f>IFERROR(LEFT(O472, FIND(",", O472)-1), O472)</f>
        <v/>
      </c>
      <c r="Q472" s="303" t="str">
        <f>IFERROR(IF(ISERROR(FIND(",", O472, FIND(",", O472)+1)), RIGHT(O472, LEN(O472)-FIND(",", O472)-1), MID(O472, FIND(",", O472)+2, FIND(",", O472, FIND(",", O472)+1)-FIND(",", O472)-2)), "")</f>
        <v/>
      </c>
      <c r="R472" s="303" t="str">
        <f>IFERROR(RIGHT(O472, LEN(O472)-FIND(",", O472, FIND(",", O472)+1)-1), "")</f>
        <v/>
      </c>
      <c r="S472" s="35" t="str" cm="1">
        <f t="array" ref="S472">_xlfn.TEXTJOIN(", ",TRUE,_xlfn._xlws.FILTER(Tabla29[[#All],[PARTE]],ISNUMBER(SEARCH(Tabla29[[#All],[PCLAVE3]],Tabla8[[#This Row],[DESCRIPCION DE TRABAJO]])),""))</f>
        <v>Cambio De Formato</v>
      </c>
      <c r="T472" s="34" t="str">
        <f>IF(AND(Tabla8[[#This Row],[PIEZA]]="",Tabla8[[#This Row],[PARTE]]=""),"VACIO","OK")</f>
        <v>VACIO</v>
      </c>
      <c r="U472" s="303" t="str">
        <f>+CONCATENATE(WEEKNUM(Tabla8[[#This Row],[FECHA]]),"-",YEAR(Tabla8[[#This Row],[FECHA]]))</f>
        <v>10-2026</v>
      </c>
    </row>
    <row r="473" spans="1:21" ht="15" customHeight="1">
      <c r="A473" s="22">
        <v>46085</v>
      </c>
      <c r="B473" s="16" t="s">
        <v>111</v>
      </c>
      <c r="C473" s="10" t="s">
        <v>36</v>
      </c>
      <c r="D473" s="381">
        <v>0.30208333333333331</v>
      </c>
      <c r="E473" s="381">
        <v>0.31944444444444442</v>
      </c>
      <c r="F473" s="380">
        <f>+MOD(Tabla8[[#This Row],[HR. FIN]]-Tabla8[[#This Row],[HR. INICIO]],1)</f>
        <v>1.7361111111111105E-2</v>
      </c>
      <c r="G473" s="16" t="s">
        <v>24</v>
      </c>
      <c r="H473" s="343" t="str">
        <f>IFERROR(VLOOKUP(G473,DATOS!$M$2:$N$219,2,FALSE),"")</f>
        <v>Maquinaria</v>
      </c>
      <c r="I473" s="115" t="s">
        <v>32</v>
      </c>
      <c r="J473" s="115" t="str">
        <f>+VLOOKUP($I473,Tabla7[#All],2,FALSE)</f>
        <v>PROGRAMADA</v>
      </c>
      <c r="K473" s="114" t="str">
        <f>IF(VLOOKUP(I473,Tabla7[#All],3,FALSE)=0,"",VLOOKUP(I473,Tabla7[#All],3,FALSE))</f>
        <v/>
      </c>
      <c r="L473" s="35" t="s">
        <v>1082</v>
      </c>
      <c r="M473" s="35" t="s">
        <v>121</v>
      </c>
      <c r="N473" s="35" t="str" cm="1">
        <f t="array" ref="N473">IFERROR(IF(Tabla8[[#This Row],[P/NP]]="NO PROGRAMADA","",_xlfn.TEXTJOIN(", ",TRUE,_xlfn._xlws.FILTER(Tabla4[[#All],[PIEZA]],ISNUMBER(SEARCH(Tabla4[[#All],[PCLAVE]],Tabla8[[#This Row],[DESCRIPCION DE TRABAJO]])),""))),"")</f>
        <v>Banda</v>
      </c>
      <c r="O473" s="35" t="str" cm="1">
        <f t="array" ref="O473">_xlfn.TEXTJOIN(", ",TRUE,_xlfn._xlws.FILTER(Tabla28[[#All],[PARTE]],ISNUMBER(SEARCH(Tabla28[[#All],[PCLAVE2]],Tabla8[[#This Row],[DESCRIPCION DE TRABAJO]])),""))</f>
        <v/>
      </c>
      <c r="P473" s="303" t="str">
        <f>IFERROR(LEFT(O473, FIND(",", O473)-1), O473)</f>
        <v/>
      </c>
      <c r="Q473" s="303" t="str">
        <f>IFERROR(IF(ISERROR(FIND(",", O473, FIND(",", O473)+1)), RIGHT(O473, LEN(O473)-FIND(",", O473)-1), MID(O473, FIND(",", O473)+2, FIND(",", O473, FIND(",", O473)+1)-FIND(",", O473)-2)), "")</f>
        <v/>
      </c>
      <c r="R473" s="303" t="str">
        <f>IFERROR(RIGHT(O473, LEN(O473)-FIND(",", O473, FIND(",", O473)+1)-1), "")</f>
        <v/>
      </c>
      <c r="S473" s="35" t="str" cm="1">
        <f t="array" ref="S473">_xlfn.TEXTJOIN(", ",TRUE,_xlfn._xlws.FILTER(Tabla29[[#All],[PARTE]],ISNUMBER(SEARCH(Tabla29[[#All],[PCLAVE3]],Tabla8[[#This Row],[DESCRIPCION DE TRABAJO]])),""))</f>
        <v>Falla En Velocid*, Velocidad</v>
      </c>
      <c r="T473" s="34" t="str">
        <f>IF(AND(Tabla8[[#This Row],[PIEZA]]="",Tabla8[[#This Row],[PARTE]]=""),"VACIO","OK")</f>
        <v>OK</v>
      </c>
      <c r="U473" s="303" t="str">
        <f>+CONCATENATE(WEEKNUM(Tabla8[[#This Row],[FECHA]]),"-",YEAR(Tabla8[[#This Row],[FECHA]]))</f>
        <v>10-2026</v>
      </c>
    </row>
    <row r="474" spans="1:21" ht="15" customHeight="1">
      <c r="A474" s="22">
        <v>46085</v>
      </c>
      <c r="B474" s="16" t="s">
        <v>111</v>
      </c>
      <c r="C474" s="10" t="s">
        <v>36</v>
      </c>
      <c r="D474" s="381">
        <v>0.44097222222222221</v>
      </c>
      <c r="E474" s="381">
        <v>0.45833333333333331</v>
      </c>
      <c r="F474" s="380">
        <f>+MOD(Tabla8[[#This Row],[HR. FIN]]-Tabla8[[#This Row],[HR. INICIO]],1)</f>
        <v>1.7361111111111105E-2</v>
      </c>
      <c r="G474" s="16" t="s">
        <v>1083</v>
      </c>
      <c r="H474" s="343" t="str">
        <f>IFERROR(VLOOKUP(G474,DATOS!$M$2:$N$219,2,FALSE),"")</f>
        <v>Maquinaria</v>
      </c>
      <c r="I474" s="115" t="s">
        <v>32</v>
      </c>
      <c r="J474" s="115" t="s">
        <v>92</v>
      </c>
      <c r="K474" s="114" t="s">
        <v>148</v>
      </c>
      <c r="L474" s="35" t="s">
        <v>1084</v>
      </c>
      <c r="M474" s="35" t="s">
        <v>1085</v>
      </c>
      <c r="N474" s="35" t="str" cm="1">
        <f t="array" ref="N474">IFERROR(IF(Tabla8[[#This Row],[P/NP]]="NO PROGRAMADA","",_xlfn.TEXTJOIN(", ",TRUE,_xlfn._xlws.FILTER(Tabla4[[#All],[PIEZA]],ISNUMBER(SEARCH(Tabla4[[#All],[PCLAVE]],Tabla8[[#This Row],[DESCRIPCION DE TRABAJO]])),""))),"")</f>
        <v/>
      </c>
      <c r="O474" s="35" t="str" cm="1">
        <f t="array" ref="O474">_xlfn.TEXTJOIN(", ",TRUE,_xlfn._xlws.FILTER(Tabla28[[#All],[PARTE]],ISNUMBER(SEARCH(Tabla28[[#All],[PCLAVE2]],Tabla8[[#This Row],[DESCRIPCION DE TRABAJO]])),""))</f>
        <v/>
      </c>
      <c r="P474" s="303" t="str">
        <f>IFERROR(LEFT(O474, FIND(",", O474)-1), O474)</f>
        <v/>
      </c>
      <c r="Q474" s="303" t="str">
        <f>IFERROR(IF(ISERROR(FIND(",", O474, FIND(",", O474)+1)), RIGHT(O474, LEN(O474)-FIND(",", O474)-1), MID(O474, FIND(",", O474)+2, FIND(",", O474, FIND(",", O474)+1)-FIND(",", O474)-2)), "")</f>
        <v/>
      </c>
      <c r="R474" s="303" t="str">
        <f>IFERROR(RIGHT(O474, LEN(O474)-FIND(",", O474, FIND(",", O474)+1)-1), "")</f>
        <v/>
      </c>
      <c r="S474" s="35" t="str" cm="1">
        <f t="array" ref="S474">_xlfn.TEXTJOIN(", ",TRUE,_xlfn._xlws.FILTER(Tabla29[[#All],[PARTE]],ISNUMBER(SEARCH(Tabla29[[#All],[PCLAVE3]],Tabla8[[#This Row],[DESCRIPCION DE TRABAJO]])),""))</f>
        <v>Demora, Lento, Muy Lento</v>
      </c>
      <c r="T474" s="34" t="str">
        <f>IF(AND(Tabla8[[#This Row],[PIEZA]]="",Tabla8[[#This Row],[PARTE]]=""),"VACIO","OK")</f>
        <v>VACIO</v>
      </c>
      <c r="U474" s="303" t="str">
        <f>+CONCATENATE(WEEKNUM(Tabla8[[#This Row],[FECHA]]),"-",YEAR(Tabla8[[#This Row],[FECHA]]))</f>
        <v>10-2026</v>
      </c>
    </row>
    <row r="475" spans="1:21" ht="15" customHeight="1">
      <c r="A475" s="22">
        <v>46085</v>
      </c>
      <c r="B475" s="16" t="s">
        <v>191</v>
      </c>
      <c r="C475" s="10" t="s">
        <v>39</v>
      </c>
      <c r="D475" s="381">
        <v>0.93333333333333335</v>
      </c>
      <c r="E475" s="381">
        <v>0.9506944444444444</v>
      </c>
      <c r="F475" s="380">
        <f>+MOD(Tabla8[[#This Row],[HR. FIN]]-Tabla8[[#This Row],[HR. INICIO]],1)</f>
        <v>1.7361111111111049E-2</v>
      </c>
      <c r="G475" s="16" t="s">
        <v>198</v>
      </c>
      <c r="H475" s="343" t="str">
        <f>IFERROR(VLOOKUP(G475,DATOS!$M$2:$N$219,2,FALSE),"")</f>
        <v>Maquinaria</v>
      </c>
      <c r="I475" s="115" t="s">
        <v>57</v>
      </c>
      <c r="J475" s="115" t="str">
        <f>+VLOOKUP($I475,Tabla7[#All],2,FALSE)</f>
        <v>NO PROGRAMADA</v>
      </c>
      <c r="K475" s="114" t="str">
        <f>IF(VLOOKUP(I475,Tabla7[#All],3,FALSE)=0,"",VLOOKUP(I475,Tabla7[#All],3,FALSE))</f>
        <v>MECÁNICA</v>
      </c>
      <c r="L475" s="35" t="s">
        <v>1086</v>
      </c>
      <c r="M475" s="35" t="s">
        <v>1087</v>
      </c>
      <c r="N475" s="35" t="str" cm="1">
        <f t="array" ref="N475">IFERROR(IF(Tabla8[[#This Row],[P/NP]]="NO PROGRAMADA","",_xlfn.TEXTJOIN(", ",TRUE,_xlfn._xlws.FILTER(Tabla4[[#All],[PIEZA]],ISNUMBER(SEARCH(Tabla4[[#All],[PCLAVE]],Tabla8[[#This Row],[DESCRIPCION DE TRABAJO]])),""))),"")</f>
        <v/>
      </c>
      <c r="O475" s="35" t="str" cm="1">
        <f t="array" ref="O475">_xlfn.TEXTJOIN(", ",TRUE,_xlfn._xlws.FILTER(Tabla28[[#All],[PARTE]],ISNUMBER(SEARCH(Tabla28[[#All],[PCLAVE2]],Tabla8[[#This Row],[DESCRIPCION DE TRABAJO]])),""))</f>
        <v/>
      </c>
      <c r="P475" s="303" t="str">
        <f>IFERROR(LEFT(O475, FIND(",", O475)-1), O475)</f>
        <v/>
      </c>
      <c r="Q475" s="303" t="str">
        <f>IFERROR(IF(ISERROR(FIND(",", O475, FIND(",", O475)+1)), RIGHT(O475, LEN(O475)-FIND(",", O475)-1), MID(O475, FIND(",", O475)+2, FIND(",", O475, FIND(",", O475)+1)-FIND(",", O475)-2)), "")</f>
        <v/>
      </c>
      <c r="R475" s="303" t="str">
        <f>IFERROR(RIGHT(O475, LEN(O475)-FIND(",", O475, FIND(",", O475)+1)-1), "")</f>
        <v/>
      </c>
      <c r="S475" s="35" t="str" cm="1">
        <f t="array" ref="S475">_xlfn.TEXTJOIN(", ",TRUE,_xlfn._xlws.FILTER(Tabla29[[#All],[PARTE]],ISNUMBER(SEARCH(Tabla29[[#All],[PCLAVE3]],Tabla8[[#This Row],[DESCRIPCION DE TRABAJO]])),""))</f>
        <v/>
      </c>
      <c r="T475" s="34" t="str">
        <f>IF(AND(Tabla8[[#This Row],[PIEZA]]="",Tabla8[[#This Row],[PARTE]]=""),"VACIO","OK")</f>
        <v>VACIO</v>
      </c>
      <c r="U475" s="303" t="str">
        <f>+CONCATENATE(WEEKNUM(Tabla8[[#This Row],[FECHA]]),"-",YEAR(Tabla8[[#This Row],[FECHA]]))</f>
        <v>10-2026</v>
      </c>
    </row>
    <row r="476" spans="1:21" ht="15" customHeight="1">
      <c r="A476" s="22">
        <v>46085</v>
      </c>
      <c r="B476" s="16" t="s">
        <v>191</v>
      </c>
      <c r="C476" s="10" t="s">
        <v>39</v>
      </c>
      <c r="D476" s="381">
        <v>0.98333333333333328</v>
      </c>
      <c r="E476" s="381">
        <v>0.99861111111111112</v>
      </c>
      <c r="F476" s="380">
        <f>+MOD(Tabla8[[#This Row],[HR. FIN]]-Tabla8[[#This Row],[HR. INICIO]],1)</f>
        <v>1.5277777777777835E-2</v>
      </c>
      <c r="G476" s="16" t="s">
        <v>270</v>
      </c>
      <c r="H476" s="343" t="str">
        <f>IFERROR(VLOOKUP(G476,DATOS!$M$2:$N$219,2,FALSE),"")</f>
        <v>Maquinaria</v>
      </c>
      <c r="I476" s="115" t="s">
        <v>61</v>
      </c>
      <c r="J476" s="115" t="s">
        <v>92</v>
      </c>
      <c r="K476" s="114" t="s">
        <v>93</v>
      </c>
      <c r="L476" s="35" t="s">
        <v>1088</v>
      </c>
      <c r="M476" s="35" t="s">
        <v>1089</v>
      </c>
      <c r="N476" s="35" t="str" cm="1">
        <f t="array" ref="N476">IFERROR(IF(Tabla8[[#This Row],[P/NP]]="NO PROGRAMADA","",_xlfn.TEXTJOIN(", ",TRUE,_xlfn._xlws.FILTER(Tabla4[[#All],[PIEZA]],ISNUMBER(SEARCH(Tabla4[[#All],[PCLAVE]],Tabla8[[#This Row],[DESCRIPCION DE TRABAJO]])),""))),"")</f>
        <v/>
      </c>
      <c r="O476" s="35" t="str" cm="1">
        <f t="array" ref="O476">_xlfn.TEXTJOIN(", ",TRUE,_xlfn._xlws.FILTER(Tabla28[[#All],[PARTE]],ISNUMBER(SEARCH(Tabla28[[#All],[PCLAVE2]],Tabla8[[#This Row],[DESCRIPCION DE TRABAJO]])),""))</f>
        <v>Columna</v>
      </c>
      <c r="P476" s="303" t="str">
        <f>IFERROR(LEFT(O476, FIND(",", O476)-1), O476)</f>
        <v>Columna</v>
      </c>
      <c r="Q476" s="303" t="str">
        <f>IFERROR(IF(ISERROR(FIND(",", O476, FIND(",", O476)+1)), RIGHT(O476, LEN(O476)-FIND(",", O476)-1), MID(O476, FIND(",", O476)+2, FIND(",", O476, FIND(",", O476)+1)-FIND(",", O476)-2)), "")</f>
        <v/>
      </c>
      <c r="R476" s="303" t="str">
        <f>IFERROR(RIGHT(O476, LEN(O476)-FIND(",", O476, FIND(",", O476)+1)-1), "")</f>
        <v/>
      </c>
      <c r="S476" s="35" t="str" cm="1">
        <f t="array" ref="S476">_xlfn.TEXTJOIN(", ",TRUE,_xlfn._xlws.FILTER(Tabla29[[#All],[PARTE]],ISNUMBER(SEARCH(Tabla29[[#All],[PCLAVE3]],Tabla8[[#This Row],[DESCRIPCION DE TRABAJO]])),""))</f>
        <v>Juntos</v>
      </c>
      <c r="T476" s="34" t="str">
        <f>IF(AND(Tabla8[[#This Row],[PIEZA]]="",Tabla8[[#This Row],[PARTE]]=""),"VACIO","OK")</f>
        <v>OK</v>
      </c>
      <c r="U476" s="303" t="str">
        <f>+CONCATENATE(WEEKNUM(Tabla8[[#This Row],[FECHA]]),"-",YEAR(Tabla8[[#This Row],[FECHA]]))</f>
        <v>10-2026</v>
      </c>
    </row>
    <row r="477" spans="1:21" ht="15" customHeight="1">
      <c r="A477" s="22">
        <v>46085</v>
      </c>
      <c r="B477" s="16" t="s">
        <v>111</v>
      </c>
      <c r="C477" s="10" t="s">
        <v>36</v>
      </c>
      <c r="D477" s="381">
        <v>0.3263888888888889</v>
      </c>
      <c r="E477" s="381">
        <v>0.34027777777777779</v>
      </c>
      <c r="F477" s="380">
        <f>+MOD(Tabla8[[#This Row],[HR. FIN]]-Tabla8[[#This Row],[HR. INICIO]],1)</f>
        <v>1.3888888888888895E-2</v>
      </c>
      <c r="G477" s="16" t="s">
        <v>328</v>
      </c>
      <c r="H477" s="343" t="str">
        <f>IFERROR(VLOOKUP(G477,DATOS!$M$2:$N$219,2,FALSE),"")</f>
        <v>Area</v>
      </c>
      <c r="I477" s="115" t="s">
        <v>61</v>
      </c>
      <c r="J477" s="115" t="str">
        <f>+VLOOKUP($I477,Tabla7[#All],2,FALSE)</f>
        <v>PROGRAMADA</v>
      </c>
      <c r="K477" s="114" t="str">
        <f>IF(VLOOKUP(I477,Tabla7[#All],3,FALSE)=0,"",VLOOKUP(I477,Tabla7[#All],3,FALSE))</f>
        <v/>
      </c>
      <c r="L477" s="35" t="s">
        <v>1090</v>
      </c>
      <c r="M477" s="35" t="s">
        <v>121</v>
      </c>
      <c r="N477" s="35" t="str" cm="1">
        <f t="array" ref="N477">IFERROR(IF(Tabla8[[#This Row],[P/NP]]="NO PROGRAMADA","",_xlfn.TEXTJOIN(", ",TRUE,_xlfn._xlws.FILTER(Tabla4[[#All],[PIEZA]],ISNUMBER(SEARCH(Tabla4[[#All],[PCLAVE]],Tabla8[[#This Row],[DESCRIPCION DE TRABAJO]])),""))),"")</f>
        <v/>
      </c>
      <c r="O477" s="35" t="str" cm="1">
        <f t="array" ref="O477">_xlfn.TEXTJOIN(", ",TRUE,_xlfn._xlws.FILTER(Tabla28[[#All],[PARTE]],ISNUMBER(SEARCH(Tabla28[[#All],[PCLAVE2]],Tabla8[[#This Row],[DESCRIPCION DE TRABAJO]])),""))</f>
        <v/>
      </c>
      <c r="P477" s="303" t="str">
        <f>IFERROR(LEFT(O477, FIND(",", O477)-1), O477)</f>
        <v/>
      </c>
      <c r="Q477" s="303" t="str">
        <f>IFERROR(IF(ISERROR(FIND(",", O477, FIND(",", O477)+1)), RIGHT(O477, LEN(O477)-FIND(",", O477)-1), MID(O477, FIND(",", O477)+2, FIND(",", O477, FIND(",", O477)+1)-FIND(",", O477)-2)), "")</f>
        <v/>
      </c>
      <c r="R477" s="303" t="str">
        <f>IFERROR(RIGHT(O477, LEN(O477)-FIND(",", O477, FIND(",", O477)+1)-1), "")</f>
        <v/>
      </c>
      <c r="S477" s="35" t="str" cm="1">
        <f t="array" ref="S477">_xlfn.TEXTJOIN(", ",TRUE,_xlfn._xlws.FILTER(Tabla29[[#All],[PARTE]],ISNUMBER(SEARCH(Tabla29[[#All],[PCLAVE3]],Tabla8[[#This Row],[DESCRIPCION DE TRABAJO]])),""))</f>
        <v/>
      </c>
      <c r="T477" s="34" t="str">
        <f>IF(AND(Tabla8[[#This Row],[PIEZA]]="",Tabla8[[#This Row],[PARTE]]=""),"VACIO","OK")</f>
        <v>VACIO</v>
      </c>
      <c r="U477" s="303" t="str">
        <f>+CONCATENATE(WEEKNUM(Tabla8[[#This Row],[FECHA]]),"-",YEAR(Tabla8[[#This Row],[FECHA]]))</f>
        <v>10-2026</v>
      </c>
    </row>
    <row r="478" spans="1:21" ht="15" customHeight="1">
      <c r="A478" s="22">
        <v>46085</v>
      </c>
      <c r="B478" s="16" t="s">
        <v>191</v>
      </c>
      <c r="C478" s="10" t="s">
        <v>39</v>
      </c>
      <c r="D478" s="381">
        <v>5.2777777777777778E-2</v>
      </c>
      <c r="E478" s="381">
        <v>6.5972222222222224E-2</v>
      </c>
      <c r="F478" s="380">
        <f>+MOD(Tabla8[[#This Row],[HR. FIN]]-Tabla8[[#This Row],[HR. INICIO]],1)</f>
        <v>1.3194444444444446E-2</v>
      </c>
      <c r="G478" s="16" t="s">
        <v>119</v>
      </c>
      <c r="H478" s="343" t="str">
        <f>IFERROR(VLOOKUP(G478,DATOS!$M$2:$N$219,2,FALSE),"")</f>
        <v>Maquinaria</v>
      </c>
      <c r="I478" s="115" t="s">
        <v>54</v>
      </c>
      <c r="J478" s="115" t="str">
        <f>+VLOOKUP($I478,Tabla7[#All],2,FALSE)</f>
        <v>PROGRAMADA</v>
      </c>
      <c r="K478" s="114" t="str">
        <f>IF(VLOOKUP(I478,Tabla7[#All],3,FALSE)=0,"",VLOOKUP(I478,Tabla7[#All],3,FALSE))</f>
        <v/>
      </c>
      <c r="L478" s="35" t="s">
        <v>1091</v>
      </c>
      <c r="M478" s="35" t="s">
        <v>121</v>
      </c>
      <c r="N478" s="35" t="str" cm="1">
        <f t="array" ref="N478">IFERROR(IF(Tabla8[[#This Row],[P/NP]]="NO PROGRAMADA","",_xlfn.TEXTJOIN(", ",TRUE,_xlfn._xlws.FILTER(Tabla4[[#All],[PIEZA]],ISNUMBER(SEARCH(Tabla4[[#All],[PCLAVE]],Tabla8[[#This Row],[DESCRIPCION DE TRABAJO]])),""))),"")</f>
        <v/>
      </c>
      <c r="O478" s="35" t="str" cm="1">
        <f t="array" ref="O478">_xlfn.TEXTJOIN(", ",TRUE,_xlfn._xlws.FILTER(Tabla28[[#All],[PARTE]],ISNUMBER(SEARCH(Tabla28[[#All],[PCLAVE2]],Tabla8[[#This Row],[DESCRIPCION DE TRABAJO]])),""))</f>
        <v>Tanque, Temperadora</v>
      </c>
      <c r="P478" s="303" t="str">
        <f>IFERROR(LEFT(O478, FIND(",", O478)-1), O478)</f>
        <v>Tanque</v>
      </c>
      <c r="Q478" s="303" t="str">
        <f>IFERROR(IF(ISERROR(FIND(",", O478, FIND(",", O478)+1)), RIGHT(O478, LEN(O478)-FIND(",", O478)-1), MID(O478, FIND(",", O478)+2, FIND(",", O478, FIND(",", O478)+1)-FIND(",", O478)-2)), "")</f>
        <v>Temperadora</v>
      </c>
      <c r="R478" s="303" t="str">
        <f>IFERROR(RIGHT(O478, LEN(O478)-FIND(",", O478, FIND(",", O478)+1)-1), "")</f>
        <v/>
      </c>
      <c r="S478" s="35" t="str" cm="1">
        <f t="array" ref="S478">_xlfn.TEXTJOIN(", ",TRUE,_xlfn._xlws.FILTER(Tabla29[[#All],[PARTE]],ISNUMBER(SEARCH(Tabla29[[#All],[PCLAVE3]],Tabla8[[#This Row],[DESCRIPCION DE TRABAJO]])),""))</f>
        <v>Nivel</v>
      </c>
      <c r="T478" s="34" t="str">
        <f>IF(AND(Tabla8[[#This Row],[PIEZA]]="",Tabla8[[#This Row],[PARTE]]=""),"VACIO","OK")</f>
        <v>OK</v>
      </c>
      <c r="U478" s="303" t="str">
        <f>+CONCATENATE(WEEKNUM(Tabla8[[#This Row],[FECHA]]),"-",YEAR(Tabla8[[#This Row],[FECHA]]))</f>
        <v>10-2026</v>
      </c>
    </row>
    <row r="479" spans="1:21" ht="15" customHeight="1">
      <c r="A479" s="22">
        <v>46085</v>
      </c>
      <c r="B479" s="16" t="s">
        <v>191</v>
      </c>
      <c r="C479" s="10" t="s">
        <v>39</v>
      </c>
      <c r="D479" s="381">
        <v>6.2500000000000003E-3</v>
      </c>
      <c r="E479" s="381">
        <v>1.9444444444444445E-2</v>
      </c>
      <c r="F479" s="380">
        <f>+MOD(Tabla8[[#This Row],[HR. FIN]]-Tabla8[[#This Row],[HR. INICIO]],1)</f>
        <v>1.3194444444444444E-2</v>
      </c>
      <c r="G479" s="16" t="s">
        <v>31</v>
      </c>
      <c r="H479" s="343" t="str">
        <f>IFERROR(VLOOKUP(G479,DATOS!$M$2:$N$219,2,FALSE),"")</f>
        <v>Maquinaria</v>
      </c>
      <c r="I479" s="115" t="s">
        <v>57</v>
      </c>
      <c r="J479" s="115" t="str">
        <f>+VLOOKUP($I479,Tabla7[#All],2,FALSE)</f>
        <v>NO PROGRAMADA</v>
      </c>
      <c r="K479" s="114" t="str">
        <f>IF(VLOOKUP(I479,Tabla7[#All],3,FALSE)=0,"",VLOOKUP(I479,Tabla7[#All],3,FALSE))</f>
        <v>MECÁNICA</v>
      </c>
      <c r="L479" s="35" t="s">
        <v>1092</v>
      </c>
      <c r="M479" s="35" t="s">
        <v>121</v>
      </c>
      <c r="N479" s="35" t="str" cm="1">
        <f t="array" ref="N479">IFERROR(IF(Tabla8[[#This Row],[P/NP]]="NO PROGRAMADA","",_xlfn.TEXTJOIN(", ",TRUE,_xlfn._xlws.FILTER(Tabla4[[#All],[PIEZA]],ISNUMBER(SEARCH(Tabla4[[#All],[PCLAVE]],Tabla8[[#This Row],[DESCRIPCION DE TRABAJO]])),""))),"")</f>
        <v/>
      </c>
      <c r="O479" s="35" t="str" cm="1">
        <f t="array" ref="O479">_xlfn.TEXTJOIN(", ",TRUE,_xlfn._xlws.FILTER(Tabla28[[#All],[PARTE]],ISNUMBER(SEARCH(Tabla28[[#All],[PCLAVE2]],Tabla8[[#This Row],[DESCRIPCION DE TRABAJO]])),""))</f>
        <v/>
      </c>
      <c r="P479" s="303" t="str">
        <f>IFERROR(LEFT(O479, FIND(",", O479)-1), O479)</f>
        <v/>
      </c>
      <c r="Q479" s="303" t="str">
        <f>IFERROR(IF(ISERROR(FIND(",", O479, FIND(",", O479)+1)), RIGHT(O479, LEN(O479)-FIND(",", O479)-1), MID(O479, FIND(",", O479)+2, FIND(",", O479, FIND(",", O479)+1)-FIND(",", O479)-2)), "")</f>
        <v/>
      </c>
      <c r="R479" s="303" t="str">
        <f>IFERROR(RIGHT(O479, LEN(O479)-FIND(",", O479, FIND(",", O479)+1)-1), "")</f>
        <v/>
      </c>
      <c r="S479" s="35" t="str" cm="1">
        <f t="array" ref="S479">_xlfn.TEXTJOIN(", ",TRUE,_xlfn._xlws.FILTER(Tabla29[[#All],[PARTE]],ISNUMBER(SEARCH(Tabla29[[#All],[PCLAVE3]],Tabla8[[#This Row],[DESCRIPCION DE TRABAJO]])),""))</f>
        <v>Expulsion</v>
      </c>
      <c r="T479" s="34" t="str">
        <f>IF(AND(Tabla8[[#This Row],[PIEZA]]="",Tabla8[[#This Row],[PARTE]]=""),"VACIO","OK")</f>
        <v>VACIO</v>
      </c>
      <c r="U479" s="303" t="str">
        <f>+CONCATENATE(WEEKNUM(Tabla8[[#This Row],[FECHA]]),"-",YEAR(Tabla8[[#This Row],[FECHA]]))</f>
        <v>10-2026</v>
      </c>
    </row>
    <row r="480" spans="1:21" ht="15" customHeight="1">
      <c r="A480" s="22">
        <v>46085</v>
      </c>
      <c r="B480" s="16" t="s">
        <v>191</v>
      </c>
      <c r="C480" s="10" t="s">
        <v>39</v>
      </c>
      <c r="D480" s="381">
        <v>0.88402777777777775</v>
      </c>
      <c r="E480" s="381">
        <v>0.89513888888888893</v>
      </c>
      <c r="F480" s="380">
        <f>+MOD(Tabla8[[#This Row],[HR. FIN]]-Tabla8[[#This Row],[HR. INICIO]],1)</f>
        <v>1.1111111111111183E-2</v>
      </c>
      <c r="G480" s="16" t="s">
        <v>215</v>
      </c>
      <c r="H480" s="343" t="str">
        <f>IFERROR(VLOOKUP(G480,DATOS!$M$2:$N$219,2,FALSE),"")</f>
        <v>Equipos auxiliares</v>
      </c>
      <c r="I480" s="115" t="s">
        <v>54</v>
      </c>
      <c r="J480" s="115" t="str">
        <f>+VLOOKUP($I480,Tabla7[#All],2,FALSE)</f>
        <v>PROGRAMADA</v>
      </c>
      <c r="K480" s="114" t="str">
        <f>IF(VLOOKUP(I480,Tabla7[#All],3,FALSE)=0,"",VLOOKUP(I480,Tabla7[#All],3,FALSE))</f>
        <v/>
      </c>
      <c r="L480" s="35" t="s">
        <v>248</v>
      </c>
      <c r="M480" s="35" t="s">
        <v>121</v>
      </c>
      <c r="N480" s="35" t="str" cm="1">
        <f t="array" ref="N480">IFERROR(IF(Tabla8[[#This Row],[P/NP]]="NO PROGRAMADA","",_xlfn.TEXTJOIN(", ",TRUE,_xlfn._xlws.FILTER(Tabla4[[#All],[PIEZA]],ISNUMBER(SEARCH(Tabla4[[#All],[PCLAVE]],Tabla8[[#This Row],[DESCRIPCION DE TRABAJO]])),""))),"")</f>
        <v/>
      </c>
      <c r="O480" s="35" t="str" cm="1">
        <f t="array" ref="O480">_xlfn.TEXTJOIN(", ",TRUE,_xlfn._xlws.FILTER(Tabla28[[#All],[PARTE]],ISNUMBER(SEARCH(Tabla28[[#All],[PCLAVE2]],Tabla8[[#This Row],[DESCRIPCION DE TRABAJO]])),""))</f>
        <v/>
      </c>
      <c r="P480" s="303" t="str">
        <f>IFERROR(LEFT(O480, FIND(",", O480)-1), O480)</f>
        <v/>
      </c>
      <c r="Q480" s="303" t="str">
        <f>IFERROR(IF(ISERROR(FIND(",", O480, FIND(",", O480)+1)), RIGHT(O480, LEN(O480)-FIND(",", O480)-1), MID(O480, FIND(",", O480)+2, FIND(",", O480, FIND(",", O480)+1)-FIND(",", O480)-2)), "")</f>
        <v/>
      </c>
      <c r="R480" s="303" t="str">
        <f>IFERROR(RIGHT(O480, LEN(O480)-FIND(",", O480, FIND(",", O480)+1)-1), "")</f>
        <v/>
      </c>
      <c r="S480" s="35" t="str" cm="1">
        <f t="array" ref="S480">_xlfn.TEXTJOIN(", ",TRUE,_xlfn._xlws.FILTER(Tabla29[[#All],[PARTE]],ISNUMBER(SEARCH(Tabla29[[#All],[PCLAVE3]],Tabla8[[#This Row],[DESCRIPCION DE TRABAJO]])),""))</f>
        <v/>
      </c>
      <c r="T480" s="34" t="str">
        <f>IF(AND(Tabla8[[#This Row],[PIEZA]]="",Tabla8[[#This Row],[PARTE]]=""),"VACIO","OK")</f>
        <v>VACIO</v>
      </c>
      <c r="U480" s="303" t="str">
        <f>+CONCATENATE(WEEKNUM(Tabla8[[#This Row],[FECHA]]),"-",YEAR(Tabla8[[#This Row],[FECHA]]))</f>
        <v>10-2026</v>
      </c>
    </row>
    <row r="481" spans="1:21" ht="15" customHeight="1">
      <c r="A481" s="22">
        <v>46085</v>
      </c>
      <c r="B481" s="16" t="s">
        <v>111</v>
      </c>
      <c r="C481" s="10" t="s">
        <v>36</v>
      </c>
      <c r="D481" s="381">
        <v>0.28125</v>
      </c>
      <c r="E481" s="381">
        <v>0.29166666666666669</v>
      </c>
      <c r="F481" s="380">
        <f>+MOD(Tabla8[[#This Row],[HR. FIN]]-Tabla8[[#This Row],[HR. INICIO]],1)</f>
        <v>1.0416666666666685E-2</v>
      </c>
      <c r="G481" s="16" t="s">
        <v>241</v>
      </c>
      <c r="H481" s="343" t="str">
        <f>IFERROR(VLOOKUP(G481,DATOS!$M$2:$N$219,2,FALSE),"")</f>
        <v>Maquinaria</v>
      </c>
      <c r="I481" s="115" t="s">
        <v>54</v>
      </c>
      <c r="J481" s="115" t="str">
        <f>+VLOOKUP($I481,Tabla7[#All],2,FALSE)</f>
        <v>PROGRAMADA</v>
      </c>
      <c r="K481" s="114" t="str">
        <f>IF(VLOOKUP(I481,Tabla7[#All],3,FALSE)=0,"",VLOOKUP(I481,Tabla7[#All],3,FALSE))</f>
        <v/>
      </c>
      <c r="L481" s="35" t="s">
        <v>225</v>
      </c>
      <c r="M481" s="35" t="s">
        <v>121</v>
      </c>
      <c r="N481" s="35" t="str" cm="1">
        <f t="array" ref="N481">IFERROR(IF(Tabla8[[#This Row],[P/NP]]="NO PROGRAMADA","",_xlfn.TEXTJOIN(", ",TRUE,_xlfn._xlws.FILTER(Tabla4[[#All],[PIEZA]],ISNUMBER(SEARCH(Tabla4[[#All],[PCLAVE]],Tabla8[[#This Row],[DESCRIPCION DE TRABAJO]])),""))),"")</f>
        <v/>
      </c>
      <c r="O481" s="35" t="str" cm="1">
        <f t="array" ref="O481">_xlfn.TEXTJOIN(", ",TRUE,_xlfn._xlws.FILTER(Tabla28[[#All],[PARTE]],ISNUMBER(SEARCH(Tabla28[[#All],[PCLAVE2]],Tabla8[[#This Row],[DESCRIPCION DE TRABAJO]])),""))</f>
        <v/>
      </c>
      <c r="P481" s="303" t="str">
        <f>IFERROR(LEFT(O481, FIND(",", O481)-1), O481)</f>
        <v/>
      </c>
      <c r="Q481" s="303" t="str">
        <f>IFERROR(IF(ISERROR(FIND(",", O481, FIND(",", O481)+1)), RIGHT(O481, LEN(O481)-FIND(",", O481)-1), MID(O481, FIND(",", O481)+2, FIND(",", O481, FIND(",", O481)+1)-FIND(",", O481)-2)), "")</f>
        <v/>
      </c>
      <c r="R481" s="303" t="str">
        <f>IFERROR(RIGHT(O481, LEN(O481)-FIND(",", O481, FIND(",", O481)+1)-1), "")</f>
        <v/>
      </c>
      <c r="S481" s="35" t="str" cm="1">
        <f t="array" ref="S481">_xlfn.TEXTJOIN(", ",TRUE,_xlfn._xlws.FILTER(Tabla29[[#All],[PARTE]],ISNUMBER(SEARCH(Tabla29[[#All],[PCLAVE3]],Tabla8[[#This Row],[DESCRIPCION DE TRABAJO]])),""))</f>
        <v/>
      </c>
      <c r="T481" s="34" t="str">
        <f>IF(AND(Tabla8[[#This Row],[PIEZA]]="",Tabla8[[#This Row],[PARTE]]=""),"VACIO","OK")</f>
        <v>VACIO</v>
      </c>
      <c r="U481" s="303" t="str">
        <f>+CONCATENATE(WEEKNUM(Tabla8[[#This Row],[FECHA]]),"-",YEAR(Tabla8[[#This Row],[FECHA]]))</f>
        <v>10-2026</v>
      </c>
    </row>
    <row r="482" spans="1:21" ht="15" customHeight="1">
      <c r="A482" s="22">
        <v>46085</v>
      </c>
      <c r="B482" s="16" t="s">
        <v>191</v>
      </c>
      <c r="C482" s="10" t="s">
        <v>39</v>
      </c>
      <c r="D482" s="381">
        <v>2.7777777777777776E-2</v>
      </c>
      <c r="E482" s="381">
        <v>3.8194444444444448E-2</v>
      </c>
      <c r="F482" s="380">
        <f>+MOD(Tabla8[[#This Row],[HR. FIN]]-Tabla8[[#This Row],[HR. INICIO]],1)</f>
        <v>1.0416666666666671E-2</v>
      </c>
      <c r="G482" s="16" t="s">
        <v>31</v>
      </c>
      <c r="H482" s="343" t="str">
        <f>IFERROR(VLOOKUP(G482,DATOS!$M$2:$N$219,2,FALSE),"")</f>
        <v>Maquinaria</v>
      </c>
      <c r="I482" s="115" t="s">
        <v>57</v>
      </c>
      <c r="J482" s="115" t="str">
        <f>+VLOOKUP($I482,Tabla7[#All],2,FALSE)</f>
        <v>NO PROGRAMADA</v>
      </c>
      <c r="K482" s="114" t="s">
        <v>148</v>
      </c>
      <c r="L482" s="35" t="s">
        <v>1093</v>
      </c>
      <c r="M482" s="35" t="s">
        <v>1094</v>
      </c>
      <c r="N482" s="35" t="str" cm="1">
        <f t="array" ref="N482">IFERROR(IF(Tabla8[[#This Row],[P/NP]]="NO PROGRAMADA","",_xlfn.TEXTJOIN(", ",TRUE,_xlfn._xlws.FILTER(Tabla4[[#All],[PIEZA]],ISNUMBER(SEARCH(Tabla4[[#All],[PCLAVE]],Tabla8[[#This Row],[DESCRIPCION DE TRABAJO]])),""))),"")</f>
        <v/>
      </c>
      <c r="O482" s="35" t="str" cm="1">
        <f t="array" ref="O482">_xlfn.TEXTJOIN(", ",TRUE,_xlfn._xlws.FILTER(Tabla28[[#All],[PARTE]],ISNUMBER(SEARCH(Tabla28[[#All],[PCLAVE2]],Tabla8[[#This Row],[DESCRIPCION DE TRABAJO]])),""))</f>
        <v/>
      </c>
      <c r="P482" s="303" t="str">
        <f>IFERROR(LEFT(O482, FIND(",", O482)-1), O482)</f>
        <v/>
      </c>
      <c r="Q482" s="303" t="str">
        <f>IFERROR(IF(ISERROR(FIND(",", O482, FIND(",", O482)+1)), RIGHT(O482, LEN(O482)-FIND(",", O482)-1), MID(O482, FIND(",", O482)+2, FIND(",", O482, FIND(",", O482)+1)-FIND(",", O482)-2)), "")</f>
        <v/>
      </c>
      <c r="R482" s="303" t="str">
        <f>IFERROR(RIGHT(O482, LEN(O482)-FIND(",", O482, FIND(",", O482)+1)-1), "")</f>
        <v/>
      </c>
      <c r="S482" s="35" t="str" cm="1">
        <f t="array" ref="S482">_xlfn.TEXTJOIN(", ",TRUE,_xlfn._xlws.FILTER(Tabla29[[#All],[PARTE]],ISNUMBER(SEARCH(Tabla29[[#All],[PCLAVE3]],Tabla8[[#This Row],[DESCRIPCION DE TRABAJO]])),""))</f>
        <v>Volteado</v>
      </c>
      <c r="T482" s="34" t="str">
        <f>IF(AND(Tabla8[[#This Row],[PIEZA]]="",Tabla8[[#This Row],[PARTE]]=""),"VACIO","OK")</f>
        <v>VACIO</v>
      </c>
      <c r="U482" s="303" t="str">
        <f>+CONCATENATE(WEEKNUM(Tabla8[[#This Row],[FECHA]]),"-",YEAR(Tabla8[[#This Row],[FECHA]]))</f>
        <v>10-2026</v>
      </c>
    </row>
    <row r="483" spans="1:21" ht="15" customHeight="1">
      <c r="A483" s="22">
        <v>46085</v>
      </c>
      <c r="B483" s="16" t="s">
        <v>191</v>
      </c>
      <c r="C483" s="10" t="s">
        <v>39</v>
      </c>
      <c r="D483" s="381">
        <v>2.8472222222222222E-2</v>
      </c>
      <c r="E483" s="381">
        <v>3.888888888888889E-2</v>
      </c>
      <c r="F483" s="380">
        <f>+MOD(Tabla8[[#This Row],[HR. FIN]]-Tabla8[[#This Row],[HR. INICIO]],1)</f>
        <v>1.0416666666666668E-2</v>
      </c>
      <c r="G483" s="16" t="s">
        <v>153</v>
      </c>
      <c r="H483" s="343" t="str">
        <f>IFERROR(VLOOKUP(G483,DATOS!$M$2:$N$219,2,FALSE),"")</f>
        <v>Maquinaria</v>
      </c>
      <c r="I483" s="115" t="s">
        <v>57</v>
      </c>
      <c r="J483" s="115" t="str">
        <f>+VLOOKUP($I483,Tabla7[#All],2,FALSE)</f>
        <v>NO PROGRAMADA</v>
      </c>
      <c r="K483" s="114" t="str">
        <f>IF(VLOOKUP(I483,Tabla7[#All],3,FALSE)=0,"",VLOOKUP(I483,Tabla7[#All],3,FALSE))</f>
        <v>MECÁNICA</v>
      </c>
      <c r="L483" s="35" t="s">
        <v>1065</v>
      </c>
      <c r="M483" s="35" t="s">
        <v>1066</v>
      </c>
      <c r="N483" s="35" t="str" cm="1">
        <f t="array" ref="N483">IFERROR(IF(Tabla8[[#This Row],[P/NP]]="NO PROGRAMADA","",_xlfn.TEXTJOIN(", ",TRUE,_xlfn._xlws.FILTER(Tabla4[[#All],[PIEZA]],ISNUMBER(SEARCH(Tabla4[[#All],[PCLAVE]],Tabla8[[#This Row],[DESCRIPCION DE TRABAJO]])),""))),"")</f>
        <v/>
      </c>
      <c r="O483" s="35" t="str" cm="1">
        <f t="array" ref="O483">_xlfn.TEXTJOIN(", ",TRUE,_xlfn._xlws.FILTER(Tabla28[[#All],[PARTE]],ISNUMBER(SEARCH(Tabla28[[#All],[PCLAVE2]],Tabla8[[#This Row],[DESCRIPCION DE TRABAJO]])),""))</f>
        <v>Contraelevador</v>
      </c>
      <c r="P483" s="303" t="str">
        <f>IFERROR(LEFT(O483, FIND(",", O483)-1), O483)</f>
        <v>Contraelevador</v>
      </c>
      <c r="Q483" s="303" t="str">
        <f>IFERROR(IF(ISERROR(FIND(",", O483, FIND(",", O483)+1)), RIGHT(O483, LEN(O483)-FIND(",", O483)-1), MID(O483, FIND(",", O483)+2, FIND(",", O483, FIND(",", O483)+1)-FIND(",", O483)-2)), "")</f>
        <v/>
      </c>
      <c r="R483" s="303" t="str">
        <f>IFERROR(RIGHT(O483, LEN(O483)-FIND(",", O483, FIND(",", O483)+1)-1), "")</f>
        <v/>
      </c>
      <c r="S483" s="35" t="str" cm="1">
        <f t="array" ref="S483">_xlfn.TEXTJOIN(", ",TRUE,_xlfn._xlws.FILTER(Tabla29[[#All],[PARTE]],ISNUMBER(SEARCH(Tabla29[[#All],[PCLAVE3]],Tabla8[[#This Row],[DESCRIPCION DE TRABAJO]])),""))</f>
        <v/>
      </c>
      <c r="T483" s="34" t="str">
        <f>IF(AND(Tabla8[[#This Row],[PIEZA]]="",Tabla8[[#This Row],[PARTE]]=""),"VACIO","OK")</f>
        <v>OK</v>
      </c>
      <c r="U483" s="303" t="str">
        <f>+CONCATENATE(WEEKNUM(Tabla8[[#This Row],[FECHA]]),"-",YEAR(Tabla8[[#This Row],[FECHA]]))</f>
        <v>10-2026</v>
      </c>
    </row>
    <row r="484" spans="1:21" ht="15" customHeight="1">
      <c r="A484" s="22">
        <v>46085</v>
      </c>
      <c r="B484" s="16" t="s">
        <v>111</v>
      </c>
      <c r="C484" s="10" t="s">
        <v>36</v>
      </c>
      <c r="D484" s="381">
        <v>0.27083333333333331</v>
      </c>
      <c r="E484" s="381">
        <v>0.27777777777777779</v>
      </c>
      <c r="F484" s="380">
        <f>+MOD(Tabla8[[#This Row],[HR. FIN]]-Tabla8[[#This Row],[HR. INICIO]],1)</f>
        <v>6.9444444444444753E-3</v>
      </c>
      <c r="G484" s="16" t="s">
        <v>458</v>
      </c>
      <c r="H484" s="343" t="str">
        <f>IFERROR(VLOOKUP(G484,DATOS!$M$2:$N$219,2,FALSE),"")</f>
        <v>Maquinaria</v>
      </c>
      <c r="I484" s="115" t="s">
        <v>32</v>
      </c>
      <c r="J484" s="115" t="str">
        <f>+VLOOKUP($I484,Tabla7[#All],2,FALSE)</f>
        <v>PROGRAMADA</v>
      </c>
      <c r="K484" s="114" t="str">
        <f>IF(VLOOKUP(I484,Tabla7[#All],3,FALSE)=0,"",VLOOKUP(I484,Tabla7[#All],3,FALSE))</f>
        <v/>
      </c>
      <c r="L484" s="35" t="s">
        <v>449</v>
      </c>
      <c r="M484" s="35" t="s">
        <v>121</v>
      </c>
      <c r="N484" s="35" t="str" cm="1">
        <f t="array" ref="N484">IFERROR(IF(Tabla8[[#This Row],[P/NP]]="NO PROGRAMADA","",_xlfn.TEXTJOIN(", ",TRUE,_xlfn._xlws.FILTER(Tabla4[[#All],[PIEZA]],ISNUMBER(SEARCH(Tabla4[[#All],[PCLAVE]],Tabla8[[#This Row],[DESCRIPCION DE TRABAJO]])),""))),"")</f>
        <v/>
      </c>
      <c r="O484" s="35" t="str" cm="1">
        <f t="array" ref="O484">_xlfn.TEXTJOIN(", ",TRUE,_xlfn._xlws.FILTER(Tabla28[[#All],[PARTE]],ISNUMBER(SEARCH(Tabla28[[#All],[PCLAVE2]],Tabla8[[#This Row],[DESCRIPCION DE TRABAJO]])),""))</f>
        <v/>
      </c>
      <c r="P484" s="303" t="str">
        <f>IFERROR(LEFT(O484, FIND(",", O484)-1), O484)</f>
        <v/>
      </c>
      <c r="Q484" s="303" t="str">
        <f>IFERROR(IF(ISERROR(FIND(",", O484, FIND(",", O484)+1)), RIGHT(O484, LEN(O484)-FIND(",", O484)-1), MID(O484, FIND(",", O484)+2, FIND(",", O484, FIND(",", O484)+1)-FIND(",", O484)-2)), "")</f>
        <v/>
      </c>
      <c r="R484" s="303" t="str">
        <f>IFERROR(RIGHT(O484, LEN(O484)-FIND(",", O484, FIND(",", O484)+1)-1), "")</f>
        <v/>
      </c>
      <c r="S484" s="35" t="str" cm="1">
        <f t="array" ref="S484">_xlfn.TEXTJOIN(", ",TRUE,_xlfn._xlws.FILTER(Tabla29[[#All],[PARTE]],ISNUMBER(SEARCH(Tabla29[[#All],[PCLAVE3]],Tabla8[[#This Row],[DESCRIPCION DE TRABAJO]])),""))</f>
        <v/>
      </c>
      <c r="T484" s="34" t="str">
        <f>IF(AND(Tabla8[[#This Row],[PIEZA]]="",Tabla8[[#This Row],[PARTE]]=""),"VACIO","OK")</f>
        <v>VACIO</v>
      </c>
      <c r="U484" s="303" t="str">
        <f>+CONCATENATE(WEEKNUM(Tabla8[[#This Row],[FECHA]]),"-",YEAR(Tabla8[[#This Row],[FECHA]]))</f>
        <v>10-2026</v>
      </c>
    </row>
    <row r="485" spans="1:21" ht="15" customHeight="1">
      <c r="A485" s="22">
        <v>46085</v>
      </c>
      <c r="B485" s="16" t="s">
        <v>191</v>
      </c>
      <c r="C485" s="10" t="s">
        <v>39</v>
      </c>
      <c r="D485" s="381">
        <v>4.3055555555555555E-2</v>
      </c>
      <c r="E485" s="381">
        <v>0.05</v>
      </c>
      <c r="F485" s="380">
        <f>+MOD(Tabla8[[#This Row],[HR. FIN]]-Tabla8[[#This Row],[HR. INICIO]],1)</f>
        <v>6.9444444444444475E-3</v>
      </c>
      <c r="G485" s="16" t="s">
        <v>119</v>
      </c>
      <c r="H485" s="343" t="str">
        <f>IFERROR(VLOOKUP(G485,DATOS!$M$2:$N$219,2,FALSE),"")</f>
        <v>Maquinaria</v>
      </c>
      <c r="I485" s="115" t="s">
        <v>57</v>
      </c>
      <c r="J485" s="115" t="str">
        <f>+VLOOKUP($I485,Tabla7[#All],2,FALSE)</f>
        <v>NO PROGRAMADA</v>
      </c>
      <c r="K485" s="114" t="s">
        <v>148</v>
      </c>
      <c r="L485" s="35" t="s">
        <v>1095</v>
      </c>
      <c r="M485" s="35" t="s">
        <v>1096</v>
      </c>
      <c r="N485" s="35" t="str" cm="1">
        <f t="array" ref="N485">IFERROR(IF(Tabla8[[#This Row],[P/NP]]="NO PROGRAMADA","",_xlfn.TEXTJOIN(", ",TRUE,_xlfn._xlws.FILTER(Tabla4[[#All],[PIEZA]],ISNUMBER(SEARCH(Tabla4[[#All],[PCLAVE]],Tabla8[[#This Row],[DESCRIPCION DE TRABAJO]])),""))),"")</f>
        <v/>
      </c>
      <c r="O485" s="35" t="str" cm="1">
        <f t="array" ref="O485">_xlfn.TEXTJOIN(", ",TRUE,_xlfn._xlws.FILTER(Tabla28[[#All],[PARTE]],ISNUMBER(SEARCH(Tabla28[[#All],[PCLAVE2]],Tabla8[[#This Row],[DESCRIPCION DE TRABAJO]])),""))</f>
        <v/>
      </c>
      <c r="P485" s="303" t="str">
        <f>IFERROR(LEFT(O485, FIND(",", O485)-1), O485)</f>
        <v/>
      </c>
      <c r="Q485" s="303" t="str">
        <f>IFERROR(IF(ISERROR(FIND(",", O485, FIND(",", O485)+1)), RIGHT(O485, LEN(O485)-FIND(",", O485)-1), MID(O485, FIND(",", O485)+2, FIND(",", O485, FIND(",", O485)+1)-FIND(",", O485)-2)), "")</f>
        <v/>
      </c>
      <c r="R485" s="303" t="str">
        <f>IFERROR(RIGHT(O485, LEN(O485)-FIND(",", O485, FIND(",", O485)+1)-1), "")</f>
        <v/>
      </c>
      <c r="S485" s="35" t="str" cm="1">
        <f t="array" ref="S485">_xlfn.TEXTJOIN(", ",TRUE,_xlfn._xlws.FILTER(Tabla29[[#All],[PARTE]],ISNUMBER(SEARCH(Tabla29[[#All],[PCLAVE3]],Tabla8[[#This Row],[DESCRIPCION DE TRABAJO]])),""))</f>
        <v>Desalineado, Desalineado, Carga/descarga</v>
      </c>
      <c r="T485" s="34" t="str">
        <f>IF(AND(Tabla8[[#This Row],[PIEZA]]="",Tabla8[[#This Row],[PARTE]]=""),"VACIO","OK")</f>
        <v>VACIO</v>
      </c>
      <c r="U485" s="303" t="str">
        <f>+CONCATENATE(WEEKNUM(Tabla8[[#This Row],[FECHA]]),"-",YEAR(Tabla8[[#This Row],[FECHA]]))</f>
        <v>10-2026</v>
      </c>
    </row>
    <row r="486" spans="1:21" ht="15" customHeight="1">
      <c r="A486" s="22">
        <v>46085</v>
      </c>
      <c r="B486" s="16" t="s">
        <v>111</v>
      </c>
      <c r="C486" s="10" t="s">
        <v>36</v>
      </c>
      <c r="D486" s="381">
        <v>0.26041666666666669</v>
      </c>
      <c r="E486" s="381">
        <v>0.2673611111111111</v>
      </c>
      <c r="F486" s="380">
        <f>+MOD(Tabla8[[#This Row],[HR. FIN]]-Tabla8[[#This Row],[HR. INICIO]],1)</f>
        <v>6.9444444444444198E-3</v>
      </c>
      <c r="G486" s="16" t="s">
        <v>256</v>
      </c>
      <c r="H486" s="343" t="str">
        <f>IFERROR(VLOOKUP(G486,DATOS!$M$2:$N$219,2,FALSE),"")</f>
        <v>Maquinaria</v>
      </c>
      <c r="I486" s="115" t="s">
        <v>32</v>
      </c>
      <c r="J486" s="115" t="str">
        <f>+VLOOKUP($I486,Tabla7[#All],2,FALSE)</f>
        <v>PROGRAMADA</v>
      </c>
      <c r="K486" s="114" t="str">
        <f>IF(VLOOKUP(I486,Tabla7[#All],3,FALSE)=0,"",VLOOKUP(I486,Tabla7[#All],3,FALSE))</f>
        <v/>
      </c>
      <c r="L486" s="35" t="s">
        <v>1097</v>
      </c>
      <c r="M486" s="35" t="s">
        <v>121</v>
      </c>
      <c r="N486" s="35" t="str" cm="1">
        <f t="array" ref="N486">IFERROR(IF(Tabla8[[#This Row],[P/NP]]="NO PROGRAMADA","",_xlfn.TEXTJOIN(", ",TRUE,_xlfn._xlws.FILTER(Tabla4[[#All],[PIEZA]],ISNUMBER(SEARCH(Tabla4[[#All],[PCLAVE]],Tabla8[[#This Row],[DESCRIPCION DE TRABAJO]])),""))),"")</f>
        <v>Tuberias</v>
      </c>
      <c r="O486" s="35" t="str" cm="1">
        <f t="array" ref="O486">_xlfn.TEXTJOIN(", ",TRUE,_xlfn._xlws.FILTER(Tabla28[[#All],[PARTE]],ISNUMBER(SEARCH(Tabla28[[#All],[PCLAVE2]],Tabla8[[#This Row],[DESCRIPCION DE TRABAJO]])),""))</f>
        <v/>
      </c>
      <c r="P486" s="303" t="str">
        <f>IFERROR(LEFT(O486, FIND(",", O486)-1), O486)</f>
        <v/>
      </c>
      <c r="Q486" s="303" t="str">
        <f>IFERROR(IF(ISERROR(FIND(",", O486, FIND(",", O486)+1)), RIGHT(O486, LEN(O486)-FIND(",", O486)-1), MID(O486, FIND(",", O486)+2, FIND(",", O486, FIND(",", O486)+1)-FIND(",", O486)-2)), "")</f>
        <v/>
      </c>
      <c r="R486" s="303" t="str">
        <f>IFERROR(RIGHT(O486, LEN(O486)-FIND(",", O486, FIND(",", O486)+1)-1), "")</f>
        <v/>
      </c>
      <c r="S486" s="35" t="str" cm="1">
        <f t="array" ref="S486">_xlfn.TEXTJOIN(", ",TRUE,_xlfn._xlws.FILTER(Tabla29[[#All],[PARTE]],ISNUMBER(SEARCH(Tabla29[[#All],[PCLAVE3]],Tabla8[[#This Row],[DESCRIPCION DE TRABAJO]])),""))</f>
        <v>Alimentacion Obstruida</v>
      </c>
      <c r="T486" s="34" t="str">
        <f>IF(AND(Tabla8[[#This Row],[PIEZA]]="",Tabla8[[#This Row],[PARTE]]=""),"VACIO","OK")</f>
        <v>OK</v>
      </c>
      <c r="U486" s="303" t="str">
        <f>+CONCATENATE(WEEKNUM(Tabla8[[#This Row],[FECHA]]),"-",YEAR(Tabla8[[#This Row],[FECHA]]))</f>
        <v>10-2026</v>
      </c>
    </row>
    <row r="487" spans="1:21" ht="15" customHeight="1">
      <c r="A487" s="22">
        <v>46086</v>
      </c>
      <c r="B487" s="16" t="s">
        <v>88</v>
      </c>
      <c r="C487" s="10" t="s">
        <v>23</v>
      </c>
      <c r="D487" s="381" t="s">
        <v>468</v>
      </c>
      <c r="E487" s="381" t="s">
        <v>107</v>
      </c>
      <c r="F487" s="380">
        <f>+MOD(Tabla8[[#This Row],[HR. FIN]]-Tabla8[[#This Row],[HR. INICIO]],1)</f>
        <v>2.083333333333337E-2</v>
      </c>
      <c r="G487" s="16" t="s">
        <v>119</v>
      </c>
      <c r="H487" s="343" t="str">
        <f>IFERROR(VLOOKUP(G487,DATOS!$M$2:$N$219,2,FALSE),"")</f>
        <v>Maquinaria</v>
      </c>
      <c r="I487" s="115" t="s">
        <v>32</v>
      </c>
      <c r="J487" s="115" t="str">
        <f>+VLOOKUP($I487,Tabla7[#All],2,FALSE)</f>
        <v>PROGRAMADA</v>
      </c>
      <c r="K487" s="114" t="str">
        <f>IF(VLOOKUP(I487,Tabla7[#All],3,FALSE)=0,"",VLOOKUP(I487,Tabla7[#All],3,FALSE))</f>
        <v/>
      </c>
      <c r="L487" s="35" t="s">
        <v>1098</v>
      </c>
      <c r="M487" s="35" t="s">
        <v>1099</v>
      </c>
      <c r="N487" s="35" t="str" cm="1">
        <f t="array" ref="N487">IFERROR(IF(Tabla8[[#This Row],[P/NP]]="NO PROGRAMADA","",_xlfn.TEXTJOIN(", ",TRUE,_xlfn._xlws.FILTER(Tabla4[[#All],[PIEZA]],ISNUMBER(SEARCH(Tabla4[[#All],[PCLAVE]],Tabla8[[#This Row],[DESCRIPCION DE TRABAJO]])),""))),"")</f>
        <v/>
      </c>
      <c r="O487" s="35" t="str" cm="1">
        <f t="array" ref="O487">_xlfn.TEXTJOIN(", ",TRUE,_xlfn._xlws.FILTER(Tabla28[[#All],[PARTE]],ISNUMBER(SEARCH(Tabla28[[#All],[PCLAVE2]],Tabla8[[#This Row],[DESCRIPCION DE TRABAJO]])),""))</f>
        <v>Mds</v>
      </c>
      <c r="P487" s="303" t="str">
        <f>IFERROR(LEFT(O487, FIND(",", O487)-1), O487)</f>
        <v>Mds</v>
      </c>
      <c r="Q487" s="303" t="str">
        <f>IFERROR(IF(ISERROR(FIND(",", O487, FIND(",", O487)+1)), RIGHT(O487, LEN(O487)-FIND(",", O487)-1), MID(O487, FIND(",", O487)+2, FIND(",", O487, FIND(",", O487)+1)-FIND(",", O487)-2)), "")</f>
        <v/>
      </c>
      <c r="R487" s="303" t="str">
        <f>IFERROR(RIGHT(O487, LEN(O487)-FIND(",", O487, FIND(",", O487)+1)-1), "")</f>
        <v/>
      </c>
      <c r="S487" s="35" t="str" cm="1">
        <f t="array" ref="S487">_xlfn.TEXTJOIN(", ",TRUE,_xlfn._xlws.FILTER(Tabla29[[#All],[PARTE]],ISNUMBER(SEARCH(Tabla29[[#All],[PCLAVE3]],Tabla8[[#This Row],[DESCRIPCION DE TRABAJO]])),""))</f>
        <v/>
      </c>
      <c r="T487" s="34" t="str">
        <f>IF(AND(Tabla8[[#This Row],[PIEZA]]="",Tabla8[[#This Row],[PARTE]]=""),"VACIO","OK")</f>
        <v>OK</v>
      </c>
      <c r="U487" s="303" t="str">
        <f>+CONCATENATE(WEEKNUM(Tabla8[[#This Row],[FECHA]]),"-",YEAR(Tabla8[[#This Row],[FECHA]]))</f>
        <v>10-2026</v>
      </c>
    </row>
    <row r="488" spans="1:21" ht="15" customHeight="1">
      <c r="A488" s="22">
        <v>46086</v>
      </c>
      <c r="B488" s="16" t="s">
        <v>191</v>
      </c>
      <c r="C488" s="10" t="s">
        <v>39</v>
      </c>
      <c r="D488" s="381" t="s">
        <v>663</v>
      </c>
      <c r="E488" s="381" t="s">
        <v>899</v>
      </c>
      <c r="F488" s="380">
        <f>+MOD(Tabla8[[#This Row],[HR. FIN]]-Tabla8[[#This Row],[HR. INICIO]],1)</f>
        <v>1.5972222222222276E-2</v>
      </c>
      <c r="G488" s="16" t="s">
        <v>554</v>
      </c>
      <c r="H488" s="343" t="str">
        <f>IFERROR(VLOOKUP(G488,DATOS!$M$2:$N$219,2,FALSE),"")</f>
        <v>Maquinaria</v>
      </c>
      <c r="I488" s="115" t="s">
        <v>61</v>
      </c>
      <c r="J488" s="115" t="s">
        <v>92</v>
      </c>
      <c r="K488" s="114" t="s">
        <v>93</v>
      </c>
      <c r="L488" s="35" t="s">
        <v>1100</v>
      </c>
      <c r="M488" s="35" t="s">
        <v>1101</v>
      </c>
      <c r="N488" s="35" t="str" cm="1">
        <f t="array" ref="N488">IFERROR(IF(Tabla8[[#This Row],[P/NP]]="NO PROGRAMADA","",_xlfn.TEXTJOIN(", ",TRUE,_xlfn._xlws.FILTER(Tabla4[[#All],[PIEZA]],ISNUMBER(SEARCH(Tabla4[[#All],[PCLAVE]],Tabla8[[#This Row],[DESCRIPCION DE TRABAJO]])),""))),"")</f>
        <v/>
      </c>
      <c r="O488" s="35" t="str" cm="1">
        <f t="array" ref="O488">_xlfn.TEXTJOIN(", ",TRUE,_xlfn._xlws.FILTER(Tabla28[[#All],[PARTE]],ISNUMBER(SEARCH(Tabla28[[#All],[PCLAVE2]],Tabla8[[#This Row],[DESCRIPCION DE TRABAJO]])),""))</f>
        <v>Codificador</v>
      </c>
      <c r="P488" s="303" t="str">
        <f>IFERROR(LEFT(O488, FIND(",", O488)-1), O488)</f>
        <v>Codificador</v>
      </c>
      <c r="Q488" s="303" t="str">
        <f>IFERROR(IF(ISERROR(FIND(",", O488, FIND(",", O488)+1)), RIGHT(O488, LEN(O488)-FIND(",", O488)-1), MID(O488, FIND(",", O488)+2, FIND(",", O488, FIND(",", O488)+1)-FIND(",", O488)-2)), "")</f>
        <v/>
      </c>
      <c r="R488" s="303" t="str">
        <f>IFERROR(RIGHT(O488, LEN(O488)-FIND(",", O488, FIND(",", O488)+1)-1), "")</f>
        <v/>
      </c>
      <c r="S488" s="35" t="str" cm="1">
        <f t="array" ref="S488">_xlfn.TEXTJOIN(", ",TRUE,_xlfn._xlws.FILTER(Tabla29[[#All],[PARTE]],ISNUMBER(SEARCH(Tabla29[[#All],[PCLAVE3]],Tabla8[[#This Row],[DESCRIPCION DE TRABAJO]])),""))</f>
        <v>Error, Falla De Presion, No Inicia</v>
      </c>
      <c r="T488" s="34" t="str">
        <f>IF(AND(Tabla8[[#This Row],[PIEZA]]="",Tabla8[[#This Row],[PARTE]]=""),"VACIO","OK")</f>
        <v>OK</v>
      </c>
      <c r="U488" s="303" t="str">
        <f>+CONCATENATE(WEEKNUM(Tabla8[[#This Row],[FECHA]]),"-",YEAR(Tabla8[[#This Row],[FECHA]]))</f>
        <v>10-2026</v>
      </c>
    </row>
    <row r="489" spans="1:21" ht="15" customHeight="1">
      <c r="A489" s="22">
        <v>46086</v>
      </c>
      <c r="B489" s="16" t="s">
        <v>88</v>
      </c>
      <c r="C489" s="10" t="s">
        <v>23</v>
      </c>
      <c r="D489" s="381" t="s">
        <v>274</v>
      </c>
      <c r="E489" s="381" t="s">
        <v>1102</v>
      </c>
      <c r="F489" s="380">
        <f>+MOD(Tabla8[[#This Row],[HR. FIN]]-Tabla8[[#This Row],[HR. INICIO]],1)</f>
        <v>1.3888888888888951E-2</v>
      </c>
      <c r="G489" s="16" t="s">
        <v>182</v>
      </c>
      <c r="H489" s="343" t="str">
        <f>IFERROR(VLOOKUP(G489,DATOS!$M$2:$N$219,2,FALSE),"")</f>
        <v>Maquinaria</v>
      </c>
      <c r="I489" s="115" t="s">
        <v>54</v>
      </c>
      <c r="J489" s="115" t="str">
        <f>+VLOOKUP($I489,Tabla7[#All],2,FALSE)</f>
        <v>PROGRAMADA</v>
      </c>
      <c r="K489" s="114" t="str">
        <f>IF(VLOOKUP(I489,Tabla7[#All],3,FALSE)=0,"",VLOOKUP(I489,Tabla7[#All],3,FALSE))</f>
        <v/>
      </c>
      <c r="L489" s="35" t="s">
        <v>1103</v>
      </c>
      <c r="M489" s="35" t="s">
        <v>214</v>
      </c>
      <c r="N489" s="35" t="str" cm="1">
        <f t="array" ref="N489">IFERROR(IF(Tabla8[[#This Row],[P/NP]]="NO PROGRAMADA","",_xlfn.TEXTJOIN(", ",TRUE,_xlfn._xlws.FILTER(Tabla4[[#All],[PIEZA]],ISNUMBER(SEARCH(Tabla4[[#All],[PCLAVE]],Tabla8[[#This Row],[DESCRIPCION DE TRABAJO]])),""))),"")</f>
        <v/>
      </c>
      <c r="O489" s="35" t="str" cm="1">
        <f t="array" ref="O489">_xlfn.TEXTJOIN(", ",TRUE,_xlfn._xlws.FILTER(Tabla28[[#All],[PARTE]],ISNUMBER(SEARCH(Tabla28[[#All],[PCLAVE2]],Tabla8[[#This Row],[DESCRIPCION DE TRABAJO]])),""))</f>
        <v/>
      </c>
      <c r="P489" s="303" t="str">
        <f>IFERROR(LEFT(O489, FIND(",", O489)-1), O489)</f>
        <v/>
      </c>
      <c r="Q489" s="303" t="str">
        <f>IFERROR(IF(ISERROR(FIND(",", O489, FIND(",", O489)+1)), RIGHT(O489, LEN(O489)-FIND(",", O489)-1), MID(O489, FIND(",", O489)+2, FIND(",", O489, FIND(",", O489)+1)-FIND(",", O489)-2)), "")</f>
        <v/>
      </c>
      <c r="R489" s="303" t="str">
        <f>IFERROR(RIGHT(O489, LEN(O489)-FIND(",", O489, FIND(",", O489)+1)-1), "")</f>
        <v/>
      </c>
      <c r="S489" s="35" t="str" cm="1">
        <f t="array" ref="S489">_xlfn.TEXTJOIN(", ",TRUE,_xlfn._xlws.FILTER(Tabla29[[#All],[PARTE]],ISNUMBER(SEARCH(Tabla29[[#All],[PCLAVE3]],Tabla8[[#This Row],[DESCRIPCION DE TRABAJO]])),""))</f>
        <v/>
      </c>
      <c r="T489" s="34" t="str">
        <f>IF(AND(Tabla8[[#This Row],[PIEZA]]="",Tabla8[[#This Row],[PARTE]]=""),"VACIO","OK")</f>
        <v>VACIO</v>
      </c>
      <c r="U489" s="303" t="str">
        <f>+CONCATENATE(WEEKNUM(Tabla8[[#This Row],[FECHA]]),"-",YEAR(Tabla8[[#This Row],[FECHA]]))</f>
        <v>10-2026</v>
      </c>
    </row>
    <row r="490" spans="1:21" ht="15" customHeight="1">
      <c r="A490" s="22">
        <v>46086</v>
      </c>
      <c r="B490" s="16" t="s">
        <v>191</v>
      </c>
      <c r="C490" s="10" t="s">
        <v>39</v>
      </c>
      <c r="D490" s="381" t="s">
        <v>1104</v>
      </c>
      <c r="E490" s="381" t="s">
        <v>135</v>
      </c>
      <c r="F490" s="380">
        <f>+MOD(Tabla8[[#This Row],[HR. FIN]]-Tabla8[[#This Row],[HR. INICIO]],1)</f>
        <v>1.3888888888888951E-2</v>
      </c>
      <c r="G490" s="16" t="s">
        <v>31</v>
      </c>
      <c r="H490" s="343" t="str">
        <f>IFERROR(VLOOKUP(G490,DATOS!$M$2:$N$219,2,FALSE),"")</f>
        <v>Maquinaria</v>
      </c>
      <c r="I490" s="115" t="s">
        <v>57</v>
      </c>
      <c r="J490" s="115" t="str">
        <f>+VLOOKUP($I490,Tabla7[#All],2,FALSE)</f>
        <v>NO PROGRAMADA</v>
      </c>
      <c r="K490" s="114" t="str">
        <f>IF(VLOOKUP(I490,Tabla7[#All],3,FALSE)=0,"",VLOOKUP(I490,Tabla7[#All],3,FALSE))</f>
        <v>MECÁNICA</v>
      </c>
      <c r="L490" s="35" t="s">
        <v>1105</v>
      </c>
      <c r="M490" s="35" t="s">
        <v>1106</v>
      </c>
      <c r="N490" s="35" t="str" cm="1">
        <f t="array" ref="N490">IFERROR(IF(Tabla8[[#This Row],[P/NP]]="NO PROGRAMADA","",_xlfn.TEXTJOIN(", ",TRUE,_xlfn._xlws.FILTER(Tabla4[[#All],[PIEZA]],ISNUMBER(SEARCH(Tabla4[[#All],[PCLAVE]],Tabla8[[#This Row],[DESCRIPCION DE TRABAJO]])),""))),"")</f>
        <v/>
      </c>
      <c r="O490" s="35" t="str" cm="1">
        <f t="array" ref="O490">_xlfn.TEXTJOIN(", ",TRUE,_xlfn._xlws.FILTER(Tabla28[[#All],[PARTE]],ISNUMBER(SEARCH(Tabla28[[#All],[PCLAVE2]],Tabla8[[#This Row],[DESCRIPCION DE TRABAJO]])),""))</f>
        <v/>
      </c>
      <c r="P490" s="303" t="str">
        <f>IFERROR(LEFT(O490, FIND(",", O490)-1), O490)</f>
        <v/>
      </c>
      <c r="Q490" s="303" t="str">
        <f>IFERROR(IF(ISERROR(FIND(",", O490, FIND(",", O490)+1)), RIGHT(O490, LEN(O490)-FIND(",", O490)-1), MID(O490, FIND(",", O490)+2, FIND(",", O490, FIND(",", O490)+1)-FIND(",", O490)-2)), "")</f>
        <v/>
      </c>
      <c r="R490" s="303" t="str">
        <f>IFERROR(RIGHT(O490, LEN(O490)-FIND(",", O490, FIND(",", O490)+1)-1), "")</f>
        <v/>
      </c>
      <c r="S490" s="35" t="str" cm="1">
        <f t="array" ref="S490">_xlfn.TEXTJOIN(", ",TRUE,_xlfn._xlws.FILTER(Tabla29[[#All],[PARTE]],ISNUMBER(SEARCH(Tabla29[[#All],[PCLAVE3]],Tabla8[[#This Row],[DESCRIPCION DE TRABAJO]])),""))</f>
        <v>Error</v>
      </c>
      <c r="T490" s="34" t="str">
        <f>IF(AND(Tabla8[[#This Row],[PIEZA]]="",Tabla8[[#This Row],[PARTE]]=""),"VACIO","OK")</f>
        <v>VACIO</v>
      </c>
      <c r="U490" s="303" t="str">
        <f>+CONCATENATE(WEEKNUM(Tabla8[[#This Row],[FECHA]]),"-",YEAR(Tabla8[[#This Row],[FECHA]]))</f>
        <v>10-2026</v>
      </c>
    </row>
    <row r="491" spans="1:21" ht="15" customHeight="1">
      <c r="A491" s="22">
        <v>46086</v>
      </c>
      <c r="B491" s="16" t="s">
        <v>88</v>
      </c>
      <c r="C491" s="10" t="s">
        <v>23</v>
      </c>
      <c r="D491" s="381" t="s">
        <v>281</v>
      </c>
      <c r="E491" s="381" t="s">
        <v>457</v>
      </c>
      <c r="F491" s="380">
        <f>+MOD(Tabla8[[#This Row],[HR. FIN]]-Tabla8[[#This Row],[HR. INICIO]],1)</f>
        <v>1.388888888888884E-2</v>
      </c>
      <c r="G491" s="16" t="s">
        <v>270</v>
      </c>
      <c r="H491" s="343" t="str">
        <f>IFERROR(VLOOKUP(G491,DATOS!$M$2:$N$219,2,FALSE),"")</f>
        <v>Maquinaria</v>
      </c>
      <c r="I491" s="115" t="s">
        <v>54</v>
      </c>
      <c r="J491" s="115" t="str">
        <f>+VLOOKUP($I491,Tabla7[#All],2,FALSE)</f>
        <v>PROGRAMADA</v>
      </c>
      <c r="K491" s="114" t="str">
        <f>IF(VLOOKUP(I491,Tabla7[#All],3,FALSE)=0,"",VLOOKUP(I491,Tabla7[#All],3,FALSE))</f>
        <v/>
      </c>
      <c r="L491" s="35" t="s">
        <v>1040</v>
      </c>
      <c r="M491" s="35" t="s">
        <v>214</v>
      </c>
      <c r="N491" s="35" t="str" cm="1">
        <f t="array" ref="N491">IFERROR(IF(Tabla8[[#This Row],[P/NP]]="NO PROGRAMADA","",_xlfn.TEXTJOIN(", ",TRUE,_xlfn._xlws.FILTER(Tabla4[[#All],[PIEZA]],ISNUMBER(SEARCH(Tabla4[[#All],[PCLAVE]],Tabla8[[#This Row],[DESCRIPCION DE TRABAJO]])),""))),"")</f>
        <v/>
      </c>
      <c r="O491" s="35" t="str" cm="1">
        <f t="array" ref="O491">_xlfn.TEXTJOIN(", ",TRUE,_xlfn._xlws.FILTER(Tabla28[[#All],[PARTE]],ISNUMBER(SEARCH(Tabla28[[#All],[PCLAVE2]],Tabla8[[#This Row],[DESCRIPCION DE TRABAJO]])),""))</f>
        <v/>
      </c>
      <c r="P491" s="303" t="str">
        <f>IFERROR(LEFT(O491, FIND(",", O491)-1), O491)</f>
        <v/>
      </c>
      <c r="Q491" s="303" t="str">
        <f>IFERROR(IF(ISERROR(FIND(",", O491, FIND(",", O491)+1)), RIGHT(O491, LEN(O491)-FIND(",", O491)-1), MID(O491, FIND(",", O491)+2, FIND(",", O491, FIND(",", O491)+1)-FIND(",", O491)-2)), "")</f>
        <v/>
      </c>
      <c r="R491" s="303" t="str">
        <f>IFERROR(RIGHT(O491, LEN(O491)-FIND(",", O491, FIND(",", O491)+1)-1), "")</f>
        <v/>
      </c>
      <c r="S491" s="35" t="str" cm="1">
        <f t="array" ref="S491">_xlfn.TEXTJOIN(", ",TRUE,_xlfn._xlws.FILTER(Tabla29[[#All],[PARTE]],ISNUMBER(SEARCH(Tabla29[[#All],[PCLAVE3]],Tabla8[[#This Row],[DESCRIPCION DE TRABAJO]])),""))</f>
        <v/>
      </c>
      <c r="T491" s="34" t="str">
        <f>IF(AND(Tabla8[[#This Row],[PIEZA]]="",Tabla8[[#This Row],[PARTE]]=""),"VACIO","OK")</f>
        <v>VACIO</v>
      </c>
      <c r="U491" s="303" t="str">
        <f>+CONCATENATE(WEEKNUM(Tabla8[[#This Row],[FECHA]]),"-",YEAR(Tabla8[[#This Row],[FECHA]]))</f>
        <v>10-2026</v>
      </c>
    </row>
    <row r="492" spans="1:21" ht="15" customHeight="1">
      <c r="A492" s="22">
        <v>46086</v>
      </c>
      <c r="B492" s="16" t="s">
        <v>88</v>
      </c>
      <c r="C492" s="10" t="s">
        <v>23</v>
      </c>
      <c r="D492" s="381" t="s">
        <v>957</v>
      </c>
      <c r="E492" s="381" t="s">
        <v>1107</v>
      </c>
      <c r="F492" s="380">
        <f>+MOD(Tabla8[[#This Row],[HR. FIN]]-Tabla8[[#This Row],[HR. INICIO]],1)</f>
        <v>1.388888888888884E-2</v>
      </c>
      <c r="G492" s="16" t="s">
        <v>438</v>
      </c>
      <c r="H492" s="343" t="str">
        <f>IFERROR(VLOOKUP(G492,DATOS!$M$2:$N$219,2,FALSE),"")</f>
        <v>Maquinaria</v>
      </c>
      <c r="I492" s="115" t="s">
        <v>57</v>
      </c>
      <c r="J492" s="115" t="str">
        <f>+VLOOKUP($I492,Tabla7[#All],2,FALSE)</f>
        <v>NO PROGRAMADA</v>
      </c>
      <c r="K492" s="114" t="str">
        <f>IF(VLOOKUP(I492,Tabla7[#All],3,FALSE)=0,"",VLOOKUP(I492,Tabla7[#All],3,FALSE))</f>
        <v>MECÁNICA</v>
      </c>
      <c r="L492" s="35" t="s">
        <v>1108</v>
      </c>
      <c r="M492" s="35" t="s">
        <v>1109</v>
      </c>
      <c r="N492" s="35" t="str" cm="1">
        <f t="array" ref="N492">IFERROR(IF(Tabla8[[#This Row],[P/NP]]="NO PROGRAMADA","",_xlfn.TEXTJOIN(", ",TRUE,_xlfn._xlws.FILTER(Tabla4[[#All],[PIEZA]],ISNUMBER(SEARCH(Tabla4[[#All],[PCLAVE]],Tabla8[[#This Row],[DESCRIPCION DE TRABAJO]])),""))),"")</f>
        <v/>
      </c>
      <c r="O492" s="35" t="str" cm="1">
        <f t="array" ref="O492">_xlfn.TEXTJOIN(", ",TRUE,_xlfn._xlws.FILTER(Tabla28[[#All],[PARTE]],ISNUMBER(SEARCH(Tabla28[[#All],[PCLAVE2]],Tabla8[[#This Row],[DESCRIPCION DE TRABAJO]])),""))</f>
        <v/>
      </c>
      <c r="P492" s="303" t="str">
        <f>IFERROR(LEFT(O492, FIND(",", O492)-1), O492)</f>
        <v/>
      </c>
      <c r="Q492" s="303" t="str">
        <f>IFERROR(IF(ISERROR(FIND(",", O492, FIND(",", O492)+1)), RIGHT(O492, LEN(O492)-FIND(",", O492)-1), MID(O492, FIND(",", O492)+2, FIND(",", O492, FIND(",", O492)+1)-FIND(",", O492)-2)), "")</f>
        <v/>
      </c>
      <c r="R492" s="303" t="str">
        <f>IFERROR(RIGHT(O492, LEN(O492)-FIND(",", O492, FIND(",", O492)+1)-1), "")</f>
        <v/>
      </c>
      <c r="S492" s="35" t="str" cm="1">
        <f t="array" ref="S492">_xlfn.TEXTJOIN(", ",TRUE,_xlfn._xlws.FILTER(Tabla29[[#All],[PARTE]],ISNUMBER(SEARCH(Tabla29[[#All],[PCLAVE3]],Tabla8[[#This Row],[DESCRIPCION DE TRABAJO]])),""))</f>
        <v>Falla De Presion</v>
      </c>
      <c r="T492" s="34" t="str">
        <f>IF(AND(Tabla8[[#This Row],[PIEZA]]="",Tabla8[[#This Row],[PARTE]]=""),"VACIO","OK")</f>
        <v>VACIO</v>
      </c>
      <c r="U492" s="303" t="str">
        <f>+CONCATENATE(WEEKNUM(Tabla8[[#This Row],[FECHA]]),"-",YEAR(Tabla8[[#This Row],[FECHA]]))</f>
        <v>10-2026</v>
      </c>
    </row>
    <row r="493" spans="1:21" ht="15" customHeight="1">
      <c r="A493" s="22">
        <v>46086</v>
      </c>
      <c r="B493" s="16" t="s">
        <v>191</v>
      </c>
      <c r="C493" s="10" t="s">
        <v>39</v>
      </c>
      <c r="D493" s="381" t="s">
        <v>1110</v>
      </c>
      <c r="E493" s="381" t="s">
        <v>1111</v>
      </c>
      <c r="F493" s="380">
        <f>+MOD(Tabla8[[#This Row],[HR. FIN]]-Tabla8[[#This Row],[HR. INICIO]],1)</f>
        <v>1.3194444444444509E-2</v>
      </c>
      <c r="G493" s="16" t="s">
        <v>215</v>
      </c>
      <c r="H493" s="343" t="str">
        <f>IFERROR(VLOOKUP(G493,DATOS!$M$2:$N$219,2,FALSE),"")</f>
        <v>Equipos auxiliares</v>
      </c>
      <c r="I493" s="115" t="s">
        <v>54</v>
      </c>
      <c r="J493" s="115" t="str">
        <f>+VLOOKUP($I493,Tabla7[#All],2,FALSE)</f>
        <v>PROGRAMADA</v>
      </c>
      <c r="K493" s="114" t="str">
        <f>IF(VLOOKUP(I493,Tabla7[#All],3,FALSE)=0,"",VLOOKUP(I493,Tabla7[#All],3,FALSE))</f>
        <v/>
      </c>
      <c r="L493" s="35" t="s">
        <v>248</v>
      </c>
      <c r="M493" s="35" t="s">
        <v>121</v>
      </c>
      <c r="N493" s="35" t="str" cm="1">
        <f t="array" ref="N493">IFERROR(IF(Tabla8[[#This Row],[P/NP]]="NO PROGRAMADA","",_xlfn.TEXTJOIN(", ",TRUE,_xlfn._xlws.FILTER(Tabla4[[#All],[PIEZA]],ISNUMBER(SEARCH(Tabla4[[#All],[PCLAVE]],Tabla8[[#This Row],[DESCRIPCION DE TRABAJO]])),""))),"")</f>
        <v/>
      </c>
      <c r="O493" s="35" t="str" cm="1">
        <f t="array" ref="O493">_xlfn.TEXTJOIN(", ",TRUE,_xlfn._xlws.FILTER(Tabla28[[#All],[PARTE]],ISNUMBER(SEARCH(Tabla28[[#All],[PCLAVE2]],Tabla8[[#This Row],[DESCRIPCION DE TRABAJO]])),""))</f>
        <v/>
      </c>
      <c r="P493" s="303" t="str">
        <f>IFERROR(LEFT(O493, FIND(",", O493)-1), O493)</f>
        <v/>
      </c>
      <c r="Q493" s="303" t="str">
        <f>IFERROR(IF(ISERROR(FIND(",", O493, FIND(",", O493)+1)), RIGHT(O493, LEN(O493)-FIND(",", O493)-1), MID(O493, FIND(",", O493)+2, FIND(",", O493, FIND(",", O493)+1)-FIND(",", O493)-2)), "")</f>
        <v/>
      </c>
      <c r="R493" s="303" t="str">
        <f>IFERROR(RIGHT(O493, LEN(O493)-FIND(",", O493, FIND(",", O493)+1)-1), "")</f>
        <v/>
      </c>
      <c r="S493" s="35" t="str" cm="1">
        <f t="array" ref="S493">_xlfn.TEXTJOIN(", ",TRUE,_xlfn._xlws.FILTER(Tabla29[[#All],[PARTE]],ISNUMBER(SEARCH(Tabla29[[#All],[PCLAVE3]],Tabla8[[#This Row],[DESCRIPCION DE TRABAJO]])),""))</f>
        <v/>
      </c>
      <c r="T493" s="34" t="str">
        <f>IF(AND(Tabla8[[#This Row],[PIEZA]]="",Tabla8[[#This Row],[PARTE]]=""),"VACIO","OK")</f>
        <v>VACIO</v>
      </c>
      <c r="U493" s="303" t="str">
        <f>+CONCATENATE(WEEKNUM(Tabla8[[#This Row],[FECHA]]),"-",YEAR(Tabla8[[#This Row],[FECHA]]))</f>
        <v>10-2026</v>
      </c>
    </row>
    <row r="494" spans="1:21" ht="15" customHeight="1">
      <c r="A494" s="22">
        <v>46086</v>
      </c>
      <c r="B494" s="16" t="s">
        <v>191</v>
      </c>
      <c r="C494" s="10" t="s">
        <v>39</v>
      </c>
      <c r="D494" s="381" t="s">
        <v>1112</v>
      </c>
      <c r="E494" s="381" t="s">
        <v>1113</v>
      </c>
      <c r="F494" s="380">
        <f>+MOD(Tabla8[[#This Row],[HR. FIN]]-Tabla8[[#This Row],[HR. INICIO]],1)</f>
        <v>1.1111111111111072E-2</v>
      </c>
      <c r="G494" s="16" t="s">
        <v>31</v>
      </c>
      <c r="H494" s="343" t="str">
        <f>IFERROR(VLOOKUP(G494,DATOS!$M$2:$N$219,2,FALSE),"")</f>
        <v>Maquinaria</v>
      </c>
      <c r="I494" s="115" t="s">
        <v>57</v>
      </c>
      <c r="J494" s="115" t="str">
        <f>+VLOOKUP($I494,Tabla7[#All],2,FALSE)</f>
        <v>NO PROGRAMADA</v>
      </c>
      <c r="K494" s="114" t="str">
        <f>IF(VLOOKUP(I494,Tabla7[#All],3,FALSE)=0,"",VLOOKUP(I494,Tabla7[#All],3,FALSE))</f>
        <v>MECÁNICA</v>
      </c>
      <c r="L494" s="35" t="s">
        <v>1114</v>
      </c>
      <c r="M494" s="35" t="s">
        <v>1115</v>
      </c>
      <c r="N494" s="35" t="str" cm="1">
        <f t="array" ref="N494">IFERROR(IF(Tabla8[[#This Row],[P/NP]]="NO PROGRAMADA","",_xlfn.TEXTJOIN(", ",TRUE,_xlfn._xlws.FILTER(Tabla4[[#All],[PIEZA]],ISNUMBER(SEARCH(Tabla4[[#All],[PCLAVE]],Tabla8[[#This Row],[DESCRIPCION DE TRABAJO]])),""))),"")</f>
        <v/>
      </c>
      <c r="O494" s="35" t="str" cm="1">
        <f t="array" ref="O494">_xlfn.TEXTJOIN(", ",TRUE,_xlfn._xlws.FILTER(Tabla28[[#All],[PARTE]],ISNUMBER(SEARCH(Tabla28[[#All],[PCLAVE2]],Tabla8[[#This Row],[DESCRIPCION DE TRABAJO]])),""))</f>
        <v/>
      </c>
      <c r="P494" s="303" t="str">
        <f>IFERROR(LEFT(O494, FIND(",", O494)-1), O494)</f>
        <v/>
      </c>
      <c r="Q494" s="303" t="str">
        <f>IFERROR(IF(ISERROR(FIND(",", O494, FIND(",", O494)+1)), RIGHT(O494, LEN(O494)-FIND(",", O494)-1), MID(O494, FIND(",", O494)+2, FIND(",", O494, FIND(",", O494)+1)-FIND(",", O494)-2)), "")</f>
        <v/>
      </c>
      <c r="R494" s="303" t="str">
        <f>IFERROR(RIGHT(O494, LEN(O494)-FIND(",", O494, FIND(",", O494)+1)-1), "")</f>
        <v/>
      </c>
      <c r="S494" s="35" t="str" cm="1">
        <f t="array" ref="S494">_xlfn.TEXTJOIN(", ",TRUE,_xlfn._xlws.FILTER(Tabla29[[#All],[PARTE]],ISNUMBER(SEARCH(Tabla29[[#All],[PCLAVE3]],Tabla8[[#This Row],[DESCRIPCION DE TRABAJO]])),""))</f>
        <v>Abierto, Sellado</v>
      </c>
      <c r="T494" s="34" t="str">
        <f>IF(AND(Tabla8[[#This Row],[PIEZA]]="",Tabla8[[#This Row],[PARTE]]=""),"VACIO","OK")</f>
        <v>VACIO</v>
      </c>
      <c r="U494" s="303" t="str">
        <f>+CONCATENATE(WEEKNUM(Tabla8[[#This Row],[FECHA]]),"-",YEAR(Tabla8[[#This Row],[FECHA]]))</f>
        <v>10-2026</v>
      </c>
    </row>
    <row r="495" spans="1:21" ht="15" customHeight="1">
      <c r="A495" s="22">
        <v>46086</v>
      </c>
      <c r="B495" s="16" t="s">
        <v>191</v>
      </c>
      <c r="C495" s="10" t="s">
        <v>39</v>
      </c>
      <c r="D495" s="381" t="s">
        <v>1116</v>
      </c>
      <c r="E495" s="381" t="s">
        <v>1117</v>
      </c>
      <c r="F495" s="380">
        <f>+MOD(Tabla8[[#This Row],[HR. FIN]]-Tabla8[[#This Row],[HR. INICIO]],1)</f>
        <v>1.1111111111111072E-2</v>
      </c>
      <c r="G495" s="16" t="s">
        <v>153</v>
      </c>
      <c r="H495" s="343" t="str">
        <f>IFERROR(VLOOKUP(G495,DATOS!$M$2:$N$219,2,FALSE),"")</f>
        <v>Maquinaria</v>
      </c>
      <c r="I495" s="115" t="s">
        <v>61</v>
      </c>
      <c r="J495" s="115" t="s">
        <v>92</v>
      </c>
      <c r="K495" s="114" t="s">
        <v>93</v>
      </c>
      <c r="L495" s="35" t="s">
        <v>1118</v>
      </c>
      <c r="M495" s="35" t="s">
        <v>1119</v>
      </c>
      <c r="N495" s="35" t="str" cm="1">
        <f t="array" ref="N495">IFERROR(IF(Tabla8[[#This Row],[P/NP]]="NO PROGRAMADA","",_xlfn.TEXTJOIN(", ",TRUE,_xlfn._xlws.FILTER(Tabla4[[#All],[PIEZA]],ISNUMBER(SEARCH(Tabla4[[#All],[PCLAVE]],Tabla8[[#This Row],[DESCRIPCION DE TRABAJO]])),""))),"")</f>
        <v/>
      </c>
      <c r="O495" s="35" t="str" cm="1">
        <f t="array" ref="O495">_xlfn.TEXTJOIN(", ",TRUE,_xlfn._xlws.FILTER(Tabla28[[#All],[PARTE]],ISNUMBER(SEARCH(Tabla28[[#All],[PCLAVE2]],Tabla8[[#This Row],[DESCRIPCION DE TRABAJO]])),""))</f>
        <v/>
      </c>
      <c r="P495" s="303" t="str">
        <f>IFERROR(LEFT(O495, FIND(",", O495)-1), O495)</f>
        <v/>
      </c>
      <c r="Q495" s="303" t="str">
        <f>IFERROR(IF(ISERROR(FIND(",", O495, FIND(",", O495)+1)), RIGHT(O495, LEN(O495)-FIND(",", O495)-1), MID(O495, FIND(",", O495)+2, FIND(",", O495, FIND(",", O495)+1)-FIND(",", O495)-2)), "")</f>
        <v/>
      </c>
      <c r="R495" s="303" t="str">
        <f>IFERROR(RIGHT(O495, LEN(O495)-FIND(",", O495, FIND(",", O495)+1)-1), "")</f>
        <v/>
      </c>
      <c r="S495" s="35" t="str" cm="1">
        <f t="array" ref="S495">_xlfn.TEXTJOIN(", ",TRUE,_xlfn._xlws.FILTER(Tabla29[[#All],[PARTE]],ISNUMBER(SEARCH(Tabla29[[#All],[PCLAVE3]],Tabla8[[#This Row],[DESCRIPCION DE TRABAJO]])),""))</f>
        <v/>
      </c>
      <c r="T495" s="34" t="str">
        <f>IF(AND(Tabla8[[#This Row],[PIEZA]]="",Tabla8[[#This Row],[PARTE]]=""),"VACIO","OK")</f>
        <v>VACIO</v>
      </c>
      <c r="U495" s="303" t="str">
        <f>+CONCATENATE(WEEKNUM(Tabla8[[#This Row],[FECHA]]),"-",YEAR(Tabla8[[#This Row],[FECHA]]))</f>
        <v>10-2026</v>
      </c>
    </row>
    <row r="496" spans="1:21" ht="15" customHeight="1">
      <c r="A496" s="22">
        <v>46086</v>
      </c>
      <c r="B496" s="16" t="s">
        <v>88</v>
      </c>
      <c r="C496" s="10" t="s">
        <v>23</v>
      </c>
      <c r="D496" s="381" t="s">
        <v>464</v>
      </c>
      <c r="E496" s="381" t="s">
        <v>584</v>
      </c>
      <c r="F496" s="380">
        <f>+MOD(Tabla8[[#This Row],[HR. FIN]]-Tabla8[[#This Row],[HR. INICIO]],1)</f>
        <v>1.0416666666666741E-2</v>
      </c>
      <c r="G496" s="16" t="s">
        <v>182</v>
      </c>
      <c r="H496" s="343" t="str">
        <f>IFERROR(VLOOKUP(G496,DATOS!$M$2:$N$219,2,FALSE),"")</f>
        <v>Maquinaria</v>
      </c>
      <c r="I496" s="115" t="s">
        <v>57</v>
      </c>
      <c r="J496" s="115" t="str">
        <f>+VLOOKUP($I496,Tabla7[#All],2,FALSE)</f>
        <v>NO PROGRAMADA</v>
      </c>
      <c r="K496" s="114" t="str">
        <f>IF(VLOOKUP(I496,Tabla7[#All],3,FALSE)=0,"",VLOOKUP(I496,Tabla7[#All],3,FALSE))</f>
        <v>MECÁNICA</v>
      </c>
      <c r="L496" s="35" t="s">
        <v>1120</v>
      </c>
      <c r="M496" s="35" t="s">
        <v>1121</v>
      </c>
      <c r="N496" s="35" t="str" cm="1">
        <f t="array" ref="N496">IFERROR(IF(Tabla8[[#This Row],[P/NP]]="NO PROGRAMADA","",_xlfn.TEXTJOIN(", ",TRUE,_xlfn._xlws.FILTER(Tabla4[[#All],[PIEZA]],ISNUMBER(SEARCH(Tabla4[[#All],[PCLAVE]],Tabla8[[#This Row],[DESCRIPCION DE TRABAJO]])),""))),"")</f>
        <v/>
      </c>
      <c r="O496" s="35" t="str" cm="1">
        <f t="array" ref="O496">_xlfn.TEXTJOIN(", ",TRUE,_xlfn._xlws.FILTER(Tabla28[[#All],[PARTE]],ISNUMBER(SEARCH(Tabla28[[#All],[PCLAVE2]],Tabla8[[#This Row],[DESCRIPCION DE TRABAJO]])),""))</f>
        <v/>
      </c>
      <c r="P496" s="303" t="str">
        <f>IFERROR(LEFT(O496, FIND(",", O496)-1), O496)</f>
        <v/>
      </c>
      <c r="Q496" s="303" t="str">
        <f>IFERROR(IF(ISERROR(FIND(",", O496, FIND(",", O496)+1)), RIGHT(O496, LEN(O496)-FIND(",", O496)-1), MID(O496, FIND(",", O496)+2, FIND(",", O496, FIND(",", O496)+1)-FIND(",", O496)-2)), "")</f>
        <v/>
      </c>
      <c r="R496" s="303" t="str">
        <f>IFERROR(RIGHT(O496, LEN(O496)-FIND(",", O496, FIND(",", O496)+1)-1), "")</f>
        <v/>
      </c>
      <c r="S496" s="35" t="str" cm="1">
        <f t="array" ref="S496">_xlfn.TEXTJOIN(", ",TRUE,_xlfn._xlws.FILTER(Tabla29[[#All],[PARTE]],ISNUMBER(SEARCH(Tabla29[[#All],[PCLAVE3]],Tabla8[[#This Row],[DESCRIPCION DE TRABAJO]])),""))</f>
        <v>Obstruido</v>
      </c>
      <c r="T496" s="34" t="str">
        <f>IF(AND(Tabla8[[#This Row],[PIEZA]]="",Tabla8[[#This Row],[PARTE]]=""),"VACIO","OK")</f>
        <v>VACIO</v>
      </c>
      <c r="U496" s="303" t="str">
        <f>+CONCATENATE(WEEKNUM(Tabla8[[#This Row],[FECHA]]),"-",YEAR(Tabla8[[#This Row],[FECHA]]))</f>
        <v>10-2026</v>
      </c>
    </row>
    <row r="497" spans="1:21" ht="15" customHeight="1">
      <c r="A497" s="22">
        <v>46086</v>
      </c>
      <c r="B497" s="16" t="s">
        <v>191</v>
      </c>
      <c r="C497" s="10" t="s">
        <v>39</v>
      </c>
      <c r="D497" s="381" t="s">
        <v>1122</v>
      </c>
      <c r="E497" s="381" t="s">
        <v>1123</v>
      </c>
      <c r="F497" s="380">
        <f>+MOD(Tabla8[[#This Row],[HR. FIN]]-Tabla8[[#This Row],[HR. INICIO]],1)</f>
        <v>8.3333333333333037E-3</v>
      </c>
      <c r="G497" s="16" t="s">
        <v>81</v>
      </c>
      <c r="H497" s="343" t="str">
        <f>IFERROR(VLOOKUP(G497,DATOS!$M$2:$N$219,2,FALSE),"")</f>
        <v>Maquinaria</v>
      </c>
      <c r="I497" s="115" t="s">
        <v>54</v>
      </c>
      <c r="J497" s="115" t="str">
        <f>+VLOOKUP($I497,Tabla7[#All],2,FALSE)</f>
        <v>PROGRAMADA</v>
      </c>
      <c r="K497" s="114" t="str">
        <f>IF(VLOOKUP(I497,Tabla7[#All],3,FALSE)=0,"",VLOOKUP(I497,Tabla7[#All],3,FALSE))</f>
        <v/>
      </c>
      <c r="L497" s="35" t="s">
        <v>1124</v>
      </c>
      <c r="M497" s="35" t="s">
        <v>121</v>
      </c>
      <c r="N497" s="35" t="str" cm="1">
        <f t="array" ref="N497">IFERROR(IF(Tabla8[[#This Row],[P/NP]]="NO PROGRAMADA","",_xlfn.TEXTJOIN(", ",TRUE,_xlfn._xlws.FILTER(Tabla4[[#All],[PIEZA]],ISNUMBER(SEARCH(Tabla4[[#All],[PCLAVE]],Tabla8[[#This Row],[DESCRIPCION DE TRABAJO]])),""))),"")</f>
        <v/>
      </c>
      <c r="O497" s="35" t="str" cm="1">
        <f t="array" ref="O497">_xlfn.TEXTJOIN(", ",TRUE,_xlfn._xlws.FILTER(Tabla28[[#All],[PARTE]],ISNUMBER(SEARCH(Tabla28[[#All],[PCLAVE2]],Tabla8[[#This Row],[DESCRIPCION DE TRABAJO]])),""))</f>
        <v/>
      </c>
      <c r="P497" s="303" t="str">
        <f>IFERROR(LEFT(O497, FIND(",", O497)-1), O497)</f>
        <v/>
      </c>
      <c r="Q497" s="303" t="str">
        <f>IFERROR(IF(ISERROR(FIND(",", O497, FIND(",", O497)+1)), RIGHT(O497, LEN(O497)-FIND(",", O497)-1), MID(O497, FIND(",", O497)+2, FIND(",", O497, FIND(",", O497)+1)-FIND(",", O497)-2)), "")</f>
        <v/>
      </c>
      <c r="R497" s="303" t="str">
        <f>IFERROR(RIGHT(O497, LEN(O497)-FIND(",", O497, FIND(",", O497)+1)-1), "")</f>
        <v/>
      </c>
      <c r="S497" s="35" t="str" cm="1">
        <f t="array" ref="S497">_xlfn.TEXTJOIN(", ",TRUE,_xlfn._xlws.FILTER(Tabla29[[#All],[PARTE]],ISNUMBER(SEARCH(Tabla29[[#All],[PCLAVE3]],Tabla8[[#This Row],[DESCRIPCION DE TRABAJO]])),""))</f>
        <v/>
      </c>
      <c r="T497" s="34" t="str">
        <f>IF(AND(Tabla8[[#This Row],[PIEZA]]="",Tabla8[[#This Row],[PARTE]]=""),"VACIO","OK")</f>
        <v>VACIO</v>
      </c>
      <c r="U497" s="303" t="str">
        <f>+CONCATENATE(WEEKNUM(Tabla8[[#This Row],[FECHA]]),"-",YEAR(Tabla8[[#This Row],[FECHA]]))</f>
        <v>10-2026</v>
      </c>
    </row>
    <row r="498" spans="1:21" ht="15" customHeight="1">
      <c r="A498" s="22">
        <v>46087</v>
      </c>
      <c r="B498" s="16" t="s">
        <v>88</v>
      </c>
      <c r="C498" s="10" t="s">
        <v>23</v>
      </c>
      <c r="D498" s="381" t="s">
        <v>468</v>
      </c>
      <c r="E498" s="381" t="s">
        <v>281</v>
      </c>
      <c r="F498" s="380">
        <f>+MOD(Tabla8[[#This Row],[HR. FIN]]-Tabla8[[#This Row],[HR. INICIO]],1)</f>
        <v>4.1666666666666741E-2</v>
      </c>
      <c r="G498" s="16" t="s">
        <v>31</v>
      </c>
      <c r="H498" s="343" t="str">
        <f>IFERROR(VLOOKUP(G498,DATOS!$M$2:$N$219,2,FALSE),"")</f>
        <v>Maquinaria</v>
      </c>
      <c r="I498" s="115" t="s">
        <v>32</v>
      </c>
      <c r="J498" s="115" t="str">
        <f>+VLOOKUP($I498,Tabla7[#All],2,FALSE)</f>
        <v>PROGRAMADA</v>
      </c>
      <c r="K498" s="114" t="str">
        <f>IF(VLOOKUP(I498,Tabla7[#All],3,FALSE)=0,"",VLOOKUP(I498,Tabla7[#All],3,FALSE))</f>
        <v/>
      </c>
      <c r="L498" s="35" t="s">
        <v>754</v>
      </c>
      <c r="M498" s="35" t="s">
        <v>1125</v>
      </c>
      <c r="N498" s="35" t="str" cm="1">
        <f t="array" ref="N498">IFERROR(IF(Tabla8[[#This Row],[P/NP]]="NO PROGRAMADA","",_xlfn.TEXTJOIN(", ",TRUE,_xlfn._xlws.FILTER(Tabla4[[#All],[PIEZA]],ISNUMBER(SEARCH(Tabla4[[#All],[PCLAVE]],Tabla8[[#This Row],[DESCRIPCION DE TRABAJO]])),""))),"")</f>
        <v/>
      </c>
      <c r="O498" s="35" t="str" cm="1">
        <f t="array" ref="O498">_xlfn.TEXTJOIN(", ",TRUE,_xlfn._xlws.FILTER(Tabla28[[#All],[PARTE]],ISNUMBER(SEARCH(Tabla28[[#All],[PCLAVE2]],Tabla8[[#This Row],[DESCRIPCION DE TRABAJO]])),""))</f>
        <v/>
      </c>
      <c r="P498" s="303" t="str">
        <f>IFERROR(LEFT(O498, FIND(",", O498)-1), O498)</f>
        <v/>
      </c>
      <c r="Q498" s="303" t="str">
        <f>IFERROR(IF(ISERROR(FIND(",", O498, FIND(",", O498)+1)), RIGHT(O498, LEN(O498)-FIND(",", O498)-1), MID(O498, FIND(",", O498)+2, FIND(",", O498, FIND(",", O498)+1)-FIND(",", O498)-2)), "")</f>
        <v/>
      </c>
      <c r="R498" s="303" t="str">
        <f>IFERROR(RIGHT(O498, LEN(O498)-FIND(",", O498, FIND(",", O498)+1)-1), "")</f>
        <v/>
      </c>
      <c r="S498" s="35" t="str" cm="1">
        <f t="array" ref="S498">_xlfn.TEXTJOIN(", ",TRUE,_xlfn._xlws.FILTER(Tabla29[[#All],[PARTE]],ISNUMBER(SEARCH(Tabla29[[#All],[PCLAVE3]],Tabla8[[#This Row],[DESCRIPCION DE TRABAJO]])),""))</f>
        <v>Cambio De Formato</v>
      </c>
      <c r="T498" s="34" t="str">
        <f>IF(AND(Tabla8[[#This Row],[PIEZA]]="",Tabla8[[#This Row],[PARTE]]=""),"VACIO","OK")</f>
        <v>VACIO</v>
      </c>
      <c r="U498" s="303" t="str">
        <f>+CONCATENATE(WEEKNUM(Tabla8[[#This Row],[FECHA]]),"-",YEAR(Tabla8[[#This Row],[FECHA]]))</f>
        <v>10-2026</v>
      </c>
    </row>
    <row r="499" spans="1:21" ht="15" customHeight="1">
      <c r="A499" s="22">
        <v>46087</v>
      </c>
      <c r="B499" s="16" t="s">
        <v>88</v>
      </c>
      <c r="C499" s="10" t="s">
        <v>23</v>
      </c>
      <c r="D499" s="381" t="s">
        <v>281</v>
      </c>
      <c r="E499" s="381" t="s">
        <v>282</v>
      </c>
      <c r="F499" s="380">
        <f>+MOD(Tabla8[[#This Row],[HR. FIN]]-Tabla8[[#This Row],[HR. INICIO]],1)</f>
        <v>2.0833333333333259E-2</v>
      </c>
      <c r="G499" s="16" t="s">
        <v>270</v>
      </c>
      <c r="H499" s="343" t="str">
        <f>IFERROR(VLOOKUP(G499,DATOS!$M$2:$N$219,2,FALSE),"")</f>
        <v>Maquinaria</v>
      </c>
      <c r="I499" s="115" t="s">
        <v>32</v>
      </c>
      <c r="J499" s="115" t="str">
        <f>+VLOOKUP($I499,Tabla7[#All],2,FALSE)</f>
        <v>PROGRAMADA</v>
      </c>
      <c r="K499" s="114" t="str">
        <f>IF(VLOOKUP(I499,Tabla7[#All],3,FALSE)=0,"",VLOOKUP(I499,Tabla7[#All],3,FALSE))</f>
        <v/>
      </c>
      <c r="L499" s="35" t="s">
        <v>1126</v>
      </c>
      <c r="M499" s="35" t="s">
        <v>1127</v>
      </c>
      <c r="N499" s="35" t="str" cm="1">
        <f t="array" ref="N499">IFERROR(IF(Tabla8[[#This Row],[P/NP]]="NO PROGRAMADA","",_xlfn.TEXTJOIN(", ",TRUE,_xlfn._xlws.FILTER(Tabla4[[#All],[PIEZA]],ISNUMBER(SEARCH(Tabla4[[#All],[PCLAVE]],Tabla8[[#This Row],[DESCRIPCION DE TRABAJO]])),""))),"")</f>
        <v/>
      </c>
      <c r="O499" s="35" t="str" cm="1">
        <f t="array" ref="O499">_xlfn.TEXTJOIN(", ",TRUE,_xlfn._xlws.FILTER(Tabla28[[#All],[PARTE]],ISNUMBER(SEARCH(Tabla28[[#All],[PCLAVE2]],Tabla8[[#This Row],[DESCRIPCION DE TRABAJO]])),""))</f>
        <v>Mds</v>
      </c>
      <c r="P499" s="303" t="str">
        <f>IFERROR(LEFT(O499, FIND(",", O499)-1), O499)</f>
        <v>Mds</v>
      </c>
      <c r="Q499" s="303" t="str">
        <f>IFERROR(IF(ISERROR(FIND(",", O499, FIND(",", O499)+1)), RIGHT(O499, LEN(O499)-FIND(",", O499)-1), MID(O499, FIND(",", O499)+2, FIND(",", O499, FIND(",", O499)+1)-FIND(",", O499)-2)), "")</f>
        <v/>
      </c>
      <c r="R499" s="303" t="str">
        <f>IFERROR(RIGHT(O499, LEN(O499)-FIND(",", O499, FIND(",", O499)+1)-1), "")</f>
        <v/>
      </c>
      <c r="S499" s="35" t="str" cm="1">
        <f t="array" ref="S499">_xlfn.TEXTJOIN(", ",TRUE,_xlfn._xlws.FILTER(Tabla29[[#All],[PARTE]],ISNUMBER(SEARCH(Tabla29[[#All],[PCLAVE3]],Tabla8[[#This Row],[DESCRIPCION DE TRABAJO]])),""))</f>
        <v/>
      </c>
      <c r="T499" s="34" t="str">
        <f>IF(AND(Tabla8[[#This Row],[PIEZA]]="",Tabla8[[#This Row],[PARTE]]=""),"VACIO","OK")</f>
        <v>OK</v>
      </c>
      <c r="U499" s="303" t="str">
        <f>+CONCATENATE(WEEKNUM(Tabla8[[#This Row],[FECHA]]),"-",YEAR(Tabla8[[#This Row],[FECHA]]))</f>
        <v>10-2026</v>
      </c>
    </row>
    <row r="500" spans="1:21" ht="15" customHeight="1">
      <c r="A500" s="22">
        <v>46087</v>
      </c>
      <c r="B500" s="16" t="s">
        <v>88</v>
      </c>
      <c r="C500" s="10" t="s">
        <v>23</v>
      </c>
      <c r="D500" s="381" t="s">
        <v>493</v>
      </c>
      <c r="E500" s="381" t="s">
        <v>494</v>
      </c>
      <c r="F500" s="380">
        <f>+MOD(Tabla8[[#This Row],[HR. FIN]]-Tabla8[[#This Row],[HR. INICIO]],1)</f>
        <v>1.388888888888884E-2</v>
      </c>
      <c r="G500" s="16" t="s">
        <v>169</v>
      </c>
      <c r="H500" s="343" t="str">
        <f>IFERROR(VLOOKUP(G500,DATOS!$M$2:$N$219,2,FALSE),"")</f>
        <v>Maquinaria</v>
      </c>
      <c r="I500" s="115" t="s">
        <v>32</v>
      </c>
      <c r="J500" s="115" t="str">
        <f>+VLOOKUP($I500,Tabla7[#All],2,FALSE)</f>
        <v>PROGRAMADA</v>
      </c>
      <c r="K500" s="114" t="str">
        <f>IF(VLOOKUP(I500,Tabla7[#All],3,FALSE)=0,"",VLOOKUP(I500,Tabla7[#All],3,FALSE))</f>
        <v/>
      </c>
      <c r="L500" s="35" t="s">
        <v>1128</v>
      </c>
      <c r="M500" s="35" t="s">
        <v>1129</v>
      </c>
      <c r="N500" s="35" t="str" cm="1">
        <f t="array" ref="N500">IFERROR(IF(Tabla8[[#This Row],[P/NP]]="NO PROGRAMADA","",_xlfn.TEXTJOIN(", ",TRUE,_xlfn._xlws.FILTER(Tabla4[[#All],[PIEZA]],ISNUMBER(SEARCH(Tabla4[[#All],[PCLAVE]],Tabla8[[#This Row],[DESCRIPCION DE TRABAJO]])),""))),"")</f>
        <v/>
      </c>
      <c r="O500" s="35" t="str" cm="1">
        <f t="array" ref="O500">_xlfn.TEXTJOIN(", ",TRUE,_xlfn._xlws.FILTER(Tabla28[[#All],[PARTE]],ISNUMBER(SEARCH(Tabla28[[#All],[PCLAVE2]],Tabla8[[#This Row],[DESCRIPCION DE TRABAJO]])),""))</f>
        <v/>
      </c>
      <c r="P500" s="303" t="str">
        <f>IFERROR(LEFT(O500, FIND(",", O500)-1), O500)</f>
        <v/>
      </c>
      <c r="Q500" s="303" t="str">
        <f>IFERROR(IF(ISERROR(FIND(",", O500, FIND(",", O500)+1)), RIGHT(O500, LEN(O500)-FIND(",", O500)-1), MID(O500, FIND(",", O500)+2, FIND(",", O500, FIND(",", O500)+1)-FIND(",", O500)-2)), "")</f>
        <v/>
      </c>
      <c r="R500" s="303" t="str">
        <f>IFERROR(RIGHT(O500, LEN(O500)-FIND(",", O500, FIND(",", O500)+1)-1), "")</f>
        <v/>
      </c>
      <c r="S500" s="35" t="str" cm="1">
        <f t="array" ref="S500">_xlfn.TEXTJOIN(", ",TRUE,_xlfn._xlws.FILTER(Tabla29[[#All],[PARTE]],ISNUMBER(SEARCH(Tabla29[[#All],[PCLAVE3]],Tabla8[[#This Row],[DESCRIPCION DE TRABAJO]])),""))</f>
        <v/>
      </c>
      <c r="T500" s="34" t="str">
        <f>IF(AND(Tabla8[[#This Row],[PIEZA]]="",Tabla8[[#This Row],[PARTE]]=""),"VACIO","OK")</f>
        <v>VACIO</v>
      </c>
      <c r="U500" s="303" t="str">
        <f>+CONCATENATE(WEEKNUM(Tabla8[[#This Row],[FECHA]]),"-",YEAR(Tabla8[[#This Row],[FECHA]]))</f>
        <v>10-2026</v>
      </c>
    </row>
    <row r="501" spans="1:21" ht="15" customHeight="1">
      <c r="A501" s="22">
        <v>46087</v>
      </c>
      <c r="B501" s="16" t="s">
        <v>88</v>
      </c>
      <c r="C501" s="10" t="s">
        <v>23</v>
      </c>
      <c r="D501" s="381" t="s">
        <v>264</v>
      </c>
      <c r="E501" s="381" t="s">
        <v>289</v>
      </c>
      <c r="F501" s="380">
        <f>+MOD(Tabla8[[#This Row],[HR. FIN]]-Tabla8[[#This Row],[HR. INICIO]],1)</f>
        <v>1.2500000000000067E-2</v>
      </c>
      <c r="G501" s="16" t="s">
        <v>256</v>
      </c>
      <c r="H501" s="343" t="str">
        <f>IFERROR(VLOOKUP(G501,DATOS!$M$2:$N$219,2,FALSE),"")</f>
        <v>Maquinaria</v>
      </c>
      <c r="I501" s="115" t="s">
        <v>57</v>
      </c>
      <c r="J501" s="115" t="str">
        <f>+VLOOKUP($I501,Tabla7[#All],2,FALSE)</f>
        <v>NO PROGRAMADA</v>
      </c>
      <c r="K501" s="114" t="str">
        <f>IF(VLOOKUP(I501,Tabla7[#All],3,FALSE)=0,"",VLOOKUP(I501,Tabla7[#All],3,FALSE))</f>
        <v>MECÁNICA</v>
      </c>
      <c r="L501" s="35" t="s">
        <v>1130</v>
      </c>
      <c r="M501" s="35" t="s">
        <v>1131</v>
      </c>
      <c r="N501" s="35" t="str" cm="1">
        <f t="array" ref="N501">IFERROR(IF(Tabla8[[#This Row],[P/NP]]="NO PROGRAMADA","",_xlfn.TEXTJOIN(", ",TRUE,_xlfn._xlws.FILTER(Tabla4[[#All],[PIEZA]],ISNUMBER(SEARCH(Tabla4[[#All],[PCLAVE]],Tabla8[[#This Row],[DESCRIPCION DE TRABAJO]])),""))),"")</f>
        <v/>
      </c>
      <c r="O501" s="35" t="str" cm="1">
        <f t="array" ref="O501">_xlfn.TEXTJOIN(", ",TRUE,_xlfn._xlws.FILTER(Tabla28[[#All],[PARTE]],ISNUMBER(SEARCH(Tabla28[[#All],[PCLAVE2]],Tabla8[[#This Row],[DESCRIPCION DE TRABAJO]])),""))</f>
        <v/>
      </c>
      <c r="P501" s="303" t="str">
        <f>IFERROR(LEFT(O501, FIND(",", O501)-1), O501)</f>
        <v/>
      </c>
      <c r="Q501" s="303" t="str">
        <f>IFERROR(IF(ISERROR(FIND(",", O501, FIND(",", O501)+1)), RIGHT(O501, LEN(O501)-FIND(",", O501)-1), MID(O501, FIND(",", O501)+2, FIND(",", O501, FIND(",", O501)+1)-FIND(",", O501)-2)), "")</f>
        <v/>
      </c>
      <c r="R501" s="303" t="str">
        <f>IFERROR(RIGHT(O501, LEN(O501)-FIND(",", O501, FIND(",", O501)+1)-1), "")</f>
        <v/>
      </c>
      <c r="S501" s="35" t="str" cm="1">
        <f t="array" ref="S501">_xlfn.TEXTJOIN(", ",TRUE,_xlfn._xlws.FILTER(Tabla29[[#All],[PARTE]],ISNUMBER(SEARCH(Tabla29[[#All],[PCLAVE3]],Tabla8[[#This Row],[DESCRIPCION DE TRABAJO]])),""))</f>
        <v>Fuga</v>
      </c>
      <c r="T501" s="34" t="str">
        <f>IF(AND(Tabla8[[#This Row],[PIEZA]]="",Tabla8[[#This Row],[PARTE]]=""),"VACIO","OK")</f>
        <v>VACIO</v>
      </c>
      <c r="U501" s="303" t="str">
        <f>+CONCATENATE(WEEKNUM(Tabla8[[#This Row],[FECHA]]),"-",YEAR(Tabla8[[#This Row],[FECHA]]))</f>
        <v>10-2026</v>
      </c>
    </row>
    <row r="502" spans="1:21" ht="15" customHeight="1">
      <c r="A502" s="22">
        <v>46088</v>
      </c>
      <c r="B502" s="16" t="s">
        <v>191</v>
      </c>
      <c r="C502" s="10" t="s">
        <v>39</v>
      </c>
      <c r="D502" s="381" t="s">
        <v>1132</v>
      </c>
      <c r="E502" s="381" t="s">
        <v>640</v>
      </c>
      <c r="F502" s="380">
        <f>+MOD(Tabla8[[#This Row],[HR. FIN]]-Tabla8[[#This Row],[HR. INICIO]],1)</f>
        <v>3.7499999999999978E-2</v>
      </c>
      <c r="G502" s="16" t="s">
        <v>119</v>
      </c>
      <c r="H502" s="343" t="str">
        <f>IFERROR(VLOOKUP(G502,DATOS!$M$2:$N$219,2,FALSE),"")</f>
        <v>Maquinaria</v>
      </c>
      <c r="I502" s="115" t="s">
        <v>54</v>
      </c>
      <c r="J502" s="115" t="str">
        <f>+VLOOKUP($I502,Tabla7[#All],2,FALSE)</f>
        <v>PROGRAMADA</v>
      </c>
      <c r="K502" s="114" t="str">
        <f>IF(VLOOKUP(I502,Tabla7[#All],3,FALSE)=0,"",VLOOKUP(I502,Tabla7[#All],3,FALSE))</f>
        <v/>
      </c>
      <c r="L502" s="35" t="s">
        <v>1133</v>
      </c>
      <c r="M502" s="35" t="s">
        <v>121</v>
      </c>
      <c r="N502" s="35" t="str" cm="1">
        <f t="array" ref="N502">IFERROR(IF(Tabla8[[#This Row],[P/NP]]="NO PROGRAMADA","",_xlfn.TEXTJOIN(", ",TRUE,_xlfn._xlws.FILTER(Tabla4[[#All],[PIEZA]],ISNUMBER(SEARCH(Tabla4[[#All],[PCLAVE]],Tabla8[[#This Row],[DESCRIPCION DE TRABAJO]])),""))),"")</f>
        <v>Moldes</v>
      </c>
      <c r="O502" s="35" t="str" cm="1">
        <f t="array" ref="O502">_xlfn.TEXTJOIN(", ",TRUE,_xlfn._xlws.FILTER(Tabla28[[#All],[PARTE]],ISNUMBER(SEARCH(Tabla28[[#All],[PCLAVE2]],Tabla8[[#This Row],[DESCRIPCION DE TRABAJO]])),""))</f>
        <v/>
      </c>
      <c r="P502" s="303" t="str">
        <f>IFERROR(LEFT(O502, FIND(",", O502)-1), O502)</f>
        <v/>
      </c>
      <c r="Q502" s="303" t="str">
        <f>IFERROR(IF(ISERROR(FIND(",", O502, FIND(",", O502)+1)), RIGHT(O502, LEN(O502)-FIND(",", O502)-1), MID(O502, FIND(",", O502)+2, FIND(",", O502, FIND(",", O502)+1)-FIND(",", O502)-2)), "")</f>
        <v/>
      </c>
      <c r="R502" s="303" t="str">
        <f>IFERROR(RIGHT(O502, LEN(O502)-FIND(",", O502, FIND(",", O502)+1)-1), "")</f>
        <v/>
      </c>
      <c r="S502" s="35" t="str" cm="1">
        <f t="array" ref="S502">_xlfn.TEXTJOIN(", ",TRUE,_xlfn._xlws.FILTER(Tabla29[[#All],[PARTE]],ISNUMBER(SEARCH(Tabla29[[#All],[PCLAVE3]],Tabla8[[#This Row],[DESCRIPCION DE TRABAJO]])),""))</f>
        <v/>
      </c>
      <c r="T502" s="34" t="str">
        <f>IF(AND(Tabla8[[#This Row],[PIEZA]]="",Tabla8[[#This Row],[PARTE]]=""),"VACIO","OK")</f>
        <v>OK</v>
      </c>
      <c r="U502" s="303" t="str">
        <f>+CONCATENATE(WEEKNUM(Tabla8[[#This Row],[FECHA]]),"-",YEAR(Tabla8[[#This Row],[FECHA]]))</f>
        <v>10-2026</v>
      </c>
    </row>
    <row r="503" spans="1:21" ht="15" customHeight="1">
      <c r="A503" s="22">
        <v>46088</v>
      </c>
      <c r="B503" s="16" t="s">
        <v>191</v>
      </c>
      <c r="C503" s="10" t="s">
        <v>39</v>
      </c>
      <c r="D503" s="381" t="s">
        <v>1134</v>
      </c>
      <c r="E503" s="381" t="s">
        <v>1135</v>
      </c>
      <c r="F503" s="380">
        <f>+MOD(Tabla8[[#This Row],[HR. FIN]]-Tabla8[[#This Row],[HR. INICIO]],1)</f>
        <v>2.8472222222222232E-2</v>
      </c>
      <c r="G503" s="16" t="s">
        <v>119</v>
      </c>
      <c r="H503" s="343" t="str">
        <f>IFERROR(VLOOKUP(G503,DATOS!$M$2:$N$219,2,FALSE),"")</f>
        <v>Maquinaria</v>
      </c>
      <c r="I503" s="115" t="s">
        <v>57</v>
      </c>
      <c r="J503" s="115" t="s">
        <v>157</v>
      </c>
      <c r="K503" s="114"/>
      <c r="L503" s="35" t="s">
        <v>1136</v>
      </c>
      <c r="M503" s="35" t="s">
        <v>1137</v>
      </c>
      <c r="N503" s="35" t="str" cm="1">
        <f t="array" ref="N503">IFERROR(IF(Tabla8[[#This Row],[P/NP]]="NO PROGRAMADA","",_xlfn.TEXTJOIN(", ",TRUE,_xlfn._xlws.FILTER(Tabla4[[#All],[PIEZA]],ISNUMBER(SEARCH(Tabla4[[#All],[PCLAVE]],Tabla8[[#This Row],[DESCRIPCION DE TRABAJO]])),""))),"")</f>
        <v/>
      </c>
      <c r="O503" s="35" t="str" cm="1">
        <f t="array" ref="O503">_xlfn.TEXTJOIN(", ",TRUE,_xlfn._xlws.FILTER(Tabla28[[#All],[PARTE]],ISNUMBER(SEARCH(Tabla28[[#All],[PCLAVE2]],Tabla8[[#This Row],[DESCRIPCION DE TRABAJO]])),""))</f>
        <v>Temperadora</v>
      </c>
      <c r="P503" s="303" t="str">
        <f>IFERROR(LEFT(O503, FIND(",", O503)-1), O503)</f>
        <v>Temperadora</v>
      </c>
      <c r="Q503" s="303" t="str">
        <f>IFERROR(IF(ISERROR(FIND(",", O503, FIND(",", O503)+1)), RIGHT(O503, LEN(O503)-FIND(",", O503)-1), MID(O503, FIND(",", O503)+2, FIND(",", O503, FIND(",", O503)+1)-FIND(",", O503)-2)), "")</f>
        <v/>
      </c>
      <c r="R503" s="303" t="str">
        <f>IFERROR(RIGHT(O503, LEN(O503)-FIND(",", O503, FIND(",", O503)+1)-1), "")</f>
        <v/>
      </c>
      <c r="S503" s="35" t="str" cm="1">
        <f t="array" ref="S503">_xlfn.TEXTJOIN(", ",TRUE,_xlfn._xlws.FILTER(Tabla29[[#All],[PARTE]],ISNUMBER(SEARCH(Tabla29[[#All],[PCLAVE3]],Tabla8[[#This Row],[DESCRIPCION DE TRABAJO]])),""))</f>
        <v/>
      </c>
      <c r="T503" s="34" t="str">
        <f>IF(AND(Tabla8[[#This Row],[PIEZA]]="",Tabla8[[#This Row],[PARTE]]=""),"VACIO","OK")</f>
        <v>OK</v>
      </c>
      <c r="U503" s="303" t="str">
        <f>+CONCATENATE(WEEKNUM(Tabla8[[#This Row],[FECHA]]),"-",YEAR(Tabla8[[#This Row],[FECHA]]))</f>
        <v>10-2026</v>
      </c>
    </row>
    <row r="504" spans="1:21" ht="15" customHeight="1">
      <c r="A504" s="22">
        <v>46088</v>
      </c>
      <c r="B504" s="16" t="s">
        <v>191</v>
      </c>
      <c r="C504" s="10" t="s">
        <v>39</v>
      </c>
      <c r="D504" s="381" t="s">
        <v>1138</v>
      </c>
      <c r="E504" s="381" t="s">
        <v>730</v>
      </c>
      <c r="F504" s="380">
        <f>+MOD(Tabla8[[#This Row],[HR. FIN]]-Tabla8[[#This Row],[HR. INICIO]],1)</f>
        <v>1.6666666666666666E-2</v>
      </c>
      <c r="G504" s="16" t="s">
        <v>119</v>
      </c>
      <c r="H504" s="343" t="str">
        <f>IFERROR(VLOOKUP(G504,DATOS!$M$2:$N$219,2,FALSE),"")</f>
        <v>Maquinaria</v>
      </c>
      <c r="I504" s="115" t="s">
        <v>57</v>
      </c>
      <c r="J504" s="115" t="str">
        <f>+VLOOKUP($I504,Tabla7[#All],2,FALSE)</f>
        <v>NO PROGRAMADA</v>
      </c>
      <c r="K504" s="114" t="str">
        <f>IF(VLOOKUP(I504,Tabla7[#All],3,FALSE)=0,"",VLOOKUP(I504,Tabla7[#All],3,FALSE))</f>
        <v>MECÁNICA</v>
      </c>
      <c r="L504" s="35" t="s">
        <v>1139</v>
      </c>
      <c r="M504" s="35" t="s">
        <v>1140</v>
      </c>
      <c r="N504" s="35" t="str" cm="1">
        <f t="array" ref="N504">IFERROR(IF(Tabla8[[#This Row],[P/NP]]="NO PROGRAMADA","",_xlfn.TEXTJOIN(", ",TRUE,_xlfn._xlws.FILTER(Tabla4[[#All],[PIEZA]],ISNUMBER(SEARCH(Tabla4[[#All],[PCLAVE]],Tabla8[[#This Row],[DESCRIPCION DE TRABAJO]])),""))),"")</f>
        <v/>
      </c>
      <c r="O504" s="35" t="str" cm="1">
        <f t="array" ref="O504">_xlfn.TEXTJOIN(", ",TRUE,_xlfn._xlws.FILTER(Tabla28[[#All],[PARTE]],ISNUMBER(SEARCH(Tabla28[[#All],[PCLAVE2]],Tabla8[[#This Row],[DESCRIPCION DE TRABAJO]])),""))</f>
        <v/>
      </c>
      <c r="P504" s="303" t="str">
        <f>IFERROR(LEFT(O504, FIND(",", O504)-1), O504)</f>
        <v/>
      </c>
      <c r="Q504" s="303" t="str">
        <f>IFERROR(IF(ISERROR(FIND(",", O504, FIND(",", O504)+1)), RIGHT(O504, LEN(O504)-FIND(",", O504)-1), MID(O504, FIND(",", O504)+2, FIND(",", O504, FIND(",", O504)+1)-FIND(",", O504)-2)), "")</f>
        <v/>
      </c>
      <c r="R504" s="303" t="str">
        <f>IFERROR(RIGHT(O504, LEN(O504)-FIND(",", O504, FIND(",", O504)+1)-1), "")</f>
        <v/>
      </c>
      <c r="S504" s="35" t="str" cm="1">
        <f t="array" ref="S504">_xlfn.TEXTJOIN(", ",TRUE,_xlfn._xlws.FILTER(Tabla29[[#All],[PARTE]],ISNUMBER(SEARCH(Tabla29[[#All],[PCLAVE3]],Tabla8[[#This Row],[DESCRIPCION DE TRABAJO]])),""))</f>
        <v>Soltura</v>
      </c>
      <c r="T504" s="34" t="str">
        <f>IF(AND(Tabla8[[#This Row],[PIEZA]]="",Tabla8[[#This Row],[PARTE]]=""),"VACIO","OK")</f>
        <v>VACIO</v>
      </c>
      <c r="U504" s="303" t="str">
        <f>+CONCATENATE(WEEKNUM(Tabla8[[#This Row],[FECHA]]),"-",YEAR(Tabla8[[#This Row],[FECHA]]))</f>
        <v>10-2026</v>
      </c>
    </row>
    <row r="505" spans="1:21" ht="15" customHeight="1">
      <c r="A505" s="22">
        <v>46088</v>
      </c>
      <c r="B505" s="16" t="s">
        <v>191</v>
      </c>
      <c r="C505" s="10" t="s">
        <v>39</v>
      </c>
      <c r="D505" s="381" t="s">
        <v>582</v>
      </c>
      <c r="E505" s="381" t="s">
        <v>1111</v>
      </c>
      <c r="F505" s="380">
        <f>+MOD(Tabla8[[#This Row],[HR. FIN]]-Tabla8[[#This Row],[HR. INICIO]],1)</f>
        <v>1.2500000000000067E-2</v>
      </c>
      <c r="G505" s="16" t="s">
        <v>215</v>
      </c>
      <c r="H505" s="343" t="str">
        <f>IFERROR(VLOOKUP(G505,DATOS!$M$2:$N$219,2,FALSE),"")</f>
        <v>Equipos auxiliares</v>
      </c>
      <c r="I505" s="115" t="s">
        <v>54</v>
      </c>
      <c r="J505" s="115" t="str">
        <f>+VLOOKUP($I505,Tabla7[#All],2,FALSE)</f>
        <v>PROGRAMADA</v>
      </c>
      <c r="K505" s="114" t="str">
        <f>IF(VLOOKUP(I505,Tabla7[#All],3,FALSE)=0,"",VLOOKUP(I505,Tabla7[#All],3,FALSE))</f>
        <v/>
      </c>
      <c r="L505" s="35" t="s">
        <v>248</v>
      </c>
      <c r="M505" s="35" t="s">
        <v>121</v>
      </c>
      <c r="N505" s="35" t="str" cm="1">
        <f t="array" ref="N505">IFERROR(IF(Tabla8[[#This Row],[P/NP]]="NO PROGRAMADA","",_xlfn.TEXTJOIN(", ",TRUE,_xlfn._xlws.FILTER(Tabla4[[#All],[PIEZA]],ISNUMBER(SEARCH(Tabla4[[#All],[PCLAVE]],Tabla8[[#This Row],[DESCRIPCION DE TRABAJO]])),""))),"")</f>
        <v/>
      </c>
      <c r="O505" s="35" t="str" cm="1">
        <f t="array" ref="O505">_xlfn.TEXTJOIN(", ",TRUE,_xlfn._xlws.FILTER(Tabla28[[#All],[PARTE]],ISNUMBER(SEARCH(Tabla28[[#All],[PCLAVE2]],Tabla8[[#This Row],[DESCRIPCION DE TRABAJO]])),""))</f>
        <v/>
      </c>
      <c r="P505" s="303" t="str">
        <f>IFERROR(LEFT(O505, FIND(",", O505)-1), O505)</f>
        <v/>
      </c>
      <c r="Q505" s="303" t="str">
        <f>IFERROR(IF(ISERROR(FIND(",", O505, FIND(",", O505)+1)), RIGHT(O505, LEN(O505)-FIND(",", O505)-1), MID(O505, FIND(",", O505)+2, FIND(",", O505, FIND(",", O505)+1)-FIND(",", O505)-2)), "")</f>
        <v/>
      </c>
      <c r="R505" s="303" t="str">
        <f>IFERROR(RIGHT(O505, LEN(O505)-FIND(",", O505, FIND(",", O505)+1)-1), "")</f>
        <v/>
      </c>
      <c r="S505" s="35" t="str" cm="1">
        <f t="array" ref="S505">_xlfn.TEXTJOIN(", ",TRUE,_xlfn._xlws.FILTER(Tabla29[[#All],[PARTE]],ISNUMBER(SEARCH(Tabla29[[#All],[PCLAVE3]],Tabla8[[#This Row],[DESCRIPCION DE TRABAJO]])),""))</f>
        <v/>
      </c>
      <c r="T505" s="34" t="str">
        <f>IF(AND(Tabla8[[#This Row],[PIEZA]]="",Tabla8[[#This Row],[PARTE]]=""),"VACIO","OK")</f>
        <v>VACIO</v>
      </c>
      <c r="U505" s="303" t="str">
        <f>+CONCATENATE(WEEKNUM(Tabla8[[#This Row],[FECHA]]),"-",YEAR(Tabla8[[#This Row],[FECHA]]))</f>
        <v>10-2026</v>
      </c>
    </row>
    <row r="506" spans="1:21" ht="15" customHeight="1">
      <c r="A506" s="22">
        <v>46088</v>
      </c>
      <c r="B506" s="16" t="s">
        <v>191</v>
      </c>
      <c r="C506" s="10" t="s">
        <v>39</v>
      </c>
      <c r="D506" s="381" t="s">
        <v>1141</v>
      </c>
      <c r="E506" s="381" t="s">
        <v>1142</v>
      </c>
      <c r="F506" s="380">
        <f>+MOD(Tabla8[[#This Row],[HR. FIN]]-Tabla8[[#This Row],[HR. INICIO]],1)</f>
        <v>1.2500000000000067E-2</v>
      </c>
      <c r="G506" s="16" t="s">
        <v>198</v>
      </c>
      <c r="H506" s="343" t="str">
        <f>IFERROR(VLOOKUP(G506,DATOS!$M$2:$N$219,2,FALSE),"")</f>
        <v>Maquinaria</v>
      </c>
      <c r="I506" s="115" t="s">
        <v>57</v>
      </c>
      <c r="J506" s="115" t="str">
        <f>+VLOOKUP($I506,Tabla7[#All],2,FALSE)</f>
        <v>NO PROGRAMADA</v>
      </c>
      <c r="K506" s="114" t="str">
        <f>IF(VLOOKUP(I506,Tabla7[#All],3,FALSE)=0,"",VLOOKUP(I506,Tabla7[#All],3,FALSE))</f>
        <v>MECÁNICA</v>
      </c>
      <c r="L506" s="35" t="s">
        <v>1143</v>
      </c>
      <c r="M506" s="35" t="s">
        <v>1144</v>
      </c>
      <c r="N506" s="35" t="str" cm="1">
        <f t="array" ref="N506">IFERROR(IF(Tabla8[[#This Row],[P/NP]]="NO PROGRAMADA","",_xlfn.TEXTJOIN(", ",TRUE,_xlfn._xlws.FILTER(Tabla4[[#All],[PIEZA]],ISNUMBER(SEARCH(Tabla4[[#All],[PCLAVE]],Tabla8[[#This Row],[DESCRIPCION DE TRABAJO]])),""))),"")</f>
        <v/>
      </c>
      <c r="O506" s="35" t="str" cm="1">
        <f t="array" ref="O506">_xlfn.TEXTJOIN(", ",TRUE,_xlfn._xlws.FILTER(Tabla28[[#All],[PARTE]],ISNUMBER(SEARCH(Tabla28[[#All],[PCLAVE2]],Tabla8[[#This Row],[DESCRIPCION DE TRABAJO]])),""))</f>
        <v/>
      </c>
      <c r="P506" s="303" t="str">
        <f>IFERROR(LEFT(O506, FIND(",", O506)-1), O506)</f>
        <v/>
      </c>
      <c r="Q506" s="303" t="str">
        <f>IFERROR(IF(ISERROR(FIND(",", O506, FIND(",", O506)+1)), RIGHT(O506, LEN(O506)-FIND(",", O506)-1), MID(O506, FIND(",", O506)+2, FIND(",", O506, FIND(",", O506)+1)-FIND(",", O506)-2)), "")</f>
        <v/>
      </c>
      <c r="R506" s="303" t="str">
        <f>IFERROR(RIGHT(O506, LEN(O506)-FIND(",", O506, FIND(",", O506)+1)-1), "")</f>
        <v/>
      </c>
      <c r="S506" s="35" t="str" cm="1">
        <f t="array" ref="S506">_xlfn.TEXTJOIN(", ",TRUE,_xlfn._xlws.FILTER(Tabla29[[#All],[PARTE]],ISNUMBER(SEARCH(Tabla29[[#All],[PCLAVE3]],Tabla8[[#This Row],[DESCRIPCION DE TRABAJO]])),""))</f>
        <v/>
      </c>
      <c r="T506" s="34" t="str">
        <f>IF(AND(Tabla8[[#This Row],[PIEZA]]="",Tabla8[[#This Row],[PARTE]]=""),"VACIO","OK")</f>
        <v>VACIO</v>
      </c>
      <c r="U506" s="303" t="str">
        <f>+CONCATENATE(WEEKNUM(Tabla8[[#This Row],[FECHA]]),"-",YEAR(Tabla8[[#This Row],[FECHA]]))</f>
        <v>10-2026</v>
      </c>
    </row>
    <row r="507" spans="1:21" ht="15" customHeight="1">
      <c r="A507" s="22">
        <v>46089</v>
      </c>
      <c r="B507" s="16" t="s">
        <v>191</v>
      </c>
      <c r="C507" s="10" t="s">
        <v>39</v>
      </c>
      <c r="D507" s="381" t="s">
        <v>1145</v>
      </c>
      <c r="E507" s="381" t="s">
        <v>1146</v>
      </c>
      <c r="F507" s="380">
        <f>+MOD(Tabla8[[#This Row],[HR. FIN]]-Tabla8[[#This Row],[HR. INICIO]],1)</f>
        <v>2.7083333333333334E-2</v>
      </c>
      <c r="G507" s="16" t="s">
        <v>24</v>
      </c>
      <c r="H507" s="343" t="str">
        <f>IFERROR(VLOOKUP(G507,DATOS!$M$2:$N$219,2,FALSE),"")</f>
        <v>Maquinaria</v>
      </c>
      <c r="I507" s="115" t="s">
        <v>32</v>
      </c>
      <c r="J507" s="115" t="str">
        <f>+VLOOKUP($I507,Tabla7[#All],2,FALSE)</f>
        <v>PROGRAMADA</v>
      </c>
      <c r="K507" s="114" t="str">
        <f>IF(VLOOKUP(I507,Tabla7[#All],3,FALSE)=0,"",VLOOKUP(I507,Tabla7[#All],3,FALSE))</f>
        <v/>
      </c>
      <c r="L507" s="35" t="s">
        <v>1147</v>
      </c>
      <c r="M507" s="35" t="s">
        <v>121</v>
      </c>
      <c r="N507" s="35" t="str" cm="1">
        <f t="array" ref="N507">IFERROR(IF(Tabla8[[#This Row],[P/NP]]="NO PROGRAMADA","",_xlfn.TEXTJOIN(", ",TRUE,_xlfn._xlws.FILTER(Tabla4[[#All],[PIEZA]],ISNUMBER(SEARCH(Tabla4[[#All],[PCLAVE]],Tabla8[[#This Row],[DESCRIPCION DE TRABAJO]])),""))),"")</f>
        <v>Banda, Rascador, Rascador</v>
      </c>
      <c r="O507" s="35" t="str" cm="1">
        <f t="array" ref="O507">_xlfn.TEXTJOIN(", ",TRUE,_xlfn._xlws.FILTER(Tabla28[[#All],[PARTE]],ISNUMBER(SEARCH(Tabla28[[#All],[PCLAVE2]],Tabla8[[#This Row],[DESCRIPCION DE TRABAJO]])),""))</f>
        <v/>
      </c>
      <c r="P507" s="303" t="str">
        <f>IFERROR(LEFT(O507, FIND(",", O507)-1), O507)</f>
        <v/>
      </c>
      <c r="Q507" s="303" t="str">
        <f>IFERROR(IF(ISERROR(FIND(",", O507, FIND(",", O507)+1)), RIGHT(O507, LEN(O507)-FIND(",", O507)-1), MID(O507, FIND(",", O507)+2, FIND(",", O507, FIND(",", O507)+1)-FIND(",", O507)-2)), "")</f>
        <v/>
      </c>
      <c r="R507" s="303" t="str">
        <f>IFERROR(RIGHT(O507, LEN(O507)-FIND(",", O507, FIND(",", O507)+1)-1), "")</f>
        <v/>
      </c>
      <c r="S507" s="35" t="str" cm="1">
        <f t="array" ref="S507">_xlfn.TEXTJOIN(", ",TRUE,_xlfn._xlws.FILTER(Tabla29[[#All],[PARTE]],ISNUMBER(SEARCH(Tabla29[[#All],[PCLAVE3]],Tabla8[[#This Row],[DESCRIPCION DE TRABAJO]])),""))</f>
        <v>Calibracion, Desajustado, Sustitucion</v>
      </c>
      <c r="T507" s="34" t="str">
        <f>IF(AND(Tabla8[[#This Row],[PIEZA]]="",Tabla8[[#This Row],[PARTE]]=""),"VACIO","OK")</f>
        <v>OK</v>
      </c>
      <c r="U507" s="303" t="str">
        <f>+CONCATENATE(WEEKNUM(Tabla8[[#This Row],[FECHA]]),"-",YEAR(Tabla8[[#This Row],[FECHA]]))</f>
        <v>11-2026</v>
      </c>
    </row>
    <row r="508" spans="1:21" ht="15" customHeight="1">
      <c r="A508" s="22">
        <v>46089</v>
      </c>
      <c r="B508" s="16" t="s">
        <v>191</v>
      </c>
      <c r="C508" s="10" t="s">
        <v>39</v>
      </c>
      <c r="D508" s="381" t="s">
        <v>865</v>
      </c>
      <c r="E508" s="381" t="s">
        <v>1148</v>
      </c>
      <c r="F508" s="380">
        <f>+MOD(Tabla8[[#This Row],[HR. FIN]]-Tabla8[[#This Row],[HR. INICIO]],1)</f>
        <v>2.2916666666666662E-2</v>
      </c>
      <c r="G508" s="16" t="s">
        <v>31</v>
      </c>
      <c r="H508" s="343" t="str">
        <f>IFERROR(VLOOKUP(G508,DATOS!$M$2:$N$219,2,FALSE),"")</f>
        <v>Maquinaria</v>
      </c>
      <c r="I508" s="115" t="s">
        <v>32</v>
      </c>
      <c r="J508" s="115" t="str">
        <f>+VLOOKUP($I508,Tabla7[#All],2,FALSE)</f>
        <v>PROGRAMADA</v>
      </c>
      <c r="K508" s="114" t="str">
        <f>IF(VLOOKUP(I508,Tabla7[#All],3,FALSE)=0,"",VLOOKUP(I508,Tabla7[#All],3,FALSE))</f>
        <v/>
      </c>
      <c r="L508" s="35" t="s">
        <v>1149</v>
      </c>
      <c r="M508" s="35" t="s">
        <v>121</v>
      </c>
      <c r="N508" s="35" t="str" cm="1">
        <f t="array" ref="N508">IFERROR(IF(Tabla8[[#This Row],[P/NP]]="NO PROGRAMADA","",_xlfn.TEXTJOIN(", ",TRUE,_xlfn._xlws.FILTER(Tabla4[[#All],[PIEZA]],ISNUMBER(SEARCH(Tabla4[[#All],[PCLAVE]],Tabla8[[#This Row],[DESCRIPCION DE TRABAJO]])),""))),"")</f>
        <v/>
      </c>
      <c r="O508" s="35" t="str" cm="1">
        <f t="array" ref="O508">_xlfn.TEXTJOIN(", ",TRUE,_xlfn._xlws.FILTER(Tabla28[[#All],[PARTE]],ISNUMBER(SEARCH(Tabla28[[#All],[PCLAVE2]],Tabla8[[#This Row],[DESCRIPCION DE TRABAJO]])),""))</f>
        <v/>
      </c>
      <c r="P508" s="303" t="str">
        <f>IFERROR(LEFT(O508, FIND(",", O508)-1), O508)</f>
        <v/>
      </c>
      <c r="Q508" s="303" t="str">
        <f>IFERROR(IF(ISERROR(FIND(",", O508, FIND(",", O508)+1)), RIGHT(O508, LEN(O508)-FIND(",", O508)-1), MID(O508, FIND(",", O508)+2, FIND(",", O508, FIND(",", O508)+1)-FIND(",", O508)-2)), "")</f>
        <v/>
      </c>
      <c r="R508" s="303" t="str">
        <f>IFERROR(RIGHT(O508, LEN(O508)-FIND(",", O508, FIND(",", O508)+1)-1), "")</f>
        <v/>
      </c>
      <c r="S508" s="35" t="str" cm="1">
        <f t="array" ref="S508">_xlfn.TEXTJOIN(", ",TRUE,_xlfn._xlws.FILTER(Tabla29[[#All],[PARTE]],ISNUMBER(SEARCH(Tabla29[[#All],[PCLAVE3]],Tabla8[[#This Row],[DESCRIPCION DE TRABAJO]])),""))</f>
        <v>Sustitucion</v>
      </c>
      <c r="T508" s="34" t="str">
        <f>IF(AND(Tabla8[[#This Row],[PIEZA]]="",Tabla8[[#This Row],[PARTE]]=""),"VACIO","OK")</f>
        <v>VACIO</v>
      </c>
      <c r="U508" s="303" t="str">
        <f>+CONCATENATE(WEEKNUM(Tabla8[[#This Row],[FECHA]]),"-",YEAR(Tabla8[[#This Row],[FECHA]]))</f>
        <v>11-2026</v>
      </c>
    </row>
    <row r="509" spans="1:21" ht="15" customHeight="1">
      <c r="A509" s="22">
        <v>46089</v>
      </c>
      <c r="B509" s="16" t="s">
        <v>191</v>
      </c>
      <c r="C509" s="10" t="s">
        <v>39</v>
      </c>
      <c r="D509" s="381" t="s">
        <v>862</v>
      </c>
      <c r="E509" s="381" t="s">
        <v>1150</v>
      </c>
      <c r="F509" s="380">
        <f>+MOD(Tabla8[[#This Row],[HR. FIN]]-Tabla8[[#This Row],[HR. INICIO]],1)</f>
        <v>1.111111111111111E-2</v>
      </c>
      <c r="G509" s="16" t="s">
        <v>241</v>
      </c>
      <c r="H509" s="343" t="str">
        <f>IFERROR(VLOOKUP(G509,DATOS!$M$2:$N$219,2,FALSE),"")</f>
        <v>Maquinaria</v>
      </c>
      <c r="I509" s="115" t="s">
        <v>54</v>
      </c>
      <c r="J509" s="115" t="str">
        <f>+VLOOKUP($I509,Tabla7[#All],2,FALSE)</f>
        <v>PROGRAMADA</v>
      </c>
      <c r="K509" s="114" t="str">
        <f>IF(VLOOKUP(I509,Tabla7[#All],3,FALSE)=0,"",VLOOKUP(I509,Tabla7[#All],3,FALSE))</f>
        <v/>
      </c>
      <c r="L509" s="35" t="s">
        <v>1151</v>
      </c>
      <c r="M509" s="35" t="s">
        <v>121</v>
      </c>
      <c r="N509" s="35" t="str" cm="1">
        <f t="array" ref="N509">IFERROR(IF(Tabla8[[#This Row],[P/NP]]="NO PROGRAMADA","",_xlfn.TEXTJOIN(", ",TRUE,_xlfn._xlws.FILTER(Tabla4[[#All],[PIEZA]],ISNUMBER(SEARCH(Tabla4[[#All],[PCLAVE]],Tabla8[[#This Row],[DESCRIPCION DE TRABAJO]])),""))),"")</f>
        <v/>
      </c>
      <c r="O509" s="35" t="str" cm="1">
        <f t="array" ref="O509">_xlfn.TEXTJOIN(", ",TRUE,_xlfn._xlws.FILTER(Tabla28[[#All],[PARTE]],ISNUMBER(SEARCH(Tabla28[[#All],[PCLAVE2]],Tabla8[[#This Row],[DESCRIPCION DE TRABAJO]])),""))</f>
        <v/>
      </c>
      <c r="P509" s="303" t="str">
        <f>IFERROR(LEFT(O509, FIND(",", O509)-1), O509)</f>
        <v/>
      </c>
      <c r="Q509" s="303" t="str">
        <f>IFERROR(IF(ISERROR(FIND(",", O509, FIND(",", O509)+1)), RIGHT(O509, LEN(O509)-FIND(",", O509)-1), MID(O509, FIND(",", O509)+2, FIND(",", O509, FIND(",", O509)+1)-FIND(",", O509)-2)), "")</f>
        <v/>
      </c>
      <c r="R509" s="303" t="str">
        <f>IFERROR(RIGHT(O509, LEN(O509)-FIND(",", O509, FIND(",", O509)+1)-1), "")</f>
        <v/>
      </c>
      <c r="S509" s="35" t="str" cm="1">
        <f t="array" ref="S509">_xlfn.TEXTJOIN(", ",TRUE,_xlfn._xlws.FILTER(Tabla29[[#All],[PARTE]],ISNUMBER(SEARCH(Tabla29[[#All],[PCLAVE3]],Tabla8[[#This Row],[DESCRIPCION DE TRABAJO]])),""))</f>
        <v/>
      </c>
      <c r="T509" s="34" t="str">
        <f>IF(AND(Tabla8[[#This Row],[PIEZA]]="",Tabla8[[#This Row],[PARTE]]=""),"VACIO","OK")</f>
        <v>VACIO</v>
      </c>
      <c r="U509" s="303" t="str">
        <f>+CONCATENATE(WEEKNUM(Tabla8[[#This Row],[FECHA]]),"-",YEAR(Tabla8[[#This Row],[FECHA]]))</f>
        <v>11-2026</v>
      </c>
    </row>
    <row r="510" spans="1:21" ht="15" customHeight="1">
      <c r="A510" s="22">
        <v>46090</v>
      </c>
      <c r="B510" s="16" t="s">
        <v>179</v>
      </c>
      <c r="C510" s="10" t="s">
        <v>36</v>
      </c>
      <c r="D510" s="381" t="s">
        <v>537</v>
      </c>
      <c r="E510" s="381" t="s">
        <v>468</v>
      </c>
      <c r="F510" s="380">
        <f>+MOD(Tabla8[[#This Row],[HR. FIN]]-Tabla8[[#This Row],[HR. INICIO]],1)</f>
        <v>0.25694444444444442</v>
      </c>
      <c r="G510" s="16" t="s">
        <v>119</v>
      </c>
      <c r="H510" s="343" t="str">
        <f>IFERROR(VLOOKUP(G510,DATOS!$M$2:$N$219,2,FALSE),"")</f>
        <v>Maquinaria</v>
      </c>
      <c r="I510" s="115" t="s">
        <v>32</v>
      </c>
      <c r="J510" s="115" t="str">
        <f>+VLOOKUP($I510,Tabla7[#All],2,FALSE)</f>
        <v>PROGRAMADA</v>
      </c>
      <c r="K510" s="114" t="str">
        <f>IF(VLOOKUP(I510,Tabla7[#All],3,FALSE)=0,"",VLOOKUP(I510,Tabla7[#All],3,FALSE))</f>
        <v/>
      </c>
      <c r="L510" s="35" t="s">
        <v>1152</v>
      </c>
      <c r="M510" s="35" t="s">
        <v>121</v>
      </c>
      <c r="N510" s="35" t="str" cm="1">
        <f t="array" ref="N510">IFERROR(IF(Tabla8[[#This Row],[P/NP]]="NO PROGRAMADA","",_xlfn.TEXTJOIN(", ",TRUE,_xlfn._xlws.FILTER(Tabla4[[#All],[PIEZA]],ISNUMBER(SEARCH(Tabla4[[#All],[PCLAVE]],Tabla8[[#This Row],[DESCRIPCION DE TRABAJO]])),""))),"")</f>
        <v/>
      </c>
      <c r="O510" s="35" t="str" cm="1">
        <f t="array" ref="O510">_xlfn.TEXTJOIN(", ",TRUE,_xlfn._xlws.FILTER(Tabla28[[#All],[PARTE]],ISNUMBER(SEARCH(Tabla28[[#All],[PCLAVE2]],Tabla8[[#This Row],[DESCRIPCION DE TRABAJO]])),""))</f>
        <v/>
      </c>
      <c r="P510" s="303" t="str">
        <f>IFERROR(LEFT(O510, FIND(",", O510)-1), O510)</f>
        <v/>
      </c>
      <c r="Q510" s="303" t="str">
        <f>IFERROR(IF(ISERROR(FIND(",", O510, FIND(",", O510)+1)), RIGHT(O510, LEN(O510)-FIND(",", O510)-1), MID(O510, FIND(",", O510)+2, FIND(",", O510, FIND(",", O510)+1)-FIND(",", O510)-2)), "")</f>
        <v/>
      </c>
      <c r="R510" s="303" t="str">
        <f>IFERROR(RIGHT(O510, LEN(O510)-FIND(",", O510, FIND(",", O510)+1)-1), "")</f>
        <v/>
      </c>
      <c r="S510" s="35" t="str" cm="1">
        <f t="array" ref="S510">_xlfn.TEXTJOIN(", ",TRUE,_xlfn._xlws.FILTER(Tabla29[[#All],[PARTE]],ISNUMBER(SEARCH(Tabla29[[#All],[PCLAVE3]],Tabla8[[#This Row],[DESCRIPCION DE TRABAJO]])),""))</f>
        <v/>
      </c>
      <c r="T510" s="34" t="str">
        <f>IF(AND(Tabla8[[#This Row],[PIEZA]]="",Tabla8[[#This Row],[PARTE]]=""),"VACIO","OK")</f>
        <v>VACIO</v>
      </c>
      <c r="U510" s="303" t="str">
        <f>+CONCATENATE(WEEKNUM(Tabla8[[#This Row],[FECHA]]),"-",YEAR(Tabla8[[#This Row],[FECHA]]))</f>
        <v>11-2026</v>
      </c>
    </row>
    <row r="511" spans="1:21" ht="15" customHeight="1">
      <c r="A511" s="22">
        <v>46090</v>
      </c>
      <c r="B511" s="16" t="s">
        <v>88</v>
      </c>
      <c r="C511" s="10" t="s">
        <v>36</v>
      </c>
      <c r="D511" s="381" t="s">
        <v>101</v>
      </c>
      <c r="E511" s="381" t="s">
        <v>122</v>
      </c>
      <c r="F511" s="380">
        <f>+MOD(Tabla8[[#This Row],[HR. FIN]]-Tabla8[[#This Row],[HR. INICIO]],1)</f>
        <v>4.1666666666666657E-2</v>
      </c>
      <c r="G511" s="16" t="s">
        <v>103</v>
      </c>
      <c r="H511" s="343" t="str">
        <f>IFERROR(VLOOKUP(G511,DATOS!$M$2:$N$219,2,FALSE),"")</f>
        <v>Area</v>
      </c>
      <c r="I511" s="115" t="s">
        <v>43</v>
      </c>
      <c r="J511" s="115" t="str">
        <f>+VLOOKUP($I511,Tabla7[#All],2,FALSE)</f>
        <v>PROGRAMADA</v>
      </c>
      <c r="K511" s="114" t="str">
        <f>IF(VLOOKUP(I511,Tabla7[#All],3,FALSE)=0,"",VLOOKUP(I511,Tabla7[#All],3,FALSE))</f>
        <v/>
      </c>
      <c r="L511" s="35" t="s">
        <v>104</v>
      </c>
      <c r="M511" s="35" t="s">
        <v>1153</v>
      </c>
      <c r="N511" s="35" t="str" cm="1">
        <f t="array" ref="N511">IFERROR(IF(Tabla8[[#This Row],[P/NP]]="NO PROGRAMADA","",_xlfn.TEXTJOIN(", ",TRUE,_xlfn._xlws.FILTER(Tabla4[[#All],[PIEZA]],ISNUMBER(SEARCH(Tabla4[[#All],[PCLAVE]],Tabla8[[#This Row],[DESCRIPCION DE TRABAJO]])),""))),"")</f>
        <v/>
      </c>
      <c r="O511" s="35" t="str" cm="1">
        <f t="array" ref="O511">_xlfn.TEXTJOIN(", ",TRUE,_xlfn._xlws.FILTER(Tabla28[[#All],[PARTE]],ISNUMBER(SEARCH(Tabla28[[#All],[PCLAVE2]],Tabla8[[#This Row],[DESCRIPCION DE TRABAJO]])),""))</f>
        <v/>
      </c>
      <c r="P511" s="303" t="str">
        <f>IFERROR(LEFT(O511, FIND(",", O511)-1), O511)</f>
        <v/>
      </c>
      <c r="Q511" s="303" t="str">
        <f>IFERROR(IF(ISERROR(FIND(",", O511, FIND(",", O511)+1)), RIGHT(O511, LEN(O511)-FIND(",", O511)-1), MID(O511, FIND(",", O511)+2, FIND(",", O511, FIND(",", O511)+1)-FIND(",", O511)-2)), "")</f>
        <v/>
      </c>
      <c r="R511" s="303" t="str">
        <f>IFERROR(RIGHT(O511, LEN(O511)-FIND(",", O511, FIND(",", O511)+1)-1), "")</f>
        <v/>
      </c>
      <c r="S511" s="35" t="str" cm="1">
        <f t="array" ref="S511">_xlfn.TEXTJOIN(", ",TRUE,_xlfn._xlws.FILTER(Tabla29[[#All],[PARTE]],ISNUMBER(SEARCH(Tabla29[[#All],[PCLAVE3]],Tabla8[[#This Row],[DESCRIPCION DE TRABAJO]])),""))</f>
        <v/>
      </c>
      <c r="T511" s="34" t="str">
        <f>IF(AND(Tabla8[[#This Row],[PIEZA]]="",Tabla8[[#This Row],[PARTE]]=""),"VACIO","OK")</f>
        <v>VACIO</v>
      </c>
      <c r="U511" s="303" t="str">
        <f>+CONCATENATE(WEEKNUM(Tabla8[[#This Row],[FECHA]]),"-",YEAR(Tabla8[[#This Row],[FECHA]]))</f>
        <v>11-2026</v>
      </c>
    </row>
    <row r="512" spans="1:21" ht="15" customHeight="1">
      <c r="A512" s="22">
        <v>46090</v>
      </c>
      <c r="B512" s="16" t="s">
        <v>88</v>
      </c>
      <c r="C512" s="10" t="s">
        <v>36</v>
      </c>
      <c r="D512" s="381" t="s">
        <v>670</v>
      </c>
      <c r="E512" s="381" t="s">
        <v>152</v>
      </c>
      <c r="F512" s="380">
        <f>+MOD(Tabla8[[#This Row],[HR. FIN]]-Tabla8[[#This Row],[HR. INICIO]],1)</f>
        <v>3.125E-2</v>
      </c>
      <c r="G512" s="16" t="s">
        <v>24</v>
      </c>
      <c r="H512" s="343" t="str">
        <f>IFERROR(VLOOKUP(G512,DATOS!$M$2:$N$219,2,FALSE),"")</f>
        <v>Maquinaria</v>
      </c>
      <c r="I512" s="115" t="s">
        <v>32</v>
      </c>
      <c r="J512" s="115" t="str">
        <f>+VLOOKUP($I512,Tabla7[#All],2,FALSE)</f>
        <v>PROGRAMADA</v>
      </c>
      <c r="K512" s="114" t="str">
        <f>IF(VLOOKUP(I512,Tabla7[#All],3,FALSE)=0,"",VLOOKUP(I512,Tabla7[#All],3,FALSE))</f>
        <v/>
      </c>
      <c r="L512" s="35" t="s">
        <v>1154</v>
      </c>
      <c r="M512" s="35" t="s">
        <v>1155</v>
      </c>
      <c r="N512" s="35" t="str" cm="1">
        <f t="array" ref="N512">IFERROR(IF(Tabla8[[#This Row],[P/NP]]="NO PROGRAMADA","",_xlfn.TEXTJOIN(", ",TRUE,_xlfn._xlws.FILTER(Tabla4[[#All],[PIEZA]],ISNUMBER(SEARCH(Tabla4[[#All],[PCLAVE]],Tabla8[[#This Row],[DESCRIPCION DE TRABAJO]])),""))),"")</f>
        <v>Banda</v>
      </c>
      <c r="O512" s="35" t="str" cm="1">
        <f t="array" ref="O512">_xlfn.TEXTJOIN(", ",TRUE,_xlfn._xlws.FILTER(Tabla28[[#All],[PARTE]],ISNUMBER(SEARCH(Tabla28[[#All],[PCLAVE2]],Tabla8[[#This Row],[DESCRIPCION DE TRABAJO]])),""))</f>
        <v/>
      </c>
      <c r="P512" s="303" t="str">
        <f>IFERROR(LEFT(O512, FIND(",", O512)-1), O512)</f>
        <v/>
      </c>
      <c r="Q512" s="303" t="str">
        <f>IFERROR(IF(ISERROR(FIND(",", O512, FIND(",", O512)+1)), RIGHT(O512, LEN(O512)-FIND(",", O512)-1), MID(O512, FIND(",", O512)+2, FIND(",", O512, FIND(",", O512)+1)-FIND(",", O512)-2)), "")</f>
        <v/>
      </c>
      <c r="R512" s="303" t="str">
        <f>IFERROR(RIGHT(O512, LEN(O512)-FIND(",", O512, FIND(",", O512)+1)-1), "")</f>
        <v/>
      </c>
      <c r="S512" s="35" t="str" cm="1">
        <f t="array" ref="S512">_xlfn.TEXTJOIN(", ",TRUE,_xlfn._xlws.FILTER(Tabla29[[#All],[PARTE]],ISNUMBER(SEARCH(Tabla29[[#All],[PCLAVE3]],Tabla8[[#This Row],[DESCRIPCION DE TRABAJO]])),""))</f>
        <v/>
      </c>
      <c r="T512" s="34" t="str">
        <f>IF(AND(Tabla8[[#This Row],[PIEZA]]="",Tabla8[[#This Row],[PARTE]]=""),"VACIO","OK")</f>
        <v>OK</v>
      </c>
      <c r="U512" s="303" t="str">
        <f>+CONCATENATE(WEEKNUM(Tabla8[[#This Row],[FECHA]]),"-",YEAR(Tabla8[[#This Row],[FECHA]]))</f>
        <v>11-2026</v>
      </c>
    </row>
    <row r="513" spans="1:21" ht="15" customHeight="1">
      <c r="A513" s="22">
        <v>46090</v>
      </c>
      <c r="B513" s="16" t="s">
        <v>88</v>
      </c>
      <c r="C513" s="10" t="s">
        <v>36</v>
      </c>
      <c r="D513" s="381" t="s">
        <v>468</v>
      </c>
      <c r="E513" s="381" t="s">
        <v>107</v>
      </c>
      <c r="F513" s="380">
        <f>+MOD(Tabla8[[#This Row],[HR. FIN]]-Tabla8[[#This Row],[HR. INICIO]],1)</f>
        <v>2.083333333333337E-2</v>
      </c>
      <c r="G513" s="16" t="s">
        <v>119</v>
      </c>
      <c r="H513" s="343" t="str">
        <f>IFERROR(VLOOKUP(G513,DATOS!$M$2:$N$219,2,FALSE),"")</f>
        <v>Maquinaria</v>
      </c>
      <c r="I513" s="115" t="s">
        <v>32</v>
      </c>
      <c r="J513" s="115" t="str">
        <f>+VLOOKUP($I513,Tabla7[#All],2,FALSE)</f>
        <v>PROGRAMADA</v>
      </c>
      <c r="K513" s="114" t="str">
        <f>IF(VLOOKUP(I513,Tabla7[#All],3,FALSE)=0,"",VLOOKUP(I513,Tabla7[#All],3,FALSE))</f>
        <v/>
      </c>
      <c r="L513" s="35" t="s">
        <v>1156</v>
      </c>
      <c r="M513" s="35" t="s">
        <v>1157</v>
      </c>
      <c r="N513" s="35" t="str" cm="1">
        <f t="array" ref="N513">IFERROR(IF(Tabla8[[#This Row],[P/NP]]="NO PROGRAMADA","",_xlfn.TEXTJOIN(", ",TRUE,_xlfn._xlws.FILTER(Tabla4[[#All],[PIEZA]],ISNUMBER(SEARCH(Tabla4[[#All],[PCLAVE]],Tabla8[[#This Row],[DESCRIPCION DE TRABAJO]])),""))),"")</f>
        <v/>
      </c>
      <c r="O513" s="35" t="str" cm="1">
        <f t="array" ref="O513">_xlfn.TEXTJOIN(", ",TRUE,_xlfn._xlws.FILTER(Tabla28[[#All],[PARTE]],ISNUMBER(SEARCH(Tabla28[[#All],[PCLAVE2]],Tabla8[[#This Row],[DESCRIPCION DE TRABAJO]])),""))</f>
        <v>Mds</v>
      </c>
      <c r="P513" s="303" t="str">
        <f>IFERROR(LEFT(O513, FIND(",", O513)-1), O513)</f>
        <v>Mds</v>
      </c>
      <c r="Q513" s="303" t="str">
        <f>IFERROR(IF(ISERROR(FIND(",", O513, FIND(",", O513)+1)), RIGHT(O513, LEN(O513)-FIND(",", O513)-1), MID(O513, FIND(",", O513)+2, FIND(",", O513, FIND(",", O513)+1)-FIND(",", O513)-2)), "")</f>
        <v/>
      </c>
      <c r="R513" s="303" t="str">
        <f>IFERROR(RIGHT(O513, LEN(O513)-FIND(",", O513, FIND(",", O513)+1)-1), "")</f>
        <v/>
      </c>
      <c r="S513" s="35" t="str" cm="1">
        <f t="array" ref="S513">_xlfn.TEXTJOIN(", ",TRUE,_xlfn._xlws.FILTER(Tabla29[[#All],[PARTE]],ISNUMBER(SEARCH(Tabla29[[#All],[PCLAVE3]],Tabla8[[#This Row],[DESCRIPCION DE TRABAJO]])),""))</f>
        <v>Cambio De Formato</v>
      </c>
      <c r="T513" s="34" t="str">
        <f>IF(AND(Tabla8[[#This Row],[PIEZA]]="",Tabla8[[#This Row],[PARTE]]=""),"VACIO","OK")</f>
        <v>OK</v>
      </c>
      <c r="U513" s="303" t="str">
        <f>+CONCATENATE(WEEKNUM(Tabla8[[#This Row],[FECHA]]),"-",YEAR(Tabla8[[#This Row],[FECHA]]))</f>
        <v>11-2026</v>
      </c>
    </row>
    <row r="514" spans="1:21" ht="15" customHeight="1">
      <c r="A514" s="22">
        <v>46090</v>
      </c>
      <c r="B514" s="16" t="s">
        <v>179</v>
      </c>
      <c r="C514" s="10" t="s">
        <v>36</v>
      </c>
      <c r="D514" s="381" t="s">
        <v>107</v>
      </c>
      <c r="E514" s="381" t="s">
        <v>281</v>
      </c>
      <c r="F514" s="380">
        <f>+MOD(Tabla8[[#This Row],[HR. FIN]]-Tabla8[[#This Row],[HR. INICIO]],1)</f>
        <v>2.083333333333337E-2</v>
      </c>
      <c r="G514" s="16" t="s">
        <v>266</v>
      </c>
      <c r="H514" s="343" t="str">
        <f>IFERROR(VLOOKUP(G514,DATOS!$M$2:$N$219,2,FALSE),"")</f>
        <v>Maquinaria</v>
      </c>
      <c r="I514" s="115" t="s">
        <v>32</v>
      </c>
      <c r="J514" s="115" t="str">
        <f>+VLOOKUP($I514,Tabla7[#All],2,FALSE)</f>
        <v>PROGRAMADA</v>
      </c>
      <c r="K514" s="114" t="str">
        <f>IF(VLOOKUP(I514,Tabla7[#All],3,FALSE)=0,"",VLOOKUP(I514,Tabla7[#All],3,FALSE))</f>
        <v/>
      </c>
      <c r="L514" s="35" t="s">
        <v>1158</v>
      </c>
      <c r="M514" s="35" t="s">
        <v>121</v>
      </c>
      <c r="N514" s="35" t="str" cm="1">
        <f t="array" ref="N514">IFERROR(IF(Tabla8[[#This Row],[P/NP]]="NO PROGRAMADA","",_xlfn.TEXTJOIN(", ",TRUE,_xlfn._xlws.FILTER(Tabla4[[#All],[PIEZA]],ISNUMBER(SEARCH(Tabla4[[#All],[PCLAVE]],Tabla8[[#This Row],[DESCRIPCION DE TRABAJO]])),""))),"")</f>
        <v>Banda, Polin De Arrastre</v>
      </c>
      <c r="O514" s="35" t="str" cm="1">
        <f t="array" ref="O514">_xlfn.TEXTJOIN(", ",TRUE,_xlfn._xlws.FILTER(Tabla28[[#All],[PARTE]],ISNUMBER(SEARCH(Tabla28[[#All],[PCLAVE2]],Tabla8[[#This Row],[DESCRIPCION DE TRABAJO]])),""))</f>
        <v/>
      </c>
      <c r="P514" s="303" t="str">
        <f>IFERROR(LEFT(O514, FIND(",", O514)-1), O514)</f>
        <v/>
      </c>
      <c r="Q514" s="303" t="str">
        <f>IFERROR(IF(ISERROR(FIND(",", O514, FIND(",", O514)+1)), RIGHT(O514, LEN(O514)-FIND(",", O514)-1), MID(O514, FIND(",", O514)+2, FIND(",", O514, FIND(",", O514)+1)-FIND(",", O514)-2)), "")</f>
        <v/>
      </c>
      <c r="R514" s="303" t="str">
        <f>IFERROR(RIGHT(O514, LEN(O514)-FIND(",", O514, FIND(",", O514)+1)-1), "")</f>
        <v/>
      </c>
      <c r="S514" s="35" t="str" cm="1">
        <f t="array" ref="S514">_xlfn.TEXTJOIN(", ",TRUE,_xlfn._xlws.FILTER(Tabla29[[#All],[PARTE]],ISNUMBER(SEARCH(Tabla29[[#All],[PCLAVE3]],Tabla8[[#This Row],[DESCRIPCION DE TRABAJO]])),""))</f>
        <v>Sustitucion</v>
      </c>
      <c r="T514" s="34" t="str">
        <f>IF(AND(Tabla8[[#This Row],[PIEZA]]="",Tabla8[[#This Row],[PARTE]]=""),"VACIO","OK")</f>
        <v>OK</v>
      </c>
      <c r="U514" s="303" t="str">
        <f>+CONCATENATE(WEEKNUM(Tabla8[[#This Row],[FECHA]]),"-",YEAR(Tabla8[[#This Row],[FECHA]]))</f>
        <v>11-2026</v>
      </c>
    </row>
    <row r="515" spans="1:21" ht="15" customHeight="1">
      <c r="A515" s="22">
        <v>46090</v>
      </c>
      <c r="B515" s="16" t="s">
        <v>191</v>
      </c>
      <c r="C515" s="10" t="s">
        <v>23</v>
      </c>
      <c r="D515" s="381" t="s">
        <v>1159</v>
      </c>
      <c r="E515" s="381" t="s">
        <v>1160</v>
      </c>
      <c r="F515" s="380">
        <f>+MOD(Tabla8[[#This Row],[HR. FIN]]-Tabla8[[#This Row],[HR. INICIO]],1)</f>
        <v>1.9444444444444375E-2</v>
      </c>
      <c r="G515" s="16" t="s">
        <v>312</v>
      </c>
      <c r="H515" s="343" t="str">
        <f>IFERROR(VLOOKUP(G515,DATOS!$M$2:$N$219,2,FALSE),"")</f>
        <v>Maquinaria</v>
      </c>
      <c r="I515" s="115" t="s">
        <v>32</v>
      </c>
      <c r="J515" s="115" t="str">
        <f>+VLOOKUP($I515,Tabla7[#All],2,FALSE)</f>
        <v>PROGRAMADA</v>
      </c>
      <c r="K515" s="114" t="str">
        <f>IF(VLOOKUP(I515,Tabla7[#All],3,FALSE)=0,"",VLOOKUP(I515,Tabla7[#All],3,FALSE))</f>
        <v/>
      </c>
      <c r="L515" s="35" t="s">
        <v>1161</v>
      </c>
      <c r="M515" s="35" t="s">
        <v>121</v>
      </c>
      <c r="N515" s="35" t="str" cm="1">
        <f t="array" ref="N515">IFERROR(IF(Tabla8[[#This Row],[P/NP]]="NO PROGRAMADA","",_xlfn.TEXTJOIN(", ",TRUE,_xlfn._xlws.FILTER(Tabla4[[#All],[PIEZA]],ISNUMBER(SEARCH(Tabla4[[#All],[PCLAVE]],Tabla8[[#This Row],[DESCRIPCION DE TRABAJO]])),""))),"")</f>
        <v>Polin De Arrastre</v>
      </c>
      <c r="O515" s="35" t="str" cm="1">
        <f t="array" ref="O515">_xlfn.TEXTJOIN(", ",TRUE,_xlfn._xlws.FILTER(Tabla28[[#All],[PARTE]],ISNUMBER(SEARCH(Tabla28[[#All],[PCLAVE2]],Tabla8[[#This Row],[DESCRIPCION DE TRABAJO]])),""))</f>
        <v/>
      </c>
      <c r="P515" s="303" t="str">
        <f>IFERROR(LEFT(O515, FIND(",", O515)-1), O515)</f>
        <v/>
      </c>
      <c r="Q515" s="303" t="str">
        <f>IFERROR(IF(ISERROR(FIND(",", O515, FIND(",", O515)+1)), RIGHT(O515, LEN(O515)-FIND(",", O515)-1), MID(O515, FIND(",", O515)+2, FIND(",", O515, FIND(",", O515)+1)-FIND(",", O515)-2)), "")</f>
        <v/>
      </c>
      <c r="R515" s="303" t="str">
        <f>IFERROR(RIGHT(O515, LEN(O515)-FIND(",", O515, FIND(",", O515)+1)-1), "")</f>
        <v/>
      </c>
      <c r="S515" s="35" t="str" cm="1">
        <f t="array" ref="S515">_xlfn.TEXTJOIN(", ",TRUE,_xlfn._xlws.FILTER(Tabla29[[#All],[PARTE]],ISNUMBER(SEARCH(Tabla29[[#All],[PCLAVE3]],Tabla8[[#This Row],[DESCRIPCION DE TRABAJO]])),""))</f>
        <v>Sustitucion</v>
      </c>
      <c r="T515" s="34" t="str">
        <f>IF(AND(Tabla8[[#This Row],[PIEZA]]="",Tabla8[[#This Row],[PARTE]]=""),"VACIO","OK")</f>
        <v>OK</v>
      </c>
      <c r="U515" s="303" t="str">
        <f>+CONCATENATE(WEEKNUM(Tabla8[[#This Row],[FECHA]]),"-",YEAR(Tabla8[[#This Row],[FECHA]]))</f>
        <v>11-2026</v>
      </c>
    </row>
    <row r="516" spans="1:21" ht="15" customHeight="1">
      <c r="A516" s="22">
        <v>46090</v>
      </c>
      <c r="B516" s="16" t="s">
        <v>191</v>
      </c>
      <c r="C516" s="10" t="s">
        <v>23</v>
      </c>
      <c r="D516" s="381" t="s">
        <v>1162</v>
      </c>
      <c r="E516" s="381" t="s">
        <v>1163</v>
      </c>
      <c r="F516" s="380">
        <f>+MOD(Tabla8[[#This Row],[HR. FIN]]-Tabla8[[#This Row],[HR. INICIO]],1)</f>
        <v>1.5972222222222165E-2</v>
      </c>
      <c r="G516" s="16" t="s">
        <v>24</v>
      </c>
      <c r="H516" s="343" t="str">
        <f>IFERROR(VLOOKUP(G516,DATOS!$M$2:$N$219,2,FALSE),"")</f>
        <v>Maquinaria</v>
      </c>
      <c r="I516" s="115" t="s">
        <v>61</v>
      </c>
      <c r="J516" s="115" t="str">
        <f>+VLOOKUP($I516,Tabla7[#All],2,FALSE)</f>
        <v>PROGRAMADA</v>
      </c>
      <c r="K516" s="114" t="str">
        <f>IF(VLOOKUP(I516,Tabla7[#All],3,FALSE)=0,"",VLOOKUP(I516,Tabla7[#All],3,FALSE))</f>
        <v/>
      </c>
      <c r="L516" s="35" t="s">
        <v>1164</v>
      </c>
      <c r="M516" s="35" t="s">
        <v>121</v>
      </c>
      <c r="N516" s="35" t="str" cm="1">
        <f t="array" ref="N516">IFERROR(IF(Tabla8[[#This Row],[P/NP]]="NO PROGRAMADA","",_xlfn.TEXTJOIN(", ",TRUE,_xlfn._xlws.FILTER(Tabla4[[#All],[PIEZA]],ISNUMBER(SEARCH(Tabla4[[#All],[PCLAVE]],Tabla8[[#This Row],[DESCRIPCION DE TRABAJO]])),""))),"")</f>
        <v>Empaque, Polin De Arrastre, Polin De Arrastre</v>
      </c>
      <c r="O516" s="35" t="str" cm="1">
        <f t="array" ref="O516">_xlfn.TEXTJOIN(", ",TRUE,_xlfn._xlws.FILTER(Tabla28[[#All],[PARTE]],ISNUMBER(SEARCH(Tabla28[[#All],[PCLAVE2]],Tabla8[[#This Row],[DESCRIPCION DE TRABAJO]])),""))</f>
        <v/>
      </c>
      <c r="P516" s="303" t="str">
        <f>IFERROR(LEFT(O516, FIND(",", O516)-1), O516)</f>
        <v/>
      </c>
      <c r="Q516" s="303" t="str">
        <f>IFERROR(IF(ISERROR(FIND(",", O516, FIND(",", O516)+1)), RIGHT(O516, LEN(O516)-FIND(",", O516)-1), MID(O516, FIND(",", O516)+2, FIND(",", O516, FIND(",", O516)+1)-FIND(",", O516)-2)), "")</f>
        <v/>
      </c>
      <c r="R516" s="303" t="str">
        <f>IFERROR(RIGHT(O516, LEN(O516)-FIND(",", O516, FIND(",", O516)+1)-1), "")</f>
        <v/>
      </c>
      <c r="S516" s="35" t="str" cm="1">
        <f t="array" ref="S516">_xlfn.TEXTJOIN(", ",TRUE,_xlfn._xlws.FILTER(Tabla29[[#All],[PARTE]],ISNUMBER(SEARCH(Tabla29[[#All],[PCLAVE3]],Tabla8[[#This Row],[DESCRIPCION DE TRABAJO]])),""))</f>
        <v/>
      </c>
      <c r="T516" s="34" t="str">
        <f>IF(AND(Tabla8[[#This Row],[PIEZA]]="",Tabla8[[#This Row],[PARTE]]=""),"VACIO","OK")</f>
        <v>OK</v>
      </c>
      <c r="U516" s="303" t="str">
        <f>+CONCATENATE(WEEKNUM(Tabla8[[#This Row],[FECHA]]),"-",YEAR(Tabla8[[#This Row],[FECHA]]))</f>
        <v>11-2026</v>
      </c>
    </row>
    <row r="517" spans="1:21" ht="15" customHeight="1">
      <c r="A517" s="22">
        <v>46090</v>
      </c>
      <c r="B517" s="16" t="s">
        <v>88</v>
      </c>
      <c r="C517" s="10" t="s">
        <v>36</v>
      </c>
      <c r="D517" s="381" t="s">
        <v>636</v>
      </c>
      <c r="E517" s="381" t="s">
        <v>123</v>
      </c>
      <c r="F517" s="380">
        <f>+MOD(Tabla8[[#This Row],[HR. FIN]]-Tabla8[[#This Row],[HR. INICIO]],1)</f>
        <v>1.3888888888888895E-2</v>
      </c>
      <c r="G517" s="16" t="s">
        <v>114</v>
      </c>
      <c r="H517" s="343" t="str">
        <f>IFERROR(VLOOKUP(G517,DATOS!$M$2:$N$219,2,FALSE),"")</f>
        <v>Maquinaria</v>
      </c>
      <c r="I517" s="115" t="s">
        <v>32</v>
      </c>
      <c r="J517" s="115" t="str">
        <f>+VLOOKUP($I517,Tabla7[#All],2,FALSE)</f>
        <v>PROGRAMADA</v>
      </c>
      <c r="K517" s="114" t="str">
        <f>IF(VLOOKUP(I517,Tabla7[#All],3,FALSE)=0,"",VLOOKUP(I517,Tabla7[#All],3,FALSE))</f>
        <v/>
      </c>
      <c r="L517" s="35" t="s">
        <v>1165</v>
      </c>
      <c r="M517" s="35" t="s">
        <v>1166</v>
      </c>
      <c r="N517" s="35" t="str" cm="1">
        <f t="array" ref="N517">IFERROR(IF(Tabla8[[#This Row],[P/NP]]="NO PROGRAMADA","",_xlfn.TEXTJOIN(", ",TRUE,_xlfn._xlws.FILTER(Tabla4[[#All],[PIEZA]],ISNUMBER(SEARCH(Tabla4[[#All],[PCLAVE]],Tabla8[[#This Row],[DESCRIPCION DE TRABAJO]])),""))),"")</f>
        <v/>
      </c>
      <c r="O517" s="35" t="str" cm="1">
        <f t="array" ref="O517">_xlfn.TEXTJOIN(", ",TRUE,_xlfn._xlws.FILTER(Tabla28[[#All],[PARTE]],ISNUMBER(SEARCH(Tabla28[[#All],[PCLAVE2]],Tabla8[[#This Row],[DESCRIPCION DE TRABAJO]])),""))</f>
        <v/>
      </c>
      <c r="P517" s="303" t="str">
        <f>IFERROR(LEFT(O517, FIND(",", O517)-1), O517)</f>
        <v/>
      </c>
      <c r="Q517" s="303" t="str">
        <f>IFERROR(IF(ISERROR(FIND(",", O517, FIND(",", O517)+1)), RIGHT(O517, LEN(O517)-FIND(",", O517)-1), MID(O517, FIND(",", O517)+2, FIND(",", O517, FIND(",", O517)+1)-FIND(",", O517)-2)), "")</f>
        <v/>
      </c>
      <c r="R517" s="303" t="str">
        <f>IFERROR(RIGHT(O517, LEN(O517)-FIND(",", O517, FIND(",", O517)+1)-1), "")</f>
        <v/>
      </c>
      <c r="S517" s="35" t="str" cm="1">
        <f t="array" ref="S517">_xlfn.TEXTJOIN(", ",TRUE,_xlfn._xlws.FILTER(Tabla29[[#All],[PARTE]],ISNUMBER(SEARCH(Tabla29[[#All],[PCLAVE3]],Tabla8[[#This Row],[DESCRIPCION DE TRABAJO]])),""))</f>
        <v/>
      </c>
      <c r="T517" s="34" t="str">
        <f>IF(AND(Tabla8[[#This Row],[PIEZA]]="",Tabla8[[#This Row],[PARTE]]=""),"VACIO","OK")</f>
        <v>VACIO</v>
      </c>
      <c r="U517" s="303" t="str">
        <f>+CONCATENATE(WEEKNUM(Tabla8[[#This Row],[FECHA]]),"-",YEAR(Tabla8[[#This Row],[FECHA]]))</f>
        <v>11-2026</v>
      </c>
    </row>
    <row r="518" spans="1:21" ht="15" customHeight="1">
      <c r="A518" s="22">
        <v>46090</v>
      </c>
      <c r="B518" s="16" t="s">
        <v>88</v>
      </c>
      <c r="C518" s="10" t="s">
        <v>36</v>
      </c>
      <c r="D518" s="381" t="s">
        <v>96</v>
      </c>
      <c r="E518" s="381" t="s">
        <v>1167</v>
      </c>
      <c r="F518" s="380">
        <f>+MOD(Tabla8[[#This Row],[HR. FIN]]-Tabla8[[#This Row],[HR. INICIO]],1)</f>
        <v>1.3888888888888895E-2</v>
      </c>
      <c r="G518" s="16" t="s">
        <v>169</v>
      </c>
      <c r="H518" s="343" t="str">
        <f>IFERROR(VLOOKUP(G518,DATOS!$M$2:$N$219,2,FALSE),"")</f>
        <v>Maquinaria</v>
      </c>
      <c r="I518" s="115" t="s">
        <v>32</v>
      </c>
      <c r="J518" s="115" t="str">
        <f>+VLOOKUP($I518,Tabla7[#All],2,FALSE)</f>
        <v>PROGRAMADA</v>
      </c>
      <c r="K518" s="114" t="str">
        <f>IF(VLOOKUP(I518,Tabla7[#All],3,FALSE)=0,"",VLOOKUP(I518,Tabla7[#All],3,FALSE))</f>
        <v/>
      </c>
      <c r="L518" s="35" t="s">
        <v>1168</v>
      </c>
      <c r="M518" s="35" t="s">
        <v>1166</v>
      </c>
      <c r="N518" s="35" t="str" cm="1">
        <f t="array" ref="N518">IFERROR(IF(Tabla8[[#This Row],[P/NP]]="NO PROGRAMADA","",_xlfn.TEXTJOIN(", ",TRUE,_xlfn._xlws.FILTER(Tabla4[[#All],[PIEZA]],ISNUMBER(SEARCH(Tabla4[[#All],[PCLAVE]],Tabla8[[#This Row],[DESCRIPCION DE TRABAJO]])),""))),"")</f>
        <v/>
      </c>
      <c r="O518" s="35" t="str" cm="1">
        <f t="array" ref="O518">_xlfn.TEXTJOIN(", ",TRUE,_xlfn._xlws.FILTER(Tabla28[[#All],[PARTE]],ISNUMBER(SEARCH(Tabla28[[#All],[PCLAVE2]],Tabla8[[#This Row],[DESCRIPCION DE TRABAJO]])),""))</f>
        <v/>
      </c>
      <c r="P518" s="303" t="str">
        <f>IFERROR(LEFT(O518, FIND(",", O518)-1), O518)</f>
        <v/>
      </c>
      <c r="Q518" s="303" t="str">
        <f>IFERROR(IF(ISERROR(FIND(",", O518, FIND(",", O518)+1)), RIGHT(O518, LEN(O518)-FIND(",", O518)-1), MID(O518, FIND(",", O518)+2, FIND(",", O518, FIND(",", O518)+1)-FIND(",", O518)-2)), "")</f>
        <v/>
      </c>
      <c r="R518" s="303" t="str">
        <f>IFERROR(RIGHT(O518, LEN(O518)-FIND(",", O518, FIND(",", O518)+1)-1), "")</f>
        <v/>
      </c>
      <c r="S518" s="35" t="str" cm="1">
        <f t="array" ref="S518">_xlfn.TEXTJOIN(", ",TRUE,_xlfn._xlws.FILTER(Tabla29[[#All],[PARTE]],ISNUMBER(SEARCH(Tabla29[[#All],[PCLAVE3]],Tabla8[[#This Row],[DESCRIPCION DE TRABAJO]])),""))</f>
        <v/>
      </c>
      <c r="T518" s="34" t="str">
        <f>IF(AND(Tabla8[[#This Row],[PIEZA]]="",Tabla8[[#This Row],[PARTE]]=""),"VACIO","OK")</f>
        <v>VACIO</v>
      </c>
      <c r="U518" s="303" t="str">
        <f>+CONCATENATE(WEEKNUM(Tabla8[[#This Row],[FECHA]]),"-",YEAR(Tabla8[[#This Row],[FECHA]]))</f>
        <v>11-2026</v>
      </c>
    </row>
    <row r="519" spans="1:21" ht="15" customHeight="1">
      <c r="A519" s="22">
        <v>46090</v>
      </c>
      <c r="B519" s="16" t="s">
        <v>111</v>
      </c>
      <c r="C519" s="10" t="s">
        <v>39</v>
      </c>
      <c r="D519" s="381" t="s">
        <v>1169</v>
      </c>
      <c r="E519" s="381" t="s">
        <v>426</v>
      </c>
      <c r="F519" s="380">
        <f>+MOD(Tabla8[[#This Row],[HR. FIN]]-Tabla8[[#This Row],[HR. INICIO]],1)</f>
        <v>1.388888888888884E-2</v>
      </c>
      <c r="G519" s="16" t="s">
        <v>202</v>
      </c>
      <c r="H519" s="343" t="str">
        <f>IFERROR(VLOOKUP(G519,DATOS!$M$2:$N$219,2,FALSE),"")</f>
        <v>Maquinaria</v>
      </c>
      <c r="I519" s="115" t="s">
        <v>32</v>
      </c>
      <c r="J519" s="115" t="str">
        <f>+VLOOKUP($I519,Tabla7[#All],2,FALSE)</f>
        <v>PROGRAMADA</v>
      </c>
      <c r="K519" s="114" t="str">
        <f>IF(VLOOKUP(I519,Tabla7[#All],3,FALSE)=0,"",VLOOKUP(I519,Tabla7[#All],3,FALSE))</f>
        <v/>
      </c>
      <c r="L519" s="35" t="s">
        <v>1170</v>
      </c>
      <c r="M519" s="35" t="s">
        <v>121</v>
      </c>
      <c r="N519" s="35" t="str" cm="1">
        <f t="array" ref="N519">IFERROR(IF(Tabla8[[#This Row],[P/NP]]="NO PROGRAMADA","",_xlfn.TEXTJOIN(", ",TRUE,_xlfn._xlws.FILTER(Tabla4[[#All],[PIEZA]],ISNUMBER(SEARCH(Tabla4[[#All],[PCLAVE]],Tabla8[[#This Row],[DESCRIPCION DE TRABAJO]])),""))),"")</f>
        <v>Iman, Criba</v>
      </c>
      <c r="O519" s="35" t="str" cm="1">
        <f t="array" ref="O519">_xlfn.TEXTJOIN(", ",TRUE,_xlfn._xlws.FILTER(Tabla28[[#All],[PARTE]],ISNUMBER(SEARCH(Tabla28[[#All],[PCLAVE2]],Tabla8[[#This Row],[DESCRIPCION DE TRABAJO]])),""))</f>
        <v/>
      </c>
      <c r="P519" s="303" t="str">
        <f>IFERROR(LEFT(O519, FIND(",", O519)-1), O519)</f>
        <v/>
      </c>
      <c r="Q519" s="303" t="str">
        <f>IFERROR(IF(ISERROR(FIND(",", O519, FIND(",", O519)+1)), RIGHT(O519, LEN(O519)-FIND(",", O519)-1), MID(O519, FIND(",", O519)+2, FIND(",", O519, FIND(",", O519)+1)-FIND(",", O519)-2)), "")</f>
        <v/>
      </c>
      <c r="R519" s="303" t="str">
        <f>IFERROR(RIGHT(O519, LEN(O519)-FIND(",", O519, FIND(",", O519)+1)-1), "")</f>
        <v/>
      </c>
      <c r="S519" s="35" t="str" cm="1">
        <f t="array" ref="S519">_xlfn.TEXTJOIN(", ",TRUE,_xlfn._xlws.FILTER(Tabla29[[#All],[PARTE]],ISNUMBER(SEARCH(Tabla29[[#All],[PCLAVE3]],Tabla8[[#This Row],[DESCRIPCION DE TRABAJO]])),""))</f>
        <v/>
      </c>
      <c r="T519" s="34" t="str">
        <f>IF(AND(Tabla8[[#This Row],[PIEZA]]="",Tabla8[[#This Row],[PARTE]]=""),"VACIO","OK")</f>
        <v>OK</v>
      </c>
      <c r="U519" s="303" t="str">
        <f>+CONCATENATE(WEEKNUM(Tabla8[[#This Row],[FECHA]]),"-",YEAR(Tabla8[[#This Row],[FECHA]]))</f>
        <v>11-2026</v>
      </c>
    </row>
    <row r="520" spans="1:21" ht="15" customHeight="1">
      <c r="A520" s="22">
        <v>46090</v>
      </c>
      <c r="B520" s="16" t="s">
        <v>191</v>
      </c>
      <c r="C520" s="10" t="s">
        <v>23</v>
      </c>
      <c r="D520" s="381" t="s">
        <v>780</v>
      </c>
      <c r="E520" s="381" t="s">
        <v>1171</v>
      </c>
      <c r="F520" s="380">
        <f>+MOD(Tabla8[[#This Row],[HR. FIN]]-Tabla8[[#This Row],[HR. INICIO]],1)</f>
        <v>1.1805555555555514E-2</v>
      </c>
      <c r="G520" s="16" t="s">
        <v>215</v>
      </c>
      <c r="H520" s="343" t="str">
        <f>IFERROR(VLOOKUP(G520,DATOS!$M$2:$N$219,2,FALSE),"")</f>
        <v>Equipos auxiliares</v>
      </c>
      <c r="I520" s="115" t="s">
        <v>54</v>
      </c>
      <c r="J520" s="115" t="str">
        <f>+VLOOKUP($I520,Tabla7[#All],2,FALSE)</f>
        <v>PROGRAMADA</v>
      </c>
      <c r="K520" s="114" t="str">
        <f>IF(VLOOKUP(I520,Tabla7[#All],3,FALSE)=0,"",VLOOKUP(I520,Tabla7[#All],3,FALSE))</f>
        <v/>
      </c>
      <c r="L520" s="35" t="s">
        <v>248</v>
      </c>
      <c r="M520" s="35" t="s">
        <v>121</v>
      </c>
      <c r="N520" s="35" t="str" cm="1">
        <f t="array" ref="N520">IFERROR(IF(Tabla8[[#This Row],[P/NP]]="NO PROGRAMADA","",_xlfn.TEXTJOIN(", ",TRUE,_xlfn._xlws.FILTER(Tabla4[[#All],[PIEZA]],ISNUMBER(SEARCH(Tabla4[[#All],[PCLAVE]],Tabla8[[#This Row],[DESCRIPCION DE TRABAJO]])),""))),"")</f>
        <v/>
      </c>
      <c r="O520" s="35" t="str" cm="1">
        <f t="array" ref="O520">_xlfn.TEXTJOIN(", ",TRUE,_xlfn._xlws.FILTER(Tabla28[[#All],[PARTE]],ISNUMBER(SEARCH(Tabla28[[#All],[PCLAVE2]],Tabla8[[#This Row],[DESCRIPCION DE TRABAJO]])),""))</f>
        <v/>
      </c>
      <c r="P520" s="303" t="str">
        <f>IFERROR(LEFT(O520, FIND(",", O520)-1), O520)</f>
        <v/>
      </c>
      <c r="Q520" s="303" t="str">
        <f>IFERROR(IF(ISERROR(FIND(",", O520, FIND(",", O520)+1)), RIGHT(O520, LEN(O520)-FIND(",", O520)-1), MID(O520, FIND(",", O520)+2, FIND(",", O520, FIND(",", O520)+1)-FIND(",", O520)-2)), "")</f>
        <v/>
      </c>
      <c r="R520" s="303" t="str">
        <f>IFERROR(RIGHT(O520, LEN(O520)-FIND(",", O520, FIND(",", O520)+1)-1), "")</f>
        <v/>
      </c>
      <c r="S520" s="35" t="str" cm="1">
        <f t="array" ref="S520">_xlfn.TEXTJOIN(", ",TRUE,_xlfn._xlws.FILTER(Tabla29[[#All],[PARTE]],ISNUMBER(SEARCH(Tabla29[[#All],[PCLAVE3]],Tabla8[[#This Row],[DESCRIPCION DE TRABAJO]])),""))</f>
        <v/>
      </c>
      <c r="T520" s="34" t="str">
        <f>IF(AND(Tabla8[[#This Row],[PIEZA]]="",Tabla8[[#This Row],[PARTE]]=""),"VACIO","OK")</f>
        <v>VACIO</v>
      </c>
      <c r="U520" s="303" t="str">
        <f>+CONCATENATE(WEEKNUM(Tabla8[[#This Row],[FECHA]]),"-",YEAR(Tabla8[[#This Row],[FECHA]]))</f>
        <v>11-2026</v>
      </c>
    </row>
    <row r="521" spans="1:21" ht="15" customHeight="1">
      <c r="A521" s="22">
        <v>46090</v>
      </c>
      <c r="B521" s="16" t="s">
        <v>191</v>
      </c>
      <c r="C521" s="10" t="s">
        <v>23</v>
      </c>
      <c r="D521" s="381" t="s">
        <v>1172</v>
      </c>
      <c r="E521" s="381" t="s">
        <v>1173</v>
      </c>
      <c r="F521" s="380">
        <f>+MOD(Tabla8[[#This Row],[HR. FIN]]-Tabla8[[#This Row],[HR. INICIO]],1)</f>
        <v>1.1805555555555514E-2</v>
      </c>
      <c r="G521" s="16" t="s">
        <v>965</v>
      </c>
      <c r="H521" s="343" t="str">
        <f>IFERROR(VLOOKUP(G521,DATOS!$M$2:$N$219,2,FALSE),"")</f>
        <v>Maquinaria</v>
      </c>
      <c r="I521" s="115" t="s">
        <v>390</v>
      </c>
      <c r="J521" s="115" t="str">
        <f>+VLOOKUP($I521,Tabla7[#All],2,FALSE)</f>
        <v>PROGRAMADA</v>
      </c>
      <c r="K521" s="114" t="str">
        <f>IF(VLOOKUP(I521,Tabla7[#All],3,FALSE)=0,"",VLOOKUP(I521,Tabla7[#All],3,FALSE))</f>
        <v/>
      </c>
      <c r="L521" s="35" t="s">
        <v>1174</v>
      </c>
      <c r="M521" s="35" t="s">
        <v>121</v>
      </c>
      <c r="N521" s="35" t="str" cm="1">
        <f t="array" ref="N521">IFERROR(IF(Tabla8[[#This Row],[P/NP]]="NO PROGRAMADA","",_xlfn.TEXTJOIN(", ",TRUE,_xlfn._xlws.FILTER(Tabla4[[#All],[PIEZA]],ISNUMBER(SEARCH(Tabla4[[#All],[PCLAVE]],Tabla8[[#This Row],[DESCRIPCION DE TRABAJO]])),""))),"")</f>
        <v>Cadena</v>
      </c>
      <c r="O521" s="35" t="str" cm="1">
        <f t="array" ref="O521">_xlfn.TEXTJOIN(", ",TRUE,_xlfn._xlws.FILTER(Tabla28[[#All],[PARTE]],ISNUMBER(SEARCH(Tabla28[[#All],[PCLAVE2]],Tabla8[[#This Row],[DESCRIPCION DE TRABAJO]])),""))</f>
        <v/>
      </c>
      <c r="P521" s="303" t="str">
        <f>IFERROR(LEFT(O521, FIND(",", O521)-1), O521)</f>
        <v/>
      </c>
      <c r="Q521" s="303" t="str">
        <f>IFERROR(IF(ISERROR(FIND(",", O521, FIND(",", O521)+1)), RIGHT(O521, LEN(O521)-FIND(",", O521)-1), MID(O521, FIND(",", O521)+2, FIND(",", O521, FIND(",", O521)+1)-FIND(",", O521)-2)), "")</f>
        <v/>
      </c>
      <c r="R521" s="303" t="str">
        <f>IFERROR(RIGHT(O521, LEN(O521)-FIND(",", O521, FIND(",", O521)+1)-1), "")</f>
        <v/>
      </c>
      <c r="S521" s="35" t="str" cm="1">
        <f t="array" ref="S521">_xlfn.TEXTJOIN(", ",TRUE,_xlfn._xlws.FILTER(Tabla29[[#All],[PARTE]],ISNUMBER(SEARCH(Tabla29[[#All],[PCLAVE3]],Tabla8[[#This Row],[DESCRIPCION DE TRABAJO]])),""))</f>
        <v/>
      </c>
      <c r="T521" s="34" t="str">
        <f>IF(AND(Tabla8[[#This Row],[PIEZA]]="",Tabla8[[#This Row],[PARTE]]=""),"VACIO","OK")</f>
        <v>OK</v>
      </c>
      <c r="U521" s="303" t="str">
        <f>+CONCATENATE(WEEKNUM(Tabla8[[#This Row],[FECHA]]),"-",YEAR(Tabla8[[#This Row],[FECHA]]))</f>
        <v>11-2026</v>
      </c>
    </row>
    <row r="522" spans="1:21" ht="15" customHeight="1">
      <c r="A522" s="22">
        <v>46090</v>
      </c>
      <c r="B522" s="16" t="s">
        <v>179</v>
      </c>
      <c r="C522" s="10" t="s">
        <v>36</v>
      </c>
      <c r="D522" s="381" t="s">
        <v>127</v>
      </c>
      <c r="E522" s="381" t="s">
        <v>462</v>
      </c>
      <c r="F522" s="380">
        <f>+MOD(Tabla8[[#This Row],[HR. FIN]]-Tabla8[[#This Row],[HR. INICIO]],1)</f>
        <v>1.0416666666666685E-2</v>
      </c>
      <c r="G522" s="16" t="s">
        <v>114</v>
      </c>
      <c r="H522" s="343" t="str">
        <f>IFERROR(VLOOKUP(G522,DATOS!$M$2:$N$219,2,FALSE),"")</f>
        <v>Maquinaria</v>
      </c>
      <c r="I522" s="115" t="s">
        <v>54</v>
      </c>
      <c r="J522" s="115" t="str">
        <f>+VLOOKUP($I522,Tabla7[#All],2,FALSE)</f>
        <v>PROGRAMADA</v>
      </c>
      <c r="K522" s="114" t="str">
        <f>IF(VLOOKUP(I522,Tabla7[#All],3,FALSE)=0,"",VLOOKUP(I522,Tabla7[#All],3,FALSE))</f>
        <v/>
      </c>
      <c r="L522" s="35" t="s">
        <v>1175</v>
      </c>
      <c r="M522" s="35" t="s">
        <v>121</v>
      </c>
      <c r="N522" s="35" t="str" cm="1">
        <f t="array" ref="N522">IFERROR(IF(Tabla8[[#This Row],[P/NP]]="NO PROGRAMADA","",_xlfn.TEXTJOIN(", ",TRUE,_xlfn._xlws.FILTER(Tabla4[[#All],[PIEZA]],ISNUMBER(SEARCH(Tabla4[[#All],[PCLAVE]],Tabla8[[#This Row],[DESCRIPCION DE TRABAJO]])),""))),"")</f>
        <v/>
      </c>
      <c r="O522" s="35" t="str" cm="1">
        <f t="array" ref="O522">_xlfn.TEXTJOIN(", ",TRUE,_xlfn._xlws.FILTER(Tabla28[[#All],[PARTE]],ISNUMBER(SEARCH(Tabla28[[#All],[PCLAVE2]],Tabla8[[#This Row],[DESCRIPCION DE TRABAJO]])),""))</f>
        <v/>
      </c>
      <c r="P522" s="303" t="str">
        <f>IFERROR(LEFT(O522, FIND(",", O522)-1), O522)</f>
        <v/>
      </c>
      <c r="Q522" s="303" t="str">
        <f>IFERROR(IF(ISERROR(FIND(",", O522, FIND(",", O522)+1)), RIGHT(O522, LEN(O522)-FIND(",", O522)-1), MID(O522, FIND(",", O522)+2, FIND(",", O522, FIND(",", O522)+1)-FIND(",", O522)-2)), "")</f>
        <v/>
      </c>
      <c r="R522" s="303" t="str">
        <f>IFERROR(RIGHT(O522, LEN(O522)-FIND(",", O522, FIND(",", O522)+1)-1), "")</f>
        <v/>
      </c>
      <c r="S522" s="35" t="str" cm="1">
        <f t="array" ref="S522">_xlfn.TEXTJOIN(", ",TRUE,_xlfn._xlws.FILTER(Tabla29[[#All],[PARTE]],ISNUMBER(SEARCH(Tabla29[[#All],[PCLAVE3]],Tabla8[[#This Row],[DESCRIPCION DE TRABAJO]])),""))</f>
        <v/>
      </c>
      <c r="T522" s="34" t="str">
        <f>IF(AND(Tabla8[[#This Row],[PIEZA]]="",Tabla8[[#This Row],[PARTE]]=""),"VACIO","OK")</f>
        <v>VACIO</v>
      </c>
      <c r="U522" s="303" t="str">
        <f>+CONCATENATE(WEEKNUM(Tabla8[[#This Row],[FECHA]]),"-",YEAR(Tabla8[[#This Row],[FECHA]]))</f>
        <v>11-2026</v>
      </c>
    </row>
    <row r="523" spans="1:21" ht="15" customHeight="1">
      <c r="A523" s="22">
        <v>46090</v>
      </c>
      <c r="B523" s="16" t="s">
        <v>88</v>
      </c>
      <c r="C523" s="10" t="s">
        <v>36</v>
      </c>
      <c r="D523" s="381" t="s">
        <v>1176</v>
      </c>
      <c r="E523" s="381" t="s">
        <v>399</v>
      </c>
      <c r="F523" s="380">
        <f>+MOD(Tabla8[[#This Row],[HR. FIN]]-Tabla8[[#This Row],[HR. INICIO]],1)</f>
        <v>6.9444444444444753E-3</v>
      </c>
      <c r="G523" s="16" t="s">
        <v>1063</v>
      </c>
      <c r="H523" s="343" t="str">
        <f>IFERROR(VLOOKUP(G523,DATOS!$M$2:$N$219,2,FALSE),"")</f>
        <v>Maquinaria</v>
      </c>
      <c r="I523" s="115" t="s">
        <v>32</v>
      </c>
      <c r="J523" s="115" t="str">
        <f>+VLOOKUP($I523,Tabla7[#All],2,FALSE)</f>
        <v>PROGRAMADA</v>
      </c>
      <c r="K523" s="114" t="str">
        <f>IF(VLOOKUP(I523,Tabla7[#All],3,FALSE)=0,"",VLOOKUP(I523,Tabla7[#All],3,FALSE))</f>
        <v/>
      </c>
      <c r="L523" s="35" t="s">
        <v>367</v>
      </c>
      <c r="M523" s="35" t="s">
        <v>1166</v>
      </c>
      <c r="N523" s="35" t="str" cm="1">
        <f t="array" ref="N523">IFERROR(IF(Tabla8[[#This Row],[P/NP]]="NO PROGRAMADA","",_xlfn.TEXTJOIN(", ",TRUE,_xlfn._xlws.FILTER(Tabla4[[#All],[PIEZA]],ISNUMBER(SEARCH(Tabla4[[#All],[PCLAVE]],Tabla8[[#This Row],[DESCRIPCION DE TRABAJO]])),""))),"")</f>
        <v/>
      </c>
      <c r="O523" s="35" t="str" cm="1">
        <f t="array" ref="O523">_xlfn.TEXTJOIN(", ",TRUE,_xlfn._xlws.FILTER(Tabla28[[#All],[PARTE]],ISNUMBER(SEARCH(Tabla28[[#All],[PCLAVE2]],Tabla8[[#This Row],[DESCRIPCION DE TRABAJO]])),""))</f>
        <v/>
      </c>
      <c r="P523" s="303" t="str">
        <f>IFERROR(LEFT(O523, FIND(",", O523)-1), O523)</f>
        <v/>
      </c>
      <c r="Q523" s="303" t="str">
        <f>IFERROR(IF(ISERROR(FIND(",", O523, FIND(",", O523)+1)), RIGHT(O523, LEN(O523)-FIND(",", O523)-1), MID(O523, FIND(",", O523)+2, FIND(",", O523, FIND(",", O523)+1)-FIND(",", O523)-2)), "")</f>
        <v/>
      </c>
      <c r="R523" s="303" t="str">
        <f>IFERROR(RIGHT(O523, LEN(O523)-FIND(",", O523, FIND(",", O523)+1)-1), "")</f>
        <v/>
      </c>
      <c r="S523" s="35" t="str" cm="1">
        <f t="array" ref="S523">_xlfn.TEXTJOIN(", ",TRUE,_xlfn._xlws.FILTER(Tabla29[[#All],[PARTE]],ISNUMBER(SEARCH(Tabla29[[#All],[PCLAVE3]],Tabla8[[#This Row],[DESCRIPCION DE TRABAJO]])),""))</f>
        <v/>
      </c>
      <c r="T523" s="34" t="str">
        <f>IF(AND(Tabla8[[#This Row],[PIEZA]]="",Tabla8[[#This Row],[PARTE]]=""),"VACIO","OK")</f>
        <v>VACIO</v>
      </c>
      <c r="U523" s="303" t="str">
        <f>+CONCATENATE(WEEKNUM(Tabla8[[#This Row],[FECHA]]),"-",YEAR(Tabla8[[#This Row],[FECHA]]))</f>
        <v>11-2026</v>
      </c>
    </row>
    <row r="524" spans="1:21" ht="15" customHeight="1">
      <c r="A524" s="22">
        <v>46090</v>
      </c>
      <c r="B524" s="16" t="s">
        <v>179</v>
      </c>
      <c r="C524" s="10" t="s">
        <v>36</v>
      </c>
      <c r="D524" s="381" t="s">
        <v>399</v>
      </c>
      <c r="E524" s="381" t="s">
        <v>126</v>
      </c>
      <c r="F524" s="380">
        <f>+MOD(Tabla8[[#This Row],[HR. FIN]]-Tabla8[[#This Row],[HR. INICIO]],1)</f>
        <v>6.9444444444444198E-3</v>
      </c>
      <c r="G524" s="16" t="s">
        <v>1177</v>
      </c>
      <c r="H524" s="343" t="str">
        <f>IFERROR(VLOOKUP(G524,DATOS!$M$2:$N$219,2,FALSE),"")</f>
        <v>Maquinaria</v>
      </c>
      <c r="I524" s="115" t="s">
        <v>61</v>
      </c>
      <c r="J524" s="115" t="str">
        <f>+VLOOKUP($I524,Tabla7[#All],2,FALSE)</f>
        <v>PROGRAMADA</v>
      </c>
      <c r="K524" s="114" t="str">
        <f>IF(VLOOKUP(I524,Tabla7[#All],3,FALSE)=0,"",VLOOKUP(I524,Tabla7[#All],3,FALSE))</f>
        <v/>
      </c>
      <c r="L524" s="35" t="s">
        <v>1178</v>
      </c>
      <c r="M524" s="35" t="s">
        <v>121</v>
      </c>
      <c r="N524" s="35" t="str" cm="1">
        <f t="array" ref="N524">IFERROR(IF(Tabla8[[#This Row],[P/NP]]="NO PROGRAMADA","",_xlfn.TEXTJOIN(", ",TRUE,_xlfn._xlws.FILTER(Tabla4[[#All],[PIEZA]],ISNUMBER(SEARCH(Tabla4[[#All],[PCLAVE]],Tabla8[[#This Row],[DESCRIPCION DE TRABAJO]])),""))),"")</f>
        <v>Manguera</v>
      </c>
      <c r="O524" s="35" t="str" cm="1">
        <f t="array" ref="O524">_xlfn.TEXTJOIN(", ",TRUE,_xlfn._xlws.FILTER(Tabla28[[#All],[PARTE]],ISNUMBER(SEARCH(Tabla28[[#All],[PCLAVE2]],Tabla8[[#This Row],[DESCRIPCION DE TRABAJO]])),""))</f>
        <v/>
      </c>
      <c r="P524" s="303" t="str">
        <f>IFERROR(LEFT(O524, FIND(",", O524)-1), O524)</f>
        <v/>
      </c>
      <c r="Q524" s="303" t="str">
        <f>IFERROR(IF(ISERROR(FIND(",", O524, FIND(",", O524)+1)), RIGHT(O524, LEN(O524)-FIND(",", O524)-1), MID(O524, FIND(",", O524)+2, FIND(",", O524, FIND(",", O524)+1)-FIND(",", O524)-2)), "")</f>
        <v/>
      </c>
      <c r="R524" s="303" t="str">
        <f>IFERROR(RIGHT(O524, LEN(O524)-FIND(",", O524, FIND(",", O524)+1)-1), "")</f>
        <v/>
      </c>
      <c r="S524" s="35" t="str" cm="1">
        <f t="array" ref="S524">_xlfn.TEXTJOIN(", ",TRUE,_xlfn._xlws.FILTER(Tabla29[[#All],[PARTE]],ISNUMBER(SEARCH(Tabla29[[#All],[PCLAVE3]],Tabla8[[#This Row],[DESCRIPCION DE TRABAJO]])),""))</f>
        <v>Sustitucion</v>
      </c>
      <c r="T524" s="34" t="str">
        <f>IF(AND(Tabla8[[#This Row],[PIEZA]]="",Tabla8[[#This Row],[PARTE]]=""),"VACIO","OK")</f>
        <v>OK</v>
      </c>
      <c r="U524" s="303" t="str">
        <f>+CONCATENATE(WEEKNUM(Tabla8[[#This Row],[FECHA]]),"-",YEAR(Tabla8[[#This Row],[FECHA]]))</f>
        <v>11-2026</v>
      </c>
    </row>
    <row r="525" spans="1:21" ht="15" customHeight="1">
      <c r="A525" s="22">
        <v>46091</v>
      </c>
      <c r="B525" s="16" t="s">
        <v>191</v>
      </c>
      <c r="C525" s="10" t="s">
        <v>23</v>
      </c>
      <c r="D525" s="381">
        <v>0.5444444444444444</v>
      </c>
      <c r="E525" s="381">
        <v>0.62013888888888891</v>
      </c>
      <c r="F525" s="380">
        <f>+MOD(Tabla8[[#This Row],[HR. FIN]]-Tabla8[[#This Row],[HR. INICIO]],1)</f>
        <v>7.5694444444444509E-2</v>
      </c>
      <c r="G525" s="16" t="s">
        <v>119</v>
      </c>
      <c r="H525" s="343" t="str">
        <f>IFERROR(VLOOKUP(G525,DATOS!$M$2:$N$219,2,FALSE),"")</f>
        <v>Maquinaria</v>
      </c>
      <c r="I525" s="115" t="s">
        <v>32</v>
      </c>
      <c r="J525" s="115" t="s">
        <v>92</v>
      </c>
      <c r="K525" s="114" t="s">
        <v>93</v>
      </c>
      <c r="L525" s="35" t="s">
        <v>1179</v>
      </c>
      <c r="M525" s="35" t="s">
        <v>1180</v>
      </c>
      <c r="N525" s="35" t="str" cm="1">
        <f t="array" ref="N525">IFERROR(IF(Tabla8[[#This Row],[P/NP]]="NO PROGRAMADA","",_xlfn.TEXTJOIN(", ",TRUE,_xlfn._xlws.FILTER(Tabla4[[#All],[PIEZA]],ISNUMBER(SEARCH(Tabla4[[#All],[PCLAVE]],Tabla8[[#This Row],[DESCRIPCION DE TRABAJO]])),""))),"")</f>
        <v/>
      </c>
      <c r="O525" s="35" t="str" cm="1">
        <f t="array" ref="O525">_xlfn.TEXTJOIN(", ",TRUE,_xlfn._xlws.FILTER(Tabla28[[#All],[PARTE]],ISNUMBER(SEARCH(Tabla28[[#All],[PCLAVE2]],Tabla8[[#This Row],[DESCRIPCION DE TRABAJO]])),""))</f>
        <v/>
      </c>
      <c r="P525" s="303" t="str">
        <f>IFERROR(LEFT(O525, FIND(",", O525)-1), O525)</f>
        <v/>
      </c>
      <c r="Q525" s="303" t="str">
        <f>IFERROR(IF(ISERROR(FIND(",", O525, FIND(",", O525)+1)), RIGHT(O525, LEN(O525)-FIND(",", O525)-1), MID(O525, FIND(",", O525)+2, FIND(",", O525, FIND(",", O525)+1)-FIND(",", O525)-2)), "")</f>
        <v/>
      </c>
      <c r="R525" s="303" t="str">
        <f>IFERROR(RIGHT(O525, LEN(O525)-FIND(",", O525, FIND(",", O525)+1)-1), "")</f>
        <v/>
      </c>
      <c r="S525" s="35" t="str" cm="1">
        <f t="array" ref="S525">_xlfn.TEXTJOIN(", ",TRUE,_xlfn._xlws.FILTER(Tabla29[[#All],[PARTE]],ISNUMBER(SEARCH(Tabla29[[#All],[PCLAVE3]],Tabla8[[#This Row],[DESCRIPCION DE TRABAJO]])),""))</f>
        <v>Seco, Temperatura</v>
      </c>
      <c r="T525" s="34" t="str">
        <f>IF(AND(Tabla8[[#This Row],[PIEZA]]="",Tabla8[[#This Row],[PARTE]]=""),"VACIO","OK")</f>
        <v>VACIO</v>
      </c>
      <c r="U525" s="303" t="str">
        <f>+CONCATENATE(WEEKNUM(Tabla8[[#This Row],[FECHA]]),"-",YEAR(Tabla8[[#This Row],[FECHA]]))</f>
        <v>11-2026</v>
      </c>
    </row>
    <row r="526" spans="1:21" ht="15" customHeight="1">
      <c r="A526" s="22">
        <v>46091</v>
      </c>
      <c r="B526" s="16" t="s">
        <v>88</v>
      </c>
      <c r="C526" s="10" t="s">
        <v>36</v>
      </c>
      <c r="D526" s="381">
        <v>0.50694444444444442</v>
      </c>
      <c r="E526" s="381">
        <v>0.5625</v>
      </c>
      <c r="F526" s="380">
        <f>+MOD(Tabla8[[#This Row],[HR. FIN]]-Tabla8[[#This Row],[HR. INICIO]],1)</f>
        <v>5.555555555555558E-2</v>
      </c>
      <c r="G526" s="16" t="s">
        <v>119</v>
      </c>
      <c r="H526" s="343" t="str">
        <f>IFERROR(VLOOKUP(G526,DATOS!$M$2:$N$219,2,FALSE),"")</f>
        <v>Maquinaria</v>
      </c>
      <c r="I526" s="115" t="s">
        <v>57</v>
      </c>
      <c r="J526" s="115" t="str">
        <f>+VLOOKUP($I526,Tabla7[#All],2,FALSE)</f>
        <v>NO PROGRAMADA</v>
      </c>
      <c r="K526" s="114" t="str">
        <f>IF(VLOOKUP(I526,Tabla7[#All],3,FALSE)=0,"",VLOOKUP(I526,Tabla7[#All],3,FALSE))</f>
        <v>MECÁNICA</v>
      </c>
      <c r="L526" s="35" t="s">
        <v>1181</v>
      </c>
      <c r="M526" s="35" t="s">
        <v>1182</v>
      </c>
      <c r="N526" s="35" t="str" cm="1">
        <f t="array" ref="N526">IFERROR(IF(Tabla8[[#This Row],[P/NP]]="NO PROGRAMADA","",_xlfn.TEXTJOIN(", ",TRUE,_xlfn._xlws.FILTER(Tabla4[[#All],[PIEZA]],ISNUMBER(SEARCH(Tabla4[[#All],[PCLAVE]],Tabla8[[#This Row],[DESCRIPCION DE TRABAJO]])),""))),"")</f>
        <v/>
      </c>
      <c r="O526" s="35" t="str" cm="1">
        <f t="array" ref="O526">_xlfn.TEXTJOIN(", ",TRUE,_xlfn._xlws.FILTER(Tabla28[[#All],[PARTE]],ISNUMBER(SEARCH(Tabla28[[#All],[PCLAVE2]],Tabla8[[#This Row],[DESCRIPCION DE TRABAJO]])),""))</f>
        <v/>
      </c>
      <c r="P526" s="303" t="str">
        <f>IFERROR(LEFT(O526, FIND(",", O526)-1), O526)</f>
        <v/>
      </c>
      <c r="Q526" s="303" t="str">
        <f>IFERROR(IF(ISERROR(FIND(",", O526, FIND(",", O526)+1)), RIGHT(O526, LEN(O526)-FIND(",", O526)-1), MID(O526, FIND(",", O526)+2, FIND(",", O526, FIND(",", O526)+1)-FIND(",", O526)-2)), "")</f>
        <v/>
      </c>
      <c r="R526" s="303" t="str">
        <f>IFERROR(RIGHT(O526, LEN(O526)-FIND(",", O526, FIND(",", O526)+1)-1), "")</f>
        <v/>
      </c>
      <c r="S526" s="35" t="str" cm="1">
        <f t="array" ref="S526">_xlfn.TEXTJOIN(", ",TRUE,_xlfn._xlws.FILTER(Tabla29[[#All],[PARTE]],ISNUMBER(SEARCH(Tabla29[[#All],[PCLAVE3]],Tabla8[[#This Row],[DESCRIPCION DE TRABAJO]])),""))</f>
        <v>Temperatura</v>
      </c>
      <c r="T526" s="34" t="str">
        <f>IF(AND(Tabla8[[#This Row],[PIEZA]]="",Tabla8[[#This Row],[PARTE]]=""),"VACIO","OK")</f>
        <v>VACIO</v>
      </c>
      <c r="U526" s="303" t="str">
        <f>+CONCATENATE(WEEKNUM(Tabla8[[#This Row],[FECHA]]),"-",YEAR(Tabla8[[#This Row],[FECHA]]))</f>
        <v>11-2026</v>
      </c>
    </row>
    <row r="527" spans="1:21" ht="15" customHeight="1">
      <c r="A527" s="22">
        <v>46091</v>
      </c>
      <c r="B527" s="16" t="s">
        <v>191</v>
      </c>
      <c r="C527" s="10" t="s">
        <v>23</v>
      </c>
      <c r="D527" s="381">
        <v>0.66527777777777775</v>
      </c>
      <c r="E527" s="381">
        <v>0.70277777777777772</v>
      </c>
      <c r="F527" s="380">
        <f>+MOD(Tabla8[[#This Row],[HR. FIN]]-Tabla8[[#This Row],[HR. INICIO]],1)</f>
        <v>3.7499999999999978E-2</v>
      </c>
      <c r="G527" s="16" t="s">
        <v>153</v>
      </c>
      <c r="H527" s="343" t="str">
        <f>IFERROR(VLOOKUP(G527,DATOS!$M$2:$N$219,2,FALSE),"")</f>
        <v>Maquinaria</v>
      </c>
      <c r="I527" s="115" t="s">
        <v>57</v>
      </c>
      <c r="J527" s="115" t="str">
        <f>+VLOOKUP($I527,Tabla7[#All],2,FALSE)</f>
        <v>NO PROGRAMADA</v>
      </c>
      <c r="K527" s="114" t="str">
        <f>IF(VLOOKUP(I527,Tabla7[#All],3,FALSE)=0,"",VLOOKUP(I527,Tabla7[#All],3,FALSE))</f>
        <v>MECÁNICA</v>
      </c>
      <c r="L527" s="35" t="s">
        <v>1183</v>
      </c>
      <c r="M527" s="35" t="s">
        <v>1184</v>
      </c>
      <c r="N527" s="35" t="str" cm="1">
        <f t="array" ref="N527">IFERROR(IF(Tabla8[[#This Row],[P/NP]]="NO PROGRAMADA","",_xlfn.TEXTJOIN(", ",TRUE,_xlfn._xlws.FILTER(Tabla4[[#All],[PIEZA]],ISNUMBER(SEARCH(Tabla4[[#All],[PCLAVE]],Tabla8[[#This Row],[DESCRIPCION DE TRABAJO]])),""))),"")</f>
        <v/>
      </c>
      <c r="O527" s="35" t="str" cm="1">
        <f t="array" ref="O527">_xlfn.TEXTJOIN(", ",TRUE,_xlfn._xlws.FILTER(Tabla28[[#All],[PARTE]],ISNUMBER(SEARCH(Tabla28[[#All],[PCLAVE2]],Tabla8[[#This Row],[DESCRIPCION DE TRABAJO]])),""))</f>
        <v>Contraelevador</v>
      </c>
      <c r="P527" s="303" t="str">
        <f>IFERROR(LEFT(O527, FIND(",", O527)-1), O527)</f>
        <v>Contraelevador</v>
      </c>
      <c r="Q527" s="303" t="str">
        <f>IFERROR(IF(ISERROR(FIND(",", O527, FIND(",", O527)+1)), RIGHT(O527, LEN(O527)-FIND(",", O527)-1), MID(O527, FIND(",", O527)+2, FIND(",", O527, FIND(",", O527)+1)-FIND(",", O527)-2)), "")</f>
        <v/>
      </c>
      <c r="R527" s="303" t="str">
        <f>IFERROR(RIGHT(O527, LEN(O527)-FIND(",", O527, FIND(",", O527)+1)-1), "")</f>
        <v/>
      </c>
      <c r="S527" s="35" t="str" cm="1">
        <f t="array" ref="S527">_xlfn.TEXTJOIN(", ",TRUE,_xlfn._xlws.FILTER(Tabla29[[#All],[PARTE]],ISNUMBER(SEARCH(Tabla29[[#All],[PCLAVE3]],Tabla8[[#This Row],[DESCRIPCION DE TRABAJO]])),""))</f>
        <v>Colision, Rotura</v>
      </c>
      <c r="T527" s="34" t="str">
        <f>IF(AND(Tabla8[[#This Row],[PIEZA]]="",Tabla8[[#This Row],[PARTE]]=""),"VACIO","OK")</f>
        <v>OK</v>
      </c>
      <c r="U527" s="303" t="str">
        <f>+CONCATENATE(WEEKNUM(Tabla8[[#This Row],[FECHA]]),"-",YEAR(Tabla8[[#This Row],[FECHA]]))</f>
        <v>11-2026</v>
      </c>
    </row>
    <row r="528" spans="1:21" ht="15" customHeight="1">
      <c r="A528" s="22">
        <v>46091</v>
      </c>
      <c r="B528" s="16" t="s">
        <v>111</v>
      </c>
      <c r="C528" s="10" t="s">
        <v>39</v>
      </c>
      <c r="D528" s="381">
        <v>9.0277777777777776E-2</v>
      </c>
      <c r="E528" s="381">
        <v>0.125</v>
      </c>
      <c r="F528" s="380">
        <f>+MOD(Tabla8[[#This Row],[HR. FIN]]-Tabla8[[#This Row],[HR. INICIO]],1)</f>
        <v>3.4722222222222224E-2</v>
      </c>
      <c r="G528" s="16" t="s">
        <v>31</v>
      </c>
      <c r="H528" s="343" t="str">
        <f>IFERROR(VLOOKUP(G528,DATOS!$M$2:$N$219,2,FALSE),"")</f>
        <v>Maquinaria</v>
      </c>
      <c r="I528" s="115" t="s">
        <v>32</v>
      </c>
      <c r="J528" s="115" t="s">
        <v>92</v>
      </c>
      <c r="K528" s="114" t="s">
        <v>93</v>
      </c>
      <c r="L528" s="35" t="s">
        <v>1185</v>
      </c>
      <c r="M528" s="35" t="s">
        <v>1186</v>
      </c>
      <c r="N528" s="35" t="str" cm="1">
        <f t="array" ref="N528">IFERROR(IF(Tabla8[[#This Row],[P/NP]]="NO PROGRAMADA","",_xlfn.TEXTJOIN(", ",TRUE,_xlfn._xlws.FILTER(Tabla4[[#All],[PIEZA]],ISNUMBER(SEARCH(Tabla4[[#All],[PCLAVE]],Tabla8[[#This Row],[DESCRIPCION DE TRABAJO]])),""))),"")</f>
        <v/>
      </c>
      <c r="O528" s="35" t="str" cm="1">
        <f t="array" ref="O528">_xlfn.TEXTJOIN(", ",TRUE,_xlfn._xlws.FILTER(Tabla28[[#All],[PARTE]],ISNUMBER(SEARCH(Tabla28[[#All],[PCLAVE2]],Tabla8[[#This Row],[DESCRIPCION DE TRABAJO]])),""))</f>
        <v/>
      </c>
      <c r="P528" s="303" t="str">
        <f>IFERROR(LEFT(O528, FIND(",", O528)-1), O528)</f>
        <v/>
      </c>
      <c r="Q528" s="303" t="str">
        <f>IFERROR(IF(ISERROR(FIND(",", O528, FIND(",", O528)+1)), RIGHT(O528, LEN(O528)-FIND(",", O528)-1), MID(O528, FIND(",", O528)+2, FIND(",", O528, FIND(",", O528)+1)-FIND(",", O528)-2)), "")</f>
        <v/>
      </c>
      <c r="R528" s="303" t="str">
        <f>IFERROR(RIGHT(O528, LEN(O528)-FIND(",", O528, FIND(",", O528)+1)-1), "")</f>
        <v/>
      </c>
      <c r="S528" s="35" t="str" cm="1">
        <f t="array" ref="S528">_xlfn.TEXTJOIN(", ",TRUE,_xlfn._xlws.FILTER(Tabla29[[#All],[PARTE]],ISNUMBER(SEARCH(Tabla29[[#All],[PCLAVE3]],Tabla8[[#This Row],[DESCRIPCION DE TRABAJO]])),""))</f>
        <v>Laminado</v>
      </c>
      <c r="T528" s="34" t="str">
        <f>IF(AND(Tabla8[[#This Row],[PIEZA]]="",Tabla8[[#This Row],[PARTE]]=""),"VACIO","OK")</f>
        <v>VACIO</v>
      </c>
      <c r="U528" s="303" t="str">
        <f>+CONCATENATE(WEEKNUM(Tabla8[[#This Row],[FECHA]]),"-",YEAR(Tabla8[[#This Row],[FECHA]]))</f>
        <v>11-2026</v>
      </c>
    </row>
    <row r="529" spans="1:21" ht="15" customHeight="1">
      <c r="A529" s="22">
        <v>46091</v>
      </c>
      <c r="B529" s="16" t="s">
        <v>111</v>
      </c>
      <c r="C529" s="10" t="s">
        <v>39</v>
      </c>
      <c r="D529" s="381">
        <v>0</v>
      </c>
      <c r="E529" s="381">
        <v>2.7777777777777776E-2</v>
      </c>
      <c r="F529" s="380">
        <f>+MOD(Tabla8[[#This Row],[HR. FIN]]-Tabla8[[#This Row],[HR. INICIO]],1)</f>
        <v>2.7777777777777776E-2</v>
      </c>
      <c r="G529" s="16" t="s">
        <v>153</v>
      </c>
      <c r="H529" s="343" t="str">
        <f>IFERROR(VLOOKUP(G529,DATOS!$M$2:$N$219,2,FALSE),"")</f>
        <v>Maquinaria</v>
      </c>
      <c r="I529" s="115" t="s">
        <v>57</v>
      </c>
      <c r="J529" s="115" t="str">
        <f>+VLOOKUP($I529,Tabla7[#All],2,FALSE)</f>
        <v>NO PROGRAMADA</v>
      </c>
      <c r="K529" s="114" t="str">
        <f>IF(VLOOKUP(I529,Tabla7[#All],3,FALSE)=0,"",VLOOKUP(I529,Tabla7[#All],3,FALSE))</f>
        <v>MECÁNICA</v>
      </c>
      <c r="L529" s="35" t="s">
        <v>1187</v>
      </c>
      <c r="M529" s="35" t="s">
        <v>121</v>
      </c>
      <c r="N529" s="35" t="str" cm="1">
        <f t="array" ref="N529">IFERROR(IF(Tabla8[[#This Row],[P/NP]]="NO PROGRAMADA","",_xlfn.TEXTJOIN(", ",TRUE,_xlfn._xlws.FILTER(Tabla4[[#All],[PIEZA]],ISNUMBER(SEARCH(Tabla4[[#All],[PCLAVE]],Tabla8[[#This Row],[DESCRIPCION DE TRABAJO]])),""))),"")</f>
        <v/>
      </c>
      <c r="O529" s="35" t="str" cm="1">
        <f t="array" ref="O529">_xlfn.TEXTJOIN(", ",TRUE,_xlfn._xlws.FILTER(Tabla28[[#All],[PARTE]],ISNUMBER(SEARCH(Tabla28[[#All],[PCLAVE2]],Tabla8[[#This Row],[DESCRIPCION DE TRABAJO]])),""))</f>
        <v/>
      </c>
      <c r="P529" s="303" t="str">
        <f>IFERROR(LEFT(O529, FIND(",", O529)-1), O529)</f>
        <v/>
      </c>
      <c r="Q529" s="303" t="str">
        <f>IFERROR(IF(ISERROR(FIND(",", O529, FIND(",", O529)+1)), RIGHT(O529, LEN(O529)-FIND(",", O529)-1), MID(O529, FIND(",", O529)+2, FIND(",", O529, FIND(",", O529)+1)-FIND(",", O529)-2)), "")</f>
        <v/>
      </c>
      <c r="R529" s="303" t="str">
        <f>IFERROR(RIGHT(O529, LEN(O529)-FIND(",", O529, FIND(",", O529)+1)-1), "")</f>
        <v/>
      </c>
      <c r="S529" s="35" t="str" cm="1">
        <f t="array" ref="S529">_xlfn.TEXTJOIN(", ",TRUE,_xlfn._xlws.FILTER(Tabla29[[#All],[PARTE]],ISNUMBER(SEARCH(Tabla29[[#All],[PCLAVE3]],Tabla8[[#This Row],[DESCRIPCION DE TRABAJO]])),""))</f>
        <v>Calibracion, Desalineado</v>
      </c>
      <c r="T529" s="34" t="str">
        <f>IF(AND(Tabla8[[#This Row],[PIEZA]]="",Tabla8[[#This Row],[PARTE]]=""),"VACIO","OK")</f>
        <v>VACIO</v>
      </c>
      <c r="U529" s="303" t="str">
        <f>+CONCATENATE(WEEKNUM(Tabla8[[#This Row],[FECHA]]),"-",YEAR(Tabla8[[#This Row],[FECHA]]))</f>
        <v>11-2026</v>
      </c>
    </row>
    <row r="530" spans="1:21" ht="15" customHeight="1">
      <c r="A530" s="22">
        <v>46091</v>
      </c>
      <c r="B530" s="16" t="s">
        <v>111</v>
      </c>
      <c r="C530" s="10" t="s">
        <v>39</v>
      </c>
      <c r="D530" s="381">
        <v>5.5555555555555552E-2</v>
      </c>
      <c r="E530" s="381">
        <v>8.3333333333333329E-2</v>
      </c>
      <c r="F530" s="380">
        <f>+MOD(Tabla8[[#This Row],[HR. FIN]]-Tabla8[[#This Row],[HR. INICIO]],1)</f>
        <v>2.7777777777777776E-2</v>
      </c>
      <c r="G530" s="16" t="s">
        <v>98</v>
      </c>
      <c r="H530" s="343" t="str">
        <f>IFERROR(VLOOKUP(G530,DATOS!$M$2:$N$219,2,FALSE),"")</f>
        <v>Maquinaria</v>
      </c>
      <c r="I530" s="115" t="s">
        <v>32</v>
      </c>
      <c r="J530" s="115" t="str">
        <f>+VLOOKUP($I530,Tabla7[#All],2,FALSE)</f>
        <v>PROGRAMADA</v>
      </c>
      <c r="K530" s="114" t="str">
        <f>IF(VLOOKUP(I530,Tabla7[#All],3,FALSE)=0,"",VLOOKUP(I530,Tabla7[#All],3,FALSE))</f>
        <v/>
      </c>
      <c r="L530" s="35" t="s">
        <v>449</v>
      </c>
      <c r="M530" s="35" t="s">
        <v>121</v>
      </c>
      <c r="N530" s="35" t="str" cm="1">
        <f t="array" ref="N530">IFERROR(IF(Tabla8[[#This Row],[P/NP]]="NO PROGRAMADA","",_xlfn.TEXTJOIN(", ",TRUE,_xlfn._xlws.FILTER(Tabla4[[#All],[PIEZA]],ISNUMBER(SEARCH(Tabla4[[#All],[PCLAVE]],Tabla8[[#This Row],[DESCRIPCION DE TRABAJO]])),""))),"")</f>
        <v/>
      </c>
      <c r="O530" s="35" t="str" cm="1">
        <f t="array" ref="O530">_xlfn.TEXTJOIN(", ",TRUE,_xlfn._xlws.FILTER(Tabla28[[#All],[PARTE]],ISNUMBER(SEARCH(Tabla28[[#All],[PCLAVE2]],Tabla8[[#This Row],[DESCRIPCION DE TRABAJO]])),""))</f>
        <v/>
      </c>
      <c r="P530" s="303" t="str">
        <f>IFERROR(LEFT(O530, FIND(",", O530)-1), O530)</f>
        <v/>
      </c>
      <c r="Q530" s="303" t="str">
        <f>IFERROR(IF(ISERROR(FIND(",", O530, FIND(",", O530)+1)), RIGHT(O530, LEN(O530)-FIND(",", O530)-1), MID(O530, FIND(",", O530)+2, FIND(",", O530, FIND(",", O530)+1)-FIND(",", O530)-2)), "")</f>
        <v/>
      </c>
      <c r="R530" s="303" t="str">
        <f>IFERROR(RIGHT(O530, LEN(O530)-FIND(",", O530, FIND(",", O530)+1)-1), "")</f>
        <v/>
      </c>
      <c r="S530" s="35" t="str" cm="1">
        <f t="array" ref="S530">_xlfn.TEXTJOIN(", ",TRUE,_xlfn._xlws.FILTER(Tabla29[[#All],[PARTE]],ISNUMBER(SEARCH(Tabla29[[#All],[PCLAVE3]],Tabla8[[#This Row],[DESCRIPCION DE TRABAJO]])),""))</f>
        <v/>
      </c>
      <c r="T530" s="34" t="str">
        <f>IF(AND(Tabla8[[#This Row],[PIEZA]]="",Tabla8[[#This Row],[PARTE]]=""),"VACIO","OK")</f>
        <v>VACIO</v>
      </c>
      <c r="U530" s="303" t="str">
        <f>+CONCATENATE(WEEKNUM(Tabla8[[#This Row],[FECHA]]),"-",YEAR(Tabla8[[#This Row],[FECHA]]))</f>
        <v>11-2026</v>
      </c>
    </row>
    <row r="531" spans="1:21" ht="15" customHeight="1">
      <c r="A531" s="22">
        <v>46091</v>
      </c>
      <c r="B531" s="16" t="s">
        <v>88</v>
      </c>
      <c r="C531" s="10" t="s">
        <v>36</v>
      </c>
      <c r="D531" s="381">
        <v>0.27083333333333331</v>
      </c>
      <c r="E531" s="381">
        <v>0.29166666666666669</v>
      </c>
      <c r="F531" s="380">
        <f>+MOD(Tabla8[[#This Row],[HR. FIN]]-Tabla8[[#This Row],[HR. INICIO]],1)</f>
        <v>2.083333333333337E-2</v>
      </c>
      <c r="G531" s="16" t="s">
        <v>270</v>
      </c>
      <c r="H531" s="343" t="str">
        <f>IFERROR(VLOOKUP(G531,DATOS!$M$2:$N$219,2,FALSE),"")</f>
        <v>Maquinaria</v>
      </c>
      <c r="I531" s="115" t="s">
        <v>54</v>
      </c>
      <c r="J531" s="115" t="str">
        <f>+VLOOKUP($I531,Tabla7[#All],2,FALSE)</f>
        <v>PROGRAMADA</v>
      </c>
      <c r="K531" s="114" t="str">
        <f>IF(VLOOKUP(I531,Tabla7[#All],3,FALSE)=0,"",VLOOKUP(I531,Tabla7[#All],3,FALSE))</f>
        <v/>
      </c>
      <c r="L531" s="35" t="s">
        <v>1103</v>
      </c>
      <c r="M531" s="35" t="s">
        <v>1188</v>
      </c>
      <c r="N531" s="35" t="str" cm="1">
        <f t="array" ref="N531">IFERROR(IF(Tabla8[[#This Row],[P/NP]]="NO PROGRAMADA","",_xlfn.TEXTJOIN(", ",TRUE,_xlfn._xlws.FILTER(Tabla4[[#All],[PIEZA]],ISNUMBER(SEARCH(Tabla4[[#All],[PCLAVE]],Tabla8[[#This Row],[DESCRIPCION DE TRABAJO]])),""))),"")</f>
        <v/>
      </c>
      <c r="O531" s="35" t="str" cm="1">
        <f t="array" ref="O531">_xlfn.TEXTJOIN(", ",TRUE,_xlfn._xlws.FILTER(Tabla28[[#All],[PARTE]],ISNUMBER(SEARCH(Tabla28[[#All],[PCLAVE2]],Tabla8[[#This Row],[DESCRIPCION DE TRABAJO]])),""))</f>
        <v/>
      </c>
      <c r="P531" s="303" t="str">
        <f>IFERROR(LEFT(O531, FIND(",", O531)-1), O531)</f>
        <v/>
      </c>
      <c r="Q531" s="303" t="str">
        <f>IFERROR(IF(ISERROR(FIND(",", O531, FIND(",", O531)+1)), RIGHT(O531, LEN(O531)-FIND(",", O531)-1), MID(O531, FIND(",", O531)+2, FIND(",", O531, FIND(",", O531)+1)-FIND(",", O531)-2)), "")</f>
        <v/>
      </c>
      <c r="R531" s="303" t="str">
        <f>IFERROR(RIGHT(O531, LEN(O531)-FIND(",", O531, FIND(",", O531)+1)-1), "")</f>
        <v/>
      </c>
      <c r="S531" s="35" t="str" cm="1">
        <f t="array" ref="S531">_xlfn.TEXTJOIN(", ",TRUE,_xlfn._xlws.FILTER(Tabla29[[#All],[PARTE]],ISNUMBER(SEARCH(Tabla29[[#All],[PCLAVE3]],Tabla8[[#This Row],[DESCRIPCION DE TRABAJO]])),""))</f>
        <v/>
      </c>
      <c r="T531" s="34" t="str">
        <f>IF(AND(Tabla8[[#This Row],[PIEZA]]="",Tabla8[[#This Row],[PARTE]]=""),"VACIO","OK")</f>
        <v>VACIO</v>
      </c>
      <c r="U531" s="303" t="str">
        <f>+CONCATENATE(WEEKNUM(Tabla8[[#This Row],[FECHA]]),"-",YEAR(Tabla8[[#This Row],[FECHA]]))</f>
        <v>11-2026</v>
      </c>
    </row>
    <row r="532" spans="1:21" ht="15" customHeight="1">
      <c r="A532" s="22">
        <v>46091</v>
      </c>
      <c r="B532" s="16" t="s">
        <v>111</v>
      </c>
      <c r="C532" s="10" t="s">
        <v>39</v>
      </c>
      <c r="D532" s="381">
        <v>2.7777777777777776E-2</v>
      </c>
      <c r="E532" s="381">
        <v>4.8611111111111112E-2</v>
      </c>
      <c r="F532" s="380">
        <f>+MOD(Tabla8[[#This Row],[HR. FIN]]-Tabla8[[#This Row],[HR. INICIO]],1)</f>
        <v>2.0833333333333336E-2</v>
      </c>
      <c r="G532" s="16" t="s">
        <v>182</v>
      </c>
      <c r="H532" s="343" t="str">
        <f>IFERROR(VLOOKUP(G532,DATOS!$M$2:$N$219,2,FALSE),"")</f>
        <v>Maquinaria</v>
      </c>
      <c r="I532" s="115" t="s">
        <v>28</v>
      </c>
      <c r="J532" s="115" t="str">
        <f>+VLOOKUP($I532,Tabla7[#All],2,FALSE)</f>
        <v>NO PROGRAMADA</v>
      </c>
      <c r="K532" s="114" t="s">
        <v>93</v>
      </c>
      <c r="L532" s="35" t="s">
        <v>1189</v>
      </c>
      <c r="M532" s="35" t="s">
        <v>121</v>
      </c>
      <c r="N532" s="35" t="str" cm="1">
        <f t="array" ref="N532">IFERROR(IF(Tabla8[[#This Row],[P/NP]]="NO PROGRAMADA","",_xlfn.TEXTJOIN(", ",TRUE,_xlfn._xlws.FILTER(Tabla4[[#All],[PIEZA]],ISNUMBER(SEARCH(Tabla4[[#All],[PCLAVE]],Tabla8[[#This Row],[DESCRIPCION DE TRABAJO]])),""))),"")</f>
        <v/>
      </c>
      <c r="O532" s="35" t="str" cm="1">
        <f t="array" ref="O532">_xlfn.TEXTJOIN(", ",TRUE,_xlfn._xlws.FILTER(Tabla28[[#All],[PARTE]],ISNUMBER(SEARCH(Tabla28[[#All],[PCLAVE2]],Tabla8[[#This Row],[DESCRIPCION DE TRABAJO]])),""))</f>
        <v/>
      </c>
      <c r="P532" s="303" t="str">
        <f>IFERROR(LEFT(O532, FIND(",", O532)-1), O532)</f>
        <v/>
      </c>
      <c r="Q532" s="303" t="str">
        <f>IFERROR(IF(ISERROR(FIND(",", O532, FIND(",", O532)+1)), RIGHT(O532, LEN(O532)-FIND(",", O532)-1), MID(O532, FIND(",", O532)+2, FIND(",", O532, FIND(",", O532)+1)-FIND(",", O532)-2)), "")</f>
        <v/>
      </c>
      <c r="R532" s="303" t="str">
        <f>IFERROR(RIGHT(O532, LEN(O532)-FIND(",", O532, FIND(",", O532)+1)-1), "")</f>
        <v/>
      </c>
      <c r="S532" s="35" t="str" cm="1">
        <f t="array" ref="S532">_xlfn.TEXTJOIN(", ",TRUE,_xlfn._xlws.FILTER(Tabla29[[#All],[PARTE]],ISNUMBER(SEARCH(Tabla29[[#All],[PCLAVE3]],Tabla8[[#This Row],[DESCRIPCION DE TRABAJO]])),""))</f>
        <v>Calibracion, Laminado</v>
      </c>
      <c r="T532" s="34" t="str">
        <f>IF(AND(Tabla8[[#This Row],[PIEZA]]="",Tabla8[[#This Row],[PARTE]]=""),"VACIO","OK")</f>
        <v>VACIO</v>
      </c>
      <c r="U532" s="303" t="str">
        <f>+CONCATENATE(WEEKNUM(Tabla8[[#This Row],[FECHA]]),"-",YEAR(Tabla8[[#This Row],[FECHA]]))</f>
        <v>11-2026</v>
      </c>
    </row>
    <row r="533" spans="1:21" ht="15" customHeight="1">
      <c r="A533" s="22">
        <v>46091</v>
      </c>
      <c r="B533" s="16" t="s">
        <v>191</v>
      </c>
      <c r="C533" s="10" t="s">
        <v>23</v>
      </c>
      <c r="D533" s="381">
        <v>0.75416666666666665</v>
      </c>
      <c r="E533" s="381">
        <v>0.77222222222222225</v>
      </c>
      <c r="F533" s="380">
        <f>+MOD(Tabla8[[#This Row],[HR. FIN]]-Tabla8[[#This Row],[HR. INICIO]],1)</f>
        <v>1.8055555555555602E-2</v>
      </c>
      <c r="G533" s="16" t="s">
        <v>119</v>
      </c>
      <c r="H533" s="343" t="str">
        <f>IFERROR(VLOOKUP(G533,DATOS!$M$2:$N$219,2,FALSE),"")</f>
        <v>Maquinaria</v>
      </c>
      <c r="I533" s="115" t="s">
        <v>32</v>
      </c>
      <c r="J533" s="115" t="str">
        <f>+VLOOKUP($I533,Tabla7[#All],2,FALSE)</f>
        <v>PROGRAMADA</v>
      </c>
      <c r="K533" s="114" t="str">
        <f>IF(VLOOKUP(I533,Tabla7[#All],3,FALSE)=0,"",VLOOKUP(I533,Tabla7[#All],3,FALSE))</f>
        <v/>
      </c>
      <c r="L533" s="35" t="s">
        <v>1190</v>
      </c>
      <c r="M533" s="35" t="s">
        <v>121</v>
      </c>
      <c r="N533" s="35" t="str" cm="1">
        <f t="array" ref="N533">IFERROR(IF(Tabla8[[#This Row],[P/NP]]="NO PROGRAMADA","",_xlfn.TEXTJOIN(", ",TRUE,_xlfn._xlws.FILTER(Tabla4[[#All],[PIEZA]],ISNUMBER(SEARCH(Tabla4[[#All],[PCLAVE]],Tabla8[[#This Row],[DESCRIPCION DE TRABAJO]])),""))),"")</f>
        <v/>
      </c>
      <c r="O533" s="35" t="str" cm="1">
        <f t="array" ref="O533">_xlfn.TEXTJOIN(", ",TRUE,_xlfn._xlws.FILTER(Tabla28[[#All],[PARTE]],ISNUMBER(SEARCH(Tabla28[[#All],[PCLAVE2]],Tabla8[[#This Row],[DESCRIPCION DE TRABAJO]])),""))</f>
        <v/>
      </c>
      <c r="P533" s="303" t="str">
        <f>IFERROR(LEFT(O533, FIND(",", O533)-1), O533)</f>
        <v/>
      </c>
      <c r="Q533" s="303" t="str">
        <f>IFERROR(IF(ISERROR(FIND(",", O533, FIND(",", O533)+1)), RIGHT(O533, LEN(O533)-FIND(",", O533)-1), MID(O533, FIND(",", O533)+2, FIND(",", O533, FIND(",", O533)+1)-FIND(",", O533)-2)), "")</f>
        <v/>
      </c>
      <c r="R533" s="303" t="str">
        <f>IFERROR(RIGHT(O533, LEN(O533)-FIND(",", O533, FIND(",", O533)+1)-1), "")</f>
        <v/>
      </c>
      <c r="S533" s="35" t="str" cm="1">
        <f t="array" ref="S533">_xlfn.TEXTJOIN(", ",TRUE,_xlfn._xlws.FILTER(Tabla29[[#All],[PARTE]],ISNUMBER(SEARCH(Tabla29[[#All],[PCLAVE3]],Tabla8[[#This Row],[DESCRIPCION DE TRABAJO]])),""))</f>
        <v>Cambio De Formato</v>
      </c>
      <c r="T533" s="34" t="str">
        <f>IF(AND(Tabla8[[#This Row],[PIEZA]]="",Tabla8[[#This Row],[PARTE]]=""),"VACIO","OK")</f>
        <v>VACIO</v>
      </c>
      <c r="U533" s="303" t="str">
        <f>+CONCATENATE(WEEKNUM(Tabla8[[#This Row],[FECHA]]),"-",YEAR(Tabla8[[#This Row],[FECHA]]))</f>
        <v>11-2026</v>
      </c>
    </row>
    <row r="534" spans="1:21" ht="15" customHeight="1">
      <c r="A534" s="22">
        <v>46091</v>
      </c>
      <c r="B534" s="16" t="s">
        <v>111</v>
      </c>
      <c r="C534" s="10" t="s">
        <v>39</v>
      </c>
      <c r="D534" s="381">
        <v>0.89583333333333337</v>
      </c>
      <c r="E534" s="381">
        <v>0.91319444444444442</v>
      </c>
      <c r="F534" s="380">
        <f>+MOD(Tabla8[[#This Row],[HR. FIN]]-Tabla8[[#This Row],[HR. INICIO]],1)</f>
        <v>1.7361111111111049E-2</v>
      </c>
      <c r="G534" s="16" t="s">
        <v>42</v>
      </c>
      <c r="H534" s="343" t="str">
        <f>IFERROR(VLOOKUP(G534,DATOS!$M$2:$N$219,2,FALSE),"")</f>
        <v>Maquinaria</v>
      </c>
      <c r="I534" s="115" t="s">
        <v>54</v>
      </c>
      <c r="J534" s="115" t="str">
        <f>+VLOOKUP($I534,Tabla7[#All],2,FALSE)</f>
        <v>PROGRAMADA</v>
      </c>
      <c r="K534" s="114" t="str">
        <f>IF(VLOOKUP(I534,Tabla7[#All],3,FALSE)=0,"",VLOOKUP(I534,Tabla7[#All],3,FALSE))</f>
        <v/>
      </c>
      <c r="L534" s="35" t="s">
        <v>1191</v>
      </c>
      <c r="M534" s="35" t="s">
        <v>121</v>
      </c>
      <c r="N534" s="35" t="str" cm="1">
        <f t="array" ref="N534">IFERROR(IF(Tabla8[[#This Row],[P/NP]]="NO PROGRAMADA","",_xlfn.TEXTJOIN(", ",TRUE,_xlfn._xlws.FILTER(Tabla4[[#All],[PIEZA]],ISNUMBER(SEARCH(Tabla4[[#All],[PCLAVE]],Tabla8[[#This Row],[DESCRIPCION DE TRABAJO]])),""))),"")</f>
        <v/>
      </c>
      <c r="O534" s="35" t="str" cm="1">
        <f t="array" ref="O534">_xlfn.TEXTJOIN(", ",TRUE,_xlfn._xlws.FILTER(Tabla28[[#All],[PARTE]],ISNUMBER(SEARCH(Tabla28[[#All],[PCLAVE2]],Tabla8[[#This Row],[DESCRIPCION DE TRABAJO]])),""))</f>
        <v/>
      </c>
      <c r="P534" s="303" t="str">
        <f>IFERROR(LEFT(O534, FIND(",", O534)-1), O534)</f>
        <v/>
      </c>
      <c r="Q534" s="303" t="str">
        <f>IFERROR(IF(ISERROR(FIND(",", O534, FIND(",", O534)+1)), RIGHT(O534, LEN(O534)-FIND(",", O534)-1), MID(O534, FIND(",", O534)+2, FIND(",", O534, FIND(",", O534)+1)-FIND(",", O534)-2)), "")</f>
        <v/>
      </c>
      <c r="R534" s="303" t="str">
        <f>IFERROR(RIGHT(O534, LEN(O534)-FIND(",", O534, FIND(",", O534)+1)-1), "")</f>
        <v/>
      </c>
      <c r="S534" s="35" t="str" cm="1">
        <f t="array" ref="S534">_xlfn.TEXTJOIN(", ",TRUE,_xlfn._xlws.FILTER(Tabla29[[#All],[PARTE]],ISNUMBER(SEARCH(Tabla29[[#All],[PCLAVE3]],Tabla8[[#This Row],[DESCRIPCION DE TRABAJO]])),""))</f>
        <v/>
      </c>
      <c r="T534" s="34" t="str">
        <f>IF(AND(Tabla8[[#This Row],[PIEZA]]="",Tabla8[[#This Row],[PARTE]]=""),"VACIO","OK")</f>
        <v>VACIO</v>
      </c>
      <c r="U534" s="303" t="str">
        <f>+CONCATENATE(WEEKNUM(Tabla8[[#This Row],[FECHA]]),"-",YEAR(Tabla8[[#This Row],[FECHA]]))</f>
        <v>11-2026</v>
      </c>
    </row>
    <row r="535" spans="1:21" ht="15" customHeight="1">
      <c r="A535" s="22">
        <v>46091</v>
      </c>
      <c r="B535" s="16" t="s">
        <v>111</v>
      </c>
      <c r="C535" s="10" t="s">
        <v>39</v>
      </c>
      <c r="D535" s="381">
        <v>0.93402777777777779</v>
      </c>
      <c r="E535" s="381">
        <v>0.95138888888888884</v>
      </c>
      <c r="F535" s="380">
        <f>+MOD(Tabla8[[#This Row],[HR. FIN]]-Tabla8[[#This Row],[HR. INICIO]],1)</f>
        <v>1.7361111111111049E-2</v>
      </c>
      <c r="G535" s="16" t="s">
        <v>31</v>
      </c>
      <c r="H535" s="343" t="str">
        <f>IFERROR(VLOOKUP(G535,DATOS!$M$2:$N$219,2,FALSE),"")</f>
        <v>Maquinaria</v>
      </c>
      <c r="I535" s="115" t="s">
        <v>57</v>
      </c>
      <c r="J535" s="115" t="str">
        <f>+VLOOKUP($I535,Tabla7[#All],2,FALSE)</f>
        <v>NO PROGRAMADA</v>
      </c>
      <c r="K535" s="114" t="str">
        <f>IF(VLOOKUP(I535,Tabla7[#All],3,FALSE)=0,"",VLOOKUP(I535,Tabla7[#All],3,FALSE))</f>
        <v>MECÁNICA</v>
      </c>
      <c r="L535" s="35" t="s">
        <v>1192</v>
      </c>
      <c r="M535" s="35" t="s">
        <v>121</v>
      </c>
      <c r="N535" s="35" t="str" cm="1">
        <f t="array" ref="N535">IFERROR(IF(Tabla8[[#This Row],[P/NP]]="NO PROGRAMADA","",_xlfn.TEXTJOIN(", ",TRUE,_xlfn._xlws.FILTER(Tabla4[[#All],[PIEZA]],ISNUMBER(SEARCH(Tabla4[[#All],[PCLAVE]],Tabla8[[#This Row],[DESCRIPCION DE TRABAJO]])),""))),"")</f>
        <v/>
      </c>
      <c r="O535" s="35" t="str" cm="1">
        <f t="array" ref="O535">_xlfn.TEXTJOIN(", ",TRUE,_xlfn._xlws.FILTER(Tabla28[[#All],[PARTE]],ISNUMBER(SEARCH(Tabla28[[#All],[PCLAVE2]],Tabla8[[#This Row],[DESCRIPCION DE TRABAJO]])),""))</f>
        <v>Robot</v>
      </c>
      <c r="P535" s="303" t="str">
        <f>IFERROR(LEFT(O535, FIND(",", O535)-1), O535)</f>
        <v>Robot</v>
      </c>
      <c r="Q535" s="303" t="str">
        <f>IFERROR(IF(ISERROR(FIND(",", O535, FIND(",", O535)+1)), RIGHT(O535, LEN(O535)-FIND(",", O535)-1), MID(O535, FIND(",", O535)+2, FIND(",", O535, FIND(",", O535)+1)-FIND(",", O535)-2)), "")</f>
        <v/>
      </c>
      <c r="R535" s="303" t="str">
        <f>IFERROR(RIGHT(O535, LEN(O535)-FIND(",", O535, FIND(",", O535)+1)-1), "")</f>
        <v/>
      </c>
      <c r="S535" s="35" t="str" cm="1">
        <f t="array" ref="S535">_xlfn.TEXTJOIN(", ",TRUE,_xlfn._xlws.FILTER(Tabla29[[#All],[PARTE]],ISNUMBER(SEARCH(Tabla29[[#All],[PCLAVE3]],Tabla8[[#This Row],[DESCRIPCION DE TRABAJO]])),""))</f>
        <v>Desalineado</v>
      </c>
      <c r="T535" s="34" t="str">
        <f>IF(AND(Tabla8[[#This Row],[PIEZA]]="",Tabla8[[#This Row],[PARTE]]=""),"VACIO","OK")</f>
        <v>OK</v>
      </c>
      <c r="U535" s="303" t="str">
        <f>+CONCATENATE(WEEKNUM(Tabla8[[#This Row],[FECHA]]),"-",YEAR(Tabla8[[#This Row],[FECHA]]))</f>
        <v>11-2026</v>
      </c>
    </row>
    <row r="536" spans="1:21" ht="15" customHeight="1">
      <c r="A536" s="22">
        <v>46091</v>
      </c>
      <c r="B536" s="16" t="s">
        <v>191</v>
      </c>
      <c r="C536" s="10" t="s">
        <v>23</v>
      </c>
      <c r="D536" s="381">
        <v>0.77222222222222225</v>
      </c>
      <c r="E536" s="381">
        <v>0.78888888888888886</v>
      </c>
      <c r="F536" s="380">
        <f>+MOD(Tabla8[[#This Row],[HR. FIN]]-Tabla8[[#This Row],[HR. INICIO]],1)</f>
        <v>1.6666666666666607E-2</v>
      </c>
      <c r="G536" s="16" t="s">
        <v>119</v>
      </c>
      <c r="H536" s="343" t="str">
        <f>IFERROR(VLOOKUP(G536,DATOS!$M$2:$N$219,2,FALSE),"")</f>
        <v>Maquinaria</v>
      </c>
      <c r="I536" s="115" t="s">
        <v>32</v>
      </c>
      <c r="J536" s="115" t="str">
        <f>+VLOOKUP($I536,Tabla7[#All],2,FALSE)</f>
        <v>PROGRAMADA</v>
      </c>
      <c r="K536" s="114" t="str">
        <f>IF(VLOOKUP(I536,Tabla7[#All],3,FALSE)=0,"",VLOOKUP(I536,Tabla7[#All],3,FALSE))</f>
        <v/>
      </c>
      <c r="L536" s="35" t="s">
        <v>233</v>
      </c>
      <c r="M536" s="35" t="s">
        <v>121</v>
      </c>
      <c r="N536" s="35" t="str" cm="1">
        <f t="array" ref="N536">IFERROR(IF(Tabla8[[#This Row],[P/NP]]="NO PROGRAMADA","",_xlfn.TEXTJOIN(", ",TRUE,_xlfn._xlws.FILTER(Tabla4[[#All],[PIEZA]],ISNUMBER(SEARCH(Tabla4[[#All],[PCLAVE]],Tabla8[[#This Row],[DESCRIPCION DE TRABAJO]])),""))),"")</f>
        <v/>
      </c>
      <c r="O536" s="35" t="str" cm="1">
        <f t="array" ref="O536">_xlfn.TEXTJOIN(", ",TRUE,_xlfn._xlws.FILTER(Tabla28[[#All],[PARTE]],ISNUMBER(SEARCH(Tabla28[[#All],[PCLAVE2]],Tabla8[[#This Row],[DESCRIPCION DE TRABAJO]])),""))</f>
        <v>Mds</v>
      </c>
      <c r="P536" s="303" t="str">
        <f>IFERROR(LEFT(O536, FIND(",", O536)-1), O536)</f>
        <v>Mds</v>
      </c>
      <c r="Q536" s="303" t="str">
        <f>IFERROR(IF(ISERROR(FIND(",", O536, FIND(",", O536)+1)), RIGHT(O536, LEN(O536)-FIND(",", O536)-1), MID(O536, FIND(",", O536)+2, FIND(",", O536, FIND(",", O536)+1)-FIND(",", O536)-2)), "")</f>
        <v/>
      </c>
      <c r="R536" s="303" t="str">
        <f>IFERROR(RIGHT(O536, LEN(O536)-FIND(",", O536, FIND(",", O536)+1)-1), "")</f>
        <v/>
      </c>
      <c r="S536" s="35" t="str" cm="1">
        <f t="array" ref="S536">_xlfn.TEXTJOIN(", ",TRUE,_xlfn._xlws.FILTER(Tabla29[[#All],[PARTE]],ISNUMBER(SEARCH(Tabla29[[#All],[PCLAVE3]],Tabla8[[#This Row],[DESCRIPCION DE TRABAJO]])),""))</f>
        <v>Cambio De Formato</v>
      </c>
      <c r="T536" s="34" t="str">
        <f>IF(AND(Tabla8[[#This Row],[PIEZA]]="",Tabla8[[#This Row],[PARTE]]=""),"VACIO","OK")</f>
        <v>OK</v>
      </c>
      <c r="U536" s="303" t="str">
        <f>+CONCATENATE(WEEKNUM(Tabla8[[#This Row],[FECHA]]),"-",YEAR(Tabla8[[#This Row],[FECHA]]))</f>
        <v>11-2026</v>
      </c>
    </row>
    <row r="537" spans="1:21" ht="15" customHeight="1">
      <c r="A537" s="22">
        <v>46091</v>
      </c>
      <c r="B537" s="16" t="s">
        <v>111</v>
      </c>
      <c r="C537" s="10" t="s">
        <v>39</v>
      </c>
      <c r="D537" s="381">
        <v>8.3333333333333329E-2</v>
      </c>
      <c r="E537" s="381">
        <v>9.7222222222222224E-2</v>
      </c>
      <c r="F537" s="380">
        <f>+MOD(Tabla8[[#This Row],[HR. FIN]]-Tabla8[[#This Row],[HR. INICIO]],1)</f>
        <v>1.3888888888888895E-2</v>
      </c>
      <c r="G537" s="16" t="s">
        <v>965</v>
      </c>
      <c r="H537" s="343" t="str">
        <f>IFERROR(VLOOKUP(G537,DATOS!$M$2:$N$219,2,FALSE),"")</f>
        <v>Maquinaria</v>
      </c>
      <c r="I537" s="115" t="s">
        <v>54</v>
      </c>
      <c r="J537" s="115" t="str">
        <f>+VLOOKUP($I537,Tabla7[#All],2,FALSE)</f>
        <v>PROGRAMADA</v>
      </c>
      <c r="K537" s="114" t="str">
        <f>IF(VLOOKUP(I537,Tabla7[#All],3,FALSE)=0,"",VLOOKUP(I537,Tabla7[#All],3,FALSE))</f>
        <v/>
      </c>
      <c r="L537" s="35" t="s">
        <v>225</v>
      </c>
      <c r="M537" s="35" t="s">
        <v>121</v>
      </c>
      <c r="N537" s="35" t="str" cm="1">
        <f t="array" ref="N537">IFERROR(IF(Tabla8[[#This Row],[P/NP]]="NO PROGRAMADA","",_xlfn.TEXTJOIN(", ",TRUE,_xlfn._xlws.FILTER(Tabla4[[#All],[PIEZA]],ISNUMBER(SEARCH(Tabla4[[#All],[PCLAVE]],Tabla8[[#This Row],[DESCRIPCION DE TRABAJO]])),""))),"")</f>
        <v/>
      </c>
      <c r="O537" s="35" t="str" cm="1">
        <f t="array" ref="O537">_xlfn.TEXTJOIN(", ",TRUE,_xlfn._xlws.FILTER(Tabla28[[#All],[PARTE]],ISNUMBER(SEARCH(Tabla28[[#All],[PCLAVE2]],Tabla8[[#This Row],[DESCRIPCION DE TRABAJO]])),""))</f>
        <v/>
      </c>
      <c r="P537" s="303" t="str">
        <f>IFERROR(LEFT(O537, FIND(",", O537)-1), O537)</f>
        <v/>
      </c>
      <c r="Q537" s="303" t="str">
        <f>IFERROR(IF(ISERROR(FIND(",", O537, FIND(",", O537)+1)), RIGHT(O537, LEN(O537)-FIND(",", O537)-1), MID(O537, FIND(",", O537)+2, FIND(",", O537, FIND(",", O537)+1)-FIND(",", O537)-2)), "")</f>
        <v/>
      </c>
      <c r="R537" s="303" t="str">
        <f>IFERROR(RIGHT(O537, LEN(O537)-FIND(",", O537, FIND(",", O537)+1)-1), "")</f>
        <v/>
      </c>
      <c r="S537" s="35" t="str" cm="1">
        <f t="array" ref="S537">_xlfn.TEXTJOIN(", ",TRUE,_xlfn._xlws.FILTER(Tabla29[[#All],[PARTE]],ISNUMBER(SEARCH(Tabla29[[#All],[PCLAVE3]],Tabla8[[#This Row],[DESCRIPCION DE TRABAJO]])),""))</f>
        <v/>
      </c>
      <c r="T537" s="34" t="str">
        <f>IF(AND(Tabla8[[#This Row],[PIEZA]]="",Tabla8[[#This Row],[PARTE]]=""),"VACIO","OK")</f>
        <v>VACIO</v>
      </c>
      <c r="U537" s="303" t="str">
        <f>+CONCATENATE(WEEKNUM(Tabla8[[#This Row],[FECHA]]),"-",YEAR(Tabla8[[#This Row],[FECHA]]))</f>
        <v>11-2026</v>
      </c>
    </row>
    <row r="538" spans="1:21" ht="15" customHeight="1">
      <c r="A538" s="22">
        <v>46091</v>
      </c>
      <c r="B538" s="16" t="s">
        <v>111</v>
      </c>
      <c r="C538" s="10" t="s">
        <v>39</v>
      </c>
      <c r="D538" s="381">
        <v>0.12847222222222221</v>
      </c>
      <c r="E538" s="381">
        <v>0.1423611111111111</v>
      </c>
      <c r="F538" s="380">
        <f>+MOD(Tabla8[[#This Row],[HR. FIN]]-Tabla8[[#This Row],[HR. INICIO]],1)</f>
        <v>1.3888888888888895E-2</v>
      </c>
      <c r="G538" s="16" t="s">
        <v>119</v>
      </c>
      <c r="H538" s="343" t="str">
        <f>IFERROR(VLOOKUP(G538,DATOS!$M$2:$N$219,2,FALSE),"")</f>
        <v>Maquinaria</v>
      </c>
      <c r="I538" s="115" t="s">
        <v>32</v>
      </c>
      <c r="J538" s="115" t="str">
        <f>+VLOOKUP($I538,Tabla7[#All],2,FALSE)</f>
        <v>PROGRAMADA</v>
      </c>
      <c r="K538" s="114" t="str">
        <f>IF(VLOOKUP(I538,Tabla7[#All],3,FALSE)=0,"",VLOOKUP(I538,Tabla7[#All],3,FALSE))</f>
        <v/>
      </c>
      <c r="L538" s="35" t="s">
        <v>618</v>
      </c>
      <c r="M538" s="35" t="s">
        <v>121</v>
      </c>
      <c r="N538" s="35" t="str" cm="1">
        <f t="array" ref="N538">IFERROR(IF(Tabla8[[#This Row],[P/NP]]="NO PROGRAMADA","",_xlfn.TEXTJOIN(", ",TRUE,_xlfn._xlws.FILTER(Tabla4[[#All],[PIEZA]],ISNUMBER(SEARCH(Tabla4[[#All],[PCLAVE]],Tabla8[[#This Row],[DESCRIPCION DE TRABAJO]])),""))),"")</f>
        <v>Husillo, Husillo</v>
      </c>
      <c r="O538" s="35" t="str" cm="1">
        <f t="array" ref="O538">_xlfn.TEXTJOIN(", ",TRUE,_xlfn._xlws.FILTER(Tabla28[[#All],[PARTE]],ISNUMBER(SEARCH(Tabla28[[#All],[PCLAVE2]],Tabla8[[#This Row],[DESCRIPCION DE TRABAJO]])),""))</f>
        <v>Mds</v>
      </c>
      <c r="P538" s="303" t="str">
        <f>IFERROR(LEFT(O538, FIND(",", O538)-1), O538)</f>
        <v>Mds</v>
      </c>
      <c r="Q538" s="303" t="str">
        <f>IFERROR(IF(ISERROR(FIND(",", O538, FIND(",", O538)+1)), RIGHT(O538, LEN(O538)-FIND(",", O538)-1), MID(O538, FIND(",", O538)+2, FIND(",", O538, FIND(",", O538)+1)-FIND(",", O538)-2)), "")</f>
        <v/>
      </c>
      <c r="R538" s="303" t="str">
        <f>IFERROR(RIGHT(O538, LEN(O538)-FIND(",", O538, FIND(",", O538)+1)-1), "")</f>
        <v/>
      </c>
      <c r="S538" s="35" t="str" cm="1">
        <f t="array" ref="S538">_xlfn.TEXTJOIN(", ",TRUE,_xlfn._xlws.FILTER(Tabla29[[#All],[PARTE]],ISNUMBER(SEARCH(Tabla29[[#All],[PCLAVE3]],Tabla8[[#This Row],[DESCRIPCION DE TRABAJO]])),""))</f>
        <v>Sustitucion</v>
      </c>
      <c r="T538" s="34" t="str">
        <f>IF(AND(Tabla8[[#This Row],[PIEZA]]="",Tabla8[[#This Row],[PARTE]]=""),"VACIO","OK")</f>
        <v>OK</v>
      </c>
      <c r="U538" s="303" t="str">
        <f>+CONCATENATE(WEEKNUM(Tabla8[[#This Row],[FECHA]]),"-",YEAR(Tabla8[[#This Row],[FECHA]]))</f>
        <v>11-2026</v>
      </c>
    </row>
    <row r="539" spans="1:21" ht="15" customHeight="1">
      <c r="A539" s="22">
        <v>46091</v>
      </c>
      <c r="B539" s="16" t="s">
        <v>88</v>
      </c>
      <c r="C539" s="10" t="s">
        <v>36</v>
      </c>
      <c r="D539" s="381">
        <v>0.25</v>
      </c>
      <c r="E539" s="381">
        <v>0.2638888888888889</v>
      </c>
      <c r="F539" s="380">
        <f>+MOD(Tabla8[[#This Row],[HR. FIN]]-Tabla8[[#This Row],[HR. INICIO]],1)</f>
        <v>1.3888888888888895E-2</v>
      </c>
      <c r="G539" s="16" t="s">
        <v>119</v>
      </c>
      <c r="H539" s="343" t="str">
        <f>IFERROR(VLOOKUP(G539,DATOS!$M$2:$N$219,2,FALSE),"")</f>
        <v>Maquinaria</v>
      </c>
      <c r="I539" s="115" t="s">
        <v>61</v>
      </c>
      <c r="J539" s="115" t="str">
        <f>+VLOOKUP($I539,Tabla7[#All],2,FALSE)</f>
        <v>PROGRAMADA</v>
      </c>
      <c r="K539" s="114" t="str">
        <f>IF(VLOOKUP(I539,Tabla7[#All],3,FALSE)=0,"",VLOOKUP(I539,Tabla7[#All],3,FALSE))</f>
        <v/>
      </c>
      <c r="L539" s="35" t="s">
        <v>1193</v>
      </c>
      <c r="M539" s="35" t="s">
        <v>1194</v>
      </c>
      <c r="N539" s="35" t="str" cm="1">
        <f t="array" ref="N539">IFERROR(IF(Tabla8[[#This Row],[P/NP]]="NO PROGRAMADA","",_xlfn.TEXTJOIN(", ",TRUE,_xlfn._xlws.FILTER(Tabla4[[#All],[PIEZA]],ISNUMBER(SEARCH(Tabla4[[#All],[PCLAVE]],Tabla8[[#This Row],[DESCRIPCION DE TRABAJO]])),""))),"")</f>
        <v>Husillo, Husillo</v>
      </c>
      <c r="O539" s="35" t="str" cm="1">
        <f t="array" ref="O539">_xlfn.TEXTJOIN(", ",TRUE,_xlfn._xlws.FILTER(Tabla28[[#All],[PARTE]],ISNUMBER(SEARCH(Tabla28[[#All],[PCLAVE2]],Tabla8[[#This Row],[DESCRIPCION DE TRABAJO]])),""))</f>
        <v/>
      </c>
      <c r="P539" s="303" t="str">
        <f>IFERROR(LEFT(O539, FIND(",", O539)-1), O539)</f>
        <v/>
      </c>
      <c r="Q539" s="303" t="str">
        <f>IFERROR(IF(ISERROR(FIND(",", O539, FIND(",", O539)+1)), RIGHT(O539, LEN(O539)-FIND(",", O539)-1), MID(O539, FIND(",", O539)+2, FIND(",", O539, FIND(",", O539)+1)-FIND(",", O539)-2)), "")</f>
        <v/>
      </c>
      <c r="R539" s="303" t="str">
        <f>IFERROR(RIGHT(O539, LEN(O539)-FIND(",", O539, FIND(",", O539)+1)-1), "")</f>
        <v/>
      </c>
      <c r="S539" s="35" t="str" cm="1">
        <f t="array" ref="S539">_xlfn.TEXTJOIN(", ",TRUE,_xlfn._xlws.FILTER(Tabla29[[#All],[PARTE]],ISNUMBER(SEARCH(Tabla29[[#All],[PCLAVE3]],Tabla8[[#This Row],[DESCRIPCION DE TRABAJO]])),""))</f>
        <v>Sustitucion</v>
      </c>
      <c r="T539" s="34" t="str">
        <f>IF(AND(Tabla8[[#This Row],[PIEZA]]="",Tabla8[[#This Row],[PARTE]]=""),"VACIO","OK")</f>
        <v>OK</v>
      </c>
      <c r="U539" s="303" t="str">
        <f>+CONCATENATE(WEEKNUM(Tabla8[[#This Row],[FECHA]]),"-",YEAR(Tabla8[[#This Row],[FECHA]]))</f>
        <v>11-2026</v>
      </c>
    </row>
    <row r="540" spans="1:21" ht="15" customHeight="1">
      <c r="A540" s="22">
        <v>46091</v>
      </c>
      <c r="B540" s="16" t="s">
        <v>88</v>
      </c>
      <c r="C540" s="10" t="s">
        <v>36</v>
      </c>
      <c r="D540" s="381">
        <v>0.41666666666666669</v>
      </c>
      <c r="E540" s="381">
        <v>0.43055555555555558</v>
      </c>
      <c r="F540" s="380">
        <f>+MOD(Tabla8[[#This Row],[HR. FIN]]-Tabla8[[#This Row],[HR. INICIO]],1)</f>
        <v>1.3888888888888895E-2</v>
      </c>
      <c r="G540" s="16" t="s">
        <v>165</v>
      </c>
      <c r="H540" s="343" t="str">
        <f>IFERROR(VLOOKUP(G540,DATOS!$M$2:$N$219,2,FALSE),"")</f>
        <v>Maquinaria</v>
      </c>
      <c r="I540" s="115" t="s">
        <v>28</v>
      </c>
      <c r="J540" s="115" t="str">
        <f>+VLOOKUP($I540,Tabla7[#All],2,FALSE)</f>
        <v>NO PROGRAMADA</v>
      </c>
      <c r="K540" s="114" t="s">
        <v>93</v>
      </c>
      <c r="L540" s="35" t="s">
        <v>1195</v>
      </c>
      <c r="M540" s="35" t="s">
        <v>1196</v>
      </c>
      <c r="N540" s="35" t="str" cm="1">
        <f t="array" ref="N540">IFERROR(IF(Tabla8[[#This Row],[P/NP]]="NO PROGRAMADA","",_xlfn.TEXTJOIN(", ",TRUE,_xlfn._xlws.FILTER(Tabla4[[#All],[PIEZA]],ISNUMBER(SEARCH(Tabla4[[#All],[PCLAVE]],Tabla8[[#This Row],[DESCRIPCION DE TRABAJO]])),""))),"")</f>
        <v/>
      </c>
      <c r="O540" s="35" t="str" cm="1">
        <f t="array" ref="O540">_xlfn.TEXTJOIN(", ",TRUE,_xlfn._xlws.FILTER(Tabla28[[#All],[PARTE]],ISNUMBER(SEARCH(Tabla28[[#All],[PCLAVE2]],Tabla8[[#This Row],[DESCRIPCION DE TRABAJO]])),""))</f>
        <v/>
      </c>
      <c r="P540" s="303" t="str">
        <f>IFERROR(LEFT(O540, FIND(",", O540)-1), O540)</f>
        <v/>
      </c>
      <c r="Q540" s="303" t="str">
        <f>IFERROR(IF(ISERROR(FIND(",", O540, FIND(",", O540)+1)), RIGHT(O540, LEN(O540)-FIND(",", O540)-1), MID(O540, FIND(",", O540)+2, FIND(",", O540, FIND(",", O540)+1)-FIND(",", O540)-2)), "")</f>
        <v/>
      </c>
      <c r="R540" s="303" t="str">
        <f>IFERROR(RIGHT(O540, LEN(O540)-FIND(",", O540, FIND(",", O540)+1)-1), "")</f>
        <v/>
      </c>
      <c r="S540" s="35" t="str" cm="1">
        <f t="array" ref="S540">_xlfn.TEXTJOIN(", ",TRUE,_xlfn._xlws.FILTER(Tabla29[[#All],[PARTE]],ISNUMBER(SEARCH(Tabla29[[#All],[PCLAVE3]],Tabla8[[#This Row],[DESCRIPCION DE TRABAJO]])),""))</f>
        <v>Obstruido</v>
      </c>
      <c r="T540" s="34" t="str">
        <f>IF(AND(Tabla8[[#This Row],[PIEZA]]="",Tabla8[[#This Row],[PARTE]]=""),"VACIO","OK")</f>
        <v>VACIO</v>
      </c>
      <c r="U540" s="303" t="str">
        <f>+CONCATENATE(WEEKNUM(Tabla8[[#This Row],[FECHA]]),"-",YEAR(Tabla8[[#This Row],[FECHA]]))</f>
        <v>11-2026</v>
      </c>
    </row>
    <row r="541" spans="1:21" ht="15" customHeight="1">
      <c r="A541" s="22">
        <v>46091</v>
      </c>
      <c r="B541" s="16" t="s">
        <v>111</v>
      </c>
      <c r="C541" s="10" t="s">
        <v>39</v>
      </c>
      <c r="D541" s="381">
        <v>4.1666666666666664E-2</v>
      </c>
      <c r="E541" s="381">
        <v>5.5555555555555552E-2</v>
      </c>
      <c r="F541" s="380">
        <f>+MOD(Tabla8[[#This Row],[HR. FIN]]-Tabla8[[#This Row],[HR. INICIO]],1)</f>
        <v>1.3888888888888888E-2</v>
      </c>
      <c r="G541" s="16" t="s">
        <v>1197</v>
      </c>
      <c r="H541" s="343" t="str">
        <f>IFERROR(VLOOKUP(G541,DATOS!$M$2:$N$219,2,FALSE),"")</f>
        <v>Maquinaria</v>
      </c>
      <c r="I541" s="115" t="s">
        <v>405</v>
      </c>
      <c r="J541" s="115" t="str">
        <f>+VLOOKUP($I541,Tabla7[#All],2,FALSE)</f>
        <v>PROGRAMADA</v>
      </c>
      <c r="K541" s="114" t="str">
        <f>IF(VLOOKUP(I541,Tabla7[#All],3,FALSE)=0,"",VLOOKUP(I541,Tabla7[#All],3,FALSE))</f>
        <v/>
      </c>
      <c r="L541" s="35" t="s">
        <v>1198</v>
      </c>
      <c r="M541" s="35" t="s">
        <v>121</v>
      </c>
      <c r="N541" s="35" t="str" cm="1">
        <f t="array" ref="N541">IFERROR(IF(Tabla8[[#This Row],[P/NP]]="NO PROGRAMADA","",_xlfn.TEXTJOIN(", ",TRUE,_xlfn._xlws.FILTER(Tabla4[[#All],[PIEZA]],ISNUMBER(SEARCH(Tabla4[[#All],[PCLAVE]],Tabla8[[#This Row],[DESCRIPCION DE TRABAJO]])),""))),"")</f>
        <v/>
      </c>
      <c r="O541" s="35" t="str" cm="1">
        <f t="array" ref="O541">_xlfn.TEXTJOIN(", ",TRUE,_xlfn._xlws.FILTER(Tabla28[[#All],[PARTE]],ISNUMBER(SEARCH(Tabla28[[#All],[PCLAVE2]],Tabla8[[#This Row],[DESCRIPCION DE TRABAJO]])),""))</f>
        <v>Tanque</v>
      </c>
      <c r="P541" s="303" t="str">
        <f>IFERROR(LEFT(O541, FIND(",", O541)-1), O541)</f>
        <v>Tanque</v>
      </c>
      <c r="Q541" s="303" t="str">
        <f>IFERROR(IF(ISERROR(FIND(",", O541, FIND(",", O541)+1)), RIGHT(O541, LEN(O541)-FIND(",", O541)-1), MID(O541, FIND(",", O541)+2, FIND(",", O541, FIND(",", O541)+1)-FIND(",", O541)-2)), "")</f>
        <v/>
      </c>
      <c r="R541" s="303" t="str">
        <f>IFERROR(RIGHT(O541, LEN(O541)-FIND(",", O541, FIND(",", O541)+1)-1), "")</f>
        <v/>
      </c>
      <c r="S541" s="35" t="str" cm="1">
        <f t="array" ref="S541">_xlfn.TEXTJOIN(", ",TRUE,_xlfn._xlws.FILTER(Tabla29[[#All],[PARTE]],ISNUMBER(SEARCH(Tabla29[[#All],[PCLAVE3]],Tabla8[[#This Row],[DESCRIPCION DE TRABAJO]])),""))</f>
        <v/>
      </c>
      <c r="T541" s="34" t="str">
        <f>IF(AND(Tabla8[[#This Row],[PIEZA]]="",Tabla8[[#This Row],[PARTE]]=""),"VACIO","OK")</f>
        <v>OK</v>
      </c>
      <c r="U541" s="303" t="str">
        <f>+CONCATENATE(WEEKNUM(Tabla8[[#This Row],[FECHA]]),"-",YEAR(Tabla8[[#This Row],[FECHA]]))</f>
        <v>11-2026</v>
      </c>
    </row>
    <row r="542" spans="1:21" ht="15" customHeight="1">
      <c r="A542" s="22">
        <v>46091</v>
      </c>
      <c r="B542" s="16" t="s">
        <v>111</v>
      </c>
      <c r="C542" s="10" t="s">
        <v>39</v>
      </c>
      <c r="D542" s="381">
        <v>0.96875</v>
      </c>
      <c r="E542" s="381">
        <v>0.98263888888888884</v>
      </c>
      <c r="F542" s="380">
        <f>+MOD(Tabla8[[#This Row],[HR. FIN]]-Tabla8[[#This Row],[HR. INICIO]],1)</f>
        <v>1.388888888888884E-2</v>
      </c>
      <c r="G542" s="16" t="s">
        <v>182</v>
      </c>
      <c r="H542" s="343" t="str">
        <f>IFERROR(VLOOKUP(G542,DATOS!$M$2:$N$219,2,FALSE),"")</f>
        <v>Maquinaria</v>
      </c>
      <c r="I542" s="115" t="s">
        <v>57</v>
      </c>
      <c r="J542" s="115" t="str">
        <f>+VLOOKUP($I542,Tabla7[#All],2,FALSE)</f>
        <v>NO PROGRAMADA</v>
      </c>
      <c r="K542" s="114" t="str">
        <f>IF(VLOOKUP(I542,Tabla7[#All],3,FALSE)=0,"",VLOOKUP(I542,Tabla7[#All],3,FALSE))</f>
        <v>MECÁNICA</v>
      </c>
      <c r="L542" s="35" t="s">
        <v>1199</v>
      </c>
      <c r="M542" s="35" t="s">
        <v>1200</v>
      </c>
      <c r="N542" s="35" t="str" cm="1">
        <f t="array" ref="N542">IFERROR(IF(Tabla8[[#This Row],[P/NP]]="NO PROGRAMADA","",_xlfn.TEXTJOIN(", ",TRUE,_xlfn._xlws.FILTER(Tabla4[[#All],[PIEZA]],ISNUMBER(SEARCH(Tabla4[[#All],[PCLAVE]],Tabla8[[#This Row],[DESCRIPCION DE TRABAJO]])),""))),"")</f>
        <v/>
      </c>
      <c r="O542" s="35" t="str" cm="1">
        <f t="array" ref="O542">_xlfn.TEXTJOIN(", ",TRUE,_xlfn._xlws.FILTER(Tabla28[[#All],[PARTE]],ISNUMBER(SEARCH(Tabla28[[#All],[PCLAVE2]],Tabla8[[#This Row],[DESCRIPCION DE TRABAJO]])),""))</f>
        <v/>
      </c>
      <c r="P542" s="303" t="str">
        <f>IFERROR(LEFT(O542, FIND(",", O542)-1), O542)</f>
        <v/>
      </c>
      <c r="Q542" s="303" t="str">
        <f>IFERROR(IF(ISERROR(FIND(",", O542, FIND(",", O542)+1)), RIGHT(O542, LEN(O542)-FIND(",", O542)-1), MID(O542, FIND(",", O542)+2, FIND(",", O542, FIND(",", O542)+1)-FIND(",", O542)-2)), "")</f>
        <v/>
      </c>
      <c r="R542" s="303" t="str">
        <f>IFERROR(RIGHT(O542, LEN(O542)-FIND(",", O542, FIND(",", O542)+1)-1), "")</f>
        <v/>
      </c>
      <c r="S542" s="35" t="str" cm="1">
        <f t="array" ref="S542">_xlfn.TEXTJOIN(", ",TRUE,_xlfn._xlws.FILTER(Tabla29[[#All],[PARTE]],ISNUMBER(SEARCH(Tabla29[[#All],[PCLAVE3]],Tabla8[[#This Row],[DESCRIPCION DE TRABAJO]])),""))</f>
        <v>Dañado, Golpea</v>
      </c>
      <c r="T542" s="34" t="str">
        <f>IF(AND(Tabla8[[#This Row],[PIEZA]]="",Tabla8[[#This Row],[PARTE]]=""),"VACIO","OK")</f>
        <v>VACIO</v>
      </c>
      <c r="U542" s="303" t="str">
        <f>+CONCATENATE(WEEKNUM(Tabla8[[#This Row],[FECHA]]),"-",YEAR(Tabla8[[#This Row],[FECHA]]))</f>
        <v>11-2026</v>
      </c>
    </row>
    <row r="543" spans="1:21" ht="15" customHeight="1">
      <c r="A543" s="22">
        <v>46091</v>
      </c>
      <c r="B543" s="16" t="s">
        <v>191</v>
      </c>
      <c r="C543" s="10" t="s">
        <v>23</v>
      </c>
      <c r="D543" s="381">
        <v>0.62361111111111112</v>
      </c>
      <c r="E543" s="381">
        <v>0.63680555555555551</v>
      </c>
      <c r="F543" s="380">
        <f>+MOD(Tabla8[[#This Row],[HR. FIN]]-Tabla8[[#This Row],[HR. INICIO]],1)</f>
        <v>1.3194444444444398E-2</v>
      </c>
      <c r="G543" s="16" t="s">
        <v>31</v>
      </c>
      <c r="H543" s="343" t="str">
        <f>IFERROR(VLOOKUP(G543,DATOS!$M$2:$N$219,2,FALSE),"")</f>
        <v>Maquinaria</v>
      </c>
      <c r="I543" s="115" t="s">
        <v>57</v>
      </c>
      <c r="J543" s="115" t="str">
        <f>+VLOOKUP($I543,Tabla7[#All],2,FALSE)</f>
        <v>NO PROGRAMADA</v>
      </c>
      <c r="K543" s="114" t="str">
        <f>IF(VLOOKUP(I543,Tabla7[#All],3,FALSE)=0,"",VLOOKUP(I543,Tabla7[#All],3,FALSE))</f>
        <v>MECÁNICA</v>
      </c>
      <c r="L543" s="35" t="s">
        <v>1201</v>
      </c>
      <c r="M543" s="35" t="s">
        <v>1202</v>
      </c>
      <c r="N543" s="35" t="str" cm="1">
        <f t="array" ref="N543">IFERROR(IF(Tabla8[[#This Row],[P/NP]]="NO PROGRAMADA","",_xlfn.TEXTJOIN(", ",TRUE,_xlfn._xlws.FILTER(Tabla4[[#All],[PIEZA]],ISNUMBER(SEARCH(Tabla4[[#All],[PCLAVE]],Tabla8[[#This Row],[DESCRIPCION DE TRABAJO]])),""))),"")</f>
        <v/>
      </c>
      <c r="O543" s="35" t="str" cm="1">
        <f t="array" ref="O543">_xlfn.TEXTJOIN(", ",TRUE,_xlfn._xlws.FILTER(Tabla28[[#All],[PARTE]],ISNUMBER(SEARCH(Tabla28[[#All],[PCLAVE2]],Tabla8[[#This Row],[DESCRIPCION DE TRABAJO]])),""))</f>
        <v/>
      </c>
      <c r="P543" s="303" t="str">
        <f>IFERROR(LEFT(O543, FIND(",", O543)-1), O543)</f>
        <v/>
      </c>
      <c r="Q543" s="303" t="str">
        <f>IFERROR(IF(ISERROR(FIND(",", O543, FIND(",", O543)+1)), RIGHT(O543, LEN(O543)-FIND(",", O543)-1), MID(O543, FIND(",", O543)+2, FIND(",", O543, FIND(",", O543)+1)-FIND(",", O543)-2)), "")</f>
        <v/>
      </c>
      <c r="R543" s="303" t="str">
        <f>IFERROR(RIGHT(O543, LEN(O543)-FIND(",", O543, FIND(",", O543)+1)-1), "")</f>
        <v/>
      </c>
      <c r="S543" s="35" t="str" cm="1">
        <f t="array" ref="S543">_xlfn.TEXTJOIN(", ",TRUE,_xlfn._xlws.FILTER(Tabla29[[#All],[PARTE]],ISNUMBER(SEARCH(Tabla29[[#All],[PCLAVE3]],Tabla8[[#This Row],[DESCRIPCION DE TRABAJO]])),""))</f>
        <v>Alimentacion Obstruida, Detenido</v>
      </c>
      <c r="T543" s="34" t="str">
        <f>IF(AND(Tabla8[[#This Row],[PIEZA]]="",Tabla8[[#This Row],[PARTE]]=""),"VACIO","OK")</f>
        <v>VACIO</v>
      </c>
      <c r="U543" s="303" t="str">
        <f>+CONCATENATE(WEEKNUM(Tabla8[[#This Row],[FECHA]]),"-",YEAR(Tabla8[[#This Row],[FECHA]]))</f>
        <v>11-2026</v>
      </c>
    </row>
    <row r="544" spans="1:21" ht="15" customHeight="1">
      <c r="A544" s="22">
        <v>46091</v>
      </c>
      <c r="B544" s="16" t="s">
        <v>111</v>
      </c>
      <c r="C544" s="10" t="s">
        <v>39</v>
      </c>
      <c r="D544" s="381">
        <v>5.9027777777777776E-2</v>
      </c>
      <c r="E544" s="381">
        <v>6.9444444444444448E-2</v>
      </c>
      <c r="F544" s="380">
        <f>+MOD(Tabla8[[#This Row],[HR. FIN]]-Tabla8[[#This Row],[HR. INICIO]],1)</f>
        <v>1.0416666666666671E-2</v>
      </c>
      <c r="G544" s="16" t="s">
        <v>114</v>
      </c>
      <c r="H544" s="343" t="str">
        <f>IFERROR(VLOOKUP(G544,DATOS!$M$2:$N$219,2,FALSE),"")</f>
        <v>Maquinaria</v>
      </c>
      <c r="I544" s="115" t="s">
        <v>61</v>
      </c>
      <c r="J544" s="115" t="s">
        <v>92</v>
      </c>
      <c r="K544" s="114" t="s">
        <v>93</v>
      </c>
      <c r="L544" s="35" t="s">
        <v>1203</v>
      </c>
      <c r="M544" s="35" t="s">
        <v>1204</v>
      </c>
      <c r="N544" s="35" t="str" cm="1">
        <f t="array" ref="N544">IFERROR(IF(Tabla8[[#This Row],[P/NP]]="NO PROGRAMADA","",_xlfn.TEXTJOIN(", ",TRUE,_xlfn._xlws.FILTER(Tabla4[[#All],[PIEZA]],ISNUMBER(SEARCH(Tabla4[[#All],[PCLAVE]],Tabla8[[#This Row],[DESCRIPCION DE TRABAJO]])),""))),"")</f>
        <v/>
      </c>
      <c r="O544" s="35" t="str" cm="1">
        <f t="array" ref="O544">_xlfn.TEXTJOIN(", ",TRUE,_xlfn._xlws.FILTER(Tabla28[[#All],[PARTE]],ISNUMBER(SEARCH(Tabla28[[#All],[PCLAVE2]],Tabla8[[#This Row],[DESCRIPCION DE TRABAJO]])),""))</f>
        <v/>
      </c>
      <c r="P544" s="303" t="str">
        <f>IFERROR(LEFT(O544, FIND(",", O544)-1), O544)</f>
        <v/>
      </c>
      <c r="Q544" s="303" t="str">
        <f>IFERROR(IF(ISERROR(FIND(",", O544, FIND(",", O544)+1)), RIGHT(O544, LEN(O544)-FIND(",", O544)-1), MID(O544, FIND(",", O544)+2, FIND(",", O544, FIND(",", O544)+1)-FIND(",", O544)-2)), "")</f>
        <v/>
      </c>
      <c r="R544" s="303" t="str">
        <f>IFERROR(RIGHT(O544, LEN(O544)-FIND(",", O544, FIND(",", O544)+1)-1), "")</f>
        <v/>
      </c>
      <c r="S544" s="35" t="str" cm="1">
        <f t="array" ref="S544">_xlfn.TEXTJOIN(", ",TRUE,_xlfn._xlws.FILTER(Tabla29[[#All],[PARTE]],ISNUMBER(SEARCH(Tabla29[[#All],[PCLAVE3]],Tabla8[[#This Row],[DESCRIPCION DE TRABAJO]])),""))</f>
        <v/>
      </c>
      <c r="T544" s="34" t="str">
        <f>IF(AND(Tabla8[[#This Row],[PIEZA]]="",Tabla8[[#This Row],[PARTE]]=""),"VACIO","OK")</f>
        <v>VACIO</v>
      </c>
      <c r="U544" s="303" t="str">
        <f>+CONCATENATE(WEEKNUM(Tabla8[[#This Row],[FECHA]]),"-",YEAR(Tabla8[[#This Row],[FECHA]]))</f>
        <v>11-2026</v>
      </c>
    </row>
    <row r="545" spans="1:21" ht="15" customHeight="1">
      <c r="A545" s="22">
        <v>46091</v>
      </c>
      <c r="B545" s="16" t="s">
        <v>111</v>
      </c>
      <c r="C545" s="10" t="s">
        <v>39</v>
      </c>
      <c r="D545" s="381">
        <v>0.1875</v>
      </c>
      <c r="E545" s="381">
        <v>0.19791666666666666</v>
      </c>
      <c r="F545" s="380">
        <f>+MOD(Tabla8[[#This Row],[HR. FIN]]-Tabla8[[#This Row],[HR. INICIO]],1)</f>
        <v>1.0416666666666657E-2</v>
      </c>
      <c r="G545" s="16" t="s">
        <v>1205</v>
      </c>
      <c r="H545" s="343" t="str">
        <f>IFERROR(VLOOKUP(G545,DATOS!$M$2:$N$219,2,FALSE),"")</f>
        <v>Maquinaria</v>
      </c>
      <c r="I545" s="115" t="s">
        <v>57</v>
      </c>
      <c r="J545" s="115" t="str">
        <f>+VLOOKUP($I545,Tabla7[#All],2,FALSE)</f>
        <v>NO PROGRAMADA</v>
      </c>
      <c r="K545" s="114" t="str">
        <f>IF(VLOOKUP(I545,Tabla7[#All],3,FALSE)=0,"",VLOOKUP(I545,Tabla7[#All],3,FALSE))</f>
        <v>MECÁNICA</v>
      </c>
      <c r="L545" s="35" t="s">
        <v>1206</v>
      </c>
      <c r="M545" s="35" t="s">
        <v>1207</v>
      </c>
      <c r="N545" s="35" t="str" cm="1">
        <f t="array" ref="N545">IFERROR(IF(Tabla8[[#This Row],[P/NP]]="NO PROGRAMADA","",_xlfn.TEXTJOIN(", ",TRUE,_xlfn._xlws.FILTER(Tabla4[[#All],[PIEZA]],ISNUMBER(SEARCH(Tabla4[[#All],[PCLAVE]],Tabla8[[#This Row],[DESCRIPCION DE TRABAJO]])),""))),"")</f>
        <v/>
      </c>
      <c r="O545" s="35" t="str" cm="1">
        <f t="array" ref="O545">_xlfn.TEXTJOIN(", ",TRUE,_xlfn._xlws.FILTER(Tabla28[[#All],[PARTE]],ISNUMBER(SEARCH(Tabla28[[#All],[PCLAVE2]],Tabla8[[#This Row],[DESCRIPCION DE TRABAJO]])),""))</f>
        <v>Temperadora</v>
      </c>
      <c r="P545" s="303" t="str">
        <f>IFERROR(LEFT(O545, FIND(",", O545)-1), O545)</f>
        <v>Temperadora</v>
      </c>
      <c r="Q545" s="303" t="str">
        <f>IFERROR(IF(ISERROR(FIND(",", O545, FIND(",", O545)+1)), RIGHT(O545, LEN(O545)-FIND(",", O545)-1), MID(O545, FIND(",", O545)+2, FIND(",", O545, FIND(",", O545)+1)-FIND(",", O545)-2)), "")</f>
        <v/>
      </c>
      <c r="R545" s="303" t="str">
        <f>IFERROR(RIGHT(O545, LEN(O545)-FIND(",", O545, FIND(",", O545)+1)-1), "")</f>
        <v/>
      </c>
      <c r="S545" s="35" t="str" cm="1">
        <f t="array" ref="S545">_xlfn.TEXTJOIN(", ",TRUE,_xlfn._xlws.FILTER(Tabla29[[#All],[PARTE]],ISNUMBER(SEARCH(Tabla29[[#All],[PCLAVE3]],Tabla8[[#This Row],[DESCRIPCION DE TRABAJO]])),""))</f>
        <v>Fuga, Fuga De Agua</v>
      </c>
      <c r="T545" s="34" t="str">
        <f>IF(AND(Tabla8[[#This Row],[PIEZA]]="",Tabla8[[#This Row],[PARTE]]=""),"VACIO","OK")</f>
        <v>OK</v>
      </c>
      <c r="U545" s="303" t="str">
        <f>+CONCATENATE(WEEKNUM(Tabla8[[#This Row],[FECHA]]),"-",YEAR(Tabla8[[#This Row],[FECHA]]))</f>
        <v>11-2026</v>
      </c>
    </row>
    <row r="546" spans="1:21" ht="15" customHeight="1">
      <c r="A546" s="22">
        <v>46091</v>
      </c>
      <c r="B546" s="16" t="s">
        <v>111</v>
      </c>
      <c r="C546" s="10" t="s">
        <v>39</v>
      </c>
      <c r="D546" s="381">
        <v>0.98611111111111116</v>
      </c>
      <c r="E546" s="381">
        <v>0.99652777777777779</v>
      </c>
      <c r="F546" s="380">
        <f>+MOD(Tabla8[[#This Row],[HR. FIN]]-Tabla8[[#This Row],[HR. INICIO]],1)</f>
        <v>1.041666666666663E-2</v>
      </c>
      <c r="G546" s="16" t="s">
        <v>31</v>
      </c>
      <c r="H546" s="343" t="str">
        <f>IFERROR(VLOOKUP(G546,DATOS!$M$2:$N$219,2,FALSE),"")</f>
        <v>Maquinaria</v>
      </c>
      <c r="I546" s="115" t="s">
        <v>57</v>
      </c>
      <c r="J546" s="115" t="str">
        <f>+VLOOKUP($I546,Tabla7[#All],2,FALSE)</f>
        <v>NO PROGRAMADA</v>
      </c>
      <c r="K546" s="114" t="str">
        <f>IF(VLOOKUP(I546,Tabla7[#All],3,FALSE)=0,"",VLOOKUP(I546,Tabla7[#All],3,FALSE))</f>
        <v>MECÁNICA</v>
      </c>
      <c r="L546" s="35" t="s">
        <v>1208</v>
      </c>
      <c r="M546" s="35" t="s">
        <v>1209</v>
      </c>
      <c r="N546" s="35" t="str" cm="1">
        <f t="array" ref="N546">IFERROR(IF(Tabla8[[#This Row],[P/NP]]="NO PROGRAMADA","",_xlfn.TEXTJOIN(", ",TRUE,_xlfn._xlws.FILTER(Tabla4[[#All],[PIEZA]],ISNUMBER(SEARCH(Tabla4[[#All],[PCLAVE]],Tabla8[[#This Row],[DESCRIPCION DE TRABAJO]])),""))),"")</f>
        <v/>
      </c>
      <c r="O546" s="35" t="str" cm="1">
        <f t="array" ref="O546">_xlfn.TEXTJOIN(", ",TRUE,_xlfn._xlws.FILTER(Tabla28[[#All],[PARTE]],ISNUMBER(SEARCH(Tabla28[[#All],[PCLAVE2]],Tabla8[[#This Row],[DESCRIPCION DE TRABAJO]])),""))</f>
        <v>Codificador</v>
      </c>
      <c r="P546" s="303" t="str">
        <f>IFERROR(LEFT(O546, FIND(",", O546)-1), O546)</f>
        <v>Codificador</v>
      </c>
      <c r="Q546" s="303" t="str">
        <f>IFERROR(IF(ISERROR(FIND(",", O546, FIND(",", O546)+1)), RIGHT(O546, LEN(O546)-FIND(",", O546)-1), MID(O546, FIND(",", O546)+2, FIND(",", O546, FIND(",", O546)+1)-FIND(",", O546)-2)), "")</f>
        <v/>
      </c>
      <c r="R546" s="303" t="str">
        <f>IFERROR(RIGHT(O546, LEN(O546)-FIND(",", O546, FIND(",", O546)+1)-1), "")</f>
        <v/>
      </c>
      <c r="S546" s="35" t="str" cm="1">
        <f t="array" ref="S546">_xlfn.TEXTJOIN(", ",TRUE,_xlfn._xlws.FILTER(Tabla29[[#All],[PARTE]],ISNUMBER(SEARCH(Tabla29[[#All],[PCLAVE3]],Tabla8[[#This Row],[DESCRIPCION DE TRABAJO]])),""))</f>
        <v>No Codifica</v>
      </c>
      <c r="T546" s="34" t="str">
        <f>IF(AND(Tabla8[[#This Row],[PIEZA]]="",Tabla8[[#This Row],[PARTE]]=""),"VACIO","OK")</f>
        <v>OK</v>
      </c>
      <c r="U546" s="303" t="str">
        <f>+CONCATENATE(WEEKNUM(Tabla8[[#This Row],[FECHA]]),"-",YEAR(Tabla8[[#This Row],[FECHA]]))</f>
        <v>11-2026</v>
      </c>
    </row>
    <row r="547" spans="1:21" ht="15" customHeight="1">
      <c r="A547" s="22">
        <v>46091</v>
      </c>
      <c r="B547" s="16" t="s">
        <v>88</v>
      </c>
      <c r="C547" s="10" t="s">
        <v>36</v>
      </c>
      <c r="D547" s="381">
        <v>0.32291666666666669</v>
      </c>
      <c r="E547" s="381">
        <v>0.33333333333333331</v>
      </c>
      <c r="F547" s="380">
        <f>+MOD(Tabla8[[#This Row],[HR. FIN]]-Tabla8[[#This Row],[HR. INICIO]],1)</f>
        <v>1.041666666666663E-2</v>
      </c>
      <c r="G547" s="16" t="s">
        <v>182</v>
      </c>
      <c r="H547" s="343" t="str">
        <f>IFERROR(VLOOKUP(G547,DATOS!$M$2:$N$219,2,FALSE),"")</f>
        <v>Maquinaria</v>
      </c>
      <c r="I547" s="115" t="s">
        <v>54</v>
      </c>
      <c r="J547" s="115" t="str">
        <f>+VLOOKUP($I547,Tabla7[#All],2,FALSE)</f>
        <v>PROGRAMADA</v>
      </c>
      <c r="K547" s="114" t="str">
        <f>IF(VLOOKUP(I547,Tabla7[#All],3,FALSE)=0,"",VLOOKUP(I547,Tabla7[#All],3,FALSE))</f>
        <v/>
      </c>
      <c r="L547" s="35" t="s">
        <v>1210</v>
      </c>
      <c r="M547" s="35" t="s">
        <v>1211</v>
      </c>
      <c r="N547" s="35" t="str" cm="1">
        <f t="array" ref="N547">IFERROR(IF(Tabla8[[#This Row],[P/NP]]="NO PROGRAMADA","",_xlfn.TEXTJOIN(", ",TRUE,_xlfn._xlws.FILTER(Tabla4[[#All],[PIEZA]],ISNUMBER(SEARCH(Tabla4[[#All],[PCLAVE]],Tabla8[[#This Row],[DESCRIPCION DE TRABAJO]])),""))),"")</f>
        <v>Cajas</v>
      </c>
      <c r="O547" s="35" t="str" cm="1">
        <f t="array" ref="O547">_xlfn.TEXTJOIN(", ",TRUE,_xlfn._xlws.FILTER(Tabla28[[#All],[PARTE]],ISNUMBER(SEARCH(Tabla28[[#All],[PCLAVE2]],Tabla8[[#This Row],[DESCRIPCION DE TRABAJO]])),""))</f>
        <v/>
      </c>
      <c r="P547" s="303" t="str">
        <f>IFERROR(LEFT(O547, FIND(",", O547)-1), O547)</f>
        <v/>
      </c>
      <c r="Q547" s="303" t="str">
        <f>IFERROR(IF(ISERROR(FIND(",", O547, FIND(",", O547)+1)), RIGHT(O547, LEN(O547)-FIND(",", O547)-1), MID(O547, FIND(",", O547)+2, FIND(",", O547, FIND(",", O547)+1)-FIND(",", O547)-2)), "")</f>
        <v/>
      </c>
      <c r="R547" s="303" t="str">
        <f>IFERROR(RIGHT(O547, LEN(O547)-FIND(",", O547, FIND(",", O547)+1)-1), "")</f>
        <v/>
      </c>
      <c r="S547" s="35" t="str" cm="1">
        <f t="array" ref="S547">_xlfn.TEXTJOIN(", ",TRUE,_xlfn._xlws.FILTER(Tabla29[[#All],[PARTE]],ISNUMBER(SEARCH(Tabla29[[#All],[PCLAVE3]],Tabla8[[#This Row],[DESCRIPCION DE TRABAJO]])),""))</f>
        <v>Sellado</v>
      </c>
      <c r="T547" s="34" t="str">
        <f>IF(AND(Tabla8[[#This Row],[PIEZA]]="",Tabla8[[#This Row],[PARTE]]=""),"VACIO","OK")</f>
        <v>OK</v>
      </c>
      <c r="U547" s="303" t="str">
        <f>+CONCATENATE(WEEKNUM(Tabla8[[#This Row],[FECHA]]),"-",YEAR(Tabla8[[#This Row],[FECHA]]))</f>
        <v>11-2026</v>
      </c>
    </row>
    <row r="548" spans="1:21" ht="15" customHeight="1">
      <c r="A548" s="22">
        <v>46091</v>
      </c>
      <c r="B548" s="16" t="s">
        <v>88</v>
      </c>
      <c r="C548" s="10" t="s">
        <v>36</v>
      </c>
      <c r="D548" s="381">
        <v>0.34027777777777779</v>
      </c>
      <c r="E548" s="381">
        <v>0.35069444444444442</v>
      </c>
      <c r="F548" s="380">
        <f>+MOD(Tabla8[[#This Row],[HR. FIN]]-Tabla8[[#This Row],[HR. INICIO]],1)</f>
        <v>1.041666666666663E-2</v>
      </c>
      <c r="G548" s="16" t="s">
        <v>793</v>
      </c>
      <c r="H548" s="343" t="str">
        <f>IFERROR(VLOOKUP(G548,DATOS!$M$2:$N$219,2,FALSE),"")</f>
        <v>Maquinaria</v>
      </c>
      <c r="I548" s="115" t="s">
        <v>28</v>
      </c>
      <c r="J548" s="115" t="str">
        <f>+VLOOKUP($I548,Tabla7[#All],2,FALSE)</f>
        <v>NO PROGRAMADA</v>
      </c>
      <c r="K548" s="114" t="s">
        <v>93</v>
      </c>
      <c r="L548" s="35" t="s">
        <v>1212</v>
      </c>
      <c r="M548" s="35" t="s">
        <v>1213</v>
      </c>
      <c r="N548" s="35" t="str" cm="1">
        <f t="array" ref="N548">IFERROR(IF(Tabla8[[#This Row],[P/NP]]="NO PROGRAMADA","",_xlfn.TEXTJOIN(", ",TRUE,_xlfn._xlws.FILTER(Tabla4[[#All],[PIEZA]],ISNUMBER(SEARCH(Tabla4[[#All],[PCLAVE]],Tabla8[[#This Row],[DESCRIPCION DE TRABAJO]])),""))),"")</f>
        <v/>
      </c>
      <c r="O548" s="35" t="str" cm="1">
        <f t="array" ref="O548">_xlfn.TEXTJOIN(", ",TRUE,_xlfn._xlws.FILTER(Tabla28[[#All],[PARTE]],ISNUMBER(SEARCH(Tabla28[[#All],[PCLAVE2]],Tabla8[[#This Row],[DESCRIPCION DE TRABAJO]])),""))</f>
        <v/>
      </c>
      <c r="P548" s="303" t="str">
        <f>IFERROR(LEFT(O548, FIND(",", O548)-1), O548)</f>
        <v/>
      </c>
      <c r="Q548" s="303" t="str">
        <f>IFERROR(IF(ISERROR(FIND(",", O548, FIND(",", O548)+1)), RIGHT(O548, LEN(O548)-FIND(",", O548)-1), MID(O548, FIND(",", O548)+2, FIND(",", O548, FIND(",", O548)+1)-FIND(",", O548)-2)), "")</f>
        <v/>
      </c>
      <c r="R548" s="303" t="str">
        <f>IFERROR(RIGHT(O548, LEN(O548)-FIND(",", O548, FIND(",", O548)+1)-1), "")</f>
        <v/>
      </c>
      <c r="S548" s="35" t="str" cm="1">
        <f t="array" ref="S548">_xlfn.TEXTJOIN(", ",TRUE,_xlfn._xlws.FILTER(Tabla29[[#All],[PARTE]],ISNUMBER(SEARCH(Tabla29[[#All],[PCLAVE3]],Tabla8[[#This Row],[DESCRIPCION DE TRABAJO]])),""))</f>
        <v>Desgaste, Desgaste</v>
      </c>
      <c r="T548" s="34" t="str">
        <f>IF(AND(Tabla8[[#This Row],[PIEZA]]="",Tabla8[[#This Row],[PARTE]]=""),"VACIO","OK")</f>
        <v>VACIO</v>
      </c>
      <c r="U548" s="303" t="str">
        <f>+CONCATENATE(WEEKNUM(Tabla8[[#This Row],[FECHA]]),"-",YEAR(Tabla8[[#This Row],[FECHA]]))</f>
        <v>11-2026</v>
      </c>
    </row>
    <row r="549" spans="1:21" ht="15" customHeight="1">
      <c r="A549" s="22">
        <v>46091</v>
      </c>
      <c r="B549" s="16" t="s">
        <v>191</v>
      </c>
      <c r="C549" s="10" t="s">
        <v>23</v>
      </c>
      <c r="D549" s="381">
        <v>0.53055555555555556</v>
      </c>
      <c r="E549" s="381">
        <v>0.54097222222222219</v>
      </c>
      <c r="F549" s="380">
        <f>+MOD(Tabla8[[#This Row],[HR. FIN]]-Tabla8[[#This Row],[HR. INICIO]],1)</f>
        <v>1.041666666666663E-2</v>
      </c>
      <c r="G549" s="16" t="s">
        <v>215</v>
      </c>
      <c r="H549" s="343" t="str">
        <f>IFERROR(VLOOKUP(G549,DATOS!$M$2:$N$219,2,FALSE),"")</f>
        <v>Equipos auxiliares</v>
      </c>
      <c r="I549" s="115" t="s">
        <v>54</v>
      </c>
      <c r="J549" s="115" t="str">
        <f>+VLOOKUP($I549,Tabla7[#All],2,FALSE)</f>
        <v>PROGRAMADA</v>
      </c>
      <c r="K549" s="114" t="str">
        <f>IF(VLOOKUP(I549,Tabla7[#All],3,FALSE)=0,"",VLOOKUP(I549,Tabla7[#All],3,FALSE))</f>
        <v/>
      </c>
      <c r="L549" s="35" t="s">
        <v>248</v>
      </c>
      <c r="M549" s="35" t="s">
        <v>121</v>
      </c>
      <c r="N549" s="35" t="str" cm="1">
        <f t="array" ref="N549">IFERROR(IF(Tabla8[[#This Row],[P/NP]]="NO PROGRAMADA","",_xlfn.TEXTJOIN(", ",TRUE,_xlfn._xlws.FILTER(Tabla4[[#All],[PIEZA]],ISNUMBER(SEARCH(Tabla4[[#All],[PCLAVE]],Tabla8[[#This Row],[DESCRIPCION DE TRABAJO]])),""))),"")</f>
        <v/>
      </c>
      <c r="O549" s="35" t="str" cm="1">
        <f t="array" ref="O549">_xlfn.TEXTJOIN(", ",TRUE,_xlfn._xlws.FILTER(Tabla28[[#All],[PARTE]],ISNUMBER(SEARCH(Tabla28[[#All],[PCLAVE2]],Tabla8[[#This Row],[DESCRIPCION DE TRABAJO]])),""))</f>
        <v/>
      </c>
      <c r="P549" s="303" t="str">
        <f>IFERROR(LEFT(O549, FIND(",", O549)-1), O549)</f>
        <v/>
      </c>
      <c r="Q549" s="303" t="str">
        <f>IFERROR(IF(ISERROR(FIND(",", O549, FIND(",", O549)+1)), RIGHT(O549, LEN(O549)-FIND(",", O549)-1), MID(O549, FIND(",", O549)+2, FIND(",", O549, FIND(",", O549)+1)-FIND(",", O549)-2)), "")</f>
        <v/>
      </c>
      <c r="R549" s="303" t="str">
        <f>IFERROR(RIGHT(O549, LEN(O549)-FIND(",", O549, FIND(",", O549)+1)-1), "")</f>
        <v/>
      </c>
      <c r="S549" s="35" t="str" cm="1">
        <f t="array" ref="S549">_xlfn.TEXTJOIN(", ",TRUE,_xlfn._xlws.FILTER(Tabla29[[#All],[PARTE]],ISNUMBER(SEARCH(Tabla29[[#All],[PCLAVE3]],Tabla8[[#This Row],[DESCRIPCION DE TRABAJO]])),""))</f>
        <v/>
      </c>
      <c r="T549" s="34" t="str">
        <f>IF(AND(Tabla8[[#This Row],[PIEZA]]="",Tabla8[[#This Row],[PARTE]]=""),"VACIO","OK")</f>
        <v>VACIO</v>
      </c>
      <c r="U549" s="303" t="str">
        <f>+CONCATENATE(WEEKNUM(Tabla8[[#This Row],[FECHA]]),"-",YEAR(Tabla8[[#This Row],[FECHA]]))</f>
        <v>11-2026</v>
      </c>
    </row>
    <row r="550" spans="1:21" ht="15" customHeight="1">
      <c r="A550" s="22">
        <v>46091</v>
      </c>
      <c r="B550" s="16" t="s">
        <v>191</v>
      </c>
      <c r="C550" s="10" t="s">
        <v>23</v>
      </c>
      <c r="D550" s="381">
        <v>0.65625</v>
      </c>
      <c r="E550" s="381">
        <v>0.6645833333333333</v>
      </c>
      <c r="F550" s="380">
        <f>+MOD(Tabla8[[#This Row],[HR. FIN]]-Tabla8[[#This Row],[HR. INICIO]],1)</f>
        <v>8.3333333333333037E-3</v>
      </c>
      <c r="G550" s="16" t="s">
        <v>31</v>
      </c>
      <c r="H550" s="343" t="str">
        <f>IFERROR(VLOOKUP(G550,DATOS!$M$2:$N$219,2,FALSE),"")</f>
        <v>Maquinaria</v>
      </c>
      <c r="I550" s="115" t="s">
        <v>57</v>
      </c>
      <c r="J550" s="115" t="str">
        <f>+VLOOKUP($I550,Tabla7[#All],2,FALSE)</f>
        <v>NO PROGRAMADA</v>
      </c>
      <c r="K550" s="114" t="str">
        <f>IF(VLOOKUP(I550,Tabla7[#All],3,FALSE)=0,"",VLOOKUP(I550,Tabla7[#All],3,FALSE))</f>
        <v>MECÁNICA</v>
      </c>
      <c r="L550" s="35" t="s">
        <v>1214</v>
      </c>
      <c r="M550" s="35" t="s">
        <v>1215</v>
      </c>
      <c r="N550" s="35" t="str" cm="1">
        <f t="array" ref="N550">IFERROR(IF(Tabla8[[#This Row],[P/NP]]="NO PROGRAMADA","",_xlfn.TEXTJOIN(", ",TRUE,_xlfn._xlws.FILTER(Tabla4[[#All],[PIEZA]],ISNUMBER(SEARCH(Tabla4[[#All],[PCLAVE]],Tabla8[[#This Row],[DESCRIPCION DE TRABAJO]])),""))),"")</f>
        <v/>
      </c>
      <c r="O550" s="35" t="str" cm="1">
        <f t="array" ref="O550">_xlfn.TEXTJOIN(", ",TRUE,_xlfn._xlws.FILTER(Tabla28[[#All],[PARTE]],ISNUMBER(SEARCH(Tabla28[[#All],[PCLAVE2]],Tabla8[[#This Row],[DESCRIPCION DE TRABAJO]])),""))</f>
        <v/>
      </c>
      <c r="P550" s="303" t="str">
        <f>IFERROR(LEFT(O550, FIND(",", O550)-1), O550)</f>
        <v/>
      </c>
      <c r="Q550" s="303" t="str">
        <f>IFERROR(IF(ISERROR(FIND(",", O550, FIND(",", O550)+1)), RIGHT(O550, LEN(O550)-FIND(",", O550)-1), MID(O550, FIND(",", O550)+2, FIND(",", O550, FIND(",", O550)+1)-FIND(",", O550)-2)), "")</f>
        <v/>
      </c>
      <c r="R550" s="303" t="str">
        <f>IFERROR(RIGHT(O550, LEN(O550)-FIND(",", O550, FIND(",", O550)+1)-1), "")</f>
        <v/>
      </c>
      <c r="S550" s="35" t="str" cm="1">
        <f t="array" ref="S550">_xlfn.TEXTJOIN(", ",TRUE,_xlfn._xlws.FILTER(Tabla29[[#All],[PARTE]],ISNUMBER(SEARCH(Tabla29[[#All],[PCLAVE3]],Tabla8[[#This Row],[DESCRIPCION DE TRABAJO]])),""))</f>
        <v>Ruido</v>
      </c>
      <c r="T550" s="34" t="str">
        <f>IF(AND(Tabla8[[#This Row],[PIEZA]]="",Tabla8[[#This Row],[PARTE]]=""),"VACIO","OK")</f>
        <v>VACIO</v>
      </c>
      <c r="U550" s="303" t="str">
        <f>+CONCATENATE(WEEKNUM(Tabla8[[#This Row],[FECHA]]),"-",YEAR(Tabla8[[#This Row],[FECHA]]))</f>
        <v>11-2026</v>
      </c>
    </row>
    <row r="551" spans="1:21" ht="15" customHeight="1">
      <c r="A551" s="22">
        <v>46091</v>
      </c>
      <c r="B551" s="16" t="s">
        <v>191</v>
      </c>
      <c r="C551" s="10" t="s">
        <v>23</v>
      </c>
      <c r="D551" s="381">
        <v>0.63888888888888884</v>
      </c>
      <c r="E551" s="381">
        <v>0.64652777777777781</v>
      </c>
      <c r="F551" s="380">
        <f>+MOD(Tabla8[[#This Row],[HR. FIN]]-Tabla8[[#This Row],[HR. INICIO]],1)</f>
        <v>7.6388888888889728E-3</v>
      </c>
      <c r="G551" s="16" t="s">
        <v>270</v>
      </c>
      <c r="H551" s="343" t="str">
        <f>IFERROR(VLOOKUP(G551,DATOS!$M$2:$N$219,2,FALSE),"")</f>
        <v>Maquinaria</v>
      </c>
      <c r="I551" s="115" t="s">
        <v>57</v>
      </c>
      <c r="J551" s="115" t="str">
        <f>+VLOOKUP($I551,Tabla7[#All],2,FALSE)</f>
        <v>NO PROGRAMADA</v>
      </c>
      <c r="K551" s="114" t="s">
        <v>148</v>
      </c>
      <c r="L551" s="35" t="s">
        <v>1216</v>
      </c>
      <c r="M551" s="35" t="s">
        <v>121</v>
      </c>
      <c r="N551" s="35" t="str" cm="1">
        <f t="array" ref="N551">IFERROR(IF(Tabla8[[#This Row],[P/NP]]="NO PROGRAMADA","",_xlfn.TEXTJOIN(", ",TRUE,_xlfn._xlws.FILTER(Tabla4[[#All],[PIEZA]],ISNUMBER(SEARCH(Tabla4[[#All],[PCLAVE]],Tabla8[[#This Row],[DESCRIPCION DE TRABAJO]])),""))),"")</f>
        <v/>
      </c>
      <c r="O551" s="35" t="str" cm="1">
        <f t="array" ref="O551">_xlfn.TEXTJOIN(", ",TRUE,_xlfn._xlws.FILTER(Tabla28[[#All],[PARTE]],ISNUMBER(SEARCH(Tabla28[[#All],[PCLAVE2]],Tabla8[[#This Row],[DESCRIPCION DE TRABAJO]])),""))</f>
        <v>Tanque, Temperadora</v>
      </c>
      <c r="P551" s="303" t="str">
        <f>IFERROR(LEFT(O551, FIND(",", O551)-1), O551)</f>
        <v>Tanque</v>
      </c>
      <c r="Q551" s="303" t="str">
        <f>IFERROR(IF(ISERROR(FIND(",", O551, FIND(",", O551)+1)), RIGHT(O551, LEN(O551)-FIND(",", O551)-1), MID(O551, FIND(",", O551)+2, FIND(",", O551, FIND(",", O551)+1)-FIND(",", O551)-2)), "")</f>
        <v>Temperadora</v>
      </c>
      <c r="R551" s="303" t="str">
        <f>IFERROR(RIGHT(O551, LEN(O551)-FIND(",", O551, FIND(",", O551)+1)-1), "")</f>
        <v/>
      </c>
      <c r="S551" s="35" t="str" cm="1">
        <f t="array" ref="S551">_xlfn.TEXTJOIN(", ",TRUE,_xlfn._xlws.FILTER(Tabla29[[#All],[PARTE]],ISNUMBER(SEARCH(Tabla29[[#All],[PCLAVE3]],Tabla8[[#This Row],[DESCRIPCION DE TRABAJO]])),""))</f>
        <v>Alarma, Calibracion, Nivel</v>
      </c>
      <c r="T551" s="34" t="str">
        <f>IF(AND(Tabla8[[#This Row],[PIEZA]]="",Tabla8[[#This Row],[PARTE]]=""),"VACIO","OK")</f>
        <v>OK</v>
      </c>
      <c r="U551" s="303" t="str">
        <f>+CONCATENATE(WEEKNUM(Tabla8[[#This Row],[FECHA]]),"-",YEAR(Tabla8[[#This Row],[FECHA]]))</f>
        <v>11-2026</v>
      </c>
    </row>
    <row r="552" spans="1:21" ht="15" customHeight="1">
      <c r="A552" s="22">
        <v>46091</v>
      </c>
      <c r="B552" s="16" t="s">
        <v>191</v>
      </c>
      <c r="C552" s="10" t="s">
        <v>23</v>
      </c>
      <c r="D552" s="381">
        <v>0.64722222222222225</v>
      </c>
      <c r="E552" s="381">
        <v>0.65486111111111112</v>
      </c>
      <c r="F552" s="380">
        <f>+MOD(Tabla8[[#This Row],[HR. FIN]]-Tabla8[[#This Row],[HR. INICIO]],1)</f>
        <v>7.6388888888888618E-3</v>
      </c>
      <c r="G552" s="16" t="s">
        <v>153</v>
      </c>
      <c r="H552" s="343" t="str">
        <f>IFERROR(VLOOKUP(G552,DATOS!$M$2:$N$219,2,FALSE),"")</f>
        <v>Maquinaria</v>
      </c>
      <c r="I552" s="115" t="s">
        <v>57</v>
      </c>
      <c r="J552" s="115" t="str">
        <f>+VLOOKUP($I552,Tabla7[#All],2,FALSE)</f>
        <v>NO PROGRAMADA</v>
      </c>
      <c r="K552" s="114" t="str">
        <f>IF(VLOOKUP(I552,Tabla7[#All],3,FALSE)=0,"",VLOOKUP(I552,Tabla7[#All],3,FALSE))</f>
        <v>MECÁNICA</v>
      </c>
      <c r="L552" s="35" t="s">
        <v>1217</v>
      </c>
      <c r="M552" s="35" t="s">
        <v>1218</v>
      </c>
      <c r="N552" s="35" t="str" cm="1">
        <f t="array" ref="N552">IFERROR(IF(Tabla8[[#This Row],[P/NP]]="NO PROGRAMADA","",_xlfn.TEXTJOIN(", ",TRUE,_xlfn._xlws.FILTER(Tabla4[[#All],[PIEZA]],ISNUMBER(SEARCH(Tabla4[[#All],[PCLAVE]],Tabla8[[#This Row],[DESCRIPCION DE TRABAJO]])),""))),"")</f>
        <v/>
      </c>
      <c r="O552" s="35" t="str" cm="1">
        <f t="array" ref="O552">_xlfn.TEXTJOIN(", ",TRUE,_xlfn._xlws.FILTER(Tabla28[[#All],[PARTE]],ISNUMBER(SEARCH(Tabla28[[#All],[PCLAVE2]],Tabla8[[#This Row],[DESCRIPCION DE TRABAJO]])),""))</f>
        <v/>
      </c>
      <c r="P552" s="303" t="str">
        <f>IFERROR(LEFT(O552, FIND(",", O552)-1), O552)</f>
        <v/>
      </c>
      <c r="Q552" s="303" t="str">
        <f>IFERROR(IF(ISERROR(FIND(",", O552, FIND(",", O552)+1)), RIGHT(O552, LEN(O552)-FIND(",", O552)-1), MID(O552, FIND(",", O552)+2, FIND(",", O552, FIND(",", O552)+1)-FIND(",", O552)-2)), "")</f>
        <v/>
      </c>
      <c r="R552" s="303" t="str">
        <f>IFERROR(RIGHT(O552, LEN(O552)-FIND(",", O552, FIND(",", O552)+1)-1), "")</f>
        <v/>
      </c>
      <c r="S552" s="35" t="str" cm="1">
        <f t="array" ref="S552">_xlfn.TEXTJOIN(", ",TRUE,_xlfn._xlws.FILTER(Tabla29[[#All],[PARTE]],ISNUMBER(SEARCH(Tabla29[[#All],[PCLAVE3]],Tabla8[[#This Row],[DESCRIPCION DE TRABAJO]])),""))</f>
        <v>Calibracion, Calibracion</v>
      </c>
      <c r="T552" s="34" t="str">
        <f>IF(AND(Tabla8[[#This Row],[PIEZA]]="",Tabla8[[#This Row],[PARTE]]=""),"VACIO","OK")</f>
        <v>VACIO</v>
      </c>
      <c r="U552" s="303" t="str">
        <f>+CONCATENATE(WEEKNUM(Tabla8[[#This Row],[FECHA]]),"-",YEAR(Tabla8[[#This Row],[FECHA]]))</f>
        <v>11-2026</v>
      </c>
    </row>
    <row r="553" spans="1:21" ht="15" customHeight="1">
      <c r="A553" s="22">
        <v>46091</v>
      </c>
      <c r="B553" s="16" t="s">
        <v>111</v>
      </c>
      <c r="C553" s="10" t="s">
        <v>39</v>
      </c>
      <c r="D553" s="381">
        <v>0.92013888888888884</v>
      </c>
      <c r="E553" s="381">
        <v>0.92708333333333337</v>
      </c>
      <c r="F553" s="380">
        <f>+MOD(Tabla8[[#This Row],[HR. FIN]]-Tabla8[[#This Row],[HR. INICIO]],1)</f>
        <v>6.9444444444445308E-3</v>
      </c>
      <c r="G553" s="16" t="s">
        <v>153</v>
      </c>
      <c r="H553" s="343" t="str">
        <f>IFERROR(VLOOKUP(G553,DATOS!$M$2:$N$219,2,FALSE),"")</f>
        <v>Maquinaria</v>
      </c>
      <c r="I553" s="115" t="s">
        <v>57</v>
      </c>
      <c r="J553" s="115" t="str">
        <f>+VLOOKUP($I553,Tabla7[#All],2,FALSE)</f>
        <v>NO PROGRAMADA</v>
      </c>
      <c r="K553" s="114" t="str">
        <f>IF(VLOOKUP(I553,Tabla7[#All],3,FALSE)=0,"",VLOOKUP(I553,Tabla7[#All],3,FALSE))</f>
        <v>MECÁNICA</v>
      </c>
      <c r="L553" s="35" t="s">
        <v>1219</v>
      </c>
      <c r="M553" s="35" t="s">
        <v>1220</v>
      </c>
      <c r="N553" s="35" t="str" cm="1">
        <f t="array" ref="N553">IFERROR(IF(Tabla8[[#This Row],[P/NP]]="NO PROGRAMADA","",_xlfn.TEXTJOIN(", ",TRUE,_xlfn._xlws.FILTER(Tabla4[[#All],[PIEZA]],ISNUMBER(SEARCH(Tabla4[[#All],[PCLAVE]],Tabla8[[#This Row],[DESCRIPCION DE TRABAJO]])),""))),"")</f>
        <v/>
      </c>
      <c r="O553" s="35" t="str" cm="1">
        <f t="array" ref="O553">_xlfn.TEXTJOIN(", ",TRUE,_xlfn._xlws.FILTER(Tabla28[[#All],[PARTE]],ISNUMBER(SEARCH(Tabla28[[#All],[PCLAVE2]],Tabla8[[#This Row],[DESCRIPCION DE TRABAJO]])),""))</f>
        <v/>
      </c>
      <c r="P553" s="303" t="str">
        <f>IFERROR(LEFT(O553, FIND(",", O553)-1), O553)</f>
        <v/>
      </c>
      <c r="Q553" s="303" t="str">
        <f>IFERROR(IF(ISERROR(FIND(",", O553, FIND(",", O553)+1)), RIGHT(O553, LEN(O553)-FIND(",", O553)-1), MID(O553, FIND(",", O553)+2, FIND(",", O553, FIND(",", O553)+1)-FIND(",", O553)-2)), "")</f>
        <v/>
      </c>
      <c r="R553" s="303" t="str">
        <f>IFERROR(RIGHT(O553, LEN(O553)-FIND(",", O553, FIND(",", O553)+1)-1), "")</f>
        <v/>
      </c>
      <c r="S553" s="35" t="str" cm="1">
        <f t="array" ref="S553">_xlfn.TEXTJOIN(", ",TRUE,_xlfn._xlws.FILTER(Tabla29[[#All],[PARTE]],ISNUMBER(SEARCH(Tabla29[[#All],[PCLAVE3]],Tabla8[[#This Row],[DESCRIPCION DE TRABAJO]])),""))</f>
        <v>Laminado, Soltura</v>
      </c>
      <c r="T553" s="34" t="str">
        <f>IF(AND(Tabla8[[#This Row],[PIEZA]]="",Tabla8[[#This Row],[PARTE]]=""),"VACIO","OK")</f>
        <v>VACIO</v>
      </c>
      <c r="U553" s="303" t="str">
        <f>+CONCATENATE(WEEKNUM(Tabla8[[#This Row],[FECHA]]),"-",YEAR(Tabla8[[#This Row],[FECHA]]))</f>
        <v>11-2026</v>
      </c>
    </row>
    <row r="554" spans="1:21" ht="15" customHeight="1">
      <c r="A554" s="22">
        <v>46091</v>
      </c>
      <c r="B554" s="16" t="s">
        <v>111</v>
      </c>
      <c r="C554" s="10" t="s">
        <v>39</v>
      </c>
      <c r="D554" s="381">
        <v>0.95833333333333337</v>
      </c>
      <c r="E554" s="381">
        <v>0.96527777777777779</v>
      </c>
      <c r="F554" s="380">
        <f>+MOD(Tabla8[[#This Row],[HR. FIN]]-Tabla8[[#This Row],[HR. INICIO]],1)</f>
        <v>6.9444444444444198E-3</v>
      </c>
      <c r="G554" s="16" t="s">
        <v>651</v>
      </c>
      <c r="H554" s="343" t="str">
        <f>IFERROR(VLOOKUP(G554,DATOS!$M$2:$N$219,2,FALSE),"")</f>
        <v>Maquinaria</v>
      </c>
      <c r="I554" s="115" t="s">
        <v>32</v>
      </c>
      <c r="J554" s="115" t="str">
        <f>+VLOOKUP($I554,Tabla7[#All],2,FALSE)</f>
        <v>PROGRAMADA</v>
      </c>
      <c r="K554" s="114" t="str">
        <f>IF(VLOOKUP(I554,Tabla7[#All],3,FALSE)=0,"",VLOOKUP(I554,Tabla7[#All],3,FALSE))</f>
        <v/>
      </c>
      <c r="L554" s="35" t="s">
        <v>76</v>
      </c>
      <c r="M554" s="35" t="s">
        <v>121</v>
      </c>
      <c r="N554" s="35" t="str" cm="1">
        <f t="array" ref="N554">IFERROR(IF(Tabla8[[#This Row],[P/NP]]="NO PROGRAMADA","",_xlfn.TEXTJOIN(", ",TRUE,_xlfn._xlws.FILTER(Tabla4[[#All],[PIEZA]],ISNUMBER(SEARCH(Tabla4[[#All],[PCLAVE]],Tabla8[[#This Row],[DESCRIPCION DE TRABAJO]])),""))),"")</f>
        <v/>
      </c>
      <c r="O554" s="35" t="str" cm="1">
        <f t="array" ref="O554">_xlfn.TEXTJOIN(", ",TRUE,_xlfn._xlws.FILTER(Tabla28[[#All],[PARTE]],ISNUMBER(SEARCH(Tabla28[[#All],[PCLAVE2]],Tabla8[[#This Row],[DESCRIPCION DE TRABAJO]])),""))</f>
        <v/>
      </c>
      <c r="P554" s="303" t="str">
        <f>IFERROR(LEFT(O554, FIND(",", O554)-1), O554)</f>
        <v/>
      </c>
      <c r="Q554" s="303" t="str">
        <f>IFERROR(IF(ISERROR(FIND(",", O554, FIND(",", O554)+1)), RIGHT(O554, LEN(O554)-FIND(",", O554)-1), MID(O554, FIND(",", O554)+2, FIND(",", O554, FIND(",", O554)+1)-FIND(",", O554)-2)), "")</f>
        <v/>
      </c>
      <c r="R554" s="303" t="str">
        <f>IFERROR(RIGHT(O554, LEN(O554)-FIND(",", O554, FIND(",", O554)+1)-1), "")</f>
        <v/>
      </c>
      <c r="S554" s="35" t="str" cm="1">
        <f t="array" ref="S554">_xlfn.TEXTJOIN(", ",TRUE,_xlfn._xlws.FILTER(Tabla29[[#All],[PARTE]],ISNUMBER(SEARCH(Tabla29[[#All],[PCLAVE3]],Tabla8[[#This Row],[DESCRIPCION DE TRABAJO]])),""))</f>
        <v/>
      </c>
      <c r="T554" s="34" t="str">
        <f>IF(AND(Tabla8[[#This Row],[PIEZA]]="",Tabla8[[#This Row],[PARTE]]=""),"VACIO","OK")</f>
        <v>VACIO</v>
      </c>
      <c r="U554" s="303" t="str">
        <f>+CONCATENATE(WEEKNUM(Tabla8[[#This Row],[FECHA]]),"-",YEAR(Tabla8[[#This Row],[FECHA]]))</f>
        <v>11-2026</v>
      </c>
    </row>
    <row r="555" spans="1:21" ht="15" customHeight="1">
      <c r="A555" s="22">
        <v>46091</v>
      </c>
      <c r="B555" s="16" t="s">
        <v>88</v>
      </c>
      <c r="C555" s="10" t="s">
        <v>36</v>
      </c>
      <c r="D555" s="381">
        <v>0.4513888888888889</v>
      </c>
      <c r="E555" s="381">
        <v>0.45833333333333331</v>
      </c>
      <c r="F555" s="380">
        <f>+MOD(Tabla8[[#This Row],[HR. FIN]]-Tabla8[[#This Row],[HR. INICIO]],1)</f>
        <v>6.9444444444444198E-3</v>
      </c>
      <c r="G555" s="16" t="s">
        <v>270</v>
      </c>
      <c r="H555" s="343" t="str">
        <f>IFERROR(VLOOKUP(G555,DATOS!$M$2:$N$219,2,FALSE),"")</f>
        <v>Maquinaria</v>
      </c>
      <c r="I555" s="115" t="s">
        <v>57</v>
      </c>
      <c r="J555" s="115" t="str">
        <f>+VLOOKUP($I555,Tabla7[#All],2,FALSE)</f>
        <v>NO PROGRAMADA</v>
      </c>
      <c r="K555" s="114" t="str">
        <f>IF(VLOOKUP(I555,Tabla7[#All],3,FALSE)=0,"",VLOOKUP(I555,Tabla7[#All],3,FALSE))</f>
        <v>MECÁNICA</v>
      </c>
      <c r="L555" s="35" t="s">
        <v>1221</v>
      </c>
      <c r="M555" s="35" t="s">
        <v>1222</v>
      </c>
      <c r="N555" s="35" t="str" cm="1">
        <f t="array" ref="N555">IFERROR(IF(Tabla8[[#This Row],[P/NP]]="NO PROGRAMADA","",_xlfn.TEXTJOIN(", ",TRUE,_xlfn._xlws.FILTER(Tabla4[[#All],[PIEZA]],ISNUMBER(SEARCH(Tabla4[[#All],[PCLAVE]],Tabla8[[#This Row],[DESCRIPCION DE TRABAJO]])),""))),"")</f>
        <v/>
      </c>
      <c r="O555" s="35" t="str" cm="1">
        <f t="array" ref="O555">_xlfn.TEXTJOIN(", ",TRUE,_xlfn._xlws.FILTER(Tabla28[[#All],[PARTE]],ISNUMBER(SEARCH(Tabla28[[#All],[PCLAVE2]],Tabla8[[#This Row],[DESCRIPCION DE TRABAJO]])),""))</f>
        <v>Temperadora</v>
      </c>
      <c r="P555" s="303" t="str">
        <f>IFERROR(LEFT(O555, FIND(",", O555)-1), O555)</f>
        <v>Temperadora</v>
      </c>
      <c r="Q555" s="303" t="str">
        <f>IFERROR(IF(ISERROR(FIND(",", O555, FIND(",", O555)+1)), RIGHT(O555, LEN(O555)-FIND(",", O555)-1), MID(O555, FIND(",", O555)+2, FIND(",", O555, FIND(",", O555)+1)-FIND(",", O555)-2)), "")</f>
        <v/>
      </c>
      <c r="R555" s="303" t="str">
        <f>IFERROR(RIGHT(O555, LEN(O555)-FIND(",", O555, FIND(",", O555)+1)-1), "")</f>
        <v/>
      </c>
      <c r="S555" s="35" t="str" cm="1">
        <f t="array" ref="S555">_xlfn.TEXTJOIN(", ",TRUE,_xlfn._xlws.FILTER(Tabla29[[#All],[PARTE]],ISNUMBER(SEARCH(Tabla29[[#All],[PCLAVE3]],Tabla8[[#This Row],[DESCRIPCION DE TRABAJO]])),""))</f>
        <v>Fuga, Fuga De Chocolate</v>
      </c>
      <c r="T555" s="34" t="str">
        <f>IF(AND(Tabla8[[#This Row],[PIEZA]]="",Tabla8[[#This Row],[PARTE]]=""),"VACIO","OK")</f>
        <v>OK</v>
      </c>
      <c r="U555" s="303" t="str">
        <f>+CONCATENATE(WEEKNUM(Tabla8[[#This Row],[FECHA]]),"-",YEAR(Tabla8[[#This Row],[FECHA]]))</f>
        <v>11-2026</v>
      </c>
    </row>
    <row r="556" spans="1:21" ht="15" customHeight="1">
      <c r="A556" s="22">
        <v>46092</v>
      </c>
      <c r="B556" s="16" t="s">
        <v>191</v>
      </c>
      <c r="C556" s="10" t="s">
        <v>23</v>
      </c>
      <c r="D556" s="381" t="s">
        <v>1223</v>
      </c>
      <c r="E556" s="381" t="s">
        <v>1224</v>
      </c>
      <c r="F556" s="380">
        <f>+MOD(Tabla8[[#This Row],[HR. FIN]]-Tabla8[[#This Row],[HR. INICIO]],1)</f>
        <v>4.3055555555555514E-2</v>
      </c>
      <c r="G556" s="16" t="s">
        <v>31</v>
      </c>
      <c r="H556" s="343" t="str">
        <f>IFERROR(VLOOKUP(G556,DATOS!$M$2:$N$219,2,FALSE),"")</f>
        <v>Maquinaria</v>
      </c>
      <c r="I556" s="115" t="s">
        <v>57</v>
      </c>
      <c r="J556" s="115" t="str">
        <f>+VLOOKUP($I556,Tabla7[#All],2,FALSE)</f>
        <v>NO PROGRAMADA</v>
      </c>
      <c r="K556" s="114" t="str">
        <f>IF(VLOOKUP(I556,Tabla7[#All],3,FALSE)=0,"",VLOOKUP(I556,Tabla7[#All],3,FALSE))</f>
        <v>MECÁNICA</v>
      </c>
      <c r="L556" s="35" t="s">
        <v>1225</v>
      </c>
      <c r="M556" s="35" t="s">
        <v>1226</v>
      </c>
      <c r="N556" s="35" t="str" cm="1">
        <f t="array" ref="N556">IFERROR(IF(Tabla8[[#This Row],[P/NP]]="NO PROGRAMADA","",_xlfn.TEXTJOIN(", ",TRUE,_xlfn._xlws.FILTER(Tabla4[[#All],[PIEZA]],ISNUMBER(SEARCH(Tabla4[[#All],[PCLAVE]],Tabla8[[#This Row],[DESCRIPCION DE TRABAJO]])),""))),"")</f>
        <v/>
      </c>
      <c r="O556" s="35" t="str" cm="1">
        <f t="array" ref="O556">_xlfn.TEXTJOIN(", ",TRUE,_xlfn._xlws.FILTER(Tabla28[[#All],[PARTE]],ISNUMBER(SEARCH(Tabla28[[#All],[PCLAVE2]],Tabla8[[#This Row],[DESCRIPCION DE TRABAJO]])),""))</f>
        <v/>
      </c>
      <c r="P556" s="303" t="str">
        <f>IFERROR(LEFT(O556, FIND(",", O556)-1), O556)</f>
        <v/>
      </c>
      <c r="Q556" s="303" t="str">
        <f>IFERROR(IF(ISERROR(FIND(",", O556, FIND(",", O556)+1)), RIGHT(O556, LEN(O556)-FIND(",", O556)-1), MID(O556, FIND(",", O556)+2, FIND(",", O556, FIND(",", O556)+1)-FIND(",", O556)-2)), "")</f>
        <v/>
      </c>
      <c r="R556" s="303" t="str">
        <f>IFERROR(RIGHT(O556, LEN(O556)-FIND(",", O556, FIND(",", O556)+1)-1), "")</f>
        <v/>
      </c>
      <c r="S556" s="35" t="str" cm="1">
        <f t="array" ref="S556">_xlfn.TEXTJOIN(", ",TRUE,_xlfn._xlws.FILTER(Tabla29[[#All],[PARTE]],ISNUMBER(SEARCH(Tabla29[[#All],[PCLAVE3]],Tabla8[[#This Row],[DESCRIPCION DE TRABAJO]])),""))</f>
        <v>No Sella, Sellado</v>
      </c>
      <c r="T556" s="34" t="str">
        <f>IF(AND(Tabla8[[#This Row],[PIEZA]]="",Tabla8[[#This Row],[PARTE]]=""),"VACIO","OK")</f>
        <v>VACIO</v>
      </c>
      <c r="U556" s="303" t="str">
        <f>+CONCATENATE(WEEKNUM(Tabla8[[#This Row],[FECHA]]),"-",YEAR(Tabla8[[#This Row],[FECHA]]))</f>
        <v>11-2026</v>
      </c>
    </row>
    <row r="557" spans="1:21" ht="15" customHeight="1">
      <c r="A557" s="22">
        <v>46092</v>
      </c>
      <c r="B557" s="16" t="s">
        <v>88</v>
      </c>
      <c r="C557" s="10" t="s">
        <v>36</v>
      </c>
      <c r="D557" s="381" t="s">
        <v>127</v>
      </c>
      <c r="E557" s="381" t="s">
        <v>556</v>
      </c>
      <c r="F557" s="380">
        <f>+MOD(Tabla8[[#This Row],[HR. FIN]]-Tabla8[[#This Row],[HR. INICIO]],1)</f>
        <v>4.1666666666666685E-2</v>
      </c>
      <c r="G557" s="16" t="s">
        <v>119</v>
      </c>
      <c r="H557" s="343" t="str">
        <f>IFERROR(VLOOKUP(G557,DATOS!$M$2:$N$219,2,FALSE),"")</f>
        <v>Maquinaria</v>
      </c>
      <c r="I557" s="115" t="s">
        <v>54</v>
      </c>
      <c r="J557" s="115" t="s">
        <v>92</v>
      </c>
      <c r="K557" s="114" t="s">
        <v>93</v>
      </c>
      <c r="L557" s="35" t="s">
        <v>1227</v>
      </c>
      <c r="M557" s="35" t="s">
        <v>1228</v>
      </c>
      <c r="N557" s="35" t="str" cm="1">
        <f t="array" ref="N557">IFERROR(IF(Tabla8[[#This Row],[P/NP]]="NO PROGRAMADA","",_xlfn.TEXTJOIN(", ",TRUE,_xlfn._xlws.FILTER(Tabla4[[#All],[PIEZA]],ISNUMBER(SEARCH(Tabla4[[#All],[PCLAVE]],Tabla8[[#This Row],[DESCRIPCION DE TRABAJO]])),""))),"")</f>
        <v/>
      </c>
      <c r="O557" s="35" t="str" cm="1">
        <f t="array" ref="O557">_xlfn.TEXTJOIN(", ",TRUE,_xlfn._xlws.FILTER(Tabla28[[#All],[PARTE]],ISNUMBER(SEARCH(Tabla28[[#All],[PCLAVE2]],Tabla8[[#This Row],[DESCRIPCION DE TRABAJO]])),""))</f>
        <v>Columna, Temperadora</v>
      </c>
      <c r="P557" s="303" t="str">
        <f>IFERROR(LEFT(O557, FIND(",", O557)-1), O557)</f>
        <v>Columna</v>
      </c>
      <c r="Q557" s="303" t="str">
        <f>IFERROR(IF(ISERROR(FIND(",", O557, FIND(",", O557)+1)), RIGHT(O557, LEN(O557)-FIND(",", O557)-1), MID(O557, FIND(",", O557)+2, FIND(",", O557, FIND(",", O557)+1)-FIND(",", O557)-2)), "")</f>
        <v>Temperadora</v>
      </c>
      <c r="R557" s="303" t="str">
        <f>IFERROR(RIGHT(O557, LEN(O557)-FIND(",", O557, FIND(",", O557)+1)-1), "")</f>
        <v/>
      </c>
      <c r="S557" s="35" t="str" cm="1">
        <f t="array" ref="S557">_xlfn.TEXTJOIN(", ",TRUE,_xlfn._xlws.FILTER(Tabla29[[#All],[PARTE]],ISNUMBER(SEARCH(Tabla29[[#All],[PCLAVE3]],Tabla8[[#This Row],[DESCRIPCION DE TRABAJO]])),""))</f>
        <v>Temperatura</v>
      </c>
      <c r="T557" s="34" t="str">
        <f>IF(AND(Tabla8[[#This Row],[PIEZA]]="",Tabla8[[#This Row],[PARTE]]=""),"VACIO","OK")</f>
        <v>OK</v>
      </c>
      <c r="U557" s="303" t="str">
        <f>+CONCATENATE(WEEKNUM(Tabla8[[#This Row],[FECHA]]),"-",YEAR(Tabla8[[#This Row],[FECHA]]))</f>
        <v>11-2026</v>
      </c>
    </row>
    <row r="558" spans="1:21" ht="15" customHeight="1">
      <c r="A558" s="22">
        <v>46092</v>
      </c>
      <c r="B558" s="16" t="s">
        <v>179</v>
      </c>
      <c r="C558" s="10" t="s">
        <v>36</v>
      </c>
      <c r="D558" s="381" t="s">
        <v>557</v>
      </c>
      <c r="E558" s="381" t="s">
        <v>1167</v>
      </c>
      <c r="F558" s="380">
        <f>+MOD(Tabla8[[#This Row],[HR. FIN]]-Tabla8[[#This Row],[HR. INICIO]],1)</f>
        <v>3.4722222222222265E-2</v>
      </c>
      <c r="G558" s="16" t="s">
        <v>119</v>
      </c>
      <c r="H558" s="343" t="str">
        <f>IFERROR(VLOOKUP(G558,DATOS!$M$2:$N$219,2,FALSE),"")</f>
        <v>Maquinaria</v>
      </c>
      <c r="I558" s="115" t="s">
        <v>32</v>
      </c>
      <c r="J558" s="115" t="s">
        <v>92</v>
      </c>
      <c r="K558" s="114" t="s">
        <v>93</v>
      </c>
      <c r="L558" s="35" t="s">
        <v>1229</v>
      </c>
      <c r="M558" s="35" t="s">
        <v>1230</v>
      </c>
      <c r="N558" s="35" t="str" cm="1">
        <f t="array" ref="N558">IFERROR(IF(Tabla8[[#This Row],[P/NP]]="NO PROGRAMADA","",_xlfn.TEXTJOIN(", ",TRUE,_xlfn._xlws.FILTER(Tabla4[[#All],[PIEZA]],ISNUMBER(SEARCH(Tabla4[[#All],[PCLAVE]],Tabla8[[#This Row],[DESCRIPCION DE TRABAJO]])),""))),"")</f>
        <v/>
      </c>
      <c r="O558" s="35" t="str" cm="1">
        <f t="array" ref="O558">_xlfn.TEXTJOIN(", ",TRUE,_xlfn._xlws.FILTER(Tabla28[[#All],[PARTE]],ISNUMBER(SEARCH(Tabla28[[#All],[PCLAVE2]],Tabla8[[#This Row],[DESCRIPCION DE TRABAJO]])),""))</f>
        <v/>
      </c>
      <c r="P558" s="303" t="str">
        <f>IFERROR(LEFT(O558, FIND(",", O558)-1), O558)</f>
        <v/>
      </c>
      <c r="Q558" s="303" t="str">
        <f>IFERROR(IF(ISERROR(FIND(",", O558, FIND(",", O558)+1)), RIGHT(O558, LEN(O558)-FIND(",", O558)-1), MID(O558, FIND(",", O558)+2, FIND(",", O558, FIND(",", O558)+1)-FIND(",", O558)-2)), "")</f>
        <v/>
      </c>
      <c r="R558" s="303" t="str">
        <f>IFERROR(RIGHT(O558, LEN(O558)-FIND(",", O558, FIND(",", O558)+1)-1), "")</f>
        <v/>
      </c>
      <c r="S558" s="35" t="str" cm="1">
        <f t="array" ref="S558">_xlfn.TEXTJOIN(", ",TRUE,_xlfn._xlws.FILTER(Tabla29[[#All],[PARTE]],ISNUMBER(SEARCH(Tabla29[[#All],[PCLAVE3]],Tabla8[[#This Row],[DESCRIPCION DE TRABAJO]])),""))</f>
        <v>No Tempera</v>
      </c>
      <c r="T558" s="34" t="str">
        <f>IF(AND(Tabla8[[#This Row],[PIEZA]]="",Tabla8[[#This Row],[PARTE]]=""),"VACIO","OK")</f>
        <v>VACIO</v>
      </c>
      <c r="U558" s="303" t="str">
        <f>+CONCATENATE(WEEKNUM(Tabla8[[#This Row],[FECHA]]),"-",YEAR(Tabla8[[#This Row],[FECHA]]))</f>
        <v>11-2026</v>
      </c>
    </row>
    <row r="559" spans="1:21" ht="15" customHeight="1">
      <c r="A559" s="22">
        <v>46092</v>
      </c>
      <c r="B559" s="16" t="s">
        <v>88</v>
      </c>
      <c r="C559" s="10" t="s">
        <v>36</v>
      </c>
      <c r="D559" s="381" t="s">
        <v>97</v>
      </c>
      <c r="E559" s="381" t="s">
        <v>404</v>
      </c>
      <c r="F559" s="380">
        <f>+MOD(Tabla8[[#This Row],[HR. FIN]]-Tabla8[[#This Row],[HR. INICIO]],1)</f>
        <v>3.125E-2</v>
      </c>
      <c r="G559" s="16" t="s">
        <v>103</v>
      </c>
      <c r="H559" s="343" t="str">
        <f>IFERROR(VLOOKUP(G559,DATOS!$M$2:$N$219,2,FALSE),"")</f>
        <v>Area</v>
      </c>
      <c r="I559" s="115" t="s">
        <v>348</v>
      </c>
      <c r="J559" s="115" t="str">
        <f>+VLOOKUP($I559,Tabla7[#All],2,FALSE)</f>
        <v>PROGRAMADA</v>
      </c>
      <c r="K559" s="114" t="str">
        <f>IF(VLOOKUP(I559,Tabla7[#All],3,FALSE)=0,"",VLOOKUP(I559,Tabla7[#All],3,FALSE))</f>
        <v/>
      </c>
      <c r="L559" s="35" t="s">
        <v>1231</v>
      </c>
      <c r="M559" s="35" t="s">
        <v>1232</v>
      </c>
      <c r="N559" s="35" t="str" cm="1">
        <f t="array" ref="N559">IFERROR(IF(Tabla8[[#This Row],[P/NP]]="NO PROGRAMADA","",_xlfn.TEXTJOIN(", ",TRUE,_xlfn._xlws.FILTER(Tabla4[[#All],[PIEZA]],ISNUMBER(SEARCH(Tabla4[[#All],[PCLAVE]],Tabla8[[#This Row],[DESCRIPCION DE TRABAJO]])),""))),"")</f>
        <v>Boquilla, Pinzas</v>
      </c>
      <c r="O559" s="35" t="str" cm="1">
        <f t="array" ref="O559">_xlfn.TEXTJOIN(", ",TRUE,_xlfn._xlws.FILTER(Tabla28[[#All],[PARTE]],ISNUMBER(SEARCH(Tabla28[[#All],[PCLAVE2]],Tabla8[[#This Row],[DESCRIPCION DE TRABAJO]])),""))</f>
        <v/>
      </c>
      <c r="P559" s="303" t="str">
        <f>IFERROR(LEFT(O559, FIND(",", O559)-1), O559)</f>
        <v/>
      </c>
      <c r="Q559" s="303" t="str">
        <f>IFERROR(IF(ISERROR(FIND(",", O559, FIND(",", O559)+1)), RIGHT(O559, LEN(O559)-FIND(",", O559)-1), MID(O559, FIND(",", O559)+2, FIND(",", O559, FIND(",", O559)+1)-FIND(",", O559)-2)), "")</f>
        <v/>
      </c>
      <c r="R559" s="303" t="str">
        <f>IFERROR(RIGHT(O559, LEN(O559)-FIND(",", O559, FIND(",", O559)+1)-1), "")</f>
        <v/>
      </c>
      <c r="S559" s="35" t="str" cm="1">
        <f t="array" ref="S559">_xlfn.TEXTJOIN(", ",TRUE,_xlfn._xlws.FILTER(Tabla29[[#All],[PARTE]],ISNUMBER(SEARCH(Tabla29[[#All],[PCLAVE3]],Tabla8[[#This Row],[DESCRIPCION DE TRABAJO]])),""))</f>
        <v/>
      </c>
      <c r="T559" s="34" t="str">
        <f>IF(AND(Tabla8[[#This Row],[PIEZA]]="",Tabla8[[#This Row],[PARTE]]=""),"VACIO","OK")</f>
        <v>OK</v>
      </c>
      <c r="U559" s="303" t="str">
        <f>+CONCATENATE(WEEKNUM(Tabla8[[#This Row],[FECHA]]),"-",YEAR(Tabla8[[#This Row],[FECHA]]))</f>
        <v>11-2026</v>
      </c>
    </row>
    <row r="560" spans="1:21" ht="15" customHeight="1">
      <c r="A560" s="22">
        <v>46092</v>
      </c>
      <c r="B560" s="16" t="s">
        <v>179</v>
      </c>
      <c r="C560" s="10" t="s">
        <v>36</v>
      </c>
      <c r="D560" s="381" t="s">
        <v>631</v>
      </c>
      <c r="E560" s="381" t="s">
        <v>557</v>
      </c>
      <c r="F560" s="380">
        <f>+MOD(Tabla8[[#This Row],[HR. FIN]]-Tabla8[[#This Row],[HR. INICIO]],1)</f>
        <v>2.7777777777777735E-2</v>
      </c>
      <c r="G560" s="16" t="s">
        <v>119</v>
      </c>
      <c r="H560" s="343" t="str">
        <f>IFERROR(VLOOKUP(G560,DATOS!$M$2:$N$219,2,FALSE),"")</f>
        <v>Maquinaria</v>
      </c>
      <c r="I560" s="115" t="s">
        <v>32</v>
      </c>
      <c r="J560" s="115" t="str">
        <f>+VLOOKUP($I560,Tabla7[#All],2,FALSE)</f>
        <v>PROGRAMADA</v>
      </c>
      <c r="K560" s="114" t="str">
        <f>IF(VLOOKUP(I560,Tabla7[#All],3,FALSE)=0,"",VLOOKUP(I560,Tabla7[#All],3,FALSE))</f>
        <v/>
      </c>
      <c r="L560" s="35" t="s">
        <v>1233</v>
      </c>
      <c r="M560" s="35" t="s">
        <v>121</v>
      </c>
      <c r="N560" s="35" t="str" cm="1">
        <f t="array" ref="N560">IFERROR(IF(Tabla8[[#This Row],[P/NP]]="NO PROGRAMADA","",_xlfn.TEXTJOIN(", ",TRUE,_xlfn._xlws.FILTER(Tabla4[[#All],[PIEZA]],ISNUMBER(SEARCH(Tabla4[[#All],[PCLAVE]],Tabla8[[#This Row],[DESCRIPCION DE TRABAJO]])),""))),"")</f>
        <v/>
      </c>
      <c r="O560" s="35" t="str" cm="1">
        <f t="array" ref="O560">_xlfn.TEXTJOIN(", ",TRUE,_xlfn._xlws.FILTER(Tabla28[[#All],[PARTE]],ISNUMBER(SEARCH(Tabla28[[#All],[PCLAVE2]],Tabla8[[#This Row],[DESCRIPCION DE TRABAJO]])),""))</f>
        <v>Mds</v>
      </c>
      <c r="P560" s="303" t="str">
        <f>IFERROR(LEFT(O560, FIND(",", O560)-1), O560)</f>
        <v>Mds</v>
      </c>
      <c r="Q560" s="303" t="str">
        <f>IFERROR(IF(ISERROR(FIND(",", O560, FIND(",", O560)+1)), RIGHT(O560, LEN(O560)-FIND(",", O560)-1), MID(O560, FIND(",", O560)+2, FIND(",", O560, FIND(",", O560)+1)-FIND(",", O560)-2)), "")</f>
        <v/>
      </c>
      <c r="R560" s="303" t="str">
        <f>IFERROR(RIGHT(O560, LEN(O560)-FIND(",", O560, FIND(",", O560)+1)-1), "")</f>
        <v/>
      </c>
      <c r="S560" s="35" t="str" cm="1">
        <f t="array" ref="S560">_xlfn.TEXTJOIN(", ",TRUE,_xlfn._xlws.FILTER(Tabla29[[#All],[PARTE]],ISNUMBER(SEARCH(Tabla29[[#All],[PCLAVE3]],Tabla8[[#This Row],[DESCRIPCION DE TRABAJO]])),""))</f>
        <v/>
      </c>
      <c r="T560" s="34" t="str">
        <f>IF(AND(Tabla8[[#This Row],[PIEZA]]="",Tabla8[[#This Row],[PARTE]]=""),"VACIO","OK")</f>
        <v>OK</v>
      </c>
      <c r="U560" s="303" t="str">
        <f>+CONCATENATE(WEEKNUM(Tabla8[[#This Row],[FECHA]]),"-",YEAR(Tabla8[[#This Row],[FECHA]]))</f>
        <v>11-2026</v>
      </c>
    </row>
    <row r="561" spans="1:21" ht="15" customHeight="1">
      <c r="A561" s="22">
        <v>46092</v>
      </c>
      <c r="B561" s="16" t="s">
        <v>88</v>
      </c>
      <c r="C561" s="10" t="s">
        <v>36</v>
      </c>
      <c r="D561" s="381" t="s">
        <v>1176</v>
      </c>
      <c r="E561" s="381" t="s">
        <v>176</v>
      </c>
      <c r="F561" s="380">
        <f>+MOD(Tabla8[[#This Row],[HR. FIN]]-Tabla8[[#This Row],[HR. INICIO]],1)</f>
        <v>2.430555555555558E-2</v>
      </c>
      <c r="G561" s="16" t="s">
        <v>328</v>
      </c>
      <c r="H561" s="343" t="str">
        <f>IFERROR(VLOOKUP(G561,DATOS!$M$2:$N$219,2,FALSE),"")</f>
        <v>Area</v>
      </c>
      <c r="I561" s="115" t="s">
        <v>61</v>
      </c>
      <c r="J561" s="115" t="str">
        <f>+VLOOKUP($I561,Tabla7[#All],2,FALSE)</f>
        <v>PROGRAMADA</v>
      </c>
      <c r="K561" s="114" t="str">
        <f>IF(VLOOKUP(I561,Tabla7[#All],3,FALSE)=0,"",VLOOKUP(I561,Tabla7[#All],3,FALSE))</f>
        <v/>
      </c>
      <c r="L561" s="35" t="s">
        <v>1234</v>
      </c>
      <c r="M561" s="35" t="s">
        <v>1235</v>
      </c>
      <c r="N561" s="35" t="str" cm="1">
        <f t="array" ref="N561">IFERROR(IF(Tabla8[[#This Row],[P/NP]]="NO PROGRAMADA","",_xlfn.TEXTJOIN(", ",TRUE,_xlfn._xlws.FILTER(Tabla4[[#All],[PIEZA]],ISNUMBER(SEARCH(Tabla4[[#All],[PCLAVE]],Tabla8[[#This Row],[DESCRIPCION DE TRABAJO]])),""))),"")</f>
        <v/>
      </c>
      <c r="O561" s="35" t="str" cm="1">
        <f t="array" ref="O561">_xlfn.TEXTJOIN(", ",TRUE,_xlfn._xlws.FILTER(Tabla28[[#All],[PARTE]],ISNUMBER(SEARCH(Tabla28[[#All],[PCLAVE2]],Tabla8[[#This Row],[DESCRIPCION DE TRABAJO]])),""))</f>
        <v/>
      </c>
      <c r="P561" s="303" t="str">
        <f>IFERROR(LEFT(O561, FIND(",", O561)-1), O561)</f>
        <v/>
      </c>
      <c r="Q561" s="303" t="str">
        <f>IFERROR(IF(ISERROR(FIND(",", O561, FIND(",", O561)+1)), RIGHT(O561, LEN(O561)-FIND(",", O561)-1), MID(O561, FIND(",", O561)+2, FIND(",", O561, FIND(",", O561)+1)-FIND(",", O561)-2)), "")</f>
        <v/>
      </c>
      <c r="R561" s="303" t="str">
        <f>IFERROR(RIGHT(O561, LEN(O561)-FIND(",", O561, FIND(",", O561)+1)-1), "")</f>
        <v/>
      </c>
      <c r="S561" s="35" t="str" cm="1">
        <f t="array" ref="S561">_xlfn.TEXTJOIN(", ",TRUE,_xlfn._xlws.FILTER(Tabla29[[#All],[PARTE]],ISNUMBER(SEARCH(Tabla29[[#All],[PCLAVE3]],Tabla8[[#This Row],[DESCRIPCION DE TRABAJO]])),""))</f>
        <v/>
      </c>
      <c r="T561" s="34" t="str">
        <f>IF(AND(Tabla8[[#This Row],[PIEZA]]="",Tabla8[[#This Row],[PARTE]]=""),"VACIO","OK")</f>
        <v>VACIO</v>
      </c>
      <c r="U561" s="303" t="str">
        <f>+CONCATENATE(WEEKNUM(Tabla8[[#This Row],[FECHA]]),"-",YEAR(Tabla8[[#This Row],[FECHA]]))</f>
        <v>11-2026</v>
      </c>
    </row>
    <row r="562" spans="1:21" ht="15" customHeight="1">
      <c r="A562" s="22">
        <v>46092</v>
      </c>
      <c r="B562" s="16" t="s">
        <v>179</v>
      </c>
      <c r="C562" s="10" t="s">
        <v>36</v>
      </c>
      <c r="D562" s="381" t="s">
        <v>176</v>
      </c>
      <c r="E562" s="381" t="s">
        <v>400</v>
      </c>
      <c r="F562" s="380">
        <f>+MOD(Tabla8[[#This Row],[HR. FIN]]-Tabla8[[#This Row],[HR. INICIO]],1)</f>
        <v>2.4305555555555525E-2</v>
      </c>
      <c r="G562" s="16" t="s">
        <v>31</v>
      </c>
      <c r="H562" s="343" t="str">
        <f>IFERROR(VLOOKUP(G562,DATOS!$M$2:$N$219,2,FALSE),"")</f>
        <v>Maquinaria</v>
      </c>
      <c r="I562" s="115" t="s">
        <v>32</v>
      </c>
      <c r="J562" s="115" t="str">
        <f>+VLOOKUP($I562,Tabla7[#All],2,FALSE)</f>
        <v>PROGRAMADA</v>
      </c>
      <c r="K562" s="114" t="str">
        <f>IF(VLOOKUP(I562,Tabla7[#All],3,FALSE)=0,"",VLOOKUP(I562,Tabla7[#All],3,FALSE))</f>
        <v/>
      </c>
      <c r="L562" s="35" t="s">
        <v>1236</v>
      </c>
      <c r="M562" s="35" t="s">
        <v>121</v>
      </c>
      <c r="N562" s="35" t="str" cm="1">
        <f t="array" ref="N562">IFERROR(IF(Tabla8[[#This Row],[P/NP]]="NO PROGRAMADA","",_xlfn.TEXTJOIN(", ",TRUE,_xlfn._xlws.FILTER(Tabla4[[#All],[PIEZA]],ISNUMBER(SEARCH(Tabla4[[#All],[PCLAVE]],Tabla8[[#This Row],[DESCRIPCION DE TRABAJO]])),""))),"")</f>
        <v/>
      </c>
      <c r="O562" s="35" t="str" cm="1">
        <f t="array" ref="O562">_xlfn.TEXTJOIN(", ",TRUE,_xlfn._xlws.FILTER(Tabla28[[#All],[PARTE]],ISNUMBER(SEARCH(Tabla28[[#All],[PCLAVE2]],Tabla8[[#This Row],[DESCRIPCION DE TRABAJO]])),""))</f>
        <v/>
      </c>
      <c r="P562" s="303" t="str">
        <f>IFERROR(LEFT(O562, FIND(",", O562)-1), O562)</f>
        <v/>
      </c>
      <c r="Q562" s="303" t="str">
        <f>IFERROR(IF(ISERROR(FIND(",", O562, FIND(",", O562)+1)), RIGHT(O562, LEN(O562)-FIND(",", O562)-1), MID(O562, FIND(",", O562)+2, FIND(",", O562, FIND(",", O562)+1)-FIND(",", O562)-2)), "")</f>
        <v/>
      </c>
      <c r="R562" s="303" t="str">
        <f>IFERROR(RIGHT(O562, LEN(O562)-FIND(",", O562, FIND(",", O562)+1)-1), "")</f>
        <v/>
      </c>
      <c r="S562" s="35" t="str" cm="1">
        <f t="array" ref="S562">_xlfn.TEXTJOIN(", ",TRUE,_xlfn._xlws.FILTER(Tabla29[[#All],[PARTE]],ISNUMBER(SEARCH(Tabla29[[#All],[PCLAVE3]],Tabla8[[#This Row],[DESCRIPCION DE TRABAJO]])),""))</f>
        <v>Cambio De Formato</v>
      </c>
      <c r="T562" s="34" t="str">
        <f>IF(AND(Tabla8[[#This Row],[PIEZA]]="",Tabla8[[#This Row],[PARTE]]=""),"VACIO","OK")</f>
        <v>VACIO</v>
      </c>
      <c r="U562" s="303" t="str">
        <f>+CONCATENATE(WEEKNUM(Tabla8[[#This Row],[FECHA]]),"-",YEAR(Tabla8[[#This Row],[FECHA]]))</f>
        <v>11-2026</v>
      </c>
    </row>
    <row r="563" spans="1:21" ht="15" customHeight="1">
      <c r="A563" s="22">
        <v>46092</v>
      </c>
      <c r="B563" s="16" t="s">
        <v>191</v>
      </c>
      <c r="C563" s="10" t="s">
        <v>23</v>
      </c>
      <c r="D563" s="381" t="s">
        <v>780</v>
      </c>
      <c r="E563" s="381" t="s">
        <v>1237</v>
      </c>
      <c r="F563" s="380">
        <f>+MOD(Tabla8[[#This Row],[HR. FIN]]-Tabla8[[#This Row],[HR. INICIO]],1)</f>
        <v>1.5972222222222276E-2</v>
      </c>
      <c r="G563" s="16" t="s">
        <v>215</v>
      </c>
      <c r="H563" s="343" t="str">
        <f>IFERROR(VLOOKUP(G563,DATOS!$M$2:$N$219,2,FALSE),"")</f>
        <v>Equipos auxiliares</v>
      </c>
      <c r="I563" s="115" t="s">
        <v>54</v>
      </c>
      <c r="J563" s="115" t="str">
        <f>+VLOOKUP($I563,Tabla7[#All],2,FALSE)</f>
        <v>PROGRAMADA</v>
      </c>
      <c r="K563" s="114" t="str">
        <f>IF(VLOOKUP(I563,Tabla7[#All],3,FALSE)=0,"",VLOOKUP(I563,Tabla7[#All],3,FALSE))</f>
        <v/>
      </c>
      <c r="L563" s="35" t="s">
        <v>248</v>
      </c>
      <c r="M563" s="35" t="s">
        <v>121</v>
      </c>
      <c r="N563" s="35" t="str" cm="1">
        <f t="array" ref="N563">IFERROR(IF(Tabla8[[#This Row],[P/NP]]="NO PROGRAMADA","",_xlfn.TEXTJOIN(", ",TRUE,_xlfn._xlws.FILTER(Tabla4[[#All],[PIEZA]],ISNUMBER(SEARCH(Tabla4[[#All],[PCLAVE]],Tabla8[[#This Row],[DESCRIPCION DE TRABAJO]])),""))),"")</f>
        <v/>
      </c>
      <c r="O563" s="35" t="str" cm="1">
        <f t="array" ref="O563">_xlfn.TEXTJOIN(", ",TRUE,_xlfn._xlws.FILTER(Tabla28[[#All],[PARTE]],ISNUMBER(SEARCH(Tabla28[[#All],[PCLAVE2]],Tabla8[[#This Row],[DESCRIPCION DE TRABAJO]])),""))</f>
        <v/>
      </c>
      <c r="P563" s="303" t="str">
        <f>IFERROR(LEFT(O563, FIND(",", O563)-1), O563)</f>
        <v/>
      </c>
      <c r="Q563" s="303" t="str">
        <f>IFERROR(IF(ISERROR(FIND(",", O563, FIND(",", O563)+1)), RIGHT(O563, LEN(O563)-FIND(",", O563)-1), MID(O563, FIND(",", O563)+2, FIND(",", O563, FIND(",", O563)+1)-FIND(",", O563)-2)), "")</f>
        <v/>
      </c>
      <c r="R563" s="303" t="str">
        <f>IFERROR(RIGHT(O563, LEN(O563)-FIND(",", O563, FIND(",", O563)+1)-1), "")</f>
        <v/>
      </c>
      <c r="S563" s="35" t="str" cm="1">
        <f t="array" ref="S563">_xlfn.TEXTJOIN(", ",TRUE,_xlfn._xlws.FILTER(Tabla29[[#All],[PARTE]],ISNUMBER(SEARCH(Tabla29[[#All],[PCLAVE3]],Tabla8[[#This Row],[DESCRIPCION DE TRABAJO]])),""))</f>
        <v/>
      </c>
      <c r="T563" s="34" t="str">
        <f>IF(AND(Tabla8[[#This Row],[PIEZA]]="",Tabla8[[#This Row],[PARTE]]=""),"VACIO","OK")</f>
        <v>VACIO</v>
      </c>
      <c r="U563" s="303" t="str">
        <f>+CONCATENATE(WEEKNUM(Tabla8[[#This Row],[FECHA]]),"-",YEAR(Tabla8[[#This Row],[FECHA]]))</f>
        <v>11-2026</v>
      </c>
    </row>
    <row r="564" spans="1:21" ht="15" customHeight="1">
      <c r="A564" s="22">
        <v>46092</v>
      </c>
      <c r="B564" s="16" t="s">
        <v>191</v>
      </c>
      <c r="C564" s="10" t="s">
        <v>23</v>
      </c>
      <c r="D564" s="381" t="s">
        <v>1238</v>
      </c>
      <c r="E564" s="381" t="s">
        <v>787</v>
      </c>
      <c r="F564" s="380">
        <f>+MOD(Tabla8[[#This Row],[HR. FIN]]-Tabla8[[#This Row],[HR. INICIO]],1)</f>
        <v>1.5277777777777724E-2</v>
      </c>
      <c r="G564" s="16" t="s">
        <v>996</v>
      </c>
      <c r="H564" s="343" t="str">
        <f>IFERROR(VLOOKUP(G564,DATOS!$M$2:$N$219,2,FALSE),"")</f>
        <v>Area</v>
      </c>
      <c r="I564" s="115" t="s">
        <v>32</v>
      </c>
      <c r="J564" s="115" t="s">
        <v>92</v>
      </c>
      <c r="K564" s="114" t="s">
        <v>148</v>
      </c>
      <c r="L564" s="35" t="s">
        <v>1239</v>
      </c>
      <c r="M564" s="35" t="s">
        <v>1240</v>
      </c>
      <c r="N564" s="35" t="str" cm="1">
        <f t="array" ref="N564">IFERROR(IF(Tabla8[[#This Row],[P/NP]]="NO PROGRAMADA","",_xlfn.TEXTJOIN(", ",TRUE,_xlfn._xlws.FILTER(Tabla4[[#All],[PIEZA]],ISNUMBER(SEARCH(Tabla4[[#All],[PCLAVE]],Tabla8[[#This Row],[DESCRIPCION DE TRABAJO]])),""))),"")</f>
        <v/>
      </c>
      <c r="O564" s="35" t="str" cm="1">
        <f t="array" ref="O564">_xlfn.TEXTJOIN(", ",TRUE,_xlfn._xlws.FILTER(Tabla28[[#All],[PARTE]],ISNUMBER(SEARCH(Tabla28[[#All],[PCLAVE2]],Tabla8[[#This Row],[DESCRIPCION DE TRABAJO]])),""))</f>
        <v/>
      </c>
      <c r="P564" s="303" t="str">
        <f>IFERROR(LEFT(O564, FIND(",", O564)-1), O564)</f>
        <v/>
      </c>
      <c r="Q564" s="303" t="str">
        <f>IFERROR(IF(ISERROR(FIND(",", O564, FIND(",", O564)+1)), RIGHT(O564, LEN(O564)-FIND(",", O564)-1), MID(O564, FIND(",", O564)+2, FIND(",", O564, FIND(",", O564)+1)-FIND(",", O564)-2)), "")</f>
        <v/>
      </c>
      <c r="R564" s="303" t="str">
        <f>IFERROR(RIGHT(O564, LEN(O564)-FIND(",", O564, FIND(",", O564)+1)-1), "")</f>
        <v/>
      </c>
      <c r="S564" s="35" t="str" cm="1">
        <f t="array" ref="S564">_xlfn.TEXTJOIN(", ",TRUE,_xlfn._xlws.FILTER(Tabla29[[#All],[PARTE]],ISNUMBER(SEARCH(Tabla29[[#All],[PCLAVE3]],Tabla8[[#This Row],[DESCRIPCION DE TRABAJO]])),""))</f>
        <v>No Enciende</v>
      </c>
      <c r="T564" s="34" t="str">
        <f>IF(AND(Tabla8[[#This Row],[PIEZA]]="",Tabla8[[#This Row],[PARTE]]=""),"VACIO","OK")</f>
        <v>VACIO</v>
      </c>
      <c r="U564" s="303" t="str">
        <f>+CONCATENATE(WEEKNUM(Tabla8[[#This Row],[FECHA]]),"-",YEAR(Tabla8[[#This Row],[FECHA]]))</f>
        <v>11-2026</v>
      </c>
    </row>
    <row r="565" spans="1:21" ht="15" customHeight="1">
      <c r="A565" s="22">
        <v>46092</v>
      </c>
      <c r="B565" s="16" t="s">
        <v>88</v>
      </c>
      <c r="C565" s="10" t="s">
        <v>36</v>
      </c>
      <c r="D565" s="381" t="s">
        <v>636</v>
      </c>
      <c r="E565" s="381" t="s">
        <v>123</v>
      </c>
      <c r="F565" s="380">
        <f>+MOD(Tabla8[[#This Row],[HR. FIN]]-Tabla8[[#This Row],[HR. INICIO]],1)</f>
        <v>1.3888888888888895E-2</v>
      </c>
      <c r="G565" s="16" t="s">
        <v>31</v>
      </c>
      <c r="H565" s="343" t="str">
        <f>IFERROR(VLOOKUP(G565,DATOS!$M$2:$N$219,2,FALSE),"")</f>
        <v>Maquinaria</v>
      </c>
      <c r="I565" s="115" t="s">
        <v>57</v>
      </c>
      <c r="J565" s="115" t="str">
        <f>+VLOOKUP($I565,Tabla7[#All],2,FALSE)</f>
        <v>NO PROGRAMADA</v>
      </c>
      <c r="K565" s="114" t="str">
        <f>IF(VLOOKUP(I565,Tabla7[#All],3,FALSE)=0,"",VLOOKUP(I565,Tabla7[#All],3,FALSE))</f>
        <v>MECÁNICA</v>
      </c>
      <c r="L565" s="35" t="s">
        <v>1241</v>
      </c>
      <c r="M565" s="35" t="s">
        <v>1242</v>
      </c>
      <c r="N565" s="35" t="str" cm="1">
        <f t="array" ref="N565">IFERROR(IF(Tabla8[[#This Row],[P/NP]]="NO PROGRAMADA","",_xlfn.TEXTJOIN(", ",TRUE,_xlfn._xlws.FILTER(Tabla4[[#All],[PIEZA]],ISNUMBER(SEARCH(Tabla4[[#All],[PCLAVE]],Tabla8[[#This Row],[DESCRIPCION DE TRABAJO]])),""))),"")</f>
        <v/>
      </c>
      <c r="O565" s="35" t="str" cm="1">
        <f t="array" ref="O565">_xlfn.TEXTJOIN(", ",TRUE,_xlfn._xlws.FILTER(Tabla28[[#All],[PARTE]],ISNUMBER(SEARCH(Tabla28[[#All],[PCLAVE2]],Tabla8[[#This Row],[DESCRIPCION DE TRABAJO]])),""))</f>
        <v/>
      </c>
      <c r="P565" s="303" t="str">
        <f>IFERROR(LEFT(O565, FIND(",", O565)-1), O565)</f>
        <v/>
      </c>
      <c r="Q565" s="303" t="str">
        <f>IFERROR(IF(ISERROR(FIND(",", O565, FIND(",", O565)+1)), RIGHT(O565, LEN(O565)-FIND(",", O565)-1), MID(O565, FIND(",", O565)+2, FIND(",", O565, FIND(",", O565)+1)-FIND(",", O565)-2)), "")</f>
        <v/>
      </c>
      <c r="R565" s="303" t="str">
        <f>IFERROR(RIGHT(O565, LEN(O565)-FIND(",", O565, FIND(",", O565)+1)-1), "")</f>
        <v/>
      </c>
      <c r="S565" s="35" t="str" cm="1">
        <f t="array" ref="S565">_xlfn.TEXTJOIN(", ",TRUE,_xlfn._xlws.FILTER(Tabla29[[#All],[PARTE]],ISNUMBER(SEARCH(Tabla29[[#All],[PCLAVE3]],Tabla8[[#This Row],[DESCRIPCION DE TRABAJO]])),""))</f>
        <v>No Sella, Sellado</v>
      </c>
      <c r="T565" s="34" t="str">
        <f>IF(AND(Tabla8[[#This Row],[PIEZA]]="",Tabla8[[#This Row],[PARTE]]=""),"VACIO","OK")</f>
        <v>VACIO</v>
      </c>
      <c r="U565" s="303" t="str">
        <f>+CONCATENATE(WEEKNUM(Tabla8[[#This Row],[FECHA]]),"-",YEAR(Tabla8[[#This Row],[FECHA]]))</f>
        <v>11-2026</v>
      </c>
    </row>
    <row r="566" spans="1:21" ht="15" customHeight="1">
      <c r="A566" s="22">
        <v>46092</v>
      </c>
      <c r="B566" s="16" t="s">
        <v>88</v>
      </c>
      <c r="C566" s="10" t="s">
        <v>36</v>
      </c>
      <c r="D566" s="381" t="s">
        <v>96</v>
      </c>
      <c r="E566" s="381" t="s">
        <v>1167</v>
      </c>
      <c r="F566" s="380">
        <f>+MOD(Tabla8[[#This Row],[HR. FIN]]-Tabla8[[#This Row],[HR. INICIO]],1)</f>
        <v>1.3888888888888895E-2</v>
      </c>
      <c r="G566" s="16" t="s">
        <v>270</v>
      </c>
      <c r="H566" s="343" t="str">
        <f>IFERROR(VLOOKUP(G566,DATOS!$M$2:$N$219,2,FALSE),"")</f>
        <v>Maquinaria</v>
      </c>
      <c r="I566" s="115" t="s">
        <v>54</v>
      </c>
      <c r="J566" s="115" t="str">
        <f>+VLOOKUP($I566,Tabla7[#All],2,FALSE)</f>
        <v>PROGRAMADA</v>
      </c>
      <c r="K566" s="114" t="str">
        <f>IF(VLOOKUP(I566,Tabla7[#All],3,FALSE)=0,"",VLOOKUP(I566,Tabla7[#All],3,FALSE))</f>
        <v/>
      </c>
      <c r="L566" s="35" t="s">
        <v>1040</v>
      </c>
      <c r="M566" s="35" t="s">
        <v>341</v>
      </c>
      <c r="N566" s="35" t="str" cm="1">
        <f t="array" ref="N566">IFERROR(IF(Tabla8[[#This Row],[P/NP]]="NO PROGRAMADA","",_xlfn.TEXTJOIN(", ",TRUE,_xlfn._xlws.FILTER(Tabla4[[#All],[PIEZA]],ISNUMBER(SEARCH(Tabla4[[#All],[PCLAVE]],Tabla8[[#This Row],[DESCRIPCION DE TRABAJO]])),""))),"")</f>
        <v/>
      </c>
      <c r="O566" s="35" t="str" cm="1">
        <f t="array" ref="O566">_xlfn.TEXTJOIN(", ",TRUE,_xlfn._xlws.FILTER(Tabla28[[#All],[PARTE]],ISNUMBER(SEARCH(Tabla28[[#All],[PCLAVE2]],Tabla8[[#This Row],[DESCRIPCION DE TRABAJO]])),""))</f>
        <v/>
      </c>
      <c r="P566" s="303" t="str">
        <f>IFERROR(LEFT(O566, FIND(",", O566)-1), O566)</f>
        <v/>
      </c>
      <c r="Q566" s="303" t="str">
        <f>IFERROR(IF(ISERROR(FIND(",", O566, FIND(",", O566)+1)), RIGHT(O566, LEN(O566)-FIND(",", O566)-1), MID(O566, FIND(",", O566)+2, FIND(",", O566, FIND(",", O566)+1)-FIND(",", O566)-2)), "")</f>
        <v/>
      </c>
      <c r="R566" s="303" t="str">
        <f>IFERROR(RIGHT(O566, LEN(O566)-FIND(",", O566, FIND(",", O566)+1)-1), "")</f>
        <v/>
      </c>
      <c r="S566" s="35" t="str" cm="1">
        <f t="array" ref="S566">_xlfn.TEXTJOIN(", ",TRUE,_xlfn._xlws.FILTER(Tabla29[[#All],[PARTE]],ISNUMBER(SEARCH(Tabla29[[#All],[PCLAVE3]],Tabla8[[#This Row],[DESCRIPCION DE TRABAJO]])),""))</f>
        <v/>
      </c>
      <c r="T566" s="34" t="str">
        <f>IF(AND(Tabla8[[#This Row],[PIEZA]]="",Tabla8[[#This Row],[PARTE]]=""),"VACIO","OK")</f>
        <v>VACIO</v>
      </c>
      <c r="U566" s="303" t="str">
        <f>+CONCATENATE(WEEKNUM(Tabla8[[#This Row],[FECHA]]),"-",YEAR(Tabla8[[#This Row],[FECHA]]))</f>
        <v>11-2026</v>
      </c>
    </row>
    <row r="567" spans="1:21" ht="15" customHeight="1">
      <c r="A567" s="22">
        <v>46092</v>
      </c>
      <c r="B567" s="16" t="s">
        <v>179</v>
      </c>
      <c r="C567" s="10" t="s">
        <v>36</v>
      </c>
      <c r="D567" s="381" t="s">
        <v>122</v>
      </c>
      <c r="E567" s="381" t="s">
        <v>537</v>
      </c>
      <c r="F567" s="380">
        <f>+MOD(Tabla8[[#This Row],[HR. FIN]]-Tabla8[[#This Row],[HR. INICIO]],1)</f>
        <v>1.3888888888888895E-2</v>
      </c>
      <c r="G567" s="16" t="s">
        <v>1243</v>
      </c>
      <c r="H567" s="343" t="str">
        <f>IFERROR(VLOOKUP(G567,DATOS!$M$2:$N$219,2,FALSE),"")</f>
        <v>Sistema</v>
      </c>
      <c r="I567" s="115" t="s">
        <v>405</v>
      </c>
      <c r="J567" s="115" t="str">
        <f>+VLOOKUP($I567,Tabla7[#All],2,FALSE)</f>
        <v>PROGRAMADA</v>
      </c>
      <c r="K567" s="114" t="str">
        <f>IF(VLOOKUP(I567,Tabla7[#All],3,FALSE)=0,"",VLOOKUP(I567,Tabla7[#All],3,FALSE))</f>
        <v/>
      </c>
      <c r="L567" s="35" t="s">
        <v>1244</v>
      </c>
      <c r="M567" s="35" t="s">
        <v>121</v>
      </c>
      <c r="N567" s="35" t="str" cm="1">
        <f t="array" ref="N567">IFERROR(IF(Tabla8[[#This Row],[P/NP]]="NO PROGRAMADA","",_xlfn.TEXTJOIN(", ",TRUE,_xlfn._xlws.FILTER(Tabla4[[#All],[PIEZA]],ISNUMBER(SEARCH(Tabla4[[#All],[PCLAVE]],Tabla8[[#This Row],[DESCRIPCION DE TRABAJO]])),""))),"")</f>
        <v/>
      </c>
      <c r="O567" s="35" t="str" cm="1">
        <f t="array" ref="O567">_xlfn.TEXTJOIN(", ",TRUE,_xlfn._xlws.FILTER(Tabla28[[#All],[PARTE]],ISNUMBER(SEARCH(Tabla28[[#All],[PCLAVE2]],Tabla8[[#This Row],[DESCRIPCION DE TRABAJO]])),""))</f>
        <v/>
      </c>
      <c r="P567" s="303" t="str">
        <f>IFERROR(LEFT(O567, FIND(",", O567)-1), O567)</f>
        <v/>
      </c>
      <c r="Q567" s="303" t="str">
        <f>IFERROR(IF(ISERROR(FIND(",", O567, FIND(",", O567)+1)), RIGHT(O567, LEN(O567)-FIND(",", O567)-1), MID(O567, FIND(",", O567)+2, FIND(",", O567, FIND(",", O567)+1)-FIND(",", O567)-2)), "")</f>
        <v/>
      </c>
      <c r="R567" s="303" t="str">
        <f>IFERROR(RIGHT(O567, LEN(O567)-FIND(",", O567, FIND(",", O567)+1)-1), "")</f>
        <v/>
      </c>
      <c r="S567" s="35" t="str" cm="1">
        <f t="array" ref="S567">_xlfn.TEXTJOIN(", ",TRUE,_xlfn._xlws.FILTER(Tabla29[[#All],[PARTE]],ISNUMBER(SEARCH(Tabla29[[#All],[PCLAVE3]],Tabla8[[#This Row],[DESCRIPCION DE TRABAJO]])),""))</f>
        <v/>
      </c>
      <c r="T567" s="34" t="str">
        <f>IF(AND(Tabla8[[#This Row],[PIEZA]]="",Tabla8[[#This Row],[PARTE]]=""),"VACIO","OK")</f>
        <v>VACIO</v>
      </c>
      <c r="U567" s="303" t="str">
        <f>+CONCATENATE(WEEKNUM(Tabla8[[#This Row],[FECHA]]),"-",YEAR(Tabla8[[#This Row],[FECHA]]))</f>
        <v>11-2026</v>
      </c>
    </row>
    <row r="568" spans="1:21" ht="15" customHeight="1">
      <c r="A568" s="22">
        <v>46092</v>
      </c>
      <c r="B568" s="16" t="s">
        <v>179</v>
      </c>
      <c r="C568" s="10" t="s">
        <v>36</v>
      </c>
      <c r="D568" s="381" t="s">
        <v>1176</v>
      </c>
      <c r="E568" s="381" t="s">
        <v>126</v>
      </c>
      <c r="F568" s="380">
        <f>+MOD(Tabla8[[#This Row],[HR. FIN]]-Tabla8[[#This Row],[HR. INICIO]],1)</f>
        <v>1.3888888888888895E-2</v>
      </c>
      <c r="G568" s="16" t="s">
        <v>241</v>
      </c>
      <c r="H568" s="343" t="str">
        <f>IFERROR(VLOOKUP(G568,DATOS!$M$2:$N$219,2,FALSE),"")</f>
        <v>Maquinaria</v>
      </c>
      <c r="I568" s="115" t="s">
        <v>54</v>
      </c>
      <c r="J568" s="115" t="str">
        <f>+VLOOKUP($I568,Tabla7[#All],2,FALSE)</f>
        <v>PROGRAMADA</v>
      </c>
      <c r="K568" s="114" t="str">
        <f>IF(VLOOKUP(I568,Tabla7[#All],3,FALSE)=0,"",VLOOKUP(I568,Tabla7[#All],3,FALSE))</f>
        <v/>
      </c>
      <c r="L568" s="35" t="s">
        <v>1245</v>
      </c>
      <c r="M568" s="35" t="s">
        <v>121</v>
      </c>
      <c r="N568" s="35" t="str" cm="1">
        <f t="array" ref="N568">IFERROR(IF(Tabla8[[#This Row],[P/NP]]="NO PROGRAMADA","",_xlfn.TEXTJOIN(", ",TRUE,_xlfn._xlws.FILTER(Tabla4[[#All],[PIEZA]],ISNUMBER(SEARCH(Tabla4[[#All],[PCLAVE]],Tabla8[[#This Row],[DESCRIPCION DE TRABAJO]])),""))),"")</f>
        <v/>
      </c>
      <c r="O568" s="35" t="str" cm="1">
        <f t="array" ref="O568">_xlfn.TEXTJOIN(", ",TRUE,_xlfn._xlws.FILTER(Tabla28[[#All],[PARTE]],ISNUMBER(SEARCH(Tabla28[[#All],[PCLAVE2]],Tabla8[[#This Row],[DESCRIPCION DE TRABAJO]])),""))</f>
        <v/>
      </c>
      <c r="P568" s="303" t="str">
        <f>IFERROR(LEFT(O568, FIND(",", O568)-1), O568)</f>
        <v/>
      </c>
      <c r="Q568" s="303" t="str">
        <f>IFERROR(IF(ISERROR(FIND(",", O568, FIND(",", O568)+1)), RIGHT(O568, LEN(O568)-FIND(",", O568)-1), MID(O568, FIND(",", O568)+2, FIND(",", O568, FIND(",", O568)+1)-FIND(",", O568)-2)), "")</f>
        <v/>
      </c>
      <c r="R568" s="303" t="str">
        <f>IFERROR(RIGHT(O568, LEN(O568)-FIND(",", O568, FIND(",", O568)+1)-1), "")</f>
        <v/>
      </c>
      <c r="S568" s="35" t="str" cm="1">
        <f t="array" ref="S568">_xlfn.TEXTJOIN(", ",TRUE,_xlfn._xlws.FILTER(Tabla29[[#All],[PARTE]],ISNUMBER(SEARCH(Tabla29[[#All],[PCLAVE3]],Tabla8[[#This Row],[DESCRIPCION DE TRABAJO]])),""))</f>
        <v>Alarma</v>
      </c>
      <c r="T568" s="34" t="str">
        <f>IF(AND(Tabla8[[#This Row],[PIEZA]]="",Tabla8[[#This Row],[PARTE]]=""),"VACIO","OK")</f>
        <v>VACIO</v>
      </c>
      <c r="U568" s="303" t="str">
        <f>+CONCATENATE(WEEKNUM(Tabla8[[#This Row],[FECHA]]),"-",YEAR(Tabla8[[#This Row],[FECHA]]))</f>
        <v>11-2026</v>
      </c>
    </row>
    <row r="569" spans="1:21" ht="15" customHeight="1">
      <c r="A569" s="22">
        <v>46092</v>
      </c>
      <c r="B569" s="16" t="s">
        <v>179</v>
      </c>
      <c r="C569" s="10" t="s">
        <v>36</v>
      </c>
      <c r="D569" s="381" t="s">
        <v>1246</v>
      </c>
      <c r="E569" s="381" t="s">
        <v>884</v>
      </c>
      <c r="F569" s="380">
        <f>+MOD(Tabla8[[#This Row],[HR. FIN]]-Tabla8[[#This Row],[HR. INICIO]],1)</f>
        <v>1.3888888888888867E-2</v>
      </c>
      <c r="G569" s="16" t="s">
        <v>1247</v>
      </c>
      <c r="H569" s="343" t="str">
        <f>IFERROR(VLOOKUP(G569,DATOS!$M$2:$N$219,2,FALSE),"")</f>
        <v>Equipos</v>
      </c>
      <c r="I569" s="115" t="s">
        <v>28</v>
      </c>
      <c r="J569" s="115" t="str">
        <f>+VLOOKUP($I569,Tabla7[#All],2,FALSE)</f>
        <v>NO PROGRAMADA</v>
      </c>
      <c r="K569" s="114" t="str">
        <f>IF(VLOOKUP(I569,Tabla7[#All],3,FALSE)=0,"",VLOOKUP(I569,Tabla7[#All],3,FALSE))</f>
        <v>ELÉCTRICA</v>
      </c>
      <c r="L569" s="35" t="s">
        <v>1248</v>
      </c>
      <c r="M569" s="35" t="s">
        <v>1249</v>
      </c>
      <c r="N569" s="35" t="str" cm="1">
        <f t="array" ref="N569">IFERROR(IF(Tabla8[[#This Row],[P/NP]]="NO PROGRAMADA","",_xlfn.TEXTJOIN(", ",TRUE,_xlfn._xlws.FILTER(Tabla4[[#All],[PIEZA]],ISNUMBER(SEARCH(Tabla4[[#All],[PCLAVE]],Tabla8[[#This Row],[DESCRIPCION DE TRABAJO]])),""))),"")</f>
        <v/>
      </c>
      <c r="O569" s="35" t="str" cm="1">
        <f t="array" ref="O569">_xlfn.TEXTJOIN(", ",TRUE,_xlfn._xlws.FILTER(Tabla28[[#All],[PARTE]],ISNUMBER(SEARCH(Tabla28[[#All],[PCLAVE2]],Tabla8[[#This Row],[DESCRIPCION DE TRABAJO]])),""))</f>
        <v/>
      </c>
      <c r="P569" s="303" t="str">
        <f>IFERROR(LEFT(O569, FIND(",", O569)-1), O569)</f>
        <v/>
      </c>
      <c r="Q569" s="303" t="str">
        <f>IFERROR(IF(ISERROR(FIND(",", O569, FIND(",", O569)+1)), RIGHT(O569, LEN(O569)-FIND(",", O569)-1), MID(O569, FIND(",", O569)+2, FIND(",", O569, FIND(",", O569)+1)-FIND(",", O569)-2)), "")</f>
        <v/>
      </c>
      <c r="R569" s="303" t="str">
        <f>IFERROR(RIGHT(O569, LEN(O569)-FIND(",", O569, FIND(",", O569)+1)-1), "")</f>
        <v/>
      </c>
      <c r="S569" s="35" t="str" cm="1">
        <f t="array" ref="S569">_xlfn.TEXTJOIN(", ",TRUE,_xlfn._xlws.FILTER(Tabla29[[#All],[PARTE]],ISNUMBER(SEARCH(Tabla29[[#All],[PCLAVE3]],Tabla8[[#This Row],[DESCRIPCION DE TRABAJO]])),""))</f>
        <v/>
      </c>
      <c r="T569" s="34" t="str">
        <f>IF(AND(Tabla8[[#This Row],[PIEZA]]="",Tabla8[[#This Row],[PARTE]]=""),"VACIO","OK")</f>
        <v>VACIO</v>
      </c>
      <c r="U569" s="303" t="str">
        <f>+CONCATENATE(WEEKNUM(Tabla8[[#This Row],[FECHA]]),"-",YEAR(Tabla8[[#This Row],[FECHA]]))</f>
        <v>11-2026</v>
      </c>
    </row>
    <row r="570" spans="1:21" ht="15" customHeight="1">
      <c r="A570" s="22">
        <v>46092</v>
      </c>
      <c r="B570" s="16" t="s">
        <v>191</v>
      </c>
      <c r="C570" s="10" t="s">
        <v>36</v>
      </c>
      <c r="D570" s="381" t="s">
        <v>1250</v>
      </c>
      <c r="E570" s="381" t="s">
        <v>1251</v>
      </c>
      <c r="F570" s="380">
        <f>+MOD(Tabla8[[#This Row],[HR. FIN]]-Tabla8[[#This Row],[HR. INICIO]],1)</f>
        <v>1.2499999999999956E-2</v>
      </c>
      <c r="G570" s="16" t="s">
        <v>119</v>
      </c>
      <c r="H570" s="343" t="str">
        <f>IFERROR(VLOOKUP(G570,DATOS!$M$2:$N$219,2,FALSE),"")</f>
        <v>Maquinaria</v>
      </c>
      <c r="I570" s="115" t="s">
        <v>54</v>
      </c>
      <c r="J570" s="115" t="str">
        <f>+VLOOKUP($I570,Tabla7[#All],2,FALSE)</f>
        <v>PROGRAMADA</v>
      </c>
      <c r="K570" s="114" t="str">
        <f>IF(VLOOKUP(I570,Tabla7[#All],3,FALSE)=0,"",VLOOKUP(I570,Tabla7[#All],3,FALSE))</f>
        <v/>
      </c>
      <c r="L570" s="35" t="s">
        <v>1252</v>
      </c>
      <c r="M570" s="35" t="s">
        <v>121</v>
      </c>
      <c r="N570" s="35" t="str" cm="1">
        <f t="array" ref="N570">IFERROR(IF(Tabla8[[#This Row],[P/NP]]="NO PROGRAMADA","",_xlfn.TEXTJOIN(", ",TRUE,_xlfn._xlws.FILTER(Tabla4[[#All],[PIEZA]],ISNUMBER(SEARCH(Tabla4[[#All],[PCLAVE]],Tabla8[[#This Row],[DESCRIPCION DE TRABAJO]])),""))),"")</f>
        <v/>
      </c>
      <c r="O570" s="35" t="str" cm="1">
        <f t="array" ref="O570">_xlfn.TEXTJOIN(", ",TRUE,_xlfn._xlws.FILTER(Tabla28[[#All],[PARTE]],ISNUMBER(SEARCH(Tabla28[[#All],[PCLAVE2]],Tabla8[[#This Row],[DESCRIPCION DE TRABAJO]])),""))</f>
        <v>Temperadora</v>
      </c>
      <c r="P570" s="303" t="str">
        <f>IFERROR(LEFT(O570, FIND(",", O570)-1), O570)</f>
        <v>Temperadora</v>
      </c>
      <c r="Q570" s="303" t="str">
        <f>IFERROR(IF(ISERROR(FIND(",", O570, FIND(",", O570)+1)), RIGHT(O570, LEN(O570)-FIND(",", O570)-1), MID(O570, FIND(",", O570)+2, FIND(",", O570, FIND(",", O570)+1)-FIND(",", O570)-2)), "")</f>
        <v/>
      </c>
      <c r="R570" s="303" t="str">
        <f>IFERROR(RIGHT(O570, LEN(O570)-FIND(",", O570, FIND(",", O570)+1)-1), "")</f>
        <v/>
      </c>
      <c r="S570" s="35" t="str" cm="1">
        <f t="array" ref="S570">_xlfn.TEXTJOIN(", ",TRUE,_xlfn._xlws.FILTER(Tabla29[[#All],[PARTE]],ISNUMBER(SEARCH(Tabla29[[#All],[PCLAVE3]],Tabla8[[#This Row],[DESCRIPCION DE TRABAJO]])),""))</f>
        <v>Nivel</v>
      </c>
      <c r="T570" s="34" t="str">
        <f>IF(AND(Tabla8[[#This Row],[PIEZA]]="",Tabla8[[#This Row],[PARTE]]=""),"VACIO","OK")</f>
        <v>OK</v>
      </c>
      <c r="U570" s="303" t="str">
        <f>+CONCATENATE(WEEKNUM(Tabla8[[#This Row],[FECHA]]),"-",YEAR(Tabla8[[#This Row],[FECHA]]))</f>
        <v>11-2026</v>
      </c>
    </row>
    <row r="571" spans="1:21" ht="15" customHeight="1">
      <c r="A571" s="22">
        <v>46092</v>
      </c>
      <c r="B571" s="16" t="s">
        <v>191</v>
      </c>
      <c r="C571" s="10" t="s">
        <v>23</v>
      </c>
      <c r="D571" s="381" t="s">
        <v>1253</v>
      </c>
      <c r="E571" s="381" t="s">
        <v>1254</v>
      </c>
      <c r="F571" s="380">
        <f>+MOD(Tabla8[[#This Row],[HR. FIN]]-Tabla8[[#This Row],[HR. INICIO]],1)</f>
        <v>1.1805555555555625E-2</v>
      </c>
      <c r="G571" s="16" t="s">
        <v>31</v>
      </c>
      <c r="H571" s="343" t="str">
        <f>IFERROR(VLOOKUP(G571,DATOS!$M$2:$N$219,2,FALSE),"")</f>
        <v>Maquinaria</v>
      </c>
      <c r="I571" s="115" t="s">
        <v>57</v>
      </c>
      <c r="J571" s="115" t="str">
        <f>+VLOOKUP($I571,Tabla7[#All],2,FALSE)</f>
        <v>NO PROGRAMADA</v>
      </c>
      <c r="K571" s="114" t="str">
        <f>IF(VLOOKUP(I571,Tabla7[#All],3,FALSE)=0,"",VLOOKUP(I571,Tabla7[#All],3,FALSE))</f>
        <v>MECÁNICA</v>
      </c>
      <c r="L571" s="35" t="s">
        <v>1255</v>
      </c>
      <c r="M571" s="35" t="s">
        <v>121</v>
      </c>
      <c r="N571" s="35" t="str" cm="1">
        <f t="array" ref="N571">IFERROR(IF(Tabla8[[#This Row],[P/NP]]="NO PROGRAMADA","",_xlfn.TEXTJOIN(", ",TRUE,_xlfn._xlws.FILTER(Tabla4[[#All],[PIEZA]],ISNUMBER(SEARCH(Tabla4[[#All],[PCLAVE]],Tabla8[[#This Row],[DESCRIPCION DE TRABAJO]])),""))),"")</f>
        <v/>
      </c>
      <c r="O571" s="35" t="str" cm="1">
        <f t="array" ref="O571">_xlfn.TEXTJOIN(", ",TRUE,_xlfn._xlws.FILTER(Tabla28[[#All],[PARTE]],ISNUMBER(SEARCH(Tabla28[[#All],[PCLAVE2]],Tabla8[[#This Row],[DESCRIPCION DE TRABAJO]])),""))</f>
        <v/>
      </c>
      <c r="P571" s="303" t="str">
        <f>IFERROR(LEFT(O571, FIND(",", O571)-1), O571)</f>
        <v/>
      </c>
      <c r="Q571" s="303" t="str">
        <f>IFERROR(IF(ISERROR(FIND(",", O571, FIND(",", O571)+1)), RIGHT(O571, LEN(O571)-FIND(",", O571)-1), MID(O571, FIND(",", O571)+2, FIND(",", O571, FIND(",", O571)+1)-FIND(",", O571)-2)), "")</f>
        <v/>
      </c>
      <c r="R571" s="303" t="str">
        <f>IFERROR(RIGHT(O571, LEN(O571)-FIND(",", O571, FIND(",", O571)+1)-1), "")</f>
        <v/>
      </c>
      <c r="S571" s="35" t="str" cm="1">
        <f t="array" ref="S571">_xlfn.TEXTJOIN(", ",TRUE,_xlfn._xlws.FILTER(Tabla29[[#All],[PARTE]],ISNUMBER(SEARCH(Tabla29[[#All],[PCLAVE3]],Tabla8[[#This Row],[DESCRIPCION DE TRABAJO]])),""))</f>
        <v/>
      </c>
      <c r="T571" s="34" t="str">
        <f>IF(AND(Tabla8[[#This Row],[PIEZA]]="",Tabla8[[#This Row],[PARTE]]=""),"VACIO","OK")</f>
        <v>VACIO</v>
      </c>
      <c r="U571" s="303" t="str">
        <f>+CONCATENATE(WEEKNUM(Tabla8[[#This Row],[FECHA]]),"-",YEAR(Tabla8[[#This Row],[FECHA]]))</f>
        <v>11-2026</v>
      </c>
    </row>
    <row r="572" spans="1:21" ht="15" customHeight="1">
      <c r="A572" s="22">
        <v>46092</v>
      </c>
      <c r="B572" s="16" t="s">
        <v>191</v>
      </c>
      <c r="C572" s="10" t="s">
        <v>23</v>
      </c>
      <c r="D572" s="381" t="s">
        <v>1256</v>
      </c>
      <c r="E572" s="381" t="s">
        <v>685</v>
      </c>
      <c r="F572" s="380">
        <f>+MOD(Tabla8[[#This Row],[HR. FIN]]-Tabla8[[#This Row],[HR. INICIO]],1)</f>
        <v>1.1111111111111072E-2</v>
      </c>
      <c r="G572" s="16" t="s">
        <v>198</v>
      </c>
      <c r="H572" s="343" t="str">
        <f>IFERROR(VLOOKUP(G572,DATOS!$M$2:$N$219,2,FALSE),"")</f>
        <v>Maquinaria</v>
      </c>
      <c r="I572" s="115" t="s">
        <v>57</v>
      </c>
      <c r="J572" s="115" t="str">
        <f>+VLOOKUP($I572,Tabla7[#All],2,FALSE)</f>
        <v>NO PROGRAMADA</v>
      </c>
      <c r="K572" s="114" t="str">
        <f>IF(VLOOKUP(I572,Tabla7[#All],3,FALSE)=0,"",VLOOKUP(I572,Tabla7[#All],3,FALSE))</f>
        <v>MECÁNICA</v>
      </c>
      <c r="L572" s="35" t="s">
        <v>1257</v>
      </c>
      <c r="M572" s="35" t="s">
        <v>1258</v>
      </c>
      <c r="N572" s="35" t="str" cm="1">
        <f t="array" ref="N572">IFERROR(IF(Tabla8[[#This Row],[P/NP]]="NO PROGRAMADA","",_xlfn.TEXTJOIN(", ",TRUE,_xlfn._xlws.FILTER(Tabla4[[#All],[PIEZA]],ISNUMBER(SEARCH(Tabla4[[#All],[PCLAVE]],Tabla8[[#This Row],[DESCRIPCION DE TRABAJO]])),""))),"")</f>
        <v/>
      </c>
      <c r="O572" s="35" t="str" cm="1">
        <f t="array" ref="O572">_xlfn.TEXTJOIN(", ",TRUE,_xlfn._xlws.FILTER(Tabla28[[#All],[PARTE]],ISNUMBER(SEARCH(Tabla28[[#All],[PCLAVE2]],Tabla8[[#This Row],[DESCRIPCION DE TRABAJO]])),""))</f>
        <v/>
      </c>
      <c r="P572" s="303" t="str">
        <f>IFERROR(LEFT(O572, FIND(",", O572)-1), O572)</f>
        <v/>
      </c>
      <c r="Q572" s="303" t="str">
        <f>IFERROR(IF(ISERROR(FIND(",", O572, FIND(",", O572)+1)), RIGHT(O572, LEN(O572)-FIND(",", O572)-1), MID(O572, FIND(",", O572)+2, FIND(",", O572, FIND(",", O572)+1)-FIND(",", O572)-2)), "")</f>
        <v/>
      </c>
      <c r="R572" s="303" t="str">
        <f>IFERROR(RIGHT(O572, LEN(O572)-FIND(",", O572, FIND(",", O572)+1)-1), "")</f>
        <v/>
      </c>
      <c r="S572" s="35" t="str" cm="1">
        <f t="array" ref="S572">_xlfn.TEXTJOIN(", ",TRUE,_xlfn._xlws.FILTER(Tabla29[[#All],[PARTE]],ISNUMBER(SEARCH(Tabla29[[#All],[PCLAVE3]],Tabla8[[#This Row],[DESCRIPCION DE TRABAJO]])),""))</f>
        <v>No Arrastra</v>
      </c>
      <c r="T572" s="34" t="str">
        <f>IF(AND(Tabla8[[#This Row],[PIEZA]]="",Tabla8[[#This Row],[PARTE]]=""),"VACIO","OK")</f>
        <v>VACIO</v>
      </c>
      <c r="U572" s="303" t="str">
        <f>+CONCATENATE(WEEKNUM(Tabla8[[#This Row],[FECHA]]),"-",YEAR(Tabla8[[#This Row],[FECHA]]))</f>
        <v>11-2026</v>
      </c>
    </row>
    <row r="573" spans="1:21" ht="15" customHeight="1">
      <c r="A573" s="22">
        <v>46092</v>
      </c>
      <c r="B573" s="16" t="s">
        <v>88</v>
      </c>
      <c r="C573" s="10" t="s">
        <v>36</v>
      </c>
      <c r="D573" s="381" t="s">
        <v>430</v>
      </c>
      <c r="E573" s="381" t="s">
        <v>699</v>
      </c>
      <c r="F573" s="380">
        <f>+MOD(Tabla8[[#This Row],[HR. FIN]]-Tabla8[[#This Row],[HR. INICIO]],1)</f>
        <v>1.0416666666666685E-2</v>
      </c>
      <c r="G573" s="16" t="s">
        <v>119</v>
      </c>
      <c r="H573" s="343" t="str">
        <f>IFERROR(VLOOKUP(G573,DATOS!$M$2:$N$219,2,FALSE),"")</f>
        <v>Maquinaria</v>
      </c>
      <c r="I573" s="115" t="s">
        <v>61</v>
      </c>
      <c r="J573" s="115" t="str">
        <f>+VLOOKUP($I573,Tabla7[#All],2,FALSE)</f>
        <v>PROGRAMADA</v>
      </c>
      <c r="K573" s="114" t="str">
        <f>IF(VLOOKUP(I573,Tabla7[#All],3,FALSE)=0,"",VLOOKUP(I573,Tabla7[#All],3,FALSE))</f>
        <v/>
      </c>
      <c r="L573" s="35" t="s">
        <v>1259</v>
      </c>
      <c r="M573" s="35" t="s">
        <v>1260</v>
      </c>
      <c r="N573" s="35" t="str" cm="1">
        <f t="array" ref="N573">IFERROR(IF(Tabla8[[#This Row],[P/NP]]="NO PROGRAMADA","",_xlfn.TEXTJOIN(", ",TRUE,_xlfn._xlws.FILTER(Tabla4[[#All],[PIEZA]],ISNUMBER(SEARCH(Tabla4[[#All],[PCLAVE]],Tabla8[[#This Row],[DESCRIPCION DE TRABAJO]])),""))),"")</f>
        <v>Husillo, Husillo</v>
      </c>
      <c r="O573" s="35" t="str" cm="1">
        <f t="array" ref="O573">_xlfn.TEXTJOIN(", ",TRUE,_xlfn._xlws.FILTER(Tabla28[[#All],[PARTE]],ISNUMBER(SEARCH(Tabla28[[#All],[PCLAVE2]],Tabla8[[#This Row],[DESCRIPCION DE TRABAJO]])),""))</f>
        <v/>
      </c>
      <c r="P573" s="303" t="str">
        <f>IFERROR(LEFT(O573, FIND(",", O573)-1), O573)</f>
        <v/>
      </c>
      <c r="Q573" s="303" t="str">
        <f>IFERROR(IF(ISERROR(FIND(",", O573, FIND(",", O573)+1)), RIGHT(O573, LEN(O573)-FIND(",", O573)-1), MID(O573, FIND(",", O573)+2, FIND(",", O573, FIND(",", O573)+1)-FIND(",", O573)-2)), "")</f>
        <v/>
      </c>
      <c r="R573" s="303" t="str">
        <f>IFERROR(RIGHT(O573, LEN(O573)-FIND(",", O573, FIND(",", O573)+1)-1), "")</f>
        <v/>
      </c>
      <c r="S573" s="35" t="str" cm="1">
        <f t="array" ref="S573">_xlfn.TEXTJOIN(", ",TRUE,_xlfn._xlws.FILTER(Tabla29[[#All],[PARTE]],ISNUMBER(SEARCH(Tabla29[[#All],[PCLAVE3]],Tabla8[[#This Row],[DESCRIPCION DE TRABAJO]])),""))</f>
        <v>Sustitucion</v>
      </c>
      <c r="T573" s="34" t="str">
        <f>IF(AND(Tabla8[[#This Row],[PIEZA]]="",Tabla8[[#This Row],[PARTE]]=""),"VACIO","OK")</f>
        <v>OK</v>
      </c>
      <c r="U573" s="303" t="str">
        <f>+CONCATENATE(WEEKNUM(Tabla8[[#This Row],[FECHA]]),"-",YEAR(Tabla8[[#This Row],[FECHA]]))</f>
        <v>11-2026</v>
      </c>
    </row>
    <row r="574" spans="1:21" ht="15" customHeight="1">
      <c r="A574" s="22">
        <v>46092</v>
      </c>
      <c r="B574" s="16" t="s">
        <v>191</v>
      </c>
      <c r="C574" s="10" t="s">
        <v>23</v>
      </c>
      <c r="D574" s="381" t="s">
        <v>1261</v>
      </c>
      <c r="E574" s="381" t="s">
        <v>769</v>
      </c>
      <c r="F574" s="380">
        <f>+MOD(Tabla8[[#This Row],[HR. FIN]]-Tabla8[[#This Row],[HR. INICIO]],1)</f>
        <v>6.2500000000000888E-3</v>
      </c>
      <c r="G574" s="16" t="s">
        <v>312</v>
      </c>
      <c r="H574" s="343" t="str">
        <f>IFERROR(VLOOKUP(G574,DATOS!$M$2:$N$219,2,FALSE),"")</f>
        <v>Maquinaria</v>
      </c>
      <c r="I574" s="115" t="s">
        <v>57</v>
      </c>
      <c r="J574" s="115" t="str">
        <f>+VLOOKUP($I574,Tabla7[#All],2,FALSE)</f>
        <v>NO PROGRAMADA</v>
      </c>
      <c r="K574" s="114" t="str">
        <f>IF(VLOOKUP(I574,Tabla7[#All],3,FALSE)=0,"",VLOOKUP(I574,Tabla7[#All],3,FALSE))</f>
        <v>MECÁNICA</v>
      </c>
      <c r="L574" s="35" t="s">
        <v>1262</v>
      </c>
      <c r="M574" s="35" t="s">
        <v>1263</v>
      </c>
      <c r="N574" s="35" t="str" cm="1">
        <f t="array" ref="N574">IFERROR(IF(Tabla8[[#This Row],[P/NP]]="NO PROGRAMADA","",_xlfn.TEXTJOIN(", ",TRUE,_xlfn._xlws.FILTER(Tabla4[[#All],[PIEZA]],ISNUMBER(SEARCH(Tabla4[[#All],[PCLAVE]],Tabla8[[#This Row],[DESCRIPCION DE TRABAJO]])),""))),"")</f>
        <v/>
      </c>
      <c r="O574" s="35" t="str" cm="1">
        <f t="array" ref="O574">_xlfn.TEXTJOIN(", ",TRUE,_xlfn._xlws.FILTER(Tabla28[[#All],[PARTE]],ISNUMBER(SEARCH(Tabla28[[#All],[PCLAVE2]],Tabla8[[#This Row],[DESCRIPCION DE TRABAJO]])),""))</f>
        <v>Temperadora</v>
      </c>
      <c r="P574" s="303" t="str">
        <f>IFERROR(LEFT(O574, FIND(",", O574)-1), O574)</f>
        <v>Temperadora</v>
      </c>
      <c r="Q574" s="303" t="str">
        <f>IFERROR(IF(ISERROR(FIND(",", O574, FIND(",", O574)+1)), RIGHT(O574, LEN(O574)-FIND(",", O574)-1), MID(O574, FIND(",", O574)+2, FIND(",", O574, FIND(",", O574)+1)-FIND(",", O574)-2)), "")</f>
        <v/>
      </c>
      <c r="R574" s="303" t="str">
        <f>IFERROR(RIGHT(O574, LEN(O574)-FIND(",", O574, FIND(",", O574)+1)-1), "")</f>
        <v/>
      </c>
      <c r="S574" s="35" t="str" cm="1">
        <f t="array" ref="S574">_xlfn.TEXTJOIN(", ",TRUE,_xlfn._xlws.FILTER(Tabla29[[#All],[PARTE]],ISNUMBER(SEARCH(Tabla29[[#All],[PCLAVE3]],Tabla8[[#This Row],[DESCRIPCION DE TRABAJO]])),""))</f>
        <v/>
      </c>
      <c r="T574" s="34" t="str">
        <f>IF(AND(Tabla8[[#This Row],[PIEZA]]="",Tabla8[[#This Row],[PARTE]]=""),"VACIO","OK")</f>
        <v>OK</v>
      </c>
      <c r="U574" s="303" t="str">
        <f>+CONCATENATE(WEEKNUM(Tabla8[[#This Row],[FECHA]]),"-",YEAR(Tabla8[[#This Row],[FECHA]]))</f>
        <v>11-2026</v>
      </c>
    </row>
    <row r="575" spans="1:21" ht="15" customHeight="1">
      <c r="A575" s="22">
        <v>46093</v>
      </c>
      <c r="B575" s="16" t="s">
        <v>111</v>
      </c>
      <c r="C575" s="10" t="s">
        <v>39</v>
      </c>
      <c r="D575" s="381" t="s">
        <v>1264</v>
      </c>
      <c r="E575" s="381" t="s">
        <v>1265</v>
      </c>
      <c r="F575" s="380">
        <f>+MOD(Tabla8[[#This Row],[HR. FIN]]-Tabla8[[#This Row],[HR. INICIO]],1)</f>
        <v>4.8611111111111119E-2</v>
      </c>
      <c r="G575" s="16" t="s">
        <v>202</v>
      </c>
      <c r="H575" s="343" t="str">
        <f>IFERROR(VLOOKUP(G575,DATOS!$M$2:$N$219,2,FALSE),"")</f>
        <v>Maquinaria</v>
      </c>
      <c r="I575" s="115" t="s">
        <v>32</v>
      </c>
      <c r="J575" s="115" t="s">
        <v>92</v>
      </c>
      <c r="K575" s="114"/>
      <c r="L575" s="35" t="s">
        <v>1266</v>
      </c>
      <c r="M575" s="35" t="s">
        <v>1267</v>
      </c>
      <c r="N575" s="35" t="str" cm="1">
        <f t="array" ref="N575">IFERROR(IF(Tabla8[[#This Row],[P/NP]]="NO PROGRAMADA","",_xlfn.TEXTJOIN(", ",TRUE,_xlfn._xlws.FILTER(Tabla4[[#All],[PIEZA]],ISNUMBER(SEARCH(Tabla4[[#All],[PCLAVE]],Tabla8[[#This Row],[DESCRIPCION DE TRABAJO]])),""))),"")</f>
        <v/>
      </c>
      <c r="O575" s="35" t="str" cm="1">
        <f t="array" ref="O575">_xlfn.TEXTJOIN(", ",TRUE,_xlfn._xlws.FILTER(Tabla28[[#All],[PARTE]],ISNUMBER(SEARCH(Tabla28[[#All],[PCLAVE2]],Tabla8[[#This Row],[DESCRIPCION DE TRABAJO]])),""))</f>
        <v/>
      </c>
      <c r="P575" s="303" t="str">
        <f>IFERROR(LEFT(O575, FIND(",", O575)-1), O575)</f>
        <v/>
      </c>
      <c r="Q575" s="303" t="str">
        <f>IFERROR(IF(ISERROR(FIND(",", O575, FIND(",", O575)+1)), RIGHT(O575, LEN(O575)-FIND(",", O575)-1), MID(O575, FIND(",", O575)+2, FIND(",", O575, FIND(",", O575)+1)-FIND(",", O575)-2)), "")</f>
        <v/>
      </c>
      <c r="R575" s="303" t="str">
        <f>IFERROR(RIGHT(O575, LEN(O575)-FIND(",", O575, FIND(",", O575)+1)-1), "")</f>
        <v/>
      </c>
      <c r="S575" s="35" t="str" cm="1">
        <f t="array" ref="S575">_xlfn.TEXTJOIN(", ",TRUE,_xlfn._xlws.FILTER(Tabla29[[#All],[PARTE]],ISNUMBER(SEARCH(Tabla29[[#All],[PCLAVE3]],Tabla8[[#This Row],[DESCRIPCION DE TRABAJO]])),""))</f>
        <v>Alarma, Baja Temperatura</v>
      </c>
      <c r="T575" s="34" t="str">
        <f>IF(AND(Tabla8[[#This Row],[PIEZA]]="",Tabla8[[#This Row],[PARTE]]=""),"VACIO","OK")</f>
        <v>VACIO</v>
      </c>
      <c r="U575" s="303" t="str">
        <f>+CONCATENATE(WEEKNUM(Tabla8[[#This Row],[FECHA]]),"-",YEAR(Tabla8[[#This Row],[FECHA]]))</f>
        <v>11-2026</v>
      </c>
    </row>
    <row r="576" spans="1:21" ht="15" customHeight="1">
      <c r="A576" s="22">
        <v>46093</v>
      </c>
      <c r="B576" s="16" t="s">
        <v>88</v>
      </c>
      <c r="C576" s="10" t="s">
        <v>36</v>
      </c>
      <c r="D576" s="381" t="s">
        <v>670</v>
      </c>
      <c r="E576" s="381" t="s">
        <v>551</v>
      </c>
      <c r="F576" s="380">
        <f>+MOD(Tabla8[[#This Row],[HR. FIN]]-Tabla8[[#This Row],[HR. INICIO]],1)</f>
        <v>4.1666666666666685E-2</v>
      </c>
      <c r="G576" s="16" t="s">
        <v>328</v>
      </c>
      <c r="H576" s="343" t="str">
        <f>IFERROR(VLOOKUP(G576,DATOS!$M$2:$N$219,2,FALSE),"")</f>
        <v>Area</v>
      </c>
      <c r="I576" s="115" t="s">
        <v>405</v>
      </c>
      <c r="J576" s="115" t="str">
        <f>+VLOOKUP($I576,Tabla7[#All],2,FALSE)</f>
        <v>PROGRAMADA</v>
      </c>
      <c r="K576" s="114" t="str">
        <f>IF(VLOOKUP(I576,Tabla7[#All],3,FALSE)=0,"",VLOOKUP(I576,Tabla7[#All],3,FALSE))</f>
        <v/>
      </c>
      <c r="L576" s="35" t="s">
        <v>1268</v>
      </c>
      <c r="M576" s="35" t="s">
        <v>1269</v>
      </c>
      <c r="N576" s="35" t="str" cm="1">
        <f t="array" ref="N576">IFERROR(IF(Tabla8[[#This Row],[P/NP]]="NO PROGRAMADA","",_xlfn.TEXTJOIN(", ",TRUE,_xlfn._xlws.FILTER(Tabla4[[#All],[PIEZA]],ISNUMBER(SEARCH(Tabla4[[#All],[PCLAVE]],Tabla8[[#This Row],[DESCRIPCION DE TRABAJO]])),""))),"")</f>
        <v/>
      </c>
      <c r="O576" s="35" t="str" cm="1">
        <f t="array" ref="O576">_xlfn.TEXTJOIN(", ",TRUE,_xlfn._xlws.FILTER(Tabla28[[#All],[PARTE]],ISNUMBER(SEARCH(Tabla28[[#All],[PCLAVE2]],Tabla8[[#This Row],[DESCRIPCION DE TRABAJO]])),""))</f>
        <v/>
      </c>
      <c r="P576" s="303" t="str">
        <f>IFERROR(LEFT(O576, FIND(",", O576)-1), O576)</f>
        <v/>
      </c>
      <c r="Q576" s="303" t="str">
        <f>IFERROR(IF(ISERROR(FIND(",", O576, FIND(",", O576)+1)), RIGHT(O576, LEN(O576)-FIND(",", O576)-1), MID(O576, FIND(",", O576)+2, FIND(",", O576, FIND(",", O576)+1)-FIND(",", O576)-2)), "")</f>
        <v/>
      </c>
      <c r="R576" s="303" t="str">
        <f>IFERROR(RIGHT(O576, LEN(O576)-FIND(",", O576, FIND(",", O576)+1)-1), "")</f>
        <v/>
      </c>
      <c r="S576" s="35" t="str" cm="1">
        <f t="array" ref="S576">_xlfn.TEXTJOIN(", ",TRUE,_xlfn._xlws.FILTER(Tabla29[[#All],[PARTE]],ISNUMBER(SEARCH(Tabla29[[#All],[PCLAVE3]],Tabla8[[#This Row],[DESCRIPCION DE TRABAJO]])),""))</f>
        <v>Dañado</v>
      </c>
      <c r="T576" s="34" t="str">
        <f>IF(AND(Tabla8[[#This Row],[PIEZA]]="",Tabla8[[#This Row],[PARTE]]=""),"VACIO","OK")</f>
        <v>VACIO</v>
      </c>
      <c r="U576" s="303" t="str">
        <f>+CONCATENATE(WEEKNUM(Tabla8[[#This Row],[FECHA]]),"-",YEAR(Tabla8[[#This Row],[FECHA]]))</f>
        <v>11-2026</v>
      </c>
    </row>
    <row r="577" spans="1:21" ht="15" customHeight="1">
      <c r="A577" s="22">
        <v>46093</v>
      </c>
      <c r="B577" s="16" t="s">
        <v>111</v>
      </c>
      <c r="C577" s="10" t="s">
        <v>39</v>
      </c>
      <c r="D577" s="381" t="s">
        <v>1270</v>
      </c>
      <c r="E577" s="381" t="s">
        <v>1271</v>
      </c>
      <c r="F577" s="380">
        <f>+MOD(Tabla8[[#This Row],[HR. FIN]]-Tabla8[[#This Row],[HR. INICIO]],1)</f>
        <v>3.7499999999999978E-2</v>
      </c>
      <c r="G577" s="16" t="s">
        <v>31</v>
      </c>
      <c r="H577" s="343" t="str">
        <f>IFERROR(VLOOKUP(G577,DATOS!$M$2:$N$219,2,FALSE),"")</f>
        <v>Maquinaria</v>
      </c>
      <c r="I577" s="115" t="s">
        <v>57</v>
      </c>
      <c r="J577" s="115" t="s">
        <v>157</v>
      </c>
      <c r="K577" s="114"/>
      <c r="L577" s="35" t="s">
        <v>1272</v>
      </c>
      <c r="M577" s="35" t="s">
        <v>1273</v>
      </c>
      <c r="N577" s="35" t="str" cm="1">
        <f t="array" ref="N577">IFERROR(IF(Tabla8[[#This Row],[P/NP]]="NO PROGRAMADA","",_xlfn.TEXTJOIN(", ",TRUE,_xlfn._xlws.FILTER(Tabla4[[#All],[PIEZA]],ISNUMBER(SEARCH(Tabla4[[#All],[PCLAVE]],Tabla8[[#This Row],[DESCRIPCION DE TRABAJO]])),""))),"")</f>
        <v/>
      </c>
      <c r="O577" s="35" t="str" cm="1">
        <f t="array" ref="O577">_xlfn.TEXTJOIN(", ",TRUE,_xlfn._xlws.FILTER(Tabla28[[#All],[PARTE]],ISNUMBER(SEARCH(Tabla28[[#All],[PCLAVE2]],Tabla8[[#This Row],[DESCRIPCION DE TRABAJO]])),""))</f>
        <v/>
      </c>
      <c r="P577" s="303" t="str">
        <f>IFERROR(LEFT(O577, FIND(",", O577)-1), O577)</f>
        <v/>
      </c>
      <c r="Q577" s="303" t="str">
        <f>IFERROR(IF(ISERROR(FIND(",", O577, FIND(",", O577)+1)), RIGHT(O577, LEN(O577)-FIND(",", O577)-1), MID(O577, FIND(",", O577)+2, FIND(",", O577, FIND(",", O577)+1)-FIND(",", O577)-2)), "")</f>
        <v/>
      </c>
      <c r="R577" s="303" t="str">
        <f>IFERROR(RIGHT(O577, LEN(O577)-FIND(",", O577, FIND(",", O577)+1)-1), "")</f>
        <v/>
      </c>
      <c r="S577" s="35" t="str" cm="1">
        <f t="array" ref="S577">_xlfn.TEXTJOIN(", ",TRUE,_xlfn._xlws.FILTER(Tabla29[[#All],[PARTE]],ISNUMBER(SEARCH(Tabla29[[#All],[PCLAVE3]],Tabla8[[#This Row],[DESCRIPCION DE TRABAJO]])),""))</f>
        <v/>
      </c>
      <c r="T577" s="34" t="str">
        <f>IF(AND(Tabla8[[#This Row],[PIEZA]]="",Tabla8[[#This Row],[PARTE]]=""),"VACIO","OK")</f>
        <v>VACIO</v>
      </c>
      <c r="U577" s="303" t="str">
        <f>+CONCATENATE(WEEKNUM(Tabla8[[#This Row],[FECHA]]),"-",YEAR(Tabla8[[#This Row],[FECHA]]))</f>
        <v>11-2026</v>
      </c>
    </row>
    <row r="578" spans="1:21" ht="15" customHeight="1">
      <c r="A578" s="22">
        <v>46093</v>
      </c>
      <c r="B578" s="16" t="s">
        <v>111</v>
      </c>
      <c r="C578" s="10" t="s">
        <v>39</v>
      </c>
      <c r="D578" s="381" t="s">
        <v>156</v>
      </c>
      <c r="E578" s="381" t="s">
        <v>112</v>
      </c>
      <c r="F578" s="380">
        <f>+MOD(Tabla8[[#This Row],[HR. FIN]]-Tabla8[[#This Row],[HR. INICIO]],1)</f>
        <v>2.7777777777777776E-2</v>
      </c>
      <c r="G578" s="16" t="s">
        <v>98</v>
      </c>
      <c r="H578" s="343" t="str">
        <f>IFERROR(VLOOKUP(G578,DATOS!$M$2:$N$219,2,FALSE),"")</f>
        <v>Maquinaria</v>
      </c>
      <c r="I578" s="115" t="s">
        <v>57</v>
      </c>
      <c r="J578" s="115" t="s">
        <v>157</v>
      </c>
      <c r="K578" s="114"/>
      <c r="L578" s="35" t="s">
        <v>1274</v>
      </c>
      <c r="M578" s="35" t="s">
        <v>1275</v>
      </c>
      <c r="N578" s="35" t="str" cm="1">
        <f t="array" ref="N578">IFERROR(IF(Tabla8[[#This Row],[P/NP]]="NO PROGRAMADA","",_xlfn.TEXTJOIN(", ",TRUE,_xlfn._xlws.FILTER(Tabla4[[#All],[PIEZA]],ISNUMBER(SEARCH(Tabla4[[#All],[PCLAVE]],Tabla8[[#This Row],[DESCRIPCION DE TRABAJO]])),""))),"")</f>
        <v/>
      </c>
      <c r="O578" s="35" t="str" cm="1">
        <f t="array" ref="O578">_xlfn.TEXTJOIN(", ",TRUE,_xlfn._xlws.FILTER(Tabla28[[#All],[PARTE]],ISNUMBER(SEARCH(Tabla28[[#All],[PCLAVE2]],Tabla8[[#This Row],[DESCRIPCION DE TRABAJO]])),""))</f>
        <v/>
      </c>
      <c r="P578" s="303" t="str">
        <f>IFERROR(LEFT(O578, FIND(",", O578)-1), O578)</f>
        <v/>
      </c>
      <c r="Q578" s="303" t="str">
        <f>IFERROR(IF(ISERROR(FIND(",", O578, FIND(",", O578)+1)), RIGHT(O578, LEN(O578)-FIND(",", O578)-1), MID(O578, FIND(",", O578)+2, FIND(",", O578, FIND(",", O578)+1)-FIND(",", O578)-2)), "")</f>
        <v/>
      </c>
      <c r="R578" s="303" t="str">
        <f>IFERROR(RIGHT(O578, LEN(O578)-FIND(",", O578, FIND(",", O578)+1)-1), "")</f>
        <v/>
      </c>
      <c r="S578" s="35" t="str" cm="1">
        <f t="array" ref="S578">_xlfn.TEXTJOIN(", ",TRUE,_xlfn._xlws.FILTER(Tabla29[[#All],[PARTE]],ISNUMBER(SEARCH(Tabla29[[#All],[PCLAVE3]],Tabla8[[#This Row],[DESCRIPCION DE TRABAJO]])),""))</f>
        <v/>
      </c>
      <c r="T578" s="34" t="str">
        <f>IF(AND(Tabla8[[#This Row],[PIEZA]]="",Tabla8[[#This Row],[PARTE]]=""),"VACIO","OK")</f>
        <v>VACIO</v>
      </c>
      <c r="U578" s="303" t="str">
        <f>+CONCATENATE(WEEKNUM(Tabla8[[#This Row],[FECHA]]),"-",YEAR(Tabla8[[#This Row],[FECHA]]))</f>
        <v>11-2026</v>
      </c>
    </row>
    <row r="579" spans="1:21" ht="15" customHeight="1">
      <c r="A579" s="22">
        <v>46093</v>
      </c>
      <c r="B579" s="16" t="s">
        <v>111</v>
      </c>
      <c r="C579" s="10" t="s">
        <v>39</v>
      </c>
      <c r="D579" s="381" t="s">
        <v>660</v>
      </c>
      <c r="E579" s="381" t="s">
        <v>415</v>
      </c>
      <c r="F579" s="380">
        <f>+MOD(Tabla8[[#This Row],[HR. FIN]]-Tabla8[[#This Row],[HR. INICIO]],1)</f>
        <v>2.083333333333337E-2</v>
      </c>
      <c r="G579" s="16" t="s">
        <v>202</v>
      </c>
      <c r="H579" s="343" t="str">
        <f>IFERROR(VLOOKUP(G579,DATOS!$M$2:$N$219,2,FALSE),"")</f>
        <v>Maquinaria</v>
      </c>
      <c r="I579" s="115" t="s">
        <v>32</v>
      </c>
      <c r="J579" s="115" t="s">
        <v>92</v>
      </c>
      <c r="K579" s="114" t="s">
        <v>148</v>
      </c>
      <c r="L579" s="35" t="s">
        <v>1276</v>
      </c>
      <c r="M579" s="35" t="s">
        <v>1277</v>
      </c>
      <c r="N579" s="35" t="str" cm="1">
        <f t="array" ref="N579">IFERROR(IF(Tabla8[[#This Row],[P/NP]]="NO PROGRAMADA","",_xlfn.TEXTJOIN(", ",TRUE,_xlfn._xlws.FILTER(Tabla4[[#All],[PIEZA]],ISNUMBER(SEARCH(Tabla4[[#All],[PCLAVE]],Tabla8[[#This Row],[DESCRIPCION DE TRABAJO]])),""))),"")</f>
        <v/>
      </c>
      <c r="O579" s="35" t="str" cm="1">
        <f t="array" ref="O579">_xlfn.TEXTJOIN(", ",TRUE,_xlfn._xlws.FILTER(Tabla28[[#All],[PARTE]],ISNUMBER(SEARCH(Tabla28[[#All],[PCLAVE2]],Tabla8[[#This Row],[DESCRIPCION DE TRABAJO]])),""))</f>
        <v/>
      </c>
      <c r="P579" s="303" t="str">
        <f>IFERROR(LEFT(O579, FIND(",", O579)-1), O579)</f>
        <v/>
      </c>
      <c r="Q579" s="303" t="str">
        <f>IFERROR(IF(ISERROR(FIND(",", O579, FIND(",", O579)+1)), RIGHT(O579, LEN(O579)-FIND(",", O579)-1), MID(O579, FIND(",", O579)+2, FIND(",", O579, FIND(",", O579)+1)-FIND(",", O579)-2)), "")</f>
        <v/>
      </c>
      <c r="R579" s="303" t="str">
        <f>IFERROR(RIGHT(O579, LEN(O579)-FIND(",", O579, FIND(",", O579)+1)-1), "")</f>
        <v/>
      </c>
      <c r="S579" s="35" t="str" cm="1">
        <f t="array" ref="S579">_xlfn.TEXTJOIN(", ",TRUE,_xlfn._xlws.FILTER(Tabla29[[#All],[PARTE]],ISNUMBER(SEARCH(Tabla29[[#All],[PCLAVE3]],Tabla8[[#This Row],[DESCRIPCION DE TRABAJO]])),""))</f>
        <v>Detenido</v>
      </c>
      <c r="T579" s="34" t="str">
        <f>IF(AND(Tabla8[[#This Row],[PIEZA]]="",Tabla8[[#This Row],[PARTE]]=""),"VACIO","OK")</f>
        <v>VACIO</v>
      </c>
      <c r="U579" s="303" t="str">
        <f>+CONCATENATE(WEEKNUM(Tabla8[[#This Row],[FECHA]]),"-",YEAR(Tabla8[[#This Row],[FECHA]]))</f>
        <v>11-2026</v>
      </c>
    </row>
    <row r="580" spans="1:21" ht="15" customHeight="1">
      <c r="A580" s="22">
        <v>46093</v>
      </c>
      <c r="B580" s="16" t="s">
        <v>111</v>
      </c>
      <c r="C580" s="10" t="s">
        <v>39</v>
      </c>
      <c r="D580" s="381" t="s">
        <v>1278</v>
      </c>
      <c r="E580" s="381" t="s">
        <v>1265</v>
      </c>
      <c r="F580" s="380">
        <f>+MOD(Tabla8[[#This Row],[HR. FIN]]-Tabla8[[#This Row],[HR. INICIO]],1)</f>
        <v>2.0833333333333343E-2</v>
      </c>
      <c r="G580" s="16" t="s">
        <v>31</v>
      </c>
      <c r="H580" s="343" t="str">
        <f>IFERROR(VLOOKUP(G580,DATOS!$M$2:$N$219,2,FALSE),"")</f>
        <v>Maquinaria</v>
      </c>
      <c r="I580" s="115" t="s">
        <v>54</v>
      </c>
      <c r="J580" s="115" t="str">
        <f>+VLOOKUP($I580,Tabla7[#All],2,FALSE)</f>
        <v>PROGRAMADA</v>
      </c>
      <c r="K580" s="114" t="str">
        <f>IF(VLOOKUP(I580,Tabla7[#All],3,FALSE)=0,"",VLOOKUP(I580,Tabla7[#All],3,FALSE))</f>
        <v/>
      </c>
      <c r="L580" s="35" t="s">
        <v>225</v>
      </c>
      <c r="M580" s="35" t="s">
        <v>121</v>
      </c>
      <c r="N580" s="35" t="str" cm="1">
        <f t="array" ref="N580">IFERROR(IF(Tabla8[[#This Row],[P/NP]]="NO PROGRAMADA","",_xlfn.TEXTJOIN(", ",TRUE,_xlfn._xlws.FILTER(Tabla4[[#All],[PIEZA]],ISNUMBER(SEARCH(Tabla4[[#All],[PCLAVE]],Tabla8[[#This Row],[DESCRIPCION DE TRABAJO]])),""))),"")</f>
        <v/>
      </c>
      <c r="O580" s="35" t="str" cm="1">
        <f t="array" ref="O580">_xlfn.TEXTJOIN(", ",TRUE,_xlfn._xlws.FILTER(Tabla28[[#All],[PARTE]],ISNUMBER(SEARCH(Tabla28[[#All],[PCLAVE2]],Tabla8[[#This Row],[DESCRIPCION DE TRABAJO]])),""))</f>
        <v/>
      </c>
      <c r="P580" s="303" t="str">
        <f>IFERROR(LEFT(O580, FIND(",", O580)-1), O580)</f>
        <v/>
      </c>
      <c r="Q580" s="303" t="str">
        <f>IFERROR(IF(ISERROR(FIND(",", O580, FIND(",", O580)+1)), RIGHT(O580, LEN(O580)-FIND(",", O580)-1), MID(O580, FIND(",", O580)+2, FIND(",", O580, FIND(",", O580)+1)-FIND(",", O580)-2)), "")</f>
        <v/>
      </c>
      <c r="R580" s="303" t="str">
        <f>IFERROR(RIGHT(O580, LEN(O580)-FIND(",", O580, FIND(",", O580)+1)-1), "")</f>
        <v/>
      </c>
      <c r="S580" s="35" t="str" cm="1">
        <f t="array" ref="S580">_xlfn.TEXTJOIN(", ",TRUE,_xlfn._xlws.FILTER(Tabla29[[#All],[PARTE]],ISNUMBER(SEARCH(Tabla29[[#All],[PCLAVE3]],Tabla8[[#This Row],[DESCRIPCION DE TRABAJO]])),""))</f>
        <v/>
      </c>
      <c r="T580" s="34" t="str">
        <f>IF(AND(Tabla8[[#This Row],[PIEZA]]="",Tabla8[[#This Row],[PARTE]]=""),"VACIO","OK")</f>
        <v>VACIO</v>
      </c>
      <c r="U580" s="303" t="str">
        <f>+CONCATENATE(WEEKNUM(Tabla8[[#This Row],[FECHA]]),"-",YEAR(Tabla8[[#This Row],[FECHA]]))</f>
        <v>11-2026</v>
      </c>
    </row>
    <row r="581" spans="1:21" ht="15" customHeight="1">
      <c r="A581" s="22">
        <v>46093</v>
      </c>
      <c r="B581" s="16" t="s">
        <v>88</v>
      </c>
      <c r="C581" s="10" t="s">
        <v>36</v>
      </c>
      <c r="D581" s="381" t="s">
        <v>430</v>
      </c>
      <c r="E581" s="381" t="s">
        <v>122</v>
      </c>
      <c r="F581" s="380">
        <f>+MOD(Tabla8[[#This Row],[HR. FIN]]-Tabla8[[#This Row],[HR. INICIO]],1)</f>
        <v>2.0833333333333315E-2</v>
      </c>
      <c r="G581" s="16" t="s">
        <v>119</v>
      </c>
      <c r="H581" s="343" t="str">
        <f>IFERROR(VLOOKUP(G581,DATOS!$M$2:$N$219,2,FALSE),"")</f>
        <v>Maquinaria</v>
      </c>
      <c r="I581" s="115" t="s">
        <v>32</v>
      </c>
      <c r="J581" s="115" t="str">
        <f>+VLOOKUP($I581,Tabla7[#All],2,FALSE)</f>
        <v>PROGRAMADA</v>
      </c>
      <c r="K581" s="114" t="str">
        <f>IF(VLOOKUP(I581,Tabla7[#All],3,FALSE)=0,"",VLOOKUP(I581,Tabla7[#All],3,FALSE))</f>
        <v/>
      </c>
      <c r="L581" s="35" t="s">
        <v>367</v>
      </c>
      <c r="M581" s="35" t="s">
        <v>1279</v>
      </c>
      <c r="N581" s="35" t="str" cm="1">
        <f t="array" ref="N581">IFERROR(IF(Tabla8[[#This Row],[P/NP]]="NO PROGRAMADA","",_xlfn.TEXTJOIN(", ",TRUE,_xlfn._xlws.FILTER(Tabla4[[#All],[PIEZA]],ISNUMBER(SEARCH(Tabla4[[#All],[PCLAVE]],Tabla8[[#This Row],[DESCRIPCION DE TRABAJO]])),""))),"")</f>
        <v/>
      </c>
      <c r="O581" s="35" t="str" cm="1">
        <f t="array" ref="O581">_xlfn.TEXTJOIN(", ",TRUE,_xlfn._xlws.FILTER(Tabla28[[#All],[PARTE]],ISNUMBER(SEARCH(Tabla28[[#All],[PCLAVE2]],Tabla8[[#This Row],[DESCRIPCION DE TRABAJO]])),""))</f>
        <v/>
      </c>
      <c r="P581" s="303" t="str">
        <f>IFERROR(LEFT(O581, FIND(",", O581)-1), O581)</f>
        <v/>
      </c>
      <c r="Q581" s="303" t="str">
        <f>IFERROR(IF(ISERROR(FIND(",", O581, FIND(",", O581)+1)), RIGHT(O581, LEN(O581)-FIND(",", O581)-1), MID(O581, FIND(",", O581)+2, FIND(",", O581, FIND(",", O581)+1)-FIND(",", O581)-2)), "")</f>
        <v/>
      </c>
      <c r="R581" s="303" t="str">
        <f>IFERROR(RIGHT(O581, LEN(O581)-FIND(",", O581, FIND(",", O581)+1)-1), "")</f>
        <v/>
      </c>
      <c r="S581" s="35" t="str" cm="1">
        <f t="array" ref="S581">_xlfn.TEXTJOIN(", ",TRUE,_xlfn._xlws.FILTER(Tabla29[[#All],[PARTE]],ISNUMBER(SEARCH(Tabla29[[#All],[PCLAVE3]],Tabla8[[#This Row],[DESCRIPCION DE TRABAJO]])),""))</f>
        <v/>
      </c>
      <c r="T581" s="34" t="str">
        <f>IF(AND(Tabla8[[#This Row],[PIEZA]]="",Tabla8[[#This Row],[PARTE]]=""),"VACIO","OK")</f>
        <v>VACIO</v>
      </c>
      <c r="U581" s="303" t="str">
        <f>+CONCATENATE(WEEKNUM(Tabla8[[#This Row],[FECHA]]),"-",YEAR(Tabla8[[#This Row],[FECHA]]))</f>
        <v>11-2026</v>
      </c>
    </row>
    <row r="582" spans="1:21" ht="15" customHeight="1">
      <c r="A582" s="22">
        <v>46093</v>
      </c>
      <c r="B582" s="16" t="s">
        <v>88</v>
      </c>
      <c r="C582" s="10" t="s">
        <v>36</v>
      </c>
      <c r="D582" s="381" t="s">
        <v>123</v>
      </c>
      <c r="E582" s="381" t="s">
        <v>126</v>
      </c>
      <c r="F582" s="380">
        <f>+MOD(Tabla8[[#This Row],[HR. FIN]]-Tabla8[[#This Row],[HR. INICIO]],1)</f>
        <v>2.0833333333333315E-2</v>
      </c>
      <c r="G582" s="16" t="s">
        <v>192</v>
      </c>
      <c r="H582" s="343" t="str">
        <f>IFERROR(VLOOKUP(G582,DATOS!$M$2:$N$219,2,FALSE),"")</f>
        <v>Maquinaria</v>
      </c>
      <c r="I582" s="115" t="s">
        <v>186</v>
      </c>
      <c r="J582" s="115" t="s">
        <v>157</v>
      </c>
      <c r="K582" s="114"/>
      <c r="L582" s="35" t="s">
        <v>1280</v>
      </c>
      <c r="M582" s="35" t="s">
        <v>1281</v>
      </c>
      <c r="N582" s="35" t="str" cm="1">
        <f t="array" ref="N582">IFERROR(IF(Tabla8[[#This Row],[P/NP]]="NO PROGRAMADA","",_xlfn.TEXTJOIN(", ",TRUE,_xlfn._xlws.FILTER(Tabla4[[#All],[PIEZA]],ISNUMBER(SEARCH(Tabla4[[#All],[PCLAVE]],Tabla8[[#This Row],[DESCRIPCION DE TRABAJO]])),""))),"")</f>
        <v>Guarda, Tapa</v>
      </c>
      <c r="O582" s="35" t="str" cm="1">
        <f t="array" ref="O582">_xlfn.TEXTJOIN(", ",TRUE,_xlfn._xlws.FILTER(Tabla28[[#All],[PARTE]],ISNUMBER(SEARCH(Tabla28[[#All],[PCLAVE2]],Tabla8[[#This Row],[DESCRIPCION DE TRABAJO]])),""))</f>
        <v/>
      </c>
      <c r="P582" s="303" t="str">
        <f>IFERROR(LEFT(O582, FIND(",", O582)-1), O582)</f>
        <v/>
      </c>
      <c r="Q582" s="303" t="str">
        <f>IFERROR(IF(ISERROR(FIND(",", O582, FIND(",", O582)+1)), RIGHT(O582, LEN(O582)-FIND(",", O582)-1), MID(O582, FIND(",", O582)+2, FIND(",", O582, FIND(",", O582)+1)-FIND(",", O582)-2)), "")</f>
        <v/>
      </c>
      <c r="R582" s="303" t="str">
        <f>IFERROR(RIGHT(O582, LEN(O582)-FIND(",", O582, FIND(",", O582)+1)-1), "")</f>
        <v/>
      </c>
      <c r="S582" s="35" t="str" cm="1">
        <f t="array" ref="S582">_xlfn.TEXTJOIN(", ",TRUE,_xlfn._xlws.FILTER(Tabla29[[#All],[PARTE]],ISNUMBER(SEARCH(Tabla29[[#All],[PCLAVE3]],Tabla8[[#This Row],[DESCRIPCION DE TRABAJO]])),""))</f>
        <v>Golpea</v>
      </c>
      <c r="T582" s="34" t="str">
        <f>IF(AND(Tabla8[[#This Row],[PIEZA]]="",Tabla8[[#This Row],[PARTE]]=""),"VACIO","OK")</f>
        <v>OK</v>
      </c>
      <c r="U582" s="303" t="str">
        <f>+CONCATENATE(WEEKNUM(Tabla8[[#This Row],[FECHA]]),"-",YEAR(Tabla8[[#This Row],[FECHA]]))</f>
        <v>11-2026</v>
      </c>
    </row>
    <row r="583" spans="1:21" ht="15" customHeight="1">
      <c r="A583" s="22">
        <v>46093</v>
      </c>
      <c r="B583" s="16" t="s">
        <v>111</v>
      </c>
      <c r="C583" s="10" t="s">
        <v>39</v>
      </c>
      <c r="D583" s="381" t="s">
        <v>172</v>
      </c>
      <c r="E583" s="381" t="s">
        <v>1282</v>
      </c>
      <c r="F583" s="380">
        <f>+MOD(Tabla8[[#This Row],[HR. FIN]]-Tabla8[[#This Row],[HR. INICIO]],1)</f>
        <v>1.736111111111116E-2</v>
      </c>
      <c r="G583" s="16" t="s">
        <v>153</v>
      </c>
      <c r="H583" s="343" t="str">
        <f>IFERROR(VLOOKUP(G583,DATOS!$M$2:$N$219,2,FALSE),"")</f>
        <v>Maquinaria</v>
      </c>
      <c r="I583" s="115" t="s">
        <v>57</v>
      </c>
      <c r="J583" s="115" t="str">
        <f>+VLOOKUP($I583,Tabla7[#All],2,FALSE)</f>
        <v>NO PROGRAMADA</v>
      </c>
      <c r="K583" s="114" t="str">
        <f>IF(VLOOKUP(I583,Tabla7[#All],3,FALSE)=0,"",VLOOKUP(I583,Tabla7[#All],3,FALSE))</f>
        <v>MECÁNICA</v>
      </c>
      <c r="L583" s="35" t="s">
        <v>1283</v>
      </c>
      <c r="M583" s="35" t="s">
        <v>1284</v>
      </c>
      <c r="N583" s="35" t="str" cm="1">
        <f t="array" ref="N583">IFERROR(IF(Tabla8[[#This Row],[P/NP]]="NO PROGRAMADA","",_xlfn.TEXTJOIN(", ",TRUE,_xlfn._xlws.FILTER(Tabla4[[#All],[PIEZA]],ISNUMBER(SEARCH(Tabla4[[#All],[PCLAVE]],Tabla8[[#This Row],[DESCRIPCION DE TRABAJO]])),""))),"")</f>
        <v/>
      </c>
      <c r="O583" s="35" t="str" cm="1">
        <f t="array" ref="O583">_xlfn.TEXTJOIN(", ",TRUE,_xlfn._xlws.FILTER(Tabla28[[#All],[PARTE]],ISNUMBER(SEARCH(Tabla28[[#All],[PCLAVE2]],Tabla8[[#This Row],[DESCRIPCION DE TRABAJO]])),""))</f>
        <v/>
      </c>
      <c r="P583" s="303" t="str">
        <f>IFERROR(LEFT(O583, FIND(",", O583)-1), O583)</f>
        <v/>
      </c>
      <c r="Q583" s="303" t="str">
        <f>IFERROR(IF(ISERROR(FIND(",", O583, FIND(",", O583)+1)), RIGHT(O583, LEN(O583)-FIND(",", O583)-1), MID(O583, FIND(",", O583)+2, FIND(",", O583, FIND(",", O583)+1)-FIND(",", O583)-2)), "")</f>
        <v/>
      </c>
      <c r="R583" s="303" t="str">
        <f>IFERROR(RIGHT(O583, LEN(O583)-FIND(",", O583, FIND(",", O583)+1)-1), "")</f>
        <v/>
      </c>
      <c r="S583" s="35" t="str" cm="1">
        <f t="array" ref="S583">_xlfn.TEXTJOIN(", ",TRUE,_xlfn._xlws.FILTER(Tabla29[[#All],[PARTE]],ISNUMBER(SEARCH(Tabla29[[#All],[PCLAVE3]],Tabla8[[#This Row],[DESCRIPCION DE TRABAJO]])),""))</f>
        <v>No Corta</v>
      </c>
      <c r="T583" s="34" t="str">
        <f>IF(AND(Tabla8[[#This Row],[PIEZA]]="",Tabla8[[#This Row],[PARTE]]=""),"VACIO","OK")</f>
        <v>VACIO</v>
      </c>
      <c r="U583" s="303" t="str">
        <f>+CONCATENATE(WEEKNUM(Tabla8[[#This Row],[FECHA]]),"-",YEAR(Tabla8[[#This Row],[FECHA]]))</f>
        <v>11-2026</v>
      </c>
    </row>
    <row r="584" spans="1:21" ht="15" customHeight="1">
      <c r="A584" s="22">
        <v>46093</v>
      </c>
      <c r="B584" s="16" t="s">
        <v>111</v>
      </c>
      <c r="C584" s="10" t="s">
        <v>39</v>
      </c>
      <c r="D584" s="381" t="s">
        <v>142</v>
      </c>
      <c r="E584" s="381" t="s">
        <v>1285</v>
      </c>
      <c r="F584" s="380">
        <f>+MOD(Tabla8[[#This Row],[HR. FIN]]-Tabla8[[#This Row],[HR. INICIO]],1)</f>
        <v>1.7361111111111105E-2</v>
      </c>
      <c r="G584" s="16" t="s">
        <v>202</v>
      </c>
      <c r="H584" s="343" t="str">
        <f>IFERROR(VLOOKUP(G584,DATOS!$M$2:$N$219,2,FALSE),"")</f>
        <v>Maquinaria</v>
      </c>
      <c r="I584" s="115" t="s">
        <v>54</v>
      </c>
      <c r="J584" s="115" t="str">
        <f>+VLOOKUP($I584,Tabla7[#All],2,FALSE)</f>
        <v>PROGRAMADA</v>
      </c>
      <c r="K584" s="114" t="str">
        <f>IF(VLOOKUP(I584,Tabla7[#All],3,FALSE)=0,"",VLOOKUP(I584,Tabla7[#All],3,FALSE))</f>
        <v/>
      </c>
      <c r="L584" s="35" t="s">
        <v>225</v>
      </c>
      <c r="M584" s="35" t="s">
        <v>121</v>
      </c>
      <c r="N584" s="35" t="str" cm="1">
        <f t="array" ref="N584">IFERROR(IF(Tabla8[[#This Row],[P/NP]]="NO PROGRAMADA","",_xlfn.TEXTJOIN(", ",TRUE,_xlfn._xlws.FILTER(Tabla4[[#All],[PIEZA]],ISNUMBER(SEARCH(Tabla4[[#All],[PCLAVE]],Tabla8[[#This Row],[DESCRIPCION DE TRABAJO]])),""))),"")</f>
        <v/>
      </c>
      <c r="O584" s="35" t="str" cm="1">
        <f t="array" ref="O584">_xlfn.TEXTJOIN(", ",TRUE,_xlfn._xlws.FILTER(Tabla28[[#All],[PARTE]],ISNUMBER(SEARCH(Tabla28[[#All],[PCLAVE2]],Tabla8[[#This Row],[DESCRIPCION DE TRABAJO]])),""))</f>
        <v/>
      </c>
      <c r="P584" s="303" t="str">
        <f>IFERROR(LEFT(O584, FIND(",", O584)-1), O584)</f>
        <v/>
      </c>
      <c r="Q584" s="303" t="str">
        <f>IFERROR(IF(ISERROR(FIND(",", O584, FIND(",", O584)+1)), RIGHT(O584, LEN(O584)-FIND(",", O584)-1), MID(O584, FIND(",", O584)+2, FIND(",", O584, FIND(",", O584)+1)-FIND(",", O584)-2)), "")</f>
        <v/>
      </c>
      <c r="R584" s="303" t="str">
        <f>IFERROR(RIGHT(O584, LEN(O584)-FIND(",", O584, FIND(",", O584)+1)-1), "")</f>
        <v/>
      </c>
      <c r="S584" s="35" t="str" cm="1">
        <f t="array" ref="S584">_xlfn.TEXTJOIN(", ",TRUE,_xlfn._xlws.FILTER(Tabla29[[#All],[PARTE]],ISNUMBER(SEARCH(Tabla29[[#All],[PCLAVE3]],Tabla8[[#This Row],[DESCRIPCION DE TRABAJO]])),""))</f>
        <v/>
      </c>
      <c r="T584" s="34" t="str">
        <f>IF(AND(Tabla8[[#This Row],[PIEZA]]="",Tabla8[[#This Row],[PARTE]]=""),"VACIO","OK")</f>
        <v>VACIO</v>
      </c>
      <c r="U584" s="303" t="str">
        <f>+CONCATENATE(WEEKNUM(Tabla8[[#This Row],[FECHA]]),"-",YEAR(Tabla8[[#This Row],[FECHA]]))</f>
        <v>11-2026</v>
      </c>
    </row>
    <row r="585" spans="1:21" ht="15" customHeight="1">
      <c r="A585" s="22">
        <v>46093</v>
      </c>
      <c r="B585" s="16" t="s">
        <v>88</v>
      </c>
      <c r="C585" s="10" t="s">
        <v>36</v>
      </c>
      <c r="D585" s="381" t="s">
        <v>491</v>
      </c>
      <c r="E585" s="381" t="s">
        <v>858</v>
      </c>
      <c r="F585" s="380">
        <f>+MOD(Tabla8[[#This Row],[HR. FIN]]-Tabla8[[#This Row],[HR. INICIO]],1)</f>
        <v>1.3888888888888951E-2</v>
      </c>
      <c r="G585" s="16" t="s">
        <v>103</v>
      </c>
      <c r="H585" s="343" t="str">
        <f>IFERROR(VLOOKUP(G585,DATOS!$M$2:$N$219,2,FALSE),"")</f>
        <v>Area</v>
      </c>
      <c r="I585" s="115" t="s">
        <v>245</v>
      </c>
      <c r="J585" s="115" t="str">
        <f>+VLOOKUP($I585,Tabla7[#All],2,FALSE)</f>
        <v>PROGRAMADA</v>
      </c>
      <c r="K585" s="114" t="str">
        <f>IF(VLOOKUP(I585,Tabla7[#All],3,FALSE)=0,"",VLOOKUP(I585,Tabla7[#All],3,FALSE))</f>
        <v/>
      </c>
      <c r="L585" s="35" t="s">
        <v>1286</v>
      </c>
      <c r="M585" s="35" t="s">
        <v>1287</v>
      </c>
      <c r="N585" s="35" t="str" cm="1">
        <f t="array" ref="N585">IFERROR(IF(Tabla8[[#This Row],[P/NP]]="NO PROGRAMADA","",_xlfn.TEXTJOIN(", ",TRUE,_xlfn._xlws.FILTER(Tabla4[[#All],[PIEZA]],ISNUMBER(SEARCH(Tabla4[[#All],[PCLAVE]],Tabla8[[#This Row],[DESCRIPCION DE TRABAJO]])),""))),"")</f>
        <v>Cadena</v>
      </c>
      <c r="O585" s="35" t="str" cm="1">
        <f t="array" ref="O585">_xlfn.TEXTJOIN(", ",TRUE,_xlfn._xlws.FILTER(Tabla28[[#All],[PARTE]],ISNUMBER(SEARCH(Tabla28[[#All],[PCLAVE2]],Tabla8[[#This Row],[DESCRIPCION DE TRABAJO]])),""))</f>
        <v/>
      </c>
      <c r="P585" s="303" t="str">
        <f>IFERROR(LEFT(O585, FIND(",", O585)-1), O585)</f>
        <v/>
      </c>
      <c r="Q585" s="303" t="str">
        <f>IFERROR(IF(ISERROR(FIND(",", O585, FIND(",", O585)+1)), RIGHT(O585, LEN(O585)-FIND(",", O585)-1), MID(O585, FIND(",", O585)+2, FIND(",", O585, FIND(",", O585)+1)-FIND(",", O585)-2)), "")</f>
        <v/>
      </c>
      <c r="R585" s="303" t="str">
        <f>IFERROR(RIGHT(O585, LEN(O585)-FIND(",", O585, FIND(",", O585)+1)-1), "")</f>
        <v/>
      </c>
      <c r="S585" s="35" t="str" cm="1">
        <f t="array" ref="S585">_xlfn.TEXTJOIN(", ",TRUE,_xlfn._xlws.FILTER(Tabla29[[#All],[PARTE]],ISNUMBER(SEARCH(Tabla29[[#All],[PCLAVE3]],Tabla8[[#This Row],[DESCRIPCION DE TRABAJO]])),""))</f>
        <v>Lubricacion</v>
      </c>
      <c r="T585" s="34" t="str">
        <f>IF(AND(Tabla8[[#This Row],[PIEZA]]="",Tabla8[[#This Row],[PARTE]]=""),"VACIO","OK")</f>
        <v>OK</v>
      </c>
      <c r="U585" s="303" t="str">
        <f>+CONCATENATE(WEEKNUM(Tabla8[[#This Row],[FECHA]]),"-",YEAR(Tabla8[[#This Row],[FECHA]]))</f>
        <v>11-2026</v>
      </c>
    </row>
    <row r="586" spans="1:21" ht="15" customHeight="1">
      <c r="A586" s="22">
        <v>46093</v>
      </c>
      <c r="B586" s="16" t="s">
        <v>88</v>
      </c>
      <c r="C586" s="10" t="s">
        <v>36</v>
      </c>
      <c r="D586" s="381" t="s">
        <v>461</v>
      </c>
      <c r="E586" s="381" t="s">
        <v>127</v>
      </c>
      <c r="F586" s="380">
        <f>+MOD(Tabla8[[#This Row],[HR. FIN]]-Tabla8[[#This Row],[HR. INICIO]],1)</f>
        <v>1.3888888888888895E-2</v>
      </c>
      <c r="G586" s="16" t="s">
        <v>182</v>
      </c>
      <c r="H586" s="343" t="str">
        <f>IFERROR(VLOOKUP(G586,DATOS!$M$2:$N$219,2,FALSE),"")</f>
        <v>Maquinaria</v>
      </c>
      <c r="I586" s="115" t="s">
        <v>54</v>
      </c>
      <c r="J586" s="115" t="str">
        <f>+VLOOKUP($I586,Tabla7[#All],2,FALSE)</f>
        <v>PROGRAMADA</v>
      </c>
      <c r="K586" s="114" t="str">
        <f>IF(VLOOKUP(I586,Tabla7[#All],3,FALSE)=0,"",VLOOKUP(I586,Tabla7[#All],3,FALSE))</f>
        <v/>
      </c>
      <c r="L586" s="35" t="s">
        <v>1288</v>
      </c>
      <c r="M586" s="35" t="s">
        <v>1289</v>
      </c>
      <c r="N586" s="35" t="str" cm="1">
        <f t="array" ref="N586">IFERROR(IF(Tabla8[[#This Row],[P/NP]]="NO PROGRAMADA","",_xlfn.TEXTJOIN(", ",TRUE,_xlfn._xlws.FILTER(Tabla4[[#All],[PIEZA]],ISNUMBER(SEARCH(Tabla4[[#All],[PCLAVE]],Tabla8[[#This Row],[DESCRIPCION DE TRABAJO]])),""))),"")</f>
        <v/>
      </c>
      <c r="O586" s="35" t="str" cm="1">
        <f t="array" ref="O586">_xlfn.TEXTJOIN(", ",TRUE,_xlfn._xlws.FILTER(Tabla28[[#All],[PARTE]],ISNUMBER(SEARCH(Tabla28[[#All],[PCLAVE2]],Tabla8[[#This Row],[DESCRIPCION DE TRABAJO]])),""))</f>
        <v/>
      </c>
      <c r="P586" s="303" t="str">
        <f>IFERROR(LEFT(O586, FIND(",", O586)-1), O586)</f>
        <v/>
      </c>
      <c r="Q586" s="303" t="str">
        <f>IFERROR(IF(ISERROR(FIND(",", O586, FIND(",", O586)+1)), RIGHT(O586, LEN(O586)-FIND(",", O586)-1), MID(O586, FIND(",", O586)+2, FIND(",", O586, FIND(",", O586)+1)-FIND(",", O586)-2)), "")</f>
        <v/>
      </c>
      <c r="R586" s="303" t="str">
        <f>IFERROR(RIGHT(O586, LEN(O586)-FIND(",", O586, FIND(",", O586)+1)-1), "")</f>
        <v/>
      </c>
      <c r="S586" s="35" t="str" cm="1">
        <f t="array" ref="S586">_xlfn.TEXTJOIN(", ",TRUE,_xlfn._xlws.FILTER(Tabla29[[#All],[PARTE]],ISNUMBER(SEARCH(Tabla29[[#All],[PCLAVE3]],Tabla8[[#This Row],[DESCRIPCION DE TRABAJO]])),""))</f>
        <v/>
      </c>
      <c r="T586" s="34" t="str">
        <f>IF(AND(Tabla8[[#This Row],[PIEZA]]="",Tabla8[[#This Row],[PARTE]]=""),"VACIO","OK")</f>
        <v>VACIO</v>
      </c>
      <c r="U586" s="303" t="str">
        <f>+CONCATENATE(WEEKNUM(Tabla8[[#This Row],[FECHA]]),"-",YEAR(Tabla8[[#This Row],[FECHA]]))</f>
        <v>11-2026</v>
      </c>
    </row>
    <row r="587" spans="1:21" ht="15" customHeight="1">
      <c r="A587" s="22">
        <v>46093</v>
      </c>
      <c r="B587" s="16" t="s">
        <v>111</v>
      </c>
      <c r="C587" s="10" t="s">
        <v>39</v>
      </c>
      <c r="D587" s="381" t="s">
        <v>1290</v>
      </c>
      <c r="E587" s="381" t="s">
        <v>167</v>
      </c>
      <c r="F587" s="380">
        <f>+MOD(Tabla8[[#This Row],[HR. FIN]]-Tabla8[[#This Row],[HR. INICIO]],1)</f>
        <v>1.3888888888888888E-2</v>
      </c>
      <c r="G587" s="16" t="s">
        <v>1197</v>
      </c>
      <c r="H587" s="343" t="str">
        <f>IFERROR(VLOOKUP(G587,DATOS!$M$2:$N$219,2,FALSE),"")</f>
        <v>Maquinaria</v>
      </c>
      <c r="I587" s="115" t="s">
        <v>32</v>
      </c>
      <c r="J587" s="115" t="str">
        <f>+VLOOKUP($I587,Tabla7[#All],2,FALSE)</f>
        <v>PROGRAMADA</v>
      </c>
      <c r="K587" s="114" t="str">
        <f>IF(VLOOKUP(I587,Tabla7[#All],3,FALSE)=0,"",VLOOKUP(I587,Tabla7[#All],3,FALSE))</f>
        <v/>
      </c>
      <c r="L587" s="35" t="s">
        <v>1291</v>
      </c>
      <c r="M587" s="35" t="s">
        <v>121</v>
      </c>
      <c r="N587" s="35" t="str" cm="1">
        <f t="array" ref="N587">IFERROR(IF(Tabla8[[#This Row],[P/NP]]="NO PROGRAMADA","",_xlfn.TEXTJOIN(", ",TRUE,_xlfn._xlws.FILTER(Tabla4[[#All],[PIEZA]],ISNUMBER(SEARCH(Tabla4[[#All],[PCLAVE]],Tabla8[[#This Row],[DESCRIPCION DE TRABAJO]])),""))),"")</f>
        <v/>
      </c>
      <c r="O587" s="35" t="str" cm="1">
        <f t="array" ref="O587">_xlfn.TEXTJOIN(", ",TRUE,_xlfn._xlws.FILTER(Tabla28[[#All],[PARTE]],ISNUMBER(SEARCH(Tabla28[[#All],[PCLAVE2]],Tabla8[[#This Row],[DESCRIPCION DE TRABAJO]])),""))</f>
        <v/>
      </c>
      <c r="P587" s="303" t="str">
        <f>IFERROR(LEFT(O587, FIND(",", O587)-1), O587)</f>
        <v/>
      </c>
      <c r="Q587" s="303" t="str">
        <f>IFERROR(IF(ISERROR(FIND(",", O587, FIND(",", O587)+1)), RIGHT(O587, LEN(O587)-FIND(",", O587)-1), MID(O587, FIND(",", O587)+2, FIND(",", O587, FIND(",", O587)+1)-FIND(",", O587)-2)), "")</f>
        <v/>
      </c>
      <c r="R587" s="303" t="str">
        <f>IFERROR(RIGHT(O587, LEN(O587)-FIND(",", O587, FIND(",", O587)+1)-1), "")</f>
        <v/>
      </c>
      <c r="S587" s="35" t="str" cm="1">
        <f t="array" ref="S587">_xlfn.TEXTJOIN(", ",TRUE,_xlfn._xlws.FILTER(Tabla29[[#All],[PARTE]],ISNUMBER(SEARCH(Tabla29[[#All],[PCLAVE3]],Tabla8[[#This Row],[DESCRIPCION DE TRABAJO]])),""))</f>
        <v/>
      </c>
      <c r="T587" s="34" t="str">
        <f>IF(AND(Tabla8[[#This Row],[PIEZA]]="",Tabla8[[#This Row],[PARTE]]=""),"VACIO","OK")</f>
        <v>VACIO</v>
      </c>
      <c r="U587" s="303" t="str">
        <f>+CONCATENATE(WEEKNUM(Tabla8[[#This Row],[FECHA]]),"-",YEAR(Tabla8[[#This Row],[FECHA]]))</f>
        <v>11-2026</v>
      </c>
    </row>
    <row r="588" spans="1:21" ht="15" customHeight="1">
      <c r="A588" s="22">
        <v>46095</v>
      </c>
      <c r="B588" s="16" t="s">
        <v>191</v>
      </c>
      <c r="C588" s="10" t="s">
        <v>23</v>
      </c>
      <c r="D588" s="381">
        <v>0.62152777777777779</v>
      </c>
      <c r="E588" s="381">
        <v>0.68055555555555558</v>
      </c>
      <c r="F588" s="380">
        <f>+MOD(Tabla8[[#This Row],[HR. FIN]]-Tabla8[[#This Row],[HR. INICIO]],1)</f>
        <v>5.902777777777779E-2</v>
      </c>
      <c r="G588" s="16" t="s">
        <v>182</v>
      </c>
      <c r="H588" s="343" t="str">
        <f>IFERROR(VLOOKUP(G588,DATOS!$M$2:$N$219,2,FALSE),"")</f>
        <v>Maquinaria</v>
      </c>
      <c r="I588" s="115" t="s">
        <v>32</v>
      </c>
      <c r="J588" s="115" t="str">
        <f>+VLOOKUP($I588,Tabla7[#All],2,FALSE)</f>
        <v>PROGRAMADA</v>
      </c>
      <c r="K588" s="114" t="str">
        <f>IF(VLOOKUP(I588,Tabla7[#All],3,FALSE)=0,"",VLOOKUP(I588,Tabla7[#All],3,FALSE))</f>
        <v/>
      </c>
      <c r="L588" s="35" t="s">
        <v>968</v>
      </c>
      <c r="M588" s="35" t="s">
        <v>121</v>
      </c>
      <c r="N588" s="35" t="str" cm="1">
        <f t="array" ref="N588">IFERROR(IF(Tabla8[[#This Row],[P/NP]]="NO PROGRAMADA","",_xlfn.TEXTJOIN(", ",TRUE,_xlfn._xlws.FILTER(Tabla4[[#All],[PIEZA]],ISNUMBER(SEARCH(Tabla4[[#All],[PCLAVE]],Tabla8[[#This Row],[DESCRIPCION DE TRABAJO]])),""))),"")</f>
        <v/>
      </c>
      <c r="O588" s="35" t="str" cm="1">
        <f t="array" ref="O588">_xlfn.TEXTJOIN(", ",TRUE,_xlfn._xlws.FILTER(Tabla28[[#All],[PARTE]],ISNUMBER(SEARCH(Tabla28[[#All],[PCLAVE2]],Tabla8[[#This Row],[DESCRIPCION DE TRABAJO]])),""))</f>
        <v/>
      </c>
      <c r="P588" s="303" t="str">
        <f>IFERROR(LEFT(O588, FIND(",", O588)-1), O588)</f>
        <v/>
      </c>
      <c r="Q588" s="303" t="str">
        <f>IFERROR(IF(ISERROR(FIND(",", O588, FIND(",", O588)+1)), RIGHT(O588, LEN(O588)-FIND(",", O588)-1), MID(O588, FIND(",", O588)+2, FIND(",", O588, FIND(",", O588)+1)-FIND(",", O588)-2)), "")</f>
        <v/>
      </c>
      <c r="R588" s="303" t="str">
        <f>IFERROR(RIGHT(O588, LEN(O588)-FIND(",", O588, FIND(",", O588)+1)-1), "")</f>
        <v/>
      </c>
      <c r="S588" s="35" t="str" cm="1">
        <f t="array" ref="S588">_xlfn.TEXTJOIN(", ",TRUE,_xlfn._xlws.FILTER(Tabla29[[#All],[PARTE]],ISNUMBER(SEARCH(Tabla29[[#All],[PCLAVE3]],Tabla8[[#This Row],[DESCRIPCION DE TRABAJO]])),""))</f>
        <v>Cambio De Formato</v>
      </c>
      <c r="T588" s="34" t="str">
        <f>IF(AND(Tabla8[[#This Row],[PIEZA]]="",Tabla8[[#This Row],[PARTE]]=""),"VACIO","OK")</f>
        <v>VACIO</v>
      </c>
      <c r="U588" s="303" t="str">
        <f>+CONCATENATE(WEEKNUM(Tabla8[[#This Row],[FECHA]]),"-",YEAR(Tabla8[[#This Row],[FECHA]]))</f>
        <v>11-2026</v>
      </c>
    </row>
    <row r="589" spans="1:21" ht="15" customHeight="1">
      <c r="A589" s="22">
        <v>46095</v>
      </c>
      <c r="B589" s="16" t="s">
        <v>191</v>
      </c>
      <c r="C589" s="10" t="s">
        <v>23</v>
      </c>
      <c r="D589" s="381">
        <v>0.54305555555555551</v>
      </c>
      <c r="E589" s="381">
        <v>0.59236111111111112</v>
      </c>
      <c r="F589" s="380">
        <f>+MOD(Tabla8[[#This Row],[HR. FIN]]-Tabla8[[#This Row],[HR. INICIO]],1)</f>
        <v>4.9305555555555602E-2</v>
      </c>
      <c r="G589" s="16" t="s">
        <v>182</v>
      </c>
      <c r="H589" s="343" t="str">
        <f>IFERROR(VLOOKUP(G589,DATOS!$M$2:$N$219,2,FALSE),"")</f>
        <v>Maquinaria</v>
      </c>
      <c r="I589" s="115" t="s">
        <v>390</v>
      </c>
      <c r="J589" s="115" t="str">
        <f>+VLOOKUP($I589,Tabla7[#All],2,FALSE)</f>
        <v>PROGRAMADA</v>
      </c>
      <c r="K589" s="114" t="str">
        <f>IF(VLOOKUP(I589,Tabla7[#All],3,FALSE)=0,"",VLOOKUP(I589,Tabla7[#All],3,FALSE))</f>
        <v/>
      </c>
      <c r="L589" s="35" t="s">
        <v>1292</v>
      </c>
      <c r="M589" s="35" t="s">
        <v>121</v>
      </c>
      <c r="N589" s="35" t="str" cm="1">
        <f t="array" ref="N589">IFERROR(IF(Tabla8[[#This Row],[P/NP]]="NO PROGRAMADA","",_xlfn.TEXTJOIN(", ",TRUE,_xlfn._xlws.FILTER(Tabla4[[#All],[PIEZA]],ISNUMBER(SEARCH(Tabla4[[#All],[PCLAVE]],Tabla8[[#This Row],[DESCRIPCION DE TRABAJO]])),""))),"")</f>
        <v>Planchas</v>
      </c>
      <c r="O589" s="35" t="str" cm="1">
        <f t="array" ref="O589">_xlfn.TEXTJOIN(", ",TRUE,_xlfn._xlws.FILTER(Tabla28[[#All],[PARTE]],ISNUMBER(SEARCH(Tabla28[[#All],[PCLAVE2]],Tabla8[[#This Row],[DESCRIPCION DE TRABAJO]])),""))</f>
        <v/>
      </c>
      <c r="P589" s="303" t="str">
        <f>IFERROR(LEFT(O589, FIND(",", O589)-1), O589)</f>
        <v/>
      </c>
      <c r="Q589" s="303" t="str">
        <f>IFERROR(IF(ISERROR(FIND(",", O589, FIND(",", O589)+1)), RIGHT(O589, LEN(O589)-FIND(",", O589)-1), MID(O589, FIND(",", O589)+2, FIND(",", O589, FIND(",", O589)+1)-FIND(",", O589)-2)), "")</f>
        <v/>
      </c>
      <c r="R589" s="303" t="str">
        <f>IFERROR(RIGHT(O589, LEN(O589)-FIND(",", O589, FIND(",", O589)+1)-1), "")</f>
        <v/>
      </c>
      <c r="S589" s="35" t="str" cm="1">
        <f t="array" ref="S589">_xlfn.TEXTJOIN(", ",TRUE,_xlfn._xlws.FILTER(Tabla29[[#All],[PARTE]],ISNUMBER(SEARCH(Tabla29[[#All],[PCLAVE3]],Tabla8[[#This Row],[DESCRIPCION DE TRABAJO]])),""))</f>
        <v>Altura, Sellado</v>
      </c>
      <c r="T589" s="34" t="str">
        <f>IF(AND(Tabla8[[#This Row],[PIEZA]]="",Tabla8[[#This Row],[PARTE]]=""),"VACIO","OK")</f>
        <v>OK</v>
      </c>
      <c r="U589" s="303" t="str">
        <f>+CONCATENATE(WEEKNUM(Tabla8[[#This Row],[FECHA]]),"-",YEAR(Tabla8[[#This Row],[FECHA]]))</f>
        <v>11-2026</v>
      </c>
    </row>
    <row r="590" spans="1:21" ht="15" customHeight="1">
      <c r="A590" s="22">
        <v>46095</v>
      </c>
      <c r="B590" s="16" t="s">
        <v>191</v>
      </c>
      <c r="C590" s="10" t="s">
        <v>23</v>
      </c>
      <c r="D590" s="381">
        <v>0.6020833333333333</v>
      </c>
      <c r="E590" s="381">
        <v>0.6166666666666667</v>
      </c>
      <c r="F590" s="380">
        <f>+MOD(Tabla8[[#This Row],[HR. FIN]]-Tabla8[[#This Row],[HR. INICIO]],1)</f>
        <v>1.4583333333333393E-2</v>
      </c>
      <c r="G590" s="16" t="s">
        <v>128</v>
      </c>
      <c r="H590" s="343" t="str">
        <f>IFERROR(VLOOKUP(G590,DATOS!$M$2:$N$219,2,FALSE),"")</f>
        <v>Maquinaria</v>
      </c>
      <c r="I590" s="115" t="s">
        <v>32</v>
      </c>
      <c r="J590" s="115" t="s">
        <v>92</v>
      </c>
      <c r="K590" s="114" t="s">
        <v>93</v>
      </c>
      <c r="L590" s="35" t="s">
        <v>1293</v>
      </c>
      <c r="M590" s="35" t="s">
        <v>1294</v>
      </c>
      <c r="N590" s="35" t="str" cm="1">
        <f t="array" ref="N590">IFERROR(IF(Tabla8[[#This Row],[P/NP]]="NO PROGRAMADA","",_xlfn.TEXTJOIN(", ",TRUE,_xlfn._xlws.FILTER(Tabla4[[#All],[PIEZA]],ISNUMBER(SEARCH(Tabla4[[#All],[PCLAVE]],Tabla8[[#This Row],[DESCRIPCION DE TRABAJO]])),""))),"")</f>
        <v/>
      </c>
      <c r="O590" s="35" t="str" cm="1">
        <f t="array" ref="O590">_xlfn.TEXTJOIN(", ",TRUE,_xlfn._xlws.FILTER(Tabla28[[#All],[PARTE]],ISNUMBER(SEARCH(Tabla28[[#All],[PCLAVE2]],Tabla8[[#This Row],[DESCRIPCION DE TRABAJO]])),""))</f>
        <v/>
      </c>
      <c r="P590" s="303" t="str">
        <f>IFERROR(LEFT(O590, FIND(",", O590)-1), O590)</f>
        <v/>
      </c>
      <c r="Q590" s="303" t="str">
        <f>IFERROR(IF(ISERROR(FIND(",", O590, FIND(",", O590)+1)), RIGHT(O590, LEN(O590)-FIND(",", O590)-1), MID(O590, FIND(",", O590)+2, FIND(",", O590, FIND(",", O590)+1)-FIND(",", O590)-2)), "")</f>
        <v/>
      </c>
      <c r="R590" s="303" t="str">
        <f>IFERROR(RIGHT(O590, LEN(O590)-FIND(",", O590, FIND(",", O590)+1)-1), "")</f>
        <v/>
      </c>
      <c r="S590" s="35" t="str" cm="1">
        <f t="array" ref="S590">_xlfn.TEXTJOIN(", ",TRUE,_xlfn._xlws.FILTER(Tabla29[[#All],[PARTE]],ISNUMBER(SEARCH(Tabla29[[#All],[PCLAVE3]],Tabla8[[#This Row],[DESCRIPCION DE TRABAJO]])),""))</f>
        <v>No Arrastra</v>
      </c>
      <c r="T590" s="34" t="str">
        <f>IF(AND(Tabla8[[#This Row],[PIEZA]]="",Tabla8[[#This Row],[PARTE]]=""),"VACIO","OK")</f>
        <v>VACIO</v>
      </c>
      <c r="U590" s="303" t="str">
        <f>+CONCATENATE(WEEKNUM(Tabla8[[#This Row],[FECHA]]),"-",YEAR(Tabla8[[#This Row],[FECHA]]))</f>
        <v>11-2026</v>
      </c>
    </row>
    <row r="591" spans="1:21" ht="15" customHeight="1">
      <c r="A591" s="22">
        <v>46095</v>
      </c>
      <c r="B591" s="16" t="s">
        <v>191</v>
      </c>
      <c r="C591" s="10" t="s">
        <v>23</v>
      </c>
      <c r="D591" s="381">
        <v>0.52708333333333335</v>
      </c>
      <c r="E591" s="381">
        <v>0.53611111111111109</v>
      </c>
      <c r="F591" s="380">
        <f>+MOD(Tabla8[[#This Row],[HR. FIN]]-Tabla8[[#This Row],[HR. INICIO]],1)</f>
        <v>9.0277777777777457E-3</v>
      </c>
      <c r="G591" s="16" t="s">
        <v>215</v>
      </c>
      <c r="H591" s="343" t="str">
        <f>IFERROR(VLOOKUP(G591,DATOS!$M$2:$N$219,2,FALSE),"")</f>
        <v>Equipos auxiliares</v>
      </c>
      <c r="I591" s="115" t="s">
        <v>54</v>
      </c>
      <c r="J591" s="115" t="str">
        <f>+VLOOKUP($I591,Tabla7[#All],2,FALSE)</f>
        <v>PROGRAMADA</v>
      </c>
      <c r="K591" s="114" t="str">
        <f>IF(VLOOKUP(I591,Tabla7[#All],3,FALSE)=0,"",VLOOKUP(I591,Tabla7[#All],3,FALSE))</f>
        <v/>
      </c>
      <c r="L591" s="35" t="s">
        <v>248</v>
      </c>
      <c r="M591" s="35" t="s">
        <v>121</v>
      </c>
      <c r="N591" s="35" t="str" cm="1">
        <f t="array" ref="N591">IFERROR(IF(Tabla8[[#This Row],[P/NP]]="NO PROGRAMADA","",_xlfn.TEXTJOIN(", ",TRUE,_xlfn._xlws.FILTER(Tabla4[[#All],[PIEZA]],ISNUMBER(SEARCH(Tabla4[[#All],[PCLAVE]],Tabla8[[#This Row],[DESCRIPCION DE TRABAJO]])),""))),"")</f>
        <v/>
      </c>
      <c r="O591" s="35" t="str" cm="1">
        <f t="array" ref="O591">_xlfn.TEXTJOIN(", ",TRUE,_xlfn._xlws.FILTER(Tabla28[[#All],[PARTE]],ISNUMBER(SEARCH(Tabla28[[#All],[PCLAVE2]],Tabla8[[#This Row],[DESCRIPCION DE TRABAJO]])),""))</f>
        <v/>
      </c>
      <c r="P591" s="303" t="str">
        <f>IFERROR(LEFT(O591, FIND(",", O591)-1), O591)</f>
        <v/>
      </c>
      <c r="Q591" s="303" t="str">
        <f>IFERROR(IF(ISERROR(FIND(",", O591, FIND(",", O591)+1)), RIGHT(O591, LEN(O591)-FIND(",", O591)-1), MID(O591, FIND(",", O591)+2, FIND(",", O591, FIND(",", O591)+1)-FIND(",", O591)-2)), "")</f>
        <v/>
      </c>
      <c r="R591" s="303" t="str">
        <f>IFERROR(RIGHT(O591, LEN(O591)-FIND(",", O591, FIND(",", O591)+1)-1), "")</f>
        <v/>
      </c>
      <c r="S591" s="35" t="str" cm="1">
        <f t="array" ref="S591">_xlfn.TEXTJOIN(", ",TRUE,_xlfn._xlws.FILTER(Tabla29[[#All],[PARTE]],ISNUMBER(SEARCH(Tabla29[[#All],[PCLAVE3]],Tabla8[[#This Row],[DESCRIPCION DE TRABAJO]])),""))</f>
        <v/>
      </c>
      <c r="T591" s="34" t="str">
        <f>IF(AND(Tabla8[[#This Row],[PIEZA]]="",Tabla8[[#This Row],[PARTE]]=""),"VACIO","OK")</f>
        <v>VACIO</v>
      </c>
      <c r="U591" s="303" t="str">
        <f>+CONCATENATE(WEEKNUM(Tabla8[[#This Row],[FECHA]]),"-",YEAR(Tabla8[[#This Row],[FECHA]]))</f>
        <v>11-2026</v>
      </c>
    </row>
    <row r="592" spans="1:21" ht="15" customHeight="1">
      <c r="A592" s="22">
        <v>46097</v>
      </c>
      <c r="B592" s="16" t="s">
        <v>179</v>
      </c>
      <c r="C592" s="10" t="s">
        <v>36</v>
      </c>
      <c r="D592" s="381">
        <v>0.375</v>
      </c>
      <c r="E592" s="381">
        <v>0.41666666666666669</v>
      </c>
      <c r="F592" s="380">
        <f>+MOD(Tabla8[[#This Row],[HR. FIN]]-Tabla8[[#This Row],[HR. INICIO]],1)</f>
        <v>4.1666666666666685E-2</v>
      </c>
      <c r="G592" s="16" t="s">
        <v>24</v>
      </c>
      <c r="H592" s="343" t="str">
        <f>IFERROR(VLOOKUP(G592,DATOS!$M$2:$N$219,2,FALSE),"")</f>
        <v>Maquinaria</v>
      </c>
      <c r="I592" s="115" t="s">
        <v>57</v>
      </c>
      <c r="J592" s="115" t="s">
        <v>157</v>
      </c>
      <c r="K592" s="114"/>
      <c r="L592" s="35" t="s">
        <v>1295</v>
      </c>
      <c r="M592" s="35" t="s">
        <v>1296</v>
      </c>
      <c r="N592" s="35" t="str" cm="1">
        <f t="array" ref="N592">IFERROR(IF(Tabla8[[#This Row],[P/NP]]="NO PROGRAMADA","",_xlfn.TEXTJOIN(", ",TRUE,_xlfn._xlws.FILTER(Tabla4[[#All],[PIEZA]],ISNUMBER(SEARCH(Tabla4[[#All],[PCLAVE]],Tabla8[[#This Row],[DESCRIPCION DE TRABAJO]])),""))),"")</f>
        <v>Cajas, Disco</v>
      </c>
      <c r="O592" s="35" t="str" cm="1">
        <f t="array" ref="O592">_xlfn.TEXTJOIN(", ",TRUE,_xlfn._xlws.FILTER(Tabla28[[#All],[PARTE]],ISNUMBER(SEARCH(Tabla28[[#All],[PCLAVE2]],Tabla8[[#This Row],[DESCRIPCION DE TRABAJO]])),""))</f>
        <v/>
      </c>
      <c r="P592" s="303" t="str">
        <f>IFERROR(LEFT(O592, FIND(",", O592)-1), O592)</f>
        <v/>
      </c>
      <c r="Q592" s="303" t="str">
        <f>IFERROR(IF(ISERROR(FIND(",", O592, FIND(",", O592)+1)), RIGHT(O592, LEN(O592)-FIND(",", O592)-1), MID(O592, FIND(",", O592)+2, FIND(",", O592, FIND(",", O592)+1)-FIND(",", O592)-2)), "")</f>
        <v/>
      </c>
      <c r="R592" s="303" t="str">
        <f>IFERROR(RIGHT(O592, LEN(O592)-FIND(",", O592, FIND(",", O592)+1)-1), "")</f>
        <v/>
      </c>
      <c r="S592" s="35" t="str" cm="1">
        <f t="array" ref="S592">_xlfn.TEXTJOIN(", ",TRUE,_xlfn._xlws.FILTER(Tabla29[[#All],[PARTE]],ISNUMBER(SEARCH(Tabla29[[#All],[PCLAVE3]],Tabla8[[#This Row],[DESCRIPCION DE TRABAJO]])),""))</f>
        <v>Calibracion</v>
      </c>
      <c r="T592" s="34" t="str">
        <f>IF(AND(Tabla8[[#This Row],[PIEZA]]="",Tabla8[[#This Row],[PARTE]]=""),"VACIO","OK")</f>
        <v>OK</v>
      </c>
      <c r="U592" s="303" t="str">
        <f>+CONCATENATE(WEEKNUM(Tabla8[[#This Row],[FECHA]]),"-",YEAR(Tabla8[[#This Row],[FECHA]]))</f>
        <v>12-2026</v>
      </c>
    </row>
    <row r="593" spans="1:21" ht="15" customHeight="1">
      <c r="A593" s="22">
        <v>46097</v>
      </c>
      <c r="B593" s="16" t="s">
        <v>111</v>
      </c>
      <c r="C593" s="10" t="s">
        <v>23</v>
      </c>
      <c r="D593" s="381">
        <v>0.71180555555555558</v>
      </c>
      <c r="E593" s="381">
        <v>0.75</v>
      </c>
      <c r="F593" s="380">
        <f>+MOD(Tabla8[[#This Row],[HR. FIN]]-Tabla8[[#This Row],[HR. INICIO]],1)</f>
        <v>3.819444444444442E-2</v>
      </c>
      <c r="G593" s="16" t="s">
        <v>312</v>
      </c>
      <c r="H593" s="343" t="str">
        <f>IFERROR(VLOOKUP(G593,DATOS!$M$2:$N$219,2,FALSE),"")</f>
        <v>Maquinaria</v>
      </c>
      <c r="I593" s="115" t="s">
        <v>32</v>
      </c>
      <c r="J593" s="115" t="str">
        <f>+VLOOKUP($I593,Tabla7[#All],2,FALSE)</f>
        <v>PROGRAMADA</v>
      </c>
      <c r="K593" s="114" t="str">
        <f>IF(VLOOKUP(I593,Tabla7[#All],3,FALSE)=0,"",VLOOKUP(I593,Tabla7[#All],3,FALSE))</f>
        <v/>
      </c>
      <c r="L593" s="35" t="s">
        <v>1297</v>
      </c>
      <c r="M593" s="35" t="s">
        <v>121</v>
      </c>
      <c r="N593" s="35" t="str" cm="1">
        <f t="array" ref="N593">IFERROR(IF(Tabla8[[#This Row],[P/NP]]="NO PROGRAMADA","",_xlfn.TEXTJOIN(", ",TRUE,_xlfn._xlws.FILTER(Tabla4[[#All],[PIEZA]],ISNUMBER(SEARCH(Tabla4[[#All],[PCLAVE]],Tabla8[[#This Row],[DESCRIPCION DE TRABAJO]])),""))),"")</f>
        <v>Polin De Arrastre</v>
      </c>
      <c r="O593" s="35" t="str" cm="1">
        <f t="array" ref="O593">_xlfn.TEXTJOIN(", ",TRUE,_xlfn._xlws.FILTER(Tabla28[[#All],[PARTE]],ISNUMBER(SEARCH(Tabla28[[#All],[PCLAVE2]],Tabla8[[#This Row],[DESCRIPCION DE TRABAJO]])),""))</f>
        <v/>
      </c>
      <c r="P593" s="303" t="str">
        <f>IFERROR(LEFT(O593, FIND(",", O593)-1), O593)</f>
        <v/>
      </c>
      <c r="Q593" s="303" t="str">
        <f>IFERROR(IF(ISERROR(FIND(",", O593, FIND(",", O593)+1)), RIGHT(O593, LEN(O593)-FIND(",", O593)-1), MID(O593, FIND(",", O593)+2, FIND(",", O593, FIND(",", O593)+1)-FIND(",", O593)-2)), "")</f>
        <v/>
      </c>
      <c r="R593" s="303" t="str">
        <f>IFERROR(RIGHT(O593, LEN(O593)-FIND(",", O593, FIND(",", O593)+1)-1), "")</f>
        <v/>
      </c>
      <c r="S593" s="35" t="str" cm="1">
        <f t="array" ref="S593">_xlfn.TEXTJOIN(", ",TRUE,_xlfn._xlws.FILTER(Tabla29[[#All],[PARTE]],ISNUMBER(SEARCH(Tabla29[[#All],[PCLAVE3]],Tabla8[[#This Row],[DESCRIPCION DE TRABAJO]])),""))</f>
        <v>Temperatura</v>
      </c>
      <c r="T593" s="34" t="str">
        <f>IF(AND(Tabla8[[#This Row],[PIEZA]]="",Tabla8[[#This Row],[PARTE]]=""),"VACIO","OK")</f>
        <v>OK</v>
      </c>
      <c r="U593" s="303" t="str">
        <f>+CONCATENATE(WEEKNUM(Tabla8[[#This Row],[FECHA]]),"-",YEAR(Tabla8[[#This Row],[FECHA]]))</f>
        <v>12-2026</v>
      </c>
    </row>
    <row r="594" spans="1:21" ht="15" customHeight="1">
      <c r="A594" s="22">
        <v>46097</v>
      </c>
      <c r="B594" s="16" t="s">
        <v>111</v>
      </c>
      <c r="C594" s="10" t="s">
        <v>23</v>
      </c>
      <c r="D594" s="381">
        <v>0.58333333333333337</v>
      </c>
      <c r="E594" s="381">
        <v>0.61458333333333337</v>
      </c>
      <c r="F594" s="380">
        <f>+MOD(Tabla8[[#This Row],[HR. FIN]]-Tabla8[[#This Row],[HR. INICIO]],1)</f>
        <v>3.125E-2</v>
      </c>
      <c r="G594" s="16" t="s">
        <v>312</v>
      </c>
      <c r="H594" s="343" t="str">
        <f>IFERROR(VLOOKUP(G594,DATOS!$M$2:$N$219,2,FALSE),"")</f>
        <v>Maquinaria</v>
      </c>
      <c r="I594" s="115" t="s">
        <v>32</v>
      </c>
      <c r="J594" s="115" t="str">
        <f>+VLOOKUP($I594,Tabla7[#All],2,FALSE)</f>
        <v>PROGRAMADA</v>
      </c>
      <c r="K594" s="114" t="str">
        <f>IF(VLOOKUP(I594,Tabla7[#All],3,FALSE)=0,"",VLOOKUP(I594,Tabla7[#All],3,FALSE))</f>
        <v/>
      </c>
      <c r="L594" s="35" t="s">
        <v>1298</v>
      </c>
      <c r="M594" s="35" t="s">
        <v>121</v>
      </c>
      <c r="N594" s="35" t="str" cm="1">
        <f t="array" ref="N594">IFERROR(IF(Tabla8[[#This Row],[P/NP]]="NO PROGRAMADA","",_xlfn.TEXTJOIN(", ",TRUE,_xlfn._xlws.FILTER(Tabla4[[#All],[PIEZA]],ISNUMBER(SEARCH(Tabla4[[#All],[PCLAVE]],Tabla8[[#This Row],[DESCRIPCION DE TRABAJO]])),""))),"")</f>
        <v>Malla</v>
      </c>
      <c r="O594" s="35" t="str" cm="1">
        <f t="array" ref="O594">_xlfn.TEXTJOIN(", ",TRUE,_xlfn._xlws.FILTER(Tabla28[[#All],[PARTE]],ISNUMBER(SEARCH(Tabla28[[#All],[PCLAVE2]],Tabla8[[#This Row],[DESCRIPCION DE TRABAJO]])),""))</f>
        <v/>
      </c>
      <c r="P594" s="303" t="str">
        <f>IFERROR(LEFT(O594, FIND(",", O594)-1), O594)</f>
        <v/>
      </c>
      <c r="Q594" s="303" t="str">
        <f>IFERROR(IF(ISERROR(FIND(",", O594, FIND(",", O594)+1)), RIGHT(O594, LEN(O594)-FIND(",", O594)-1), MID(O594, FIND(",", O594)+2, FIND(",", O594, FIND(",", O594)+1)-FIND(",", O594)-2)), "")</f>
        <v/>
      </c>
      <c r="R594" s="303" t="str">
        <f>IFERROR(RIGHT(O594, LEN(O594)-FIND(",", O594, FIND(",", O594)+1)-1), "")</f>
        <v/>
      </c>
      <c r="S594" s="35" t="str" cm="1">
        <f t="array" ref="S594">_xlfn.TEXTJOIN(", ",TRUE,_xlfn._xlws.FILTER(Tabla29[[#All],[PARTE]],ISNUMBER(SEARCH(Tabla29[[#All],[PCLAVE3]],Tabla8[[#This Row],[DESCRIPCION DE TRABAJO]])),""))</f>
        <v/>
      </c>
      <c r="T594" s="34" t="str">
        <f>IF(AND(Tabla8[[#This Row],[PIEZA]]="",Tabla8[[#This Row],[PARTE]]=""),"VACIO","OK")</f>
        <v>OK</v>
      </c>
      <c r="U594" s="303" t="str">
        <f>+CONCATENATE(WEEKNUM(Tabla8[[#This Row],[FECHA]]),"-",YEAR(Tabla8[[#This Row],[FECHA]]))</f>
        <v>12-2026</v>
      </c>
    </row>
    <row r="595" spans="1:21" ht="15" customHeight="1">
      <c r="A595" s="22">
        <v>46097</v>
      </c>
      <c r="B595" s="16" t="s">
        <v>179</v>
      </c>
      <c r="C595" s="10" t="s">
        <v>36</v>
      </c>
      <c r="D595" s="381">
        <v>0.2361111111111111</v>
      </c>
      <c r="E595" s="381">
        <v>0.2638888888888889</v>
      </c>
      <c r="F595" s="380">
        <f>+MOD(Tabla8[[#This Row],[HR. FIN]]-Tabla8[[#This Row],[HR. INICIO]],1)</f>
        <v>2.777777777777779E-2</v>
      </c>
      <c r="G595" s="16" t="s">
        <v>103</v>
      </c>
      <c r="H595" s="343" t="str">
        <f>IFERROR(VLOOKUP(G595,DATOS!$M$2:$N$219,2,FALSE),"")</f>
        <v>Area</v>
      </c>
      <c r="I595" s="115" t="s">
        <v>43</v>
      </c>
      <c r="J595" s="115" t="str">
        <f>+VLOOKUP($I595,Tabla7[#All],2,FALSE)</f>
        <v>PROGRAMADA</v>
      </c>
      <c r="K595" s="114" t="str">
        <f>IF(VLOOKUP(I595,Tabla7[#All],3,FALSE)=0,"",VLOOKUP(I595,Tabla7[#All],3,FALSE))</f>
        <v/>
      </c>
      <c r="L595" s="35" t="s">
        <v>755</v>
      </c>
      <c r="M595" s="35" t="s">
        <v>121</v>
      </c>
      <c r="N595" s="35" t="str" cm="1">
        <f t="array" ref="N595">IFERROR(IF(Tabla8[[#This Row],[P/NP]]="NO PROGRAMADA","",_xlfn.TEXTJOIN(", ",TRUE,_xlfn._xlws.FILTER(Tabla4[[#All],[PIEZA]],ISNUMBER(SEARCH(Tabla4[[#All],[PCLAVE]],Tabla8[[#This Row],[DESCRIPCION DE TRABAJO]])),""))),"")</f>
        <v/>
      </c>
      <c r="O595" s="35" t="str" cm="1">
        <f t="array" ref="O595">_xlfn.TEXTJOIN(", ",TRUE,_xlfn._xlws.FILTER(Tabla28[[#All],[PARTE]],ISNUMBER(SEARCH(Tabla28[[#All],[PCLAVE2]],Tabla8[[#This Row],[DESCRIPCION DE TRABAJO]])),""))</f>
        <v/>
      </c>
      <c r="P595" s="303" t="str">
        <f>IFERROR(LEFT(O595, FIND(",", O595)-1), O595)</f>
        <v/>
      </c>
      <c r="Q595" s="303" t="str">
        <f>IFERROR(IF(ISERROR(FIND(",", O595, FIND(",", O595)+1)), RIGHT(O595, LEN(O595)-FIND(",", O595)-1), MID(O595, FIND(",", O595)+2, FIND(",", O595, FIND(",", O595)+1)-FIND(",", O595)-2)), "")</f>
        <v/>
      </c>
      <c r="R595" s="303" t="str">
        <f>IFERROR(RIGHT(O595, LEN(O595)-FIND(",", O595, FIND(",", O595)+1)-1), "")</f>
        <v/>
      </c>
      <c r="S595" s="35" t="str" cm="1">
        <f t="array" ref="S595">_xlfn.TEXTJOIN(", ",TRUE,_xlfn._xlws.FILTER(Tabla29[[#All],[PARTE]],ISNUMBER(SEARCH(Tabla29[[#All],[PCLAVE3]],Tabla8[[#This Row],[DESCRIPCION DE TRABAJO]])),""))</f>
        <v/>
      </c>
      <c r="T595" s="34" t="str">
        <f>IF(AND(Tabla8[[#This Row],[PIEZA]]="",Tabla8[[#This Row],[PARTE]]=""),"VACIO","OK")</f>
        <v>VACIO</v>
      </c>
      <c r="U595" s="303" t="str">
        <f>+CONCATENATE(WEEKNUM(Tabla8[[#This Row],[FECHA]]),"-",YEAR(Tabla8[[#This Row],[FECHA]]))</f>
        <v>12-2026</v>
      </c>
    </row>
    <row r="596" spans="1:21" ht="15" customHeight="1">
      <c r="A596" s="22">
        <v>46097</v>
      </c>
      <c r="B596" s="16" t="s">
        <v>191</v>
      </c>
      <c r="C596" s="10" t="s">
        <v>36</v>
      </c>
      <c r="D596" s="381">
        <v>0.4</v>
      </c>
      <c r="E596" s="381">
        <v>0.42708333333333331</v>
      </c>
      <c r="F596" s="380">
        <f>+MOD(Tabla8[[#This Row],[HR. FIN]]-Tabla8[[#This Row],[HR. INICIO]],1)</f>
        <v>2.7083333333333293E-2</v>
      </c>
      <c r="G596" s="16" t="s">
        <v>793</v>
      </c>
      <c r="H596" s="343" t="str">
        <f>IFERROR(VLOOKUP(G596,DATOS!$M$2:$N$219,2,FALSE),"")</f>
        <v>Maquinaria</v>
      </c>
      <c r="I596" s="115" t="s">
        <v>32</v>
      </c>
      <c r="J596" s="115" t="str">
        <f>+VLOOKUP($I596,Tabla7[#All],2,FALSE)</f>
        <v>PROGRAMADA</v>
      </c>
      <c r="K596" s="114" t="str">
        <f>IF(VLOOKUP(I596,Tabla7[#All],3,FALSE)=0,"",VLOOKUP(I596,Tabla7[#All],3,FALSE))</f>
        <v/>
      </c>
      <c r="L596" s="35" t="s">
        <v>1299</v>
      </c>
      <c r="M596" s="35" t="s">
        <v>121</v>
      </c>
      <c r="N596" s="35" t="str" cm="1">
        <f t="array" ref="N596">IFERROR(IF(Tabla8[[#This Row],[P/NP]]="NO PROGRAMADA","",_xlfn.TEXTJOIN(", ",TRUE,_xlfn._xlws.FILTER(Tabla4[[#All],[PIEZA]],ISNUMBER(SEARCH(Tabla4[[#All],[PCLAVE]],Tabla8[[#This Row],[DESCRIPCION DE TRABAJO]])),""))),"")</f>
        <v/>
      </c>
      <c r="O596" s="35" t="str" cm="1">
        <f t="array" ref="O596">_xlfn.TEXTJOIN(", ",TRUE,_xlfn._xlws.FILTER(Tabla28[[#All],[PARTE]],ISNUMBER(SEARCH(Tabla28[[#All],[PCLAVE2]],Tabla8[[#This Row],[DESCRIPCION DE TRABAJO]])),""))</f>
        <v/>
      </c>
      <c r="P596" s="303" t="str">
        <f>IFERROR(LEFT(O596, FIND(",", O596)-1), O596)</f>
        <v/>
      </c>
      <c r="Q596" s="303" t="str">
        <f>IFERROR(IF(ISERROR(FIND(",", O596, FIND(",", O596)+1)), RIGHT(O596, LEN(O596)-FIND(",", O596)-1), MID(O596, FIND(",", O596)+2, FIND(",", O596, FIND(",", O596)+1)-FIND(",", O596)-2)), "")</f>
        <v/>
      </c>
      <c r="R596" s="303" t="str">
        <f>IFERROR(RIGHT(O596, LEN(O596)-FIND(",", O596, FIND(",", O596)+1)-1), "")</f>
        <v/>
      </c>
      <c r="S596" s="35" t="str" cm="1">
        <f t="array" ref="S596">_xlfn.TEXTJOIN(", ",TRUE,_xlfn._xlws.FILTER(Tabla29[[#All],[PARTE]],ISNUMBER(SEARCH(Tabla29[[#All],[PCLAVE3]],Tabla8[[#This Row],[DESCRIPCION DE TRABAJO]])),""))</f>
        <v>Carga/descarga</v>
      </c>
      <c r="T596" s="34" t="str">
        <f>IF(AND(Tabla8[[#This Row],[PIEZA]]="",Tabla8[[#This Row],[PARTE]]=""),"VACIO","OK")</f>
        <v>VACIO</v>
      </c>
      <c r="U596" s="303" t="str">
        <f>+CONCATENATE(WEEKNUM(Tabla8[[#This Row],[FECHA]]),"-",YEAR(Tabla8[[#This Row],[FECHA]]))</f>
        <v>12-2026</v>
      </c>
    </row>
    <row r="597" spans="1:21" ht="15" customHeight="1">
      <c r="A597" s="22">
        <v>46097</v>
      </c>
      <c r="B597" s="16" t="s">
        <v>191</v>
      </c>
      <c r="C597" s="10" t="s">
        <v>36</v>
      </c>
      <c r="D597" s="381">
        <v>0.23333333333333334</v>
      </c>
      <c r="E597" s="381">
        <v>0.25833333333333336</v>
      </c>
      <c r="F597" s="380">
        <f>+MOD(Tabla8[[#This Row],[HR. FIN]]-Tabla8[[#This Row],[HR. INICIO]],1)</f>
        <v>2.5000000000000022E-2</v>
      </c>
      <c r="G597" s="16" t="s">
        <v>215</v>
      </c>
      <c r="H597" s="343" t="str">
        <f>IFERROR(VLOOKUP(G597,DATOS!$M$2:$N$219,2,FALSE),"")</f>
        <v>Equipos auxiliares</v>
      </c>
      <c r="I597" s="115" t="s">
        <v>43</v>
      </c>
      <c r="J597" s="115" t="str">
        <f>+VLOOKUP($I597,Tabla7[#All],2,FALSE)</f>
        <v>PROGRAMADA</v>
      </c>
      <c r="K597" s="114" t="str">
        <f>IF(VLOOKUP(I597,Tabla7[#All],3,FALSE)=0,"",VLOOKUP(I597,Tabla7[#All],3,FALSE))</f>
        <v/>
      </c>
      <c r="L597" s="35" t="s">
        <v>1300</v>
      </c>
      <c r="M597" s="35" t="s">
        <v>121</v>
      </c>
      <c r="N597" s="35" t="str" cm="1">
        <f t="array" ref="N597">IFERROR(IF(Tabla8[[#This Row],[P/NP]]="NO PROGRAMADA","",_xlfn.TEXTJOIN(", ",TRUE,_xlfn._xlws.FILTER(Tabla4[[#All],[PIEZA]],ISNUMBER(SEARCH(Tabla4[[#All],[PCLAVE]],Tabla8[[#This Row],[DESCRIPCION DE TRABAJO]])),""))),"")</f>
        <v/>
      </c>
      <c r="O597" s="35" t="str" cm="1">
        <f t="array" ref="O597">_xlfn.TEXTJOIN(", ",TRUE,_xlfn._xlws.FILTER(Tabla28[[#All],[PARTE]],ISNUMBER(SEARCH(Tabla28[[#All],[PCLAVE2]],Tabla8[[#This Row],[DESCRIPCION DE TRABAJO]])),""))</f>
        <v/>
      </c>
      <c r="P597" s="303" t="str">
        <f>IFERROR(LEFT(O597, FIND(",", O597)-1), O597)</f>
        <v/>
      </c>
      <c r="Q597" s="303" t="str">
        <f>IFERROR(IF(ISERROR(FIND(",", O597, FIND(",", O597)+1)), RIGHT(O597, LEN(O597)-FIND(",", O597)-1), MID(O597, FIND(",", O597)+2, FIND(",", O597, FIND(",", O597)+1)-FIND(",", O597)-2)), "")</f>
        <v/>
      </c>
      <c r="R597" s="303" t="str">
        <f>IFERROR(RIGHT(O597, LEN(O597)-FIND(",", O597, FIND(",", O597)+1)-1), "")</f>
        <v/>
      </c>
      <c r="S597" s="35" t="str" cm="1">
        <f t="array" ref="S597">_xlfn.TEXTJOIN(", ",TRUE,_xlfn._xlws.FILTER(Tabla29[[#All],[PARTE]],ISNUMBER(SEARCH(Tabla29[[#All],[PCLAVE3]],Tabla8[[#This Row],[DESCRIPCION DE TRABAJO]])),""))</f>
        <v/>
      </c>
      <c r="T597" s="34" t="str">
        <f>IF(AND(Tabla8[[#This Row],[PIEZA]]="",Tabla8[[#This Row],[PARTE]]=""),"VACIO","OK")</f>
        <v>VACIO</v>
      </c>
      <c r="U597" s="303" t="str">
        <f>+CONCATENATE(WEEKNUM(Tabla8[[#This Row],[FECHA]]),"-",YEAR(Tabla8[[#This Row],[FECHA]]))</f>
        <v>12-2026</v>
      </c>
    </row>
    <row r="598" spans="1:21" ht="15" customHeight="1">
      <c r="A598" s="22">
        <v>46097</v>
      </c>
      <c r="B598" s="16" t="s">
        <v>111</v>
      </c>
      <c r="C598" s="10" t="s">
        <v>23</v>
      </c>
      <c r="D598" s="381">
        <v>0.63888888888888884</v>
      </c>
      <c r="E598" s="381">
        <v>0.65972222222222221</v>
      </c>
      <c r="F598" s="380">
        <f>+MOD(Tabla8[[#This Row],[HR. FIN]]-Tabla8[[#This Row],[HR. INICIO]],1)</f>
        <v>2.083333333333337E-2</v>
      </c>
      <c r="G598" s="16" t="s">
        <v>119</v>
      </c>
      <c r="H598" s="343" t="str">
        <f>IFERROR(VLOOKUP(G598,DATOS!$M$2:$N$219,2,FALSE),"")</f>
        <v>Maquinaria</v>
      </c>
      <c r="I598" s="115" t="s">
        <v>57</v>
      </c>
      <c r="J598" s="115" t="str">
        <f>+VLOOKUP($I598,Tabla7[#All],2,FALSE)</f>
        <v>NO PROGRAMADA</v>
      </c>
      <c r="K598" s="114" t="str">
        <f>IF(VLOOKUP(I598,Tabla7[#All],3,FALSE)=0,"",VLOOKUP(I598,Tabla7[#All],3,FALSE))</f>
        <v>MECÁNICA</v>
      </c>
      <c r="L598" s="35" t="s">
        <v>1301</v>
      </c>
      <c r="M598" s="35" t="s">
        <v>1302</v>
      </c>
      <c r="N598" s="35" t="str" cm="1">
        <f t="array" ref="N598">IFERROR(IF(Tabla8[[#This Row],[P/NP]]="NO PROGRAMADA","",_xlfn.TEXTJOIN(", ",TRUE,_xlfn._xlws.FILTER(Tabla4[[#All],[PIEZA]],ISNUMBER(SEARCH(Tabla4[[#All],[PCLAVE]],Tabla8[[#This Row],[DESCRIPCION DE TRABAJO]])),""))),"")</f>
        <v/>
      </c>
      <c r="O598" s="35" t="str" cm="1">
        <f t="array" ref="O598">_xlfn.TEXTJOIN(", ",TRUE,_xlfn._xlws.FILTER(Tabla28[[#All],[PARTE]],ISNUMBER(SEARCH(Tabla28[[#All],[PCLAVE2]],Tabla8[[#This Row],[DESCRIPCION DE TRABAJO]])),""))</f>
        <v>Temperadora</v>
      </c>
      <c r="P598" s="303" t="str">
        <f>IFERROR(LEFT(O598, FIND(",", O598)-1), O598)</f>
        <v>Temperadora</v>
      </c>
      <c r="Q598" s="303" t="str">
        <f>IFERROR(IF(ISERROR(FIND(",", O598, FIND(",", O598)+1)), RIGHT(O598, LEN(O598)-FIND(",", O598)-1), MID(O598, FIND(",", O598)+2, FIND(",", O598, FIND(",", O598)+1)-FIND(",", O598)-2)), "")</f>
        <v/>
      </c>
      <c r="R598" s="303" t="str">
        <f>IFERROR(RIGHT(O598, LEN(O598)-FIND(",", O598, FIND(",", O598)+1)-1), "")</f>
        <v/>
      </c>
      <c r="S598" s="35" t="str" cm="1">
        <f t="array" ref="S598">_xlfn.TEXTJOIN(", ",TRUE,_xlfn._xlws.FILTER(Tabla29[[#All],[PARTE]],ISNUMBER(SEARCH(Tabla29[[#All],[PCLAVE3]],Tabla8[[#This Row],[DESCRIPCION DE TRABAJO]])),""))</f>
        <v>Incorrecto, Temperatura, Temperatura</v>
      </c>
      <c r="T598" s="34" t="str">
        <f>IF(AND(Tabla8[[#This Row],[PIEZA]]="",Tabla8[[#This Row],[PARTE]]=""),"VACIO","OK")</f>
        <v>OK</v>
      </c>
      <c r="U598" s="303" t="str">
        <f>+CONCATENATE(WEEKNUM(Tabla8[[#This Row],[FECHA]]),"-",YEAR(Tabla8[[#This Row],[FECHA]]))</f>
        <v>12-2026</v>
      </c>
    </row>
    <row r="599" spans="1:21" ht="15" customHeight="1">
      <c r="A599" s="22">
        <v>46097</v>
      </c>
      <c r="B599" s="16" t="s">
        <v>111</v>
      </c>
      <c r="C599" s="10" t="s">
        <v>23</v>
      </c>
      <c r="D599" s="381">
        <v>0.66666666666666663</v>
      </c>
      <c r="E599" s="381">
        <v>0.6875</v>
      </c>
      <c r="F599" s="380">
        <f>+MOD(Tabla8[[#This Row],[HR. FIN]]-Tabla8[[#This Row],[HR. INICIO]],1)</f>
        <v>2.083333333333337E-2</v>
      </c>
      <c r="G599" s="16" t="s">
        <v>205</v>
      </c>
      <c r="H599" s="343" t="str">
        <f>IFERROR(VLOOKUP(G599,DATOS!$M$2:$N$219,2,FALSE),"")</f>
        <v>Maquinaria</v>
      </c>
      <c r="I599" s="115" t="s">
        <v>61</v>
      </c>
      <c r="J599" s="115" t="s">
        <v>92</v>
      </c>
      <c r="K599" s="114" t="s">
        <v>93</v>
      </c>
      <c r="L599" s="35" t="s">
        <v>1303</v>
      </c>
      <c r="M599" s="35" t="s">
        <v>1304</v>
      </c>
      <c r="N599" s="35" t="str" cm="1">
        <f t="array" ref="N599">IFERROR(IF(Tabla8[[#This Row],[P/NP]]="NO PROGRAMADA","",_xlfn.TEXTJOIN(", ",TRUE,_xlfn._xlws.FILTER(Tabla4[[#All],[PIEZA]],ISNUMBER(SEARCH(Tabla4[[#All],[PCLAVE]],Tabla8[[#This Row],[DESCRIPCION DE TRABAJO]])),""))),"")</f>
        <v/>
      </c>
      <c r="O599" s="35" t="str" cm="1">
        <f t="array" ref="O599">_xlfn.TEXTJOIN(", ",TRUE,_xlfn._xlws.FILTER(Tabla28[[#All],[PARTE]],ISNUMBER(SEARCH(Tabla28[[#All],[PCLAVE2]],Tabla8[[#This Row],[DESCRIPCION DE TRABAJO]])),""))</f>
        <v/>
      </c>
      <c r="P599" s="303" t="str">
        <f>IFERROR(LEFT(O599, FIND(",", O599)-1), O599)</f>
        <v/>
      </c>
      <c r="Q599" s="303" t="str">
        <f>IFERROR(IF(ISERROR(FIND(",", O599, FIND(",", O599)+1)), RIGHT(O599, LEN(O599)-FIND(",", O599)-1), MID(O599, FIND(",", O599)+2, FIND(",", O599, FIND(",", O599)+1)-FIND(",", O599)-2)), "")</f>
        <v/>
      </c>
      <c r="R599" s="303" t="str">
        <f>IFERROR(RIGHT(O599, LEN(O599)-FIND(",", O599, FIND(",", O599)+1)-1), "")</f>
        <v/>
      </c>
      <c r="S599" s="35" t="str" cm="1">
        <f t="array" ref="S599">_xlfn.TEXTJOIN(", ",TRUE,_xlfn._xlws.FILTER(Tabla29[[#All],[PARTE]],ISNUMBER(SEARCH(Tabla29[[#All],[PCLAVE3]],Tabla8[[#This Row],[DESCRIPCION DE TRABAJO]])),""))</f>
        <v>Error</v>
      </c>
      <c r="T599" s="34" t="str">
        <f>IF(AND(Tabla8[[#This Row],[PIEZA]]="",Tabla8[[#This Row],[PARTE]]=""),"VACIO","OK")</f>
        <v>VACIO</v>
      </c>
      <c r="U599" s="303" t="str">
        <f>+CONCATENATE(WEEKNUM(Tabla8[[#This Row],[FECHA]]),"-",YEAR(Tabla8[[#This Row],[FECHA]]))</f>
        <v>12-2026</v>
      </c>
    </row>
    <row r="600" spans="1:21" ht="15" customHeight="1">
      <c r="A600" s="22">
        <v>46097</v>
      </c>
      <c r="B600" s="16" t="s">
        <v>111</v>
      </c>
      <c r="C600" s="10" t="s">
        <v>23</v>
      </c>
      <c r="D600" s="381">
        <v>0.84027777777777779</v>
      </c>
      <c r="E600" s="381">
        <v>0.86111111111111116</v>
      </c>
      <c r="F600" s="380">
        <f>+MOD(Tabla8[[#This Row],[HR. FIN]]-Tabla8[[#This Row],[HR. INICIO]],1)</f>
        <v>2.083333333333337E-2</v>
      </c>
      <c r="G600" s="16" t="s">
        <v>1305</v>
      </c>
      <c r="H600" s="343" t="str">
        <f>IFERROR(VLOOKUP(G600,DATOS!$M$2:$N$219,2,FALSE),"")</f>
        <v>Area</v>
      </c>
      <c r="I600" s="115" t="s">
        <v>32</v>
      </c>
      <c r="J600" s="115" t="str">
        <f>+VLOOKUP($I600,Tabla7[#All],2,FALSE)</f>
        <v>PROGRAMADA</v>
      </c>
      <c r="K600" s="114" t="str">
        <f>IF(VLOOKUP(I600,Tabla7[#All],3,FALSE)=0,"",VLOOKUP(I600,Tabla7[#All],3,FALSE))</f>
        <v/>
      </c>
      <c r="L600" s="35" t="s">
        <v>1306</v>
      </c>
      <c r="M600" s="35" t="s">
        <v>121</v>
      </c>
      <c r="N600" s="35" t="str" cm="1">
        <f t="array" ref="N600">IFERROR(IF(Tabla8[[#This Row],[P/NP]]="NO PROGRAMADA","",_xlfn.TEXTJOIN(", ",TRUE,_xlfn._xlws.FILTER(Tabla4[[#All],[PIEZA]],ISNUMBER(SEARCH(Tabla4[[#All],[PCLAVE]],Tabla8[[#This Row],[DESCRIPCION DE TRABAJO]])),""))),"")</f>
        <v/>
      </c>
      <c r="O600" s="35" t="str" cm="1">
        <f t="array" ref="O600">_xlfn.TEXTJOIN(", ",TRUE,_xlfn._xlws.FILTER(Tabla28[[#All],[PARTE]],ISNUMBER(SEARCH(Tabla28[[#All],[PCLAVE2]],Tabla8[[#This Row],[DESCRIPCION DE TRABAJO]])),""))</f>
        <v/>
      </c>
      <c r="P600" s="303" t="str">
        <f>IFERROR(LEFT(O600, FIND(",", O600)-1), O600)</f>
        <v/>
      </c>
      <c r="Q600" s="303" t="str">
        <f>IFERROR(IF(ISERROR(FIND(",", O600, FIND(",", O600)+1)), RIGHT(O600, LEN(O600)-FIND(",", O600)-1), MID(O600, FIND(",", O600)+2, FIND(",", O600, FIND(",", O600)+1)-FIND(",", O600)-2)), "")</f>
        <v/>
      </c>
      <c r="R600" s="303" t="str">
        <f>IFERROR(RIGHT(O600, LEN(O600)-FIND(",", O600, FIND(",", O600)+1)-1), "")</f>
        <v/>
      </c>
      <c r="S600" s="35" t="str" cm="1">
        <f t="array" ref="S600">_xlfn.TEXTJOIN(", ",TRUE,_xlfn._xlws.FILTER(Tabla29[[#All],[PARTE]],ISNUMBER(SEARCH(Tabla29[[#All],[PCLAVE3]],Tabla8[[#This Row],[DESCRIPCION DE TRABAJO]])),""))</f>
        <v/>
      </c>
      <c r="T600" s="34" t="str">
        <f>IF(AND(Tabla8[[#This Row],[PIEZA]]="",Tabla8[[#This Row],[PARTE]]=""),"VACIO","OK")</f>
        <v>VACIO</v>
      </c>
      <c r="U600" s="303" t="str">
        <f>+CONCATENATE(WEEKNUM(Tabla8[[#This Row],[FECHA]]),"-",YEAR(Tabla8[[#This Row],[FECHA]]))</f>
        <v>12-2026</v>
      </c>
    </row>
    <row r="601" spans="1:21" ht="15" customHeight="1">
      <c r="A601" s="22">
        <v>46097</v>
      </c>
      <c r="B601" s="16" t="s">
        <v>88</v>
      </c>
      <c r="C601" s="10" t="s">
        <v>39</v>
      </c>
      <c r="D601" s="381">
        <v>0.9375</v>
      </c>
      <c r="E601" s="381">
        <v>0.95833333333333337</v>
      </c>
      <c r="F601" s="380">
        <f>+MOD(Tabla8[[#This Row],[HR. FIN]]-Tabla8[[#This Row],[HR. INICIO]],1)</f>
        <v>2.083333333333337E-2</v>
      </c>
      <c r="G601" s="16" t="s">
        <v>241</v>
      </c>
      <c r="H601" s="343" t="str">
        <f>IFERROR(VLOOKUP(G601,DATOS!$M$2:$N$219,2,FALSE),"")</f>
        <v>Maquinaria</v>
      </c>
      <c r="I601" s="115" t="s">
        <v>28</v>
      </c>
      <c r="J601" s="115" t="str">
        <f>+VLOOKUP($I601,Tabla7[#All],2,FALSE)</f>
        <v>NO PROGRAMADA</v>
      </c>
      <c r="K601" s="114" t="s">
        <v>93</v>
      </c>
      <c r="L601" s="35" t="s">
        <v>1307</v>
      </c>
      <c r="M601" s="35" t="s">
        <v>1308</v>
      </c>
      <c r="N601" s="35" t="str" cm="1">
        <f t="array" ref="N601">IFERROR(IF(Tabla8[[#This Row],[P/NP]]="NO PROGRAMADA","",_xlfn.TEXTJOIN(", ",TRUE,_xlfn._xlws.FILTER(Tabla4[[#All],[PIEZA]],ISNUMBER(SEARCH(Tabla4[[#All],[PCLAVE]],Tabla8[[#This Row],[DESCRIPCION DE TRABAJO]])),""))),"")</f>
        <v/>
      </c>
      <c r="O601" s="35" t="str" cm="1">
        <f t="array" ref="O601">_xlfn.TEXTJOIN(", ",TRUE,_xlfn._xlws.FILTER(Tabla28[[#All],[PARTE]],ISNUMBER(SEARCH(Tabla28[[#All],[PCLAVE2]],Tabla8[[#This Row],[DESCRIPCION DE TRABAJO]])),""))</f>
        <v/>
      </c>
      <c r="P601" s="303" t="str">
        <f>IFERROR(LEFT(O601, FIND(",", O601)-1), O601)</f>
        <v/>
      </c>
      <c r="Q601" s="303" t="str">
        <f>IFERROR(IF(ISERROR(FIND(",", O601, FIND(",", O601)+1)), RIGHT(O601, LEN(O601)-FIND(",", O601)-1), MID(O601, FIND(",", O601)+2, FIND(",", O601, FIND(",", O601)+1)-FIND(",", O601)-2)), "")</f>
        <v/>
      </c>
      <c r="R601" s="303" t="str">
        <f>IFERROR(RIGHT(O601, LEN(O601)-FIND(",", O601, FIND(",", O601)+1)-1), "")</f>
        <v/>
      </c>
      <c r="S601" s="35" t="str" cm="1">
        <f t="array" ref="S601">_xlfn.TEXTJOIN(", ",TRUE,_xlfn._xlws.FILTER(Tabla29[[#All],[PARTE]],ISNUMBER(SEARCH(Tabla29[[#All],[PCLAVE3]],Tabla8[[#This Row],[DESCRIPCION DE TRABAJO]])),""))</f>
        <v/>
      </c>
      <c r="T601" s="34" t="str">
        <f>IF(AND(Tabla8[[#This Row],[PIEZA]]="",Tabla8[[#This Row],[PARTE]]=""),"VACIO","OK")</f>
        <v>VACIO</v>
      </c>
      <c r="U601" s="303" t="str">
        <f>+CONCATENATE(WEEKNUM(Tabla8[[#This Row],[FECHA]]),"-",YEAR(Tabla8[[#This Row],[FECHA]]))</f>
        <v>12-2026</v>
      </c>
    </row>
    <row r="602" spans="1:21" ht="15" customHeight="1">
      <c r="A602" s="22">
        <v>46097</v>
      </c>
      <c r="B602" s="16" t="s">
        <v>179</v>
      </c>
      <c r="C602" s="10" t="s">
        <v>36</v>
      </c>
      <c r="D602" s="381">
        <v>0.28472222222222221</v>
      </c>
      <c r="E602" s="381">
        <v>0.30555555555555558</v>
      </c>
      <c r="F602" s="380">
        <f>+MOD(Tabla8[[#This Row],[HR. FIN]]-Tabla8[[#This Row],[HR. INICIO]],1)</f>
        <v>2.083333333333337E-2</v>
      </c>
      <c r="G602" s="16" t="s">
        <v>114</v>
      </c>
      <c r="H602" s="343" t="str">
        <f>IFERROR(VLOOKUP(G602,DATOS!$M$2:$N$219,2,FALSE),"")</f>
        <v>Maquinaria</v>
      </c>
      <c r="I602" s="115" t="s">
        <v>32</v>
      </c>
      <c r="J602" s="115" t="str">
        <f>+VLOOKUP($I602,Tabla7[#All],2,FALSE)</f>
        <v>PROGRAMADA</v>
      </c>
      <c r="K602" s="114" t="str">
        <f>IF(VLOOKUP(I602,Tabla7[#All],3,FALSE)=0,"",VLOOKUP(I602,Tabla7[#All],3,FALSE))</f>
        <v/>
      </c>
      <c r="L602" s="35" t="s">
        <v>1309</v>
      </c>
      <c r="M602" s="35" t="s">
        <v>121</v>
      </c>
      <c r="N602" s="35" t="str" cm="1">
        <f t="array" ref="N602">IFERROR(IF(Tabla8[[#This Row],[P/NP]]="NO PROGRAMADA","",_xlfn.TEXTJOIN(", ",TRUE,_xlfn._xlws.FILTER(Tabla4[[#All],[PIEZA]],ISNUMBER(SEARCH(Tabla4[[#All],[PCLAVE]],Tabla8[[#This Row],[DESCRIPCION DE TRABAJO]])),""))),"")</f>
        <v/>
      </c>
      <c r="O602" s="35" t="str" cm="1">
        <f t="array" ref="O602">_xlfn.TEXTJOIN(", ",TRUE,_xlfn._xlws.FILTER(Tabla28[[#All],[PARTE]],ISNUMBER(SEARCH(Tabla28[[#All],[PCLAVE2]],Tabla8[[#This Row],[DESCRIPCION DE TRABAJO]])),""))</f>
        <v/>
      </c>
      <c r="P602" s="303" t="str">
        <f>IFERROR(LEFT(O602, FIND(",", O602)-1), O602)</f>
        <v/>
      </c>
      <c r="Q602" s="303" t="str">
        <f>IFERROR(IF(ISERROR(FIND(",", O602, FIND(",", O602)+1)), RIGHT(O602, LEN(O602)-FIND(",", O602)-1), MID(O602, FIND(",", O602)+2, FIND(",", O602, FIND(",", O602)+1)-FIND(",", O602)-2)), "")</f>
        <v/>
      </c>
      <c r="R602" s="303" t="str">
        <f>IFERROR(RIGHT(O602, LEN(O602)-FIND(",", O602, FIND(",", O602)+1)-1), "")</f>
        <v/>
      </c>
      <c r="S602" s="35" t="str" cm="1">
        <f t="array" ref="S602">_xlfn.TEXTJOIN(", ",TRUE,_xlfn._xlws.FILTER(Tabla29[[#All],[PARTE]],ISNUMBER(SEARCH(Tabla29[[#All],[PCLAVE3]],Tabla8[[#This Row],[DESCRIPCION DE TRABAJO]])),""))</f>
        <v/>
      </c>
      <c r="T602" s="34" t="str">
        <f>IF(AND(Tabla8[[#This Row],[PIEZA]]="",Tabla8[[#This Row],[PARTE]]=""),"VACIO","OK")</f>
        <v>VACIO</v>
      </c>
      <c r="U602" s="303" t="str">
        <f>+CONCATENATE(WEEKNUM(Tabla8[[#This Row],[FECHA]]),"-",YEAR(Tabla8[[#This Row],[FECHA]]))</f>
        <v>12-2026</v>
      </c>
    </row>
    <row r="603" spans="1:21" ht="15" customHeight="1">
      <c r="A603" s="22">
        <v>46097</v>
      </c>
      <c r="B603" s="16" t="s">
        <v>179</v>
      </c>
      <c r="C603" s="10" t="s">
        <v>36</v>
      </c>
      <c r="D603" s="381">
        <v>0.31944444444444442</v>
      </c>
      <c r="E603" s="381">
        <v>0.34027777777777779</v>
      </c>
      <c r="F603" s="380">
        <f>+MOD(Tabla8[[#This Row],[HR. FIN]]-Tabla8[[#This Row],[HR. INICIO]],1)</f>
        <v>2.083333333333337E-2</v>
      </c>
      <c r="G603" s="16" t="s">
        <v>270</v>
      </c>
      <c r="H603" s="343" t="str">
        <f>IFERROR(VLOOKUP(G603,DATOS!$M$2:$N$219,2,FALSE),"")</f>
        <v>Maquinaria</v>
      </c>
      <c r="I603" s="115" t="s">
        <v>32</v>
      </c>
      <c r="J603" s="115" t="str">
        <f>+VLOOKUP($I603,Tabla7[#All],2,FALSE)</f>
        <v>PROGRAMADA</v>
      </c>
      <c r="K603" s="114" t="str">
        <f>IF(VLOOKUP(I603,Tabla7[#All],3,FALSE)=0,"",VLOOKUP(I603,Tabla7[#All],3,FALSE))</f>
        <v/>
      </c>
      <c r="L603" s="35" t="s">
        <v>1310</v>
      </c>
      <c r="M603" s="35" t="s">
        <v>121</v>
      </c>
      <c r="N603" s="35" t="str" cm="1">
        <f t="array" ref="N603">IFERROR(IF(Tabla8[[#This Row],[P/NP]]="NO PROGRAMADA","",_xlfn.TEXTJOIN(", ",TRUE,_xlfn._xlws.FILTER(Tabla4[[#All],[PIEZA]],ISNUMBER(SEARCH(Tabla4[[#All],[PCLAVE]],Tabla8[[#This Row],[DESCRIPCION DE TRABAJO]])),""))),"")</f>
        <v/>
      </c>
      <c r="O603" s="35" t="str" cm="1">
        <f t="array" ref="O603">_xlfn.TEXTJOIN(", ",TRUE,_xlfn._xlws.FILTER(Tabla28[[#All],[PARTE]],ISNUMBER(SEARCH(Tabla28[[#All],[PCLAVE2]],Tabla8[[#This Row],[DESCRIPCION DE TRABAJO]])),""))</f>
        <v/>
      </c>
      <c r="P603" s="303" t="str">
        <f>IFERROR(LEFT(O603, FIND(",", O603)-1), O603)</f>
        <v/>
      </c>
      <c r="Q603" s="303" t="str">
        <f>IFERROR(IF(ISERROR(FIND(",", O603, FIND(",", O603)+1)), RIGHT(O603, LEN(O603)-FIND(",", O603)-1), MID(O603, FIND(",", O603)+2, FIND(",", O603, FIND(",", O603)+1)-FIND(",", O603)-2)), "")</f>
        <v/>
      </c>
      <c r="R603" s="303" t="str">
        <f>IFERROR(RIGHT(O603, LEN(O603)-FIND(",", O603, FIND(",", O603)+1)-1), "")</f>
        <v/>
      </c>
      <c r="S603" s="35" t="str" cm="1">
        <f t="array" ref="S603">_xlfn.TEXTJOIN(", ",TRUE,_xlfn._xlws.FILTER(Tabla29[[#All],[PARTE]],ISNUMBER(SEARCH(Tabla29[[#All],[PCLAVE3]],Tabla8[[#This Row],[DESCRIPCION DE TRABAJO]])),""))</f>
        <v/>
      </c>
      <c r="T603" s="34" t="str">
        <f>IF(AND(Tabla8[[#This Row],[PIEZA]]="",Tabla8[[#This Row],[PARTE]]=""),"VACIO","OK")</f>
        <v>VACIO</v>
      </c>
      <c r="U603" s="303" t="str">
        <f>+CONCATENATE(WEEKNUM(Tabla8[[#This Row],[FECHA]]),"-",YEAR(Tabla8[[#This Row],[FECHA]]))</f>
        <v>12-2026</v>
      </c>
    </row>
    <row r="604" spans="1:21" ht="15" customHeight="1">
      <c r="A604" s="22">
        <v>46097</v>
      </c>
      <c r="B604" s="16" t="s">
        <v>111</v>
      </c>
      <c r="C604" s="10" t="s">
        <v>23</v>
      </c>
      <c r="D604" s="381">
        <v>0.55555555555555558</v>
      </c>
      <c r="E604" s="381">
        <v>0.57638888888888884</v>
      </c>
      <c r="F604" s="380">
        <f>+MOD(Tabla8[[#This Row],[HR. FIN]]-Tabla8[[#This Row],[HR. INICIO]],1)</f>
        <v>2.0833333333333259E-2</v>
      </c>
      <c r="G604" s="16" t="s">
        <v>119</v>
      </c>
      <c r="H604" s="343" t="str">
        <f>IFERROR(VLOOKUP(G604,DATOS!$M$2:$N$219,2,FALSE),"")</f>
        <v>Maquinaria</v>
      </c>
      <c r="I604" s="115" t="s">
        <v>54</v>
      </c>
      <c r="J604" s="115" t="str">
        <f>+VLOOKUP($I604,Tabla7[#All],2,FALSE)</f>
        <v>PROGRAMADA</v>
      </c>
      <c r="K604" s="114" t="str">
        <f>IF(VLOOKUP(I604,Tabla7[#All],3,FALSE)=0,"",VLOOKUP(I604,Tabla7[#All],3,FALSE))</f>
        <v/>
      </c>
      <c r="L604" s="35" t="s">
        <v>225</v>
      </c>
      <c r="M604" s="35" t="s">
        <v>121</v>
      </c>
      <c r="N604" s="35" t="str" cm="1">
        <f t="array" ref="N604">IFERROR(IF(Tabla8[[#This Row],[P/NP]]="NO PROGRAMADA","",_xlfn.TEXTJOIN(", ",TRUE,_xlfn._xlws.FILTER(Tabla4[[#All],[PIEZA]],ISNUMBER(SEARCH(Tabla4[[#All],[PCLAVE]],Tabla8[[#This Row],[DESCRIPCION DE TRABAJO]])),""))),"")</f>
        <v/>
      </c>
      <c r="O604" s="35" t="str" cm="1">
        <f t="array" ref="O604">_xlfn.TEXTJOIN(", ",TRUE,_xlfn._xlws.FILTER(Tabla28[[#All],[PARTE]],ISNUMBER(SEARCH(Tabla28[[#All],[PCLAVE2]],Tabla8[[#This Row],[DESCRIPCION DE TRABAJO]])),""))</f>
        <v/>
      </c>
      <c r="P604" s="303" t="str">
        <f>IFERROR(LEFT(O604, FIND(",", O604)-1), O604)</f>
        <v/>
      </c>
      <c r="Q604" s="303" t="str">
        <f>IFERROR(IF(ISERROR(FIND(",", O604, FIND(",", O604)+1)), RIGHT(O604, LEN(O604)-FIND(",", O604)-1), MID(O604, FIND(",", O604)+2, FIND(",", O604, FIND(",", O604)+1)-FIND(",", O604)-2)), "")</f>
        <v/>
      </c>
      <c r="R604" s="303" t="str">
        <f>IFERROR(RIGHT(O604, LEN(O604)-FIND(",", O604, FIND(",", O604)+1)-1), "")</f>
        <v/>
      </c>
      <c r="S604" s="35" t="str" cm="1">
        <f t="array" ref="S604">_xlfn.TEXTJOIN(", ",TRUE,_xlfn._xlws.FILTER(Tabla29[[#All],[PARTE]],ISNUMBER(SEARCH(Tabla29[[#All],[PCLAVE3]],Tabla8[[#This Row],[DESCRIPCION DE TRABAJO]])),""))</f>
        <v/>
      </c>
      <c r="T604" s="34" t="str">
        <f>IF(AND(Tabla8[[#This Row],[PIEZA]]="",Tabla8[[#This Row],[PARTE]]=""),"VACIO","OK")</f>
        <v>VACIO</v>
      </c>
      <c r="U604" s="303" t="str">
        <f>+CONCATENATE(WEEKNUM(Tabla8[[#This Row],[FECHA]]),"-",YEAR(Tabla8[[#This Row],[FECHA]]))</f>
        <v>12-2026</v>
      </c>
    </row>
    <row r="605" spans="1:21" ht="15" customHeight="1">
      <c r="A605" s="22">
        <v>46097</v>
      </c>
      <c r="B605" s="16" t="s">
        <v>88</v>
      </c>
      <c r="C605" s="10" t="s">
        <v>39</v>
      </c>
      <c r="D605" s="381">
        <v>0.89583333333333337</v>
      </c>
      <c r="E605" s="381">
        <v>0.91666666666666663</v>
      </c>
      <c r="F605" s="380">
        <f>+MOD(Tabla8[[#This Row],[HR. FIN]]-Tabla8[[#This Row],[HR. INICIO]],1)</f>
        <v>2.0833333333333259E-2</v>
      </c>
      <c r="G605" s="16" t="s">
        <v>119</v>
      </c>
      <c r="H605" s="343" t="str">
        <f>IFERROR(VLOOKUP(G605,DATOS!$M$2:$N$219,2,FALSE),"")</f>
        <v>Maquinaria</v>
      </c>
      <c r="I605" s="115" t="s">
        <v>61</v>
      </c>
      <c r="J605" s="115" t="str">
        <f>+VLOOKUP($I605,Tabla7[#All],2,FALSE)</f>
        <v>PROGRAMADA</v>
      </c>
      <c r="K605" s="114" t="str">
        <f>IF(VLOOKUP(I605,Tabla7[#All],3,FALSE)=0,"",VLOOKUP(I605,Tabla7[#All],3,FALSE))</f>
        <v/>
      </c>
      <c r="L605" s="35" t="s">
        <v>1311</v>
      </c>
      <c r="M605" s="35" t="s">
        <v>1312</v>
      </c>
      <c r="N605" s="35" t="str" cm="1">
        <f t="array" ref="N605">IFERROR(IF(Tabla8[[#This Row],[P/NP]]="NO PROGRAMADA","",_xlfn.TEXTJOIN(", ",TRUE,_xlfn._xlws.FILTER(Tabla4[[#All],[PIEZA]],ISNUMBER(SEARCH(Tabla4[[#All],[PCLAVE]],Tabla8[[#This Row],[DESCRIPCION DE TRABAJO]])),""))),"")</f>
        <v>Husillo, Husillo</v>
      </c>
      <c r="O605" s="35" t="str" cm="1">
        <f t="array" ref="O605">_xlfn.TEXTJOIN(", ",TRUE,_xlfn._xlws.FILTER(Tabla28[[#All],[PARTE]],ISNUMBER(SEARCH(Tabla28[[#All],[PCLAVE2]],Tabla8[[#This Row],[DESCRIPCION DE TRABAJO]])),""))</f>
        <v/>
      </c>
      <c r="P605" s="303" t="str">
        <f>IFERROR(LEFT(O605, FIND(",", O605)-1), O605)</f>
        <v/>
      </c>
      <c r="Q605" s="303" t="str">
        <f>IFERROR(IF(ISERROR(FIND(",", O605, FIND(",", O605)+1)), RIGHT(O605, LEN(O605)-FIND(",", O605)-1), MID(O605, FIND(",", O605)+2, FIND(",", O605, FIND(",", O605)+1)-FIND(",", O605)-2)), "")</f>
        <v/>
      </c>
      <c r="R605" s="303" t="str">
        <f>IFERROR(RIGHT(O605, LEN(O605)-FIND(",", O605, FIND(",", O605)+1)-1), "")</f>
        <v/>
      </c>
      <c r="S605" s="35" t="str" cm="1">
        <f t="array" ref="S605">_xlfn.TEXTJOIN(", ",TRUE,_xlfn._xlws.FILTER(Tabla29[[#All],[PARTE]],ISNUMBER(SEARCH(Tabla29[[#All],[PCLAVE3]],Tabla8[[#This Row],[DESCRIPCION DE TRABAJO]])),""))</f>
        <v>Sustitucion</v>
      </c>
      <c r="T605" s="34" t="str">
        <f>IF(AND(Tabla8[[#This Row],[PIEZA]]="",Tabla8[[#This Row],[PARTE]]=""),"VACIO","OK")</f>
        <v>OK</v>
      </c>
      <c r="U605" s="303" t="str">
        <f>+CONCATENATE(WEEKNUM(Tabla8[[#This Row],[FECHA]]),"-",YEAR(Tabla8[[#This Row],[FECHA]]))</f>
        <v>12-2026</v>
      </c>
    </row>
    <row r="606" spans="1:21" ht="15" customHeight="1">
      <c r="A606" s="22">
        <v>46097</v>
      </c>
      <c r="B606" s="16" t="s">
        <v>191</v>
      </c>
      <c r="C606" s="10" t="s">
        <v>36</v>
      </c>
      <c r="D606" s="381">
        <v>0.28263888888888888</v>
      </c>
      <c r="E606" s="381">
        <v>0.30069444444444443</v>
      </c>
      <c r="F606" s="380">
        <f>+MOD(Tabla8[[#This Row],[HR. FIN]]-Tabla8[[#This Row],[HR. INICIO]],1)</f>
        <v>1.8055555555555547E-2</v>
      </c>
      <c r="G606" s="16" t="s">
        <v>114</v>
      </c>
      <c r="H606" s="343" t="str">
        <f>IFERROR(VLOOKUP(G606,DATOS!$M$2:$N$219,2,FALSE),"")</f>
        <v>Maquinaria</v>
      </c>
      <c r="I606" s="115" t="s">
        <v>32</v>
      </c>
      <c r="J606" s="115" t="str">
        <f>+VLOOKUP($I606,Tabla7[#All],2,FALSE)</f>
        <v>PROGRAMADA</v>
      </c>
      <c r="K606" s="114" t="str">
        <f>IF(VLOOKUP(I606,Tabla7[#All],3,FALSE)=0,"",VLOOKUP(I606,Tabla7[#All],3,FALSE))</f>
        <v/>
      </c>
      <c r="L606" s="35" t="s">
        <v>371</v>
      </c>
      <c r="M606" s="35" t="s">
        <v>121</v>
      </c>
      <c r="N606" s="35" t="str" cm="1">
        <f t="array" ref="N606">IFERROR(IF(Tabla8[[#This Row],[P/NP]]="NO PROGRAMADA","",_xlfn.TEXTJOIN(", ",TRUE,_xlfn._xlws.FILTER(Tabla4[[#All],[PIEZA]],ISNUMBER(SEARCH(Tabla4[[#All],[PCLAVE]],Tabla8[[#This Row],[DESCRIPCION DE TRABAJO]])),""))),"")</f>
        <v/>
      </c>
      <c r="O606" s="35" t="str" cm="1">
        <f t="array" ref="O606">_xlfn.TEXTJOIN(", ",TRUE,_xlfn._xlws.FILTER(Tabla28[[#All],[PARTE]],ISNUMBER(SEARCH(Tabla28[[#All],[PCLAVE2]],Tabla8[[#This Row],[DESCRIPCION DE TRABAJO]])),""))</f>
        <v/>
      </c>
      <c r="P606" s="303" t="str">
        <f>IFERROR(LEFT(O606, FIND(",", O606)-1), O606)</f>
        <v/>
      </c>
      <c r="Q606" s="303" t="str">
        <f>IFERROR(IF(ISERROR(FIND(",", O606, FIND(",", O606)+1)), RIGHT(O606, LEN(O606)-FIND(",", O606)-1), MID(O606, FIND(",", O606)+2, FIND(",", O606, FIND(",", O606)+1)-FIND(",", O606)-2)), "")</f>
        <v/>
      </c>
      <c r="R606" s="303" t="str">
        <f>IFERROR(RIGHT(O606, LEN(O606)-FIND(",", O606, FIND(",", O606)+1)-1), "")</f>
        <v/>
      </c>
      <c r="S606" s="35" t="str" cm="1">
        <f t="array" ref="S606">_xlfn.TEXTJOIN(", ",TRUE,_xlfn._xlws.FILTER(Tabla29[[#All],[PARTE]],ISNUMBER(SEARCH(Tabla29[[#All],[PCLAVE3]],Tabla8[[#This Row],[DESCRIPCION DE TRABAJO]])),""))</f>
        <v/>
      </c>
      <c r="T606" s="34" t="str">
        <f>IF(AND(Tabla8[[#This Row],[PIEZA]]="",Tabla8[[#This Row],[PARTE]]=""),"VACIO","OK")</f>
        <v>VACIO</v>
      </c>
      <c r="U606" s="303" t="str">
        <f>+CONCATENATE(WEEKNUM(Tabla8[[#This Row],[FECHA]]),"-",YEAR(Tabla8[[#This Row],[FECHA]]))</f>
        <v>12-2026</v>
      </c>
    </row>
    <row r="607" spans="1:21" ht="15" customHeight="1">
      <c r="A607" s="22">
        <v>46097</v>
      </c>
      <c r="B607" s="16" t="s">
        <v>191</v>
      </c>
      <c r="C607" s="10" t="s">
        <v>36</v>
      </c>
      <c r="D607" s="381">
        <v>0.32222222222222224</v>
      </c>
      <c r="E607" s="381">
        <v>0.34027777777777779</v>
      </c>
      <c r="F607" s="380">
        <f>+MOD(Tabla8[[#This Row],[HR. FIN]]-Tabla8[[#This Row],[HR. INICIO]],1)</f>
        <v>1.8055555555555547E-2</v>
      </c>
      <c r="G607" s="16" t="s">
        <v>312</v>
      </c>
      <c r="H607" s="343" t="str">
        <f>IFERROR(VLOOKUP(G607,DATOS!$M$2:$N$219,2,FALSE),"")</f>
        <v>Maquinaria</v>
      </c>
      <c r="I607" s="115" t="s">
        <v>32</v>
      </c>
      <c r="J607" s="115" t="str">
        <f>+VLOOKUP($I607,Tabla7[#All],2,FALSE)</f>
        <v>PROGRAMADA</v>
      </c>
      <c r="K607" s="114" t="str">
        <f>IF(VLOOKUP(I607,Tabla7[#All],3,FALSE)=0,"",VLOOKUP(I607,Tabla7[#All],3,FALSE))</f>
        <v/>
      </c>
      <c r="L607" s="35" t="s">
        <v>1313</v>
      </c>
      <c r="M607" s="35" t="s">
        <v>121</v>
      </c>
      <c r="N607" s="35" t="str" cm="1">
        <f t="array" ref="N607">IFERROR(IF(Tabla8[[#This Row],[P/NP]]="NO PROGRAMADA","",_xlfn.TEXTJOIN(", ",TRUE,_xlfn._xlws.FILTER(Tabla4[[#All],[PIEZA]],ISNUMBER(SEARCH(Tabla4[[#All],[PCLAVE]],Tabla8[[#This Row],[DESCRIPCION DE TRABAJO]])),""))),"")</f>
        <v>Polin De Arrastre, Tapa</v>
      </c>
      <c r="O607" s="35" t="str" cm="1">
        <f t="array" ref="O607">_xlfn.TEXTJOIN(", ",TRUE,_xlfn._xlws.FILTER(Tabla28[[#All],[PARTE]],ISNUMBER(SEARCH(Tabla28[[#All],[PCLAVE2]],Tabla8[[#This Row],[DESCRIPCION DE TRABAJO]])),""))</f>
        <v/>
      </c>
      <c r="P607" s="303" t="str">
        <f>IFERROR(LEFT(O607, FIND(",", O607)-1), O607)</f>
        <v/>
      </c>
      <c r="Q607" s="303" t="str">
        <f>IFERROR(IF(ISERROR(FIND(",", O607, FIND(",", O607)+1)), RIGHT(O607, LEN(O607)-FIND(",", O607)-1), MID(O607, FIND(",", O607)+2, FIND(",", O607, FIND(",", O607)+1)-FIND(",", O607)-2)), "")</f>
        <v/>
      </c>
      <c r="R607" s="303" t="str">
        <f>IFERROR(RIGHT(O607, LEN(O607)-FIND(",", O607, FIND(",", O607)+1)-1), "")</f>
        <v/>
      </c>
      <c r="S607" s="35" t="str" cm="1">
        <f t="array" ref="S607">_xlfn.TEXTJOIN(", ",TRUE,_xlfn._xlws.FILTER(Tabla29[[#All],[PARTE]],ISNUMBER(SEARCH(Tabla29[[#All],[PCLAVE3]],Tabla8[[#This Row],[DESCRIPCION DE TRABAJO]])),""))</f>
        <v>Sustitucion</v>
      </c>
      <c r="T607" s="34" t="str">
        <f>IF(AND(Tabla8[[#This Row],[PIEZA]]="",Tabla8[[#This Row],[PARTE]]=""),"VACIO","OK")</f>
        <v>OK</v>
      </c>
      <c r="U607" s="303" t="str">
        <f>+CONCATENATE(WEEKNUM(Tabla8[[#This Row],[FECHA]]),"-",YEAR(Tabla8[[#This Row],[FECHA]]))</f>
        <v>12-2026</v>
      </c>
    </row>
    <row r="608" spans="1:21" ht="15" customHeight="1">
      <c r="A608" s="22">
        <v>46097</v>
      </c>
      <c r="B608" s="16" t="s">
        <v>111</v>
      </c>
      <c r="C608" s="10" t="s">
        <v>23</v>
      </c>
      <c r="D608" s="381">
        <v>0.69097222222222221</v>
      </c>
      <c r="E608" s="381">
        <v>0.70833333333333337</v>
      </c>
      <c r="F608" s="380">
        <f>+MOD(Tabla8[[#This Row],[HR. FIN]]-Tabla8[[#This Row],[HR. INICIO]],1)</f>
        <v>1.736111111111116E-2</v>
      </c>
      <c r="G608" s="16" t="s">
        <v>119</v>
      </c>
      <c r="H608" s="343" t="str">
        <f>IFERROR(VLOOKUP(G608,DATOS!$M$2:$N$219,2,FALSE),"")</f>
        <v>Maquinaria</v>
      </c>
      <c r="I608" s="115" t="s">
        <v>32</v>
      </c>
      <c r="J608" s="115" t="s">
        <v>92</v>
      </c>
      <c r="K608" s="114" t="s">
        <v>93</v>
      </c>
      <c r="L608" s="35" t="s">
        <v>1314</v>
      </c>
      <c r="M608" s="35" t="s">
        <v>1315</v>
      </c>
      <c r="N608" s="35" t="str" cm="1">
        <f t="array" ref="N608">IFERROR(IF(Tabla8[[#This Row],[P/NP]]="NO PROGRAMADA","",_xlfn.TEXTJOIN(", ",TRUE,_xlfn._xlws.FILTER(Tabla4[[#All],[PIEZA]],ISNUMBER(SEARCH(Tabla4[[#All],[PCLAVE]],Tabla8[[#This Row],[DESCRIPCION DE TRABAJO]])),""))),"")</f>
        <v/>
      </c>
      <c r="O608" s="35" t="str" cm="1">
        <f t="array" ref="O608">_xlfn.TEXTJOIN(", ",TRUE,_xlfn._xlws.FILTER(Tabla28[[#All],[PARTE]],ISNUMBER(SEARCH(Tabla28[[#All],[PCLAVE2]],Tabla8[[#This Row],[DESCRIPCION DE TRABAJO]])),""))</f>
        <v>Temperadora</v>
      </c>
      <c r="P608" s="303" t="str">
        <f>IFERROR(LEFT(O608, FIND(",", O608)-1), O608)</f>
        <v>Temperadora</v>
      </c>
      <c r="Q608" s="303" t="str">
        <f>IFERROR(IF(ISERROR(FIND(",", O608, FIND(",", O608)+1)), RIGHT(O608, LEN(O608)-FIND(",", O608)-1), MID(O608, FIND(",", O608)+2, FIND(",", O608, FIND(",", O608)+1)-FIND(",", O608)-2)), "")</f>
        <v/>
      </c>
      <c r="R608" s="303" t="str">
        <f>IFERROR(RIGHT(O608, LEN(O608)-FIND(",", O608, FIND(",", O608)+1)-1), "")</f>
        <v/>
      </c>
      <c r="S608" s="35" t="str" cm="1">
        <f t="array" ref="S608">_xlfn.TEXTJOIN(", ",TRUE,_xlfn._xlws.FILTER(Tabla29[[#All],[PARTE]],ISNUMBER(SEARCH(Tabla29[[#All],[PCLAVE3]],Tabla8[[#This Row],[DESCRIPCION DE TRABAJO]])),""))</f>
        <v>Demora</v>
      </c>
      <c r="T608" s="34" t="str">
        <f>IF(AND(Tabla8[[#This Row],[PIEZA]]="",Tabla8[[#This Row],[PARTE]]=""),"VACIO","OK")</f>
        <v>OK</v>
      </c>
      <c r="U608" s="303" t="str">
        <f>+CONCATENATE(WEEKNUM(Tabla8[[#This Row],[FECHA]]),"-",YEAR(Tabla8[[#This Row],[FECHA]]))</f>
        <v>12-2026</v>
      </c>
    </row>
    <row r="609" spans="1:21" ht="15" customHeight="1">
      <c r="A609" s="22">
        <v>46097</v>
      </c>
      <c r="B609" s="16" t="s">
        <v>179</v>
      </c>
      <c r="C609" s="10" t="s">
        <v>36</v>
      </c>
      <c r="D609" s="381">
        <v>0.26041666666666669</v>
      </c>
      <c r="E609" s="381">
        <v>0.27777777777777779</v>
      </c>
      <c r="F609" s="380">
        <f>+MOD(Tabla8[[#This Row],[HR. FIN]]-Tabla8[[#This Row],[HR. INICIO]],1)</f>
        <v>1.7361111111111105E-2</v>
      </c>
      <c r="G609" s="16" t="s">
        <v>91</v>
      </c>
      <c r="H609" s="343" t="str">
        <f>IFERROR(VLOOKUP(G609,DATOS!$M$2:$N$219,2,FALSE),"")</f>
        <v>Area</v>
      </c>
      <c r="I609" s="115" t="s">
        <v>405</v>
      </c>
      <c r="J609" s="115" t="s">
        <v>92</v>
      </c>
      <c r="K609" s="114" t="str">
        <f>IF(VLOOKUP(I609,Tabla7[#All],3,FALSE)=0,"",VLOOKUP(I609,Tabla7[#All],3,FALSE))</f>
        <v/>
      </c>
      <c r="L609" s="35" t="s">
        <v>1316</v>
      </c>
      <c r="M609" s="35" t="s">
        <v>1317</v>
      </c>
      <c r="N609" s="35" t="str" cm="1">
        <f t="array" ref="N609">IFERROR(IF(Tabla8[[#This Row],[P/NP]]="NO PROGRAMADA","",_xlfn.TEXTJOIN(", ",TRUE,_xlfn._xlws.FILTER(Tabla4[[#All],[PIEZA]],ISNUMBER(SEARCH(Tabla4[[#All],[PCLAVE]],Tabla8[[#This Row],[DESCRIPCION DE TRABAJO]])),""))),"")</f>
        <v/>
      </c>
      <c r="O609" s="35" t="str" cm="1">
        <f t="array" ref="O609">_xlfn.TEXTJOIN(", ",TRUE,_xlfn._xlws.FILTER(Tabla28[[#All],[PARTE]],ISNUMBER(SEARCH(Tabla28[[#All],[PCLAVE2]],Tabla8[[#This Row],[DESCRIPCION DE TRABAJO]])),""))</f>
        <v/>
      </c>
      <c r="P609" s="303" t="str">
        <f>IFERROR(LEFT(O609, FIND(",", O609)-1), O609)</f>
        <v/>
      </c>
      <c r="Q609" s="303" t="str">
        <f>IFERROR(IF(ISERROR(FIND(",", O609, FIND(",", O609)+1)), RIGHT(O609, LEN(O609)-FIND(",", O609)-1), MID(O609, FIND(",", O609)+2, FIND(",", O609, FIND(",", O609)+1)-FIND(",", O609)-2)), "")</f>
        <v/>
      </c>
      <c r="R609" s="303" t="str">
        <f>IFERROR(RIGHT(O609, LEN(O609)-FIND(",", O609, FIND(",", O609)+1)-1), "")</f>
        <v/>
      </c>
      <c r="S609" s="35" t="str" cm="1">
        <f t="array" ref="S609">_xlfn.TEXTJOIN(", ",TRUE,_xlfn._xlws.FILTER(Tabla29[[#All],[PARTE]],ISNUMBER(SEARCH(Tabla29[[#All],[PCLAVE3]],Tabla8[[#This Row],[DESCRIPCION DE TRABAJO]])),""))</f>
        <v/>
      </c>
      <c r="T609" s="34" t="str">
        <f>IF(AND(Tabla8[[#This Row],[PIEZA]]="",Tabla8[[#This Row],[PARTE]]=""),"VACIO","OK")</f>
        <v>VACIO</v>
      </c>
      <c r="U609" s="303" t="str">
        <f>+CONCATENATE(WEEKNUM(Tabla8[[#This Row],[FECHA]]),"-",YEAR(Tabla8[[#This Row],[FECHA]]))</f>
        <v>12-2026</v>
      </c>
    </row>
    <row r="610" spans="1:21" ht="15" customHeight="1">
      <c r="A610" s="22">
        <v>46097</v>
      </c>
      <c r="B610" s="16" t="s">
        <v>111</v>
      </c>
      <c r="C610" s="10" t="s">
        <v>23</v>
      </c>
      <c r="D610" s="381">
        <v>0.61805555555555558</v>
      </c>
      <c r="E610" s="381">
        <v>0.63541666666666663</v>
      </c>
      <c r="F610" s="380">
        <f>+MOD(Tabla8[[#This Row],[HR. FIN]]-Tabla8[[#This Row],[HR. INICIO]],1)</f>
        <v>1.7361111111111049E-2</v>
      </c>
      <c r="G610" s="16" t="s">
        <v>114</v>
      </c>
      <c r="H610" s="343" t="str">
        <f>IFERROR(VLOOKUP(G610,DATOS!$M$2:$N$219,2,FALSE),"")</f>
        <v>Maquinaria</v>
      </c>
      <c r="I610" s="115" t="s">
        <v>32</v>
      </c>
      <c r="J610" s="115" t="str">
        <f>+VLOOKUP($I610,Tabla7[#All],2,FALSE)</f>
        <v>PROGRAMADA</v>
      </c>
      <c r="K610" s="114" t="str">
        <f>IF(VLOOKUP(I610,Tabla7[#All],3,FALSE)=0,"",VLOOKUP(I610,Tabla7[#All],3,FALSE))</f>
        <v/>
      </c>
      <c r="L610" s="35" t="s">
        <v>449</v>
      </c>
      <c r="M610" s="35" t="s">
        <v>121</v>
      </c>
      <c r="N610" s="35" t="str" cm="1">
        <f t="array" ref="N610">IFERROR(IF(Tabla8[[#This Row],[P/NP]]="NO PROGRAMADA","",_xlfn.TEXTJOIN(", ",TRUE,_xlfn._xlws.FILTER(Tabla4[[#All],[PIEZA]],ISNUMBER(SEARCH(Tabla4[[#All],[PCLAVE]],Tabla8[[#This Row],[DESCRIPCION DE TRABAJO]])),""))),"")</f>
        <v/>
      </c>
      <c r="O610" s="35" t="str" cm="1">
        <f t="array" ref="O610">_xlfn.TEXTJOIN(", ",TRUE,_xlfn._xlws.FILTER(Tabla28[[#All],[PARTE]],ISNUMBER(SEARCH(Tabla28[[#All],[PCLAVE2]],Tabla8[[#This Row],[DESCRIPCION DE TRABAJO]])),""))</f>
        <v/>
      </c>
      <c r="P610" s="303" t="str">
        <f>IFERROR(LEFT(O610, FIND(",", O610)-1), O610)</f>
        <v/>
      </c>
      <c r="Q610" s="303" t="str">
        <f>IFERROR(IF(ISERROR(FIND(",", O610, FIND(",", O610)+1)), RIGHT(O610, LEN(O610)-FIND(",", O610)-1), MID(O610, FIND(",", O610)+2, FIND(",", O610, FIND(",", O610)+1)-FIND(",", O610)-2)), "")</f>
        <v/>
      </c>
      <c r="R610" s="303" t="str">
        <f>IFERROR(RIGHT(O610, LEN(O610)-FIND(",", O610, FIND(",", O610)+1)-1), "")</f>
        <v/>
      </c>
      <c r="S610" s="35" t="str" cm="1">
        <f t="array" ref="S610">_xlfn.TEXTJOIN(", ",TRUE,_xlfn._xlws.FILTER(Tabla29[[#All],[PARTE]],ISNUMBER(SEARCH(Tabla29[[#All],[PCLAVE3]],Tabla8[[#This Row],[DESCRIPCION DE TRABAJO]])),""))</f>
        <v/>
      </c>
      <c r="T610" s="34" t="str">
        <f>IF(AND(Tabla8[[#This Row],[PIEZA]]="",Tabla8[[#This Row],[PARTE]]=""),"VACIO","OK")</f>
        <v>VACIO</v>
      </c>
      <c r="U610" s="303" t="str">
        <f>+CONCATENATE(WEEKNUM(Tabla8[[#This Row],[FECHA]]),"-",YEAR(Tabla8[[#This Row],[FECHA]]))</f>
        <v>12-2026</v>
      </c>
    </row>
    <row r="611" spans="1:21" ht="15" customHeight="1">
      <c r="A611" s="22">
        <v>46097</v>
      </c>
      <c r="B611" s="16" t="s">
        <v>191</v>
      </c>
      <c r="C611" s="10" t="s">
        <v>36</v>
      </c>
      <c r="D611" s="381">
        <v>0.30277777777777776</v>
      </c>
      <c r="E611" s="381">
        <v>0.31874999999999998</v>
      </c>
      <c r="F611" s="380">
        <f>+MOD(Tabla8[[#This Row],[HR. FIN]]-Tabla8[[#This Row],[HR. INICIO]],1)</f>
        <v>1.5972222222222221E-2</v>
      </c>
      <c r="G611" s="16" t="s">
        <v>31</v>
      </c>
      <c r="H611" s="343" t="str">
        <f>IFERROR(VLOOKUP(G611,DATOS!$M$2:$N$219,2,FALSE),"")</f>
        <v>Maquinaria</v>
      </c>
      <c r="I611" s="115" t="s">
        <v>32</v>
      </c>
      <c r="J611" s="115" t="str">
        <f>+VLOOKUP($I611,Tabla7[#All],2,FALSE)</f>
        <v>PROGRAMADA</v>
      </c>
      <c r="K611" s="114" t="str">
        <f>IF(VLOOKUP(I611,Tabla7[#All],3,FALSE)=0,"",VLOOKUP(I611,Tabla7[#All],3,FALSE))</f>
        <v/>
      </c>
      <c r="L611" s="35" t="s">
        <v>375</v>
      </c>
      <c r="M611" s="35" t="s">
        <v>121</v>
      </c>
      <c r="N611" s="35" t="str" cm="1">
        <f t="array" ref="N611">IFERROR(IF(Tabla8[[#This Row],[P/NP]]="NO PROGRAMADA","",_xlfn.TEXTJOIN(", ",TRUE,_xlfn._xlws.FILTER(Tabla4[[#All],[PIEZA]],ISNUMBER(SEARCH(Tabla4[[#All],[PCLAVE]],Tabla8[[#This Row],[DESCRIPCION DE TRABAJO]])),""))),"")</f>
        <v/>
      </c>
      <c r="O611" s="35" t="str" cm="1">
        <f t="array" ref="O611">_xlfn.TEXTJOIN(", ",TRUE,_xlfn._xlws.FILTER(Tabla28[[#All],[PARTE]],ISNUMBER(SEARCH(Tabla28[[#All],[PCLAVE2]],Tabla8[[#This Row],[DESCRIPCION DE TRABAJO]])),""))</f>
        <v/>
      </c>
      <c r="P611" s="303" t="str">
        <f>IFERROR(LEFT(O611, FIND(",", O611)-1), O611)</f>
        <v/>
      </c>
      <c r="Q611" s="303" t="str">
        <f>IFERROR(IF(ISERROR(FIND(",", O611, FIND(",", O611)+1)), RIGHT(O611, LEN(O611)-FIND(",", O611)-1), MID(O611, FIND(",", O611)+2, FIND(",", O611, FIND(",", O611)+1)-FIND(",", O611)-2)), "")</f>
        <v/>
      </c>
      <c r="R611" s="303" t="str">
        <f>IFERROR(RIGHT(O611, LEN(O611)-FIND(",", O611, FIND(",", O611)+1)-1), "")</f>
        <v/>
      </c>
      <c r="S611" s="35" t="str" cm="1">
        <f t="array" ref="S611">_xlfn.TEXTJOIN(", ",TRUE,_xlfn._xlws.FILTER(Tabla29[[#All],[PARTE]],ISNUMBER(SEARCH(Tabla29[[#All],[PCLAVE3]],Tabla8[[#This Row],[DESCRIPCION DE TRABAJO]])),""))</f>
        <v/>
      </c>
      <c r="T611" s="34" t="str">
        <f>IF(AND(Tabla8[[#This Row],[PIEZA]]="",Tabla8[[#This Row],[PARTE]]=""),"VACIO","OK")</f>
        <v>VACIO</v>
      </c>
      <c r="U611" s="303" t="str">
        <f>+CONCATENATE(WEEKNUM(Tabla8[[#This Row],[FECHA]]),"-",YEAR(Tabla8[[#This Row],[FECHA]]))</f>
        <v>12-2026</v>
      </c>
    </row>
    <row r="612" spans="1:21" ht="15" customHeight="1">
      <c r="A612" s="22">
        <v>46097</v>
      </c>
      <c r="B612" s="16" t="s">
        <v>179</v>
      </c>
      <c r="C612" s="10" t="s">
        <v>36</v>
      </c>
      <c r="D612" s="381">
        <v>0.34722222222222221</v>
      </c>
      <c r="E612" s="381">
        <v>0.3611111111111111</v>
      </c>
      <c r="F612" s="380">
        <f>+MOD(Tabla8[[#This Row],[HR. FIN]]-Tabla8[[#This Row],[HR. INICIO]],1)</f>
        <v>1.3888888888888895E-2</v>
      </c>
      <c r="G612" s="16" t="s">
        <v>312</v>
      </c>
      <c r="H612" s="343" t="str">
        <f>IFERROR(VLOOKUP(G612,DATOS!$M$2:$N$219,2,FALSE),"")</f>
        <v>Maquinaria</v>
      </c>
      <c r="I612" s="115" t="s">
        <v>32</v>
      </c>
      <c r="J612" s="115" t="str">
        <f>+VLOOKUP($I612,Tabla7[#All],2,FALSE)</f>
        <v>PROGRAMADA</v>
      </c>
      <c r="K612" s="114" t="str">
        <f>IF(VLOOKUP(I612,Tabla7[#All],3,FALSE)=0,"",VLOOKUP(I612,Tabla7[#All],3,FALSE))</f>
        <v/>
      </c>
      <c r="L612" s="35" t="s">
        <v>1318</v>
      </c>
      <c r="M612" s="35" t="s">
        <v>121</v>
      </c>
      <c r="N612" s="35" t="str" cm="1">
        <f t="array" ref="N612">IFERROR(IF(Tabla8[[#This Row],[P/NP]]="NO PROGRAMADA","",_xlfn.TEXTJOIN(", ",TRUE,_xlfn._xlws.FILTER(Tabla4[[#All],[PIEZA]],ISNUMBER(SEARCH(Tabla4[[#All],[PCLAVE]],Tabla8[[#This Row],[DESCRIPCION DE TRABAJO]])),""))),"")</f>
        <v>Polin De Arrastre, Rascador, Rascador</v>
      </c>
      <c r="O612" s="35" t="str" cm="1">
        <f t="array" ref="O612">_xlfn.TEXTJOIN(", ",TRUE,_xlfn._xlws.FILTER(Tabla28[[#All],[PARTE]],ISNUMBER(SEARCH(Tabla28[[#All],[PCLAVE2]],Tabla8[[#This Row],[DESCRIPCION DE TRABAJO]])),""))</f>
        <v/>
      </c>
      <c r="P612" s="303" t="str">
        <f>IFERROR(LEFT(O612, FIND(",", O612)-1), O612)</f>
        <v/>
      </c>
      <c r="Q612" s="303" t="str">
        <f>IFERROR(IF(ISERROR(FIND(",", O612, FIND(",", O612)+1)), RIGHT(O612, LEN(O612)-FIND(",", O612)-1), MID(O612, FIND(",", O612)+2, FIND(",", O612, FIND(",", O612)+1)-FIND(",", O612)-2)), "")</f>
        <v/>
      </c>
      <c r="R612" s="303" t="str">
        <f>IFERROR(RIGHT(O612, LEN(O612)-FIND(",", O612, FIND(",", O612)+1)-1), "")</f>
        <v/>
      </c>
      <c r="S612" s="35" t="str" cm="1">
        <f t="array" ref="S612">_xlfn.TEXTJOIN(", ",TRUE,_xlfn._xlws.FILTER(Tabla29[[#All],[PARTE]],ISNUMBER(SEARCH(Tabla29[[#All],[PCLAVE3]],Tabla8[[#This Row],[DESCRIPCION DE TRABAJO]])),""))</f>
        <v/>
      </c>
      <c r="T612" s="34" t="str">
        <f>IF(AND(Tabla8[[#This Row],[PIEZA]]="",Tabla8[[#This Row],[PARTE]]=""),"VACIO","OK")</f>
        <v>OK</v>
      </c>
      <c r="U612" s="303" t="str">
        <f>+CONCATENATE(WEEKNUM(Tabla8[[#This Row],[FECHA]]),"-",YEAR(Tabla8[[#This Row],[FECHA]]))</f>
        <v>12-2026</v>
      </c>
    </row>
    <row r="613" spans="1:21" ht="15" customHeight="1">
      <c r="A613" s="22">
        <v>46097</v>
      </c>
      <c r="B613" s="16" t="s">
        <v>191</v>
      </c>
      <c r="C613" s="10" t="s">
        <v>36</v>
      </c>
      <c r="D613" s="381">
        <v>0.35902777777777778</v>
      </c>
      <c r="E613" s="381">
        <v>0.37222222222222223</v>
      </c>
      <c r="F613" s="380">
        <f>+MOD(Tabla8[[#This Row],[HR. FIN]]-Tabla8[[#This Row],[HR. INICIO]],1)</f>
        <v>1.3194444444444453E-2</v>
      </c>
      <c r="G613" s="16" t="s">
        <v>238</v>
      </c>
      <c r="H613" s="343" t="str">
        <f>IFERROR(VLOOKUP(G613,DATOS!$M$2:$N$219,2,FALSE),"")</f>
        <v>Maquinaria</v>
      </c>
      <c r="I613" s="115" t="s">
        <v>32</v>
      </c>
      <c r="J613" s="115" t="s">
        <v>92</v>
      </c>
      <c r="K613" s="114" t="s">
        <v>93</v>
      </c>
      <c r="L613" s="35" t="s">
        <v>1319</v>
      </c>
      <c r="M613" s="35" t="s">
        <v>1320</v>
      </c>
      <c r="N613" s="35" t="str" cm="1">
        <f t="array" ref="N613">IFERROR(IF(Tabla8[[#This Row],[P/NP]]="NO PROGRAMADA","",_xlfn.TEXTJOIN(", ",TRUE,_xlfn._xlws.FILTER(Tabla4[[#All],[PIEZA]],ISNUMBER(SEARCH(Tabla4[[#All],[PCLAVE]],Tabla8[[#This Row],[DESCRIPCION DE TRABAJO]])),""))),"")</f>
        <v/>
      </c>
      <c r="O613" s="35" t="str" cm="1">
        <f t="array" ref="O613">_xlfn.TEXTJOIN(", ",TRUE,_xlfn._xlws.FILTER(Tabla28[[#All],[PARTE]],ISNUMBER(SEARCH(Tabla28[[#All],[PCLAVE2]],Tabla8[[#This Row],[DESCRIPCION DE TRABAJO]])),""))</f>
        <v/>
      </c>
      <c r="P613" s="303" t="str">
        <f>IFERROR(LEFT(O613, FIND(",", O613)-1), O613)</f>
        <v/>
      </c>
      <c r="Q613" s="303" t="str">
        <f>IFERROR(IF(ISERROR(FIND(",", O613, FIND(",", O613)+1)), RIGHT(O613, LEN(O613)-FIND(",", O613)-1), MID(O613, FIND(",", O613)+2, FIND(",", O613, FIND(",", O613)+1)-FIND(",", O613)-2)), "")</f>
        <v/>
      </c>
      <c r="R613" s="303" t="str">
        <f>IFERROR(RIGHT(O613, LEN(O613)-FIND(",", O613, FIND(",", O613)+1)-1), "")</f>
        <v/>
      </c>
      <c r="S613" s="35" t="str" cm="1">
        <f t="array" ref="S613">_xlfn.TEXTJOIN(", ",TRUE,_xlfn._xlws.FILTER(Tabla29[[#All],[PARTE]],ISNUMBER(SEARCH(Tabla29[[#All],[PCLAVE3]],Tabla8[[#This Row],[DESCRIPCION DE TRABAJO]])),""))</f>
        <v>Apagado, Seco</v>
      </c>
      <c r="T613" s="34" t="str">
        <f>IF(AND(Tabla8[[#This Row],[PIEZA]]="",Tabla8[[#This Row],[PARTE]]=""),"VACIO","OK")</f>
        <v>VACIO</v>
      </c>
      <c r="U613" s="303" t="str">
        <f>+CONCATENATE(WEEKNUM(Tabla8[[#This Row],[FECHA]]),"-",YEAR(Tabla8[[#This Row],[FECHA]]))</f>
        <v>12-2026</v>
      </c>
    </row>
    <row r="614" spans="1:21" ht="15" customHeight="1">
      <c r="A614" s="22">
        <v>46097</v>
      </c>
      <c r="B614" s="16" t="s">
        <v>191</v>
      </c>
      <c r="C614" s="10" t="s">
        <v>36</v>
      </c>
      <c r="D614" s="381">
        <v>0.34375</v>
      </c>
      <c r="E614" s="381">
        <v>0.35486111111111113</v>
      </c>
      <c r="F614" s="380">
        <f>+MOD(Tabla8[[#This Row],[HR. FIN]]-Tabla8[[#This Row],[HR. INICIO]],1)</f>
        <v>1.1111111111111127E-2</v>
      </c>
      <c r="G614" s="16" t="s">
        <v>266</v>
      </c>
      <c r="H614" s="343" t="str">
        <f>IFERROR(VLOOKUP(G614,DATOS!$M$2:$N$219,2,FALSE),"")</f>
        <v>Maquinaria</v>
      </c>
      <c r="I614" s="115" t="s">
        <v>32</v>
      </c>
      <c r="J614" s="115" t="str">
        <f>+VLOOKUP($I614,Tabla7[#All],2,FALSE)</f>
        <v>PROGRAMADA</v>
      </c>
      <c r="K614" s="114" t="str">
        <f>IF(VLOOKUP(I614,Tabla7[#All],3,FALSE)=0,"",VLOOKUP(I614,Tabla7[#All],3,FALSE))</f>
        <v/>
      </c>
      <c r="L614" s="35" t="s">
        <v>1321</v>
      </c>
      <c r="M614" s="35" t="s">
        <v>121</v>
      </c>
      <c r="N614" s="35" t="str" cm="1">
        <f t="array" ref="N614">IFERROR(IF(Tabla8[[#This Row],[P/NP]]="NO PROGRAMADA","",_xlfn.TEXTJOIN(", ",TRUE,_xlfn._xlws.FILTER(Tabla4[[#All],[PIEZA]],ISNUMBER(SEARCH(Tabla4[[#All],[PCLAVE]],Tabla8[[#This Row],[DESCRIPCION DE TRABAJO]])),""))),"")</f>
        <v>Banda, Tapa, Tensador</v>
      </c>
      <c r="O614" s="35" t="str" cm="1">
        <f t="array" ref="O614">_xlfn.TEXTJOIN(", ",TRUE,_xlfn._xlws.FILTER(Tabla28[[#All],[PARTE]],ISNUMBER(SEARCH(Tabla28[[#All],[PCLAVE2]],Tabla8[[#This Row],[DESCRIPCION DE TRABAJO]])),""))</f>
        <v/>
      </c>
      <c r="P614" s="303" t="str">
        <f>IFERROR(LEFT(O614, FIND(",", O614)-1), O614)</f>
        <v/>
      </c>
      <c r="Q614" s="303" t="str">
        <f>IFERROR(IF(ISERROR(FIND(",", O614, FIND(",", O614)+1)), RIGHT(O614, LEN(O614)-FIND(",", O614)-1), MID(O614, FIND(",", O614)+2, FIND(",", O614, FIND(",", O614)+1)-FIND(",", O614)-2)), "")</f>
        <v/>
      </c>
      <c r="R614" s="303" t="str">
        <f>IFERROR(RIGHT(O614, LEN(O614)-FIND(",", O614, FIND(",", O614)+1)-1), "")</f>
        <v/>
      </c>
      <c r="S614" s="35" t="str" cm="1">
        <f t="array" ref="S614">_xlfn.TEXTJOIN(", ",TRUE,_xlfn._xlws.FILTER(Tabla29[[#All],[PARTE]],ISNUMBER(SEARCH(Tabla29[[#All],[PCLAVE3]],Tabla8[[#This Row],[DESCRIPCION DE TRABAJO]])),""))</f>
        <v>Soltura, Sustitucion</v>
      </c>
      <c r="T614" s="34" t="str">
        <f>IF(AND(Tabla8[[#This Row],[PIEZA]]="",Tabla8[[#This Row],[PARTE]]=""),"VACIO","OK")</f>
        <v>OK</v>
      </c>
      <c r="U614" s="303" t="str">
        <f>+CONCATENATE(WEEKNUM(Tabla8[[#This Row],[FECHA]]),"-",YEAR(Tabla8[[#This Row],[FECHA]]))</f>
        <v>12-2026</v>
      </c>
    </row>
    <row r="615" spans="1:21" ht="15" customHeight="1">
      <c r="A615" s="22">
        <v>46097</v>
      </c>
      <c r="B615" s="16" t="s">
        <v>111</v>
      </c>
      <c r="C615" s="10" t="s">
        <v>23</v>
      </c>
      <c r="D615" s="381">
        <v>0.54166666666666663</v>
      </c>
      <c r="E615" s="381">
        <v>0.55208333333333337</v>
      </c>
      <c r="F615" s="380">
        <f>+MOD(Tabla8[[#This Row],[HR. FIN]]-Tabla8[[#This Row],[HR. INICIO]],1)</f>
        <v>1.0416666666666741E-2</v>
      </c>
      <c r="G615" s="16" t="s">
        <v>438</v>
      </c>
      <c r="H615" s="343" t="str">
        <f>IFERROR(VLOOKUP(G615,DATOS!$M$2:$N$219,2,FALSE),"")</f>
        <v>Maquinaria</v>
      </c>
      <c r="I615" s="115" t="s">
        <v>245</v>
      </c>
      <c r="J615" s="115" t="str">
        <f>+VLOOKUP($I615,Tabla7[#All],2,FALSE)</f>
        <v>PROGRAMADA</v>
      </c>
      <c r="K615" s="114" t="str">
        <f>IF(VLOOKUP(I615,Tabla7[#All],3,FALSE)=0,"",VLOOKUP(I615,Tabla7[#All],3,FALSE))</f>
        <v/>
      </c>
      <c r="L615" s="35" t="s">
        <v>1322</v>
      </c>
      <c r="M615" s="35" t="s">
        <v>121</v>
      </c>
      <c r="N615" s="35" t="str" cm="1">
        <f t="array" ref="N615">IFERROR(IF(Tabla8[[#This Row],[P/NP]]="NO PROGRAMADA","",_xlfn.TEXTJOIN(", ",TRUE,_xlfn._xlws.FILTER(Tabla4[[#All],[PIEZA]],ISNUMBER(SEARCH(Tabla4[[#All],[PCLAVE]],Tabla8[[#This Row],[DESCRIPCION DE TRABAJO]])),""))),"")</f>
        <v/>
      </c>
      <c r="O615" s="35" t="str" cm="1">
        <f t="array" ref="O615">_xlfn.TEXTJOIN(", ",TRUE,_xlfn._xlws.FILTER(Tabla28[[#All],[PARTE]],ISNUMBER(SEARCH(Tabla28[[#All],[PCLAVE2]],Tabla8[[#This Row],[DESCRIPCION DE TRABAJO]])),""))</f>
        <v/>
      </c>
      <c r="P615" s="303" t="str">
        <f>IFERROR(LEFT(O615, FIND(",", O615)-1), O615)</f>
        <v/>
      </c>
      <c r="Q615" s="303" t="str">
        <f>IFERROR(IF(ISERROR(FIND(",", O615, FIND(",", O615)+1)), RIGHT(O615, LEN(O615)-FIND(",", O615)-1), MID(O615, FIND(",", O615)+2, FIND(",", O615, FIND(",", O615)+1)-FIND(",", O615)-2)), "")</f>
        <v/>
      </c>
      <c r="R615" s="303" t="str">
        <f>IFERROR(RIGHT(O615, LEN(O615)-FIND(",", O615, FIND(",", O615)+1)-1), "")</f>
        <v/>
      </c>
      <c r="S615" s="35" t="str" cm="1">
        <f t="array" ref="S615">_xlfn.TEXTJOIN(", ",TRUE,_xlfn._xlws.FILTER(Tabla29[[#All],[PARTE]],ISNUMBER(SEARCH(Tabla29[[#All],[PCLAVE3]],Tabla8[[#This Row],[DESCRIPCION DE TRABAJO]])),""))</f>
        <v>Lubricacion</v>
      </c>
      <c r="T615" s="34" t="str">
        <f>IF(AND(Tabla8[[#This Row],[PIEZA]]="",Tabla8[[#This Row],[PARTE]]=""),"VACIO","OK")</f>
        <v>VACIO</v>
      </c>
      <c r="U615" s="303" t="str">
        <f>+CONCATENATE(WEEKNUM(Tabla8[[#This Row],[FECHA]]),"-",YEAR(Tabla8[[#This Row],[FECHA]]))</f>
        <v>12-2026</v>
      </c>
    </row>
    <row r="616" spans="1:21" ht="15" customHeight="1">
      <c r="A616" s="22">
        <v>46097</v>
      </c>
      <c r="B616" s="16" t="s">
        <v>191</v>
      </c>
      <c r="C616" s="10" t="s">
        <v>36</v>
      </c>
      <c r="D616" s="381">
        <v>0.38124999999999998</v>
      </c>
      <c r="E616" s="381">
        <v>0.39166666666666666</v>
      </c>
      <c r="F616" s="380">
        <f>+MOD(Tabla8[[#This Row],[HR. FIN]]-Tabla8[[#This Row],[HR. INICIO]],1)</f>
        <v>1.0416666666666685E-2</v>
      </c>
      <c r="G616" s="16" t="s">
        <v>31</v>
      </c>
      <c r="H616" s="343" t="str">
        <f>IFERROR(VLOOKUP(G616,DATOS!$M$2:$N$219,2,FALSE),"")</f>
        <v>Maquinaria</v>
      </c>
      <c r="I616" s="115" t="s">
        <v>32</v>
      </c>
      <c r="J616" s="115" t="str">
        <f>+VLOOKUP($I616,Tabla7[#All],2,FALSE)</f>
        <v>PROGRAMADA</v>
      </c>
      <c r="K616" s="114" t="str">
        <f>IF(VLOOKUP(I616,Tabla7[#All],3,FALSE)=0,"",VLOOKUP(I616,Tabla7[#All],3,FALSE))</f>
        <v/>
      </c>
      <c r="L616" s="35" t="s">
        <v>1323</v>
      </c>
      <c r="M616" s="35" t="s">
        <v>121</v>
      </c>
      <c r="N616" s="35" t="str" cm="1">
        <f t="array" ref="N616">IFERROR(IF(Tabla8[[#This Row],[P/NP]]="NO PROGRAMADA","",_xlfn.TEXTJOIN(", ",TRUE,_xlfn._xlws.FILTER(Tabla4[[#All],[PIEZA]],ISNUMBER(SEARCH(Tabla4[[#All],[PCLAVE]],Tabla8[[#This Row],[DESCRIPCION DE TRABAJO]])),""))),"")</f>
        <v>Cadena</v>
      </c>
      <c r="O616" s="35" t="str" cm="1">
        <f t="array" ref="O616">_xlfn.TEXTJOIN(", ",TRUE,_xlfn._xlws.FILTER(Tabla28[[#All],[PARTE]],ISNUMBER(SEARCH(Tabla28[[#All],[PCLAVE2]],Tabla8[[#This Row],[DESCRIPCION DE TRABAJO]])),""))</f>
        <v/>
      </c>
      <c r="P616" s="303" t="str">
        <f>IFERROR(LEFT(O616, FIND(",", O616)-1), O616)</f>
        <v/>
      </c>
      <c r="Q616" s="303" t="str">
        <f>IFERROR(IF(ISERROR(FIND(",", O616, FIND(",", O616)+1)), RIGHT(O616, LEN(O616)-FIND(",", O616)-1), MID(O616, FIND(",", O616)+2, FIND(",", O616, FIND(",", O616)+1)-FIND(",", O616)-2)), "")</f>
        <v/>
      </c>
      <c r="R616" s="303" t="str">
        <f>IFERROR(RIGHT(O616, LEN(O616)-FIND(",", O616, FIND(",", O616)+1)-1), "")</f>
        <v/>
      </c>
      <c r="S616" s="35" t="str" cm="1">
        <f t="array" ref="S616">_xlfn.TEXTJOIN(", ",TRUE,_xlfn._xlws.FILTER(Tabla29[[#All],[PARTE]],ISNUMBER(SEARCH(Tabla29[[#All],[PCLAVE3]],Tabla8[[#This Row],[DESCRIPCION DE TRABAJO]])),""))</f>
        <v>Sustitucion</v>
      </c>
      <c r="T616" s="34" t="str">
        <f>IF(AND(Tabla8[[#This Row],[PIEZA]]="",Tabla8[[#This Row],[PARTE]]=""),"VACIO","OK")</f>
        <v>OK</v>
      </c>
      <c r="U616" s="303" t="str">
        <f>+CONCATENATE(WEEKNUM(Tabla8[[#This Row],[FECHA]]),"-",YEAR(Tabla8[[#This Row],[FECHA]]))</f>
        <v>12-2026</v>
      </c>
    </row>
    <row r="617" spans="1:21" ht="15" customHeight="1">
      <c r="A617" s="22">
        <v>46097</v>
      </c>
      <c r="B617" s="16" t="s">
        <v>179</v>
      </c>
      <c r="C617" s="10" t="s">
        <v>36</v>
      </c>
      <c r="D617" s="381">
        <v>0.4236111111111111</v>
      </c>
      <c r="E617" s="381">
        <v>0.43402777777777779</v>
      </c>
      <c r="F617" s="380">
        <f>+MOD(Tabla8[[#This Row],[HR. FIN]]-Tabla8[[#This Row],[HR. INICIO]],1)</f>
        <v>1.0416666666666685E-2</v>
      </c>
      <c r="G617" s="16" t="s">
        <v>266</v>
      </c>
      <c r="H617" s="343" t="str">
        <f>IFERROR(VLOOKUP(G617,DATOS!$M$2:$N$219,2,FALSE),"")</f>
        <v>Maquinaria</v>
      </c>
      <c r="I617" s="115" t="s">
        <v>32</v>
      </c>
      <c r="J617" s="115" t="str">
        <f>+VLOOKUP($I617,Tabla7[#All],2,FALSE)</f>
        <v>PROGRAMADA</v>
      </c>
      <c r="K617" s="114" t="str">
        <f>IF(VLOOKUP(I617,Tabla7[#All],3,FALSE)=0,"",VLOOKUP(I617,Tabla7[#All],3,FALSE))</f>
        <v/>
      </c>
      <c r="L617" s="35" t="s">
        <v>1324</v>
      </c>
      <c r="M617" s="35" t="s">
        <v>121</v>
      </c>
      <c r="N617" s="35" t="str" cm="1">
        <f t="array" ref="N617">IFERROR(IF(Tabla8[[#This Row],[P/NP]]="NO PROGRAMADA","",_xlfn.TEXTJOIN(", ",TRUE,_xlfn._xlws.FILTER(Tabla4[[#All],[PIEZA]],ISNUMBER(SEARCH(Tabla4[[#All],[PCLAVE]],Tabla8[[#This Row],[DESCRIPCION DE TRABAJO]])),""))),"")</f>
        <v>Banda</v>
      </c>
      <c r="O617" s="35" t="str" cm="1">
        <f t="array" ref="O617">_xlfn.TEXTJOIN(", ",TRUE,_xlfn._xlws.FILTER(Tabla28[[#All],[PARTE]],ISNUMBER(SEARCH(Tabla28[[#All],[PCLAVE2]],Tabla8[[#This Row],[DESCRIPCION DE TRABAJO]])),""))</f>
        <v/>
      </c>
      <c r="P617" s="303" t="str">
        <f>IFERROR(LEFT(O617, FIND(",", O617)-1), O617)</f>
        <v/>
      </c>
      <c r="Q617" s="303" t="str">
        <f>IFERROR(IF(ISERROR(FIND(",", O617, FIND(",", O617)+1)), RIGHT(O617, LEN(O617)-FIND(",", O617)-1), MID(O617, FIND(",", O617)+2, FIND(",", O617, FIND(",", O617)+1)-FIND(",", O617)-2)), "")</f>
        <v/>
      </c>
      <c r="R617" s="303" t="str">
        <f>IFERROR(RIGHT(O617, LEN(O617)-FIND(",", O617, FIND(",", O617)+1)-1), "")</f>
        <v/>
      </c>
      <c r="S617" s="35" t="str" cm="1">
        <f t="array" ref="S617">_xlfn.TEXTJOIN(", ",TRUE,_xlfn._xlws.FILTER(Tabla29[[#All],[PARTE]],ISNUMBER(SEARCH(Tabla29[[#All],[PCLAVE3]],Tabla8[[#This Row],[DESCRIPCION DE TRABAJO]])),""))</f>
        <v/>
      </c>
      <c r="T617" s="34" t="str">
        <f>IF(AND(Tabla8[[#This Row],[PIEZA]]="",Tabla8[[#This Row],[PARTE]]=""),"VACIO","OK")</f>
        <v>OK</v>
      </c>
      <c r="U617" s="303" t="str">
        <f>+CONCATENATE(WEEKNUM(Tabla8[[#This Row],[FECHA]]),"-",YEAR(Tabla8[[#This Row],[FECHA]]))</f>
        <v>12-2026</v>
      </c>
    </row>
    <row r="618" spans="1:21" ht="15" customHeight="1">
      <c r="A618" s="22">
        <v>46097</v>
      </c>
      <c r="B618" s="16" t="s">
        <v>111</v>
      </c>
      <c r="C618" s="10" t="s">
        <v>23</v>
      </c>
      <c r="D618" s="381">
        <v>0.8125</v>
      </c>
      <c r="E618" s="381">
        <v>0.82291666666666663</v>
      </c>
      <c r="F618" s="380">
        <f>+MOD(Tabla8[[#This Row],[HR. FIN]]-Tabla8[[#This Row],[HR. INICIO]],1)</f>
        <v>1.041666666666663E-2</v>
      </c>
      <c r="G618" s="16" t="s">
        <v>153</v>
      </c>
      <c r="H618" s="343" t="str">
        <f>IFERROR(VLOOKUP(G618,DATOS!$M$2:$N$219,2,FALSE),"")</f>
        <v>Maquinaria</v>
      </c>
      <c r="I618" s="115" t="s">
        <v>32</v>
      </c>
      <c r="J618" s="115" t="str">
        <f>+VLOOKUP($I618,Tabla7[#All],2,FALSE)</f>
        <v>PROGRAMADA</v>
      </c>
      <c r="K618" s="114" t="str">
        <f>IF(VLOOKUP(I618,Tabla7[#All],3,FALSE)=0,"",VLOOKUP(I618,Tabla7[#All],3,FALSE))</f>
        <v/>
      </c>
      <c r="L618" s="35" t="s">
        <v>449</v>
      </c>
      <c r="M618" s="35" t="s">
        <v>121</v>
      </c>
      <c r="N618" s="35" t="str" cm="1">
        <f t="array" ref="N618">IFERROR(IF(Tabla8[[#This Row],[P/NP]]="NO PROGRAMADA","",_xlfn.TEXTJOIN(", ",TRUE,_xlfn._xlws.FILTER(Tabla4[[#All],[PIEZA]],ISNUMBER(SEARCH(Tabla4[[#All],[PCLAVE]],Tabla8[[#This Row],[DESCRIPCION DE TRABAJO]])),""))),"")</f>
        <v/>
      </c>
      <c r="O618" s="35" t="str" cm="1">
        <f t="array" ref="O618">_xlfn.TEXTJOIN(", ",TRUE,_xlfn._xlws.FILTER(Tabla28[[#All],[PARTE]],ISNUMBER(SEARCH(Tabla28[[#All],[PCLAVE2]],Tabla8[[#This Row],[DESCRIPCION DE TRABAJO]])),""))</f>
        <v/>
      </c>
      <c r="P618" s="303" t="str">
        <f>IFERROR(LEFT(O618, FIND(",", O618)-1), O618)</f>
        <v/>
      </c>
      <c r="Q618" s="303" t="str">
        <f>IFERROR(IF(ISERROR(FIND(",", O618, FIND(",", O618)+1)), RIGHT(O618, LEN(O618)-FIND(",", O618)-1), MID(O618, FIND(",", O618)+2, FIND(",", O618, FIND(",", O618)+1)-FIND(",", O618)-2)), "")</f>
        <v/>
      </c>
      <c r="R618" s="303" t="str">
        <f>IFERROR(RIGHT(O618, LEN(O618)-FIND(",", O618, FIND(",", O618)+1)-1), "")</f>
        <v/>
      </c>
      <c r="S618" s="35" t="str" cm="1">
        <f t="array" ref="S618">_xlfn.TEXTJOIN(", ",TRUE,_xlfn._xlws.FILTER(Tabla29[[#All],[PARTE]],ISNUMBER(SEARCH(Tabla29[[#All],[PCLAVE3]],Tabla8[[#This Row],[DESCRIPCION DE TRABAJO]])),""))</f>
        <v/>
      </c>
      <c r="T618" s="34" t="str">
        <f>IF(AND(Tabla8[[#This Row],[PIEZA]]="",Tabla8[[#This Row],[PARTE]]=""),"VACIO","OK")</f>
        <v>VACIO</v>
      </c>
      <c r="U618" s="303" t="str">
        <f>+CONCATENATE(WEEKNUM(Tabla8[[#This Row],[FECHA]]),"-",YEAR(Tabla8[[#This Row],[FECHA]]))</f>
        <v>12-2026</v>
      </c>
    </row>
    <row r="619" spans="1:21" ht="15" customHeight="1">
      <c r="A619" s="22">
        <v>46097</v>
      </c>
      <c r="B619" s="16" t="s">
        <v>111</v>
      </c>
      <c r="C619" s="10" t="s">
        <v>23</v>
      </c>
      <c r="D619" s="381">
        <v>0.82638888888888884</v>
      </c>
      <c r="E619" s="381">
        <v>0.83333333333333337</v>
      </c>
      <c r="F619" s="380">
        <f>+MOD(Tabla8[[#This Row],[HR. FIN]]-Tabla8[[#This Row],[HR. INICIO]],1)</f>
        <v>6.9444444444445308E-3</v>
      </c>
      <c r="G619" s="16" t="s">
        <v>169</v>
      </c>
      <c r="H619" s="343" t="str">
        <f>IFERROR(VLOOKUP(G619,DATOS!$M$2:$N$219,2,FALSE),"")</f>
        <v>Maquinaria</v>
      </c>
      <c r="I619" s="115" t="s">
        <v>32</v>
      </c>
      <c r="J619" s="115" t="str">
        <f>+VLOOKUP($I619,Tabla7[#All],2,FALSE)</f>
        <v>PROGRAMADA</v>
      </c>
      <c r="K619" s="114" t="str">
        <f>IF(VLOOKUP(I619,Tabla7[#All],3,FALSE)=0,"",VLOOKUP(I619,Tabla7[#All],3,FALSE))</f>
        <v/>
      </c>
      <c r="L619" s="35" t="s">
        <v>960</v>
      </c>
      <c r="M619" s="35" t="s">
        <v>121</v>
      </c>
      <c r="N619" s="35" t="str" cm="1">
        <f t="array" ref="N619">IFERROR(IF(Tabla8[[#This Row],[P/NP]]="NO PROGRAMADA","",_xlfn.TEXTJOIN(", ",TRUE,_xlfn._xlws.FILTER(Tabla4[[#All],[PIEZA]],ISNUMBER(SEARCH(Tabla4[[#All],[PCLAVE]],Tabla8[[#This Row],[DESCRIPCION DE TRABAJO]])),""))),"")</f>
        <v/>
      </c>
      <c r="O619" s="35" t="str" cm="1">
        <f t="array" ref="O619">_xlfn.TEXTJOIN(", ",TRUE,_xlfn._xlws.FILTER(Tabla28[[#All],[PARTE]],ISNUMBER(SEARCH(Tabla28[[#All],[PCLAVE2]],Tabla8[[#This Row],[DESCRIPCION DE TRABAJO]])),""))</f>
        <v/>
      </c>
      <c r="P619" s="303" t="str">
        <f>IFERROR(LEFT(O619, FIND(",", O619)-1), O619)</f>
        <v/>
      </c>
      <c r="Q619" s="303" t="str">
        <f>IFERROR(IF(ISERROR(FIND(",", O619, FIND(",", O619)+1)), RIGHT(O619, LEN(O619)-FIND(",", O619)-1), MID(O619, FIND(",", O619)+2, FIND(",", O619, FIND(",", O619)+1)-FIND(",", O619)-2)), "")</f>
        <v/>
      </c>
      <c r="R619" s="303" t="str">
        <f>IFERROR(RIGHT(O619, LEN(O619)-FIND(",", O619, FIND(",", O619)+1)-1), "")</f>
        <v/>
      </c>
      <c r="S619" s="35" t="str" cm="1">
        <f t="array" ref="S619">_xlfn.TEXTJOIN(", ",TRUE,_xlfn._xlws.FILTER(Tabla29[[#All],[PARTE]],ISNUMBER(SEARCH(Tabla29[[#All],[PCLAVE3]],Tabla8[[#This Row],[DESCRIPCION DE TRABAJO]])),""))</f>
        <v/>
      </c>
      <c r="T619" s="34" t="str">
        <f>IF(AND(Tabla8[[#This Row],[PIEZA]]="",Tabla8[[#This Row],[PARTE]]=""),"VACIO","OK")</f>
        <v>VACIO</v>
      </c>
      <c r="U619" s="303" t="str">
        <f>+CONCATENATE(WEEKNUM(Tabla8[[#This Row],[FECHA]]),"-",YEAR(Tabla8[[#This Row],[FECHA]]))</f>
        <v>12-2026</v>
      </c>
    </row>
    <row r="620" spans="1:21" ht="15" customHeight="1">
      <c r="A620" s="22">
        <v>46097</v>
      </c>
      <c r="B620" s="16" t="s">
        <v>111</v>
      </c>
      <c r="C620" s="10" t="s">
        <v>23</v>
      </c>
      <c r="D620" s="381">
        <v>0.75694444444444442</v>
      </c>
      <c r="E620" s="381">
        <v>0.76388888888888884</v>
      </c>
      <c r="F620" s="380">
        <f>+MOD(Tabla8[[#This Row],[HR. FIN]]-Tabla8[[#This Row],[HR. INICIO]],1)</f>
        <v>6.9444444444444198E-3</v>
      </c>
      <c r="G620" s="16" t="s">
        <v>169</v>
      </c>
      <c r="H620" s="343" t="str">
        <f>IFERROR(VLOOKUP(G620,DATOS!$M$2:$N$219,2,FALSE),"")</f>
        <v>Maquinaria</v>
      </c>
      <c r="I620" s="115" t="s">
        <v>32</v>
      </c>
      <c r="J620" s="115" t="str">
        <f>+VLOOKUP($I620,Tabla7[#All],2,FALSE)</f>
        <v>PROGRAMADA</v>
      </c>
      <c r="K620" s="114" t="str">
        <f>IF(VLOOKUP(I620,Tabla7[#All],3,FALSE)=0,"",VLOOKUP(I620,Tabla7[#All],3,FALSE))</f>
        <v/>
      </c>
      <c r="L620" s="35" t="s">
        <v>449</v>
      </c>
      <c r="M620" s="35" t="s">
        <v>121</v>
      </c>
      <c r="N620" s="35" t="str" cm="1">
        <f t="array" ref="N620">IFERROR(IF(Tabla8[[#This Row],[P/NP]]="NO PROGRAMADA","",_xlfn.TEXTJOIN(", ",TRUE,_xlfn._xlws.FILTER(Tabla4[[#All],[PIEZA]],ISNUMBER(SEARCH(Tabla4[[#All],[PCLAVE]],Tabla8[[#This Row],[DESCRIPCION DE TRABAJO]])),""))),"")</f>
        <v/>
      </c>
      <c r="O620" s="35" t="str" cm="1">
        <f t="array" ref="O620">_xlfn.TEXTJOIN(", ",TRUE,_xlfn._xlws.FILTER(Tabla28[[#All],[PARTE]],ISNUMBER(SEARCH(Tabla28[[#All],[PCLAVE2]],Tabla8[[#This Row],[DESCRIPCION DE TRABAJO]])),""))</f>
        <v/>
      </c>
      <c r="P620" s="303" t="str">
        <f>IFERROR(LEFT(O620, FIND(",", O620)-1), O620)</f>
        <v/>
      </c>
      <c r="Q620" s="303" t="str">
        <f>IFERROR(IF(ISERROR(FIND(",", O620, FIND(",", O620)+1)), RIGHT(O620, LEN(O620)-FIND(",", O620)-1), MID(O620, FIND(",", O620)+2, FIND(",", O620, FIND(",", O620)+1)-FIND(",", O620)-2)), "")</f>
        <v/>
      </c>
      <c r="R620" s="303" t="str">
        <f>IFERROR(RIGHT(O620, LEN(O620)-FIND(",", O620, FIND(",", O620)+1)-1), "")</f>
        <v/>
      </c>
      <c r="S620" s="35" t="str" cm="1">
        <f t="array" ref="S620">_xlfn.TEXTJOIN(", ",TRUE,_xlfn._xlws.FILTER(Tabla29[[#All],[PARTE]],ISNUMBER(SEARCH(Tabla29[[#All],[PCLAVE3]],Tabla8[[#This Row],[DESCRIPCION DE TRABAJO]])),""))</f>
        <v/>
      </c>
      <c r="T620" s="34" t="str">
        <f>IF(AND(Tabla8[[#This Row],[PIEZA]]="",Tabla8[[#This Row],[PARTE]]=""),"VACIO","OK")</f>
        <v>VACIO</v>
      </c>
      <c r="U620" s="303" t="str">
        <f>+CONCATENATE(WEEKNUM(Tabla8[[#This Row],[FECHA]]),"-",YEAR(Tabla8[[#This Row],[FECHA]]))</f>
        <v>12-2026</v>
      </c>
    </row>
    <row r="621" spans="1:21" ht="15" customHeight="1">
      <c r="A621" s="22">
        <v>46098</v>
      </c>
      <c r="B621" s="16" t="s">
        <v>111</v>
      </c>
      <c r="C621" s="10" t="s">
        <v>23</v>
      </c>
      <c r="D621" s="381">
        <v>0.63194444444444442</v>
      </c>
      <c r="E621" s="381">
        <v>0.70138888888888884</v>
      </c>
      <c r="F621" s="380">
        <f>+MOD(Tabla8[[#This Row],[HR. FIN]]-Tabla8[[#This Row],[HR. INICIO]],1)</f>
        <v>6.944444444444442E-2</v>
      </c>
      <c r="G621" s="16" t="s">
        <v>140</v>
      </c>
      <c r="H621" s="343" t="str">
        <f>IFERROR(VLOOKUP(G621,DATOS!$M$2:$N$219,2,FALSE),"")</f>
        <v>Maquinaria</v>
      </c>
      <c r="I621" s="115" t="s">
        <v>57</v>
      </c>
      <c r="J621" s="115" t="str">
        <f>+VLOOKUP($I621,Tabla7[#All],2,FALSE)</f>
        <v>NO PROGRAMADA</v>
      </c>
      <c r="K621" s="114" t="str">
        <f>IF(VLOOKUP(I621,Tabla7[#All],3,FALSE)=0,"",VLOOKUP(I621,Tabla7[#All],3,FALSE))</f>
        <v>MECÁNICA</v>
      </c>
      <c r="L621" s="35" t="s">
        <v>1325</v>
      </c>
      <c r="M621" s="35" t="s">
        <v>1326</v>
      </c>
      <c r="N621" s="35" t="str" cm="1">
        <f t="array" ref="N621">IFERROR(IF(Tabla8[[#This Row],[P/NP]]="NO PROGRAMADA","",_xlfn.TEXTJOIN(", ",TRUE,_xlfn._xlws.FILTER(Tabla4[[#All],[PIEZA]],ISNUMBER(SEARCH(Tabla4[[#All],[PCLAVE]],Tabla8[[#This Row],[DESCRIPCION DE TRABAJO]])),""))),"")</f>
        <v/>
      </c>
      <c r="O621" s="35" t="str" cm="1">
        <f t="array" ref="O621">_xlfn.TEXTJOIN(", ",TRUE,_xlfn._xlws.FILTER(Tabla28[[#All],[PARTE]],ISNUMBER(SEARCH(Tabla28[[#All],[PCLAVE2]],Tabla8[[#This Row],[DESCRIPCION DE TRABAJO]])),""))</f>
        <v/>
      </c>
      <c r="P621" s="303" t="str">
        <f>IFERROR(LEFT(O621, FIND(",", O621)-1), O621)</f>
        <v/>
      </c>
      <c r="Q621" s="303" t="str">
        <f>IFERROR(IF(ISERROR(FIND(",", O621, FIND(",", O621)+1)), RIGHT(O621, LEN(O621)-FIND(",", O621)-1), MID(O621, FIND(",", O621)+2, FIND(",", O621, FIND(",", O621)+1)-FIND(",", O621)-2)), "")</f>
        <v/>
      </c>
      <c r="R621" s="303" t="str">
        <f>IFERROR(RIGHT(O621, LEN(O621)-FIND(",", O621, FIND(",", O621)+1)-1), "")</f>
        <v/>
      </c>
      <c r="S621" s="35" t="str" cm="1">
        <f t="array" ref="S621">_xlfn.TEXTJOIN(", ",TRUE,_xlfn._xlws.FILTER(Tabla29[[#All],[PARTE]],ISNUMBER(SEARCH(Tabla29[[#All],[PCLAVE3]],Tabla8[[#This Row],[DESCRIPCION DE TRABAJO]])),""))</f>
        <v/>
      </c>
      <c r="T621" s="34" t="str">
        <f>IF(AND(Tabla8[[#This Row],[PIEZA]]="",Tabla8[[#This Row],[PARTE]]=""),"VACIO","OK")</f>
        <v>VACIO</v>
      </c>
      <c r="U621" s="303" t="str">
        <f>+CONCATENATE(WEEKNUM(Tabla8[[#This Row],[FECHA]]),"-",YEAR(Tabla8[[#This Row],[FECHA]]))</f>
        <v>12-2026</v>
      </c>
    </row>
    <row r="622" spans="1:21" ht="15" customHeight="1">
      <c r="A622" s="22">
        <v>46098</v>
      </c>
      <c r="B622" s="16" t="s">
        <v>179</v>
      </c>
      <c r="C622" s="10" t="s">
        <v>36</v>
      </c>
      <c r="D622" s="381">
        <v>0.53472222222222221</v>
      </c>
      <c r="E622" s="381">
        <v>0.59027777777777779</v>
      </c>
      <c r="F622" s="380">
        <f>+MOD(Tabla8[[#This Row],[HR. FIN]]-Tabla8[[#This Row],[HR. INICIO]],1)</f>
        <v>5.555555555555558E-2</v>
      </c>
      <c r="G622" s="16" t="s">
        <v>328</v>
      </c>
      <c r="H622" s="343" t="str">
        <f>IFERROR(VLOOKUP(G622,DATOS!$M$2:$N$219,2,FALSE),"")</f>
        <v>Area</v>
      </c>
      <c r="I622" s="115" t="s">
        <v>405</v>
      </c>
      <c r="J622" s="115" t="str">
        <f>+VLOOKUP($I622,Tabla7[#All],2,FALSE)</f>
        <v>PROGRAMADA</v>
      </c>
      <c r="K622" s="114" t="str">
        <f>IF(VLOOKUP(I622,Tabla7[#All],3,FALSE)=0,"",VLOOKUP(I622,Tabla7[#All],3,FALSE))</f>
        <v/>
      </c>
      <c r="L622" s="35" t="s">
        <v>1327</v>
      </c>
      <c r="M622" s="35" t="s">
        <v>121</v>
      </c>
      <c r="N622" s="35" t="str" cm="1">
        <f t="array" ref="N622">IFERROR(IF(Tabla8[[#This Row],[P/NP]]="NO PROGRAMADA","",_xlfn.TEXTJOIN(", ",TRUE,_xlfn._xlws.FILTER(Tabla4[[#All],[PIEZA]],ISNUMBER(SEARCH(Tabla4[[#All],[PCLAVE]],Tabla8[[#This Row],[DESCRIPCION DE TRABAJO]])),""))),"")</f>
        <v/>
      </c>
      <c r="O622" s="35" t="str" cm="1">
        <f t="array" ref="O622">_xlfn.TEXTJOIN(", ",TRUE,_xlfn._xlws.FILTER(Tabla28[[#All],[PARTE]],ISNUMBER(SEARCH(Tabla28[[#All],[PCLAVE2]],Tabla8[[#This Row],[DESCRIPCION DE TRABAJO]])),""))</f>
        <v>Sammfill</v>
      </c>
      <c r="P622" s="303" t="str">
        <f>IFERROR(LEFT(O622, FIND(",", O622)-1), O622)</f>
        <v>Sammfill</v>
      </c>
      <c r="Q622" s="303" t="str">
        <f>IFERROR(IF(ISERROR(FIND(",", O622, FIND(",", O622)+1)), RIGHT(O622, LEN(O622)-FIND(",", O622)-1), MID(O622, FIND(",", O622)+2, FIND(",", O622, FIND(",", O622)+1)-FIND(",", O622)-2)), "")</f>
        <v/>
      </c>
      <c r="R622" s="303" t="str">
        <f>IFERROR(RIGHT(O622, LEN(O622)-FIND(",", O622, FIND(",", O622)+1)-1), "")</f>
        <v/>
      </c>
      <c r="S622" s="35" t="str" cm="1">
        <f t="array" ref="S622">_xlfn.TEXTJOIN(", ",TRUE,_xlfn._xlws.FILTER(Tabla29[[#All],[PARTE]],ISNUMBER(SEARCH(Tabla29[[#All],[PCLAVE3]],Tabla8[[#This Row],[DESCRIPCION DE TRABAJO]])),""))</f>
        <v/>
      </c>
      <c r="T622" s="34" t="str">
        <f>IF(AND(Tabla8[[#This Row],[PIEZA]]="",Tabla8[[#This Row],[PARTE]]=""),"VACIO","OK")</f>
        <v>OK</v>
      </c>
      <c r="U622" s="303" t="str">
        <f>+CONCATENATE(WEEKNUM(Tabla8[[#This Row],[FECHA]]),"-",YEAR(Tabla8[[#This Row],[FECHA]]))</f>
        <v>12-2026</v>
      </c>
    </row>
    <row r="623" spans="1:21" ht="15" customHeight="1">
      <c r="A623" s="22">
        <v>46098</v>
      </c>
      <c r="B623" s="16" t="s">
        <v>111</v>
      </c>
      <c r="C623" s="10" t="s">
        <v>23</v>
      </c>
      <c r="D623" s="381">
        <v>0.67361111111111116</v>
      </c>
      <c r="E623" s="381">
        <v>0.72916666666666663</v>
      </c>
      <c r="F623" s="380">
        <f>+MOD(Tabla8[[#This Row],[HR. FIN]]-Tabla8[[#This Row],[HR. INICIO]],1)</f>
        <v>5.5555555555555469E-2</v>
      </c>
      <c r="G623" s="16" t="s">
        <v>31</v>
      </c>
      <c r="H623" s="343" t="str">
        <f>IFERROR(VLOOKUP(G623,DATOS!$M$2:$N$219,2,FALSE),"")</f>
        <v>Maquinaria</v>
      </c>
      <c r="I623" s="115" t="s">
        <v>32</v>
      </c>
      <c r="J623" s="115" t="str">
        <f>+VLOOKUP($I623,Tabla7[#All],2,FALSE)</f>
        <v>PROGRAMADA</v>
      </c>
      <c r="K623" s="114" t="str">
        <f>IF(VLOOKUP(I623,Tabla7[#All],3,FALSE)=0,"",VLOOKUP(I623,Tabla7[#All],3,FALSE))</f>
        <v/>
      </c>
      <c r="L623" s="35" t="s">
        <v>1328</v>
      </c>
      <c r="M623" s="35" t="s">
        <v>1329</v>
      </c>
      <c r="N623" s="35" t="str" cm="1">
        <f t="array" ref="N623">IFERROR(IF(Tabla8[[#This Row],[P/NP]]="NO PROGRAMADA","",_xlfn.TEXTJOIN(", ",TRUE,_xlfn._xlws.FILTER(Tabla4[[#All],[PIEZA]],ISNUMBER(SEARCH(Tabla4[[#All],[PCLAVE]],Tabla8[[#This Row],[DESCRIPCION DE TRABAJO]])),""))),"")</f>
        <v/>
      </c>
      <c r="O623" s="35" t="str" cm="1">
        <f t="array" ref="O623">_xlfn.TEXTJOIN(", ",TRUE,_xlfn._xlws.FILTER(Tabla28[[#All],[PARTE]],ISNUMBER(SEARCH(Tabla28[[#All],[PCLAVE2]],Tabla8[[#This Row],[DESCRIPCION DE TRABAJO]])),""))</f>
        <v/>
      </c>
      <c r="P623" s="303" t="str">
        <f>IFERROR(LEFT(O623, FIND(",", O623)-1), O623)</f>
        <v/>
      </c>
      <c r="Q623" s="303" t="str">
        <f>IFERROR(IF(ISERROR(FIND(",", O623, FIND(",", O623)+1)), RIGHT(O623, LEN(O623)-FIND(",", O623)-1), MID(O623, FIND(",", O623)+2, FIND(",", O623, FIND(",", O623)+1)-FIND(",", O623)-2)), "")</f>
        <v/>
      </c>
      <c r="R623" s="303" t="str">
        <f>IFERROR(RIGHT(O623, LEN(O623)-FIND(",", O623, FIND(",", O623)+1)-1), "")</f>
        <v/>
      </c>
      <c r="S623" s="35" t="str" cm="1">
        <f t="array" ref="S623">_xlfn.TEXTJOIN(", ",TRUE,_xlfn._xlws.FILTER(Tabla29[[#All],[PARTE]],ISNUMBER(SEARCH(Tabla29[[#All],[PCLAVE3]],Tabla8[[#This Row],[DESCRIPCION DE TRABAJO]])),""))</f>
        <v/>
      </c>
      <c r="T623" s="34" t="str">
        <f>IF(AND(Tabla8[[#This Row],[PIEZA]]="",Tabla8[[#This Row],[PARTE]]=""),"VACIO","OK")</f>
        <v>VACIO</v>
      </c>
      <c r="U623" s="303" t="str">
        <f>+CONCATENATE(WEEKNUM(Tabla8[[#This Row],[FECHA]]),"-",YEAR(Tabla8[[#This Row],[FECHA]]))</f>
        <v>12-2026</v>
      </c>
    </row>
    <row r="624" spans="1:21" ht="15" customHeight="1">
      <c r="A624" s="22">
        <v>46098</v>
      </c>
      <c r="B624" s="16" t="s">
        <v>111</v>
      </c>
      <c r="C624" s="10" t="s">
        <v>23</v>
      </c>
      <c r="D624" s="381">
        <v>0.54166666666666663</v>
      </c>
      <c r="E624" s="381">
        <v>0.58333333333333337</v>
      </c>
      <c r="F624" s="380">
        <f>+MOD(Tabla8[[#This Row],[HR. FIN]]-Tabla8[[#This Row],[HR. INICIO]],1)</f>
        <v>4.1666666666666741E-2</v>
      </c>
      <c r="G624" s="16" t="s">
        <v>328</v>
      </c>
      <c r="H624" s="343" t="str">
        <f>IFERROR(VLOOKUP(G624,DATOS!$M$2:$N$219,2,FALSE),"")</f>
        <v>Area</v>
      </c>
      <c r="I624" s="115" t="s">
        <v>32</v>
      </c>
      <c r="J624" s="115" t="str">
        <f>+VLOOKUP($I624,Tabla7[#All],2,FALSE)</f>
        <v>PROGRAMADA</v>
      </c>
      <c r="K624" s="114" t="str">
        <f>IF(VLOOKUP(I624,Tabla7[#All],3,FALSE)=0,"",VLOOKUP(I624,Tabla7[#All],3,FALSE))</f>
        <v/>
      </c>
      <c r="L624" s="35" t="s">
        <v>1330</v>
      </c>
      <c r="M624" s="35" t="s">
        <v>121</v>
      </c>
      <c r="N624" s="35" t="str" cm="1">
        <f t="array" ref="N624">IFERROR(IF(Tabla8[[#This Row],[P/NP]]="NO PROGRAMADA","",_xlfn.TEXTJOIN(", ",TRUE,_xlfn._xlws.FILTER(Tabla4[[#All],[PIEZA]],ISNUMBER(SEARCH(Tabla4[[#All],[PCLAVE]],Tabla8[[#This Row],[DESCRIPCION DE TRABAJO]])),""))),"")</f>
        <v/>
      </c>
      <c r="O624" s="35" t="str" cm="1">
        <f t="array" ref="O624">_xlfn.TEXTJOIN(", ",TRUE,_xlfn._xlws.FILTER(Tabla28[[#All],[PARTE]],ISNUMBER(SEARCH(Tabla28[[#All],[PCLAVE2]],Tabla8[[#This Row],[DESCRIPCION DE TRABAJO]])),""))</f>
        <v>Sammfill</v>
      </c>
      <c r="P624" s="303" t="str">
        <f>IFERROR(LEFT(O624, FIND(",", O624)-1), O624)</f>
        <v>Sammfill</v>
      </c>
      <c r="Q624" s="303" t="str">
        <f>IFERROR(IF(ISERROR(FIND(",", O624, FIND(",", O624)+1)), RIGHT(O624, LEN(O624)-FIND(",", O624)-1), MID(O624, FIND(",", O624)+2, FIND(",", O624, FIND(",", O624)+1)-FIND(",", O624)-2)), "")</f>
        <v/>
      </c>
      <c r="R624" s="303" t="str">
        <f>IFERROR(RIGHT(O624, LEN(O624)-FIND(",", O624, FIND(",", O624)+1)-1), "")</f>
        <v/>
      </c>
      <c r="S624" s="35" t="str" cm="1">
        <f t="array" ref="S624">_xlfn.TEXTJOIN(", ",TRUE,_xlfn._xlws.FILTER(Tabla29[[#All],[PARTE]],ISNUMBER(SEARCH(Tabla29[[#All],[PCLAVE3]],Tabla8[[#This Row],[DESCRIPCION DE TRABAJO]])),""))</f>
        <v/>
      </c>
      <c r="T624" s="34" t="str">
        <f>IF(AND(Tabla8[[#This Row],[PIEZA]]="",Tabla8[[#This Row],[PARTE]]=""),"VACIO","OK")</f>
        <v>OK</v>
      </c>
      <c r="U624" s="303" t="str">
        <f>+CONCATENATE(WEEKNUM(Tabla8[[#This Row],[FECHA]]),"-",YEAR(Tabla8[[#This Row],[FECHA]]))</f>
        <v>12-2026</v>
      </c>
    </row>
    <row r="625" spans="1:21" ht="15" customHeight="1">
      <c r="A625" s="22">
        <v>46098</v>
      </c>
      <c r="B625" s="16" t="s">
        <v>111</v>
      </c>
      <c r="C625" s="10" t="s">
        <v>23</v>
      </c>
      <c r="D625" s="381">
        <v>0.79166666666666663</v>
      </c>
      <c r="E625" s="381">
        <v>0.83333333333333337</v>
      </c>
      <c r="F625" s="380">
        <f>+MOD(Tabla8[[#This Row],[HR. FIN]]-Tabla8[[#This Row],[HR. INICIO]],1)</f>
        <v>4.1666666666666741E-2</v>
      </c>
      <c r="G625" s="16" t="s">
        <v>208</v>
      </c>
      <c r="H625" s="343" t="str">
        <f>IFERROR(VLOOKUP(G625,DATOS!$M$2:$N$219,2,FALSE),"")</f>
        <v>Maquinaria</v>
      </c>
      <c r="I625" s="115" t="s">
        <v>28</v>
      </c>
      <c r="J625" s="115" t="s">
        <v>157</v>
      </c>
      <c r="K625" s="114"/>
      <c r="L625" s="35" t="s">
        <v>1331</v>
      </c>
      <c r="M625" s="35" t="s">
        <v>1332</v>
      </c>
      <c r="N625" s="35" t="str" cm="1">
        <f t="array" ref="N625">IFERROR(IF(Tabla8[[#This Row],[P/NP]]="NO PROGRAMADA","",_xlfn.TEXTJOIN(", ",TRUE,_xlfn._xlws.FILTER(Tabla4[[#All],[PIEZA]],ISNUMBER(SEARCH(Tabla4[[#All],[PCLAVE]],Tabla8[[#This Row],[DESCRIPCION DE TRABAJO]])),""))),"")</f>
        <v>Extractor</v>
      </c>
      <c r="O625" s="35" t="str" cm="1">
        <f t="array" ref="O625">_xlfn.TEXTJOIN(", ",TRUE,_xlfn._xlws.FILTER(Tabla28[[#All],[PARTE]],ISNUMBER(SEARCH(Tabla28[[#All],[PCLAVE2]],Tabla8[[#This Row],[DESCRIPCION DE TRABAJO]])),""))</f>
        <v/>
      </c>
      <c r="P625" s="303" t="str">
        <f>IFERROR(LEFT(O625, FIND(",", O625)-1), O625)</f>
        <v/>
      </c>
      <c r="Q625" s="303" t="str">
        <f>IFERROR(IF(ISERROR(FIND(",", O625, FIND(",", O625)+1)), RIGHT(O625, LEN(O625)-FIND(",", O625)-1), MID(O625, FIND(",", O625)+2, FIND(",", O625, FIND(",", O625)+1)-FIND(",", O625)-2)), "")</f>
        <v/>
      </c>
      <c r="R625" s="303" t="str">
        <f>IFERROR(RIGHT(O625, LEN(O625)-FIND(",", O625, FIND(",", O625)+1)-1), "")</f>
        <v/>
      </c>
      <c r="S625" s="35" t="str" cm="1">
        <f t="array" ref="S625">_xlfn.TEXTJOIN(", ",TRUE,_xlfn._xlws.FILTER(Tabla29[[#All],[PARTE]],ISNUMBER(SEARCH(Tabla29[[#All],[PCLAVE3]],Tabla8[[#This Row],[DESCRIPCION DE TRABAJO]])),""))</f>
        <v/>
      </c>
      <c r="T625" s="34" t="str">
        <f>IF(AND(Tabla8[[#This Row],[PIEZA]]="",Tabla8[[#This Row],[PARTE]]=""),"VACIO","OK")</f>
        <v>OK</v>
      </c>
      <c r="U625" s="303" t="str">
        <f>+CONCATENATE(WEEKNUM(Tabla8[[#This Row],[FECHA]]),"-",YEAR(Tabla8[[#This Row],[FECHA]]))</f>
        <v>12-2026</v>
      </c>
    </row>
    <row r="626" spans="1:21" ht="15" customHeight="1">
      <c r="A626" s="22">
        <v>46098</v>
      </c>
      <c r="B626" s="16" t="s">
        <v>111</v>
      </c>
      <c r="C626" s="10" t="s">
        <v>23</v>
      </c>
      <c r="D626" s="381">
        <v>0.60347222222222219</v>
      </c>
      <c r="E626" s="381">
        <v>0.625</v>
      </c>
      <c r="F626" s="380">
        <f>+MOD(Tabla8[[#This Row],[HR. FIN]]-Tabla8[[#This Row],[HR. INICIO]],1)</f>
        <v>2.1527777777777812E-2</v>
      </c>
      <c r="G626" s="16" t="s">
        <v>24</v>
      </c>
      <c r="H626" s="343" t="str">
        <f>IFERROR(VLOOKUP(G626,DATOS!$M$2:$N$219,2,FALSE),"")</f>
        <v>Maquinaria</v>
      </c>
      <c r="I626" s="115" t="s">
        <v>28</v>
      </c>
      <c r="J626" s="115" t="s">
        <v>157</v>
      </c>
      <c r="K626" s="114"/>
      <c r="L626" s="35" t="s">
        <v>1333</v>
      </c>
      <c r="M626" s="35" t="s">
        <v>121</v>
      </c>
      <c r="N626" s="35" t="str" cm="1">
        <f t="array" ref="N626">IFERROR(IF(Tabla8[[#This Row],[P/NP]]="NO PROGRAMADA","",_xlfn.TEXTJOIN(", ",TRUE,_xlfn._xlws.FILTER(Tabla4[[#All],[PIEZA]],ISNUMBER(SEARCH(Tabla4[[#All],[PCLAVE]],Tabla8[[#This Row],[DESCRIPCION DE TRABAJO]])),""))),"")</f>
        <v>Banda, Pinzas</v>
      </c>
      <c r="O626" s="35" t="str" cm="1">
        <f t="array" ref="O626">_xlfn.TEXTJOIN(", ",TRUE,_xlfn._xlws.FILTER(Tabla28[[#All],[PARTE]],ISNUMBER(SEARCH(Tabla28[[#All],[PCLAVE2]],Tabla8[[#This Row],[DESCRIPCION DE TRABAJO]])),""))</f>
        <v/>
      </c>
      <c r="P626" s="303" t="str">
        <f>IFERROR(LEFT(O626, FIND(",", O626)-1), O626)</f>
        <v/>
      </c>
      <c r="Q626" s="303" t="str">
        <f>IFERROR(IF(ISERROR(FIND(",", O626, FIND(",", O626)+1)), RIGHT(O626, LEN(O626)-FIND(",", O626)-1), MID(O626, FIND(",", O626)+2, FIND(",", O626, FIND(",", O626)+1)-FIND(",", O626)-2)), "")</f>
        <v/>
      </c>
      <c r="R626" s="303" t="str">
        <f>IFERROR(RIGHT(O626, LEN(O626)-FIND(",", O626, FIND(",", O626)+1)-1), "")</f>
        <v/>
      </c>
      <c r="S626" s="35" t="str" cm="1">
        <f t="array" ref="S626">_xlfn.TEXTJOIN(", ",TRUE,_xlfn._xlws.FILTER(Tabla29[[#All],[PARTE]],ISNUMBER(SEARCH(Tabla29[[#All],[PCLAVE3]],Tabla8[[#This Row],[DESCRIPCION DE TRABAJO]])),""))</f>
        <v>Falla En Velocid*, Velocidad</v>
      </c>
      <c r="T626" s="34" t="str">
        <f>IF(AND(Tabla8[[#This Row],[PIEZA]]="",Tabla8[[#This Row],[PARTE]]=""),"VACIO","OK")</f>
        <v>OK</v>
      </c>
      <c r="U626" s="303" t="str">
        <f>+CONCATENATE(WEEKNUM(Tabla8[[#This Row],[FECHA]]),"-",YEAR(Tabla8[[#This Row],[FECHA]]))</f>
        <v>12-2026</v>
      </c>
    </row>
    <row r="627" spans="1:21" ht="15" customHeight="1">
      <c r="A627" s="22">
        <v>46098</v>
      </c>
      <c r="B627" s="16" t="s">
        <v>88</v>
      </c>
      <c r="C627" s="10" t="s">
        <v>39</v>
      </c>
      <c r="D627" s="381">
        <v>0.9375</v>
      </c>
      <c r="E627" s="381">
        <v>0.95833333333333337</v>
      </c>
      <c r="F627" s="380">
        <f>+MOD(Tabla8[[#This Row],[HR. FIN]]-Tabla8[[#This Row],[HR. INICIO]],1)</f>
        <v>2.083333333333337E-2</v>
      </c>
      <c r="G627" s="16" t="s">
        <v>31</v>
      </c>
      <c r="H627" s="343" t="str">
        <f>IFERROR(VLOOKUP(G627,DATOS!$M$2:$N$219,2,FALSE),"")</f>
        <v>Maquinaria</v>
      </c>
      <c r="I627" s="115" t="s">
        <v>32</v>
      </c>
      <c r="J627" s="115" t="str">
        <f>+VLOOKUP($I627,Tabla7[#All],2,FALSE)</f>
        <v>PROGRAMADA</v>
      </c>
      <c r="K627" s="114" t="str">
        <f>IF(VLOOKUP(I627,Tabla7[#All],3,FALSE)=0,"",VLOOKUP(I627,Tabla7[#All],3,FALSE))</f>
        <v/>
      </c>
      <c r="L627" s="35" t="s">
        <v>1334</v>
      </c>
      <c r="M627" s="35" t="s">
        <v>1335</v>
      </c>
      <c r="N627" s="35" t="str" cm="1">
        <f t="array" ref="N627">IFERROR(IF(Tabla8[[#This Row],[P/NP]]="NO PROGRAMADA","",_xlfn.TEXTJOIN(", ",TRUE,_xlfn._xlws.FILTER(Tabla4[[#All],[PIEZA]],ISNUMBER(SEARCH(Tabla4[[#All],[PCLAVE]],Tabla8[[#This Row],[DESCRIPCION DE TRABAJO]])),""))),"")</f>
        <v/>
      </c>
      <c r="O627" s="35" t="str" cm="1">
        <f t="array" ref="O627">_xlfn.TEXTJOIN(", ",TRUE,_xlfn._xlws.FILTER(Tabla28[[#All],[PARTE]],ISNUMBER(SEARCH(Tabla28[[#All],[PCLAVE2]],Tabla8[[#This Row],[DESCRIPCION DE TRABAJO]])),""))</f>
        <v/>
      </c>
      <c r="P627" s="303" t="str">
        <f>IFERROR(LEFT(O627, FIND(",", O627)-1), O627)</f>
        <v/>
      </c>
      <c r="Q627" s="303" t="str">
        <f>IFERROR(IF(ISERROR(FIND(",", O627, FIND(",", O627)+1)), RIGHT(O627, LEN(O627)-FIND(",", O627)-1), MID(O627, FIND(",", O627)+2, FIND(",", O627, FIND(",", O627)+1)-FIND(",", O627)-2)), "")</f>
        <v/>
      </c>
      <c r="R627" s="303" t="str">
        <f>IFERROR(RIGHT(O627, LEN(O627)-FIND(",", O627, FIND(",", O627)+1)-1), "")</f>
        <v/>
      </c>
      <c r="S627" s="35" t="str" cm="1">
        <f t="array" ref="S627">_xlfn.TEXTJOIN(", ",TRUE,_xlfn._xlws.FILTER(Tabla29[[#All],[PARTE]],ISNUMBER(SEARCH(Tabla29[[#All],[PCLAVE3]],Tabla8[[#This Row],[DESCRIPCION DE TRABAJO]])),""))</f>
        <v>Cambio De Formato</v>
      </c>
      <c r="T627" s="34" t="str">
        <f>IF(AND(Tabla8[[#This Row],[PIEZA]]="",Tabla8[[#This Row],[PARTE]]=""),"VACIO","OK")</f>
        <v>VACIO</v>
      </c>
      <c r="U627" s="303" t="str">
        <f>+CONCATENATE(WEEKNUM(Tabla8[[#This Row],[FECHA]]),"-",YEAR(Tabla8[[#This Row],[FECHA]]))</f>
        <v>12-2026</v>
      </c>
    </row>
    <row r="628" spans="1:21" ht="15" customHeight="1">
      <c r="A628" s="22">
        <v>46098</v>
      </c>
      <c r="B628" s="16" t="s">
        <v>88</v>
      </c>
      <c r="C628" s="10" t="s">
        <v>39</v>
      </c>
      <c r="D628" s="381">
        <v>0.95138888888888884</v>
      </c>
      <c r="E628" s="381">
        <v>0.97222222222222221</v>
      </c>
      <c r="F628" s="380">
        <f>+MOD(Tabla8[[#This Row],[HR. FIN]]-Tabla8[[#This Row],[HR. INICIO]],1)</f>
        <v>2.083333333333337E-2</v>
      </c>
      <c r="G628" s="16" t="s">
        <v>182</v>
      </c>
      <c r="H628" s="343" t="str">
        <f>IFERROR(VLOOKUP(G628,DATOS!$M$2:$N$219,2,FALSE),"")</f>
        <v>Maquinaria</v>
      </c>
      <c r="I628" s="115" t="s">
        <v>32</v>
      </c>
      <c r="J628" s="115" t="str">
        <f>+VLOOKUP($I628,Tabla7[#All],2,FALSE)</f>
        <v>PROGRAMADA</v>
      </c>
      <c r="K628" s="114" t="str">
        <f>IF(VLOOKUP(I628,Tabla7[#All],3,FALSE)=0,"",VLOOKUP(I628,Tabla7[#All],3,FALSE))</f>
        <v/>
      </c>
      <c r="L628" s="35" t="s">
        <v>1336</v>
      </c>
      <c r="M628" s="35" t="s">
        <v>1337</v>
      </c>
      <c r="N628" s="35" t="str" cm="1">
        <f t="array" ref="N628">IFERROR(IF(Tabla8[[#This Row],[P/NP]]="NO PROGRAMADA","",_xlfn.TEXTJOIN(", ",TRUE,_xlfn._xlws.FILTER(Tabla4[[#All],[PIEZA]],ISNUMBER(SEARCH(Tabla4[[#All],[PCLAVE]],Tabla8[[#This Row],[DESCRIPCION DE TRABAJO]])),""))),"")</f>
        <v>Borneras, Sensor</v>
      </c>
      <c r="O628" s="35" t="str" cm="1">
        <f t="array" ref="O628">_xlfn.TEXTJOIN(", ",TRUE,_xlfn._xlws.FILTER(Tabla28[[#All],[PARTE]],ISNUMBER(SEARCH(Tabla28[[#All],[PCLAVE2]],Tabla8[[#This Row],[DESCRIPCION DE TRABAJO]])),""))</f>
        <v/>
      </c>
      <c r="P628" s="303" t="str">
        <f>IFERROR(LEFT(O628, FIND(",", O628)-1), O628)</f>
        <v/>
      </c>
      <c r="Q628" s="303" t="str">
        <f>IFERROR(IF(ISERROR(FIND(",", O628, FIND(",", O628)+1)), RIGHT(O628, LEN(O628)-FIND(",", O628)-1), MID(O628, FIND(",", O628)+2, FIND(",", O628, FIND(",", O628)+1)-FIND(",", O628)-2)), "")</f>
        <v/>
      </c>
      <c r="R628" s="303" t="str">
        <f>IFERROR(RIGHT(O628, LEN(O628)-FIND(",", O628, FIND(",", O628)+1)-1), "")</f>
        <v/>
      </c>
      <c r="S628" s="35" t="str" cm="1">
        <f t="array" ref="S628">_xlfn.TEXTJOIN(", ",TRUE,_xlfn._xlws.FILTER(Tabla29[[#All],[PARTE]],ISNUMBER(SEARCH(Tabla29[[#All],[PCLAVE3]],Tabla8[[#This Row],[DESCRIPCION DE TRABAJO]])),""))</f>
        <v>Expuesto</v>
      </c>
      <c r="T628" s="34" t="str">
        <f>IF(AND(Tabla8[[#This Row],[PIEZA]]="",Tabla8[[#This Row],[PARTE]]=""),"VACIO","OK")</f>
        <v>OK</v>
      </c>
      <c r="U628" s="303" t="str">
        <f>+CONCATENATE(WEEKNUM(Tabla8[[#This Row],[FECHA]]),"-",YEAR(Tabla8[[#This Row],[FECHA]]))</f>
        <v>12-2026</v>
      </c>
    </row>
    <row r="629" spans="1:21" ht="15" customHeight="1">
      <c r="A629" s="22">
        <v>46098</v>
      </c>
      <c r="B629" s="16" t="s">
        <v>88</v>
      </c>
      <c r="C629" s="10" t="s">
        <v>39</v>
      </c>
      <c r="D629" s="381">
        <v>4.1666666666666664E-2</v>
      </c>
      <c r="E629" s="381">
        <v>6.25E-2</v>
      </c>
      <c r="F629" s="380">
        <f>+MOD(Tabla8[[#This Row],[HR. FIN]]-Tabla8[[#This Row],[HR. INICIO]],1)</f>
        <v>2.0833333333333336E-2</v>
      </c>
      <c r="G629" s="16" t="s">
        <v>270</v>
      </c>
      <c r="H629" s="343" t="str">
        <f>IFERROR(VLOOKUP(G629,DATOS!$M$2:$N$219,2,FALSE),"")</f>
        <v>Maquinaria</v>
      </c>
      <c r="I629" s="115" t="s">
        <v>54</v>
      </c>
      <c r="J629" s="115" t="str">
        <f>+VLOOKUP($I629,Tabla7[#All],2,FALSE)</f>
        <v>PROGRAMADA</v>
      </c>
      <c r="K629" s="114" t="str">
        <f>IF(VLOOKUP(I629,Tabla7[#All],3,FALSE)=0,"",VLOOKUP(I629,Tabla7[#All],3,FALSE))</f>
        <v/>
      </c>
      <c r="L629" s="35" t="s">
        <v>1040</v>
      </c>
      <c r="M629" s="35" t="s">
        <v>214</v>
      </c>
      <c r="N629" s="35" t="str" cm="1">
        <f t="array" ref="N629">IFERROR(IF(Tabla8[[#This Row],[P/NP]]="NO PROGRAMADA","",_xlfn.TEXTJOIN(", ",TRUE,_xlfn._xlws.FILTER(Tabla4[[#All],[PIEZA]],ISNUMBER(SEARCH(Tabla4[[#All],[PCLAVE]],Tabla8[[#This Row],[DESCRIPCION DE TRABAJO]])),""))),"")</f>
        <v/>
      </c>
      <c r="O629" s="35" t="str" cm="1">
        <f t="array" ref="O629">_xlfn.TEXTJOIN(", ",TRUE,_xlfn._xlws.FILTER(Tabla28[[#All],[PARTE]],ISNUMBER(SEARCH(Tabla28[[#All],[PCLAVE2]],Tabla8[[#This Row],[DESCRIPCION DE TRABAJO]])),""))</f>
        <v/>
      </c>
      <c r="P629" s="303" t="str">
        <f>IFERROR(LEFT(O629, FIND(",", O629)-1), O629)</f>
        <v/>
      </c>
      <c r="Q629" s="303" t="str">
        <f>IFERROR(IF(ISERROR(FIND(",", O629, FIND(",", O629)+1)), RIGHT(O629, LEN(O629)-FIND(",", O629)-1), MID(O629, FIND(",", O629)+2, FIND(",", O629, FIND(",", O629)+1)-FIND(",", O629)-2)), "")</f>
        <v/>
      </c>
      <c r="R629" s="303" t="str">
        <f>IFERROR(RIGHT(O629, LEN(O629)-FIND(",", O629, FIND(",", O629)+1)-1), "")</f>
        <v/>
      </c>
      <c r="S629" s="35" t="str" cm="1">
        <f t="array" ref="S629">_xlfn.TEXTJOIN(", ",TRUE,_xlfn._xlws.FILTER(Tabla29[[#All],[PARTE]],ISNUMBER(SEARCH(Tabla29[[#All],[PCLAVE3]],Tabla8[[#This Row],[DESCRIPCION DE TRABAJO]])),""))</f>
        <v/>
      </c>
      <c r="T629" s="34" t="str">
        <f>IF(AND(Tabla8[[#This Row],[PIEZA]]="",Tabla8[[#This Row],[PARTE]]=""),"VACIO","OK")</f>
        <v>VACIO</v>
      </c>
      <c r="U629" s="303" t="str">
        <f>+CONCATENATE(WEEKNUM(Tabla8[[#This Row],[FECHA]]),"-",YEAR(Tabla8[[#This Row],[FECHA]]))</f>
        <v>12-2026</v>
      </c>
    </row>
    <row r="630" spans="1:21" ht="15" customHeight="1">
      <c r="A630" s="22">
        <v>46098</v>
      </c>
      <c r="B630" s="16" t="s">
        <v>88</v>
      </c>
      <c r="C630" s="10" t="s">
        <v>39</v>
      </c>
      <c r="D630" s="381">
        <v>0.89583333333333337</v>
      </c>
      <c r="E630" s="381">
        <v>0.91666666666666663</v>
      </c>
      <c r="F630" s="380">
        <f>+MOD(Tabla8[[#This Row],[HR. FIN]]-Tabla8[[#This Row],[HR. INICIO]],1)</f>
        <v>2.0833333333333259E-2</v>
      </c>
      <c r="G630" s="16" t="s">
        <v>312</v>
      </c>
      <c r="H630" s="343" t="str">
        <f>IFERROR(VLOOKUP(G630,DATOS!$M$2:$N$219,2,FALSE),"")</f>
        <v>Maquinaria</v>
      </c>
      <c r="I630" s="115" t="s">
        <v>54</v>
      </c>
      <c r="J630" s="115" t="str">
        <f>+VLOOKUP($I630,Tabla7[#All],2,FALSE)</f>
        <v>PROGRAMADA</v>
      </c>
      <c r="K630" s="114" t="str">
        <f>IF(VLOOKUP(I630,Tabla7[#All],3,FALSE)=0,"",VLOOKUP(I630,Tabla7[#All],3,FALSE))</f>
        <v/>
      </c>
      <c r="L630" s="35" t="s">
        <v>1040</v>
      </c>
      <c r="M630" s="35" t="s">
        <v>214</v>
      </c>
      <c r="N630" s="35" t="str" cm="1">
        <f t="array" ref="N630">IFERROR(IF(Tabla8[[#This Row],[P/NP]]="NO PROGRAMADA","",_xlfn.TEXTJOIN(", ",TRUE,_xlfn._xlws.FILTER(Tabla4[[#All],[PIEZA]],ISNUMBER(SEARCH(Tabla4[[#All],[PCLAVE]],Tabla8[[#This Row],[DESCRIPCION DE TRABAJO]])),""))),"")</f>
        <v/>
      </c>
      <c r="O630" s="35" t="str" cm="1">
        <f t="array" ref="O630">_xlfn.TEXTJOIN(", ",TRUE,_xlfn._xlws.FILTER(Tabla28[[#All],[PARTE]],ISNUMBER(SEARCH(Tabla28[[#All],[PCLAVE2]],Tabla8[[#This Row],[DESCRIPCION DE TRABAJO]])),""))</f>
        <v/>
      </c>
      <c r="P630" s="303" t="str">
        <f>IFERROR(LEFT(O630, FIND(",", O630)-1), O630)</f>
        <v/>
      </c>
      <c r="Q630" s="303" t="str">
        <f>IFERROR(IF(ISERROR(FIND(",", O630, FIND(",", O630)+1)), RIGHT(O630, LEN(O630)-FIND(",", O630)-1), MID(O630, FIND(",", O630)+2, FIND(",", O630, FIND(",", O630)+1)-FIND(",", O630)-2)), "")</f>
        <v/>
      </c>
      <c r="R630" s="303" t="str">
        <f>IFERROR(RIGHT(O630, LEN(O630)-FIND(",", O630, FIND(",", O630)+1)-1), "")</f>
        <v/>
      </c>
      <c r="S630" s="35" t="str" cm="1">
        <f t="array" ref="S630">_xlfn.TEXTJOIN(", ",TRUE,_xlfn._xlws.FILTER(Tabla29[[#All],[PARTE]],ISNUMBER(SEARCH(Tabla29[[#All],[PCLAVE3]],Tabla8[[#This Row],[DESCRIPCION DE TRABAJO]])),""))</f>
        <v/>
      </c>
      <c r="T630" s="34" t="str">
        <f>IF(AND(Tabla8[[#This Row],[PIEZA]]="",Tabla8[[#This Row],[PARTE]]=""),"VACIO","OK")</f>
        <v>VACIO</v>
      </c>
      <c r="U630" s="303" t="str">
        <f>+CONCATENATE(WEEKNUM(Tabla8[[#This Row],[FECHA]]),"-",YEAR(Tabla8[[#This Row],[FECHA]]))</f>
        <v>12-2026</v>
      </c>
    </row>
    <row r="631" spans="1:21" ht="15" customHeight="1">
      <c r="A631" s="22">
        <v>46098</v>
      </c>
      <c r="B631" s="16" t="s">
        <v>88</v>
      </c>
      <c r="C631" s="10" t="s">
        <v>39</v>
      </c>
      <c r="D631" s="381">
        <v>8.3333333333333329E-2</v>
      </c>
      <c r="E631" s="381">
        <v>9.7222222222222224E-2</v>
      </c>
      <c r="F631" s="380">
        <f>+MOD(Tabla8[[#This Row],[HR. FIN]]-Tabla8[[#This Row],[HR. INICIO]],1)</f>
        <v>1.3888888888888895E-2</v>
      </c>
      <c r="G631" s="16" t="s">
        <v>256</v>
      </c>
      <c r="H631" s="343" t="str">
        <f>IFERROR(VLOOKUP(G631,DATOS!$M$2:$N$219,2,FALSE),"")</f>
        <v>Maquinaria</v>
      </c>
      <c r="I631" s="115" t="s">
        <v>54</v>
      </c>
      <c r="J631" s="115" t="str">
        <f>+VLOOKUP($I631,Tabla7[#All],2,FALSE)</f>
        <v>PROGRAMADA</v>
      </c>
      <c r="K631" s="114" t="str">
        <f>IF(VLOOKUP(I631,Tabla7[#All],3,FALSE)=0,"",VLOOKUP(I631,Tabla7[#All],3,FALSE))</f>
        <v/>
      </c>
      <c r="L631" s="35" t="s">
        <v>1040</v>
      </c>
      <c r="M631" s="35" t="s">
        <v>214</v>
      </c>
      <c r="N631" s="35" t="str" cm="1">
        <f t="array" ref="N631">IFERROR(IF(Tabla8[[#This Row],[P/NP]]="NO PROGRAMADA","",_xlfn.TEXTJOIN(", ",TRUE,_xlfn._xlws.FILTER(Tabla4[[#All],[PIEZA]],ISNUMBER(SEARCH(Tabla4[[#All],[PCLAVE]],Tabla8[[#This Row],[DESCRIPCION DE TRABAJO]])),""))),"")</f>
        <v/>
      </c>
      <c r="O631" s="35" t="str" cm="1">
        <f t="array" ref="O631">_xlfn.TEXTJOIN(", ",TRUE,_xlfn._xlws.FILTER(Tabla28[[#All],[PARTE]],ISNUMBER(SEARCH(Tabla28[[#All],[PCLAVE2]],Tabla8[[#This Row],[DESCRIPCION DE TRABAJO]])),""))</f>
        <v/>
      </c>
      <c r="P631" s="303" t="str">
        <f>IFERROR(LEFT(O631, FIND(",", O631)-1), O631)</f>
        <v/>
      </c>
      <c r="Q631" s="303" t="str">
        <f>IFERROR(IF(ISERROR(FIND(",", O631, FIND(",", O631)+1)), RIGHT(O631, LEN(O631)-FIND(",", O631)-1), MID(O631, FIND(",", O631)+2, FIND(",", O631, FIND(",", O631)+1)-FIND(",", O631)-2)), "")</f>
        <v/>
      </c>
      <c r="R631" s="303" t="str">
        <f>IFERROR(RIGHT(O631, LEN(O631)-FIND(",", O631, FIND(",", O631)+1)-1), "")</f>
        <v/>
      </c>
      <c r="S631" s="35" t="str" cm="1">
        <f t="array" ref="S631">_xlfn.TEXTJOIN(", ",TRUE,_xlfn._xlws.FILTER(Tabla29[[#All],[PARTE]],ISNUMBER(SEARCH(Tabla29[[#All],[PCLAVE3]],Tabla8[[#This Row],[DESCRIPCION DE TRABAJO]])),""))</f>
        <v/>
      </c>
      <c r="T631" s="34" t="str">
        <f>IF(AND(Tabla8[[#This Row],[PIEZA]]="",Tabla8[[#This Row],[PARTE]]=""),"VACIO","OK")</f>
        <v>VACIO</v>
      </c>
      <c r="U631" s="303" t="str">
        <f>+CONCATENATE(WEEKNUM(Tabla8[[#This Row],[FECHA]]),"-",YEAR(Tabla8[[#This Row],[FECHA]]))</f>
        <v>12-2026</v>
      </c>
    </row>
    <row r="632" spans="1:21" ht="15" customHeight="1">
      <c r="A632" s="22">
        <v>46098</v>
      </c>
      <c r="B632" s="16" t="s">
        <v>111</v>
      </c>
      <c r="C632" s="10" t="s">
        <v>23</v>
      </c>
      <c r="D632" s="381">
        <v>0.58680555555555558</v>
      </c>
      <c r="E632" s="381">
        <v>0.59930555555555554</v>
      </c>
      <c r="F632" s="380">
        <f>+MOD(Tabla8[[#This Row],[HR. FIN]]-Tabla8[[#This Row],[HR. INICIO]],1)</f>
        <v>1.2499999999999956E-2</v>
      </c>
      <c r="G632" s="16" t="s">
        <v>312</v>
      </c>
      <c r="H632" s="343" t="str">
        <f>IFERROR(VLOOKUP(G632,DATOS!$M$2:$N$219,2,FALSE),"")</f>
        <v>Maquinaria</v>
      </c>
      <c r="I632" s="115" t="s">
        <v>61</v>
      </c>
      <c r="J632" s="115" t="s">
        <v>92</v>
      </c>
      <c r="K632" s="114" t="s">
        <v>93</v>
      </c>
      <c r="L632" s="35" t="s">
        <v>1338</v>
      </c>
      <c r="M632" s="35" t="s">
        <v>1339</v>
      </c>
      <c r="N632" s="35" t="str" cm="1">
        <f t="array" ref="N632">IFERROR(IF(Tabla8[[#This Row],[P/NP]]="NO PROGRAMADA","",_xlfn.TEXTJOIN(", ",TRUE,_xlfn._xlws.FILTER(Tabla4[[#All],[PIEZA]],ISNUMBER(SEARCH(Tabla4[[#All],[PCLAVE]],Tabla8[[#This Row],[DESCRIPCION DE TRABAJO]])),""))),"")</f>
        <v/>
      </c>
      <c r="O632" s="35" t="str" cm="1">
        <f t="array" ref="O632">_xlfn.TEXTJOIN(", ",TRUE,_xlfn._xlws.FILTER(Tabla28[[#All],[PARTE]],ISNUMBER(SEARCH(Tabla28[[#All],[PCLAVE2]],Tabla8[[#This Row],[DESCRIPCION DE TRABAJO]])),""))</f>
        <v/>
      </c>
      <c r="P632" s="303" t="str">
        <f>IFERROR(LEFT(O632, FIND(",", O632)-1), O632)</f>
        <v/>
      </c>
      <c r="Q632" s="303" t="str">
        <f>IFERROR(IF(ISERROR(FIND(",", O632, FIND(",", O632)+1)), RIGHT(O632, LEN(O632)-FIND(",", O632)-1), MID(O632, FIND(",", O632)+2, FIND(",", O632, FIND(",", O632)+1)-FIND(",", O632)-2)), "")</f>
        <v/>
      </c>
      <c r="R632" s="303" t="str">
        <f>IFERROR(RIGHT(O632, LEN(O632)-FIND(",", O632, FIND(",", O632)+1)-1), "")</f>
        <v/>
      </c>
      <c r="S632" s="35" t="str" cm="1">
        <f t="array" ref="S632">_xlfn.TEXTJOIN(", ",TRUE,_xlfn._xlws.FILTER(Tabla29[[#All],[PARTE]],ISNUMBER(SEARCH(Tabla29[[#All],[PCLAVE3]],Tabla8[[#This Row],[DESCRIPCION DE TRABAJO]])),""))</f>
        <v/>
      </c>
      <c r="T632" s="34" t="str">
        <f>IF(AND(Tabla8[[#This Row],[PIEZA]]="",Tabla8[[#This Row],[PARTE]]=""),"VACIO","OK")</f>
        <v>VACIO</v>
      </c>
      <c r="U632" s="303" t="str">
        <f>+CONCATENATE(WEEKNUM(Tabla8[[#This Row],[FECHA]]),"-",YEAR(Tabla8[[#This Row],[FECHA]]))</f>
        <v>12-2026</v>
      </c>
    </row>
    <row r="633" spans="1:21" ht="15" customHeight="1">
      <c r="A633" s="22">
        <v>46098</v>
      </c>
      <c r="B633" s="16" t="s">
        <v>111</v>
      </c>
      <c r="C633" s="10" t="s">
        <v>23</v>
      </c>
      <c r="D633" s="381">
        <v>0.73611111111111116</v>
      </c>
      <c r="E633" s="381">
        <v>0.74305555555555558</v>
      </c>
      <c r="F633" s="380">
        <f>+MOD(Tabla8[[#This Row],[HR. FIN]]-Tabla8[[#This Row],[HR. INICIO]],1)</f>
        <v>6.9444444444444198E-3</v>
      </c>
      <c r="G633" s="16" t="s">
        <v>169</v>
      </c>
      <c r="H633" s="343" t="str">
        <f>IFERROR(VLOOKUP(G633,DATOS!$M$2:$N$219,2,FALSE),"")</f>
        <v>Maquinaria</v>
      </c>
      <c r="I633" s="115" t="s">
        <v>32</v>
      </c>
      <c r="J633" s="115" t="str">
        <f>+VLOOKUP($I633,Tabla7[#All],2,FALSE)</f>
        <v>PROGRAMADA</v>
      </c>
      <c r="K633" s="114" t="str">
        <f>IF(VLOOKUP(I633,Tabla7[#All],3,FALSE)=0,"",VLOOKUP(I633,Tabla7[#All],3,FALSE))</f>
        <v/>
      </c>
      <c r="L633" s="35" t="s">
        <v>449</v>
      </c>
      <c r="M633" s="35" t="s">
        <v>121</v>
      </c>
      <c r="N633" s="35" t="str" cm="1">
        <f t="array" ref="N633">IFERROR(IF(Tabla8[[#This Row],[P/NP]]="NO PROGRAMADA","",_xlfn.TEXTJOIN(", ",TRUE,_xlfn._xlws.FILTER(Tabla4[[#All],[PIEZA]],ISNUMBER(SEARCH(Tabla4[[#All],[PCLAVE]],Tabla8[[#This Row],[DESCRIPCION DE TRABAJO]])),""))),"")</f>
        <v/>
      </c>
      <c r="O633" s="35" t="str" cm="1">
        <f t="array" ref="O633">_xlfn.TEXTJOIN(", ",TRUE,_xlfn._xlws.FILTER(Tabla28[[#All],[PARTE]],ISNUMBER(SEARCH(Tabla28[[#All],[PCLAVE2]],Tabla8[[#This Row],[DESCRIPCION DE TRABAJO]])),""))</f>
        <v/>
      </c>
      <c r="P633" s="303" t="str">
        <f>IFERROR(LEFT(O633, FIND(",", O633)-1), O633)</f>
        <v/>
      </c>
      <c r="Q633" s="303" t="str">
        <f>IFERROR(IF(ISERROR(FIND(",", O633, FIND(",", O633)+1)), RIGHT(O633, LEN(O633)-FIND(",", O633)-1), MID(O633, FIND(",", O633)+2, FIND(",", O633, FIND(",", O633)+1)-FIND(",", O633)-2)), "")</f>
        <v/>
      </c>
      <c r="R633" s="303" t="str">
        <f>IFERROR(RIGHT(O633, LEN(O633)-FIND(",", O633, FIND(",", O633)+1)-1), "")</f>
        <v/>
      </c>
      <c r="S633" s="35" t="str" cm="1">
        <f t="array" ref="S633">_xlfn.TEXTJOIN(", ",TRUE,_xlfn._xlws.FILTER(Tabla29[[#All],[PARTE]],ISNUMBER(SEARCH(Tabla29[[#All],[PCLAVE3]],Tabla8[[#This Row],[DESCRIPCION DE TRABAJO]])),""))</f>
        <v/>
      </c>
      <c r="T633" s="34" t="str">
        <f>IF(AND(Tabla8[[#This Row],[PIEZA]]="",Tabla8[[#This Row],[PARTE]]=""),"VACIO","OK")</f>
        <v>VACIO</v>
      </c>
      <c r="U633" s="303" t="str">
        <f>+CONCATENATE(WEEKNUM(Tabla8[[#This Row],[FECHA]]),"-",YEAR(Tabla8[[#This Row],[FECHA]]))</f>
        <v>12-2026</v>
      </c>
    </row>
    <row r="634" spans="1:21" ht="15" customHeight="1">
      <c r="A634" s="22">
        <v>46099</v>
      </c>
      <c r="B634" s="16" t="s">
        <v>88</v>
      </c>
      <c r="C634" s="10" t="s">
        <v>39</v>
      </c>
      <c r="D634" s="381">
        <v>4.1666666666666664E-2</v>
      </c>
      <c r="E634" s="381">
        <v>8.3333333333333329E-2</v>
      </c>
      <c r="F634" s="380">
        <f>+MOD(Tabla8[[#This Row],[HR. FIN]]-Tabla8[[#This Row],[HR. INICIO]],1)</f>
        <v>4.1666666666666664E-2</v>
      </c>
      <c r="G634" s="16" t="s">
        <v>119</v>
      </c>
      <c r="H634" s="343" t="str">
        <f>IFERROR(VLOOKUP(G634,DATOS!$M$2:$N$219,2,FALSE),"")</f>
        <v>Maquinaria</v>
      </c>
      <c r="I634" s="115" t="s">
        <v>54</v>
      </c>
      <c r="J634" s="115" t="s">
        <v>92</v>
      </c>
      <c r="K634" s="114" t="s">
        <v>93</v>
      </c>
      <c r="L634" s="35" t="s">
        <v>1340</v>
      </c>
      <c r="M634" s="35" t="s">
        <v>1341</v>
      </c>
      <c r="N634" s="35" t="str" cm="1">
        <f t="array" ref="N634">IFERROR(IF(Tabla8[[#This Row],[P/NP]]="NO PROGRAMADA","",_xlfn.TEXTJOIN(", ",TRUE,_xlfn._xlws.FILTER(Tabla4[[#All],[PIEZA]],ISNUMBER(SEARCH(Tabla4[[#All],[PCLAVE]],Tabla8[[#This Row],[DESCRIPCION DE TRABAJO]])),""))),"")</f>
        <v/>
      </c>
      <c r="O634" s="35" t="str" cm="1">
        <f t="array" ref="O634">_xlfn.TEXTJOIN(", ",TRUE,_xlfn._xlws.FILTER(Tabla28[[#All],[PARTE]],ISNUMBER(SEARCH(Tabla28[[#All],[PCLAVE2]],Tabla8[[#This Row],[DESCRIPCION DE TRABAJO]])),""))</f>
        <v>Columna, Temperadora</v>
      </c>
      <c r="P634" s="303" t="str">
        <f>IFERROR(LEFT(O634, FIND(",", O634)-1), O634)</f>
        <v>Columna</v>
      </c>
      <c r="Q634" s="303" t="str">
        <f>IFERROR(IF(ISERROR(FIND(",", O634, FIND(",", O634)+1)), RIGHT(O634, LEN(O634)-FIND(",", O634)-1), MID(O634, FIND(",", O634)+2, FIND(",", O634, FIND(",", O634)+1)-FIND(",", O634)-2)), "")</f>
        <v>Temperadora</v>
      </c>
      <c r="R634" s="303" t="str">
        <f>IFERROR(RIGHT(O634, LEN(O634)-FIND(",", O634, FIND(",", O634)+1)-1), "")</f>
        <v/>
      </c>
      <c r="S634" s="35" t="str" cm="1">
        <f t="array" ref="S634">_xlfn.TEXTJOIN(", ",TRUE,_xlfn._xlws.FILTER(Tabla29[[#All],[PARTE]],ISNUMBER(SEARCH(Tabla29[[#All],[PCLAVE3]],Tabla8[[#This Row],[DESCRIPCION DE TRABAJO]])),""))</f>
        <v>Bloqueado</v>
      </c>
      <c r="T634" s="34" t="str">
        <f>IF(AND(Tabla8[[#This Row],[PIEZA]]="",Tabla8[[#This Row],[PARTE]]=""),"VACIO","OK")</f>
        <v>OK</v>
      </c>
      <c r="U634" s="303" t="str">
        <f>+CONCATENATE(WEEKNUM(Tabla8[[#This Row],[FECHA]]),"-",YEAR(Tabla8[[#This Row],[FECHA]]))</f>
        <v>12-2026</v>
      </c>
    </row>
    <row r="635" spans="1:21" ht="15" customHeight="1">
      <c r="A635" s="22">
        <v>46099</v>
      </c>
      <c r="B635" s="16" t="s">
        <v>88</v>
      </c>
      <c r="C635" s="10" t="s">
        <v>39</v>
      </c>
      <c r="D635" s="381">
        <v>0.875</v>
      </c>
      <c r="E635" s="381">
        <v>0.91666666666666663</v>
      </c>
      <c r="F635" s="380">
        <f>+MOD(Tabla8[[#This Row],[HR. FIN]]-Tabla8[[#This Row],[HR. INICIO]],1)</f>
        <v>4.166666666666663E-2</v>
      </c>
      <c r="G635" s="16" t="s">
        <v>119</v>
      </c>
      <c r="H635" s="343" t="str">
        <f>IFERROR(VLOOKUP(G635,DATOS!$M$2:$N$219,2,FALSE),"")</f>
        <v>Maquinaria</v>
      </c>
      <c r="I635" s="115" t="s">
        <v>28</v>
      </c>
      <c r="J635" s="115" t="str">
        <f>+VLOOKUP($I635,Tabla7[#All],2,FALSE)</f>
        <v>NO PROGRAMADA</v>
      </c>
      <c r="K635" s="114" t="s">
        <v>93</v>
      </c>
      <c r="L635" s="35" t="s">
        <v>1342</v>
      </c>
      <c r="M635" s="35" t="s">
        <v>1343</v>
      </c>
      <c r="N635" s="35" t="str" cm="1">
        <f t="array" ref="N635">IFERROR(IF(Tabla8[[#This Row],[P/NP]]="NO PROGRAMADA","",_xlfn.TEXTJOIN(", ",TRUE,_xlfn._xlws.FILTER(Tabla4[[#All],[PIEZA]],ISNUMBER(SEARCH(Tabla4[[#All],[PCLAVE]],Tabla8[[#This Row],[DESCRIPCION DE TRABAJO]])),""))),"")</f>
        <v/>
      </c>
      <c r="O635" s="35" t="str" cm="1">
        <f t="array" ref="O635">_xlfn.TEXTJOIN(", ",TRUE,_xlfn._xlws.FILTER(Tabla28[[#All],[PARTE]],ISNUMBER(SEARCH(Tabla28[[#All],[PCLAVE2]],Tabla8[[#This Row],[DESCRIPCION DE TRABAJO]])),""))</f>
        <v>Columna, Temperadora</v>
      </c>
      <c r="P635" s="303" t="str">
        <f>IFERROR(LEFT(O635, FIND(",", O635)-1), O635)</f>
        <v>Columna</v>
      </c>
      <c r="Q635" s="303" t="str">
        <f>IFERROR(IF(ISERROR(FIND(",", O635, FIND(",", O635)+1)), RIGHT(O635, LEN(O635)-FIND(",", O635)-1), MID(O635, FIND(",", O635)+2, FIND(",", O635, FIND(",", O635)+1)-FIND(",", O635)-2)), "")</f>
        <v>Temperadora</v>
      </c>
      <c r="R635" s="303" t="str">
        <f>IFERROR(RIGHT(O635, LEN(O635)-FIND(",", O635, FIND(",", O635)+1)-1), "")</f>
        <v/>
      </c>
      <c r="S635" s="35" t="str" cm="1">
        <f t="array" ref="S635">_xlfn.TEXTJOIN(", ",TRUE,_xlfn._xlws.FILTER(Tabla29[[#All],[PARTE]],ISNUMBER(SEARCH(Tabla29[[#All],[PCLAVE3]],Tabla8[[#This Row],[DESCRIPCION DE TRABAJO]])),""))</f>
        <v>Bloqueado</v>
      </c>
      <c r="T635" s="34" t="str">
        <f>IF(AND(Tabla8[[#This Row],[PIEZA]]="",Tabla8[[#This Row],[PARTE]]=""),"VACIO","OK")</f>
        <v>OK</v>
      </c>
      <c r="U635" s="303" t="str">
        <f>+CONCATENATE(WEEKNUM(Tabla8[[#This Row],[FECHA]]),"-",YEAR(Tabla8[[#This Row],[FECHA]]))</f>
        <v>12-2026</v>
      </c>
    </row>
    <row r="636" spans="1:21" ht="15" customHeight="1">
      <c r="A636" s="22">
        <v>46099</v>
      </c>
      <c r="B636" s="16" t="s">
        <v>191</v>
      </c>
      <c r="C636" s="10" t="s">
        <v>36</v>
      </c>
      <c r="D636" s="381">
        <v>0.3840277777777778</v>
      </c>
      <c r="E636" s="381">
        <v>0.41736111111111113</v>
      </c>
      <c r="F636" s="380">
        <f>+MOD(Tabla8[[#This Row],[HR. FIN]]-Tabla8[[#This Row],[HR. INICIO]],1)</f>
        <v>3.3333333333333326E-2</v>
      </c>
      <c r="G636" s="16" t="s">
        <v>98</v>
      </c>
      <c r="H636" s="343" t="str">
        <f>IFERROR(VLOOKUP(G636,DATOS!$M$2:$N$219,2,FALSE),"")</f>
        <v>Maquinaria</v>
      </c>
      <c r="I636" s="115" t="s">
        <v>32</v>
      </c>
      <c r="J636" s="115" t="str">
        <f>+VLOOKUP($I636,Tabla7[#All],2,FALSE)</f>
        <v>PROGRAMADA</v>
      </c>
      <c r="K636" s="114" t="str">
        <f>IF(VLOOKUP(I636,Tabla7[#All],3,FALSE)=0,"",VLOOKUP(I636,Tabla7[#All],3,FALSE))</f>
        <v/>
      </c>
      <c r="L636" s="35" t="s">
        <v>76</v>
      </c>
      <c r="M636" s="35" t="s">
        <v>121</v>
      </c>
      <c r="N636" s="35" t="str" cm="1">
        <f t="array" ref="N636">IFERROR(IF(Tabla8[[#This Row],[P/NP]]="NO PROGRAMADA","",_xlfn.TEXTJOIN(", ",TRUE,_xlfn._xlws.FILTER(Tabla4[[#All],[PIEZA]],ISNUMBER(SEARCH(Tabla4[[#All],[PCLAVE]],Tabla8[[#This Row],[DESCRIPCION DE TRABAJO]])),""))),"")</f>
        <v/>
      </c>
      <c r="O636" s="35" t="str" cm="1">
        <f t="array" ref="O636">_xlfn.TEXTJOIN(", ",TRUE,_xlfn._xlws.FILTER(Tabla28[[#All],[PARTE]],ISNUMBER(SEARCH(Tabla28[[#All],[PCLAVE2]],Tabla8[[#This Row],[DESCRIPCION DE TRABAJO]])),""))</f>
        <v/>
      </c>
      <c r="P636" s="303" t="str">
        <f>IFERROR(LEFT(O636, FIND(",", O636)-1), O636)</f>
        <v/>
      </c>
      <c r="Q636" s="303" t="str">
        <f>IFERROR(IF(ISERROR(FIND(",", O636, FIND(",", O636)+1)), RIGHT(O636, LEN(O636)-FIND(",", O636)-1), MID(O636, FIND(",", O636)+2, FIND(",", O636, FIND(",", O636)+1)-FIND(",", O636)-2)), "")</f>
        <v/>
      </c>
      <c r="R636" s="303" t="str">
        <f>IFERROR(RIGHT(O636, LEN(O636)-FIND(",", O636, FIND(",", O636)+1)-1), "")</f>
        <v/>
      </c>
      <c r="S636" s="35" t="str" cm="1">
        <f t="array" ref="S636">_xlfn.TEXTJOIN(", ",TRUE,_xlfn._xlws.FILTER(Tabla29[[#All],[PARTE]],ISNUMBER(SEARCH(Tabla29[[#All],[PCLAVE3]],Tabla8[[#This Row],[DESCRIPCION DE TRABAJO]])),""))</f>
        <v/>
      </c>
      <c r="T636" s="34" t="str">
        <f>IF(AND(Tabla8[[#This Row],[PIEZA]]="",Tabla8[[#This Row],[PARTE]]=""),"VACIO","OK")</f>
        <v>VACIO</v>
      </c>
      <c r="U636" s="303" t="str">
        <f>+CONCATENATE(WEEKNUM(Tabla8[[#This Row],[FECHA]]),"-",YEAR(Tabla8[[#This Row],[FECHA]]))</f>
        <v>12-2026</v>
      </c>
    </row>
    <row r="637" spans="1:21" ht="15" customHeight="1">
      <c r="A637" s="22">
        <v>46099</v>
      </c>
      <c r="B637" s="16" t="s">
        <v>191</v>
      </c>
      <c r="C637" s="10" t="s">
        <v>36</v>
      </c>
      <c r="D637" s="381">
        <v>0.3</v>
      </c>
      <c r="E637" s="381">
        <v>0.33194444444444443</v>
      </c>
      <c r="F637" s="380">
        <f>+MOD(Tabla8[[#This Row],[HR. FIN]]-Tabla8[[#This Row],[HR. INICIO]],1)</f>
        <v>3.1944444444444442E-2</v>
      </c>
      <c r="G637" s="16" t="s">
        <v>182</v>
      </c>
      <c r="H637" s="343" t="str">
        <f>IFERROR(VLOOKUP(G637,DATOS!$M$2:$N$219,2,FALSE),"")</f>
        <v>Maquinaria</v>
      </c>
      <c r="I637" s="115" t="s">
        <v>57</v>
      </c>
      <c r="J637" s="115" t="str">
        <f>+VLOOKUP($I637,Tabla7[#All],2,FALSE)</f>
        <v>NO PROGRAMADA</v>
      </c>
      <c r="K637" s="114" t="str">
        <f>IF(VLOOKUP(I637,Tabla7[#All],3,FALSE)=0,"",VLOOKUP(I637,Tabla7[#All],3,FALSE))</f>
        <v>MECÁNICA</v>
      </c>
      <c r="L637" s="35" t="s">
        <v>1344</v>
      </c>
      <c r="M637" s="35" t="s">
        <v>1345</v>
      </c>
      <c r="N637" s="35" t="str" cm="1">
        <f t="array" ref="N637">IFERROR(IF(Tabla8[[#This Row],[P/NP]]="NO PROGRAMADA","",_xlfn.TEXTJOIN(", ",TRUE,_xlfn._xlws.FILTER(Tabla4[[#All],[PIEZA]],ISNUMBER(SEARCH(Tabla4[[#All],[PCLAVE]],Tabla8[[#This Row],[DESCRIPCION DE TRABAJO]])),""))),"")</f>
        <v/>
      </c>
      <c r="O637" s="35" t="str" cm="1">
        <f t="array" ref="O637">_xlfn.TEXTJOIN(", ",TRUE,_xlfn._xlws.FILTER(Tabla28[[#All],[PARTE]],ISNUMBER(SEARCH(Tabla28[[#All],[PCLAVE2]],Tabla8[[#This Row],[DESCRIPCION DE TRABAJO]])),""))</f>
        <v/>
      </c>
      <c r="P637" s="303" t="str">
        <f>IFERROR(LEFT(O637, FIND(",", O637)-1), O637)</f>
        <v/>
      </c>
      <c r="Q637" s="303" t="str">
        <f>IFERROR(IF(ISERROR(FIND(",", O637, FIND(",", O637)+1)), RIGHT(O637, LEN(O637)-FIND(",", O637)-1), MID(O637, FIND(",", O637)+2, FIND(",", O637, FIND(",", O637)+1)-FIND(",", O637)-2)), "")</f>
        <v/>
      </c>
      <c r="R637" s="303" t="str">
        <f>IFERROR(RIGHT(O637, LEN(O637)-FIND(",", O637, FIND(",", O637)+1)-1), "")</f>
        <v/>
      </c>
      <c r="S637" s="35" t="str" cm="1">
        <f t="array" ref="S637">_xlfn.TEXTJOIN(", ",TRUE,_xlfn._xlws.FILTER(Tabla29[[#All],[PARTE]],ISNUMBER(SEARCH(Tabla29[[#All],[PCLAVE3]],Tabla8[[#This Row],[DESCRIPCION DE TRABAJO]])),""))</f>
        <v>Fuera De Posicion, Soltura</v>
      </c>
      <c r="T637" s="34" t="str">
        <f>IF(AND(Tabla8[[#This Row],[PIEZA]]="",Tabla8[[#This Row],[PARTE]]=""),"VACIO","OK")</f>
        <v>VACIO</v>
      </c>
      <c r="U637" s="303" t="str">
        <f>+CONCATENATE(WEEKNUM(Tabla8[[#This Row],[FECHA]]),"-",YEAR(Tabla8[[#This Row],[FECHA]]))</f>
        <v>12-2026</v>
      </c>
    </row>
    <row r="638" spans="1:21" ht="15" customHeight="1">
      <c r="A638" s="22">
        <v>46099</v>
      </c>
      <c r="B638" s="16" t="s">
        <v>191</v>
      </c>
      <c r="C638" s="10" t="s">
        <v>36</v>
      </c>
      <c r="D638" s="381">
        <v>0.42499999999999999</v>
      </c>
      <c r="E638" s="381">
        <v>0.45694444444444443</v>
      </c>
      <c r="F638" s="380">
        <f>+MOD(Tabla8[[#This Row],[HR. FIN]]-Tabla8[[#This Row],[HR. INICIO]],1)</f>
        <v>3.1944444444444442E-2</v>
      </c>
      <c r="G638" s="16" t="s">
        <v>328</v>
      </c>
      <c r="H638" s="343" t="str">
        <f>IFERROR(VLOOKUP(G638,DATOS!$M$2:$N$219,2,FALSE),"")</f>
        <v>Area</v>
      </c>
      <c r="I638" s="115" t="s">
        <v>32</v>
      </c>
      <c r="J638" s="115" t="str">
        <f>+VLOOKUP($I638,Tabla7[#All],2,FALSE)</f>
        <v>PROGRAMADA</v>
      </c>
      <c r="K638" s="114" t="str">
        <f>IF(VLOOKUP(I638,Tabla7[#All],3,FALSE)=0,"",VLOOKUP(I638,Tabla7[#All],3,FALSE))</f>
        <v/>
      </c>
      <c r="L638" s="35" t="s">
        <v>1346</v>
      </c>
      <c r="M638" s="35" t="s">
        <v>121</v>
      </c>
      <c r="N638" s="35" t="str" cm="1">
        <f t="array" ref="N638">IFERROR(IF(Tabla8[[#This Row],[P/NP]]="NO PROGRAMADA","",_xlfn.TEXTJOIN(", ",TRUE,_xlfn._xlws.FILTER(Tabla4[[#All],[PIEZA]],ISNUMBER(SEARCH(Tabla4[[#All],[PCLAVE]],Tabla8[[#This Row],[DESCRIPCION DE TRABAJO]])),""))),"")</f>
        <v>Bomba , Cadena, Transmisión</v>
      </c>
      <c r="O638" s="35" t="str" cm="1">
        <f t="array" ref="O638">_xlfn.TEXTJOIN(", ",TRUE,_xlfn._xlws.FILTER(Tabla28[[#All],[PARTE]],ISNUMBER(SEARCH(Tabla28[[#All],[PCLAVE2]],Tabla8[[#This Row],[DESCRIPCION DE TRABAJO]])),""))</f>
        <v>Sammfill, Extension</v>
      </c>
      <c r="P638" s="303" t="str">
        <f>IFERROR(LEFT(O638, FIND(",", O638)-1), O638)</f>
        <v>Sammfill</v>
      </c>
      <c r="Q638" s="303" t="str">
        <f>IFERROR(IF(ISERROR(FIND(",", O638, FIND(",", O638)+1)), RIGHT(O638, LEN(O638)-FIND(",", O638)-1), MID(O638, FIND(",", O638)+2, FIND(",", O638, FIND(",", O638)+1)-FIND(",", O638)-2)), "")</f>
        <v>Extension</v>
      </c>
      <c r="R638" s="303" t="str">
        <f>IFERROR(RIGHT(O638, LEN(O638)-FIND(",", O638, FIND(",", O638)+1)-1), "")</f>
        <v/>
      </c>
      <c r="S638" s="35" t="str" cm="1">
        <f t="array" ref="S638">_xlfn.TEXTJOIN(", ",TRUE,_xlfn._xlws.FILTER(Tabla29[[#All],[PARTE]],ISNUMBER(SEARCH(Tabla29[[#All],[PCLAVE3]],Tabla8[[#This Row],[DESCRIPCION DE TRABAJO]])),""))</f>
        <v>Setup</v>
      </c>
      <c r="T638" s="34" t="str">
        <f>IF(AND(Tabla8[[#This Row],[PIEZA]]="",Tabla8[[#This Row],[PARTE]]=""),"VACIO","OK")</f>
        <v>OK</v>
      </c>
      <c r="U638" s="303" t="str">
        <f>+CONCATENATE(WEEKNUM(Tabla8[[#This Row],[FECHA]]),"-",YEAR(Tabla8[[#This Row],[FECHA]]))</f>
        <v>12-2026</v>
      </c>
    </row>
    <row r="639" spans="1:21" ht="15" customHeight="1">
      <c r="A639" s="22">
        <v>46099</v>
      </c>
      <c r="B639" s="16" t="s">
        <v>179</v>
      </c>
      <c r="C639" s="10" t="s">
        <v>36</v>
      </c>
      <c r="D639" s="381">
        <v>0.39583333333333331</v>
      </c>
      <c r="E639" s="381">
        <v>0.4236111111111111</v>
      </c>
      <c r="F639" s="380">
        <f>+MOD(Tabla8[[#This Row],[HR. FIN]]-Tabla8[[#This Row],[HR. INICIO]],1)</f>
        <v>2.777777777777779E-2</v>
      </c>
      <c r="G639" s="16" t="s">
        <v>98</v>
      </c>
      <c r="H639" s="343" t="str">
        <f>IFERROR(VLOOKUP(G639,DATOS!$M$2:$N$219,2,FALSE),"")</f>
        <v>Maquinaria</v>
      </c>
      <c r="I639" s="115" t="s">
        <v>32</v>
      </c>
      <c r="J639" s="115" t="str">
        <f>+VLOOKUP($I639,Tabla7[#All],2,FALSE)</f>
        <v>PROGRAMADA</v>
      </c>
      <c r="K639" s="114" t="str">
        <f>IF(VLOOKUP(I639,Tabla7[#All],3,FALSE)=0,"",VLOOKUP(I639,Tabla7[#All],3,FALSE))</f>
        <v/>
      </c>
      <c r="L639" s="35" t="s">
        <v>1347</v>
      </c>
      <c r="M639" s="35" t="s">
        <v>121</v>
      </c>
      <c r="N639" s="35" t="str" cm="1">
        <f t="array" ref="N639">IFERROR(IF(Tabla8[[#This Row],[P/NP]]="NO PROGRAMADA","",_xlfn.TEXTJOIN(", ",TRUE,_xlfn._xlws.FILTER(Tabla4[[#All],[PIEZA]],ISNUMBER(SEARCH(Tabla4[[#All],[PCLAVE]],Tabla8[[#This Row],[DESCRIPCION DE TRABAJO]])),""))),"")</f>
        <v>Producto</v>
      </c>
      <c r="O639" s="35" t="str" cm="1">
        <f t="array" ref="O639">_xlfn.TEXTJOIN(", ",TRUE,_xlfn._xlws.FILTER(Tabla28[[#All],[PARTE]],ISNUMBER(SEARCH(Tabla28[[#All],[PCLAVE2]],Tabla8[[#This Row],[DESCRIPCION DE TRABAJO]])),""))</f>
        <v/>
      </c>
      <c r="P639" s="303" t="str">
        <f>IFERROR(LEFT(O639, FIND(",", O639)-1), O639)</f>
        <v/>
      </c>
      <c r="Q639" s="303" t="str">
        <f>IFERROR(IF(ISERROR(FIND(",", O639, FIND(",", O639)+1)), RIGHT(O639, LEN(O639)-FIND(",", O639)-1), MID(O639, FIND(",", O639)+2, FIND(",", O639, FIND(",", O639)+1)-FIND(",", O639)-2)), "")</f>
        <v/>
      </c>
      <c r="R639" s="303" t="str">
        <f>IFERROR(RIGHT(O639, LEN(O639)-FIND(",", O639, FIND(",", O639)+1)-1), "")</f>
        <v/>
      </c>
      <c r="S639" s="35" t="str" cm="1">
        <f t="array" ref="S639">_xlfn.TEXTJOIN(", ",TRUE,_xlfn._xlws.FILTER(Tabla29[[#All],[PARTE]],ISNUMBER(SEARCH(Tabla29[[#All],[PCLAVE3]],Tabla8[[#This Row],[DESCRIPCION DE TRABAJO]])),""))</f>
        <v/>
      </c>
      <c r="T639" s="34" t="str">
        <f>IF(AND(Tabla8[[#This Row],[PIEZA]]="",Tabla8[[#This Row],[PARTE]]=""),"VACIO","OK")</f>
        <v>OK</v>
      </c>
      <c r="U639" s="303" t="str">
        <f>+CONCATENATE(WEEKNUM(Tabla8[[#This Row],[FECHA]]),"-",YEAR(Tabla8[[#This Row],[FECHA]]))</f>
        <v>12-2026</v>
      </c>
    </row>
    <row r="640" spans="1:21" ht="15" customHeight="1">
      <c r="A640" s="22">
        <v>46099</v>
      </c>
      <c r="B640" s="16" t="s">
        <v>88</v>
      </c>
      <c r="C640" s="10" t="s">
        <v>39</v>
      </c>
      <c r="D640" s="381">
        <v>0.96875</v>
      </c>
      <c r="E640" s="381">
        <v>0.99305555555555558</v>
      </c>
      <c r="F640" s="380">
        <f>+MOD(Tabla8[[#This Row],[HR. FIN]]-Tabla8[[#This Row],[HR. INICIO]],1)</f>
        <v>2.430555555555558E-2</v>
      </c>
      <c r="G640" s="16" t="s">
        <v>182</v>
      </c>
      <c r="H640" s="343" t="str">
        <f>IFERROR(VLOOKUP(G640,DATOS!$M$2:$N$219,2,FALSE),"")</f>
        <v>Maquinaria</v>
      </c>
      <c r="I640" s="115" t="s">
        <v>32</v>
      </c>
      <c r="J640" s="115" t="str">
        <f>+VLOOKUP($I640,Tabla7[#All],2,FALSE)</f>
        <v>PROGRAMADA</v>
      </c>
      <c r="K640" s="114" t="str">
        <f>IF(VLOOKUP(I640,Tabla7[#All],3,FALSE)=0,"",VLOOKUP(I640,Tabla7[#All],3,FALSE))</f>
        <v/>
      </c>
      <c r="L640" s="35" t="s">
        <v>1348</v>
      </c>
      <c r="M640" s="35" t="s">
        <v>1349</v>
      </c>
      <c r="N640" s="35" t="str" cm="1">
        <f t="array" ref="N640">IFERROR(IF(Tabla8[[#This Row],[P/NP]]="NO PROGRAMADA","",_xlfn.TEXTJOIN(", ",TRUE,_xlfn._xlws.FILTER(Tabla4[[#All],[PIEZA]],ISNUMBER(SEARCH(Tabla4[[#All],[PCLAVE]],Tabla8[[#This Row],[DESCRIPCION DE TRABAJO]])),""))),"")</f>
        <v/>
      </c>
      <c r="O640" s="35" t="str" cm="1">
        <f t="array" ref="O640">_xlfn.TEXTJOIN(", ",TRUE,_xlfn._xlws.FILTER(Tabla28[[#All],[PARTE]],ISNUMBER(SEARCH(Tabla28[[#All],[PCLAVE2]],Tabla8[[#This Row],[DESCRIPCION DE TRABAJO]])),""))</f>
        <v/>
      </c>
      <c r="P640" s="303" t="str">
        <f>IFERROR(LEFT(O640, FIND(",", O640)-1), O640)</f>
        <v/>
      </c>
      <c r="Q640" s="303" t="str">
        <f>IFERROR(IF(ISERROR(FIND(",", O640, FIND(",", O640)+1)), RIGHT(O640, LEN(O640)-FIND(",", O640)-1), MID(O640, FIND(",", O640)+2, FIND(",", O640, FIND(",", O640)+1)-FIND(",", O640)-2)), "")</f>
        <v/>
      </c>
      <c r="R640" s="303" t="str">
        <f>IFERROR(RIGHT(O640, LEN(O640)-FIND(",", O640, FIND(",", O640)+1)-1), "")</f>
        <v/>
      </c>
      <c r="S640" s="35" t="str" cm="1">
        <f t="array" ref="S640">_xlfn.TEXTJOIN(", ",TRUE,_xlfn._xlws.FILTER(Tabla29[[#All],[PARTE]],ISNUMBER(SEARCH(Tabla29[[#All],[PCLAVE3]],Tabla8[[#This Row],[DESCRIPCION DE TRABAJO]])),""))</f>
        <v>Calibracion, Cambio De Formato</v>
      </c>
      <c r="T640" s="34" t="str">
        <f>IF(AND(Tabla8[[#This Row],[PIEZA]]="",Tabla8[[#This Row],[PARTE]]=""),"VACIO","OK")</f>
        <v>VACIO</v>
      </c>
      <c r="U640" s="303" t="str">
        <f>+CONCATENATE(WEEKNUM(Tabla8[[#This Row],[FECHA]]),"-",YEAR(Tabla8[[#This Row],[FECHA]]))</f>
        <v>12-2026</v>
      </c>
    </row>
    <row r="641" spans="1:21" ht="15" customHeight="1">
      <c r="A641" s="22">
        <v>46099</v>
      </c>
      <c r="B641" s="16" t="s">
        <v>191</v>
      </c>
      <c r="C641" s="10" t="s">
        <v>36</v>
      </c>
      <c r="D641" s="381">
        <v>0.35347222222222224</v>
      </c>
      <c r="E641" s="381">
        <v>0.37638888888888888</v>
      </c>
      <c r="F641" s="380">
        <f>+MOD(Tabla8[[#This Row],[HR. FIN]]-Tabla8[[#This Row],[HR. INICIO]],1)</f>
        <v>2.2916666666666641E-2</v>
      </c>
      <c r="G641" s="16" t="s">
        <v>49</v>
      </c>
      <c r="H641" s="343" t="str">
        <f>IFERROR(VLOOKUP(G641,DATOS!$M$2:$N$219,2,FALSE),"")</f>
        <v>Area</v>
      </c>
      <c r="I641" s="115" t="s">
        <v>25</v>
      </c>
      <c r="J641" s="115" t="str">
        <f>+VLOOKUP($I641,Tabla7[#All],2,FALSE)</f>
        <v>PROGRAMADA</v>
      </c>
      <c r="K641" s="114" t="str">
        <f>IF(VLOOKUP(I641,Tabla7[#All],3,FALSE)=0,"",VLOOKUP(I641,Tabla7[#All],3,FALSE))</f>
        <v/>
      </c>
      <c r="L641" s="35" t="s">
        <v>1350</v>
      </c>
      <c r="M641" s="35" t="s">
        <v>1351</v>
      </c>
      <c r="N641" s="35" t="str" cm="1">
        <f t="array" ref="N641">IFERROR(IF(Tabla8[[#This Row],[P/NP]]="NO PROGRAMADA","",_xlfn.TEXTJOIN(", ",TRUE,_xlfn._xlws.FILTER(Tabla4[[#All],[PIEZA]],ISNUMBER(SEARCH(Tabla4[[#All],[PCLAVE]],Tabla8[[#This Row],[DESCRIPCION DE TRABAJO]])),""))),"")</f>
        <v/>
      </c>
      <c r="O641" s="35" t="str" cm="1">
        <f t="array" ref="O641">_xlfn.TEXTJOIN(", ",TRUE,_xlfn._xlws.FILTER(Tabla28[[#All],[PARTE]],ISNUMBER(SEARCH(Tabla28[[#All],[PCLAVE2]],Tabla8[[#This Row],[DESCRIPCION DE TRABAJO]])),""))</f>
        <v/>
      </c>
      <c r="P641" s="303" t="str">
        <f>IFERROR(LEFT(O641, FIND(",", O641)-1), O641)</f>
        <v/>
      </c>
      <c r="Q641" s="303" t="str">
        <f>IFERROR(IF(ISERROR(FIND(",", O641, FIND(",", O641)+1)), RIGHT(O641, LEN(O641)-FIND(",", O641)-1), MID(O641, FIND(",", O641)+2, FIND(",", O641, FIND(",", O641)+1)-FIND(",", O641)-2)), "")</f>
        <v/>
      </c>
      <c r="R641" s="303" t="str">
        <f>IFERROR(RIGHT(O641, LEN(O641)-FIND(",", O641, FIND(",", O641)+1)-1), "")</f>
        <v/>
      </c>
      <c r="S641" s="35" t="str" cm="1">
        <f t="array" ref="S641">_xlfn.TEXTJOIN(", ",TRUE,_xlfn._xlws.FILTER(Tabla29[[#All],[PARTE]],ISNUMBER(SEARCH(Tabla29[[#All],[PCLAVE3]],Tabla8[[#This Row],[DESCRIPCION DE TRABAJO]])),""))</f>
        <v/>
      </c>
      <c r="T641" s="34" t="str">
        <f>IF(AND(Tabla8[[#This Row],[PIEZA]]="",Tabla8[[#This Row],[PARTE]]=""),"VACIO","OK")</f>
        <v>VACIO</v>
      </c>
      <c r="U641" s="303" t="str">
        <f>+CONCATENATE(WEEKNUM(Tabla8[[#This Row],[FECHA]]),"-",YEAR(Tabla8[[#This Row],[FECHA]]))</f>
        <v>12-2026</v>
      </c>
    </row>
    <row r="642" spans="1:21" ht="15" customHeight="1">
      <c r="A642" s="22">
        <v>46099</v>
      </c>
      <c r="B642" s="16" t="s">
        <v>88</v>
      </c>
      <c r="C642" s="10" t="s">
        <v>39</v>
      </c>
      <c r="D642" s="381">
        <v>0.9375</v>
      </c>
      <c r="E642" s="381">
        <v>0.95833333333333337</v>
      </c>
      <c r="F642" s="380">
        <f>+MOD(Tabla8[[#This Row],[HR. FIN]]-Tabla8[[#This Row],[HR. INICIO]],1)</f>
        <v>2.083333333333337E-2</v>
      </c>
      <c r="G642" s="16" t="s">
        <v>965</v>
      </c>
      <c r="H642" s="343" t="str">
        <f>IFERROR(VLOOKUP(G642,DATOS!$M$2:$N$219,2,FALSE),"")</f>
        <v>Maquinaria</v>
      </c>
      <c r="I642" s="115" t="s">
        <v>32</v>
      </c>
      <c r="J642" s="115" t="s">
        <v>92</v>
      </c>
      <c r="K642" s="114" t="s">
        <v>93</v>
      </c>
      <c r="L642" s="35" t="s">
        <v>1352</v>
      </c>
      <c r="M642" s="35" t="s">
        <v>1353</v>
      </c>
      <c r="N642" s="35" t="str" cm="1">
        <f t="array" ref="N642">IFERROR(IF(Tabla8[[#This Row],[P/NP]]="NO PROGRAMADA","",_xlfn.TEXTJOIN(", ",TRUE,_xlfn._xlws.FILTER(Tabla4[[#All],[PIEZA]],ISNUMBER(SEARCH(Tabla4[[#All],[PCLAVE]],Tabla8[[#This Row],[DESCRIPCION DE TRABAJO]])),""))),"")</f>
        <v/>
      </c>
      <c r="O642" s="35" t="str" cm="1">
        <f t="array" ref="O642">_xlfn.TEXTJOIN(", ",TRUE,_xlfn._xlws.FILTER(Tabla28[[#All],[PARTE]],ISNUMBER(SEARCH(Tabla28[[#All],[PCLAVE2]],Tabla8[[#This Row],[DESCRIPCION DE TRABAJO]])),""))</f>
        <v/>
      </c>
      <c r="P642" s="303" t="str">
        <f>IFERROR(LEFT(O642, FIND(",", O642)-1), O642)</f>
        <v/>
      </c>
      <c r="Q642" s="303" t="str">
        <f>IFERROR(IF(ISERROR(FIND(",", O642, FIND(",", O642)+1)), RIGHT(O642, LEN(O642)-FIND(",", O642)-1), MID(O642, FIND(",", O642)+2, FIND(",", O642, FIND(",", O642)+1)-FIND(",", O642)-2)), "")</f>
        <v/>
      </c>
      <c r="R642" s="303" t="str">
        <f>IFERROR(RIGHT(O642, LEN(O642)-FIND(",", O642, FIND(",", O642)+1)-1), "")</f>
        <v/>
      </c>
      <c r="S642" s="35" t="str" cm="1">
        <f t="array" ref="S642">_xlfn.TEXTJOIN(", ",TRUE,_xlfn._xlws.FILTER(Tabla29[[#All],[PARTE]],ISNUMBER(SEARCH(Tabla29[[#All],[PCLAVE3]],Tabla8[[#This Row],[DESCRIPCION DE TRABAJO]])),""))</f>
        <v/>
      </c>
      <c r="T642" s="34" t="str">
        <f>IF(AND(Tabla8[[#This Row],[PIEZA]]="",Tabla8[[#This Row],[PARTE]]=""),"VACIO","OK")</f>
        <v>VACIO</v>
      </c>
      <c r="U642" s="303" t="str">
        <f>+CONCATENATE(WEEKNUM(Tabla8[[#This Row],[FECHA]]),"-",YEAR(Tabla8[[#This Row],[FECHA]]))</f>
        <v>12-2026</v>
      </c>
    </row>
    <row r="643" spans="1:21" ht="15" customHeight="1">
      <c r="A643" s="22">
        <v>46099</v>
      </c>
      <c r="B643" s="16" t="s">
        <v>179</v>
      </c>
      <c r="C643" s="10" t="s">
        <v>36</v>
      </c>
      <c r="D643" s="381">
        <v>0.35416666666666669</v>
      </c>
      <c r="E643" s="381">
        <v>0.375</v>
      </c>
      <c r="F643" s="380">
        <f>+MOD(Tabla8[[#This Row],[HR. FIN]]-Tabla8[[#This Row],[HR. INICIO]],1)</f>
        <v>2.0833333333333315E-2</v>
      </c>
      <c r="G643" s="16" t="s">
        <v>49</v>
      </c>
      <c r="H643" s="343" t="str">
        <f>IFERROR(VLOOKUP(G643,DATOS!$M$2:$N$219,2,FALSE),"")</f>
        <v>Area</v>
      </c>
      <c r="I643" s="115" t="s">
        <v>57</v>
      </c>
      <c r="J643" s="115" t="str">
        <f>+VLOOKUP($I643,Tabla7[#All],2,FALSE)</f>
        <v>NO PROGRAMADA</v>
      </c>
      <c r="K643" s="114" t="s">
        <v>148</v>
      </c>
      <c r="L643" s="35" t="s">
        <v>1354</v>
      </c>
      <c r="M643" s="35" t="s">
        <v>1355</v>
      </c>
      <c r="N643" s="35" t="str" cm="1">
        <f t="array" ref="N643">IFERROR(IF(Tabla8[[#This Row],[P/NP]]="NO PROGRAMADA","",_xlfn.TEXTJOIN(", ",TRUE,_xlfn._xlws.FILTER(Tabla4[[#All],[PIEZA]],ISNUMBER(SEARCH(Tabla4[[#All],[PCLAVE]],Tabla8[[#This Row],[DESCRIPCION DE TRABAJO]])),""))),"")</f>
        <v/>
      </c>
      <c r="O643" s="35" t="str" cm="1">
        <f t="array" ref="O643">_xlfn.TEXTJOIN(", ",TRUE,_xlfn._xlws.FILTER(Tabla28[[#All],[PARTE]],ISNUMBER(SEARCH(Tabla28[[#All],[PCLAVE2]],Tabla8[[#This Row],[DESCRIPCION DE TRABAJO]])),""))</f>
        <v/>
      </c>
      <c r="P643" s="303" t="str">
        <f>IFERROR(LEFT(O643, FIND(",", O643)-1), O643)</f>
        <v/>
      </c>
      <c r="Q643" s="303" t="str">
        <f>IFERROR(IF(ISERROR(FIND(",", O643, FIND(",", O643)+1)), RIGHT(O643, LEN(O643)-FIND(",", O643)-1), MID(O643, FIND(",", O643)+2, FIND(",", O643, FIND(",", O643)+1)-FIND(",", O643)-2)), "")</f>
        <v/>
      </c>
      <c r="R643" s="303" t="str">
        <f>IFERROR(RIGHT(O643, LEN(O643)-FIND(",", O643, FIND(",", O643)+1)-1), "")</f>
        <v/>
      </c>
      <c r="S643" s="35" t="str" cm="1">
        <f t="array" ref="S643">_xlfn.TEXTJOIN(", ",TRUE,_xlfn._xlws.FILTER(Tabla29[[#All],[PARTE]],ISNUMBER(SEARCH(Tabla29[[#All],[PCLAVE3]],Tabla8[[#This Row],[DESCRIPCION DE TRABAJO]])),""))</f>
        <v>Temperatura, Temperatura</v>
      </c>
      <c r="T643" s="34" t="str">
        <f>IF(AND(Tabla8[[#This Row],[PIEZA]]="",Tabla8[[#This Row],[PARTE]]=""),"VACIO","OK")</f>
        <v>VACIO</v>
      </c>
      <c r="U643" s="303" t="str">
        <f>+CONCATENATE(WEEKNUM(Tabla8[[#This Row],[FECHA]]),"-",YEAR(Tabla8[[#This Row],[FECHA]]))</f>
        <v>12-2026</v>
      </c>
    </row>
    <row r="644" spans="1:21" ht="15" customHeight="1">
      <c r="A644" s="22">
        <v>46099</v>
      </c>
      <c r="B644" s="16" t="s">
        <v>179</v>
      </c>
      <c r="C644" s="10" t="s">
        <v>36</v>
      </c>
      <c r="D644" s="381">
        <v>0.52083333333333337</v>
      </c>
      <c r="E644" s="381">
        <v>0.54166666666666663</v>
      </c>
      <c r="F644" s="380">
        <f>+MOD(Tabla8[[#This Row],[HR. FIN]]-Tabla8[[#This Row],[HR. INICIO]],1)</f>
        <v>2.0833333333333259E-2</v>
      </c>
      <c r="G644" s="16" t="s">
        <v>169</v>
      </c>
      <c r="H644" s="343" t="str">
        <f>IFERROR(VLOOKUP(G644,DATOS!$M$2:$N$219,2,FALSE),"")</f>
        <v>Maquinaria</v>
      </c>
      <c r="I644" s="115" t="s">
        <v>32</v>
      </c>
      <c r="J644" s="115" t="str">
        <f>+VLOOKUP($I644,Tabla7[#All],2,FALSE)</f>
        <v>PROGRAMADA</v>
      </c>
      <c r="K644" s="114" t="str">
        <f>IF(VLOOKUP(I644,Tabla7[#All],3,FALSE)=0,"",VLOOKUP(I644,Tabla7[#All],3,FALSE))</f>
        <v/>
      </c>
      <c r="L644" s="35" t="s">
        <v>1356</v>
      </c>
      <c r="M644" s="35" t="s">
        <v>121</v>
      </c>
      <c r="N644" s="35" t="str" cm="1">
        <f t="array" ref="N644">IFERROR(IF(Tabla8[[#This Row],[P/NP]]="NO PROGRAMADA","",_xlfn.TEXTJOIN(", ",TRUE,_xlfn._xlws.FILTER(Tabla4[[#All],[PIEZA]],ISNUMBER(SEARCH(Tabla4[[#All],[PCLAVE]],Tabla8[[#This Row],[DESCRIPCION DE TRABAJO]])),""))),"")</f>
        <v>Producto</v>
      </c>
      <c r="O644" s="35" t="str" cm="1">
        <f t="array" ref="O644">_xlfn.TEXTJOIN(", ",TRUE,_xlfn._xlws.FILTER(Tabla28[[#All],[PARTE]],ISNUMBER(SEARCH(Tabla28[[#All],[PCLAVE2]],Tabla8[[#This Row],[DESCRIPCION DE TRABAJO]])),""))</f>
        <v/>
      </c>
      <c r="P644" s="303" t="str">
        <f>IFERROR(LEFT(O644, FIND(",", O644)-1), O644)</f>
        <v/>
      </c>
      <c r="Q644" s="303" t="str">
        <f>IFERROR(IF(ISERROR(FIND(",", O644, FIND(",", O644)+1)), RIGHT(O644, LEN(O644)-FIND(",", O644)-1), MID(O644, FIND(",", O644)+2, FIND(",", O644, FIND(",", O644)+1)-FIND(",", O644)-2)), "")</f>
        <v/>
      </c>
      <c r="R644" s="303" t="str">
        <f>IFERROR(RIGHT(O644, LEN(O644)-FIND(",", O644, FIND(",", O644)+1)-1), "")</f>
        <v/>
      </c>
      <c r="S644" s="35" t="str" cm="1">
        <f t="array" ref="S644">_xlfn.TEXTJOIN(", ",TRUE,_xlfn._xlws.FILTER(Tabla29[[#All],[PARTE]],ISNUMBER(SEARCH(Tabla29[[#All],[PCLAVE3]],Tabla8[[#This Row],[DESCRIPCION DE TRABAJO]])),""))</f>
        <v/>
      </c>
      <c r="T644" s="34" t="str">
        <f>IF(AND(Tabla8[[#This Row],[PIEZA]]="",Tabla8[[#This Row],[PARTE]]=""),"VACIO","OK")</f>
        <v>OK</v>
      </c>
      <c r="U644" s="303" t="str">
        <f>+CONCATENATE(WEEKNUM(Tabla8[[#This Row],[FECHA]]),"-",YEAR(Tabla8[[#This Row],[FECHA]]))</f>
        <v>12-2026</v>
      </c>
    </row>
    <row r="645" spans="1:21" ht="15" customHeight="1">
      <c r="A645" s="22">
        <v>46099</v>
      </c>
      <c r="B645" s="16" t="s">
        <v>179</v>
      </c>
      <c r="C645" s="10" t="s">
        <v>36</v>
      </c>
      <c r="D645" s="381">
        <v>0.55555555555555558</v>
      </c>
      <c r="E645" s="381">
        <v>0.57638888888888884</v>
      </c>
      <c r="F645" s="380">
        <f>+MOD(Tabla8[[#This Row],[HR. FIN]]-Tabla8[[#This Row],[HR. INICIO]],1)</f>
        <v>2.0833333333333259E-2</v>
      </c>
      <c r="G645" s="16" t="s">
        <v>169</v>
      </c>
      <c r="H645" s="343" t="str">
        <f>IFERROR(VLOOKUP(G645,DATOS!$M$2:$N$219,2,FALSE),"")</f>
        <v>Maquinaria</v>
      </c>
      <c r="I645" s="115" t="s">
        <v>32</v>
      </c>
      <c r="J645" s="115" t="str">
        <f>+VLOOKUP($I645,Tabla7[#All],2,FALSE)</f>
        <v>PROGRAMADA</v>
      </c>
      <c r="K645" s="114" t="str">
        <f>IF(VLOOKUP(I645,Tabla7[#All],3,FALSE)=0,"",VLOOKUP(I645,Tabla7[#All],3,FALSE))</f>
        <v/>
      </c>
      <c r="L645" s="35" t="s">
        <v>1357</v>
      </c>
      <c r="M645" s="35" t="s">
        <v>121</v>
      </c>
      <c r="N645" s="35" t="str" cm="1">
        <f t="array" ref="N645">IFERROR(IF(Tabla8[[#This Row],[P/NP]]="NO PROGRAMADA","",_xlfn.TEXTJOIN(", ",TRUE,_xlfn._xlws.FILTER(Tabla4[[#All],[PIEZA]],ISNUMBER(SEARCH(Tabla4[[#All],[PCLAVE]],Tabla8[[#This Row],[DESCRIPCION DE TRABAJO]])),""))),"")</f>
        <v/>
      </c>
      <c r="O645" s="35" t="str" cm="1">
        <f t="array" ref="O645">_xlfn.TEXTJOIN(", ",TRUE,_xlfn._xlws.FILTER(Tabla28[[#All],[PARTE]],ISNUMBER(SEARCH(Tabla28[[#All],[PCLAVE2]],Tabla8[[#This Row],[DESCRIPCION DE TRABAJO]])),""))</f>
        <v/>
      </c>
      <c r="P645" s="303" t="str">
        <f>IFERROR(LEFT(O645, FIND(",", O645)-1), O645)</f>
        <v/>
      </c>
      <c r="Q645" s="303" t="str">
        <f>IFERROR(IF(ISERROR(FIND(",", O645, FIND(",", O645)+1)), RIGHT(O645, LEN(O645)-FIND(",", O645)-1), MID(O645, FIND(",", O645)+2, FIND(",", O645, FIND(",", O645)+1)-FIND(",", O645)-2)), "")</f>
        <v/>
      </c>
      <c r="R645" s="303" t="str">
        <f>IFERROR(RIGHT(O645, LEN(O645)-FIND(",", O645, FIND(",", O645)+1)-1), "")</f>
        <v/>
      </c>
      <c r="S645" s="35" t="str" cm="1">
        <f t="array" ref="S645">_xlfn.TEXTJOIN(", ",TRUE,_xlfn._xlws.FILTER(Tabla29[[#All],[PARTE]],ISNUMBER(SEARCH(Tabla29[[#All],[PCLAVE3]],Tabla8[[#This Row],[DESCRIPCION DE TRABAJO]])),""))</f>
        <v/>
      </c>
      <c r="T645" s="34" t="str">
        <f>IF(AND(Tabla8[[#This Row],[PIEZA]]="",Tabla8[[#This Row],[PARTE]]=""),"VACIO","OK")</f>
        <v>VACIO</v>
      </c>
      <c r="U645" s="303" t="str">
        <f>+CONCATENATE(WEEKNUM(Tabla8[[#This Row],[FECHA]]),"-",YEAR(Tabla8[[#This Row],[FECHA]]))</f>
        <v>12-2026</v>
      </c>
    </row>
    <row r="646" spans="1:21" ht="15" customHeight="1">
      <c r="A646" s="22">
        <v>46099</v>
      </c>
      <c r="B646" s="16" t="s">
        <v>179</v>
      </c>
      <c r="C646" s="10" t="s">
        <v>36</v>
      </c>
      <c r="D646" s="381">
        <v>0.42708333333333331</v>
      </c>
      <c r="E646" s="381">
        <v>0.44444444444444442</v>
      </c>
      <c r="F646" s="380">
        <f>+MOD(Tabla8[[#This Row],[HR. FIN]]-Tabla8[[#This Row],[HR. INICIO]],1)</f>
        <v>1.7361111111111105E-2</v>
      </c>
      <c r="G646" s="16" t="s">
        <v>328</v>
      </c>
      <c r="H646" s="343" t="str">
        <f>IFERROR(VLOOKUP(G646,DATOS!$M$2:$N$219,2,FALSE),"")</f>
        <v>Area</v>
      </c>
      <c r="I646" s="115" t="s">
        <v>32</v>
      </c>
      <c r="J646" s="115" t="str">
        <f>+VLOOKUP($I646,Tabla7[#All],2,FALSE)</f>
        <v>PROGRAMADA</v>
      </c>
      <c r="K646" s="114" t="str">
        <f>IF(VLOOKUP(I646,Tabla7[#All],3,FALSE)=0,"",VLOOKUP(I646,Tabla7[#All],3,FALSE))</f>
        <v/>
      </c>
      <c r="L646" s="35" t="s">
        <v>1358</v>
      </c>
      <c r="M646" s="35" t="s">
        <v>121</v>
      </c>
      <c r="N646" s="35" t="str" cm="1">
        <f t="array" ref="N646">IFERROR(IF(Tabla8[[#This Row],[P/NP]]="NO PROGRAMADA","",_xlfn.TEXTJOIN(", ",TRUE,_xlfn._xlws.FILTER(Tabla4[[#All],[PIEZA]],ISNUMBER(SEARCH(Tabla4[[#All],[PCLAVE]],Tabla8[[#This Row],[DESCRIPCION DE TRABAJO]])),""))),"")</f>
        <v>Conector, Dientes, Transmisión</v>
      </c>
      <c r="O646" s="35" t="str" cm="1">
        <f t="array" ref="O646">_xlfn.TEXTJOIN(", ",TRUE,_xlfn._xlws.FILTER(Tabla28[[#All],[PARTE]],ISNUMBER(SEARCH(Tabla28[[#All],[PCLAVE2]],Tabla8[[#This Row],[DESCRIPCION DE TRABAJO]])),""))</f>
        <v/>
      </c>
      <c r="P646" s="303" t="str">
        <f>IFERROR(LEFT(O646, FIND(",", O646)-1), O646)</f>
        <v/>
      </c>
      <c r="Q646" s="303" t="str">
        <f>IFERROR(IF(ISERROR(FIND(",", O646, FIND(",", O646)+1)), RIGHT(O646, LEN(O646)-FIND(",", O646)-1), MID(O646, FIND(",", O646)+2, FIND(",", O646, FIND(",", O646)+1)-FIND(",", O646)-2)), "")</f>
        <v/>
      </c>
      <c r="R646" s="303" t="str">
        <f>IFERROR(RIGHT(O646, LEN(O646)-FIND(",", O646, FIND(",", O646)+1)-1), "")</f>
        <v/>
      </c>
      <c r="S646" s="35" t="str" cm="1">
        <f t="array" ref="S646">_xlfn.TEXTJOIN(", ",TRUE,_xlfn._xlws.FILTER(Tabla29[[#All],[PARTE]],ISNUMBER(SEARCH(Tabla29[[#All],[PCLAVE3]],Tabla8[[#This Row],[DESCRIPCION DE TRABAJO]])),""))</f>
        <v/>
      </c>
      <c r="T646" s="34" t="str">
        <f>IF(AND(Tabla8[[#This Row],[PIEZA]]="",Tabla8[[#This Row],[PARTE]]=""),"VACIO","OK")</f>
        <v>OK</v>
      </c>
      <c r="U646" s="303" t="str">
        <f>+CONCATENATE(WEEKNUM(Tabla8[[#This Row],[FECHA]]),"-",YEAR(Tabla8[[#This Row],[FECHA]]))</f>
        <v>12-2026</v>
      </c>
    </row>
    <row r="647" spans="1:21" ht="15" customHeight="1">
      <c r="A647" s="22">
        <v>46099</v>
      </c>
      <c r="B647" s="16" t="s">
        <v>191</v>
      </c>
      <c r="C647" s="10" t="s">
        <v>36</v>
      </c>
      <c r="D647" s="381">
        <v>0.25972222222222224</v>
      </c>
      <c r="E647" s="381">
        <v>0.27500000000000002</v>
      </c>
      <c r="F647" s="380">
        <f>+MOD(Tabla8[[#This Row],[HR. FIN]]-Tabla8[[#This Row],[HR. INICIO]],1)</f>
        <v>1.5277777777777779E-2</v>
      </c>
      <c r="G647" s="16" t="s">
        <v>256</v>
      </c>
      <c r="H647" s="343" t="str">
        <f>IFERROR(VLOOKUP(G647,DATOS!$M$2:$N$219,2,FALSE),"")</f>
        <v>Maquinaria</v>
      </c>
      <c r="I647" s="115" t="s">
        <v>54</v>
      </c>
      <c r="J647" s="115" t="str">
        <f>+VLOOKUP($I647,Tabla7[#All],2,FALSE)</f>
        <v>PROGRAMADA</v>
      </c>
      <c r="K647" s="114" t="str">
        <f>IF(VLOOKUP(I647,Tabla7[#All],3,FALSE)=0,"",VLOOKUP(I647,Tabla7[#All],3,FALSE))</f>
        <v/>
      </c>
      <c r="L647" s="35" t="s">
        <v>1151</v>
      </c>
      <c r="M647" s="35" t="s">
        <v>121</v>
      </c>
      <c r="N647" s="35" t="str" cm="1">
        <f t="array" ref="N647">IFERROR(IF(Tabla8[[#This Row],[P/NP]]="NO PROGRAMADA","",_xlfn.TEXTJOIN(", ",TRUE,_xlfn._xlws.FILTER(Tabla4[[#All],[PIEZA]],ISNUMBER(SEARCH(Tabla4[[#All],[PCLAVE]],Tabla8[[#This Row],[DESCRIPCION DE TRABAJO]])),""))),"")</f>
        <v/>
      </c>
      <c r="O647" s="35" t="str" cm="1">
        <f t="array" ref="O647">_xlfn.TEXTJOIN(", ",TRUE,_xlfn._xlws.FILTER(Tabla28[[#All],[PARTE]],ISNUMBER(SEARCH(Tabla28[[#All],[PCLAVE2]],Tabla8[[#This Row],[DESCRIPCION DE TRABAJO]])),""))</f>
        <v/>
      </c>
      <c r="P647" s="303" t="str">
        <f>IFERROR(LEFT(O647, FIND(",", O647)-1), O647)</f>
        <v/>
      </c>
      <c r="Q647" s="303" t="str">
        <f>IFERROR(IF(ISERROR(FIND(",", O647, FIND(",", O647)+1)), RIGHT(O647, LEN(O647)-FIND(",", O647)-1), MID(O647, FIND(",", O647)+2, FIND(",", O647, FIND(",", O647)+1)-FIND(",", O647)-2)), "")</f>
        <v/>
      </c>
      <c r="R647" s="303" t="str">
        <f>IFERROR(RIGHT(O647, LEN(O647)-FIND(",", O647, FIND(",", O647)+1)-1), "")</f>
        <v/>
      </c>
      <c r="S647" s="35" t="str" cm="1">
        <f t="array" ref="S647">_xlfn.TEXTJOIN(", ",TRUE,_xlfn._xlws.FILTER(Tabla29[[#All],[PARTE]],ISNUMBER(SEARCH(Tabla29[[#All],[PCLAVE3]],Tabla8[[#This Row],[DESCRIPCION DE TRABAJO]])),""))</f>
        <v/>
      </c>
      <c r="T647" s="34" t="str">
        <f>IF(AND(Tabla8[[#This Row],[PIEZA]]="",Tabla8[[#This Row],[PARTE]]=""),"VACIO","OK")</f>
        <v>VACIO</v>
      </c>
      <c r="U647" s="303" t="str">
        <f>+CONCATENATE(WEEKNUM(Tabla8[[#This Row],[FECHA]]),"-",YEAR(Tabla8[[#This Row],[FECHA]]))</f>
        <v>12-2026</v>
      </c>
    </row>
    <row r="648" spans="1:21" ht="15" customHeight="1">
      <c r="A648" s="22">
        <v>46099</v>
      </c>
      <c r="B648" s="16" t="s">
        <v>191</v>
      </c>
      <c r="C648" s="10" t="s">
        <v>36</v>
      </c>
      <c r="D648" s="381">
        <v>0.2361111111111111</v>
      </c>
      <c r="E648" s="381">
        <v>0.25069444444444444</v>
      </c>
      <c r="F648" s="380">
        <f>+MOD(Tabla8[[#This Row],[HR. FIN]]-Tabla8[[#This Row],[HR. INICIO]],1)</f>
        <v>1.4583333333333337E-2</v>
      </c>
      <c r="G648" s="16" t="s">
        <v>215</v>
      </c>
      <c r="H648" s="343" t="str">
        <f>IFERROR(VLOOKUP(G648,DATOS!$M$2:$N$219,2,FALSE),"")</f>
        <v>Equipos auxiliares</v>
      </c>
      <c r="I648" s="115" t="s">
        <v>54</v>
      </c>
      <c r="J648" s="115" t="str">
        <f>+VLOOKUP($I648,Tabla7[#All],2,FALSE)</f>
        <v>PROGRAMADA</v>
      </c>
      <c r="K648" s="114" t="str">
        <f>IF(VLOOKUP(I648,Tabla7[#All],3,FALSE)=0,"",VLOOKUP(I648,Tabla7[#All],3,FALSE))</f>
        <v/>
      </c>
      <c r="L648" s="35" t="s">
        <v>248</v>
      </c>
      <c r="M648" s="35" t="s">
        <v>121</v>
      </c>
      <c r="N648" s="35" t="str" cm="1">
        <f t="array" ref="N648">IFERROR(IF(Tabla8[[#This Row],[P/NP]]="NO PROGRAMADA","",_xlfn.TEXTJOIN(", ",TRUE,_xlfn._xlws.FILTER(Tabla4[[#All],[PIEZA]],ISNUMBER(SEARCH(Tabla4[[#All],[PCLAVE]],Tabla8[[#This Row],[DESCRIPCION DE TRABAJO]])),""))),"")</f>
        <v/>
      </c>
      <c r="O648" s="35" t="str" cm="1">
        <f t="array" ref="O648">_xlfn.TEXTJOIN(", ",TRUE,_xlfn._xlws.FILTER(Tabla28[[#All],[PARTE]],ISNUMBER(SEARCH(Tabla28[[#All],[PCLAVE2]],Tabla8[[#This Row],[DESCRIPCION DE TRABAJO]])),""))</f>
        <v/>
      </c>
      <c r="P648" s="303" t="str">
        <f>IFERROR(LEFT(O648, FIND(",", O648)-1), O648)</f>
        <v/>
      </c>
      <c r="Q648" s="303" t="str">
        <f>IFERROR(IF(ISERROR(FIND(",", O648, FIND(",", O648)+1)), RIGHT(O648, LEN(O648)-FIND(",", O648)-1), MID(O648, FIND(",", O648)+2, FIND(",", O648, FIND(",", O648)+1)-FIND(",", O648)-2)), "")</f>
        <v/>
      </c>
      <c r="R648" s="303" t="str">
        <f>IFERROR(RIGHT(O648, LEN(O648)-FIND(",", O648, FIND(",", O648)+1)-1), "")</f>
        <v/>
      </c>
      <c r="S648" s="35" t="str" cm="1">
        <f t="array" ref="S648">_xlfn.TEXTJOIN(", ",TRUE,_xlfn._xlws.FILTER(Tabla29[[#All],[PARTE]],ISNUMBER(SEARCH(Tabla29[[#All],[PCLAVE3]],Tabla8[[#This Row],[DESCRIPCION DE TRABAJO]])),""))</f>
        <v/>
      </c>
      <c r="T648" s="34" t="str">
        <f>IF(AND(Tabla8[[#This Row],[PIEZA]]="",Tabla8[[#This Row],[PARTE]]=""),"VACIO","OK")</f>
        <v>VACIO</v>
      </c>
      <c r="U648" s="303" t="str">
        <f>+CONCATENATE(WEEKNUM(Tabla8[[#This Row],[FECHA]]),"-",YEAR(Tabla8[[#This Row],[FECHA]]))</f>
        <v>12-2026</v>
      </c>
    </row>
    <row r="649" spans="1:21" ht="15" customHeight="1">
      <c r="A649" s="22">
        <v>46099</v>
      </c>
      <c r="B649" s="16" t="s">
        <v>191</v>
      </c>
      <c r="C649" s="10" t="s">
        <v>36</v>
      </c>
      <c r="D649" s="381">
        <v>0.28125</v>
      </c>
      <c r="E649" s="381">
        <v>0.29375000000000001</v>
      </c>
      <c r="F649" s="380">
        <f>+MOD(Tabla8[[#This Row],[HR. FIN]]-Tabla8[[#This Row],[HR. INICIO]],1)</f>
        <v>1.2500000000000011E-2</v>
      </c>
      <c r="G649" s="16" t="s">
        <v>198</v>
      </c>
      <c r="H649" s="343" t="str">
        <f>IFERROR(VLOOKUP(G649,DATOS!$M$2:$N$219,2,FALSE),"")</f>
        <v>Maquinaria</v>
      </c>
      <c r="I649" s="115" t="s">
        <v>57</v>
      </c>
      <c r="J649" s="115" t="str">
        <f>+VLOOKUP($I649,Tabla7[#All],2,FALSE)</f>
        <v>NO PROGRAMADA</v>
      </c>
      <c r="K649" s="114" t="str">
        <f>IF(VLOOKUP(I649,Tabla7[#All],3,FALSE)=0,"",VLOOKUP(I649,Tabla7[#All],3,FALSE))</f>
        <v>MECÁNICA</v>
      </c>
      <c r="L649" s="35" t="s">
        <v>1359</v>
      </c>
      <c r="M649" s="35" t="s">
        <v>1360</v>
      </c>
      <c r="N649" s="35" t="str" cm="1">
        <f t="array" ref="N649">IFERROR(IF(Tabla8[[#This Row],[P/NP]]="NO PROGRAMADA","",_xlfn.TEXTJOIN(", ",TRUE,_xlfn._xlws.FILTER(Tabla4[[#All],[PIEZA]],ISNUMBER(SEARCH(Tabla4[[#All],[PCLAVE]],Tabla8[[#This Row],[DESCRIPCION DE TRABAJO]])),""))),"")</f>
        <v/>
      </c>
      <c r="O649" s="35" t="str" cm="1">
        <f t="array" ref="O649">_xlfn.TEXTJOIN(", ",TRUE,_xlfn._xlws.FILTER(Tabla28[[#All],[PARTE]],ISNUMBER(SEARCH(Tabla28[[#All],[PCLAVE2]],Tabla8[[#This Row],[DESCRIPCION DE TRABAJO]])),""))</f>
        <v/>
      </c>
      <c r="P649" s="303" t="str">
        <f>IFERROR(LEFT(O649, FIND(",", O649)-1), O649)</f>
        <v/>
      </c>
      <c r="Q649" s="303" t="str">
        <f>IFERROR(IF(ISERROR(FIND(",", O649, FIND(",", O649)+1)), RIGHT(O649, LEN(O649)-FIND(",", O649)-1), MID(O649, FIND(",", O649)+2, FIND(",", O649, FIND(",", O649)+1)-FIND(",", O649)-2)), "")</f>
        <v/>
      </c>
      <c r="R649" s="303" t="str">
        <f>IFERROR(RIGHT(O649, LEN(O649)-FIND(",", O649, FIND(",", O649)+1)-1), "")</f>
        <v/>
      </c>
      <c r="S649" s="35" t="str" cm="1">
        <f t="array" ref="S649">_xlfn.TEXTJOIN(", ",TRUE,_xlfn._xlws.FILTER(Tabla29[[#All],[PARTE]],ISNUMBER(SEARCH(Tabla29[[#All],[PCLAVE3]],Tabla8[[#This Row],[DESCRIPCION DE TRABAJO]])),""))</f>
        <v>Soltura</v>
      </c>
      <c r="T649" s="34" t="str">
        <f>IF(AND(Tabla8[[#This Row],[PIEZA]]="",Tabla8[[#This Row],[PARTE]]=""),"VACIO","OK")</f>
        <v>VACIO</v>
      </c>
      <c r="U649" s="303" t="str">
        <f>+CONCATENATE(WEEKNUM(Tabla8[[#This Row],[FECHA]]),"-",YEAR(Tabla8[[#This Row],[FECHA]]))</f>
        <v>12-2026</v>
      </c>
    </row>
    <row r="650" spans="1:21" ht="15" customHeight="1">
      <c r="A650" s="22">
        <v>46099</v>
      </c>
      <c r="B650" s="16" t="s">
        <v>191</v>
      </c>
      <c r="C650" s="10" t="s">
        <v>36</v>
      </c>
      <c r="D650" s="381">
        <v>0.33750000000000002</v>
      </c>
      <c r="E650" s="381">
        <v>0.34652777777777777</v>
      </c>
      <c r="F650" s="380">
        <f>+MOD(Tabla8[[#This Row],[HR. FIN]]-Tabla8[[#This Row],[HR. INICIO]],1)</f>
        <v>9.0277777777777457E-3</v>
      </c>
      <c r="G650" s="16" t="s">
        <v>140</v>
      </c>
      <c r="H650" s="343" t="str">
        <f>IFERROR(VLOOKUP(G650,DATOS!$M$2:$N$219,2,FALSE),"")</f>
        <v>Maquinaria</v>
      </c>
      <c r="I650" s="115" t="s">
        <v>25</v>
      </c>
      <c r="J650" s="115" t="str">
        <f>+VLOOKUP($I650,Tabla7[#All],2,FALSE)</f>
        <v>PROGRAMADA</v>
      </c>
      <c r="K650" s="114" t="str">
        <f>IF(VLOOKUP(I650,Tabla7[#All],3,FALSE)=0,"",VLOOKUP(I650,Tabla7[#All],3,FALSE))</f>
        <v/>
      </c>
      <c r="L650" s="35" t="s">
        <v>1361</v>
      </c>
      <c r="M650" s="35" t="s">
        <v>121</v>
      </c>
      <c r="N650" s="35" t="str" cm="1">
        <f t="array" ref="N650">IFERROR(IF(Tabla8[[#This Row],[P/NP]]="NO PROGRAMADA","",_xlfn.TEXTJOIN(", ",TRUE,_xlfn._xlws.FILTER(Tabla4[[#All],[PIEZA]],ISNUMBER(SEARCH(Tabla4[[#All],[PCLAVE]],Tabla8[[#This Row],[DESCRIPCION DE TRABAJO]])),""))),"")</f>
        <v>Boquilla</v>
      </c>
      <c r="O650" s="35" t="str" cm="1">
        <f t="array" ref="O650">_xlfn.TEXTJOIN(", ",TRUE,_xlfn._xlws.FILTER(Tabla28[[#All],[PARTE]],ISNUMBER(SEARCH(Tabla28[[#All],[PCLAVE2]],Tabla8[[#This Row],[DESCRIPCION DE TRABAJO]])),""))</f>
        <v/>
      </c>
      <c r="P650" s="303" t="str">
        <f>IFERROR(LEFT(O650, FIND(",", O650)-1), O650)</f>
        <v/>
      </c>
      <c r="Q650" s="303" t="str">
        <f>IFERROR(IF(ISERROR(FIND(",", O650, FIND(",", O650)+1)), RIGHT(O650, LEN(O650)-FIND(",", O650)-1), MID(O650, FIND(",", O650)+2, FIND(",", O650, FIND(",", O650)+1)-FIND(",", O650)-2)), "")</f>
        <v/>
      </c>
      <c r="R650" s="303" t="str">
        <f>IFERROR(RIGHT(O650, LEN(O650)-FIND(",", O650, FIND(",", O650)+1)-1), "")</f>
        <v/>
      </c>
      <c r="S650" s="35" t="str" cm="1">
        <f t="array" ref="S650">_xlfn.TEXTJOIN(", ",TRUE,_xlfn._xlws.FILTER(Tabla29[[#All],[PARTE]],ISNUMBER(SEARCH(Tabla29[[#All],[PCLAVE3]],Tabla8[[#This Row],[DESCRIPCION DE TRABAJO]])),""))</f>
        <v>Sustitucion</v>
      </c>
      <c r="T650" s="34" t="str">
        <f>IF(AND(Tabla8[[#This Row],[PIEZA]]="",Tabla8[[#This Row],[PARTE]]=""),"VACIO","OK")</f>
        <v>OK</v>
      </c>
      <c r="U650" s="303" t="str">
        <f>+CONCATENATE(WEEKNUM(Tabla8[[#This Row],[FECHA]]),"-",YEAR(Tabla8[[#This Row],[FECHA]]))</f>
        <v>12-2026</v>
      </c>
    </row>
    <row r="651" spans="1:21" ht="15" customHeight="1">
      <c r="A651" s="22">
        <v>46099</v>
      </c>
      <c r="B651" s="16" t="s">
        <v>88</v>
      </c>
      <c r="C651" s="10" t="s">
        <v>39</v>
      </c>
      <c r="D651" s="381">
        <v>0.11805555555555555</v>
      </c>
      <c r="E651" s="381">
        <v>0.125</v>
      </c>
      <c r="F651" s="380">
        <f>+MOD(Tabla8[[#This Row],[HR. FIN]]-Tabla8[[#This Row],[HR. INICIO]],1)</f>
        <v>6.9444444444444475E-3</v>
      </c>
      <c r="G651" s="16" t="s">
        <v>192</v>
      </c>
      <c r="H651" s="343" t="str">
        <f>IFERROR(VLOOKUP(G651,DATOS!$M$2:$N$219,2,FALSE),"")</f>
        <v>Maquinaria</v>
      </c>
      <c r="I651" s="115" t="s">
        <v>57</v>
      </c>
      <c r="J651" s="115" t="str">
        <f>+VLOOKUP($I651,Tabla7[#All],2,FALSE)</f>
        <v>NO PROGRAMADA</v>
      </c>
      <c r="K651" s="114" t="str">
        <f>IF(VLOOKUP(I651,Tabla7[#All],3,FALSE)=0,"",VLOOKUP(I651,Tabla7[#All],3,FALSE))</f>
        <v>MECÁNICA</v>
      </c>
      <c r="L651" s="35" t="s">
        <v>1362</v>
      </c>
      <c r="M651" s="35" t="s">
        <v>1363</v>
      </c>
      <c r="N651" s="35" t="str" cm="1">
        <f t="array" ref="N651">IFERROR(IF(Tabla8[[#This Row],[P/NP]]="NO PROGRAMADA","",_xlfn.TEXTJOIN(", ",TRUE,_xlfn._xlws.FILTER(Tabla4[[#All],[PIEZA]],ISNUMBER(SEARCH(Tabla4[[#All],[PCLAVE]],Tabla8[[#This Row],[DESCRIPCION DE TRABAJO]])),""))),"")</f>
        <v/>
      </c>
      <c r="O651" s="35" t="str" cm="1">
        <f t="array" ref="O651">_xlfn.TEXTJOIN(", ",TRUE,_xlfn._xlws.FILTER(Tabla28[[#All],[PARTE]],ISNUMBER(SEARCH(Tabla28[[#All],[PCLAVE2]],Tabla8[[#This Row],[DESCRIPCION DE TRABAJO]])),""))</f>
        <v/>
      </c>
      <c r="P651" s="303" t="str">
        <f>IFERROR(LEFT(O651, FIND(",", O651)-1), O651)</f>
        <v/>
      </c>
      <c r="Q651" s="303" t="str">
        <f>IFERROR(IF(ISERROR(FIND(",", O651, FIND(",", O651)+1)), RIGHT(O651, LEN(O651)-FIND(",", O651)-1), MID(O651, FIND(",", O651)+2, FIND(",", O651, FIND(",", O651)+1)-FIND(",", O651)-2)), "")</f>
        <v/>
      </c>
      <c r="R651" s="303" t="str">
        <f>IFERROR(RIGHT(O651, LEN(O651)-FIND(",", O651, FIND(",", O651)+1)-1), "")</f>
        <v/>
      </c>
      <c r="S651" s="35" t="str" cm="1">
        <f t="array" ref="S651">_xlfn.TEXTJOIN(", ",TRUE,_xlfn._xlws.FILTER(Tabla29[[#All],[PARTE]],ISNUMBER(SEARCH(Tabla29[[#All],[PCLAVE3]],Tabla8[[#This Row],[DESCRIPCION DE TRABAJO]])),""))</f>
        <v>Se cae</v>
      </c>
      <c r="T651" s="34" t="str">
        <f>IF(AND(Tabla8[[#This Row],[PIEZA]]="",Tabla8[[#This Row],[PARTE]]=""),"VACIO","OK")</f>
        <v>VACIO</v>
      </c>
      <c r="U651" s="303" t="str">
        <f>+CONCATENATE(WEEKNUM(Tabla8[[#This Row],[FECHA]]),"-",YEAR(Tabla8[[#This Row],[FECHA]]))</f>
        <v>12-2026</v>
      </c>
    </row>
    <row r="652" spans="1:21" ht="15" customHeight="1">
      <c r="A652" s="22">
        <v>46099</v>
      </c>
      <c r="B652" s="16" t="s">
        <v>179</v>
      </c>
      <c r="C652" s="10" t="s">
        <v>36</v>
      </c>
      <c r="D652" s="381">
        <v>0.34027777777777779</v>
      </c>
      <c r="E652" s="381">
        <v>0.34722222222222221</v>
      </c>
      <c r="F652" s="380">
        <f>+MOD(Tabla8[[#This Row],[HR. FIN]]-Tabla8[[#This Row],[HR. INICIO]],1)</f>
        <v>6.9444444444444198E-3</v>
      </c>
      <c r="G652" s="16" t="s">
        <v>833</v>
      </c>
      <c r="H652" s="343" t="str">
        <f>IFERROR(VLOOKUP(G652,DATOS!$M$2:$N$219,2,FALSE),"")</f>
        <v>Area</v>
      </c>
      <c r="I652" s="115" t="s">
        <v>390</v>
      </c>
      <c r="J652" s="115" t="str">
        <f>+VLOOKUP($I652,Tabla7[#All],2,FALSE)</f>
        <v>PROGRAMADA</v>
      </c>
      <c r="K652" s="114" t="str">
        <f>IF(VLOOKUP(I652,Tabla7[#All],3,FALSE)=0,"",VLOOKUP(I652,Tabla7[#All],3,FALSE))</f>
        <v/>
      </c>
      <c r="L652" s="35" t="s">
        <v>1364</v>
      </c>
      <c r="M652" s="35" t="s">
        <v>1365</v>
      </c>
      <c r="N652" s="35" t="str" cm="1">
        <f t="array" ref="N652">IFERROR(IF(Tabla8[[#This Row],[P/NP]]="NO PROGRAMADA","",_xlfn.TEXTJOIN(", ",TRUE,_xlfn._xlws.FILTER(Tabla4[[#All],[PIEZA]],ISNUMBER(SEARCH(Tabla4[[#All],[PCLAVE]],Tabla8[[#This Row],[DESCRIPCION DE TRABAJO]])),""))),"")</f>
        <v>Patrones</v>
      </c>
      <c r="O652" s="35" t="str" cm="1">
        <f t="array" ref="O652">_xlfn.TEXTJOIN(", ",TRUE,_xlfn._xlws.FILTER(Tabla28[[#All],[PARTE]],ISNUMBER(SEARCH(Tabla28[[#All],[PCLAVE2]],Tabla8[[#This Row],[DESCRIPCION DE TRABAJO]])),""))</f>
        <v/>
      </c>
      <c r="P652" s="303" t="str">
        <f>IFERROR(LEFT(O652, FIND(",", O652)-1), O652)</f>
        <v/>
      </c>
      <c r="Q652" s="303" t="str">
        <f>IFERROR(IF(ISERROR(FIND(",", O652, FIND(",", O652)+1)), RIGHT(O652, LEN(O652)-FIND(",", O652)-1), MID(O652, FIND(",", O652)+2, FIND(",", O652, FIND(",", O652)+1)-FIND(",", O652)-2)), "")</f>
        <v/>
      </c>
      <c r="R652" s="303" t="str">
        <f>IFERROR(RIGHT(O652, LEN(O652)-FIND(",", O652, FIND(",", O652)+1)-1), "")</f>
        <v/>
      </c>
      <c r="S652" s="35" t="str" cm="1">
        <f t="array" ref="S652">_xlfn.TEXTJOIN(", ",TRUE,_xlfn._xlws.FILTER(Tabla29[[#All],[PARTE]],ISNUMBER(SEARCH(Tabla29[[#All],[PCLAVE3]],Tabla8[[#This Row],[DESCRIPCION DE TRABAJO]])),""))</f>
        <v/>
      </c>
      <c r="T652" s="34" t="str">
        <f>IF(AND(Tabla8[[#This Row],[PIEZA]]="",Tabla8[[#This Row],[PARTE]]=""),"VACIO","OK")</f>
        <v>OK</v>
      </c>
      <c r="U652" s="303" t="str">
        <f>+CONCATENATE(WEEKNUM(Tabla8[[#This Row],[FECHA]]),"-",YEAR(Tabla8[[#This Row],[FECHA]]))</f>
        <v>12-2026</v>
      </c>
    </row>
    <row r="653" spans="1:21" ht="15" customHeight="1">
      <c r="A653" s="22">
        <v>46100</v>
      </c>
      <c r="B653" s="16" t="s">
        <v>111</v>
      </c>
      <c r="C653" s="10" t="s">
        <v>23</v>
      </c>
      <c r="D653" s="381">
        <v>0.58888888888888891</v>
      </c>
      <c r="E653" s="381">
        <v>0.65625</v>
      </c>
      <c r="F653" s="380">
        <f>+MOD(Tabla8[[#This Row],[HR. FIN]]-Tabla8[[#This Row],[HR. INICIO]],1)</f>
        <v>6.7361111111111094E-2</v>
      </c>
      <c r="G653" s="16" t="s">
        <v>119</v>
      </c>
      <c r="H653" s="343" t="str">
        <f>IFERROR(VLOOKUP(G653,DATOS!$M$2:$N$219,2,FALSE),"")</f>
        <v>Maquinaria</v>
      </c>
      <c r="I653" s="115" t="s">
        <v>28</v>
      </c>
      <c r="J653" s="115" t="str">
        <f>+VLOOKUP($I653,Tabla7[#All],2,FALSE)</f>
        <v>NO PROGRAMADA</v>
      </c>
      <c r="K653" s="114" t="s">
        <v>93</v>
      </c>
      <c r="L653" s="35" t="s">
        <v>1366</v>
      </c>
      <c r="M653" s="35" t="s">
        <v>1367</v>
      </c>
      <c r="N653" s="35" t="str" cm="1">
        <f t="array" ref="N653">IFERROR(IF(Tabla8[[#This Row],[P/NP]]="NO PROGRAMADA","",_xlfn.TEXTJOIN(", ",TRUE,_xlfn._xlws.FILTER(Tabla4[[#All],[PIEZA]],ISNUMBER(SEARCH(Tabla4[[#All],[PCLAVE]],Tabla8[[#This Row],[DESCRIPCION DE TRABAJO]])),""))),"")</f>
        <v/>
      </c>
      <c r="O653" s="35" t="str" cm="1">
        <f t="array" ref="O653">_xlfn.TEXTJOIN(", ",TRUE,_xlfn._xlws.FILTER(Tabla28[[#All],[PARTE]],ISNUMBER(SEARCH(Tabla28[[#All],[PCLAVE2]],Tabla8[[#This Row],[DESCRIPCION DE TRABAJO]])),""))</f>
        <v>Columna, Temperadora</v>
      </c>
      <c r="P653" s="303" t="str">
        <f>IFERROR(LEFT(O653, FIND(",", O653)-1), O653)</f>
        <v>Columna</v>
      </c>
      <c r="Q653" s="303" t="str">
        <f>IFERROR(IF(ISERROR(FIND(",", O653, FIND(",", O653)+1)), RIGHT(O653, LEN(O653)-FIND(",", O653)-1), MID(O653, FIND(",", O653)+2, FIND(",", O653, FIND(",", O653)+1)-FIND(",", O653)-2)), "")</f>
        <v>Temperadora</v>
      </c>
      <c r="R653" s="303" t="str">
        <f>IFERROR(RIGHT(O653, LEN(O653)-FIND(",", O653, FIND(",", O653)+1)-1), "")</f>
        <v/>
      </c>
      <c r="S653" s="35" t="str" cm="1">
        <f t="array" ref="S653">_xlfn.TEXTJOIN(", ",TRUE,_xlfn._xlws.FILTER(Tabla29[[#All],[PARTE]],ISNUMBER(SEARCH(Tabla29[[#All],[PCLAVE3]],Tabla8[[#This Row],[DESCRIPCION DE TRABAJO]])),""))</f>
        <v/>
      </c>
      <c r="T653" s="34" t="str">
        <f>IF(AND(Tabla8[[#This Row],[PIEZA]]="",Tabla8[[#This Row],[PARTE]]=""),"VACIO","OK")</f>
        <v>OK</v>
      </c>
      <c r="U653" s="303" t="str">
        <f>+CONCATENATE(WEEKNUM(Tabla8[[#This Row],[FECHA]]),"-",YEAR(Tabla8[[#This Row],[FECHA]]))</f>
        <v>12-2026</v>
      </c>
    </row>
    <row r="654" spans="1:21" ht="15" customHeight="1">
      <c r="A654" s="22">
        <v>46100</v>
      </c>
      <c r="B654" s="16" t="s">
        <v>111</v>
      </c>
      <c r="C654" s="10" t="s">
        <v>23</v>
      </c>
      <c r="D654" s="381">
        <v>0.72569444444444442</v>
      </c>
      <c r="E654" s="381">
        <v>0.77777777777777779</v>
      </c>
      <c r="F654" s="380">
        <f>+MOD(Tabla8[[#This Row],[HR. FIN]]-Tabla8[[#This Row],[HR. INICIO]],1)</f>
        <v>5.208333333333337E-2</v>
      </c>
      <c r="G654" s="16" t="s">
        <v>236</v>
      </c>
      <c r="H654" s="343" t="str">
        <f>IFERROR(VLOOKUP(G654,DATOS!$M$2:$N$219,2,FALSE),"")</f>
        <v>Sistema</v>
      </c>
      <c r="I654" s="115" t="s">
        <v>25</v>
      </c>
      <c r="J654" s="115" t="s">
        <v>92</v>
      </c>
      <c r="K654" s="114" t="str">
        <f>IF(VLOOKUP(I654,Tabla7[#All],3,FALSE)=0,"",VLOOKUP(I654,Tabla7[#All],3,FALSE))</f>
        <v/>
      </c>
      <c r="L654" s="35" t="s">
        <v>1368</v>
      </c>
      <c r="M654" s="35" t="s">
        <v>1369</v>
      </c>
      <c r="N654" s="35" t="str" cm="1">
        <f t="array" ref="N654">IFERROR(IF(Tabla8[[#This Row],[P/NP]]="NO PROGRAMADA","",_xlfn.TEXTJOIN(", ",TRUE,_xlfn._xlws.FILTER(Tabla4[[#All],[PIEZA]],ISNUMBER(SEARCH(Tabla4[[#All],[PCLAVE]],Tabla8[[#This Row],[DESCRIPCION DE TRABAJO]])),""))),"")</f>
        <v/>
      </c>
      <c r="O654" s="35" t="str" cm="1">
        <f t="array" ref="O654">_xlfn.TEXTJOIN(", ",TRUE,_xlfn._xlws.FILTER(Tabla28[[#All],[PARTE]],ISNUMBER(SEARCH(Tabla28[[#All],[PCLAVE2]],Tabla8[[#This Row],[DESCRIPCION DE TRABAJO]])),""))</f>
        <v/>
      </c>
      <c r="P654" s="303" t="str">
        <f>IFERROR(LEFT(O654, FIND(",", O654)-1), O654)</f>
        <v/>
      </c>
      <c r="Q654" s="303" t="str">
        <f>IFERROR(IF(ISERROR(FIND(",", O654, FIND(",", O654)+1)), RIGHT(O654, LEN(O654)-FIND(",", O654)-1), MID(O654, FIND(",", O654)+2, FIND(",", O654, FIND(",", O654)+1)-FIND(",", O654)-2)), "")</f>
        <v/>
      </c>
      <c r="R654" s="303" t="str">
        <f>IFERROR(RIGHT(O654, LEN(O654)-FIND(",", O654, FIND(",", O654)+1)-1), "")</f>
        <v/>
      </c>
      <c r="S654" s="35" t="str" cm="1">
        <f t="array" ref="S654">_xlfn.TEXTJOIN(", ",TRUE,_xlfn._xlws.FILTER(Tabla29[[#All],[PARTE]],ISNUMBER(SEARCH(Tabla29[[#All],[PCLAVE3]],Tabla8[[#This Row],[DESCRIPCION DE TRABAJO]])),""))</f>
        <v>Bajo Nivel, Nivel</v>
      </c>
      <c r="T654" s="34" t="str">
        <f>IF(AND(Tabla8[[#This Row],[PIEZA]]="",Tabla8[[#This Row],[PARTE]]=""),"VACIO","OK")</f>
        <v>VACIO</v>
      </c>
      <c r="U654" s="303" t="str">
        <f>+CONCATENATE(WEEKNUM(Tabla8[[#This Row],[FECHA]]),"-",YEAR(Tabla8[[#This Row],[FECHA]]))</f>
        <v>12-2026</v>
      </c>
    </row>
    <row r="655" spans="1:21" ht="15" customHeight="1">
      <c r="A655" s="22">
        <v>46100</v>
      </c>
      <c r="B655" s="16" t="s">
        <v>88</v>
      </c>
      <c r="C655" s="10" t="s">
        <v>39</v>
      </c>
      <c r="D655" s="381">
        <v>3.125E-2</v>
      </c>
      <c r="E655" s="381">
        <v>7.2916666666666671E-2</v>
      </c>
      <c r="F655" s="380">
        <f>+MOD(Tabla8[[#This Row],[HR. FIN]]-Tabla8[[#This Row],[HR. INICIO]],1)</f>
        <v>4.1666666666666671E-2</v>
      </c>
      <c r="G655" s="16" t="s">
        <v>119</v>
      </c>
      <c r="H655" s="343" t="str">
        <f>IFERROR(VLOOKUP(G655,DATOS!$M$2:$N$219,2,FALSE),"")</f>
        <v>Maquinaria</v>
      </c>
      <c r="I655" s="115" t="s">
        <v>57</v>
      </c>
      <c r="J655" s="115" t="str">
        <f>+VLOOKUP($I655,Tabla7[#All],2,FALSE)</f>
        <v>NO PROGRAMADA</v>
      </c>
      <c r="K655" s="114" t="str">
        <f>IF(VLOOKUP(I655,Tabla7[#All],3,FALSE)=0,"",VLOOKUP(I655,Tabla7[#All],3,FALSE))</f>
        <v>MECÁNICA</v>
      </c>
      <c r="L655" s="35" t="s">
        <v>1370</v>
      </c>
      <c r="M655" s="35" t="s">
        <v>1371</v>
      </c>
      <c r="N655" s="35" t="str" cm="1">
        <f t="array" ref="N655">IFERROR(IF(Tabla8[[#This Row],[P/NP]]="NO PROGRAMADA","",_xlfn.TEXTJOIN(", ",TRUE,_xlfn._xlws.FILTER(Tabla4[[#All],[PIEZA]],ISNUMBER(SEARCH(Tabla4[[#All],[PCLAVE]],Tabla8[[#This Row],[DESCRIPCION DE TRABAJO]])),""))),"")</f>
        <v/>
      </c>
      <c r="O655" s="35" t="str" cm="1">
        <f t="array" ref="O655">_xlfn.TEXTJOIN(", ",TRUE,_xlfn._xlws.FILTER(Tabla28[[#All],[PARTE]],ISNUMBER(SEARCH(Tabla28[[#All],[PCLAVE2]],Tabla8[[#This Row],[DESCRIPCION DE TRABAJO]])),""))</f>
        <v>Columna, Tanque, Temperadora</v>
      </c>
      <c r="P655" s="303" t="str">
        <f>IFERROR(LEFT(O655, FIND(",", O655)-1), O655)</f>
        <v>Columna</v>
      </c>
      <c r="Q655" s="303" t="str">
        <f>IFERROR(IF(ISERROR(FIND(",", O655, FIND(",", O655)+1)), RIGHT(O655, LEN(O655)-FIND(",", O655)-1), MID(O655, FIND(",", O655)+2, FIND(",", O655, FIND(",", O655)+1)-FIND(",", O655)-2)), "")</f>
        <v>Tanque</v>
      </c>
      <c r="R655" s="303" t="str">
        <f>IFERROR(RIGHT(O655, LEN(O655)-FIND(",", O655, FIND(",", O655)+1)-1), "")</f>
        <v>Temperadora</v>
      </c>
      <c r="S655" s="35" t="str" cm="1">
        <f t="array" ref="S655">_xlfn.TEXTJOIN(", ",TRUE,_xlfn._xlws.FILTER(Tabla29[[#All],[PARTE]],ISNUMBER(SEARCH(Tabla29[[#All],[PCLAVE3]],Tabla8[[#This Row],[DESCRIPCION DE TRABAJO]])),""))</f>
        <v>Bloqueado, Temperatura</v>
      </c>
      <c r="T655" s="34" t="str">
        <f>IF(AND(Tabla8[[#This Row],[PIEZA]]="",Tabla8[[#This Row],[PARTE]]=""),"VACIO","OK")</f>
        <v>OK</v>
      </c>
      <c r="U655" s="303" t="str">
        <f>+CONCATENATE(WEEKNUM(Tabla8[[#This Row],[FECHA]]),"-",YEAR(Tabla8[[#This Row],[FECHA]]))</f>
        <v>12-2026</v>
      </c>
    </row>
    <row r="656" spans="1:21" ht="15" customHeight="1">
      <c r="A656" s="22">
        <v>46100</v>
      </c>
      <c r="B656" s="16" t="s">
        <v>111</v>
      </c>
      <c r="C656" s="10" t="s">
        <v>23</v>
      </c>
      <c r="D656" s="381">
        <v>0.80208333333333337</v>
      </c>
      <c r="E656" s="381">
        <v>0.83333333333333337</v>
      </c>
      <c r="F656" s="380">
        <f>+MOD(Tabla8[[#This Row],[HR. FIN]]-Tabla8[[#This Row],[HR. INICIO]],1)</f>
        <v>3.125E-2</v>
      </c>
      <c r="G656" s="16" t="s">
        <v>119</v>
      </c>
      <c r="H656" s="343" t="str">
        <f>IFERROR(VLOOKUP(G656,DATOS!$M$2:$N$219,2,FALSE),"")</f>
        <v>Maquinaria</v>
      </c>
      <c r="I656" s="115" t="s">
        <v>32</v>
      </c>
      <c r="J656" s="115" t="str">
        <f>+VLOOKUP($I656,Tabla7[#All],2,FALSE)</f>
        <v>PROGRAMADA</v>
      </c>
      <c r="K656" s="114" t="str">
        <f>IF(VLOOKUP(I656,Tabla7[#All],3,FALSE)=0,"",VLOOKUP(I656,Tabla7[#All],3,FALSE))</f>
        <v/>
      </c>
      <c r="L656" s="35" t="s">
        <v>1372</v>
      </c>
      <c r="M656" s="35" t="s">
        <v>121</v>
      </c>
      <c r="N656" s="35" t="str" cm="1">
        <f t="array" ref="N656">IFERROR(IF(Tabla8[[#This Row],[P/NP]]="NO PROGRAMADA","",_xlfn.TEXTJOIN(", ",TRUE,_xlfn._xlws.FILTER(Tabla4[[#All],[PIEZA]],ISNUMBER(SEARCH(Tabla4[[#All],[PCLAVE]],Tabla8[[#This Row],[DESCRIPCION DE TRABAJO]])),""))),"")</f>
        <v/>
      </c>
      <c r="O656" s="35" t="str" cm="1">
        <f t="array" ref="O656">_xlfn.TEXTJOIN(", ",TRUE,_xlfn._xlws.FILTER(Tabla28[[#All],[PARTE]],ISNUMBER(SEARCH(Tabla28[[#All],[PCLAVE2]],Tabla8[[#This Row],[DESCRIPCION DE TRABAJO]])),""))</f>
        <v>Mds</v>
      </c>
      <c r="P656" s="303" t="str">
        <f>IFERROR(LEFT(O656, FIND(",", O656)-1), O656)</f>
        <v>Mds</v>
      </c>
      <c r="Q656" s="303" t="str">
        <f>IFERROR(IF(ISERROR(FIND(",", O656, FIND(",", O656)+1)), RIGHT(O656, LEN(O656)-FIND(",", O656)-1), MID(O656, FIND(",", O656)+2, FIND(",", O656, FIND(",", O656)+1)-FIND(",", O656)-2)), "")</f>
        <v/>
      </c>
      <c r="R656" s="303" t="str">
        <f>IFERROR(RIGHT(O656, LEN(O656)-FIND(",", O656, FIND(",", O656)+1)-1), "")</f>
        <v/>
      </c>
      <c r="S656" s="35" t="str" cm="1">
        <f t="array" ref="S656">_xlfn.TEXTJOIN(", ",TRUE,_xlfn._xlws.FILTER(Tabla29[[#All],[PARTE]],ISNUMBER(SEARCH(Tabla29[[#All],[PCLAVE3]],Tabla8[[#This Row],[DESCRIPCION DE TRABAJO]])),""))</f>
        <v/>
      </c>
      <c r="T656" s="34" t="str">
        <f>IF(AND(Tabla8[[#This Row],[PIEZA]]="",Tabla8[[#This Row],[PARTE]]=""),"VACIO","OK")</f>
        <v>OK</v>
      </c>
      <c r="U656" s="303" t="str">
        <f>+CONCATENATE(WEEKNUM(Tabla8[[#This Row],[FECHA]]),"-",YEAR(Tabla8[[#This Row],[FECHA]]))</f>
        <v>12-2026</v>
      </c>
    </row>
    <row r="657" spans="1:21" ht="15" customHeight="1">
      <c r="A657" s="22">
        <v>46100</v>
      </c>
      <c r="B657" s="16" t="s">
        <v>111</v>
      </c>
      <c r="C657" s="10" t="s">
        <v>23</v>
      </c>
      <c r="D657" s="381">
        <v>0.83680555555555558</v>
      </c>
      <c r="E657" s="381">
        <v>0.86805555555555558</v>
      </c>
      <c r="F657" s="380">
        <f>+MOD(Tabla8[[#This Row],[HR. FIN]]-Tabla8[[#This Row],[HR. INICIO]],1)</f>
        <v>3.125E-2</v>
      </c>
      <c r="G657" s="16" t="s">
        <v>312</v>
      </c>
      <c r="H657" s="343" t="str">
        <f>IFERROR(VLOOKUP(G657,DATOS!$M$2:$N$219,2,FALSE),"")</f>
        <v>Maquinaria</v>
      </c>
      <c r="I657" s="115" t="s">
        <v>25</v>
      </c>
      <c r="J657" s="115" t="str">
        <f>+VLOOKUP($I657,Tabla7[#All],2,FALSE)</f>
        <v>PROGRAMADA</v>
      </c>
      <c r="K657" s="114" t="str">
        <f>IF(VLOOKUP(I657,Tabla7[#All],3,FALSE)=0,"",VLOOKUP(I657,Tabla7[#All],3,FALSE))</f>
        <v/>
      </c>
      <c r="L657" s="35" t="s">
        <v>1373</v>
      </c>
      <c r="M657" s="35" t="s">
        <v>121</v>
      </c>
      <c r="N657" s="35" t="str" cm="1">
        <f t="array" ref="N657">IFERROR(IF(Tabla8[[#This Row],[P/NP]]="NO PROGRAMADA","",_xlfn.TEXTJOIN(", ",TRUE,_xlfn._xlws.FILTER(Tabla4[[#All],[PIEZA]],ISNUMBER(SEARCH(Tabla4[[#All],[PCLAVE]],Tabla8[[#This Row],[DESCRIPCION DE TRABAJO]])),""))),"")</f>
        <v/>
      </c>
      <c r="O657" s="35" t="str" cm="1">
        <f t="array" ref="O657">_xlfn.TEXTJOIN(", ",TRUE,_xlfn._xlws.FILTER(Tabla28[[#All],[PARTE]],ISNUMBER(SEARCH(Tabla28[[#All],[PCLAVE2]],Tabla8[[#This Row],[DESCRIPCION DE TRABAJO]])),""))</f>
        <v/>
      </c>
      <c r="P657" s="303" t="str">
        <f>IFERROR(LEFT(O657, FIND(",", O657)-1), O657)</f>
        <v/>
      </c>
      <c r="Q657" s="303" t="str">
        <f>IFERROR(IF(ISERROR(FIND(",", O657, FIND(",", O657)+1)), RIGHT(O657, LEN(O657)-FIND(",", O657)-1), MID(O657, FIND(",", O657)+2, FIND(",", O657, FIND(",", O657)+1)-FIND(",", O657)-2)), "")</f>
        <v/>
      </c>
      <c r="R657" s="303" t="str">
        <f>IFERROR(RIGHT(O657, LEN(O657)-FIND(",", O657, FIND(",", O657)+1)-1), "")</f>
        <v/>
      </c>
      <c r="S657" s="35" t="str" cm="1">
        <f t="array" ref="S657">_xlfn.TEXTJOIN(", ",TRUE,_xlfn._xlws.FILTER(Tabla29[[#All],[PARTE]],ISNUMBER(SEARCH(Tabla29[[#All],[PCLAVE3]],Tabla8[[#This Row],[DESCRIPCION DE TRABAJO]])),""))</f>
        <v/>
      </c>
      <c r="T657" s="34" t="str">
        <f>IF(AND(Tabla8[[#This Row],[PIEZA]]="",Tabla8[[#This Row],[PARTE]]=""),"VACIO","OK")</f>
        <v>VACIO</v>
      </c>
      <c r="U657" s="303" t="str">
        <f>+CONCATENATE(WEEKNUM(Tabla8[[#This Row],[FECHA]]),"-",YEAR(Tabla8[[#This Row],[FECHA]]))</f>
        <v>12-2026</v>
      </c>
    </row>
    <row r="658" spans="1:21" ht="15" customHeight="1">
      <c r="A658" s="22">
        <v>46100</v>
      </c>
      <c r="B658" s="16" t="s">
        <v>111</v>
      </c>
      <c r="C658" s="10" t="s">
        <v>23</v>
      </c>
      <c r="D658" s="381">
        <v>0.69097222222222221</v>
      </c>
      <c r="E658" s="381">
        <v>0.70833333333333337</v>
      </c>
      <c r="F658" s="380">
        <f>+MOD(Tabla8[[#This Row],[HR. FIN]]-Tabla8[[#This Row],[HR. INICIO]],1)</f>
        <v>1.736111111111116E-2</v>
      </c>
      <c r="G658" s="16" t="s">
        <v>119</v>
      </c>
      <c r="H658" s="343" t="str">
        <f>IFERROR(VLOOKUP(G658,DATOS!$M$2:$N$219,2,FALSE),"")</f>
        <v>Maquinaria</v>
      </c>
      <c r="I658" s="115" t="s">
        <v>54</v>
      </c>
      <c r="J658" s="115" t="str">
        <f>+VLOOKUP($I658,Tabla7[#All],2,FALSE)</f>
        <v>PROGRAMADA</v>
      </c>
      <c r="K658" s="114" t="str">
        <f>IF(VLOOKUP(I658,Tabla7[#All],3,FALSE)=0,"",VLOOKUP(I658,Tabla7[#All],3,FALSE))</f>
        <v/>
      </c>
      <c r="L658" s="35" t="s">
        <v>1374</v>
      </c>
      <c r="M658" s="35" t="s">
        <v>121</v>
      </c>
      <c r="N658" s="35" t="str" cm="1">
        <f t="array" ref="N658">IFERROR(IF(Tabla8[[#This Row],[P/NP]]="NO PROGRAMADA","",_xlfn.TEXTJOIN(", ",TRUE,_xlfn._xlws.FILTER(Tabla4[[#All],[PIEZA]],ISNUMBER(SEARCH(Tabla4[[#All],[PCLAVE]],Tabla8[[#This Row],[DESCRIPCION DE TRABAJO]])),""))),"")</f>
        <v>Cadena, Transmisión</v>
      </c>
      <c r="O658" s="35" t="str" cm="1">
        <f t="array" ref="O658">_xlfn.TEXTJOIN(", ",TRUE,_xlfn._xlws.FILTER(Tabla28[[#All],[PARTE]],ISNUMBER(SEARCH(Tabla28[[#All],[PCLAVE2]],Tabla8[[#This Row],[DESCRIPCION DE TRABAJO]])),""))</f>
        <v>Temperadora</v>
      </c>
      <c r="P658" s="303" t="str">
        <f>IFERROR(LEFT(O658, FIND(",", O658)-1), O658)</f>
        <v>Temperadora</v>
      </c>
      <c r="Q658" s="303" t="str">
        <f>IFERROR(IF(ISERROR(FIND(",", O658, FIND(",", O658)+1)), RIGHT(O658, LEN(O658)-FIND(",", O658)-1), MID(O658, FIND(",", O658)+2, FIND(",", O658, FIND(",", O658)+1)-FIND(",", O658)-2)), "")</f>
        <v/>
      </c>
      <c r="R658" s="303" t="str">
        <f>IFERROR(RIGHT(O658, LEN(O658)-FIND(",", O658, FIND(",", O658)+1)-1), "")</f>
        <v/>
      </c>
      <c r="S658" s="35" t="str" cm="1">
        <f t="array" ref="S658">_xlfn.TEXTJOIN(", ",TRUE,_xlfn._xlws.FILTER(Tabla29[[#All],[PARTE]],ISNUMBER(SEARCH(Tabla29[[#All],[PCLAVE3]],Tabla8[[#This Row],[DESCRIPCION DE TRABAJO]])),""))</f>
        <v>Lubricacion</v>
      </c>
      <c r="T658" s="34" t="str">
        <f>IF(AND(Tabla8[[#This Row],[PIEZA]]="",Tabla8[[#This Row],[PARTE]]=""),"VACIO","OK")</f>
        <v>OK</v>
      </c>
      <c r="U658" s="303" t="str">
        <f>+CONCATENATE(WEEKNUM(Tabla8[[#This Row],[FECHA]]),"-",YEAR(Tabla8[[#This Row],[FECHA]]))</f>
        <v>12-2026</v>
      </c>
    </row>
    <row r="659" spans="1:21" ht="15" customHeight="1">
      <c r="A659" s="22">
        <v>46100</v>
      </c>
      <c r="B659" s="16" t="s">
        <v>88</v>
      </c>
      <c r="C659" s="10" t="s">
        <v>39</v>
      </c>
      <c r="D659" s="381">
        <v>0.10416666666666667</v>
      </c>
      <c r="E659" s="381">
        <v>0.11458333333333333</v>
      </c>
      <c r="F659" s="380">
        <f>+MOD(Tabla8[[#This Row],[HR. FIN]]-Tabla8[[#This Row],[HR. INICIO]],1)</f>
        <v>1.0416666666666657E-2</v>
      </c>
      <c r="G659" s="16" t="s">
        <v>182</v>
      </c>
      <c r="H659" s="343" t="str">
        <f>IFERROR(VLOOKUP(G659,DATOS!$M$2:$N$219,2,FALSE),"")</f>
        <v>Maquinaria</v>
      </c>
      <c r="I659" s="115" t="s">
        <v>57</v>
      </c>
      <c r="J659" s="115" t="str">
        <f>+VLOOKUP($I659,Tabla7[#All],2,FALSE)</f>
        <v>NO PROGRAMADA</v>
      </c>
      <c r="K659" s="114" t="str">
        <f>IF(VLOOKUP(I659,Tabla7[#All],3,FALSE)=0,"",VLOOKUP(I659,Tabla7[#All],3,FALSE))</f>
        <v>MECÁNICA</v>
      </c>
      <c r="L659" s="35" t="s">
        <v>1375</v>
      </c>
      <c r="M659" s="35" t="s">
        <v>1376</v>
      </c>
      <c r="N659" s="35" t="str" cm="1">
        <f t="array" ref="N659">IFERROR(IF(Tabla8[[#This Row],[P/NP]]="NO PROGRAMADA","",_xlfn.TEXTJOIN(", ",TRUE,_xlfn._xlws.FILTER(Tabla4[[#All],[PIEZA]],ISNUMBER(SEARCH(Tabla4[[#All],[PCLAVE]],Tabla8[[#This Row],[DESCRIPCION DE TRABAJO]])),""))),"")</f>
        <v/>
      </c>
      <c r="O659" s="35" t="str" cm="1">
        <f t="array" ref="O659">_xlfn.TEXTJOIN(", ",TRUE,_xlfn._xlws.FILTER(Tabla28[[#All],[PARTE]],ISNUMBER(SEARCH(Tabla28[[#All],[PCLAVE2]],Tabla8[[#This Row],[DESCRIPCION DE TRABAJO]])),""))</f>
        <v/>
      </c>
      <c r="P659" s="303" t="str">
        <f>IFERROR(LEFT(O659, FIND(",", O659)-1), O659)</f>
        <v/>
      </c>
      <c r="Q659" s="303" t="str">
        <f>IFERROR(IF(ISERROR(FIND(",", O659, FIND(",", O659)+1)), RIGHT(O659, LEN(O659)-FIND(",", O659)-1), MID(O659, FIND(",", O659)+2, FIND(",", O659, FIND(",", O659)+1)-FIND(",", O659)-2)), "")</f>
        <v/>
      </c>
      <c r="R659" s="303" t="str">
        <f>IFERROR(RIGHT(O659, LEN(O659)-FIND(",", O659, FIND(",", O659)+1)-1), "")</f>
        <v/>
      </c>
      <c r="S659" s="35" t="str" cm="1">
        <f t="array" ref="S659">_xlfn.TEXTJOIN(", ",TRUE,_xlfn._xlws.FILTER(Tabla29[[#All],[PARTE]],ISNUMBER(SEARCH(Tabla29[[#All],[PCLAVE3]],Tabla8[[#This Row],[DESCRIPCION DE TRABAJO]])),""))</f>
        <v>Laminado</v>
      </c>
      <c r="T659" s="34" t="str">
        <f>IF(AND(Tabla8[[#This Row],[PIEZA]]="",Tabla8[[#This Row],[PARTE]]=""),"VACIO","OK")</f>
        <v>VACIO</v>
      </c>
      <c r="U659" s="303" t="str">
        <f>+CONCATENATE(WEEKNUM(Tabla8[[#This Row],[FECHA]]),"-",YEAR(Tabla8[[#This Row],[FECHA]]))</f>
        <v>12-2026</v>
      </c>
    </row>
    <row r="660" spans="1:21" ht="15" customHeight="1">
      <c r="A660" s="22">
        <v>46100</v>
      </c>
      <c r="B660" s="16" t="s">
        <v>111</v>
      </c>
      <c r="C660" s="10" t="s">
        <v>23</v>
      </c>
      <c r="D660" s="381">
        <v>0.65972222222222221</v>
      </c>
      <c r="E660" s="381">
        <v>0.67013888888888884</v>
      </c>
      <c r="F660" s="380">
        <f>+MOD(Tabla8[[#This Row],[HR. FIN]]-Tabla8[[#This Row],[HR. INICIO]],1)</f>
        <v>1.041666666666663E-2</v>
      </c>
      <c r="G660" s="16" t="s">
        <v>153</v>
      </c>
      <c r="H660" s="343" t="str">
        <f>IFERROR(VLOOKUP(G660,DATOS!$M$2:$N$219,2,FALSE),"")</f>
        <v>Maquinaria</v>
      </c>
      <c r="I660" s="115" t="s">
        <v>57</v>
      </c>
      <c r="J660" s="115" t="str">
        <f>+VLOOKUP($I660,Tabla7[#All],2,FALSE)</f>
        <v>NO PROGRAMADA</v>
      </c>
      <c r="K660" s="114" t="str">
        <f>IF(VLOOKUP(I660,Tabla7[#All],3,FALSE)=0,"",VLOOKUP(I660,Tabla7[#All],3,FALSE))</f>
        <v>MECÁNICA</v>
      </c>
      <c r="L660" s="35" t="s">
        <v>1377</v>
      </c>
      <c r="M660" s="35" t="s">
        <v>1378</v>
      </c>
      <c r="N660" s="35" t="str" cm="1">
        <f t="array" ref="N660">IFERROR(IF(Tabla8[[#This Row],[P/NP]]="NO PROGRAMADA","",_xlfn.TEXTJOIN(", ",TRUE,_xlfn._xlws.FILTER(Tabla4[[#All],[PIEZA]],ISNUMBER(SEARCH(Tabla4[[#All],[PCLAVE]],Tabla8[[#This Row],[DESCRIPCION DE TRABAJO]])),""))),"")</f>
        <v/>
      </c>
      <c r="O660" s="35" t="str" cm="1">
        <f t="array" ref="O660">_xlfn.TEXTJOIN(", ",TRUE,_xlfn._xlws.FILTER(Tabla28[[#All],[PARTE]],ISNUMBER(SEARCH(Tabla28[[#All],[PCLAVE2]],Tabla8[[#This Row],[DESCRIPCION DE TRABAJO]])),""))</f>
        <v/>
      </c>
      <c r="P660" s="303" t="str">
        <f>IFERROR(LEFT(O660, FIND(",", O660)-1), O660)</f>
        <v/>
      </c>
      <c r="Q660" s="303" t="str">
        <f>IFERROR(IF(ISERROR(FIND(",", O660, FIND(",", O660)+1)), RIGHT(O660, LEN(O660)-FIND(",", O660)-1), MID(O660, FIND(",", O660)+2, FIND(",", O660, FIND(",", O660)+1)-FIND(",", O660)-2)), "")</f>
        <v/>
      </c>
      <c r="R660" s="303" t="str">
        <f>IFERROR(RIGHT(O660, LEN(O660)-FIND(",", O660, FIND(",", O660)+1)-1), "")</f>
        <v/>
      </c>
      <c r="S660" s="35" t="str" cm="1">
        <f t="array" ref="S660">_xlfn.TEXTJOIN(", ",TRUE,_xlfn._xlws.FILTER(Tabla29[[#All],[PARTE]],ISNUMBER(SEARCH(Tabla29[[#All],[PCLAVE3]],Tabla8[[#This Row],[DESCRIPCION DE TRABAJO]])),""))</f>
        <v>Ruido</v>
      </c>
      <c r="T660" s="34" t="str">
        <f>IF(AND(Tabla8[[#This Row],[PIEZA]]="",Tabla8[[#This Row],[PARTE]]=""),"VACIO","OK")</f>
        <v>VACIO</v>
      </c>
      <c r="U660" s="303" t="str">
        <f>+CONCATENATE(WEEKNUM(Tabla8[[#This Row],[FECHA]]),"-",YEAR(Tabla8[[#This Row],[FECHA]]))</f>
        <v>12-2026</v>
      </c>
    </row>
    <row r="661" spans="1:21" ht="15" customHeight="1">
      <c r="A661" s="22">
        <v>46100</v>
      </c>
      <c r="B661" s="16" t="s">
        <v>111</v>
      </c>
      <c r="C661" s="10" t="s">
        <v>23</v>
      </c>
      <c r="D661" s="381">
        <v>0.77777777777777779</v>
      </c>
      <c r="E661" s="381">
        <v>0.78819444444444442</v>
      </c>
      <c r="F661" s="380">
        <f>+MOD(Tabla8[[#This Row],[HR. FIN]]-Tabla8[[#This Row],[HR. INICIO]],1)</f>
        <v>1.041666666666663E-2</v>
      </c>
      <c r="G661" s="16" t="s">
        <v>1379</v>
      </c>
      <c r="H661" s="343" t="str">
        <f>IFERROR(VLOOKUP(G661,DATOS!$M$2:$N$219,2,FALSE),"")</f>
        <v>Maquinaria</v>
      </c>
      <c r="I661" s="115" t="s">
        <v>57</v>
      </c>
      <c r="J661" s="115" t="str">
        <f>+VLOOKUP($I661,Tabla7[#All],2,FALSE)</f>
        <v>NO PROGRAMADA</v>
      </c>
      <c r="K661" s="114" t="str">
        <f>IF(VLOOKUP(I661,Tabla7[#All],3,FALSE)=0,"",VLOOKUP(I661,Tabla7[#All],3,FALSE))</f>
        <v>MECÁNICA</v>
      </c>
      <c r="L661" s="35" t="s">
        <v>1380</v>
      </c>
      <c r="M661" s="35" t="s">
        <v>1381</v>
      </c>
      <c r="N661" s="35" t="str" cm="1">
        <f t="array" ref="N661">IFERROR(IF(Tabla8[[#This Row],[P/NP]]="NO PROGRAMADA","",_xlfn.TEXTJOIN(", ",TRUE,_xlfn._xlws.FILTER(Tabla4[[#All],[PIEZA]],ISNUMBER(SEARCH(Tabla4[[#All],[PCLAVE]],Tabla8[[#This Row],[DESCRIPCION DE TRABAJO]])),""))),"")</f>
        <v/>
      </c>
      <c r="O661" s="35" t="str" cm="1">
        <f t="array" ref="O661">_xlfn.TEXTJOIN(", ",TRUE,_xlfn._xlws.FILTER(Tabla28[[#All],[PARTE]],ISNUMBER(SEARCH(Tabla28[[#All],[PCLAVE2]],Tabla8[[#This Row],[DESCRIPCION DE TRABAJO]])),""))</f>
        <v/>
      </c>
      <c r="P661" s="303" t="str">
        <f>IFERROR(LEFT(O661, FIND(",", O661)-1), O661)</f>
        <v/>
      </c>
      <c r="Q661" s="303" t="str">
        <f>IFERROR(IF(ISERROR(FIND(",", O661, FIND(",", O661)+1)), RIGHT(O661, LEN(O661)-FIND(",", O661)-1), MID(O661, FIND(",", O661)+2, FIND(",", O661, FIND(",", O661)+1)-FIND(",", O661)-2)), "")</f>
        <v/>
      </c>
      <c r="R661" s="303" t="str">
        <f>IFERROR(RIGHT(O661, LEN(O661)-FIND(",", O661, FIND(",", O661)+1)-1), "")</f>
        <v/>
      </c>
      <c r="S661" s="35" t="str" cm="1">
        <f t="array" ref="S661">_xlfn.TEXTJOIN(", ",TRUE,_xlfn._xlws.FILTER(Tabla29[[#All],[PARTE]],ISNUMBER(SEARCH(Tabla29[[#All],[PCLAVE3]],Tabla8[[#This Row],[DESCRIPCION DE TRABAJO]])),""))</f>
        <v>Sellado</v>
      </c>
      <c r="T661" s="34" t="str">
        <f>IF(AND(Tabla8[[#This Row],[PIEZA]]="",Tabla8[[#This Row],[PARTE]]=""),"VACIO","OK")</f>
        <v>VACIO</v>
      </c>
      <c r="U661" s="303" t="str">
        <f>+CONCATENATE(WEEKNUM(Tabla8[[#This Row],[FECHA]]),"-",YEAR(Tabla8[[#This Row],[FECHA]]))</f>
        <v>12-2026</v>
      </c>
    </row>
    <row r="662" spans="1:21" ht="15" customHeight="1">
      <c r="A662" s="22">
        <v>46100</v>
      </c>
      <c r="B662" s="16" t="s">
        <v>111</v>
      </c>
      <c r="C662" s="10" t="s">
        <v>23</v>
      </c>
      <c r="D662" s="381">
        <v>0.56944444444444442</v>
      </c>
      <c r="E662" s="381">
        <v>0.57638888888888884</v>
      </c>
      <c r="F662" s="380">
        <f>+MOD(Tabla8[[#This Row],[HR. FIN]]-Tabla8[[#This Row],[HR. INICIO]],1)</f>
        <v>6.9444444444444198E-3</v>
      </c>
      <c r="G662" s="16" t="s">
        <v>552</v>
      </c>
      <c r="H662" s="343" t="str">
        <f>IFERROR(VLOOKUP(G662,DATOS!$M$2:$N$219,2,FALSE),"")</f>
        <v>Maquinaria</v>
      </c>
      <c r="I662" s="115" t="s">
        <v>32</v>
      </c>
      <c r="J662" s="115" t="str">
        <f>+VLOOKUP($I662,Tabla7[#All],2,FALSE)</f>
        <v>PROGRAMADA</v>
      </c>
      <c r="K662" s="114" t="str">
        <f>IF(VLOOKUP(I662,Tabla7[#All],3,FALSE)=0,"",VLOOKUP(I662,Tabla7[#All],3,FALSE))</f>
        <v/>
      </c>
      <c r="L662" s="35" t="s">
        <v>1382</v>
      </c>
      <c r="M662" s="35" t="s">
        <v>121</v>
      </c>
      <c r="N662" s="35" t="str" cm="1">
        <f t="array" ref="N662">IFERROR(IF(Tabla8[[#This Row],[P/NP]]="NO PROGRAMADA","",_xlfn.TEXTJOIN(", ",TRUE,_xlfn._xlws.FILTER(Tabla4[[#All],[PIEZA]],ISNUMBER(SEARCH(Tabla4[[#All],[PCLAVE]],Tabla8[[#This Row],[DESCRIPCION DE TRABAJO]])),""))),"")</f>
        <v>Fecha</v>
      </c>
      <c r="O662" s="35" t="str" cm="1">
        <f t="array" ref="O662">_xlfn.TEXTJOIN(", ",TRUE,_xlfn._xlws.FILTER(Tabla28[[#All],[PARTE]],ISNUMBER(SEARCH(Tabla28[[#All],[PCLAVE2]],Tabla8[[#This Row],[DESCRIPCION DE TRABAJO]])),""))</f>
        <v/>
      </c>
      <c r="P662" s="303" t="str">
        <f>IFERROR(LEFT(O662, FIND(",", O662)-1), O662)</f>
        <v/>
      </c>
      <c r="Q662" s="303" t="str">
        <f>IFERROR(IF(ISERROR(FIND(",", O662, FIND(",", O662)+1)), RIGHT(O662, LEN(O662)-FIND(",", O662)-1), MID(O662, FIND(",", O662)+2, FIND(",", O662, FIND(",", O662)+1)-FIND(",", O662)-2)), "")</f>
        <v/>
      </c>
      <c r="R662" s="303" t="str">
        <f>IFERROR(RIGHT(O662, LEN(O662)-FIND(",", O662, FIND(",", O662)+1)-1), "")</f>
        <v/>
      </c>
      <c r="S662" s="35" t="str" cm="1">
        <f t="array" ref="S662">_xlfn.TEXTJOIN(", ",TRUE,_xlfn._xlws.FILTER(Tabla29[[#All],[PARTE]],ISNUMBER(SEARCH(Tabla29[[#All],[PCLAVE3]],Tabla8[[#This Row],[DESCRIPCION DE TRABAJO]])),""))</f>
        <v/>
      </c>
      <c r="T662" s="34" t="str">
        <f>IF(AND(Tabla8[[#This Row],[PIEZA]]="",Tabla8[[#This Row],[PARTE]]=""),"VACIO","OK")</f>
        <v>OK</v>
      </c>
      <c r="U662" s="303" t="str">
        <f>+CONCATENATE(WEEKNUM(Tabla8[[#This Row],[FECHA]]),"-",YEAR(Tabla8[[#This Row],[FECHA]]))</f>
        <v>12-2026</v>
      </c>
    </row>
    <row r="663" spans="1:21" ht="15" customHeight="1">
      <c r="A663" s="22">
        <v>46100</v>
      </c>
      <c r="B663" s="16" t="s">
        <v>111</v>
      </c>
      <c r="C663" s="10" t="s">
        <v>23</v>
      </c>
      <c r="D663" s="381">
        <v>0.57986111111111116</v>
      </c>
      <c r="E663" s="381">
        <v>0.58680555555555558</v>
      </c>
      <c r="F663" s="380">
        <f>+MOD(Tabla8[[#This Row],[HR. FIN]]-Tabla8[[#This Row],[HR. INICIO]],1)</f>
        <v>6.9444444444444198E-3</v>
      </c>
      <c r="G663" s="16" t="s">
        <v>169</v>
      </c>
      <c r="H663" s="343" t="str">
        <f>IFERROR(VLOOKUP(G663,DATOS!$M$2:$N$219,2,FALSE),"")</f>
        <v>Maquinaria</v>
      </c>
      <c r="I663" s="115" t="s">
        <v>32</v>
      </c>
      <c r="J663" s="115" t="str">
        <f>+VLOOKUP($I663,Tabla7[#All],2,FALSE)</f>
        <v>PROGRAMADA</v>
      </c>
      <c r="K663" s="114" t="str">
        <f>IF(VLOOKUP(I663,Tabla7[#All],3,FALSE)=0,"",VLOOKUP(I663,Tabla7[#All],3,FALSE))</f>
        <v/>
      </c>
      <c r="L663" s="35" t="s">
        <v>960</v>
      </c>
      <c r="M663" s="35" t="s">
        <v>121</v>
      </c>
      <c r="N663" s="35" t="str" cm="1">
        <f t="array" ref="N663">IFERROR(IF(Tabla8[[#This Row],[P/NP]]="NO PROGRAMADA","",_xlfn.TEXTJOIN(", ",TRUE,_xlfn._xlws.FILTER(Tabla4[[#All],[PIEZA]],ISNUMBER(SEARCH(Tabla4[[#All],[PCLAVE]],Tabla8[[#This Row],[DESCRIPCION DE TRABAJO]])),""))),"")</f>
        <v/>
      </c>
      <c r="O663" s="35" t="str" cm="1">
        <f t="array" ref="O663">_xlfn.TEXTJOIN(", ",TRUE,_xlfn._xlws.FILTER(Tabla28[[#All],[PARTE]],ISNUMBER(SEARCH(Tabla28[[#All],[PCLAVE2]],Tabla8[[#This Row],[DESCRIPCION DE TRABAJO]])),""))</f>
        <v/>
      </c>
      <c r="P663" s="303" t="str">
        <f>IFERROR(LEFT(O663, FIND(",", O663)-1), O663)</f>
        <v/>
      </c>
      <c r="Q663" s="303" t="str">
        <f>IFERROR(IF(ISERROR(FIND(",", O663, FIND(",", O663)+1)), RIGHT(O663, LEN(O663)-FIND(",", O663)-1), MID(O663, FIND(",", O663)+2, FIND(",", O663, FIND(",", O663)+1)-FIND(",", O663)-2)), "")</f>
        <v/>
      </c>
      <c r="R663" s="303" t="str">
        <f>IFERROR(RIGHT(O663, LEN(O663)-FIND(",", O663, FIND(",", O663)+1)-1), "")</f>
        <v/>
      </c>
      <c r="S663" s="35" t="str" cm="1">
        <f t="array" ref="S663">_xlfn.TEXTJOIN(", ",TRUE,_xlfn._xlws.FILTER(Tabla29[[#All],[PARTE]],ISNUMBER(SEARCH(Tabla29[[#All],[PCLAVE3]],Tabla8[[#This Row],[DESCRIPCION DE TRABAJO]])),""))</f>
        <v/>
      </c>
      <c r="T663" s="34" t="str">
        <f>IF(AND(Tabla8[[#This Row],[PIEZA]]="",Tabla8[[#This Row],[PARTE]]=""),"VACIO","OK")</f>
        <v>VACIO</v>
      </c>
      <c r="U663" s="303" t="str">
        <f>+CONCATENATE(WEEKNUM(Tabla8[[#This Row],[FECHA]]),"-",YEAR(Tabla8[[#This Row],[FECHA]]))</f>
        <v>12-2026</v>
      </c>
    </row>
    <row r="664" spans="1:21" ht="15" customHeight="1">
      <c r="A664" s="22">
        <v>46100</v>
      </c>
      <c r="B664" s="16" t="s">
        <v>111</v>
      </c>
      <c r="C664" s="10" t="s">
        <v>23</v>
      </c>
      <c r="D664" s="381">
        <v>0.67361111111111116</v>
      </c>
      <c r="E664" s="381">
        <v>0.68055555555555558</v>
      </c>
      <c r="F664" s="380">
        <f>+MOD(Tabla8[[#This Row],[HR. FIN]]-Tabla8[[#This Row],[HR. INICIO]],1)</f>
        <v>6.9444444444444198E-3</v>
      </c>
      <c r="G664" s="16" t="s">
        <v>331</v>
      </c>
      <c r="H664" s="343" t="str">
        <f>IFERROR(VLOOKUP(G664,DATOS!$M$2:$N$219,2,FALSE),"")</f>
        <v>Maquinaria</v>
      </c>
      <c r="I664" s="115" t="s">
        <v>32</v>
      </c>
      <c r="J664" s="115" t="str">
        <f>+VLOOKUP($I664,Tabla7[#All],2,FALSE)</f>
        <v>PROGRAMADA</v>
      </c>
      <c r="K664" s="114" t="str">
        <f>IF(VLOOKUP(I664,Tabla7[#All],3,FALSE)=0,"",VLOOKUP(I664,Tabla7[#All],3,FALSE))</f>
        <v/>
      </c>
      <c r="L664" s="35" t="s">
        <v>449</v>
      </c>
      <c r="M664" s="35" t="s">
        <v>121</v>
      </c>
      <c r="N664" s="35" t="str" cm="1">
        <f t="array" ref="N664">IFERROR(IF(Tabla8[[#This Row],[P/NP]]="NO PROGRAMADA","",_xlfn.TEXTJOIN(", ",TRUE,_xlfn._xlws.FILTER(Tabla4[[#All],[PIEZA]],ISNUMBER(SEARCH(Tabla4[[#All],[PCLAVE]],Tabla8[[#This Row],[DESCRIPCION DE TRABAJO]])),""))),"")</f>
        <v/>
      </c>
      <c r="O664" s="35" t="str" cm="1">
        <f t="array" ref="O664">_xlfn.TEXTJOIN(", ",TRUE,_xlfn._xlws.FILTER(Tabla28[[#All],[PARTE]],ISNUMBER(SEARCH(Tabla28[[#All],[PCLAVE2]],Tabla8[[#This Row],[DESCRIPCION DE TRABAJO]])),""))</f>
        <v/>
      </c>
      <c r="P664" s="303" t="str">
        <f>IFERROR(LEFT(O664, FIND(",", O664)-1), O664)</f>
        <v/>
      </c>
      <c r="Q664" s="303" t="str">
        <f>IFERROR(IF(ISERROR(FIND(",", O664, FIND(",", O664)+1)), RIGHT(O664, LEN(O664)-FIND(",", O664)-1), MID(O664, FIND(",", O664)+2, FIND(",", O664, FIND(",", O664)+1)-FIND(",", O664)-2)), "")</f>
        <v/>
      </c>
      <c r="R664" s="303" t="str">
        <f>IFERROR(RIGHT(O664, LEN(O664)-FIND(",", O664, FIND(",", O664)+1)-1), "")</f>
        <v/>
      </c>
      <c r="S664" s="35" t="str" cm="1">
        <f t="array" ref="S664">_xlfn.TEXTJOIN(", ",TRUE,_xlfn._xlws.FILTER(Tabla29[[#All],[PARTE]],ISNUMBER(SEARCH(Tabla29[[#All],[PCLAVE3]],Tabla8[[#This Row],[DESCRIPCION DE TRABAJO]])),""))</f>
        <v/>
      </c>
      <c r="T664" s="34" t="str">
        <f>IF(AND(Tabla8[[#This Row],[PIEZA]]="",Tabla8[[#This Row],[PARTE]]=""),"VACIO","OK")</f>
        <v>VACIO</v>
      </c>
      <c r="U664" s="303" t="str">
        <f>+CONCATENATE(WEEKNUM(Tabla8[[#This Row],[FECHA]]),"-",YEAR(Tabla8[[#This Row],[FECHA]]))</f>
        <v>12-2026</v>
      </c>
    </row>
    <row r="665" spans="1:21" ht="15" customHeight="1">
      <c r="A665" s="22">
        <v>46100</v>
      </c>
      <c r="B665" s="16" t="s">
        <v>111</v>
      </c>
      <c r="C665" s="10" t="s">
        <v>23</v>
      </c>
      <c r="D665" s="381">
        <v>0.71527777777777779</v>
      </c>
      <c r="E665" s="381">
        <v>0.72222222222222221</v>
      </c>
      <c r="F665" s="380">
        <f>+MOD(Tabla8[[#This Row],[HR. FIN]]-Tabla8[[#This Row],[HR. INICIO]],1)</f>
        <v>6.9444444444444198E-3</v>
      </c>
      <c r="G665" s="16" t="s">
        <v>119</v>
      </c>
      <c r="H665" s="343" t="str">
        <f>IFERROR(VLOOKUP(G665,DATOS!$M$2:$N$219,2,FALSE),"")</f>
        <v>Maquinaria</v>
      </c>
      <c r="I665" s="115" t="s">
        <v>54</v>
      </c>
      <c r="J665" s="115" t="str">
        <f>+VLOOKUP($I665,Tabla7[#All],2,FALSE)</f>
        <v>PROGRAMADA</v>
      </c>
      <c r="K665" s="114" t="str">
        <f>IF(VLOOKUP(I665,Tabla7[#All],3,FALSE)=0,"",VLOOKUP(I665,Tabla7[#All],3,FALSE))</f>
        <v/>
      </c>
      <c r="L665" s="35" t="s">
        <v>1383</v>
      </c>
      <c r="M665" s="35" t="s">
        <v>121</v>
      </c>
      <c r="N665" s="35" t="str" cm="1">
        <f t="array" ref="N665">IFERROR(IF(Tabla8[[#This Row],[P/NP]]="NO PROGRAMADA","",_xlfn.TEXTJOIN(", ",TRUE,_xlfn._xlws.FILTER(Tabla4[[#All],[PIEZA]],ISNUMBER(SEARCH(Tabla4[[#All],[PCLAVE]],Tabla8[[#This Row],[DESCRIPCION DE TRABAJO]])),""))),"")</f>
        <v/>
      </c>
      <c r="O665" s="35" t="str" cm="1">
        <f t="array" ref="O665">_xlfn.TEXTJOIN(", ",TRUE,_xlfn._xlws.FILTER(Tabla28[[#All],[PARTE]],ISNUMBER(SEARCH(Tabla28[[#All],[PCLAVE2]],Tabla8[[#This Row],[DESCRIPCION DE TRABAJO]])),""))</f>
        <v>Temperadora</v>
      </c>
      <c r="P665" s="303" t="str">
        <f>IFERROR(LEFT(O665, FIND(",", O665)-1), O665)</f>
        <v>Temperadora</v>
      </c>
      <c r="Q665" s="303" t="str">
        <f>IFERROR(IF(ISERROR(FIND(",", O665, FIND(",", O665)+1)), RIGHT(O665, LEN(O665)-FIND(",", O665)-1), MID(O665, FIND(",", O665)+2, FIND(",", O665, FIND(",", O665)+1)-FIND(",", O665)-2)), "")</f>
        <v/>
      </c>
      <c r="R665" s="303" t="str">
        <f>IFERROR(RIGHT(O665, LEN(O665)-FIND(",", O665, FIND(",", O665)+1)-1), "")</f>
        <v/>
      </c>
      <c r="S665" s="35" t="str" cm="1">
        <f t="array" ref="S665">_xlfn.TEXTJOIN(", ",TRUE,_xlfn._xlws.FILTER(Tabla29[[#All],[PARTE]],ISNUMBER(SEARCH(Tabla29[[#All],[PCLAVE3]],Tabla8[[#This Row],[DESCRIPCION DE TRABAJO]])),""))</f>
        <v>Falla De Presion</v>
      </c>
      <c r="T665" s="34" t="str">
        <f>IF(AND(Tabla8[[#This Row],[PIEZA]]="",Tabla8[[#This Row],[PARTE]]=""),"VACIO","OK")</f>
        <v>OK</v>
      </c>
      <c r="U665" s="303" t="str">
        <f>+CONCATENATE(WEEKNUM(Tabla8[[#This Row],[FECHA]]),"-",YEAR(Tabla8[[#This Row],[FECHA]]))</f>
        <v>12-2026</v>
      </c>
    </row>
    <row r="666" spans="1:21" ht="15" customHeight="1">
      <c r="A666" s="22">
        <v>46102</v>
      </c>
      <c r="B666" s="16" t="s">
        <v>191</v>
      </c>
      <c r="C666" s="10" t="s">
        <v>36</v>
      </c>
      <c r="D666" s="381">
        <v>0.46180555555555558</v>
      </c>
      <c r="E666" s="381">
        <v>0.49236111111111114</v>
      </c>
      <c r="F666" s="380">
        <f>+MOD(Tabla8[[#This Row],[HR. FIN]]-Tabla8[[#This Row],[HR. INICIO]],1)</f>
        <v>3.0555555555555558E-2</v>
      </c>
      <c r="G666" s="16" t="s">
        <v>202</v>
      </c>
      <c r="H666" s="343" t="str">
        <f>IFERROR(VLOOKUP(G666,DATOS!$M$2:$N$219,2,FALSE),"")</f>
        <v>Maquinaria</v>
      </c>
      <c r="I666" s="115" t="s">
        <v>32</v>
      </c>
      <c r="J666" s="115" t="str">
        <f>+VLOOKUP($I666,Tabla7[#All],2,FALSE)</f>
        <v>PROGRAMADA</v>
      </c>
      <c r="K666" s="114" t="str">
        <f>IF(VLOOKUP(I666,Tabla7[#All],3,FALSE)=0,"",VLOOKUP(I666,Tabla7[#All],3,FALSE))</f>
        <v/>
      </c>
      <c r="L666" s="35" t="s">
        <v>1384</v>
      </c>
      <c r="M666" s="35" t="s">
        <v>121</v>
      </c>
      <c r="N666" s="35" t="str" cm="1">
        <f t="array" ref="N666">IFERROR(IF(Tabla8[[#This Row],[P/NP]]="NO PROGRAMADA","",_xlfn.TEXTJOIN(", ",TRUE,_xlfn._xlws.FILTER(Tabla4[[#All],[PIEZA]],ISNUMBER(SEARCH(Tabla4[[#All],[PCLAVE]],Tabla8[[#This Row],[DESCRIPCION DE TRABAJO]])),""))),"")</f>
        <v/>
      </c>
      <c r="O666" s="35" t="str" cm="1">
        <f t="array" ref="O666">_xlfn.TEXTJOIN(", ",TRUE,_xlfn._xlws.FILTER(Tabla28[[#All],[PARTE]],ISNUMBER(SEARCH(Tabla28[[#All],[PCLAVE2]],Tabla8[[#This Row],[DESCRIPCION DE TRABAJO]])),""))</f>
        <v/>
      </c>
      <c r="P666" s="303" t="str">
        <f>IFERROR(LEFT(O666, FIND(",", O666)-1), O666)</f>
        <v/>
      </c>
      <c r="Q666" s="303" t="str">
        <f>IFERROR(IF(ISERROR(FIND(",", O666, FIND(",", O666)+1)), RIGHT(O666, LEN(O666)-FIND(",", O666)-1), MID(O666, FIND(",", O666)+2, FIND(",", O666, FIND(",", O666)+1)-FIND(",", O666)-2)), "")</f>
        <v/>
      </c>
      <c r="R666" s="303" t="str">
        <f>IFERROR(RIGHT(O666, LEN(O666)-FIND(",", O666, FIND(",", O666)+1)-1), "")</f>
        <v/>
      </c>
      <c r="S666" s="35" t="str" cm="1">
        <f t="array" ref="S666">_xlfn.TEXTJOIN(", ",TRUE,_xlfn._xlws.FILTER(Tabla29[[#All],[PARTE]],ISNUMBER(SEARCH(Tabla29[[#All],[PCLAVE3]],Tabla8[[#This Row],[DESCRIPCION DE TRABAJO]])),""))</f>
        <v/>
      </c>
      <c r="T666" s="34" t="str">
        <f>IF(AND(Tabla8[[#This Row],[PIEZA]]="",Tabla8[[#This Row],[PARTE]]=""),"VACIO","OK")</f>
        <v>VACIO</v>
      </c>
      <c r="U666" s="303" t="str">
        <f>+CONCATENATE(WEEKNUM(Tabla8[[#This Row],[FECHA]]),"-",YEAR(Tabla8[[#This Row],[FECHA]]))</f>
        <v>12-2026</v>
      </c>
    </row>
    <row r="667" spans="1:21" ht="15" customHeight="1">
      <c r="A667" s="22">
        <v>46102</v>
      </c>
      <c r="B667" s="16" t="s">
        <v>191</v>
      </c>
      <c r="C667" s="10" t="s">
        <v>36</v>
      </c>
      <c r="D667" s="381">
        <v>0.35208333333333336</v>
      </c>
      <c r="E667" s="381">
        <v>0.38055555555555554</v>
      </c>
      <c r="F667" s="380">
        <f>+MOD(Tabla8[[#This Row],[HR. FIN]]-Tabla8[[#This Row],[HR. INICIO]],1)</f>
        <v>2.8472222222222177E-2</v>
      </c>
      <c r="G667" s="16" t="s">
        <v>438</v>
      </c>
      <c r="H667" s="343" t="str">
        <f>IFERROR(VLOOKUP(G667,DATOS!$M$2:$N$219,2,FALSE),"")</f>
        <v>Maquinaria</v>
      </c>
      <c r="I667" s="115" t="s">
        <v>57</v>
      </c>
      <c r="J667" s="115" t="str">
        <f>+VLOOKUP($I667,Tabla7[#All],2,FALSE)</f>
        <v>NO PROGRAMADA</v>
      </c>
      <c r="K667" s="114" t="str">
        <f>IF(VLOOKUP(I667,Tabla7[#All],3,FALSE)=0,"",VLOOKUP(I667,Tabla7[#All],3,FALSE))</f>
        <v>MECÁNICA</v>
      </c>
      <c r="L667" s="35" t="s">
        <v>1385</v>
      </c>
      <c r="M667" s="35" t="s">
        <v>1386</v>
      </c>
      <c r="N667" s="35" t="str" cm="1">
        <f t="array" ref="N667">IFERROR(IF(Tabla8[[#This Row],[P/NP]]="NO PROGRAMADA","",_xlfn.TEXTJOIN(", ",TRUE,_xlfn._xlws.FILTER(Tabla4[[#All],[PIEZA]],ISNUMBER(SEARCH(Tabla4[[#All],[PCLAVE]],Tabla8[[#This Row],[DESCRIPCION DE TRABAJO]])),""))),"")</f>
        <v/>
      </c>
      <c r="O667" s="35" t="str" cm="1">
        <f t="array" ref="O667">_xlfn.TEXTJOIN(", ",TRUE,_xlfn._xlws.FILTER(Tabla28[[#All],[PARTE]],ISNUMBER(SEARCH(Tabla28[[#All],[PCLAVE2]],Tabla8[[#This Row],[DESCRIPCION DE TRABAJO]])),""))</f>
        <v/>
      </c>
      <c r="P667" s="303" t="str">
        <f>IFERROR(LEFT(O667, FIND(",", O667)-1), O667)</f>
        <v/>
      </c>
      <c r="Q667" s="303" t="str">
        <f>IFERROR(IF(ISERROR(FIND(",", O667, FIND(",", O667)+1)), RIGHT(O667, LEN(O667)-FIND(",", O667)-1), MID(O667, FIND(",", O667)+2, FIND(",", O667, FIND(",", O667)+1)-FIND(",", O667)-2)), "")</f>
        <v/>
      </c>
      <c r="R667" s="303" t="str">
        <f>IFERROR(RIGHT(O667, LEN(O667)-FIND(",", O667, FIND(",", O667)+1)-1), "")</f>
        <v/>
      </c>
      <c r="S667" s="35" t="str" cm="1">
        <f t="array" ref="S667">_xlfn.TEXTJOIN(", ",TRUE,_xlfn._xlws.FILTER(Tabla29[[#All],[PARTE]],ISNUMBER(SEARCH(Tabla29[[#All],[PCLAVE3]],Tabla8[[#This Row],[DESCRIPCION DE TRABAJO]])),""))</f>
        <v/>
      </c>
      <c r="T667" s="34" t="str">
        <f>IF(AND(Tabla8[[#This Row],[PIEZA]]="",Tabla8[[#This Row],[PARTE]]=""),"VACIO","OK")</f>
        <v>VACIO</v>
      </c>
      <c r="U667" s="303" t="str">
        <f>+CONCATENATE(WEEKNUM(Tabla8[[#This Row],[FECHA]]),"-",YEAR(Tabla8[[#This Row],[FECHA]]))</f>
        <v>12-2026</v>
      </c>
    </row>
    <row r="668" spans="1:21" ht="15" customHeight="1">
      <c r="A668" s="22">
        <v>46102</v>
      </c>
      <c r="B668" s="16" t="s">
        <v>191</v>
      </c>
      <c r="C668" s="10" t="s">
        <v>36</v>
      </c>
      <c r="D668" s="381">
        <v>0.31527777777777777</v>
      </c>
      <c r="E668" s="381">
        <v>0.33819444444444446</v>
      </c>
      <c r="F668" s="380">
        <f>+MOD(Tabla8[[#This Row],[HR. FIN]]-Tabla8[[#This Row],[HR. INICIO]],1)</f>
        <v>2.2916666666666696E-2</v>
      </c>
      <c r="G668" s="16" t="s">
        <v>153</v>
      </c>
      <c r="H668" s="343" t="str">
        <f>IFERROR(VLOOKUP(G668,DATOS!$M$2:$N$219,2,FALSE),"")</f>
        <v>Maquinaria</v>
      </c>
      <c r="I668" s="115" t="s">
        <v>57</v>
      </c>
      <c r="J668" s="115" t="str">
        <f>+VLOOKUP($I668,Tabla7[#All],2,FALSE)</f>
        <v>NO PROGRAMADA</v>
      </c>
      <c r="K668" s="114" t="str">
        <f>IF(VLOOKUP(I668,Tabla7[#All],3,FALSE)=0,"",VLOOKUP(I668,Tabla7[#All],3,FALSE))</f>
        <v>MECÁNICA</v>
      </c>
      <c r="L668" s="35" t="s">
        <v>1387</v>
      </c>
      <c r="M668" s="35" t="s">
        <v>1388</v>
      </c>
      <c r="N668" s="35" t="str" cm="1">
        <f t="array" ref="N668">IFERROR(IF(Tabla8[[#This Row],[P/NP]]="NO PROGRAMADA","",_xlfn.TEXTJOIN(", ",TRUE,_xlfn._xlws.FILTER(Tabla4[[#All],[PIEZA]],ISNUMBER(SEARCH(Tabla4[[#All],[PCLAVE]],Tabla8[[#This Row],[DESCRIPCION DE TRABAJO]])),""))),"")</f>
        <v/>
      </c>
      <c r="O668" s="35" t="str" cm="1">
        <f t="array" ref="O668">_xlfn.TEXTJOIN(", ",TRUE,_xlfn._xlws.FILTER(Tabla28[[#All],[PARTE]],ISNUMBER(SEARCH(Tabla28[[#All],[PCLAVE2]],Tabla8[[#This Row],[DESCRIPCION DE TRABAJO]])),""))</f>
        <v>Contraelevador</v>
      </c>
      <c r="P668" s="303" t="str">
        <f>IFERROR(LEFT(O668, FIND(",", O668)-1), O668)</f>
        <v>Contraelevador</v>
      </c>
      <c r="Q668" s="303" t="str">
        <f>IFERROR(IF(ISERROR(FIND(",", O668, FIND(",", O668)+1)), RIGHT(O668, LEN(O668)-FIND(",", O668)-1), MID(O668, FIND(",", O668)+2, FIND(",", O668, FIND(",", O668)+1)-FIND(",", O668)-2)), "")</f>
        <v/>
      </c>
      <c r="R668" s="303" t="str">
        <f>IFERROR(RIGHT(O668, LEN(O668)-FIND(",", O668, FIND(",", O668)+1)-1), "")</f>
        <v/>
      </c>
      <c r="S668" s="35" t="str" cm="1">
        <f t="array" ref="S668">_xlfn.TEXTJOIN(", ",TRUE,_xlfn._xlws.FILTER(Tabla29[[#All],[PARTE]],ISNUMBER(SEARCH(Tabla29[[#All],[PCLAVE3]],Tabla8[[#This Row],[DESCRIPCION DE TRABAJO]])),""))</f>
        <v>Fuera De Posicion, No Retorna</v>
      </c>
      <c r="T668" s="34" t="str">
        <f>IF(AND(Tabla8[[#This Row],[PIEZA]]="",Tabla8[[#This Row],[PARTE]]=""),"VACIO","OK")</f>
        <v>OK</v>
      </c>
      <c r="U668" s="303" t="str">
        <f>+CONCATENATE(WEEKNUM(Tabla8[[#This Row],[FECHA]]),"-",YEAR(Tabla8[[#This Row],[FECHA]]))</f>
        <v>12-2026</v>
      </c>
    </row>
    <row r="669" spans="1:21" ht="15" customHeight="1">
      <c r="A669" s="22">
        <v>46102</v>
      </c>
      <c r="B669" s="16" t="s">
        <v>191</v>
      </c>
      <c r="C669" s="10" t="s">
        <v>36</v>
      </c>
      <c r="D669" s="381">
        <v>0.49861111111111112</v>
      </c>
      <c r="E669" s="381">
        <v>0.51736111111111116</v>
      </c>
      <c r="F669" s="380">
        <f>+MOD(Tabla8[[#This Row],[HR. FIN]]-Tabla8[[#This Row],[HR. INICIO]],1)</f>
        <v>1.8750000000000044E-2</v>
      </c>
      <c r="G669" s="16" t="s">
        <v>91</v>
      </c>
      <c r="H669" s="343" t="str">
        <f>IFERROR(VLOOKUP(G669,DATOS!$M$2:$N$219,2,FALSE),"")</f>
        <v>Area</v>
      </c>
      <c r="I669" s="115" t="s">
        <v>245</v>
      </c>
      <c r="J669" s="115" t="str">
        <f>+VLOOKUP($I669,Tabla7[#All],2,FALSE)</f>
        <v>PROGRAMADA</v>
      </c>
      <c r="K669" s="114" t="str">
        <f>IF(VLOOKUP(I669,Tabla7[#All],3,FALSE)=0,"",VLOOKUP(I669,Tabla7[#All],3,FALSE))</f>
        <v/>
      </c>
      <c r="L669" s="35" t="s">
        <v>1389</v>
      </c>
      <c r="M669" s="35" t="s">
        <v>121</v>
      </c>
      <c r="N669" s="35" t="str" cm="1">
        <f t="array" ref="N669">IFERROR(IF(Tabla8[[#This Row],[P/NP]]="NO PROGRAMADA","",_xlfn.TEXTJOIN(", ",TRUE,_xlfn._xlws.FILTER(Tabla4[[#All],[PIEZA]],ISNUMBER(SEARCH(Tabla4[[#All],[PCLAVE]],Tabla8[[#This Row],[DESCRIPCION DE TRABAJO]])),""))),"")</f>
        <v/>
      </c>
      <c r="O669" s="35" t="str" cm="1">
        <f t="array" ref="O669">_xlfn.TEXTJOIN(", ",TRUE,_xlfn._xlws.FILTER(Tabla28[[#All],[PARTE]],ISNUMBER(SEARCH(Tabla28[[#All],[PCLAVE2]],Tabla8[[#This Row],[DESCRIPCION DE TRABAJO]])),""))</f>
        <v/>
      </c>
      <c r="P669" s="303" t="str">
        <f>IFERROR(LEFT(O669, FIND(",", O669)-1), O669)</f>
        <v/>
      </c>
      <c r="Q669" s="303" t="str">
        <f>IFERROR(IF(ISERROR(FIND(",", O669, FIND(",", O669)+1)), RIGHT(O669, LEN(O669)-FIND(",", O669)-1), MID(O669, FIND(",", O669)+2, FIND(",", O669, FIND(",", O669)+1)-FIND(",", O669)-2)), "")</f>
        <v/>
      </c>
      <c r="R669" s="303" t="str">
        <f>IFERROR(RIGHT(O669, LEN(O669)-FIND(",", O669, FIND(",", O669)+1)-1), "")</f>
        <v/>
      </c>
      <c r="S669" s="35" t="str" cm="1">
        <f t="array" ref="S669">_xlfn.TEXTJOIN(", ",TRUE,_xlfn._xlws.FILTER(Tabla29[[#All],[PARTE]],ISNUMBER(SEARCH(Tabla29[[#All],[PCLAVE3]],Tabla8[[#This Row],[DESCRIPCION DE TRABAJO]])),""))</f>
        <v>Lubricacion</v>
      </c>
      <c r="T669" s="34" t="str">
        <f>IF(AND(Tabla8[[#This Row],[PIEZA]]="",Tabla8[[#This Row],[PARTE]]=""),"VACIO","OK")</f>
        <v>VACIO</v>
      </c>
      <c r="U669" s="303" t="str">
        <f>+CONCATENATE(WEEKNUM(Tabla8[[#This Row],[FECHA]]),"-",YEAR(Tabla8[[#This Row],[FECHA]]))</f>
        <v>12-2026</v>
      </c>
    </row>
    <row r="670" spans="1:21" ht="15" customHeight="1">
      <c r="A670" s="22">
        <v>46102</v>
      </c>
      <c r="B670" s="16" t="s">
        <v>191</v>
      </c>
      <c r="C670" s="10" t="s">
        <v>36</v>
      </c>
      <c r="D670" s="381">
        <v>0.28888888888888886</v>
      </c>
      <c r="E670" s="381">
        <v>0.30694444444444446</v>
      </c>
      <c r="F670" s="380">
        <f>+MOD(Tabla8[[#This Row],[HR. FIN]]-Tabla8[[#This Row],[HR. INICIO]],1)</f>
        <v>1.8055555555555602E-2</v>
      </c>
      <c r="G670" s="16" t="s">
        <v>1390</v>
      </c>
      <c r="H670" s="343" t="str">
        <f>IFERROR(VLOOKUP(G670,DATOS!$M$2:$N$219,2,FALSE),"")</f>
        <v>Vehiculos</v>
      </c>
      <c r="I670" s="115" t="s">
        <v>348</v>
      </c>
      <c r="J670" s="115" t="str">
        <f>+VLOOKUP($I670,Tabla7[#All],2,FALSE)</f>
        <v>PROGRAMADA</v>
      </c>
      <c r="K670" s="114" t="str">
        <f>IF(VLOOKUP(I670,Tabla7[#All],3,FALSE)=0,"",VLOOKUP(I670,Tabla7[#All],3,FALSE))</f>
        <v/>
      </c>
      <c r="L670" s="35" t="s">
        <v>1391</v>
      </c>
      <c r="M670" s="35" t="s">
        <v>1392</v>
      </c>
      <c r="N670" s="35" t="str" cm="1">
        <f t="array" ref="N670">IFERROR(IF(Tabla8[[#This Row],[P/NP]]="NO PROGRAMADA","",_xlfn.TEXTJOIN(", ",TRUE,_xlfn._xlws.FILTER(Tabla4[[#All],[PIEZA]],ISNUMBER(SEARCH(Tabla4[[#All],[PCLAVE]],Tabla8[[#This Row],[DESCRIPCION DE TRABAJO]])),""))),"")</f>
        <v>Apilador</v>
      </c>
      <c r="O670" s="35" t="str" cm="1">
        <f t="array" ref="O670">_xlfn.TEXTJOIN(", ",TRUE,_xlfn._xlws.FILTER(Tabla28[[#All],[PARTE]],ISNUMBER(SEARCH(Tabla28[[#All],[PCLAVE2]],Tabla8[[#This Row],[DESCRIPCION DE TRABAJO]])),""))</f>
        <v/>
      </c>
      <c r="P670" s="303" t="str">
        <f>IFERROR(LEFT(O670, FIND(",", O670)-1), O670)</f>
        <v/>
      </c>
      <c r="Q670" s="303" t="str">
        <f>IFERROR(IF(ISERROR(FIND(",", O670, FIND(",", O670)+1)), RIGHT(O670, LEN(O670)-FIND(",", O670)-1), MID(O670, FIND(",", O670)+2, FIND(",", O670, FIND(",", O670)+1)-FIND(",", O670)-2)), "")</f>
        <v/>
      </c>
      <c r="R670" s="303" t="str">
        <f>IFERROR(RIGHT(O670, LEN(O670)-FIND(",", O670, FIND(",", O670)+1)-1), "")</f>
        <v/>
      </c>
      <c r="S670" s="35" t="str" cm="1">
        <f t="array" ref="S670">_xlfn.TEXTJOIN(", ",TRUE,_xlfn._xlws.FILTER(Tabla29[[#All],[PARTE]],ISNUMBER(SEARCH(Tabla29[[#All],[PCLAVE3]],Tabla8[[#This Row],[DESCRIPCION DE TRABAJO]])),""))</f>
        <v>Detenido</v>
      </c>
      <c r="T670" s="34" t="str">
        <f>IF(AND(Tabla8[[#This Row],[PIEZA]]="",Tabla8[[#This Row],[PARTE]]=""),"VACIO","OK")</f>
        <v>OK</v>
      </c>
      <c r="U670" s="303" t="str">
        <f>+CONCATENATE(WEEKNUM(Tabla8[[#This Row],[FECHA]]),"-",YEAR(Tabla8[[#This Row],[FECHA]]))</f>
        <v>12-2026</v>
      </c>
    </row>
    <row r="671" spans="1:21" ht="15" customHeight="1">
      <c r="A671" s="22">
        <v>46102</v>
      </c>
      <c r="B671" s="16" t="s">
        <v>191</v>
      </c>
      <c r="C671" s="10" t="s">
        <v>36</v>
      </c>
      <c r="D671" s="381">
        <v>0.26805555555555555</v>
      </c>
      <c r="E671" s="381">
        <v>0.28333333333333333</v>
      </c>
      <c r="F671" s="380">
        <f>+MOD(Tabla8[[#This Row],[HR. FIN]]-Tabla8[[#This Row],[HR. INICIO]],1)</f>
        <v>1.5277777777777779E-2</v>
      </c>
      <c r="G671" s="16" t="s">
        <v>81</v>
      </c>
      <c r="H671" s="343" t="str">
        <f>IFERROR(VLOOKUP(G671,DATOS!$M$2:$N$219,2,FALSE),"")</f>
        <v>Maquinaria</v>
      </c>
      <c r="I671" s="115" t="s">
        <v>245</v>
      </c>
      <c r="J671" s="115" t="str">
        <f>+VLOOKUP($I671,Tabla7[#All],2,FALSE)</f>
        <v>PROGRAMADA</v>
      </c>
      <c r="K671" s="114" t="str">
        <f>IF(VLOOKUP(I671,Tabla7[#All],3,FALSE)=0,"",VLOOKUP(I671,Tabla7[#All],3,FALSE))</f>
        <v/>
      </c>
      <c r="L671" s="35" t="s">
        <v>1393</v>
      </c>
      <c r="M671" s="35" t="s">
        <v>121</v>
      </c>
      <c r="N671" s="35" t="str" cm="1">
        <f t="array" ref="N671">IFERROR(IF(Tabla8[[#This Row],[P/NP]]="NO PROGRAMADA","",_xlfn.TEXTJOIN(", ",TRUE,_xlfn._xlws.FILTER(Tabla4[[#All],[PIEZA]],ISNUMBER(SEARCH(Tabla4[[#All],[PCLAVE]],Tabla8[[#This Row],[DESCRIPCION DE TRABAJO]])),""))),"")</f>
        <v/>
      </c>
      <c r="O671" s="35" t="str" cm="1">
        <f t="array" ref="O671">_xlfn.TEXTJOIN(", ",TRUE,_xlfn._xlws.FILTER(Tabla28[[#All],[PARTE]],ISNUMBER(SEARCH(Tabla28[[#All],[PCLAVE2]],Tabla8[[#This Row],[DESCRIPCION DE TRABAJO]])),""))</f>
        <v/>
      </c>
      <c r="P671" s="303" t="str">
        <f>IFERROR(LEFT(O671, FIND(",", O671)-1), O671)</f>
        <v/>
      </c>
      <c r="Q671" s="303" t="str">
        <f>IFERROR(IF(ISERROR(FIND(",", O671, FIND(",", O671)+1)), RIGHT(O671, LEN(O671)-FIND(",", O671)-1), MID(O671, FIND(",", O671)+2, FIND(",", O671, FIND(",", O671)+1)-FIND(",", O671)-2)), "")</f>
        <v/>
      </c>
      <c r="R671" s="303" t="str">
        <f>IFERROR(RIGHT(O671, LEN(O671)-FIND(",", O671, FIND(",", O671)+1)-1), "")</f>
        <v/>
      </c>
      <c r="S671" s="35" t="str" cm="1">
        <f t="array" ref="S671">_xlfn.TEXTJOIN(", ",TRUE,_xlfn._xlws.FILTER(Tabla29[[#All],[PARTE]],ISNUMBER(SEARCH(Tabla29[[#All],[PCLAVE3]],Tabla8[[#This Row],[DESCRIPCION DE TRABAJO]])),""))</f>
        <v>Lubricacion</v>
      </c>
      <c r="T671" s="34" t="str">
        <f>IF(AND(Tabla8[[#This Row],[PIEZA]]="",Tabla8[[#This Row],[PARTE]]=""),"VACIO","OK")</f>
        <v>VACIO</v>
      </c>
      <c r="U671" s="303" t="str">
        <f>+CONCATENATE(WEEKNUM(Tabla8[[#This Row],[FECHA]]),"-",YEAR(Tabla8[[#This Row],[FECHA]]))</f>
        <v>12-2026</v>
      </c>
    </row>
    <row r="672" spans="1:21" ht="15" customHeight="1">
      <c r="A672" s="22">
        <v>46102</v>
      </c>
      <c r="B672" s="16" t="s">
        <v>191</v>
      </c>
      <c r="C672" s="10" t="s">
        <v>36</v>
      </c>
      <c r="D672" s="381">
        <v>0.38611111111111113</v>
      </c>
      <c r="E672" s="381">
        <v>0.40138888888888891</v>
      </c>
      <c r="F672" s="380">
        <f>+MOD(Tabla8[[#This Row],[HR. FIN]]-Tabla8[[#This Row],[HR. INICIO]],1)</f>
        <v>1.5277777777777779E-2</v>
      </c>
      <c r="G672" s="16" t="s">
        <v>438</v>
      </c>
      <c r="H672" s="343" t="str">
        <f>IFERROR(VLOOKUP(G672,DATOS!$M$2:$N$219,2,FALSE),"")</f>
        <v>Maquinaria</v>
      </c>
      <c r="I672" s="115" t="s">
        <v>32</v>
      </c>
      <c r="J672" s="115" t="s">
        <v>92</v>
      </c>
      <c r="K672" s="114" t="s">
        <v>148</v>
      </c>
      <c r="L672" s="35" t="s">
        <v>1394</v>
      </c>
      <c r="M672" s="35" t="s">
        <v>121</v>
      </c>
      <c r="N672" s="35" t="str" cm="1">
        <f t="array" ref="N672">IFERROR(IF(Tabla8[[#This Row],[P/NP]]="NO PROGRAMADA","",_xlfn.TEXTJOIN(", ",TRUE,_xlfn._xlws.FILTER(Tabla4[[#All],[PIEZA]],ISNUMBER(SEARCH(Tabla4[[#All],[PCLAVE]],Tabla8[[#This Row],[DESCRIPCION DE TRABAJO]])),""))),"")</f>
        <v/>
      </c>
      <c r="O672" s="35" t="str" cm="1">
        <f t="array" ref="O672">_xlfn.TEXTJOIN(", ",TRUE,_xlfn._xlws.FILTER(Tabla28[[#All],[PARTE]],ISNUMBER(SEARCH(Tabla28[[#All],[PCLAVE2]],Tabla8[[#This Row],[DESCRIPCION DE TRABAJO]])),""))</f>
        <v/>
      </c>
      <c r="P672" s="303" t="str">
        <f>IFERROR(LEFT(O672, FIND(",", O672)-1), O672)</f>
        <v/>
      </c>
      <c r="Q672" s="303" t="str">
        <f>IFERROR(IF(ISERROR(FIND(",", O672, FIND(",", O672)+1)), RIGHT(O672, LEN(O672)-FIND(",", O672)-1), MID(O672, FIND(",", O672)+2, FIND(",", O672, FIND(",", O672)+1)-FIND(",", O672)-2)), "")</f>
        <v/>
      </c>
      <c r="R672" s="303" t="str">
        <f>IFERROR(RIGHT(O672, LEN(O672)-FIND(",", O672, FIND(",", O672)+1)-1), "")</f>
        <v/>
      </c>
      <c r="S672" s="35" t="str" cm="1">
        <f t="array" ref="S672">_xlfn.TEXTJOIN(", ",TRUE,_xlfn._xlws.FILTER(Tabla29[[#All],[PARTE]],ISNUMBER(SEARCH(Tabla29[[#All],[PCLAVE3]],Tabla8[[#This Row],[DESCRIPCION DE TRABAJO]])),""))</f>
        <v/>
      </c>
      <c r="T672" s="34" t="str">
        <f>IF(AND(Tabla8[[#This Row],[PIEZA]]="",Tabla8[[#This Row],[PARTE]]=""),"VACIO","OK")</f>
        <v>VACIO</v>
      </c>
      <c r="U672" s="303" t="str">
        <f>+CONCATENATE(WEEKNUM(Tabla8[[#This Row],[FECHA]]),"-",YEAR(Tabla8[[#This Row],[FECHA]]))</f>
        <v>12-2026</v>
      </c>
    </row>
    <row r="673" spans="1:21" ht="15" customHeight="1">
      <c r="A673" s="22">
        <v>46102</v>
      </c>
      <c r="B673" s="16" t="s">
        <v>191</v>
      </c>
      <c r="C673" s="10" t="s">
        <v>36</v>
      </c>
      <c r="D673" s="381">
        <v>0.53333333333333333</v>
      </c>
      <c r="E673" s="381">
        <v>0.54722222222222228</v>
      </c>
      <c r="F673" s="380">
        <f>+MOD(Tabla8[[#This Row],[HR. FIN]]-Tabla8[[#This Row],[HR. INICIO]],1)</f>
        <v>1.3888888888888951E-2</v>
      </c>
      <c r="G673" s="16" t="s">
        <v>438</v>
      </c>
      <c r="H673" s="343" t="str">
        <f>IFERROR(VLOOKUP(G673,DATOS!$M$2:$N$219,2,FALSE),"")</f>
        <v>Maquinaria</v>
      </c>
      <c r="I673" s="115" t="s">
        <v>61</v>
      </c>
      <c r="J673" s="115" t="s">
        <v>92</v>
      </c>
      <c r="K673" s="114" t="s">
        <v>93</v>
      </c>
      <c r="L673" s="35" t="s">
        <v>1395</v>
      </c>
      <c r="M673" s="35" t="s">
        <v>1396</v>
      </c>
      <c r="N673" s="35" t="str" cm="1">
        <f t="array" ref="N673">IFERROR(IF(Tabla8[[#This Row],[P/NP]]="NO PROGRAMADA","",_xlfn.TEXTJOIN(", ",TRUE,_xlfn._xlws.FILTER(Tabla4[[#All],[PIEZA]],ISNUMBER(SEARCH(Tabla4[[#All],[PCLAVE]],Tabla8[[#This Row],[DESCRIPCION DE TRABAJO]])),""))),"")</f>
        <v/>
      </c>
      <c r="O673" s="35" t="str" cm="1">
        <f t="array" ref="O673">_xlfn.TEXTJOIN(", ",TRUE,_xlfn._xlws.FILTER(Tabla28[[#All],[PARTE]],ISNUMBER(SEARCH(Tabla28[[#All],[PCLAVE2]],Tabla8[[#This Row],[DESCRIPCION DE TRABAJO]])),""))</f>
        <v/>
      </c>
      <c r="P673" s="303" t="str">
        <f>IFERROR(LEFT(O673, FIND(",", O673)-1), O673)</f>
        <v/>
      </c>
      <c r="Q673" s="303" t="str">
        <f>IFERROR(IF(ISERROR(FIND(",", O673, FIND(",", O673)+1)), RIGHT(O673, LEN(O673)-FIND(",", O673)-1), MID(O673, FIND(",", O673)+2, FIND(",", O673, FIND(",", O673)+1)-FIND(",", O673)-2)), "")</f>
        <v/>
      </c>
      <c r="R673" s="303" t="str">
        <f>IFERROR(RIGHT(O673, LEN(O673)-FIND(",", O673, FIND(",", O673)+1)-1), "")</f>
        <v/>
      </c>
      <c r="S673" s="35" t="str" cm="1">
        <f t="array" ref="S673">_xlfn.TEXTJOIN(", ",TRUE,_xlfn._xlws.FILTER(Tabla29[[#All],[PARTE]],ISNUMBER(SEARCH(Tabla29[[#All],[PCLAVE3]],Tabla8[[#This Row],[DESCRIPCION DE TRABAJO]])),""))</f>
        <v/>
      </c>
      <c r="T673" s="34" t="str">
        <f>IF(AND(Tabla8[[#This Row],[PIEZA]]="",Tabla8[[#This Row],[PARTE]]=""),"VACIO","OK")</f>
        <v>VACIO</v>
      </c>
      <c r="U673" s="303" t="str">
        <f>+CONCATENATE(WEEKNUM(Tabla8[[#This Row],[FECHA]]),"-",YEAR(Tabla8[[#This Row],[FECHA]]))</f>
        <v>12-2026</v>
      </c>
    </row>
    <row r="674" spans="1:21" ht="15" customHeight="1">
      <c r="A674" s="22">
        <v>46102</v>
      </c>
      <c r="B674" s="16" t="s">
        <v>191</v>
      </c>
      <c r="C674" s="10" t="s">
        <v>36</v>
      </c>
      <c r="D674" s="381">
        <v>0.24027777777777778</v>
      </c>
      <c r="E674" s="381">
        <v>0.25347222222222221</v>
      </c>
      <c r="F674" s="380">
        <f>+MOD(Tabla8[[#This Row],[HR. FIN]]-Tabla8[[#This Row],[HR. INICIO]],1)</f>
        <v>1.3194444444444425E-2</v>
      </c>
      <c r="G674" s="16" t="s">
        <v>215</v>
      </c>
      <c r="H674" s="343" t="str">
        <f>IFERROR(VLOOKUP(G674,DATOS!$M$2:$N$219,2,FALSE),"")</f>
        <v>Equipos auxiliares</v>
      </c>
      <c r="I674" s="115" t="s">
        <v>54</v>
      </c>
      <c r="J674" s="115" t="str">
        <f>+VLOOKUP($I674,Tabla7[#All],2,FALSE)</f>
        <v>PROGRAMADA</v>
      </c>
      <c r="K674" s="114" t="str">
        <f>IF(VLOOKUP(I674,Tabla7[#All],3,FALSE)=0,"",VLOOKUP(I674,Tabla7[#All],3,FALSE))</f>
        <v/>
      </c>
      <c r="L674" s="35" t="s">
        <v>248</v>
      </c>
      <c r="M674" s="35" t="s">
        <v>121</v>
      </c>
      <c r="N674" s="35" t="str" cm="1">
        <f t="array" ref="N674">IFERROR(IF(Tabla8[[#This Row],[P/NP]]="NO PROGRAMADA","",_xlfn.TEXTJOIN(", ",TRUE,_xlfn._xlws.FILTER(Tabla4[[#All],[PIEZA]],ISNUMBER(SEARCH(Tabla4[[#All],[PCLAVE]],Tabla8[[#This Row],[DESCRIPCION DE TRABAJO]])),""))),"")</f>
        <v/>
      </c>
      <c r="O674" s="35" t="str" cm="1">
        <f t="array" ref="O674">_xlfn.TEXTJOIN(", ",TRUE,_xlfn._xlws.FILTER(Tabla28[[#All],[PARTE]],ISNUMBER(SEARCH(Tabla28[[#All],[PCLAVE2]],Tabla8[[#This Row],[DESCRIPCION DE TRABAJO]])),""))</f>
        <v/>
      </c>
      <c r="P674" s="303" t="str">
        <f>IFERROR(LEFT(O674, FIND(",", O674)-1), O674)</f>
        <v/>
      </c>
      <c r="Q674" s="303" t="str">
        <f>IFERROR(IF(ISERROR(FIND(",", O674, FIND(",", O674)+1)), RIGHT(O674, LEN(O674)-FIND(",", O674)-1), MID(O674, FIND(",", O674)+2, FIND(",", O674, FIND(",", O674)+1)-FIND(",", O674)-2)), "")</f>
        <v/>
      </c>
      <c r="R674" s="303" t="str">
        <f>IFERROR(RIGHT(O674, LEN(O674)-FIND(",", O674, FIND(",", O674)+1)-1), "")</f>
        <v/>
      </c>
      <c r="S674" s="35" t="str" cm="1">
        <f t="array" ref="S674">_xlfn.TEXTJOIN(", ",TRUE,_xlfn._xlws.FILTER(Tabla29[[#All],[PARTE]],ISNUMBER(SEARCH(Tabla29[[#All],[PCLAVE3]],Tabla8[[#This Row],[DESCRIPCION DE TRABAJO]])),""))</f>
        <v/>
      </c>
      <c r="T674" s="34" t="str">
        <f>IF(AND(Tabla8[[#This Row],[PIEZA]]="",Tabla8[[#This Row],[PARTE]]=""),"VACIO","OK")</f>
        <v>VACIO</v>
      </c>
      <c r="U674" s="303" t="str">
        <f>+CONCATENATE(WEEKNUM(Tabla8[[#This Row],[FECHA]]),"-",YEAR(Tabla8[[#This Row],[FECHA]]))</f>
        <v>12-2026</v>
      </c>
    </row>
    <row r="675" spans="1:21" ht="15" customHeight="1">
      <c r="A675" s="22">
        <v>46102</v>
      </c>
      <c r="B675" s="16" t="s">
        <v>191</v>
      </c>
      <c r="C675" s="10" t="s">
        <v>36</v>
      </c>
      <c r="D675" s="381">
        <v>0.40902777777777777</v>
      </c>
      <c r="E675" s="381">
        <v>0.42152777777777778</v>
      </c>
      <c r="F675" s="380">
        <f>+MOD(Tabla8[[#This Row],[HR. FIN]]-Tabla8[[#This Row],[HR. INICIO]],1)</f>
        <v>1.2500000000000011E-2</v>
      </c>
      <c r="G675" s="16" t="s">
        <v>165</v>
      </c>
      <c r="H675" s="343" t="str">
        <f>IFERROR(VLOOKUP(G675,DATOS!$M$2:$N$219,2,FALSE),"")</f>
        <v>Maquinaria</v>
      </c>
      <c r="I675" s="115" t="s">
        <v>54</v>
      </c>
      <c r="J675" s="115" t="str">
        <f>+VLOOKUP($I675,Tabla7[#All],2,FALSE)</f>
        <v>PROGRAMADA</v>
      </c>
      <c r="K675" s="114" t="str">
        <f>IF(VLOOKUP(I675,Tabla7[#All],3,FALSE)=0,"",VLOOKUP(I675,Tabla7[#All],3,FALSE))</f>
        <v/>
      </c>
      <c r="L675" s="35" t="s">
        <v>1397</v>
      </c>
      <c r="M675" s="35" t="s">
        <v>121</v>
      </c>
      <c r="N675" s="35" t="str" cm="1">
        <f t="array" ref="N675">IFERROR(IF(Tabla8[[#This Row],[P/NP]]="NO PROGRAMADA","",_xlfn.TEXTJOIN(", ",TRUE,_xlfn._xlws.FILTER(Tabla4[[#All],[PIEZA]],ISNUMBER(SEARCH(Tabla4[[#All],[PCLAVE]],Tabla8[[#This Row],[DESCRIPCION DE TRABAJO]])),""))),"")</f>
        <v>Producto, Sensor</v>
      </c>
      <c r="O675" s="35" t="str" cm="1">
        <f t="array" ref="O675">_xlfn.TEXTJOIN(", ",TRUE,_xlfn._xlws.FILTER(Tabla28[[#All],[PARTE]],ISNUMBER(SEARCH(Tabla28[[#All],[PCLAVE2]],Tabla8[[#This Row],[DESCRIPCION DE TRABAJO]])),""))</f>
        <v/>
      </c>
      <c r="P675" s="303" t="str">
        <f>IFERROR(LEFT(O675, FIND(",", O675)-1), O675)</f>
        <v/>
      </c>
      <c r="Q675" s="303" t="str">
        <f>IFERROR(IF(ISERROR(FIND(",", O675, FIND(",", O675)+1)), RIGHT(O675, LEN(O675)-FIND(",", O675)-1), MID(O675, FIND(",", O675)+2, FIND(",", O675, FIND(",", O675)+1)-FIND(",", O675)-2)), "")</f>
        <v/>
      </c>
      <c r="R675" s="303" t="str">
        <f>IFERROR(RIGHT(O675, LEN(O675)-FIND(",", O675, FIND(",", O675)+1)-1), "")</f>
        <v/>
      </c>
      <c r="S675" s="35" t="str" cm="1">
        <f t="array" ref="S675">_xlfn.TEXTJOIN(", ",TRUE,_xlfn._xlws.FILTER(Tabla29[[#All],[PARTE]],ISNUMBER(SEARCH(Tabla29[[#All],[PCLAVE3]],Tabla8[[#This Row],[DESCRIPCION DE TRABAJO]])),""))</f>
        <v/>
      </c>
      <c r="T675" s="34" t="str">
        <f>IF(AND(Tabla8[[#This Row],[PIEZA]]="",Tabla8[[#This Row],[PARTE]]=""),"VACIO","OK")</f>
        <v>OK</v>
      </c>
      <c r="U675" s="303" t="str">
        <f>+CONCATENATE(WEEKNUM(Tabla8[[#This Row],[FECHA]]),"-",YEAR(Tabla8[[#This Row],[FECHA]]))</f>
        <v>12-2026</v>
      </c>
    </row>
    <row r="676" spans="1:21" ht="15" customHeight="1">
      <c r="A676" s="22">
        <v>46104</v>
      </c>
      <c r="B676" s="16" t="s">
        <v>88</v>
      </c>
      <c r="C676" s="10" t="s">
        <v>36</v>
      </c>
      <c r="D676" s="381">
        <v>0.27083333333333331</v>
      </c>
      <c r="E676" s="381">
        <v>0.45833333333333331</v>
      </c>
      <c r="F676" s="380">
        <f>+MOD(Tabla8[[#This Row],[HR. FIN]]-Tabla8[[#This Row],[HR. INICIO]],1)</f>
        <v>0.1875</v>
      </c>
      <c r="G676" s="16" t="s">
        <v>42</v>
      </c>
      <c r="H676" s="343" t="str">
        <f>IFERROR(VLOOKUP(G676,DATOS!$M$2:$N$219,2,FALSE),"")</f>
        <v>Maquinaria</v>
      </c>
      <c r="I676" s="115" t="s">
        <v>32</v>
      </c>
      <c r="J676" s="115" t="str">
        <f>+VLOOKUP($I676,Tabla7[#All],2,FALSE)</f>
        <v>PROGRAMADA</v>
      </c>
      <c r="K676" s="114" t="str">
        <f>IF(VLOOKUP(I676,Tabla7[#All],3,FALSE)=0,"",VLOOKUP(I676,Tabla7[#All],3,FALSE))</f>
        <v/>
      </c>
      <c r="L676" s="35" t="s">
        <v>1398</v>
      </c>
      <c r="M676" s="35" t="s">
        <v>1399</v>
      </c>
      <c r="N676" s="35" t="str" cm="1">
        <f t="array" ref="N676">IFERROR(IF(Tabla8[[#This Row],[P/NP]]="NO PROGRAMADA","",_xlfn.TEXTJOIN(", ",TRUE,_xlfn._xlws.FILTER(Tabla4[[#All],[PIEZA]],ISNUMBER(SEARCH(Tabla4[[#All],[PCLAVE]],Tabla8[[#This Row],[DESCRIPCION DE TRABAJO]])),""))),"")</f>
        <v/>
      </c>
      <c r="O676" s="35" t="str" cm="1">
        <f t="array" ref="O676">_xlfn.TEXTJOIN(", ",TRUE,_xlfn._xlws.FILTER(Tabla28[[#All],[PARTE]],ISNUMBER(SEARCH(Tabla28[[#All],[PCLAVE2]],Tabla8[[#This Row],[DESCRIPCION DE TRABAJO]])),""))</f>
        <v/>
      </c>
      <c r="P676" s="303" t="str">
        <f>IFERROR(LEFT(O676, FIND(",", O676)-1), O676)</f>
        <v/>
      </c>
      <c r="Q676" s="303" t="str">
        <f>IFERROR(IF(ISERROR(FIND(",", O676, FIND(",", O676)+1)), RIGHT(O676, LEN(O676)-FIND(",", O676)-1), MID(O676, FIND(",", O676)+2, FIND(",", O676, FIND(",", O676)+1)-FIND(",", O676)-2)), "")</f>
        <v/>
      </c>
      <c r="R676" s="303" t="str">
        <f>IFERROR(RIGHT(O676, LEN(O676)-FIND(",", O676, FIND(",", O676)+1)-1), "")</f>
        <v/>
      </c>
      <c r="S676" s="35" t="str" cm="1">
        <f t="array" ref="S676">_xlfn.TEXTJOIN(", ",TRUE,_xlfn._xlws.FILTER(Tabla29[[#All],[PARTE]],ISNUMBER(SEARCH(Tabla29[[#All],[PCLAVE3]],Tabla8[[#This Row],[DESCRIPCION DE TRABAJO]])),""))</f>
        <v/>
      </c>
      <c r="T676" s="34" t="str">
        <f>IF(AND(Tabla8[[#This Row],[PIEZA]]="",Tabla8[[#This Row],[PARTE]]=""),"VACIO","OK")</f>
        <v>VACIO</v>
      </c>
      <c r="U676" s="303" t="str">
        <f>+CONCATENATE(WEEKNUM(Tabla8[[#This Row],[FECHA]]),"-",YEAR(Tabla8[[#This Row],[FECHA]]))</f>
        <v>13-2026</v>
      </c>
    </row>
    <row r="677" spans="1:21" ht="15" customHeight="1">
      <c r="A677" s="22">
        <v>46104</v>
      </c>
      <c r="B677" s="16" t="s">
        <v>111</v>
      </c>
      <c r="C677" s="10" t="s">
        <v>36</v>
      </c>
      <c r="D677" s="381">
        <v>0.27777777777777779</v>
      </c>
      <c r="E677" s="381">
        <v>0.4236111111111111</v>
      </c>
      <c r="F677" s="380">
        <f>+MOD(Tabla8[[#This Row],[HR. FIN]]-Tabla8[[#This Row],[HR. INICIO]],1)</f>
        <v>0.14583333333333331</v>
      </c>
      <c r="G677" s="16" t="s">
        <v>42</v>
      </c>
      <c r="H677" s="343" t="str">
        <f>IFERROR(VLOOKUP(G677,DATOS!$M$2:$N$219,2,FALSE),"")</f>
        <v>Maquinaria</v>
      </c>
      <c r="I677" s="115" t="s">
        <v>32</v>
      </c>
      <c r="J677" s="115" t="str">
        <f>+VLOOKUP($I677,Tabla7[#All],2,FALSE)</f>
        <v>PROGRAMADA</v>
      </c>
      <c r="K677" s="114" t="str">
        <f>IF(VLOOKUP(I677,Tabla7[#All],3,FALSE)=0,"",VLOOKUP(I677,Tabla7[#All],3,FALSE))</f>
        <v/>
      </c>
      <c r="L677" s="35" t="s">
        <v>1400</v>
      </c>
      <c r="M677" s="35" t="s">
        <v>1401</v>
      </c>
      <c r="N677" s="35" t="str" cm="1">
        <f t="array" ref="N677">IFERROR(IF(Tabla8[[#This Row],[P/NP]]="NO PROGRAMADA","",_xlfn.TEXTJOIN(", ",TRUE,_xlfn._xlws.FILTER(Tabla4[[#All],[PIEZA]],ISNUMBER(SEARCH(Tabla4[[#All],[PCLAVE]],Tabla8[[#This Row],[DESCRIPCION DE TRABAJO]])),""))),"")</f>
        <v/>
      </c>
      <c r="O677" s="35" t="str" cm="1">
        <f t="array" ref="O677">_xlfn.TEXTJOIN(", ",TRUE,_xlfn._xlws.FILTER(Tabla28[[#All],[PARTE]],ISNUMBER(SEARCH(Tabla28[[#All],[PCLAVE2]],Tabla8[[#This Row],[DESCRIPCION DE TRABAJO]])),""))</f>
        <v/>
      </c>
      <c r="P677" s="303" t="str">
        <f>IFERROR(LEFT(O677, FIND(",", O677)-1), O677)</f>
        <v/>
      </c>
      <c r="Q677" s="303" t="str">
        <f>IFERROR(IF(ISERROR(FIND(",", O677, FIND(",", O677)+1)), RIGHT(O677, LEN(O677)-FIND(",", O677)-1), MID(O677, FIND(",", O677)+2, FIND(",", O677, FIND(",", O677)+1)-FIND(",", O677)-2)), "")</f>
        <v/>
      </c>
      <c r="R677" s="303" t="str">
        <f>IFERROR(RIGHT(O677, LEN(O677)-FIND(",", O677, FIND(",", O677)+1)-1), "")</f>
        <v/>
      </c>
      <c r="S677" s="35" t="str" cm="1">
        <f t="array" ref="S677">_xlfn.TEXTJOIN(", ",TRUE,_xlfn._xlws.FILTER(Tabla29[[#All],[PARTE]],ISNUMBER(SEARCH(Tabla29[[#All],[PCLAVE3]],Tabla8[[#This Row],[DESCRIPCION DE TRABAJO]])),""))</f>
        <v/>
      </c>
      <c r="T677" s="34" t="str">
        <f>IF(AND(Tabla8[[#This Row],[PIEZA]]="",Tabla8[[#This Row],[PARTE]]=""),"VACIO","OK")</f>
        <v>VACIO</v>
      </c>
      <c r="U677" s="303" t="str">
        <f>+CONCATENATE(WEEKNUM(Tabla8[[#This Row],[FECHA]]),"-",YEAR(Tabla8[[#This Row],[FECHA]]))</f>
        <v>13-2026</v>
      </c>
    </row>
    <row r="678" spans="1:21" ht="15" customHeight="1">
      <c r="A678" s="22">
        <v>46104</v>
      </c>
      <c r="B678" s="16" t="s">
        <v>111</v>
      </c>
      <c r="C678" s="10" t="s">
        <v>36</v>
      </c>
      <c r="D678" s="381">
        <v>0.4236111111111111</v>
      </c>
      <c r="E678" s="381">
        <v>0.56944444444444442</v>
      </c>
      <c r="F678" s="380">
        <f>+MOD(Tabla8[[#This Row],[HR. FIN]]-Tabla8[[#This Row],[HR. INICIO]],1)</f>
        <v>0.14583333333333331</v>
      </c>
      <c r="G678" s="16" t="s">
        <v>42</v>
      </c>
      <c r="H678" s="343" t="str">
        <f>IFERROR(VLOOKUP(G678,DATOS!$M$2:$N$219,2,FALSE),"")</f>
        <v>Maquinaria</v>
      </c>
      <c r="I678" s="115" t="s">
        <v>32</v>
      </c>
      <c r="J678" s="115" t="str">
        <f>+VLOOKUP($I678,Tabla7[#All],2,FALSE)</f>
        <v>PROGRAMADA</v>
      </c>
      <c r="K678" s="114" t="str">
        <f>IF(VLOOKUP(I678,Tabla7[#All],3,FALSE)=0,"",VLOOKUP(I678,Tabla7[#All],3,FALSE))</f>
        <v/>
      </c>
      <c r="L678" s="35" t="s">
        <v>1402</v>
      </c>
      <c r="M678" s="35" t="s">
        <v>121</v>
      </c>
      <c r="N678" s="35" t="str" cm="1">
        <f t="array" ref="N678">IFERROR(IF(Tabla8[[#This Row],[P/NP]]="NO PROGRAMADA","",_xlfn.TEXTJOIN(", ",TRUE,_xlfn._xlws.FILTER(Tabla4[[#All],[PIEZA]],ISNUMBER(SEARCH(Tabla4[[#All],[PCLAVE]],Tabla8[[#This Row],[DESCRIPCION DE TRABAJO]])),""))),"")</f>
        <v/>
      </c>
      <c r="O678" s="35" t="str" cm="1">
        <f t="array" ref="O678">_xlfn.TEXTJOIN(", ",TRUE,_xlfn._xlws.FILTER(Tabla28[[#All],[PARTE]],ISNUMBER(SEARCH(Tabla28[[#All],[PCLAVE2]],Tabla8[[#This Row],[DESCRIPCION DE TRABAJO]])),""))</f>
        <v/>
      </c>
      <c r="P678" s="303" t="str">
        <f>IFERROR(LEFT(O678, FIND(",", O678)-1), O678)</f>
        <v/>
      </c>
      <c r="Q678" s="303" t="str">
        <f>IFERROR(IF(ISERROR(FIND(",", O678, FIND(",", O678)+1)), RIGHT(O678, LEN(O678)-FIND(",", O678)-1), MID(O678, FIND(",", O678)+2, FIND(",", O678, FIND(",", O678)+1)-FIND(",", O678)-2)), "")</f>
        <v/>
      </c>
      <c r="R678" s="303" t="str">
        <f>IFERROR(RIGHT(O678, LEN(O678)-FIND(",", O678, FIND(",", O678)+1)-1), "")</f>
        <v/>
      </c>
      <c r="S678" s="35" t="str" cm="1">
        <f t="array" ref="S678">_xlfn.TEXTJOIN(", ",TRUE,_xlfn._xlws.FILTER(Tabla29[[#All],[PARTE]],ISNUMBER(SEARCH(Tabla29[[#All],[PCLAVE3]],Tabla8[[#This Row],[DESCRIPCION DE TRABAJO]])),""))</f>
        <v/>
      </c>
      <c r="T678" s="34" t="str">
        <f>IF(AND(Tabla8[[#This Row],[PIEZA]]="",Tabla8[[#This Row],[PARTE]]=""),"VACIO","OK")</f>
        <v>VACIO</v>
      </c>
      <c r="U678" s="303" t="str">
        <f>+CONCATENATE(WEEKNUM(Tabla8[[#This Row],[FECHA]]),"-",YEAR(Tabla8[[#This Row],[FECHA]]))</f>
        <v>13-2026</v>
      </c>
    </row>
    <row r="679" spans="1:21" ht="15" customHeight="1">
      <c r="A679" s="22">
        <v>46104</v>
      </c>
      <c r="B679" s="16" t="s">
        <v>88</v>
      </c>
      <c r="C679" s="10" t="s">
        <v>36</v>
      </c>
      <c r="D679" s="381">
        <v>0.22916666666666666</v>
      </c>
      <c r="E679" s="381">
        <v>0.27083333333333331</v>
      </c>
      <c r="F679" s="380">
        <f>+MOD(Tabla8[[#This Row],[HR. FIN]]-Tabla8[[#This Row],[HR. INICIO]],1)</f>
        <v>4.1666666666666657E-2</v>
      </c>
      <c r="G679" s="16" t="s">
        <v>103</v>
      </c>
      <c r="H679" s="343" t="str">
        <f>IFERROR(VLOOKUP(G679,DATOS!$M$2:$N$219,2,FALSE),"")</f>
        <v>Area</v>
      </c>
      <c r="I679" s="115" t="s">
        <v>43</v>
      </c>
      <c r="J679" s="115" t="str">
        <f>+VLOOKUP($I679,Tabla7[#All],2,FALSE)</f>
        <v>PROGRAMADA</v>
      </c>
      <c r="K679" s="114" t="str">
        <f>IF(VLOOKUP(I679,Tabla7[#All],3,FALSE)=0,"",VLOOKUP(I679,Tabla7[#All],3,FALSE))</f>
        <v/>
      </c>
      <c r="L679" s="35" t="s">
        <v>104</v>
      </c>
      <c r="M679" s="35" t="s">
        <v>1403</v>
      </c>
      <c r="N679" s="35" t="str" cm="1">
        <f t="array" ref="N679">IFERROR(IF(Tabla8[[#This Row],[P/NP]]="NO PROGRAMADA","",_xlfn.TEXTJOIN(", ",TRUE,_xlfn._xlws.FILTER(Tabla4[[#All],[PIEZA]],ISNUMBER(SEARCH(Tabla4[[#All],[PCLAVE]],Tabla8[[#This Row],[DESCRIPCION DE TRABAJO]])),""))),"")</f>
        <v/>
      </c>
      <c r="O679" s="35" t="str" cm="1">
        <f t="array" ref="O679">_xlfn.TEXTJOIN(", ",TRUE,_xlfn._xlws.FILTER(Tabla28[[#All],[PARTE]],ISNUMBER(SEARCH(Tabla28[[#All],[PCLAVE2]],Tabla8[[#This Row],[DESCRIPCION DE TRABAJO]])),""))</f>
        <v/>
      </c>
      <c r="P679" s="303" t="str">
        <f>IFERROR(LEFT(O679, FIND(",", O679)-1), O679)</f>
        <v/>
      </c>
      <c r="Q679" s="303" t="str">
        <f>IFERROR(IF(ISERROR(FIND(",", O679, FIND(",", O679)+1)), RIGHT(O679, LEN(O679)-FIND(",", O679)-1), MID(O679, FIND(",", O679)+2, FIND(",", O679, FIND(",", O679)+1)-FIND(",", O679)-2)), "")</f>
        <v/>
      </c>
      <c r="R679" s="303" t="str">
        <f>IFERROR(RIGHT(O679, LEN(O679)-FIND(",", O679, FIND(",", O679)+1)-1), "")</f>
        <v/>
      </c>
      <c r="S679" s="35" t="str" cm="1">
        <f t="array" ref="S679">_xlfn.TEXTJOIN(", ",TRUE,_xlfn._xlws.FILTER(Tabla29[[#All],[PARTE]],ISNUMBER(SEARCH(Tabla29[[#All],[PCLAVE3]],Tabla8[[#This Row],[DESCRIPCION DE TRABAJO]])),""))</f>
        <v/>
      </c>
      <c r="T679" s="34" t="str">
        <f>IF(AND(Tabla8[[#This Row],[PIEZA]]="",Tabla8[[#This Row],[PARTE]]=""),"VACIO","OK")</f>
        <v>VACIO</v>
      </c>
      <c r="U679" s="303" t="str">
        <f>+CONCATENATE(WEEKNUM(Tabla8[[#This Row],[FECHA]]),"-",YEAR(Tabla8[[#This Row],[FECHA]]))</f>
        <v>13-2026</v>
      </c>
    </row>
    <row r="680" spans="1:21" ht="15" customHeight="1">
      <c r="A680" s="22">
        <v>46104</v>
      </c>
      <c r="B680" s="16" t="s">
        <v>111</v>
      </c>
      <c r="C680" s="10" t="s">
        <v>36</v>
      </c>
      <c r="D680" s="381">
        <v>0.2361111111111111</v>
      </c>
      <c r="E680" s="381">
        <v>0.27083333333333331</v>
      </c>
      <c r="F680" s="380">
        <f>+MOD(Tabla8[[#This Row],[HR. FIN]]-Tabla8[[#This Row],[HR. INICIO]],1)</f>
        <v>3.472222222222221E-2</v>
      </c>
      <c r="G680" s="16" t="s">
        <v>103</v>
      </c>
      <c r="H680" s="343" t="str">
        <f>IFERROR(VLOOKUP(G680,DATOS!$M$2:$N$219,2,FALSE),"")</f>
        <v>Area</v>
      </c>
      <c r="I680" s="115" t="s">
        <v>43</v>
      </c>
      <c r="J680" s="115" t="str">
        <f>+VLOOKUP($I680,Tabla7[#All],2,FALSE)</f>
        <v>PROGRAMADA</v>
      </c>
      <c r="K680" s="114" t="str">
        <f>IF(VLOOKUP(I680,Tabla7[#All],3,FALSE)=0,"",VLOOKUP(I680,Tabla7[#All],3,FALSE))</f>
        <v/>
      </c>
      <c r="L680" s="35" t="s">
        <v>446</v>
      </c>
      <c r="M680" s="35" t="s">
        <v>121</v>
      </c>
      <c r="N680" s="35" t="str" cm="1">
        <f t="array" ref="N680">IFERROR(IF(Tabla8[[#This Row],[P/NP]]="NO PROGRAMADA","",_xlfn.TEXTJOIN(", ",TRUE,_xlfn._xlws.FILTER(Tabla4[[#All],[PIEZA]],ISNUMBER(SEARCH(Tabla4[[#All],[PCLAVE]],Tabla8[[#This Row],[DESCRIPCION DE TRABAJO]])),""))),"")</f>
        <v/>
      </c>
      <c r="O680" s="35" t="str" cm="1">
        <f t="array" ref="O680">_xlfn.TEXTJOIN(", ",TRUE,_xlfn._xlws.FILTER(Tabla28[[#All],[PARTE]],ISNUMBER(SEARCH(Tabla28[[#All],[PCLAVE2]],Tabla8[[#This Row],[DESCRIPCION DE TRABAJO]])),""))</f>
        <v/>
      </c>
      <c r="P680" s="303" t="str">
        <f>IFERROR(LEFT(O680, FIND(",", O680)-1), O680)</f>
        <v/>
      </c>
      <c r="Q680" s="303" t="str">
        <f>IFERROR(IF(ISERROR(FIND(",", O680, FIND(",", O680)+1)), RIGHT(O680, LEN(O680)-FIND(",", O680)-1), MID(O680, FIND(",", O680)+2, FIND(",", O680, FIND(",", O680)+1)-FIND(",", O680)-2)), "")</f>
        <v/>
      </c>
      <c r="R680" s="303" t="str">
        <f>IFERROR(RIGHT(O680, LEN(O680)-FIND(",", O680, FIND(",", O680)+1)-1), "")</f>
        <v/>
      </c>
      <c r="S680" s="35" t="str" cm="1">
        <f t="array" ref="S680">_xlfn.TEXTJOIN(", ",TRUE,_xlfn._xlws.FILTER(Tabla29[[#All],[PARTE]],ISNUMBER(SEARCH(Tabla29[[#All],[PCLAVE3]],Tabla8[[#This Row],[DESCRIPCION DE TRABAJO]])),""))</f>
        <v/>
      </c>
      <c r="T680" s="34" t="str">
        <f>IF(AND(Tabla8[[#This Row],[PIEZA]]="",Tabla8[[#This Row],[PARTE]]=""),"VACIO","OK")</f>
        <v>VACIO</v>
      </c>
      <c r="U680" s="303" t="str">
        <f>+CONCATENATE(WEEKNUM(Tabla8[[#This Row],[FECHA]]),"-",YEAR(Tabla8[[#This Row],[FECHA]]))</f>
        <v>13-2026</v>
      </c>
    </row>
    <row r="681" spans="1:21" ht="15" customHeight="1">
      <c r="A681" s="22">
        <v>46104</v>
      </c>
      <c r="B681" s="16" t="s">
        <v>191</v>
      </c>
      <c r="C681" s="10" t="s">
        <v>39</v>
      </c>
      <c r="D681" s="381">
        <v>0.94513888888888886</v>
      </c>
      <c r="E681" s="381">
        <v>0.96527777777777779</v>
      </c>
      <c r="F681" s="380">
        <f>+MOD(Tabla8[[#This Row],[HR. FIN]]-Tabla8[[#This Row],[HR. INICIO]],1)</f>
        <v>2.0138888888888928E-2</v>
      </c>
      <c r="G681" s="16" t="s">
        <v>153</v>
      </c>
      <c r="H681" s="343" t="str">
        <f>IFERROR(VLOOKUP(G681,DATOS!$M$2:$N$219,2,FALSE),"")</f>
        <v>Maquinaria</v>
      </c>
      <c r="I681" s="115" t="s">
        <v>32</v>
      </c>
      <c r="J681" s="115" t="s">
        <v>92</v>
      </c>
      <c r="K681" s="114" t="s">
        <v>148</v>
      </c>
      <c r="L681" s="35" t="s">
        <v>1404</v>
      </c>
      <c r="M681" s="35" t="s">
        <v>1405</v>
      </c>
      <c r="N681" s="35" t="str" cm="1">
        <f t="array" ref="N681">IFERROR(IF(Tabla8[[#This Row],[P/NP]]="NO PROGRAMADA","",_xlfn.TEXTJOIN(", ",TRUE,_xlfn._xlws.FILTER(Tabla4[[#All],[PIEZA]],ISNUMBER(SEARCH(Tabla4[[#All],[PCLAVE]],Tabla8[[#This Row],[DESCRIPCION DE TRABAJO]])),""))),"")</f>
        <v/>
      </c>
      <c r="O681" s="35" t="str" cm="1">
        <f t="array" ref="O681">_xlfn.TEXTJOIN(", ",TRUE,_xlfn._xlws.FILTER(Tabla28[[#All],[PARTE]],ISNUMBER(SEARCH(Tabla28[[#All],[PCLAVE2]],Tabla8[[#This Row],[DESCRIPCION DE TRABAJO]])),""))</f>
        <v/>
      </c>
      <c r="P681" s="303" t="str">
        <f>IFERROR(LEFT(O681, FIND(",", O681)-1), O681)</f>
        <v/>
      </c>
      <c r="Q681" s="303" t="str">
        <f>IFERROR(IF(ISERROR(FIND(",", O681, FIND(",", O681)+1)), RIGHT(O681, LEN(O681)-FIND(",", O681)-1), MID(O681, FIND(",", O681)+2, FIND(",", O681, FIND(",", O681)+1)-FIND(",", O681)-2)), "")</f>
        <v/>
      </c>
      <c r="R681" s="303" t="str">
        <f>IFERROR(RIGHT(O681, LEN(O681)-FIND(",", O681, FIND(",", O681)+1)-1), "")</f>
        <v/>
      </c>
      <c r="S681" s="35" t="str" cm="1">
        <f t="array" ref="S681">_xlfn.TEXTJOIN(", ",TRUE,_xlfn._xlws.FILTER(Tabla29[[#All],[PARTE]],ISNUMBER(SEARCH(Tabla29[[#All],[PCLAVE3]],Tabla8[[#This Row],[DESCRIPCION DE TRABAJO]])),""))</f>
        <v>Alimentacion Obstruida</v>
      </c>
      <c r="T681" s="34" t="str">
        <f>IF(AND(Tabla8[[#This Row],[PIEZA]]="",Tabla8[[#This Row],[PARTE]]=""),"VACIO","OK")</f>
        <v>VACIO</v>
      </c>
      <c r="U681" s="303" t="str">
        <f>+CONCATENATE(WEEKNUM(Tabla8[[#This Row],[FECHA]]),"-",YEAR(Tabla8[[#This Row],[FECHA]]))</f>
        <v>13-2026</v>
      </c>
    </row>
    <row r="682" spans="1:21" ht="15" customHeight="1">
      <c r="A682" s="22">
        <v>46104</v>
      </c>
      <c r="B682" s="16" t="s">
        <v>191</v>
      </c>
      <c r="C682" s="10" t="s">
        <v>39</v>
      </c>
      <c r="D682" s="381">
        <v>0.93125000000000002</v>
      </c>
      <c r="E682" s="381">
        <v>0.94791666666666663</v>
      </c>
      <c r="F682" s="380">
        <f>+MOD(Tabla8[[#This Row],[HR. FIN]]-Tabla8[[#This Row],[HR. INICIO]],1)</f>
        <v>1.6666666666666607E-2</v>
      </c>
      <c r="G682" s="16" t="s">
        <v>24</v>
      </c>
      <c r="H682" s="343" t="str">
        <f>IFERROR(VLOOKUP(G682,DATOS!$M$2:$N$219,2,FALSE),"")</f>
        <v>Maquinaria</v>
      </c>
      <c r="I682" s="115" t="s">
        <v>32</v>
      </c>
      <c r="J682" s="115" t="s">
        <v>92</v>
      </c>
      <c r="K682" s="114" t="s">
        <v>148</v>
      </c>
      <c r="L682" s="35" t="s">
        <v>1406</v>
      </c>
      <c r="M682" s="35" t="s">
        <v>1407</v>
      </c>
      <c r="N682" s="35" t="str" cm="1">
        <f t="array" ref="N682">IFERROR(IF(Tabla8[[#This Row],[P/NP]]="NO PROGRAMADA","",_xlfn.TEXTJOIN(", ",TRUE,_xlfn._xlws.FILTER(Tabla4[[#All],[PIEZA]],ISNUMBER(SEARCH(Tabla4[[#All],[PCLAVE]],Tabla8[[#This Row],[DESCRIPCION DE TRABAJO]])),""))),"")</f>
        <v/>
      </c>
      <c r="O682" s="35" t="str" cm="1">
        <f t="array" ref="O682">_xlfn.TEXTJOIN(", ",TRUE,_xlfn._xlws.FILTER(Tabla28[[#All],[PARTE]],ISNUMBER(SEARCH(Tabla28[[#All],[PCLAVE2]],Tabla8[[#This Row],[DESCRIPCION DE TRABAJO]])),""))</f>
        <v/>
      </c>
      <c r="P682" s="303" t="str">
        <f>IFERROR(LEFT(O682, FIND(",", O682)-1), O682)</f>
        <v/>
      </c>
      <c r="Q682" s="303" t="str">
        <f>IFERROR(IF(ISERROR(FIND(",", O682, FIND(",", O682)+1)), RIGHT(O682, LEN(O682)-FIND(",", O682)-1), MID(O682, FIND(",", O682)+2, FIND(",", O682, FIND(",", O682)+1)-FIND(",", O682)-2)), "")</f>
        <v/>
      </c>
      <c r="R682" s="303" t="str">
        <f>IFERROR(RIGHT(O682, LEN(O682)-FIND(",", O682, FIND(",", O682)+1)-1), "")</f>
        <v/>
      </c>
      <c r="S682" s="35" t="str" cm="1">
        <f t="array" ref="S682">_xlfn.TEXTJOIN(", ",TRUE,_xlfn._xlws.FILTER(Tabla29[[#All],[PARTE]],ISNUMBER(SEARCH(Tabla29[[#All],[PCLAVE3]],Tabla8[[#This Row],[DESCRIPCION DE TRABAJO]])),""))</f>
        <v>Error</v>
      </c>
      <c r="T682" s="34" t="str">
        <f>IF(AND(Tabla8[[#This Row],[PIEZA]]="",Tabla8[[#This Row],[PARTE]]=""),"VACIO","OK")</f>
        <v>VACIO</v>
      </c>
      <c r="U682" s="303" t="str">
        <f>+CONCATENATE(WEEKNUM(Tabla8[[#This Row],[FECHA]]),"-",YEAR(Tabla8[[#This Row],[FECHA]]))</f>
        <v>13-2026</v>
      </c>
    </row>
    <row r="683" spans="1:21" ht="15" customHeight="1">
      <c r="A683" s="22">
        <v>46104</v>
      </c>
      <c r="B683" s="16" t="s">
        <v>191</v>
      </c>
      <c r="C683" s="10" t="s">
        <v>39</v>
      </c>
      <c r="D683" s="381">
        <v>0.88749999999999996</v>
      </c>
      <c r="E683" s="381">
        <v>0.90208333333333335</v>
      </c>
      <c r="F683" s="380">
        <f>+MOD(Tabla8[[#This Row],[HR. FIN]]-Tabla8[[#This Row],[HR. INICIO]],1)</f>
        <v>1.4583333333333393E-2</v>
      </c>
      <c r="G683" s="16" t="s">
        <v>215</v>
      </c>
      <c r="H683" s="343" t="str">
        <f>IFERROR(VLOOKUP(G683,DATOS!$M$2:$N$219,2,FALSE),"")</f>
        <v>Equipos auxiliares</v>
      </c>
      <c r="I683" s="115" t="s">
        <v>54</v>
      </c>
      <c r="J683" s="115" t="str">
        <f>+VLOOKUP($I683,Tabla7[#All],2,FALSE)</f>
        <v>PROGRAMADA</v>
      </c>
      <c r="K683" s="114" t="str">
        <f>IF(VLOOKUP(I683,Tabla7[#All],3,FALSE)=0,"",VLOOKUP(I683,Tabla7[#All],3,FALSE))</f>
        <v/>
      </c>
      <c r="L683" s="35" t="s">
        <v>248</v>
      </c>
      <c r="M683" s="35" t="s">
        <v>121</v>
      </c>
      <c r="N683" s="35" t="str" cm="1">
        <f t="array" ref="N683">IFERROR(IF(Tabla8[[#This Row],[P/NP]]="NO PROGRAMADA","",_xlfn.TEXTJOIN(", ",TRUE,_xlfn._xlws.FILTER(Tabla4[[#All],[PIEZA]],ISNUMBER(SEARCH(Tabla4[[#All],[PCLAVE]],Tabla8[[#This Row],[DESCRIPCION DE TRABAJO]])),""))),"")</f>
        <v/>
      </c>
      <c r="O683" s="35" t="str" cm="1">
        <f t="array" ref="O683">_xlfn.TEXTJOIN(", ",TRUE,_xlfn._xlws.FILTER(Tabla28[[#All],[PARTE]],ISNUMBER(SEARCH(Tabla28[[#All],[PCLAVE2]],Tabla8[[#This Row],[DESCRIPCION DE TRABAJO]])),""))</f>
        <v/>
      </c>
      <c r="P683" s="303" t="str">
        <f>IFERROR(LEFT(O683, FIND(",", O683)-1), O683)</f>
        <v/>
      </c>
      <c r="Q683" s="303" t="str">
        <f>IFERROR(IF(ISERROR(FIND(",", O683, FIND(",", O683)+1)), RIGHT(O683, LEN(O683)-FIND(",", O683)-1), MID(O683, FIND(",", O683)+2, FIND(",", O683, FIND(",", O683)+1)-FIND(",", O683)-2)), "")</f>
        <v/>
      </c>
      <c r="R683" s="303" t="str">
        <f>IFERROR(RIGHT(O683, LEN(O683)-FIND(",", O683, FIND(",", O683)+1)-1), "")</f>
        <v/>
      </c>
      <c r="S683" s="35" t="str" cm="1">
        <f t="array" ref="S683">_xlfn.TEXTJOIN(", ",TRUE,_xlfn._xlws.FILTER(Tabla29[[#All],[PARTE]],ISNUMBER(SEARCH(Tabla29[[#All],[PCLAVE3]],Tabla8[[#This Row],[DESCRIPCION DE TRABAJO]])),""))</f>
        <v/>
      </c>
      <c r="T683" s="34" t="str">
        <f>IF(AND(Tabla8[[#This Row],[PIEZA]]="",Tabla8[[#This Row],[PARTE]]=""),"VACIO","OK")</f>
        <v>VACIO</v>
      </c>
      <c r="U683" s="303" t="str">
        <f>+CONCATENATE(WEEKNUM(Tabla8[[#This Row],[FECHA]]),"-",YEAR(Tabla8[[#This Row],[FECHA]]))</f>
        <v>13-2026</v>
      </c>
    </row>
    <row r="684" spans="1:21" ht="15" customHeight="1">
      <c r="A684" s="22">
        <v>46104</v>
      </c>
      <c r="B684" s="16" t="s">
        <v>111</v>
      </c>
      <c r="C684" s="10" t="s">
        <v>36</v>
      </c>
      <c r="D684" s="381">
        <v>0.57291666666666663</v>
      </c>
      <c r="E684" s="381">
        <v>0.58680555555555558</v>
      </c>
      <c r="F684" s="380">
        <f>+MOD(Tabla8[[#This Row],[HR. FIN]]-Tabla8[[#This Row],[HR. INICIO]],1)</f>
        <v>1.3888888888888951E-2</v>
      </c>
      <c r="G684" s="16" t="s">
        <v>182</v>
      </c>
      <c r="H684" s="343" t="str">
        <f>IFERROR(VLOOKUP(G684,DATOS!$M$2:$N$219,2,FALSE),"")</f>
        <v>Maquinaria</v>
      </c>
      <c r="I684" s="115" t="s">
        <v>57</v>
      </c>
      <c r="J684" s="115" t="str">
        <f>+VLOOKUP($I684,Tabla7[#All],2,FALSE)</f>
        <v>NO PROGRAMADA</v>
      </c>
      <c r="K684" s="114" t="str">
        <f>IF(VLOOKUP(I684,Tabla7[#All],3,FALSE)=0,"",VLOOKUP(I684,Tabla7[#All],3,FALSE))</f>
        <v>MECÁNICA</v>
      </c>
      <c r="L684" s="35" t="s">
        <v>1408</v>
      </c>
      <c r="M684" s="35" t="s">
        <v>1409</v>
      </c>
      <c r="N684" s="35" t="str" cm="1">
        <f t="array" ref="N684">IFERROR(IF(Tabla8[[#This Row],[P/NP]]="NO PROGRAMADA","",_xlfn.TEXTJOIN(", ",TRUE,_xlfn._xlws.FILTER(Tabla4[[#All],[PIEZA]],ISNUMBER(SEARCH(Tabla4[[#All],[PCLAVE]],Tabla8[[#This Row],[DESCRIPCION DE TRABAJO]])),""))),"")</f>
        <v/>
      </c>
      <c r="O684" s="35" t="str" cm="1">
        <f t="array" ref="O684">_xlfn.TEXTJOIN(", ",TRUE,_xlfn._xlws.FILTER(Tabla28[[#All],[PARTE]],ISNUMBER(SEARCH(Tabla28[[#All],[PCLAVE2]],Tabla8[[#This Row],[DESCRIPCION DE TRABAJO]])),""))</f>
        <v/>
      </c>
      <c r="P684" s="303" t="str">
        <f>IFERROR(LEFT(O684, FIND(",", O684)-1), O684)</f>
        <v/>
      </c>
      <c r="Q684" s="303" t="str">
        <f>IFERROR(IF(ISERROR(FIND(",", O684, FIND(",", O684)+1)), RIGHT(O684, LEN(O684)-FIND(",", O684)-1), MID(O684, FIND(",", O684)+2, FIND(",", O684, FIND(",", O684)+1)-FIND(",", O684)-2)), "")</f>
        <v/>
      </c>
      <c r="R684" s="303" t="str">
        <f>IFERROR(RIGHT(O684, LEN(O684)-FIND(",", O684, FIND(",", O684)+1)-1), "")</f>
        <v/>
      </c>
      <c r="S684" s="35" t="str" cm="1">
        <f t="array" ref="S684">_xlfn.TEXTJOIN(", ",TRUE,_xlfn._xlws.FILTER(Tabla29[[#All],[PARTE]],ISNUMBER(SEARCH(Tabla29[[#All],[PCLAVE3]],Tabla8[[#This Row],[DESCRIPCION DE TRABAJO]])),""))</f>
        <v>Error, Sellado</v>
      </c>
      <c r="T684" s="34" t="str">
        <f>IF(AND(Tabla8[[#This Row],[PIEZA]]="",Tabla8[[#This Row],[PARTE]]=""),"VACIO","OK")</f>
        <v>VACIO</v>
      </c>
      <c r="U684" s="303" t="str">
        <f>+CONCATENATE(WEEKNUM(Tabla8[[#This Row],[FECHA]]),"-",YEAR(Tabla8[[#This Row],[FECHA]]))</f>
        <v>13-2026</v>
      </c>
    </row>
    <row r="685" spans="1:21" ht="15" customHeight="1">
      <c r="A685" s="22">
        <v>46104</v>
      </c>
      <c r="B685" s="16" t="s">
        <v>191</v>
      </c>
      <c r="C685" s="10" t="s">
        <v>39</v>
      </c>
      <c r="D685" s="381">
        <v>0.98263888888888884</v>
      </c>
      <c r="E685" s="381">
        <v>0.99444444444444446</v>
      </c>
      <c r="F685" s="380">
        <f>+MOD(Tabla8[[#This Row],[HR. FIN]]-Tabla8[[#This Row],[HR. INICIO]],1)</f>
        <v>1.1805555555555625E-2</v>
      </c>
      <c r="G685" s="16" t="s">
        <v>1410</v>
      </c>
      <c r="H685" s="343" t="str">
        <f>IFERROR(VLOOKUP(G685,DATOS!$M$2:$N$219,2,FALSE),"")</f>
        <v>Maquinaria</v>
      </c>
      <c r="I685" s="115" t="s">
        <v>54</v>
      </c>
      <c r="J685" s="115" t="str">
        <f>+VLOOKUP($I685,Tabla7[#All],2,FALSE)</f>
        <v>PROGRAMADA</v>
      </c>
      <c r="K685" s="114" t="str">
        <f>IF(VLOOKUP(I685,Tabla7[#All],3,FALSE)=0,"",VLOOKUP(I685,Tabla7[#All],3,FALSE))</f>
        <v/>
      </c>
      <c r="L685" s="35" t="s">
        <v>1411</v>
      </c>
      <c r="M685" s="35" t="s">
        <v>121</v>
      </c>
      <c r="N685" s="35" t="str" cm="1">
        <f t="array" ref="N685">IFERROR(IF(Tabla8[[#This Row],[P/NP]]="NO PROGRAMADA","",_xlfn.TEXTJOIN(", ",TRUE,_xlfn._xlws.FILTER(Tabla4[[#All],[PIEZA]],ISNUMBER(SEARCH(Tabla4[[#All],[PCLAVE]],Tabla8[[#This Row],[DESCRIPCION DE TRABAJO]])),""))),"")</f>
        <v/>
      </c>
      <c r="O685" s="35" t="str" cm="1">
        <f t="array" ref="O685">_xlfn.TEXTJOIN(", ",TRUE,_xlfn._xlws.FILTER(Tabla28[[#All],[PARTE]],ISNUMBER(SEARCH(Tabla28[[#All],[PCLAVE2]],Tabla8[[#This Row],[DESCRIPCION DE TRABAJO]])),""))</f>
        <v/>
      </c>
      <c r="P685" s="303" t="str">
        <f>IFERROR(LEFT(O685, FIND(",", O685)-1), O685)</f>
        <v/>
      </c>
      <c r="Q685" s="303" t="str">
        <f>IFERROR(IF(ISERROR(FIND(",", O685, FIND(",", O685)+1)), RIGHT(O685, LEN(O685)-FIND(",", O685)-1), MID(O685, FIND(",", O685)+2, FIND(",", O685, FIND(",", O685)+1)-FIND(",", O685)-2)), "")</f>
        <v/>
      </c>
      <c r="R685" s="303" t="str">
        <f>IFERROR(RIGHT(O685, LEN(O685)-FIND(",", O685, FIND(",", O685)+1)-1), "")</f>
        <v/>
      </c>
      <c r="S685" s="35" t="str" cm="1">
        <f t="array" ref="S685">_xlfn.TEXTJOIN(", ",TRUE,_xlfn._xlws.FILTER(Tabla29[[#All],[PARTE]],ISNUMBER(SEARCH(Tabla29[[#All],[PCLAVE3]],Tabla8[[#This Row],[DESCRIPCION DE TRABAJO]])),""))</f>
        <v/>
      </c>
      <c r="T685" s="34" t="str">
        <f>IF(AND(Tabla8[[#This Row],[PIEZA]]="",Tabla8[[#This Row],[PARTE]]=""),"VACIO","OK")</f>
        <v>VACIO</v>
      </c>
      <c r="U685" s="303" t="str">
        <f>+CONCATENATE(WEEKNUM(Tabla8[[#This Row],[FECHA]]),"-",YEAR(Tabla8[[#This Row],[FECHA]]))</f>
        <v>13-2026</v>
      </c>
    </row>
    <row r="686" spans="1:21" ht="15" customHeight="1">
      <c r="A686" s="22">
        <v>46104</v>
      </c>
      <c r="B686" s="16" t="s">
        <v>191</v>
      </c>
      <c r="C686" s="10" t="s">
        <v>39</v>
      </c>
      <c r="D686" s="381">
        <v>0.96736111111111112</v>
      </c>
      <c r="E686" s="381">
        <v>0.97916666666666663</v>
      </c>
      <c r="F686" s="380">
        <f>+MOD(Tabla8[[#This Row],[HR. FIN]]-Tabla8[[#This Row],[HR. INICIO]],1)</f>
        <v>1.1805555555555514E-2</v>
      </c>
      <c r="G686" s="16" t="s">
        <v>98</v>
      </c>
      <c r="H686" s="343" t="str">
        <f>IFERROR(VLOOKUP(G686,DATOS!$M$2:$N$219,2,FALSE),"")</f>
        <v>Maquinaria</v>
      </c>
      <c r="I686" s="115" t="s">
        <v>32</v>
      </c>
      <c r="J686" s="115" t="s">
        <v>157</v>
      </c>
      <c r="K686" s="114"/>
      <c r="L686" s="35" t="s">
        <v>1412</v>
      </c>
      <c r="M686" s="35" t="s">
        <v>1413</v>
      </c>
      <c r="N686" s="35" t="str" cm="1">
        <f t="array" ref="N686">IFERROR(IF(Tabla8[[#This Row],[P/NP]]="NO PROGRAMADA","",_xlfn.TEXTJOIN(", ",TRUE,_xlfn._xlws.FILTER(Tabla4[[#All],[PIEZA]],ISNUMBER(SEARCH(Tabla4[[#All],[PCLAVE]],Tabla8[[#This Row],[DESCRIPCION DE TRABAJO]])),""))),"")</f>
        <v>Tuberias</v>
      </c>
      <c r="O686" s="35" t="str" cm="1">
        <f t="array" ref="O686">_xlfn.TEXTJOIN(", ",TRUE,_xlfn._xlws.FILTER(Tabla28[[#All],[PARTE]],ISNUMBER(SEARCH(Tabla28[[#All],[PCLAVE2]],Tabla8[[#This Row],[DESCRIPCION DE TRABAJO]])),""))</f>
        <v/>
      </c>
      <c r="P686" s="303" t="str">
        <f>IFERROR(LEFT(O686, FIND(",", O686)-1), O686)</f>
        <v/>
      </c>
      <c r="Q686" s="303" t="str">
        <f>IFERROR(IF(ISERROR(FIND(",", O686, FIND(",", O686)+1)), RIGHT(O686, LEN(O686)-FIND(",", O686)-1), MID(O686, FIND(",", O686)+2, FIND(",", O686, FIND(",", O686)+1)-FIND(",", O686)-2)), "")</f>
        <v/>
      </c>
      <c r="R686" s="303" t="str">
        <f>IFERROR(RIGHT(O686, LEN(O686)-FIND(",", O686, FIND(",", O686)+1)-1), "")</f>
        <v/>
      </c>
      <c r="S686" s="35" t="str" cm="1">
        <f t="array" ref="S686">_xlfn.TEXTJOIN(", ",TRUE,_xlfn._xlws.FILTER(Tabla29[[#All],[PARTE]],ISNUMBER(SEARCH(Tabla29[[#All],[PCLAVE3]],Tabla8[[#This Row],[DESCRIPCION DE TRABAJO]])),""))</f>
        <v>Calibracion</v>
      </c>
      <c r="T686" s="34" t="str">
        <f>IF(AND(Tabla8[[#This Row],[PIEZA]]="",Tabla8[[#This Row],[PARTE]]=""),"VACIO","OK")</f>
        <v>OK</v>
      </c>
      <c r="U686" s="303" t="str">
        <f>+CONCATENATE(WEEKNUM(Tabla8[[#This Row],[FECHA]]),"-",YEAR(Tabla8[[#This Row],[FECHA]]))</f>
        <v>13-2026</v>
      </c>
    </row>
    <row r="687" spans="1:21" ht="15" customHeight="1">
      <c r="A687" s="22">
        <v>46104</v>
      </c>
      <c r="B687" s="16" t="s">
        <v>191</v>
      </c>
      <c r="C687" s="10" t="s">
        <v>39</v>
      </c>
      <c r="D687" s="381">
        <v>0.90763888888888888</v>
      </c>
      <c r="E687" s="381">
        <v>0.91805555555555551</v>
      </c>
      <c r="F687" s="380">
        <f>+MOD(Tabla8[[#This Row],[HR. FIN]]-Tabla8[[#This Row],[HR. INICIO]],1)</f>
        <v>1.041666666666663E-2</v>
      </c>
      <c r="G687" s="16" t="s">
        <v>1243</v>
      </c>
      <c r="H687" s="343" t="str">
        <f>IFERROR(VLOOKUP(G687,DATOS!$M$2:$N$219,2,FALSE),"")</f>
        <v>Sistema</v>
      </c>
      <c r="I687" s="115" t="s">
        <v>32</v>
      </c>
      <c r="J687" s="115" t="s">
        <v>92</v>
      </c>
      <c r="K687" s="114" t="s">
        <v>93</v>
      </c>
      <c r="L687" s="35" t="s">
        <v>1414</v>
      </c>
      <c r="M687" s="35" t="s">
        <v>1415</v>
      </c>
      <c r="N687" s="35" t="str" cm="1">
        <f t="array" ref="N687">IFERROR(IF(Tabla8[[#This Row],[P/NP]]="NO PROGRAMADA","",_xlfn.TEXTJOIN(", ",TRUE,_xlfn._xlws.FILTER(Tabla4[[#All],[PIEZA]],ISNUMBER(SEARCH(Tabla4[[#All],[PCLAVE]],Tabla8[[#This Row],[DESCRIPCION DE TRABAJO]])),""))),"")</f>
        <v/>
      </c>
      <c r="O687" s="35" t="str" cm="1">
        <f t="array" ref="O687">_xlfn.TEXTJOIN(", ",TRUE,_xlfn._xlws.FILTER(Tabla28[[#All],[PARTE]],ISNUMBER(SEARCH(Tabla28[[#All],[PCLAVE2]],Tabla8[[#This Row],[DESCRIPCION DE TRABAJO]])),""))</f>
        <v/>
      </c>
      <c r="P687" s="303" t="str">
        <f>IFERROR(LEFT(O687, FIND(",", O687)-1), O687)</f>
        <v/>
      </c>
      <c r="Q687" s="303" t="str">
        <f>IFERROR(IF(ISERROR(FIND(",", O687, FIND(",", O687)+1)), RIGHT(O687, LEN(O687)-FIND(",", O687)-1), MID(O687, FIND(",", O687)+2, FIND(",", O687, FIND(",", O687)+1)-FIND(",", O687)-2)), "")</f>
        <v/>
      </c>
      <c r="R687" s="303" t="str">
        <f>IFERROR(RIGHT(O687, LEN(O687)-FIND(",", O687, FIND(",", O687)+1)-1), "")</f>
        <v/>
      </c>
      <c r="S687" s="35" t="str" cm="1">
        <f t="array" ref="S687">_xlfn.TEXTJOIN(", ",TRUE,_xlfn._xlws.FILTER(Tabla29[[#All],[PARTE]],ISNUMBER(SEARCH(Tabla29[[#All],[PCLAVE3]],Tabla8[[#This Row],[DESCRIPCION DE TRABAJO]])),""))</f>
        <v>Bajo Nivel, Nivel</v>
      </c>
      <c r="T687" s="34" t="str">
        <f>IF(AND(Tabla8[[#This Row],[PIEZA]]="",Tabla8[[#This Row],[PARTE]]=""),"VACIO","OK")</f>
        <v>VACIO</v>
      </c>
      <c r="U687" s="303" t="str">
        <f>+CONCATENATE(WEEKNUM(Tabla8[[#This Row],[FECHA]]),"-",YEAR(Tabla8[[#This Row],[FECHA]]))</f>
        <v>13-2026</v>
      </c>
    </row>
    <row r="688" spans="1:21" ht="15" customHeight="1">
      <c r="A688" s="22">
        <v>46105</v>
      </c>
      <c r="B688" s="16" t="s">
        <v>88</v>
      </c>
      <c r="C688" s="10" t="s">
        <v>36</v>
      </c>
      <c r="D688" s="381">
        <v>0.25</v>
      </c>
      <c r="E688" s="381">
        <v>0.29166666666666669</v>
      </c>
      <c r="F688" s="380">
        <f>+MOD(Tabla8[[#This Row],[HR. FIN]]-Tabla8[[#This Row],[HR. INICIO]],1)</f>
        <v>4.1666666666666685E-2</v>
      </c>
      <c r="G688" s="16" t="s">
        <v>1410</v>
      </c>
      <c r="H688" s="343" t="str">
        <f>IFERROR(VLOOKUP(G688,DATOS!$M$2:$N$219,2,FALSE),"")</f>
        <v>Maquinaria</v>
      </c>
      <c r="I688" s="115" t="s">
        <v>57</v>
      </c>
      <c r="J688" s="115" t="str">
        <f>+VLOOKUP($I688,Tabla7[#All],2,FALSE)</f>
        <v>NO PROGRAMADA</v>
      </c>
      <c r="K688" s="114" t="str">
        <f>IF(VLOOKUP(I688,Tabla7[#All],3,FALSE)=0,"",VLOOKUP(I688,Tabla7[#All],3,FALSE))</f>
        <v>MECÁNICA</v>
      </c>
      <c r="L688" s="35" t="s">
        <v>1416</v>
      </c>
      <c r="M688" s="35" t="s">
        <v>1417</v>
      </c>
      <c r="N688" s="35" t="str" cm="1">
        <f t="array" ref="N688">IFERROR(IF(Tabla8[[#This Row],[P/NP]]="NO PROGRAMADA","",_xlfn.TEXTJOIN(", ",TRUE,_xlfn._xlws.FILTER(Tabla4[[#All],[PIEZA]],ISNUMBER(SEARCH(Tabla4[[#All],[PCLAVE]],Tabla8[[#This Row],[DESCRIPCION DE TRABAJO]])),""))),"")</f>
        <v/>
      </c>
      <c r="O688" s="35" t="str" cm="1">
        <f t="array" ref="O688">_xlfn.TEXTJOIN(", ",TRUE,_xlfn._xlws.FILTER(Tabla28[[#All],[PARTE]],ISNUMBER(SEARCH(Tabla28[[#All],[PCLAVE2]],Tabla8[[#This Row],[DESCRIPCION DE TRABAJO]])),""))</f>
        <v/>
      </c>
      <c r="P688" s="303" t="str">
        <f>IFERROR(LEFT(O688, FIND(",", O688)-1), O688)</f>
        <v/>
      </c>
      <c r="Q688" s="303" t="str">
        <f>IFERROR(IF(ISERROR(FIND(",", O688, FIND(",", O688)+1)), RIGHT(O688, LEN(O688)-FIND(",", O688)-1), MID(O688, FIND(",", O688)+2, FIND(",", O688, FIND(",", O688)+1)-FIND(",", O688)-2)), "")</f>
        <v/>
      </c>
      <c r="R688" s="303" t="str">
        <f>IFERROR(RIGHT(O688, LEN(O688)-FIND(",", O688, FIND(",", O688)+1)-1), "")</f>
        <v/>
      </c>
      <c r="S688" s="35" t="str" cm="1">
        <f t="array" ref="S688">_xlfn.TEXTJOIN(", ",TRUE,_xlfn._xlws.FILTER(Tabla29[[#All],[PARTE]],ISNUMBER(SEARCH(Tabla29[[#All],[PCLAVE3]],Tabla8[[#This Row],[DESCRIPCION DE TRABAJO]])),""))</f>
        <v>Amarrado, Obstruido</v>
      </c>
      <c r="T688" s="34" t="str">
        <f>IF(AND(Tabla8[[#This Row],[PIEZA]]="",Tabla8[[#This Row],[PARTE]]=""),"VACIO","OK")</f>
        <v>VACIO</v>
      </c>
      <c r="U688" s="303" t="str">
        <f>+CONCATENATE(WEEKNUM(Tabla8[[#This Row],[FECHA]]),"-",YEAR(Tabla8[[#This Row],[FECHA]]))</f>
        <v>13-2026</v>
      </c>
    </row>
    <row r="689" spans="1:21" ht="15" customHeight="1">
      <c r="A689" s="22">
        <v>46105</v>
      </c>
      <c r="B689" s="16" t="s">
        <v>88</v>
      </c>
      <c r="C689" s="10" t="s">
        <v>36</v>
      </c>
      <c r="D689" s="381">
        <v>0.3125</v>
      </c>
      <c r="E689" s="381">
        <v>0.35416666666666669</v>
      </c>
      <c r="F689" s="380">
        <f>+MOD(Tabla8[[#This Row],[HR. FIN]]-Tabla8[[#This Row],[HR. INICIO]],1)</f>
        <v>4.1666666666666685E-2</v>
      </c>
      <c r="G689" s="16" t="s">
        <v>119</v>
      </c>
      <c r="H689" s="343" t="str">
        <f>IFERROR(VLOOKUP(G689,DATOS!$M$2:$N$219,2,FALSE),"")</f>
        <v>Maquinaria</v>
      </c>
      <c r="I689" s="115" t="s">
        <v>57</v>
      </c>
      <c r="J689" s="115" t="str">
        <f>+VLOOKUP($I689,Tabla7[#All],2,FALSE)</f>
        <v>NO PROGRAMADA</v>
      </c>
      <c r="K689" s="114" t="s">
        <v>148</v>
      </c>
      <c r="L689" s="35" t="s">
        <v>1418</v>
      </c>
      <c r="M689" s="35" t="s">
        <v>1419</v>
      </c>
      <c r="N689" s="35" t="str" cm="1">
        <f t="array" ref="N689">IFERROR(IF(Tabla8[[#This Row],[P/NP]]="NO PROGRAMADA","",_xlfn.TEXTJOIN(", ",TRUE,_xlfn._xlws.FILTER(Tabla4[[#All],[PIEZA]],ISNUMBER(SEARCH(Tabla4[[#All],[PCLAVE]],Tabla8[[#This Row],[DESCRIPCION DE TRABAJO]])),""))),"")</f>
        <v/>
      </c>
      <c r="O689" s="35" t="str" cm="1">
        <f t="array" ref="O689">_xlfn.TEXTJOIN(", ",TRUE,_xlfn._xlws.FILTER(Tabla28[[#All],[PARTE]],ISNUMBER(SEARCH(Tabla28[[#All],[PCLAVE2]],Tabla8[[#This Row],[DESCRIPCION DE TRABAJO]])),""))</f>
        <v/>
      </c>
      <c r="P689" s="303" t="str">
        <f>IFERROR(LEFT(O689, FIND(",", O689)-1), O689)</f>
        <v/>
      </c>
      <c r="Q689" s="303" t="str">
        <f>IFERROR(IF(ISERROR(FIND(",", O689, FIND(",", O689)+1)), RIGHT(O689, LEN(O689)-FIND(",", O689)-1), MID(O689, FIND(",", O689)+2, FIND(",", O689, FIND(",", O689)+1)-FIND(",", O689)-2)), "")</f>
        <v/>
      </c>
      <c r="R689" s="303" t="str">
        <f>IFERROR(RIGHT(O689, LEN(O689)-FIND(",", O689, FIND(",", O689)+1)-1), "")</f>
        <v/>
      </c>
      <c r="S689" s="35" t="str" cm="1">
        <f t="array" ref="S689">_xlfn.TEXTJOIN(", ",TRUE,_xlfn._xlws.FILTER(Tabla29[[#All],[PARTE]],ISNUMBER(SEARCH(Tabla29[[#All],[PCLAVE3]],Tabla8[[#This Row],[DESCRIPCION DE TRABAJO]])),""))</f>
        <v>No Enciende</v>
      </c>
      <c r="T689" s="34" t="str">
        <f>IF(AND(Tabla8[[#This Row],[PIEZA]]="",Tabla8[[#This Row],[PARTE]]=""),"VACIO","OK")</f>
        <v>VACIO</v>
      </c>
      <c r="U689" s="303" t="str">
        <f>+CONCATENATE(WEEKNUM(Tabla8[[#This Row],[FECHA]]),"-",YEAR(Tabla8[[#This Row],[FECHA]]))</f>
        <v>13-2026</v>
      </c>
    </row>
    <row r="690" spans="1:21" ht="15" customHeight="1">
      <c r="A690" s="22">
        <v>46105</v>
      </c>
      <c r="B690" s="16" t="s">
        <v>88</v>
      </c>
      <c r="C690" s="10" t="s">
        <v>36</v>
      </c>
      <c r="D690" s="381">
        <v>0.36458333333333331</v>
      </c>
      <c r="E690" s="381">
        <v>0.40625</v>
      </c>
      <c r="F690" s="380">
        <f>+MOD(Tabla8[[#This Row],[HR. FIN]]-Tabla8[[#This Row],[HR. INICIO]],1)</f>
        <v>4.1666666666666685E-2</v>
      </c>
      <c r="G690" s="16" t="s">
        <v>972</v>
      </c>
      <c r="H690" s="343" t="str">
        <f>IFERROR(VLOOKUP(G690,DATOS!$M$2:$N$219,2,FALSE),"")</f>
        <v>Maquinaria</v>
      </c>
      <c r="I690" s="115" t="s">
        <v>32</v>
      </c>
      <c r="J690" s="115" t="s">
        <v>92</v>
      </c>
      <c r="K690" s="114" t="s">
        <v>148</v>
      </c>
      <c r="L690" s="35" t="s">
        <v>1420</v>
      </c>
      <c r="M690" s="35" t="s">
        <v>1421</v>
      </c>
      <c r="N690" s="35" t="str" cm="1">
        <f t="array" ref="N690">IFERROR(IF(Tabla8[[#This Row],[P/NP]]="NO PROGRAMADA","",_xlfn.TEXTJOIN(", ",TRUE,_xlfn._xlws.FILTER(Tabla4[[#All],[PIEZA]],ISNUMBER(SEARCH(Tabla4[[#All],[PCLAVE]],Tabla8[[#This Row],[DESCRIPCION DE TRABAJO]])),""))),"")</f>
        <v/>
      </c>
      <c r="O690" s="35" t="str" cm="1">
        <f t="array" ref="O690">_xlfn.TEXTJOIN(", ",TRUE,_xlfn._xlws.FILTER(Tabla28[[#All],[PARTE]],ISNUMBER(SEARCH(Tabla28[[#All],[PCLAVE2]],Tabla8[[#This Row],[DESCRIPCION DE TRABAJO]])),""))</f>
        <v/>
      </c>
      <c r="P690" s="303" t="str">
        <f>IFERROR(LEFT(O690, FIND(",", O690)-1), O690)</f>
        <v/>
      </c>
      <c r="Q690" s="303" t="str">
        <f>IFERROR(IF(ISERROR(FIND(",", O690, FIND(",", O690)+1)), RIGHT(O690, LEN(O690)-FIND(",", O690)-1), MID(O690, FIND(",", O690)+2, FIND(",", O690, FIND(",", O690)+1)-FIND(",", O690)-2)), "")</f>
        <v/>
      </c>
      <c r="R690" s="303" t="str">
        <f>IFERROR(RIGHT(O690, LEN(O690)-FIND(",", O690, FIND(",", O690)+1)-1), "")</f>
        <v/>
      </c>
      <c r="S690" s="35" t="str" cm="1">
        <f t="array" ref="S690">_xlfn.TEXTJOIN(", ",TRUE,_xlfn._xlws.FILTER(Tabla29[[#All],[PARTE]],ISNUMBER(SEARCH(Tabla29[[#All],[PCLAVE3]],Tabla8[[#This Row],[DESCRIPCION DE TRABAJO]])),""))</f>
        <v>Apagado</v>
      </c>
      <c r="T690" s="34" t="str">
        <f>IF(AND(Tabla8[[#This Row],[PIEZA]]="",Tabla8[[#This Row],[PARTE]]=""),"VACIO","OK")</f>
        <v>VACIO</v>
      </c>
      <c r="U690" s="303" t="str">
        <f>+CONCATENATE(WEEKNUM(Tabla8[[#This Row],[FECHA]]),"-",YEAR(Tabla8[[#This Row],[FECHA]]))</f>
        <v>13-2026</v>
      </c>
    </row>
    <row r="691" spans="1:21" ht="15" customHeight="1">
      <c r="A691" s="22">
        <v>46105</v>
      </c>
      <c r="B691" s="16" t="s">
        <v>191</v>
      </c>
      <c r="C691" s="10" t="s">
        <v>39</v>
      </c>
      <c r="D691" s="381">
        <v>0.93125000000000002</v>
      </c>
      <c r="E691" s="381">
        <v>0.96736111111111112</v>
      </c>
      <c r="F691" s="380">
        <f>+MOD(Tabla8[[#This Row],[HR. FIN]]-Tabla8[[#This Row],[HR. INICIO]],1)</f>
        <v>3.6111111111111094E-2</v>
      </c>
      <c r="G691" s="16" t="s">
        <v>98</v>
      </c>
      <c r="H691" s="343" t="str">
        <f>IFERROR(VLOOKUP(G691,DATOS!$M$2:$N$219,2,FALSE),"")</f>
        <v>Maquinaria</v>
      </c>
      <c r="I691" s="115" t="s">
        <v>32</v>
      </c>
      <c r="J691" s="115" t="str">
        <f>+VLOOKUP($I691,Tabla7[#All],2,FALSE)</f>
        <v>PROGRAMADA</v>
      </c>
      <c r="K691" s="114" t="str">
        <f>IF(VLOOKUP(I691,Tabla7[#All],3,FALSE)=0,"",VLOOKUP(I691,Tabla7[#All],3,FALSE))</f>
        <v/>
      </c>
      <c r="L691" s="35" t="s">
        <v>893</v>
      </c>
      <c r="M691" s="35" t="s">
        <v>121</v>
      </c>
      <c r="N691" s="35" t="str" cm="1">
        <f t="array" ref="N691">IFERROR(IF(Tabla8[[#This Row],[P/NP]]="NO PROGRAMADA","",_xlfn.TEXTJOIN(", ",TRUE,_xlfn._xlws.FILTER(Tabla4[[#All],[PIEZA]],ISNUMBER(SEARCH(Tabla4[[#All],[PCLAVE]],Tabla8[[#This Row],[DESCRIPCION DE TRABAJO]])),""))),"")</f>
        <v/>
      </c>
      <c r="O691" s="35" t="str" cm="1">
        <f t="array" ref="O691">_xlfn.TEXTJOIN(", ",TRUE,_xlfn._xlws.FILTER(Tabla28[[#All],[PARTE]],ISNUMBER(SEARCH(Tabla28[[#All],[PCLAVE2]],Tabla8[[#This Row],[DESCRIPCION DE TRABAJO]])),""))</f>
        <v/>
      </c>
      <c r="P691" s="303" t="str">
        <f>IFERROR(LEFT(O691, FIND(",", O691)-1), O691)</f>
        <v/>
      </c>
      <c r="Q691" s="303" t="str">
        <f>IFERROR(IF(ISERROR(FIND(",", O691, FIND(",", O691)+1)), RIGHT(O691, LEN(O691)-FIND(",", O691)-1), MID(O691, FIND(",", O691)+2, FIND(",", O691, FIND(",", O691)+1)-FIND(",", O691)-2)), "")</f>
        <v/>
      </c>
      <c r="R691" s="303" t="str">
        <f>IFERROR(RIGHT(O691, LEN(O691)-FIND(",", O691, FIND(",", O691)+1)-1), "")</f>
        <v/>
      </c>
      <c r="S691" s="35" t="str" cm="1">
        <f t="array" ref="S691">_xlfn.TEXTJOIN(", ",TRUE,_xlfn._xlws.FILTER(Tabla29[[#All],[PARTE]],ISNUMBER(SEARCH(Tabla29[[#All],[PCLAVE3]],Tabla8[[#This Row],[DESCRIPCION DE TRABAJO]])),""))</f>
        <v/>
      </c>
      <c r="T691" s="34" t="str">
        <f>IF(AND(Tabla8[[#This Row],[PIEZA]]="",Tabla8[[#This Row],[PARTE]]=""),"VACIO","OK")</f>
        <v>VACIO</v>
      </c>
      <c r="U691" s="303" t="str">
        <f>+CONCATENATE(WEEKNUM(Tabla8[[#This Row],[FECHA]]),"-",YEAR(Tabla8[[#This Row],[FECHA]]))</f>
        <v>13-2026</v>
      </c>
    </row>
    <row r="692" spans="1:21" ht="15" customHeight="1">
      <c r="A692" s="22">
        <v>46105</v>
      </c>
      <c r="B692" s="16" t="s">
        <v>191</v>
      </c>
      <c r="C692" s="10" t="s">
        <v>39</v>
      </c>
      <c r="D692" s="381">
        <v>5.486111111111111E-2</v>
      </c>
      <c r="E692" s="381">
        <v>8.611111111111111E-2</v>
      </c>
      <c r="F692" s="380">
        <f>+MOD(Tabla8[[#This Row],[HR. FIN]]-Tabla8[[#This Row],[HR. INICIO]],1)</f>
        <v>3.125E-2</v>
      </c>
      <c r="G692" s="16" t="s">
        <v>31</v>
      </c>
      <c r="H692" s="343" t="str">
        <f>IFERROR(VLOOKUP(G692,DATOS!$M$2:$N$219,2,FALSE),"")</f>
        <v>Maquinaria</v>
      </c>
      <c r="I692" s="115" t="s">
        <v>32</v>
      </c>
      <c r="J692" s="115" t="str">
        <f>+VLOOKUP($I692,Tabla7[#All],2,FALSE)</f>
        <v>PROGRAMADA</v>
      </c>
      <c r="K692" s="114" t="str">
        <f>IF(VLOOKUP(I692,Tabla7[#All],3,FALSE)=0,"",VLOOKUP(I692,Tabla7[#All],3,FALSE))</f>
        <v/>
      </c>
      <c r="L692" s="35" t="s">
        <v>1422</v>
      </c>
      <c r="M692" s="35" t="s">
        <v>121</v>
      </c>
      <c r="N692" s="35" t="str" cm="1">
        <f t="array" ref="N692">IFERROR(IF(Tabla8[[#This Row],[P/NP]]="NO PROGRAMADA","",_xlfn.TEXTJOIN(", ",TRUE,_xlfn._xlws.FILTER(Tabla4[[#All],[PIEZA]],ISNUMBER(SEARCH(Tabla4[[#All],[PCLAVE]],Tabla8[[#This Row],[DESCRIPCION DE TRABAJO]])),""))),"")</f>
        <v>Banda, Mordaza, Pines, Planchas, Rascador, Rascador</v>
      </c>
      <c r="O692" s="35" t="str" cm="1">
        <f t="array" ref="O692">_xlfn.TEXTJOIN(", ",TRUE,_xlfn._xlws.FILTER(Tabla28[[#All],[PARTE]],ISNUMBER(SEARCH(Tabla28[[#All],[PCLAVE2]],Tabla8[[#This Row],[DESCRIPCION DE TRABAJO]])),""))</f>
        <v/>
      </c>
      <c r="P692" s="303" t="str">
        <f>IFERROR(LEFT(O692, FIND(",", O692)-1), O692)</f>
        <v/>
      </c>
      <c r="Q692" s="303" t="str">
        <f>IFERROR(IF(ISERROR(FIND(",", O692, FIND(",", O692)+1)), RIGHT(O692, LEN(O692)-FIND(",", O692)-1), MID(O692, FIND(",", O692)+2, FIND(",", O692, FIND(",", O692)+1)-FIND(",", O692)-2)), "")</f>
        <v/>
      </c>
      <c r="R692" s="303" t="str">
        <f>IFERROR(RIGHT(O692, LEN(O692)-FIND(",", O692, FIND(",", O692)+1)-1), "")</f>
        <v/>
      </c>
      <c r="S692" s="35" t="str" cm="1">
        <f t="array" ref="S692">_xlfn.TEXTJOIN(", ",TRUE,_xlfn._xlws.FILTER(Tabla29[[#All],[PARTE]],ISNUMBER(SEARCH(Tabla29[[#All],[PCLAVE3]],Tabla8[[#This Row],[DESCRIPCION DE TRABAJO]])),""))</f>
        <v>Sustitucion</v>
      </c>
      <c r="T692" s="34" t="str">
        <f>IF(AND(Tabla8[[#This Row],[PIEZA]]="",Tabla8[[#This Row],[PARTE]]=""),"VACIO","OK")</f>
        <v>OK</v>
      </c>
      <c r="U692" s="303" t="str">
        <f>+CONCATENATE(WEEKNUM(Tabla8[[#This Row],[FECHA]]),"-",YEAR(Tabla8[[#This Row],[FECHA]]))</f>
        <v>13-2026</v>
      </c>
    </row>
    <row r="693" spans="1:21" ht="15" customHeight="1">
      <c r="A693" s="22">
        <v>46105</v>
      </c>
      <c r="B693" s="16" t="s">
        <v>88</v>
      </c>
      <c r="C693" s="10" t="s">
        <v>36</v>
      </c>
      <c r="D693" s="381">
        <v>0.41666666666666669</v>
      </c>
      <c r="E693" s="381">
        <v>0.4375</v>
      </c>
      <c r="F693" s="380">
        <f>+MOD(Tabla8[[#This Row],[HR. FIN]]-Tabla8[[#This Row],[HR. INICIO]],1)</f>
        <v>2.0833333333333315E-2</v>
      </c>
      <c r="G693" s="16" t="s">
        <v>270</v>
      </c>
      <c r="H693" s="343" t="str">
        <f>IFERROR(VLOOKUP(G693,DATOS!$M$2:$N$219,2,FALSE),"")</f>
        <v>Maquinaria</v>
      </c>
      <c r="I693" s="115" t="s">
        <v>54</v>
      </c>
      <c r="J693" s="115" t="str">
        <f>+VLOOKUP($I693,Tabla7[#All],2,FALSE)</f>
        <v>PROGRAMADA</v>
      </c>
      <c r="K693" s="114" t="str">
        <f>IF(VLOOKUP(I693,Tabla7[#All],3,FALSE)=0,"",VLOOKUP(I693,Tabla7[#All],3,FALSE))</f>
        <v/>
      </c>
      <c r="L693" s="35" t="s">
        <v>1288</v>
      </c>
      <c r="M693" s="35" t="s">
        <v>1423</v>
      </c>
      <c r="N693" s="35" t="str" cm="1">
        <f t="array" ref="N693">IFERROR(IF(Tabla8[[#This Row],[P/NP]]="NO PROGRAMADA","",_xlfn.TEXTJOIN(", ",TRUE,_xlfn._xlws.FILTER(Tabla4[[#All],[PIEZA]],ISNUMBER(SEARCH(Tabla4[[#All],[PCLAVE]],Tabla8[[#This Row],[DESCRIPCION DE TRABAJO]])),""))),"")</f>
        <v/>
      </c>
      <c r="O693" s="35" t="str" cm="1">
        <f t="array" ref="O693">_xlfn.TEXTJOIN(", ",TRUE,_xlfn._xlws.FILTER(Tabla28[[#All],[PARTE]],ISNUMBER(SEARCH(Tabla28[[#All],[PCLAVE2]],Tabla8[[#This Row],[DESCRIPCION DE TRABAJO]])),""))</f>
        <v/>
      </c>
      <c r="P693" s="303" t="str">
        <f>IFERROR(LEFT(O693, FIND(",", O693)-1), O693)</f>
        <v/>
      </c>
      <c r="Q693" s="303" t="str">
        <f>IFERROR(IF(ISERROR(FIND(",", O693, FIND(",", O693)+1)), RIGHT(O693, LEN(O693)-FIND(",", O693)-1), MID(O693, FIND(",", O693)+2, FIND(",", O693, FIND(",", O693)+1)-FIND(",", O693)-2)), "")</f>
        <v/>
      </c>
      <c r="R693" s="303" t="str">
        <f>IFERROR(RIGHT(O693, LEN(O693)-FIND(",", O693, FIND(",", O693)+1)-1), "")</f>
        <v/>
      </c>
      <c r="S693" s="35" t="str" cm="1">
        <f t="array" ref="S693">_xlfn.TEXTJOIN(", ",TRUE,_xlfn._xlws.FILTER(Tabla29[[#All],[PARTE]],ISNUMBER(SEARCH(Tabla29[[#All],[PCLAVE3]],Tabla8[[#This Row],[DESCRIPCION DE TRABAJO]])),""))</f>
        <v/>
      </c>
      <c r="T693" s="34" t="str">
        <f>IF(AND(Tabla8[[#This Row],[PIEZA]]="",Tabla8[[#This Row],[PARTE]]=""),"VACIO","OK")</f>
        <v>VACIO</v>
      </c>
      <c r="U693" s="303" t="str">
        <f>+CONCATENATE(WEEKNUM(Tabla8[[#This Row],[FECHA]]),"-",YEAR(Tabla8[[#This Row],[FECHA]]))</f>
        <v>13-2026</v>
      </c>
    </row>
    <row r="694" spans="1:21" ht="15" customHeight="1">
      <c r="A694" s="22">
        <v>46105</v>
      </c>
      <c r="B694" s="16" t="s">
        <v>88</v>
      </c>
      <c r="C694" s="10" t="s">
        <v>36</v>
      </c>
      <c r="D694" s="381">
        <v>0.44791666666666669</v>
      </c>
      <c r="E694" s="381">
        <v>0.46875</v>
      </c>
      <c r="F694" s="380">
        <f>+MOD(Tabla8[[#This Row],[HR. FIN]]-Tabla8[[#This Row],[HR. INICIO]],1)</f>
        <v>2.0833333333333315E-2</v>
      </c>
      <c r="G694" s="16" t="s">
        <v>328</v>
      </c>
      <c r="H694" s="343" t="str">
        <f>IFERROR(VLOOKUP(G694,DATOS!$M$2:$N$219,2,FALSE),"")</f>
        <v>Area</v>
      </c>
      <c r="I694" s="115" t="s">
        <v>61</v>
      </c>
      <c r="J694" s="115" t="str">
        <f>+VLOOKUP($I694,Tabla7[#All],2,FALSE)</f>
        <v>PROGRAMADA</v>
      </c>
      <c r="K694" s="114" t="str">
        <f>IF(VLOOKUP(I694,Tabla7[#All],3,FALSE)=0,"",VLOOKUP(I694,Tabla7[#All],3,FALSE))</f>
        <v/>
      </c>
      <c r="L694" s="35" t="s">
        <v>648</v>
      </c>
      <c r="M694" s="35" t="s">
        <v>1424</v>
      </c>
      <c r="N694" s="35" t="str" cm="1">
        <f t="array" ref="N694">IFERROR(IF(Tabla8[[#This Row],[P/NP]]="NO PROGRAMADA","",_xlfn.TEXTJOIN(", ",TRUE,_xlfn._xlws.FILTER(Tabla4[[#All],[PIEZA]],ISNUMBER(SEARCH(Tabla4[[#All],[PCLAVE]],Tabla8[[#This Row],[DESCRIPCION DE TRABAJO]])),""))),"")</f>
        <v/>
      </c>
      <c r="O694" s="35" t="str" cm="1">
        <f t="array" ref="O694">_xlfn.TEXTJOIN(", ",TRUE,_xlfn._xlws.FILTER(Tabla28[[#All],[PARTE]],ISNUMBER(SEARCH(Tabla28[[#All],[PCLAVE2]],Tabla8[[#This Row],[DESCRIPCION DE TRABAJO]])),""))</f>
        <v/>
      </c>
      <c r="P694" s="303" t="str">
        <f>IFERROR(LEFT(O694, FIND(",", O694)-1), O694)</f>
        <v/>
      </c>
      <c r="Q694" s="303" t="str">
        <f>IFERROR(IF(ISERROR(FIND(",", O694, FIND(",", O694)+1)), RIGHT(O694, LEN(O694)-FIND(",", O694)-1), MID(O694, FIND(",", O694)+2, FIND(",", O694, FIND(",", O694)+1)-FIND(",", O694)-2)), "")</f>
        <v/>
      </c>
      <c r="R694" s="303" t="str">
        <f>IFERROR(RIGHT(O694, LEN(O694)-FIND(",", O694, FIND(",", O694)+1)-1), "")</f>
        <v/>
      </c>
      <c r="S694" s="35" t="str" cm="1">
        <f t="array" ref="S694">_xlfn.TEXTJOIN(", ",TRUE,_xlfn._xlws.FILTER(Tabla29[[#All],[PARTE]],ISNUMBER(SEARCH(Tabla29[[#All],[PCLAVE3]],Tabla8[[#This Row],[DESCRIPCION DE TRABAJO]])),""))</f>
        <v/>
      </c>
      <c r="T694" s="34" t="str">
        <f>IF(AND(Tabla8[[#This Row],[PIEZA]]="",Tabla8[[#This Row],[PARTE]]=""),"VACIO","OK")</f>
        <v>VACIO</v>
      </c>
      <c r="U694" s="303" t="str">
        <f>+CONCATENATE(WEEKNUM(Tabla8[[#This Row],[FECHA]]),"-",YEAR(Tabla8[[#This Row],[FECHA]]))</f>
        <v>13-2026</v>
      </c>
    </row>
    <row r="695" spans="1:21" ht="15" customHeight="1">
      <c r="A695" s="22">
        <v>46105</v>
      </c>
      <c r="B695" s="16" t="s">
        <v>191</v>
      </c>
      <c r="C695" s="10" t="s">
        <v>39</v>
      </c>
      <c r="D695" s="381">
        <v>3.4027777777777775E-2</v>
      </c>
      <c r="E695" s="381">
        <v>5.2083333333333336E-2</v>
      </c>
      <c r="F695" s="380">
        <f>+MOD(Tabla8[[#This Row],[HR. FIN]]-Tabla8[[#This Row],[HR. INICIO]],1)</f>
        <v>1.8055555555555561E-2</v>
      </c>
      <c r="G695" s="16" t="s">
        <v>24</v>
      </c>
      <c r="H695" s="343" t="str">
        <f>IFERROR(VLOOKUP(G695,DATOS!$M$2:$N$219,2,FALSE),"")</f>
        <v>Maquinaria</v>
      </c>
      <c r="I695" s="115" t="s">
        <v>57</v>
      </c>
      <c r="J695" s="115" t="str">
        <f>+VLOOKUP($I695,Tabla7[#All],2,FALSE)</f>
        <v>NO PROGRAMADA</v>
      </c>
      <c r="K695" s="114" t="str">
        <f>IF(VLOOKUP(I695,Tabla7[#All],3,FALSE)=0,"",VLOOKUP(I695,Tabla7[#All],3,FALSE))</f>
        <v>MECÁNICA</v>
      </c>
      <c r="L695" s="35" t="s">
        <v>475</v>
      </c>
      <c r="M695" s="35" t="s">
        <v>1425</v>
      </c>
      <c r="N695" s="35" t="str" cm="1">
        <f t="array" ref="N695">IFERROR(IF(Tabla8[[#This Row],[P/NP]]="NO PROGRAMADA","",_xlfn.TEXTJOIN(", ",TRUE,_xlfn._xlws.FILTER(Tabla4[[#All],[PIEZA]],ISNUMBER(SEARCH(Tabla4[[#All],[PCLAVE]],Tabla8[[#This Row],[DESCRIPCION DE TRABAJO]])),""))),"")</f>
        <v/>
      </c>
      <c r="O695" s="35" t="str" cm="1">
        <f t="array" ref="O695">_xlfn.TEXTJOIN(", ",TRUE,_xlfn._xlws.FILTER(Tabla28[[#All],[PARTE]],ISNUMBER(SEARCH(Tabla28[[#All],[PCLAVE2]],Tabla8[[#This Row],[DESCRIPCION DE TRABAJO]])),""))</f>
        <v/>
      </c>
      <c r="P695" s="303" t="str">
        <f>IFERROR(LEFT(O695, FIND(",", O695)-1), O695)</f>
        <v/>
      </c>
      <c r="Q695" s="303" t="str">
        <f>IFERROR(IF(ISERROR(FIND(",", O695, FIND(",", O695)+1)), RIGHT(O695, LEN(O695)-FIND(",", O695)-1), MID(O695, FIND(",", O695)+2, FIND(",", O695, FIND(",", O695)+1)-FIND(",", O695)-2)), "")</f>
        <v/>
      </c>
      <c r="R695" s="303" t="str">
        <f>IFERROR(RIGHT(O695, LEN(O695)-FIND(",", O695, FIND(",", O695)+1)-1), "")</f>
        <v/>
      </c>
      <c r="S695" s="35" t="str" cm="1">
        <f t="array" ref="S695">_xlfn.TEXTJOIN(", ",TRUE,_xlfn._xlws.FILTER(Tabla29[[#All],[PARTE]],ISNUMBER(SEARCH(Tabla29[[#All],[PCLAVE3]],Tabla8[[#This Row],[DESCRIPCION DE TRABAJO]])),""))</f>
        <v/>
      </c>
      <c r="T695" s="34" t="str">
        <f>IF(AND(Tabla8[[#This Row],[PIEZA]]="",Tabla8[[#This Row],[PARTE]]=""),"VACIO","OK")</f>
        <v>VACIO</v>
      </c>
      <c r="U695" s="303" t="str">
        <f>+CONCATENATE(WEEKNUM(Tabla8[[#This Row],[FECHA]]),"-",YEAR(Tabla8[[#This Row],[FECHA]]))</f>
        <v>13-2026</v>
      </c>
    </row>
    <row r="696" spans="1:21" ht="15" customHeight="1">
      <c r="A696" s="22">
        <v>46105</v>
      </c>
      <c r="B696" s="16" t="s">
        <v>88</v>
      </c>
      <c r="C696" s="10" t="s">
        <v>36</v>
      </c>
      <c r="D696" s="381">
        <v>0.53125</v>
      </c>
      <c r="E696" s="381">
        <v>0.54861111111111116</v>
      </c>
      <c r="F696" s="380">
        <f>+MOD(Tabla8[[#This Row],[HR. FIN]]-Tabla8[[#This Row],[HR. INICIO]],1)</f>
        <v>1.736111111111116E-2</v>
      </c>
      <c r="G696" s="16" t="s">
        <v>1305</v>
      </c>
      <c r="H696" s="343" t="str">
        <f>IFERROR(VLOOKUP(G696,DATOS!$M$2:$N$219,2,FALSE),"")</f>
        <v>Area</v>
      </c>
      <c r="I696" s="115" t="s">
        <v>1426</v>
      </c>
      <c r="J696" s="115" t="str">
        <f>+VLOOKUP($I696,Tabla7[#All],2,FALSE)</f>
        <v>PROGRAMADA</v>
      </c>
      <c r="K696" s="114" t="str">
        <f>IF(VLOOKUP(I696,Tabla7[#All],3,FALSE)=0,"",VLOOKUP(I696,Tabla7[#All],3,FALSE))</f>
        <v/>
      </c>
      <c r="L696" s="35" t="s">
        <v>1427</v>
      </c>
      <c r="M696" s="35" t="s">
        <v>1428</v>
      </c>
      <c r="N696" s="35" t="str" cm="1">
        <f t="array" ref="N696">IFERROR(IF(Tabla8[[#This Row],[P/NP]]="NO PROGRAMADA","",_xlfn.TEXTJOIN(", ",TRUE,_xlfn._xlws.FILTER(Tabla4[[#All],[PIEZA]],ISNUMBER(SEARCH(Tabla4[[#All],[PCLAVE]],Tabla8[[#This Row],[DESCRIPCION DE TRABAJO]])),""))),"")</f>
        <v/>
      </c>
      <c r="O696" s="35" t="str" cm="1">
        <f t="array" ref="O696">_xlfn.TEXTJOIN(", ",TRUE,_xlfn._xlws.FILTER(Tabla28[[#All],[PARTE]],ISNUMBER(SEARCH(Tabla28[[#All],[PCLAVE2]],Tabla8[[#This Row],[DESCRIPCION DE TRABAJO]])),""))</f>
        <v/>
      </c>
      <c r="P696" s="303" t="str">
        <f>IFERROR(LEFT(O696, FIND(",", O696)-1), O696)</f>
        <v/>
      </c>
      <c r="Q696" s="303" t="str">
        <f>IFERROR(IF(ISERROR(FIND(",", O696, FIND(",", O696)+1)), RIGHT(O696, LEN(O696)-FIND(",", O696)-1), MID(O696, FIND(",", O696)+2, FIND(",", O696, FIND(",", O696)+1)-FIND(",", O696)-2)), "")</f>
        <v/>
      </c>
      <c r="R696" s="303" t="str">
        <f>IFERROR(RIGHT(O696, LEN(O696)-FIND(",", O696, FIND(",", O696)+1)-1), "")</f>
        <v/>
      </c>
      <c r="S696" s="35" t="str" cm="1">
        <f t="array" ref="S696">_xlfn.TEXTJOIN(", ",TRUE,_xlfn._xlws.FILTER(Tabla29[[#All],[PARTE]],ISNUMBER(SEARCH(Tabla29[[#All],[PCLAVE3]],Tabla8[[#This Row],[DESCRIPCION DE TRABAJO]])),""))</f>
        <v/>
      </c>
      <c r="T696" s="34" t="str">
        <f>IF(AND(Tabla8[[#This Row],[PIEZA]]="",Tabla8[[#This Row],[PARTE]]=""),"VACIO","OK")</f>
        <v>VACIO</v>
      </c>
      <c r="U696" s="303" t="str">
        <f>+CONCATENATE(WEEKNUM(Tabla8[[#This Row],[FECHA]]),"-",YEAR(Tabla8[[#This Row],[FECHA]]))</f>
        <v>13-2026</v>
      </c>
    </row>
    <row r="697" spans="1:21" ht="15" customHeight="1">
      <c r="A697" s="22">
        <v>46105</v>
      </c>
      <c r="B697" s="16" t="s">
        <v>191</v>
      </c>
      <c r="C697" s="10" t="s">
        <v>39</v>
      </c>
      <c r="D697" s="381">
        <v>9.3055555555555558E-2</v>
      </c>
      <c r="E697" s="381">
        <v>0.1076388888888889</v>
      </c>
      <c r="F697" s="380">
        <f>+MOD(Tabla8[[#This Row],[HR. FIN]]-Tabla8[[#This Row],[HR. INICIO]],1)</f>
        <v>1.4583333333333337E-2</v>
      </c>
      <c r="G697" s="16" t="s">
        <v>256</v>
      </c>
      <c r="H697" s="343" t="str">
        <f>IFERROR(VLOOKUP(G697,DATOS!$M$2:$N$219,2,FALSE),"")</f>
        <v>Maquinaria</v>
      </c>
      <c r="I697" s="115" t="s">
        <v>54</v>
      </c>
      <c r="J697" s="115" t="str">
        <f>+VLOOKUP($I697,Tabla7[#All],2,FALSE)</f>
        <v>PROGRAMADA</v>
      </c>
      <c r="K697" s="114" t="str">
        <f>IF(VLOOKUP(I697,Tabla7[#All],3,FALSE)=0,"",VLOOKUP(I697,Tabla7[#All],3,FALSE))</f>
        <v/>
      </c>
      <c r="L697" s="35" t="s">
        <v>1151</v>
      </c>
      <c r="M697" s="35" t="s">
        <v>121</v>
      </c>
      <c r="N697" s="35" t="str" cm="1">
        <f t="array" ref="N697">IFERROR(IF(Tabla8[[#This Row],[P/NP]]="NO PROGRAMADA","",_xlfn.TEXTJOIN(", ",TRUE,_xlfn._xlws.FILTER(Tabla4[[#All],[PIEZA]],ISNUMBER(SEARCH(Tabla4[[#All],[PCLAVE]],Tabla8[[#This Row],[DESCRIPCION DE TRABAJO]])),""))),"")</f>
        <v/>
      </c>
      <c r="O697" s="35" t="str" cm="1">
        <f t="array" ref="O697">_xlfn.TEXTJOIN(", ",TRUE,_xlfn._xlws.FILTER(Tabla28[[#All],[PARTE]],ISNUMBER(SEARCH(Tabla28[[#All],[PCLAVE2]],Tabla8[[#This Row],[DESCRIPCION DE TRABAJO]])),""))</f>
        <v/>
      </c>
      <c r="P697" s="303" t="str">
        <f>IFERROR(LEFT(O697, FIND(",", O697)-1), O697)</f>
        <v/>
      </c>
      <c r="Q697" s="303" t="str">
        <f>IFERROR(IF(ISERROR(FIND(",", O697, FIND(",", O697)+1)), RIGHT(O697, LEN(O697)-FIND(",", O697)-1), MID(O697, FIND(",", O697)+2, FIND(",", O697, FIND(",", O697)+1)-FIND(",", O697)-2)), "")</f>
        <v/>
      </c>
      <c r="R697" s="303" t="str">
        <f>IFERROR(RIGHT(O697, LEN(O697)-FIND(",", O697, FIND(",", O697)+1)-1), "")</f>
        <v/>
      </c>
      <c r="S697" s="35" t="str" cm="1">
        <f t="array" ref="S697">_xlfn.TEXTJOIN(", ",TRUE,_xlfn._xlws.FILTER(Tabla29[[#All],[PARTE]],ISNUMBER(SEARCH(Tabla29[[#All],[PCLAVE3]],Tabla8[[#This Row],[DESCRIPCION DE TRABAJO]])),""))</f>
        <v/>
      </c>
      <c r="T697" s="34" t="str">
        <f>IF(AND(Tabla8[[#This Row],[PIEZA]]="",Tabla8[[#This Row],[PARTE]]=""),"VACIO","OK")</f>
        <v>VACIO</v>
      </c>
      <c r="U697" s="303" t="str">
        <f>+CONCATENATE(WEEKNUM(Tabla8[[#This Row],[FECHA]]),"-",YEAR(Tabla8[[#This Row],[FECHA]]))</f>
        <v>13-2026</v>
      </c>
    </row>
    <row r="698" spans="1:21" ht="15" customHeight="1">
      <c r="A698" s="22">
        <v>46105</v>
      </c>
      <c r="B698" s="16" t="s">
        <v>191</v>
      </c>
      <c r="C698" s="10" t="s">
        <v>39</v>
      </c>
      <c r="D698" s="381">
        <v>0.96944444444444444</v>
      </c>
      <c r="E698" s="381">
        <v>0.98402777777777772</v>
      </c>
      <c r="F698" s="380">
        <f>+MOD(Tabla8[[#This Row],[HR. FIN]]-Tabla8[[#This Row],[HR. INICIO]],1)</f>
        <v>1.4583333333333282E-2</v>
      </c>
      <c r="G698" s="16" t="s">
        <v>312</v>
      </c>
      <c r="H698" s="343" t="str">
        <f>IFERROR(VLOOKUP(G698,DATOS!$M$2:$N$219,2,FALSE),"")</f>
        <v>Maquinaria</v>
      </c>
      <c r="I698" s="115" t="s">
        <v>57</v>
      </c>
      <c r="J698" s="115" t="str">
        <f>+VLOOKUP($I698,Tabla7[#All],2,FALSE)</f>
        <v>NO PROGRAMADA</v>
      </c>
      <c r="K698" s="114" t="str">
        <f>IF(VLOOKUP(I698,Tabla7[#All],3,FALSE)=0,"",VLOOKUP(I698,Tabla7[#All],3,FALSE))</f>
        <v>MECÁNICA</v>
      </c>
      <c r="L698" s="35" t="s">
        <v>1429</v>
      </c>
      <c r="M698" s="35" t="s">
        <v>1430</v>
      </c>
      <c r="N698" s="35" t="str" cm="1">
        <f t="array" ref="N698">IFERROR(IF(Tabla8[[#This Row],[P/NP]]="NO PROGRAMADA","",_xlfn.TEXTJOIN(", ",TRUE,_xlfn._xlws.FILTER(Tabla4[[#All],[PIEZA]],ISNUMBER(SEARCH(Tabla4[[#All],[PCLAVE]],Tabla8[[#This Row],[DESCRIPCION DE TRABAJO]])),""))),"")</f>
        <v/>
      </c>
      <c r="O698" s="35" t="str" cm="1">
        <f t="array" ref="O698">_xlfn.TEXTJOIN(", ",TRUE,_xlfn._xlws.FILTER(Tabla28[[#All],[PARTE]],ISNUMBER(SEARCH(Tabla28[[#All],[PCLAVE2]],Tabla8[[#This Row],[DESCRIPCION DE TRABAJO]])),""))</f>
        <v/>
      </c>
      <c r="P698" s="303" t="str">
        <f>IFERROR(LEFT(O698, FIND(",", O698)-1), O698)</f>
        <v/>
      </c>
      <c r="Q698" s="303" t="str">
        <f>IFERROR(IF(ISERROR(FIND(",", O698, FIND(",", O698)+1)), RIGHT(O698, LEN(O698)-FIND(",", O698)-1), MID(O698, FIND(",", O698)+2, FIND(",", O698, FIND(",", O698)+1)-FIND(",", O698)-2)), "")</f>
        <v/>
      </c>
      <c r="R698" s="303" t="str">
        <f>IFERROR(RIGHT(O698, LEN(O698)-FIND(",", O698, FIND(",", O698)+1)-1), "")</f>
        <v/>
      </c>
      <c r="S698" s="35" t="str" cm="1">
        <f t="array" ref="S698">_xlfn.TEXTJOIN(", ",TRUE,_xlfn._xlws.FILTER(Tabla29[[#All],[PARTE]],ISNUMBER(SEARCH(Tabla29[[#All],[PCLAVE3]],Tabla8[[#This Row],[DESCRIPCION DE TRABAJO]])),""))</f>
        <v>Ruido</v>
      </c>
      <c r="T698" s="34" t="str">
        <f>IF(AND(Tabla8[[#This Row],[PIEZA]]="",Tabla8[[#This Row],[PARTE]]=""),"VACIO","OK")</f>
        <v>VACIO</v>
      </c>
      <c r="U698" s="303" t="str">
        <f>+CONCATENATE(WEEKNUM(Tabla8[[#This Row],[FECHA]]),"-",YEAR(Tabla8[[#This Row],[FECHA]]))</f>
        <v>13-2026</v>
      </c>
    </row>
    <row r="699" spans="1:21" ht="15" customHeight="1">
      <c r="A699" s="22">
        <v>46105</v>
      </c>
      <c r="B699" s="16" t="s">
        <v>191</v>
      </c>
      <c r="C699" s="10" t="s">
        <v>39</v>
      </c>
      <c r="D699" s="381">
        <v>0.88611111111111107</v>
      </c>
      <c r="E699" s="381">
        <v>0.9</v>
      </c>
      <c r="F699" s="380">
        <f>+MOD(Tabla8[[#This Row],[HR. FIN]]-Tabla8[[#This Row],[HR. INICIO]],1)</f>
        <v>1.3888888888888951E-2</v>
      </c>
      <c r="G699" s="16" t="s">
        <v>215</v>
      </c>
      <c r="H699" s="343" t="str">
        <f>IFERROR(VLOOKUP(G699,DATOS!$M$2:$N$219,2,FALSE),"")</f>
        <v>Equipos auxiliares</v>
      </c>
      <c r="I699" s="115" t="s">
        <v>54</v>
      </c>
      <c r="J699" s="115" t="str">
        <f>+VLOOKUP($I699,Tabla7[#All],2,FALSE)</f>
        <v>PROGRAMADA</v>
      </c>
      <c r="K699" s="114" t="str">
        <f>IF(VLOOKUP(I699,Tabla7[#All],3,FALSE)=0,"",VLOOKUP(I699,Tabla7[#All],3,FALSE))</f>
        <v/>
      </c>
      <c r="L699" s="35" t="s">
        <v>248</v>
      </c>
      <c r="M699" s="35" t="s">
        <v>121</v>
      </c>
      <c r="N699" s="35" t="str" cm="1">
        <f t="array" ref="N699">IFERROR(IF(Tabla8[[#This Row],[P/NP]]="NO PROGRAMADA","",_xlfn.TEXTJOIN(", ",TRUE,_xlfn._xlws.FILTER(Tabla4[[#All],[PIEZA]],ISNUMBER(SEARCH(Tabla4[[#All],[PCLAVE]],Tabla8[[#This Row],[DESCRIPCION DE TRABAJO]])),""))),"")</f>
        <v/>
      </c>
      <c r="O699" s="35" t="str" cm="1">
        <f t="array" ref="O699">_xlfn.TEXTJOIN(", ",TRUE,_xlfn._xlws.FILTER(Tabla28[[#All],[PARTE]],ISNUMBER(SEARCH(Tabla28[[#All],[PCLAVE2]],Tabla8[[#This Row],[DESCRIPCION DE TRABAJO]])),""))</f>
        <v/>
      </c>
      <c r="P699" s="303" t="str">
        <f>IFERROR(LEFT(O699, FIND(",", O699)-1), O699)</f>
        <v/>
      </c>
      <c r="Q699" s="303" t="str">
        <f>IFERROR(IF(ISERROR(FIND(",", O699, FIND(",", O699)+1)), RIGHT(O699, LEN(O699)-FIND(",", O699)-1), MID(O699, FIND(",", O699)+2, FIND(",", O699, FIND(",", O699)+1)-FIND(",", O699)-2)), "")</f>
        <v/>
      </c>
      <c r="R699" s="303" t="str">
        <f>IFERROR(RIGHT(O699, LEN(O699)-FIND(",", O699, FIND(",", O699)+1)-1), "")</f>
        <v/>
      </c>
      <c r="S699" s="35" t="str" cm="1">
        <f t="array" ref="S699">_xlfn.TEXTJOIN(", ",TRUE,_xlfn._xlws.FILTER(Tabla29[[#All],[PARTE]],ISNUMBER(SEARCH(Tabla29[[#All],[PCLAVE3]],Tabla8[[#This Row],[DESCRIPCION DE TRABAJO]])),""))</f>
        <v/>
      </c>
      <c r="T699" s="34" t="str">
        <f>IF(AND(Tabla8[[#This Row],[PIEZA]]="",Tabla8[[#This Row],[PARTE]]=""),"VACIO","OK")</f>
        <v>VACIO</v>
      </c>
      <c r="U699" s="303" t="str">
        <f>+CONCATENATE(WEEKNUM(Tabla8[[#This Row],[FECHA]]),"-",YEAR(Tabla8[[#This Row],[FECHA]]))</f>
        <v>13-2026</v>
      </c>
    </row>
    <row r="700" spans="1:21" ht="15" customHeight="1">
      <c r="A700" s="22">
        <v>46105</v>
      </c>
      <c r="B700" s="16" t="s">
        <v>191</v>
      </c>
      <c r="C700" s="10" t="s">
        <v>39</v>
      </c>
      <c r="D700" s="381">
        <v>1.5277777777777777E-2</v>
      </c>
      <c r="E700" s="381">
        <v>2.6388888888888889E-2</v>
      </c>
      <c r="F700" s="380">
        <f>+MOD(Tabla8[[#This Row],[HR. FIN]]-Tabla8[[#This Row],[HR. INICIO]],1)</f>
        <v>1.1111111111111112E-2</v>
      </c>
      <c r="G700" s="16" t="s">
        <v>153</v>
      </c>
      <c r="H700" s="343" t="str">
        <f>IFERROR(VLOOKUP(G700,DATOS!$M$2:$N$219,2,FALSE),"")</f>
        <v>Maquinaria</v>
      </c>
      <c r="I700" s="115" t="s">
        <v>54</v>
      </c>
      <c r="J700" s="115" t="str">
        <f>+VLOOKUP($I700,Tabla7[#All],2,FALSE)</f>
        <v>PROGRAMADA</v>
      </c>
      <c r="K700" s="114" t="str">
        <f>IF(VLOOKUP(I700,Tabla7[#All],3,FALSE)=0,"",VLOOKUP(I700,Tabla7[#All],3,FALSE))</f>
        <v/>
      </c>
      <c r="L700" s="35" t="s">
        <v>1431</v>
      </c>
      <c r="M700" s="35" t="s">
        <v>121</v>
      </c>
      <c r="N700" s="35" t="str" cm="1">
        <f t="array" ref="N700">IFERROR(IF(Tabla8[[#This Row],[P/NP]]="NO PROGRAMADA","",_xlfn.TEXTJOIN(", ",TRUE,_xlfn._xlws.FILTER(Tabla4[[#All],[PIEZA]],ISNUMBER(SEARCH(Tabla4[[#All],[PCLAVE]],Tabla8[[#This Row],[DESCRIPCION DE TRABAJO]])),""))),"")</f>
        <v>Sensor</v>
      </c>
      <c r="O700" s="35" t="str" cm="1">
        <f t="array" ref="O700">_xlfn.TEXTJOIN(", ",TRUE,_xlfn._xlws.FILTER(Tabla28[[#All],[PARTE]],ISNUMBER(SEARCH(Tabla28[[#All],[PCLAVE2]],Tabla8[[#This Row],[DESCRIPCION DE TRABAJO]])),""))</f>
        <v/>
      </c>
      <c r="P700" s="303" t="str">
        <f>IFERROR(LEFT(O700, FIND(",", O700)-1), O700)</f>
        <v/>
      </c>
      <c r="Q700" s="303" t="str">
        <f>IFERROR(IF(ISERROR(FIND(",", O700, FIND(",", O700)+1)), RIGHT(O700, LEN(O700)-FIND(",", O700)-1), MID(O700, FIND(",", O700)+2, FIND(",", O700, FIND(",", O700)+1)-FIND(",", O700)-2)), "")</f>
        <v/>
      </c>
      <c r="R700" s="303" t="str">
        <f>IFERROR(RIGHT(O700, LEN(O700)-FIND(",", O700, FIND(",", O700)+1)-1), "")</f>
        <v/>
      </c>
      <c r="S700" s="35" t="str" cm="1">
        <f t="array" ref="S700">_xlfn.TEXTJOIN(", ",TRUE,_xlfn._xlws.FILTER(Tabla29[[#All],[PARTE]],ISNUMBER(SEARCH(Tabla29[[#All],[PCLAVE3]],Tabla8[[#This Row],[DESCRIPCION DE TRABAJO]])),""))</f>
        <v>Calibracion</v>
      </c>
      <c r="T700" s="34" t="str">
        <f>IF(AND(Tabla8[[#This Row],[PIEZA]]="",Tabla8[[#This Row],[PARTE]]=""),"VACIO","OK")</f>
        <v>OK</v>
      </c>
      <c r="U700" s="303" t="str">
        <f>+CONCATENATE(WEEKNUM(Tabla8[[#This Row],[FECHA]]),"-",YEAR(Tabla8[[#This Row],[FECHA]]))</f>
        <v>13-2026</v>
      </c>
    </row>
    <row r="701" spans="1:21" ht="15" customHeight="1">
      <c r="A701" s="22">
        <v>46105</v>
      </c>
      <c r="B701" s="16" t="s">
        <v>88</v>
      </c>
      <c r="C701" s="10" t="s">
        <v>36</v>
      </c>
      <c r="D701" s="381">
        <v>0.57291666666666663</v>
      </c>
      <c r="E701" s="381">
        <v>0.58333333333333337</v>
      </c>
      <c r="F701" s="380">
        <f>+MOD(Tabla8[[#This Row],[HR. FIN]]-Tabla8[[#This Row],[HR. INICIO]],1)</f>
        <v>1.0416666666666741E-2</v>
      </c>
      <c r="G701" s="16" t="s">
        <v>103</v>
      </c>
      <c r="H701" s="343" t="str">
        <f>IFERROR(VLOOKUP(G701,DATOS!$M$2:$N$219,2,FALSE),"")</f>
        <v>Area</v>
      </c>
      <c r="I701" s="115" t="s">
        <v>25</v>
      </c>
      <c r="J701" s="115" t="str">
        <f>+VLOOKUP($I701,Tabla7[#All],2,FALSE)</f>
        <v>PROGRAMADA</v>
      </c>
      <c r="K701" s="114" t="str">
        <f>IF(VLOOKUP(I701,Tabla7[#All],3,FALSE)=0,"",VLOOKUP(I701,Tabla7[#All],3,FALSE))</f>
        <v/>
      </c>
      <c r="L701" s="35" t="s">
        <v>1432</v>
      </c>
      <c r="M701" s="35" t="s">
        <v>1433</v>
      </c>
      <c r="N701" s="35" t="str" cm="1">
        <f t="array" ref="N701">IFERROR(IF(Tabla8[[#This Row],[P/NP]]="NO PROGRAMADA","",_xlfn.TEXTJOIN(", ",TRUE,_xlfn._xlws.FILTER(Tabla4[[#All],[PIEZA]],ISNUMBER(SEARCH(Tabla4[[#All],[PCLAVE]],Tabla8[[#This Row],[DESCRIPCION DE TRABAJO]])),""))),"")</f>
        <v/>
      </c>
      <c r="O701" s="35" t="str" cm="1">
        <f t="array" ref="O701">_xlfn.TEXTJOIN(", ",TRUE,_xlfn._xlws.FILTER(Tabla28[[#All],[PARTE]],ISNUMBER(SEARCH(Tabla28[[#All],[PCLAVE2]],Tabla8[[#This Row],[DESCRIPCION DE TRABAJO]])),""))</f>
        <v/>
      </c>
      <c r="P701" s="303" t="str">
        <f>IFERROR(LEFT(O701, FIND(",", O701)-1), O701)</f>
        <v/>
      </c>
      <c r="Q701" s="303" t="str">
        <f>IFERROR(IF(ISERROR(FIND(",", O701, FIND(",", O701)+1)), RIGHT(O701, LEN(O701)-FIND(",", O701)-1), MID(O701, FIND(",", O701)+2, FIND(",", O701, FIND(",", O701)+1)-FIND(",", O701)-2)), "")</f>
        <v/>
      </c>
      <c r="R701" s="303" t="str">
        <f>IFERROR(RIGHT(O701, LEN(O701)-FIND(",", O701, FIND(",", O701)+1)-1), "")</f>
        <v/>
      </c>
      <c r="S701" s="35" t="str" cm="1">
        <f t="array" ref="S701">_xlfn.TEXTJOIN(", ",TRUE,_xlfn._xlws.FILTER(Tabla29[[#All],[PARTE]],ISNUMBER(SEARCH(Tabla29[[#All],[PCLAVE3]],Tabla8[[#This Row],[DESCRIPCION DE TRABAJO]])),""))</f>
        <v/>
      </c>
      <c r="T701" s="34" t="str">
        <f>IF(AND(Tabla8[[#This Row],[PIEZA]]="",Tabla8[[#This Row],[PARTE]]=""),"VACIO","OK")</f>
        <v>VACIO</v>
      </c>
      <c r="U701" s="303" t="str">
        <f>+CONCATENATE(WEEKNUM(Tabla8[[#This Row],[FECHA]]),"-",YEAR(Tabla8[[#This Row],[FECHA]]))</f>
        <v>13-2026</v>
      </c>
    </row>
    <row r="702" spans="1:21" ht="15" customHeight="1">
      <c r="A702" s="22">
        <v>46105</v>
      </c>
      <c r="B702" s="16" t="s">
        <v>191</v>
      </c>
      <c r="C702" s="10" t="s">
        <v>39</v>
      </c>
      <c r="D702" s="381">
        <v>0.91805555555555551</v>
      </c>
      <c r="E702" s="381">
        <v>0.92847222222222225</v>
      </c>
      <c r="F702" s="380">
        <f>+MOD(Tabla8[[#This Row],[HR. FIN]]-Tabla8[[#This Row],[HR. INICIO]],1)</f>
        <v>1.0416666666666741E-2</v>
      </c>
      <c r="G702" s="16" t="s">
        <v>996</v>
      </c>
      <c r="H702" s="343" t="str">
        <f>IFERROR(VLOOKUP(G702,DATOS!$M$2:$N$219,2,FALSE),"")</f>
        <v>Area</v>
      </c>
      <c r="I702" s="115" t="s">
        <v>25</v>
      </c>
      <c r="J702" s="115" t="str">
        <f>+VLOOKUP($I702,Tabla7[#All],2,FALSE)</f>
        <v>PROGRAMADA</v>
      </c>
      <c r="K702" s="114" t="str">
        <f>IF(VLOOKUP(I702,Tabla7[#All],3,FALSE)=0,"",VLOOKUP(I702,Tabla7[#All],3,FALSE))</f>
        <v/>
      </c>
      <c r="L702" s="35" t="s">
        <v>1434</v>
      </c>
      <c r="M702" s="35" t="s">
        <v>1435</v>
      </c>
      <c r="N702" s="35" t="str" cm="1">
        <f t="array" ref="N702">IFERROR(IF(Tabla8[[#This Row],[P/NP]]="NO PROGRAMADA","",_xlfn.TEXTJOIN(", ",TRUE,_xlfn._xlws.FILTER(Tabla4[[#All],[PIEZA]],ISNUMBER(SEARCH(Tabla4[[#All],[PCLAVE]],Tabla8[[#This Row],[DESCRIPCION DE TRABAJO]])),""))),"")</f>
        <v/>
      </c>
      <c r="O702" s="35" t="str" cm="1">
        <f t="array" ref="O702">_xlfn.TEXTJOIN(", ",TRUE,_xlfn._xlws.FILTER(Tabla28[[#All],[PARTE]],ISNUMBER(SEARCH(Tabla28[[#All],[PCLAVE2]],Tabla8[[#This Row],[DESCRIPCION DE TRABAJO]])),""))</f>
        <v/>
      </c>
      <c r="P702" s="303" t="str">
        <f>IFERROR(LEFT(O702, FIND(",", O702)-1), O702)</f>
        <v/>
      </c>
      <c r="Q702" s="303" t="str">
        <f>IFERROR(IF(ISERROR(FIND(",", O702, FIND(",", O702)+1)), RIGHT(O702, LEN(O702)-FIND(",", O702)-1), MID(O702, FIND(",", O702)+2, FIND(",", O702, FIND(",", O702)+1)-FIND(",", O702)-2)), "")</f>
        <v/>
      </c>
      <c r="R702" s="303" t="str">
        <f>IFERROR(RIGHT(O702, LEN(O702)-FIND(",", O702, FIND(",", O702)+1)-1), "")</f>
        <v/>
      </c>
      <c r="S702" s="35" t="str" cm="1">
        <f t="array" ref="S702">_xlfn.TEXTJOIN(", ",TRUE,_xlfn._xlws.FILTER(Tabla29[[#All],[PARTE]],ISNUMBER(SEARCH(Tabla29[[#All],[PCLAVE3]],Tabla8[[#This Row],[DESCRIPCION DE TRABAJO]])),""))</f>
        <v/>
      </c>
      <c r="T702" s="34" t="str">
        <f>IF(AND(Tabla8[[#This Row],[PIEZA]]="",Tabla8[[#This Row],[PARTE]]=""),"VACIO","OK")</f>
        <v>VACIO</v>
      </c>
      <c r="U702" s="303" t="str">
        <f>+CONCATENATE(WEEKNUM(Tabla8[[#This Row],[FECHA]]),"-",YEAR(Tabla8[[#This Row],[FECHA]]))</f>
        <v>13-2026</v>
      </c>
    </row>
    <row r="703" spans="1:21" ht="15" customHeight="1">
      <c r="A703" s="22">
        <v>46105</v>
      </c>
      <c r="B703" s="16" t="s">
        <v>191</v>
      </c>
      <c r="C703" s="10" t="s">
        <v>39</v>
      </c>
      <c r="D703" s="381">
        <v>2.0833333333333333E-3</v>
      </c>
      <c r="E703" s="381">
        <v>1.2500000000000001E-2</v>
      </c>
      <c r="F703" s="380">
        <f>+MOD(Tabla8[[#This Row],[HR. FIN]]-Tabla8[[#This Row],[HR. INICIO]],1)</f>
        <v>1.0416666666666668E-2</v>
      </c>
      <c r="G703" s="16" t="s">
        <v>1436</v>
      </c>
      <c r="H703" s="343" t="str">
        <f>IFERROR(VLOOKUP(G703,DATOS!$M$2:$N$219,2,FALSE),"")</f>
        <v/>
      </c>
      <c r="I703" s="115" t="s">
        <v>32</v>
      </c>
      <c r="J703" s="115" t="s">
        <v>92</v>
      </c>
      <c r="K703" s="114" t="s">
        <v>148</v>
      </c>
      <c r="L703" s="35" t="s">
        <v>1437</v>
      </c>
      <c r="M703" s="35" t="s">
        <v>1438</v>
      </c>
      <c r="N703" s="35" t="str" cm="1">
        <f t="array" ref="N703">IFERROR(IF(Tabla8[[#This Row],[P/NP]]="NO PROGRAMADA","",_xlfn.TEXTJOIN(", ",TRUE,_xlfn._xlws.FILTER(Tabla4[[#All],[PIEZA]],ISNUMBER(SEARCH(Tabla4[[#All],[PCLAVE]],Tabla8[[#This Row],[DESCRIPCION DE TRABAJO]])),""))),"")</f>
        <v/>
      </c>
      <c r="O703" s="35" t="str" cm="1">
        <f t="array" ref="O703">_xlfn.TEXTJOIN(", ",TRUE,_xlfn._xlws.FILTER(Tabla28[[#All],[PARTE]],ISNUMBER(SEARCH(Tabla28[[#All],[PCLAVE2]],Tabla8[[#This Row],[DESCRIPCION DE TRABAJO]])),""))</f>
        <v/>
      </c>
      <c r="P703" s="303" t="str">
        <f>IFERROR(LEFT(O703, FIND(",", O703)-1), O703)</f>
        <v/>
      </c>
      <c r="Q703" s="303" t="str">
        <f>IFERROR(IF(ISERROR(FIND(",", O703, FIND(",", O703)+1)), RIGHT(O703, LEN(O703)-FIND(",", O703)-1), MID(O703, FIND(",", O703)+2, FIND(",", O703, FIND(",", O703)+1)-FIND(",", O703)-2)), "")</f>
        <v/>
      </c>
      <c r="R703" s="303" t="str">
        <f>IFERROR(RIGHT(O703, LEN(O703)-FIND(",", O703, FIND(",", O703)+1)-1), "")</f>
        <v/>
      </c>
      <c r="S703" s="35" t="str" cm="1">
        <f t="array" ref="S703">_xlfn.TEXTJOIN(", ",TRUE,_xlfn._xlws.FILTER(Tabla29[[#All],[PARTE]],ISNUMBER(SEARCH(Tabla29[[#All],[PCLAVE3]],Tabla8[[#This Row],[DESCRIPCION DE TRABAJO]])),""))</f>
        <v/>
      </c>
      <c r="T703" s="34" t="str">
        <f>IF(AND(Tabla8[[#This Row],[PIEZA]]="",Tabla8[[#This Row],[PARTE]]=""),"VACIO","OK")</f>
        <v>VACIO</v>
      </c>
      <c r="U703" s="303" t="str">
        <f>+CONCATENATE(WEEKNUM(Tabla8[[#This Row],[FECHA]]),"-",YEAR(Tabla8[[#This Row],[FECHA]]))</f>
        <v>13-2026</v>
      </c>
    </row>
    <row r="704" spans="1:21" ht="15" customHeight="1">
      <c r="A704" s="22">
        <v>46105</v>
      </c>
      <c r="B704" s="16" t="s">
        <v>88</v>
      </c>
      <c r="C704" s="10" t="s">
        <v>36</v>
      </c>
      <c r="D704" s="381">
        <v>0.29166666666666669</v>
      </c>
      <c r="E704" s="381">
        <v>0.30208333333333331</v>
      </c>
      <c r="F704" s="380">
        <f>+MOD(Tabla8[[#This Row],[HR. FIN]]-Tabla8[[#This Row],[HR. INICIO]],1)</f>
        <v>1.041666666666663E-2</v>
      </c>
      <c r="G704" s="16" t="s">
        <v>119</v>
      </c>
      <c r="H704" s="343" t="str">
        <f>IFERROR(VLOOKUP(G704,DATOS!$M$2:$N$219,2,FALSE),"")</f>
        <v>Maquinaria</v>
      </c>
      <c r="I704" s="115" t="s">
        <v>32</v>
      </c>
      <c r="J704" s="115" t="str">
        <f>+VLOOKUP($I704,Tabla7[#All],2,FALSE)</f>
        <v>PROGRAMADA</v>
      </c>
      <c r="K704" s="114" t="str">
        <f>IF(VLOOKUP(I704,Tabla7[#All],3,FALSE)=0,"",VLOOKUP(I704,Tabla7[#All],3,FALSE))</f>
        <v/>
      </c>
      <c r="L704" s="35" t="s">
        <v>1193</v>
      </c>
      <c r="M704" s="35" t="s">
        <v>1260</v>
      </c>
      <c r="N704" s="35" t="str" cm="1">
        <f t="array" ref="N704">IFERROR(IF(Tabla8[[#This Row],[P/NP]]="NO PROGRAMADA","",_xlfn.TEXTJOIN(", ",TRUE,_xlfn._xlws.FILTER(Tabla4[[#All],[PIEZA]],ISNUMBER(SEARCH(Tabla4[[#All],[PCLAVE]],Tabla8[[#This Row],[DESCRIPCION DE TRABAJO]])),""))),"")</f>
        <v>Husillo, Husillo</v>
      </c>
      <c r="O704" s="35" t="str" cm="1">
        <f t="array" ref="O704">_xlfn.TEXTJOIN(", ",TRUE,_xlfn._xlws.FILTER(Tabla28[[#All],[PARTE]],ISNUMBER(SEARCH(Tabla28[[#All],[PCLAVE2]],Tabla8[[#This Row],[DESCRIPCION DE TRABAJO]])),""))</f>
        <v/>
      </c>
      <c r="P704" s="303" t="str">
        <f>IFERROR(LEFT(O704, FIND(",", O704)-1), O704)</f>
        <v/>
      </c>
      <c r="Q704" s="303" t="str">
        <f>IFERROR(IF(ISERROR(FIND(",", O704, FIND(",", O704)+1)), RIGHT(O704, LEN(O704)-FIND(",", O704)-1), MID(O704, FIND(",", O704)+2, FIND(",", O704, FIND(",", O704)+1)-FIND(",", O704)-2)), "")</f>
        <v/>
      </c>
      <c r="R704" s="303" t="str">
        <f>IFERROR(RIGHT(O704, LEN(O704)-FIND(",", O704, FIND(",", O704)+1)-1), "")</f>
        <v/>
      </c>
      <c r="S704" s="35" t="str" cm="1">
        <f t="array" ref="S704">_xlfn.TEXTJOIN(", ",TRUE,_xlfn._xlws.FILTER(Tabla29[[#All],[PARTE]],ISNUMBER(SEARCH(Tabla29[[#All],[PCLAVE3]],Tabla8[[#This Row],[DESCRIPCION DE TRABAJO]])),""))</f>
        <v>Sustitucion</v>
      </c>
      <c r="T704" s="34" t="str">
        <f>IF(AND(Tabla8[[#This Row],[PIEZA]]="",Tabla8[[#This Row],[PARTE]]=""),"VACIO","OK")</f>
        <v>OK</v>
      </c>
      <c r="U704" s="303" t="str">
        <f>+CONCATENATE(WEEKNUM(Tabla8[[#This Row],[FECHA]]),"-",YEAR(Tabla8[[#This Row],[FECHA]]))</f>
        <v>13-2026</v>
      </c>
    </row>
    <row r="705" spans="1:21" ht="15" customHeight="1">
      <c r="A705" s="22">
        <v>46105</v>
      </c>
      <c r="B705" s="16" t="s">
        <v>191</v>
      </c>
      <c r="C705" s="10" t="s">
        <v>39</v>
      </c>
      <c r="D705" s="381">
        <v>0.98750000000000004</v>
      </c>
      <c r="E705" s="381">
        <v>0.99652777777777779</v>
      </c>
      <c r="F705" s="380">
        <f>+MOD(Tabla8[[#This Row],[HR. FIN]]-Tabla8[[#This Row],[HR. INICIO]],1)</f>
        <v>9.0277777777777457E-3</v>
      </c>
      <c r="G705" s="16" t="s">
        <v>169</v>
      </c>
      <c r="H705" s="343" t="str">
        <f>IFERROR(VLOOKUP(G705,DATOS!$M$2:$N$219,2,FALSE),"")</f>
        <v>Maquinaria</v>
      </c>
      <c r="I705" s="115" t="s">
        <v>32</v>
      </c>
      <c r="J705" s="115" t="str">
        <f>+VLOOKUP($I705,Tabla7[#All],2,FALSE)</f>
        <v>PROGRAMADA</v>
      </c>
      <c r="K705" s="114" t="str">
        <f>IF(VLOOKUP(I705,Tabla7[#All],3,FALSE)=0,"",VLOOKUP(I705,Tabla7[#All],3,FALSE))</f>
        <v/>
      </c>
      <c r="L705" s="35" t="s">
        <v>893</v>
      </c>
      <c r="M705" s="35" t="s">
        <v>121</v>
      </c>
      <c r="N705" s="35" t="str" cm="1">
        <f t="array" ref="N705">IFERROR(IF(Tabla8[[#This Row],[P/NP]]="NO PROGRAMADA","",_xlfn.TEXTJOIN(", ",TRUE,_xlfn._xlws.FILTER(Tabla4[[#All],[PIEZA]],ISNUMBER(SEARCH(Tabla4[[#All],[PCLAVE]],Tabla8[[#This Row],[DESCRIPCION DE TRABAJO]])),""))),"")</f>
        <v/>
      </c>
      <c r="O705" s="35" t="str" cm="1">
        <f t="array" ref="O705">_xlfn.TEXTJOIN(", ",TRUE,_xlfn._xlws.FILTER(Tabla28[[#All],[PARTE]],ISNUMBER(SEARCH(Tabla28[[#All],[PCLAVE2]],Tabla8[[#This Row],[DESCRIPCION DE TRABAJO]])),""))</f>
        <v/>
      </c>
      <c r="P705" s="303" t="str">
        <f>IFERROR(LEFT(O705, FIND(",", O705)-1), O705)</f>
        <v/>
      </c>
      <c r="Q705" s="303" t="str">
        <f>IFERROR(IF(ISERROR(FIND(",", O705, FIND(",", O705)+1)), RIGHT(O705, LEN(O705)-FIND(",", O705)-1), MID(O705, FIND(",", O705)+2, FIND(",", O705, FIND(",", O705)+1)-FIND(",", O705)-2)), "")</f>
        <v/>
      </c>
      <c r="R705" s="303" t="str">
        <f>IFERROR(RIGHT(O705, LEN(O705)-FIND(",", O705, FIND(",", O705)+1)-1), "")</f>
        <v/>
      </c>
      <c r="S705" s="35" t="str" cm="1">
        <f t="array" ref="S705">_xlfn.TEXTJOIN(", ",TRUE,_xlfn._xlws.FILTER(Tabla29[[#All],[PARTE]],ISNUMBER(SEARCH(Tabla29[[#All],[PCLAVE3]],Tabla8[[#This Row],[DESCRIPCION DE TRABAJO]])),""))</f>
        <v/>
      </c>
      <c r="T705" s="34" t="str">
        <f>IF(AND(Tabla8[[#This Row],[PIEZA]]="",Tabla8[[#This Row],[PARTE]]=""),"VACIO","OK")</f>
        <v>VACIO</v>
      </c>
      <c r="U705" s="303" t="str">
        <f>+CONCATENATE(WEEKNUM(Tabla8[[#This Row],[FECHA]]),"-",YEAR(Tabla8[[#This Row],[FECHA]]))</f>
        <v>13-2026</v>
      </c>
    </row>
    <row r="706" spans="1:21" ht="15" customHeight="1">
      <c r="A706" s="22">
        <v>46105</v>
      </c>
      <c r="B706" s="16" t="s">
        <v>191</v>
      </c>
      <c r="C706" s="10" t="s">
        <v>39</v>
      </c>
      <c r="D706" s="381">
        <v>0.90347222222222223</v>
      </c>
      <c r="E706" s="381">
        <v>0.91111111111111109</v>
      </c>
      <c r="F706" s="380">
        <f>+MOD(Tabla8[[#This Row],[HR. FIN]]-Tabla8[[#This Row],[HR. INICIO]],1)</f>
        <v>7.6388888888888618E-3</v>
      </c>
      <c r="G706" s="16" t="s">
        <v>236</v>
      </c>
      <c r="H706" s="343" t="str">
        <f>IFERROR(VLOOKUP(G706,DATOS!$M$2:$N$219,2,FALSE),"")</f>
        <v>Sistema</v>
      </c>
      <c r="I706" s="115" t="s">
        <v>25</v>
      </c>
      <c r="J706" s="115" t="str">
        <f>+VLOOKUP($I706,Tabla7[#All],2,FALSE)</f>
        <v>PROGRAMADA</v>
      </c>
      <c r="K706" s="114" t="str">
        <f>IF(VLOOKUP(I706,Tabla7[#All],3,FALSE)=0,"",VLOOKUP(I706,Tabla7[#All],3,FALSE))</f>
        <v/>
      </c>
      <c r="L706" s="35" t="s">
        <v>1439</v>
      </c>
      <c r="M706" s="35" t="s">
        <v>121</v>
      </c>
      <c r="N706" s="35" t="str" cm="1">
        <f t="array" ref="N706">IFERROR(IF(Tabla8[[#This Row],[P/NP]]="NO PROGRAMADA","",_xlfn.TEXTJOIN(", ",TRUE,_xlfn._xlws.FILTER(Tabla4[[#All],[PIEZA]],ISNUMBER(SEARCH(Tabla4[[#All],[PCLAVE]],Tabla8[[#This Row],[DESCRIPCION DE TRABAJO]])),""))),"")</f>
        <v/>
      </c>
      <c r="O706" s="35" t="str" cm="1">
        <f t="array" ref="O706">_xlfn.TEXTJOIN(", ",TRUE,_xlfn._xlws.FILTER(Tabla28[[#All],[PARTE]],ISNUMBER(SEARCH(Tabla28[[#All],[PCLAVE2]],Tabla8[[#This Row],[DESCRIPCION DE TRABAJO]])),""))</f>
        <v/>
      </c>
      <c r="P706" s="303" t="str">
        <f>IFERROR(LEFT(O706, FIND(",", O706)-1), O706)</f>
        <v/>
      </c>
      <c r="Q706" s="303" t="str">
        <f>IFERROR(IF(ISERROR(FIND(",", O706, FIND(",", O706)+1)), RIGHT(O706, LEN(O706)-FIND(",", O706)-1), MID(O706, FIND(",", O706)+2, FIND(",", O706, FIND(",", O706)+1)-FIND(",", O706)-2)), "")</f>
        <v/>
      </c>
      <c r="R706" s="303" t="str">
        <f>IFERROR(RIGHT(O706, LEN(O706)-FIND(",", O706, FIND(",", O706)+1)-1), "")</f>
        <v/>
      </c>
      <c r="S706" s="35" t="str" cm="1">
        <f t="array" ref="S706">_xlfn.TEXTJOIN(", ",TRUE,_xlfn._xlws.FILTER(Tabla29[[#All],[PARTE]],ISNUMBER(SEARCH(Tabla29[[#All],[PCLAVE3]],Tabla8[[#This Row],[DESCRIPCION DE TRABAJO]])),""))</f>
        <v/>
      </c>
      <c r="T706" s="34" t="str">
        <f>IF(AND(Tabla8[[#This Row],[PIEZA]]="",Tabla8[[#This Row],[PARTE]]=""),"VACIO","OK")</f>
        <v>VACIO</v>
      </c>
      <c r="U706" s="303" t="str">
        <f>+CONCATENATE(WEEKNUM(Tabla8[[#This Row],[FECHA]]),"-",YEAR(Tabla8[[#This Row],[FECHA]]))</f>
        <v>13-2026</v>
      </c>
    </row>
    <row r="707" spans="1:21" ht="15" customHeight="1">
      <c r="A707" s="22">
        <v>46106</v>
      </c>
      <c r="B707" s="16" t="s">
        <v>179</v>
      </c>
      <c r="C707" s="10" t="s">
        <v>23</v>
      </c>
      <c r="D707" s="381" t="s">
        <v>468</v>
      </c>
      <c r="E707" s="381" t="s">
        <v>281</v>
      </c>
      <c r="F707" s="380">
        <f>+MOD(Tabla8[[#This Row],[HR. FIN]]-Tabla8[[#This Row],[HR. INICIO]],1)</f>
        <v>4.1666666666666741E-2</v>
      </c>
      <c r="G707" s="16" t="s">
        <v>1305</v>
      </c>
      <c r="H707" s="343" t="str">
        <f>IFERROR(VLOOKUP(G707,DATOS!$M$2:$N$219,2,FALSE),"")</f>
        <v>Area</v>
      </c>
      <c r="I707" s="115" t="s">
        <v>25</v>
      </c>
      <c r="J707" s="115" t="str">
        <f>+VLOOKUP($I707,Tabla7[#All],2,FALSE)</f>
        <v>PROGRAMADA</v>
      </c>
      <c r="K707" s="114" t="str">
        <f>IF(VLOOKUP(I707,Tabla7[#All],3,FALSE)=0,"",VLOOKUP(I707,Tabla7[#All],3,FALSE))</f>
        <v/>
      </c>
      <c r="L707" s="35" t="s">
        <v>1440</v>
      </c>
      <c r="M707" s="35" t="s">
        <v>121</v>
      </c>
      <c r="N707" s="35" t="str" cm="1">
        <f t="array" ref="N707">IFERROR(IF(Tabla8[[#This Row],[P/NP]]="NO PROGRAMADA","",_xlfn.TEXTJOIN(", ",TRUE,_xlfn._xlws.FILTER(Tabla4[[#All],[PIEZA]],ISNUMBER(SEARCH(Tabla4[[#All],[PCLAVE]],Tabla8[[#This Row],[DESCRIPCION DE TRABAJO]])),""))),"")</f>
        <v>Bobina</v>
      </c>
      <c r="O707" s="35" t="str" cm="1">
        <f t="array" ref="O707">_xlfn.TEXTJOIN(", ",TRUE,_xlfn._xlws.FILTER(Tabla28[[#All],[PARTE]],ISNUMBER(SEARCH(Tabla28[[#All],[PCLAVE2]],Tabla8[[#This Row],[DESCRIPCION DE TRABAJO]])),""))</f>
        <v/>
      </c>
      <c r="P707" s="303" t="str">
        <f>IFERROR(LEFT(O707, FIND(",", O707)-1), O707)</f>
        <v/>
      </c>
      <c r="Q707" s="303" t="str">
        <f>IFERROR(IF(ISERROR(FIND(",", O707, FIND(",", O707)+1)), RIGHT(O707, LEN(O707)-FIND(",", O707)-1), MID(O707, FIND(",", O707)+2, FIND(",", O707, FIND(",", O707)+1)-FIND(",", O707)-2)), "")</f>
        <v/>
      </c>
      <c r="R707" s="303" t="str">
        <f>IFERROR(RIGHT(O707, LEN(O707)-FIND(",", O707, FIND(",", O707)+1)-1), "")</f>
        <v/>
      </c>
      <c r="S707" s="35" t="str" cm="1">
        <f t="array" ref="S707">_xlfn.TEXTJOIN(", ",TRUE,_xlfn._xlws.FILTER(Tabla29[[#All],[PARTE]],ISNUMBER(SEARCH(Tabla29[[#All],[PCLAVE3]],Tabla8[[#This Row],[DESCRIPCION DE TRABAJO]])),""))</f>
        <v/>
      </c>
      <c r="T707" s="34" t="str">
        <f>IF(AND(Tabla8[[#This Row],[PIEZA]]="",Tabla8[[#This Row],[PARTE]]=""),"VACIO","OK")</f>
        <v>OK</v>
      </c>
      <c r="U707" s="303" t="str">
        <f>+CONCATENATE(WEEKNUM(Tabla8[[#This Row],[FECHA]]),"-",YEAR(Tabla8[[#This Row],[FECHA]]))</f>
        <v>13-2026</v>
      </c>
    </row>
    <row r="708" spans="1:21" ht="15" customHeight="1">
      <c r="A708" s="22">
        <v>46106</v>
      </c>
      <c r="B708" s="16" t="s">
        <v>179</v>
      </c>
      <c r="C708" s="10" t="s">
        <v>23</v>
      </c>
      <c r="D708" s="381" t="s">
        <v>278</v>
      </c>
      <c r="E708" s="381" t="s">
        <v>1441</v>
      </c>
      <c r="F708" s="380">
        <f>+MOD(Tabla8[[#This Row],[HR. FIN]]-Tabla8[[#This Row],[HR. INICIO]],1)</f>
        <v>3.125E-2</v>
      </c>
      <c r="G708" s="16" t="s">
        <v>140</v>
      </c>
      <c r="H708" s="343" t="str">
        <f>IFERROR(VLOOKUP(G708,DATOS!$M$2:$N$219,2,FALSE),"")</f>
        <v>Maquinaria</v>
      </c>
      <c r="I708" s="115" t="s">
        <v>57</v>
      </c>
      <c r="J708" s="115" t="str">
        <f>+VLOOKUP($I708,Tabla7[#All],2,FALSE)</f>
        <v>NO PROGRAMADA</v>
      </c>
      <c r="K708" s="114" t="str">
        <f>IF(VLOOKUP(I708,Tabla7[#All],3,FALSE)=0,"",VLOOKUP(I708,Tabla7[#All],3,FALSE))</f>
        <v>MECÁNICA</v>
      </c>
      <c r="L708" s="35" t="s">
        <v>1442</v>
      </c>
      <c r="M708" s="35" t="s">
        <v>1443</v>
      </c>
      <c r="N708" s="35" t="str" cm="1">
        <f t="array" ref="N708">IFERROR(IF(Tabla8[[#This Row],[P/NP]]="NO PROGRAMADA","",_xlfn.TEXTJOIN(", ",TRUE,_xlfn._xlws.FILTER(Tabla4[[#All],[PIEZA]],ISNUMBER(SEARCH(Tabla4[[#All],[PCLAVE]],Tabla8[[#This Row],[DESCRIPCION DE TRABAJO]])),""))),"")</f>
        <v/>
      </c>
      <c r="O708" s="35" t="str" cm="1">
        <f t="array" ref="O708">_xlfn.TEXTJOIN(", ",TRUE,_xlfn._xlws.FILTER(Tabla28[[#All],[PARTE]],ISNUMBER(SEARCH(Tabla28[[#All],[PCLAVE2]],Tabla8[[#This Row],[DESCRIPCION DE TRABAJO]])),""))</f>
        <v/>
      </c>
      <c r="P708" s="303" t="str">
        <f>IFERROR(LEFT(O708, FIND(",", O708)-1), O708)</f>
        <v/>
      </c>
      <c r="Q708" s="303" t="str">
        <f>IFERROR(IF(ISERROR(FIND(",", O708, FIND(",", O708)+1)), RIGHT(O708, LEN(O708)-FIND(",", O708)-1), MID(O708, FIND(",", O708)+2, FIND(",", O708, FIND(",", O708)+1)-FIND(",", O708)-2)), "")</f>
        <v/>
      </c>
      <c r="R708" s="303" t="str">
        <f>IFERROR(RIGHT(O708, LEN(O708)-FIND(",", O708, FIND(",", O708)+1)-1), "")</f>
        <v/>
      </c>
      <c r="S708" s="35" t="str" cm="1">
        <f t="array" ref="S708">_xlfn.TEXTJOIN(", ",TRUE,_xlfn._xlws.FILTER(Tabla29[[#All],[PARTE]],ISNUMBER(SEARCH(Tabla29[[#All],[PCLAVE3]],Tabla8[[#This Row],[DESCRIPCION DE TRABAJO]])),""))</f>
        <v/>
      </c>
      <c r="T708" s="34" t="str">
        <f>IF(AND(Tabla8[[#This Row],[PIEZA]]="",Tabla8[[#This Row],[PARTE]]=""),"VACIO","OK")</f>
        <v>VACIO</v>
      </c>
      <c r="U708" s="303" t="str">
        <f>+CONCATENATE(WEEKNUM(Tabla8[[#This Row],[FECHA]]),"-",YEAR(Tabla8[[#This Row],[FECHA]]))</f>
        <v>13-2026</v>
      </c>
    </row>
    <row r="709" spans="1:21" ht="15" customHeight="1">
      <c r="A709" s="22">
        <v>46106</v>
      </c>
      <c r="B709" s="16" t="s">
        <v>179</v>
      </c>
      <c r="C709" s="10" t="s">
        <v>23</v>
      </c>
      <c r="D709" s="381" t="s">
        <v>571</v>
      </c>
      <c r="E709" s="381" t="s">
        <v>533</v>
      </c>
      <c r="F709" s="380">
        <f>+MOD(Tabla8[[#This Row],[HR. FIN]]-Tabla8[[#This Row],[HR. INICIO]],1)</f>
        <v>2.430555555555558E-2</v>
      </c>
      <c r="G709" s="16" t="s">
        <v>192</v>
      </c>
      <c r="H709" s="343" t="str">
        <f>IFERROR(VLOOKUP(G709,DATOS!$M$2:$N$219,2,FALSE),"")</f>
        <v>Maquinaria</v>
      </c>
      <c r="I709" s="115" t="s">
        <v>57</v>
      </c>
      <c r="J709" s="115" t="str">
        <f>+VLOOKUP($I709,Tabla7[#All],2,FALSE)</f>
        <v>NO PROGRAMADA</v>
      </c>
      <c r="K709" s="114" t="str">
        <f>IF(VLOOKUP(I709,Tabla7[#All],3,FALSE)=0,"",VLOOKUP(I709,Tabla7[#All],3,FALSE))</f>
        <v>MECÁNICA</v>
      </c>
      <c r="L709" s="35" t="s">
        <v>1444</v>
      </c>
      <c r="M709" s="35" t="s">
        <v>1445</v>
      </c>
      <c r="N709" s="35" t="str" cm="1">
        <f t="array" ref="N709">IFERROR(IF(Tabla8[[#This Row],[P/NP]]="NO PROGRAMADA","",_xlfn.TEXTJOIN(", ",TRUE,_xlfn._xlws.FILTER(Tabla4[[#All],[PIEZA]],ISNUMBER(SEARCH(Tabla4[[#All],[PCLAVE]],Tabla8[[#This Row],[DESCRIPCION DE TRABAJO]])),""))),"")</f>
        <v/>
      </c>
      <c r="O709" s="35" t="str" cm="1">
        <f t="array" ref="O709">_xlfn.TEXTJOIN(", ",TRUE,_xlfn._xlws.FILTER(Tabla28[[#All],[PARTE]],ISNUMBER(SEARCH(Tabla28[[#All],[PCLAVE2]],Tabla8[[#This Row],[DESCRIPCION DE TRABAJO]])),""))</f>
        <v>Dosificador</v>
      </c>
      <c r="P709" s="303" t="str">
        <f>IFERROR(LEFT(O709, FIND(",", O709)-1), O709)</f>
        <v>Dosificador</v>
      </c>
      <c r="Q709" s="303" t="str">
        <f>IFERROR(IF(ISERROR(FIND(",", O709, FIND(",", O709)+1)), RIGHT(O709, LEN(O709)-FIND(",", O709)-1), MID(O709, FIND(",", O709)+2, FIND(",", O709, FIND(",", O709)+1)-FIND(",", O709)-2)), "")</f>
        <v/>
      </c>
      <c r="R709" s="303" t="str">
        <f>IFERROR(RIGHT(O709, LEN(O709)-FIND(",", O709, FIND(",", O709)+1)-1), "")</f>
        <v/>
      </c>
      <c r="S709" s="35" t="str" cm="1">
        <f t="array" ref="S709">_xlfn.TEXTJOIN(", ",TRUE,_xlfn._xlws.FILTER(Tabla29[[#All],[PARTE]],ISNUMBER(SEARCH(Tabla29[[#All],[PCLAVE3]],Tabla8[[#This Row],[DESCRIPCION DE TRABAJO]])),""))</f>
        <v/>
      </c>
      <c r="T709" s="34" t="str">
        <f>IF(AND(Tabla8[[#This Row],[PIEZA]]="",Tabla8[[#This Row],[PARTE]]=""),"VACIO","OK")</f>
        <v>OK</v>
      </c>
      <c r="U709" s="303" t="str">
        <f>+CONCATENATE(WEEKNUM(Tabla8[[#This Row],[FECHA]]),"-",YEAR(Tabla8[[#This Row],[FECHA]]))</f>
        <v>13-2026</v>
      </c>
    </row>
    <row r="710" spans="1:21" ht="15" customHeight="1">
      <c r="A710" s="22">
        <v>46106</v>
      </c>
      <c r="B710" s="16" t="s">
        <v>191</v>
      </c>
      <c r="C710" s="10" t="s">
        <v>39</v>
      </c>
      <c r="D710" s="381" t="s">
        <v>1446</v>
      </c>
      <c r="E710" s="381" t="s">
        <v>733</v>
      </c>
      <c r="F710" s="380">
        <f>+MOD(Tabla8[[#This Row],[HR. FIN]]-Tabla8[[#This Row],[HR. INICIO]],1)</f>
        <v>2.2222222222222223E-2</v>
      </c>
      <c r="G710" s="16" t="s">
        <v>169</v>
      </c>
      <c r="H710" s="343" t="str">
        <f>IFERROR(VLOOKUP(G710,DATOS!$M$2:$N$219,2,FALSE),"")</f>
        <v>Maquinaria</v>
      </c>
      <c r="I710" s="115" t="s">
        <v>61</v>
      </c>
      <c r="J710" s="115" t="s">
        <v>92</v>
      </c>
      <c r="K710" s="114" t="s">
        <v>93</v>
      </c>
      <c r="L710" s="35" t="s">
        <v>1447</v>
      </c>
      <c r="M710" s="35" t="s">
        <v>1448</v>
      </c>
      <c r="N710" s="35" t="str" cm="1">
        <f t="array" ref="N710">IFERROR(IF(Tabla8[[#This Row],[P/NP]]="NO PROGRAMADA","",_xlfn.TEXTJOIN(", ",TRUE,_xlfn._xlws.FILTER(Tabla4[[#All],[PIEZA]],ISNUMBER(SEARCH(Tabla4[[#All],[PCLAVE]],Tabla8[[#This Row],[DESCRIPCION DE TRABAJO]])),""))),"")</f>
        <v/>
      </c>
      <c r="O710" s="35" t="str" cm="1">
        <f t="array" ref="O710">_xlfn.TEXTJOIN(", ",TRUE,_xlfn._xlws.FILTER(Tabla28[[#All],[PARTE]],ISNUMBER(SEARCH(Tabla28[[#All],[PCLAVE2]],Tabla8[[#This Row],[DESCRIPCION DE TRABAJO]])),""))</f>
        <v/>
      </c>
      <c r="P710" s="303" t="str">
        <f>IFERROR(LEFT(O710, FIND(",", O710)-1), O710)</f>
        <v/>
      </c>
      <c r="Q710" s="303" t="str">
        <f>IFERROR(IF(ISERROR(FIND(",", O710, FIND(",", O710)+1)), RIGHT(O710, LEN(O710)-FIND(",", O710)-1), MID(O710, FIND(",", O710)+2, FIND(",", O710, FIND(",", O710)+1)-FIND(",", O710)-2)), "")</f>
        <v/>
      </c>
      <c r="R710" s="303" t="str">
        <f>IFERROR(RIGHT(O710, LEN(O710)-FIND(",", O710, FIND(",", O710)+1)-1), "")</f>
        <v/>
      </c>
      <c r="S710" s="35" t="str" cm="1">
        <f t="array" ref="S710">_xlfn.TEXTJOIN(", ",TRUE,_xlfn._xlws.FILTER(Tabla29[[#All],[PARTE]],ISNUMBER(SEARCH(Tabla29[[#All],[PCLAVE3]],Tabla8[[#This Row],[DESCRIPCION DE TRABAJO]])),""))</f>
        <v/>
      </c>
      <c r="T710" s="34" t="str">
        <f>IF(AND(Tabla8[[#This Row],[PIEZA]]="",Tabla8[[#This Row],[PARTE]]=""),"VACIO","OK")</f>
        <v>VACIO</v>
      </c>
      <c r="U710" s="303" t="str">
        <f>+CONCATENATE(WEEKNUM(Tabla8[[#This Row],[FECHA]]),"-",YEAR(Tabla8[[#This Row],[FECHA]]))</f>
        <v>13-2026</v>
      </c>
    </row>
    <row r="711" spans="1:21" ht="15" customHeight="1">
      <c r="A711" s="22">
        <v>46106</v>
      </c>
      <c r="B711" s="16" t="s">
        <v>179</v>
      </c>
      <c r="C711" s="10" t="s">
        <v>23</v>
      </c>
      <c r="D711" s="381" t="s">
        <v>493</v>
      </c>
      <c r="E711" s="381" t="s">
        <v>560</v>
      </c>
      <c r="F711" s="380">
        <f>+MOD(Tabla8[[#This Row],[HR. FIN]]-Tabla8[[#This Row],[HR. INICIO]],1)</f>
        <v>2.083333333333337E-2</v>
      </c>
      <c r="G711" s="16" t="s">
        <v>119</v>
      </c>
      <c r="H711" s="343" t="str">
        <f>IFERROR(VLOOKUP(G711,DATOS!$M$2:$N$219,2,FALSE),"")</f>
        <v>Maquinaria</v>
      </c>
      <c r="I711" s="115" t="s">
        <v>32</v>
      </c>
      <c r="J711" s="115" t="str">
        <f>+VLOOKUP($I711,Tabla7[#All],2,FALSE)</f>
        <v>PROGRAMADA</v>
      </c>
      <c r="K711" s="114" t="str">
        <f>IF(VLOOKUP(I711,Tabla7[#All],3,FALSE)=0,"",VLOOKUP(I711,Tabla7[#All],3,FALSE))</f>
        <v/>
      </c>
      <c r="L711" s="35" t="s">
        <v>1449</v>
      </c>
      <c r="M711" s="35" t="s">
        <v>121</v>
      </c>
      <c r="N711" s="35" t="str" cm="1">
        <f t="array" ref="N711">IFERROR(IF(Tabla8[[#This Row],[P/NP]]="NO PROGRAMADA","",_xlfn.TEXTJOIN(", ",TRUE,_xlfn._xlws.FILTER(Tabla4[[#All],[PIEZA]],ISNUMBER(SEARCH(Tabla4[[#All],[PCLAVE]],Tabla8[[#This Row],[DESCRIPCION DE TRABAJO]])),""))),"")</f>
        <v/>
      </c>
      <c r="O711" s="35" t="str" cm="1">
        <f t="array" ref="O711">_xlfn.TEXTJOIN(", ",TRUE,_xlfn._xlws.FILTER(Tabla28[[#All],[PARTE]],ISNUMBER(SEARCH(Tabla28[[#All],[PCLAVE2]],Tabla8[[#This Row],[DESCRIPCION DE TRABAJO]])),""))</f>
        <v>Mds</v>
      </c>
      <c r="P711" s="303" t="str">
        <f>IFERROR(LEFT(O711, FIND(",", O711)-1), O711)</f>
        <v>Mds</v>
      </c>
      <c r="Q711" s="303" t="str">
        <f>IFERROR(IF(ISERROR(FIND(",", O711, FIND(",", O711)+1)), RIGHT(O711, LEN(O711)-FIND(",", O711)-1), MID(O711, FIND(",", O711)+2, FIND(",", O711, FIND(",", O711)+1)-FIND(",", O711)-2)), "")</f>
        <v/>
      </c>
      <c r="R711" s="303" t="str">
        <f>IFERROR(RIGHT(O711, LEN(O711)-FIND(",", O711, FIND(",", O711)+1)-1), "")</f>
        <v/>
      </c>
      <c r="S711" s="35" t="str" cm="1">
        <f t="array" ref="S711">_xlfn.TEXTJOIN(", ",TRUE,_xlfn._xlws.FILTER(Tabla29[[#All],[PARTE]],ISNUMBER(SEARCH(Tabla29[[#All],[PCLAVE3]],Tabla8[[#This Row],[DESCRIPCION DE TRABAJO]])),""))</f>
        <v>Cambio De Formato</v>
      </c>
      <c r="T711" s="34" t="str">
        <f>IF(AND(Tabla8[[#This Row],[PIEZA]]="",Tabla8[[#This Row],[PARTE]]=""),"VACIO","OK")</f>
        <v>OK</v>
      </c>
      <c r="U711" s="303" t="str">
        <f>+CONCATENATE(WEEKNUM(Tabla8[[#This Row],[FECHA]]),"-",YEAR(Tabla8[[#This Row],[FECHA]]))</f>
        <v>13-2026</v>
      </c>
    </row>
    <row r="712" spans="1:21" ht="15" customHeight="1">
      <c r="A712" s="22">
        <v>46106</v>
      </c>
      <c r="B712" s="16" t="s">
        <v>179</v>
      </c>
      <c r="C712" s="10" t="s">
        <v>23</v>
      </c>
      <c r="D712" s="381" t="s">
        <v>450</v>
      </c>
      <c r="E712" s="381" t="s">
        <v>311</v>
      </c>
      <c r="F712" s="380">
        <f>+MOD(Tabla8[[#This Row],[HR. FIN]]-Tabla8[[#This Row],[HR. INICIO]],1)</f>
        <v>2.083333333333337E-2</v>
      </c>
      <c r="G712" s="16" t="s">
        <v>140</v>
      </c>
      <c r="H712" s="343" t="str">
        <f>IFERROR(VLOOKUP(G712,DATOS!$M$2:$N$219,2,FALSE),"")</f>
        <v>Maquinaria</v>
      </c>
      <c r="I712" s="115" t="s">
        <v>28</v>
      </c>
      <c r="J712" s="115" t="str">
        <f>+VLOOKUP($I712,Tabla7[#All],2,FALSE)</f>
        <v>NO PROGRAMADA</v>
      </c>
      <c r="K712" s="114" t="s">
        <v>93</v>
      </c>
      <c r="L712" s="35" t="s">
        <v>1450</v>
      </c>
      <c r="M712" s="35" t="s">
        <v>1451</v>
      </c>
      <c r="N712" s="35" t="str" cm="1">
        <f t="array" ref="N712">IFERROR(IF(Tabla8[[#This Row],[P/NP]]="NO PROGRAMADA","",_xlfn.TEXTJOIN(", ",TRUE,_xlfn._xlws.FILTER(Tabla4[[#All],[PIEZA]],ISNUMBER(SEARCH(Tabla4[[#All],[PCLAVE]],Tabla8[[#This Row],[DESCRIPCION DE TRABAJO]])),""))),"")</f>
        <v/>
      </c>
      <c r="O712" s="35" t="str" cm="1">
        <f t="array" ref="O712">_xlfn.TEXTJOIN(", ",TRUE,_xlfn._xlws.FILTER(Tabla28[[#All],[PARTE]],ISNUMBER(SEARCH(Tabla28[[#All],[PCLAVE2]],Tabla8[[#This Row],[DESCRIPCION DE TRABAJO]])),""))</f>
        <v/>
      </c>
      <c r="P712" s="303" t="str">
        <f>IFERROR(LEFT(O712, FIND(",", O712)-1), O712)</f>
        <v/>
      </c>
      <c r="Q712" s="303" t="str">
        <f>IFERROR(IF(ISERROR(FIND(",", O712, FIND(",", O712)+1)), RIGHT(O712, LEN(O712)-FIND(",", O712)-1), MID(O712, FIND(",", O712)+2, FIND(",", O712, FIND(",", O712)+1)-FIND(",", O712)-2)), "")</f>
        <v/>
      </c>
      <c r="R712" s="303" t="str">
        <f>IFERROR(RIGHT(O712, LEN(O712)-FIND(",", O712, FIND(",", O712)+1)-1), "")</f>
        <v/>
      </c>
      <c r="S712" s="35" t="str" cm="1">
        <f t="array" ref="S712">_xlfn.TEXTJOIN(", ",TRUE,_xlfn._xlws.FILTER(Tabla29[[#All],[PARTE]],ISNUMBER(SEARCH(Tabla29[[#All],[PCLAVE3]],Tabla8[[#This Row],[DESCRIPCION DE TRABAJO]])),""))</f>
        <v>Rotura</v>
      </c>
      <c r="T712" s="34" t="str">
        <f>IF(AND(Tabla8[[#This Row],[PIEZA]]="",Tabla8[[#This Row],[PARTE]]=""),"VACIO","OK")</f>
        <v>VACIO</v>
      </c>
      <c r="U712" s="303" t="str">
        <f>+CONCATENATE(WEEKNUM(Tabla8[[#This Row],[FECHA]]),"-",YEAR(Tabla8[[#This Row],[FECHA]]))</f>
        <v>13-2026</v>
      </c>
    </row>
    <row r="713" spans="1:21" ht="15" customHeight="1">
      <c r="A713" s="22">
        <v>46106</v>
      </c>
      <c r="B713" s="16" t="s">
        <v>179</v>
      </c>
      <c r="C713" s="10" t="s">
        <v>23</v>
      </c>
      <c r="D713" s="381" t="s">
        <v>269</v>
      </c>
      <c r="E713" s="381" t="s">
        <v>1452</v>
      </c>
      <c r="F713" s="380">
        <f>+MOD(Tabla8[[#This Row],[HR. FIN]]-Tabla8[[#This Row],[HR. INICIO]],1)</f>
        <v>2.083333333333337E-2</v>
      </c>
      <c r="G713" s="16" t="s">
        <v>119</v>
      </c>
      <c r="H713" s="343" t="str">
        <f>IFERROR(VLOOKUP(G713,DATOS!$M$2:$N$219,2,FALSE),"")</f>
        <v>Maquinaria</v>
      </c>
      <c r="I713" s="115" t="s">
        <v>32</v>
      </c>
      <c r="J713" s="115" t="str">
        <f>+VLOOKUP($I713,Tabla7[#All],2,FALSE)</f>
        <v>PROGRAMADA</v>
      </c>
      <c r="K713" s="114" t="str">
        <f>IF(VLOOKUP(I713,Tabla7[#All],3,FALSE)=0,"",VLOOKUP(I713,Tabla7[#All],3,FALSE))</f>
        <v/>
      </c>
      <c r="L713" s="35" t="s">
        <v>283</v>
      </c>
      <c r="M713" s="35" t="s">
        <v>121</v>
      </c>
      <c r="N713" s="35" t="str" cm="1">
        <f t="array" ref="N713">IFERROR(IF(Tabla8[[#This Row],[P/NP]]="NO PROGRAMADA","",_xlfn.TEXTJOIN(", ",TRUE,_xlfn._xlws.FILTER(Tabla4[[#All],[PIEZA]],ISNUMBER(SEARCH(Tabla4[[#All],[PCLAVE]],Tabla8[[#This Row],[DESCRIPCION DE TRABAJO]])),""))),"")</f>
        <v/>
      </c>
      <c r="O713" s="35" t="str" cm="1">
        <f t="array" ref="O713">_xlfn.TEXTJOIN(", ",TRUE,_xlfn._xlws.FILTER(Tabla28[[#All],[PARTE]],ISNUMBER(SEARCH(Tabla28[[#All],[PCLAVE2]],Tabla8[[#This Row],[DESCRIPCION DE TRABAJO]])),""))</f>
        <v>Mds</v>
      </c>
      <c r="P713" s="303" t="str">
        <f>IFERROR(LEFT(O713, FIND(",", O713)-1), O713)</f>
        <v>Mds</v>
      </c>
      <c r="Q713" s="303" t="str">
        <f>IFERROR(IF(ISERROR(FIND(",", O713, FIND(",", O713)+1)), RIGHT(O713, LEN(O713)-FIND(",", O713)-1), MID(O713, FIND(",", O713)+2, FIND(",", O713, FIND(",", O713)+1)-FIND(",", O713)-2)), "")</f>
        <v/>
      </c>
      <c r="R713" s="303" t="str">
        <f>IFERROR(RIGHT(O713, LEN(O713)-FIND(",", O713, FIND(",", O713)+1)-1), "")</f>
        <v/>
      </c>
      <c r="S713" s="35" t="str" cm="1">
        <f t="array" ref="S713">_xlfn.TEXTJOIN(", ",TRUE,_xlfn._xlws.FILTER(Tabla29[[#All],[PARTE]],ISNUMBER(SEARCH(Tabla29[[#All],[PCLAVE3]],Tabla8[[#This Row],[DESCRIPCION DE TRABAJO]])),""))</f>
        <v/>
      </c>
      <c r="T713" s="34" t="str">
        <f>IF(AND(Tabla8[[#This Row],[PIEZA]]="",Tabla8[[#This Row],[PARTE]]=""),"VACIO","OK")</f>
        <v>OK</v>
      </c>
      <c r="U713" s="303" t="str">
        <f>+CONCATENATE(WEEKNUM(Tabla8[[#This Row],[FECHA]]),"-",YEAR(Tabla8[[#This Row],[FECHA]]))</f>
        <v>13-2026</v>
      </c>
    </row>
    <row r="714" spans="1:21" ht="15" customHeight="1">
      <c r="A714" s="22">
        <v>46106</v>
      </c>
      <c r="B714" s="16" t="s">
        <v>191</v>
      </c>
      <c r="C714" s="10" t="s">
        <v>39</v>
      </c>
      <c r="D714" s="381" t="s">
        <v>1453</v>
      </c>
      <c r="E714" s="381" t="s">
        <v>1454</v>
      </c>
      <c r="F714" s="380">
        <f>+MOD(Tabla8[[#This Row],[HR. FIN]]-Tabla8[[#This Row],[HR. INICIO]],1)</f>
        <v>2.0138888888888887E-2</v>
      </c>
      <c r="G714" s="16" t="s">
        <v>119</v>
      </c>
      <c r="H714" s="343" t="str">
        <f>IFERROR(VLOOKUP(G714,DATOS!$M$2:$N$219,2,FALSE),"")</f>
        <v>Maquinaria</v>
      </c>
      <c r="I714" s="115" t="s">
        <v>32</v>
      </c>
      <c r="J714" s="115" t="str">
        <f>+VLOOKUP($I714,Tabla7[#All],2,FALSE)</f>
        <v>PROGRAMADA</v>
      </c>
      <c r="K714" s="114" t="str">
        <f>IF(VLOOKUP(I714,Tabla7[#All],3,FALSE)=0,"",VLOOKUP(I714,Tabla7[#All],3,FALSE))</f>
        <v/>
      </c>
      <c r="L714" s="35" t="s">
        <v>1455</v>
      </c>
      <c r="M714" s="35" t="s">
        <v>121</v>
      </c>
      <c r="N714" s="35" t="str" cm="1">
        <f t="array" ref="N714">IFERROR(IF(Tabla8[[#This Row],[P/NP]]="NO PROGRAMADA","",_xlfn.TEXTJOIN(", ",TRUE,_xlfn._xlws.FILTER(Tabla4[[#All],[PIEZA]],ISNUMBER(SEARCH(Tabla4[[#All],[PCLAVE]],Tabla8[[#This Row],[DESCRIPCION DE TRABAJO]])),""))),"")</f>
        <v/>
      </c>
      <c r="O714" s="35" t="str" cm="1">
        <f t="array" ref="O714">_xlfn.TEXTJOIN(", ",TRUE,_xlfn._xlws.FILTER(Tabla28[[#All],[PARTE]],ISNUMBER(SEARCH(Tabla28[[#All],[PCLAVE2]],Tabla8[[#This Row],[DESCRIPCION DE TRABAJO]])),""))</f>
        <v>Mds</v>
      </c>
      <c r="P714" s="303" t="str">
        <f>IFERROR(LEFT(O714, FIND(",", O714)-1), O714)</f>
        <v>Mds</v>
      </c>
      <c r="Q714" s="303" t="str">
        <f>IFERROR(IF(ISERROR(FIND(",", O714, FIND(",", O714)+1)), RIGHT(O714, LEN(O714)-FIND(",", O714)-1), MID(O714, FIND(",", O714)+2, FIND(",", O714, FIND(",", O714)+1)-FIND(",", O714)-2)), "")</f>
        <v/>
      </c>
      <c r="R714" s="303" t="str">
        <f>IFERROR(RIGHT(O714, LEN(O714)-FIND(",", O714, FIND(",", O714)+1)-1), "")</f>
        <v/>
      </c>
      <c r="S714" s="35" t="str" cm="1">
        <f t="array" ref="S714">_xlfn.TEXTJOIN(", ",TRUE,_xlfn._xlws.FILTER(Tabla29[[#All],[PARTE]],ISNUMBER(SEARCH(Tabla29[[#All],[PCLAVE3]],Tabla8[[#This Row],[DESCRIPCION DE TRABAJO]])),""))</f>
        <v>Cambio De Formato</v>
      </c>
      <c r="T714" s="34" t="str">
        <f>IF(AND(Tabla8[[#This Row],[PIEZA]]="",Tabla8[[#This Row],[PARTE]]=""),"VACIO","OK")</f>
        <v>OK</v>
      </c>
      <c r="U714" s="303" t="str">
        <f>+CONCATENATE(WEEKNUM(Tabla8[[#This Row],[FECHA]]),"-",YEAR(Tabla8[[#This Row],[FECHA]]))</f>
        <v>13-2026</v>
      </c>
    </row>
    <row r="715" spans="1:21" ht="15" customHeight="1">
      <c r="A715" s="22">
        <v>46106</v>
      </c>
      <c r="B715" s="16" t="s">
        <v>191</v>
      </c>
      <c r="C715" s="10" t="s">
        <v>39</v>
      </c>
      <c r="D715" s="381" t="s">
        <v>1132</v>
      </c>
      <c r="E715" s="381" t="s">
        <v>1456</v>
      </c>
      <c r="F715" s="380">
        <f>+MOD(Tabla8[[#This Row],[HR. FIN]]-Tabla8[[#This Row],[HR. INICIO]],1)</f>
        <v>1.9444444444444375E-2</v>
      </c>
      <c r="G715" s="16" t="s">
        <v>128</v>
      </c>
      <c r="H715" s="343" t="str">
        <f>IFERROR(VLOOKUP(G715,DATOS!$M$2:$N$219,2,FALSE),"")</f>
        <v>Maquinaria</v>
      </c>
      <c r="I715" s="115" t="s">
        <v>57</v>
      </c>
      <c r="J715" s="115" t="str">
        <f>+VLOOKUP($I715,Tabla7[#All],2,FALSE)</f>
        <v>NO PROGRAMADA</v>
      </c>
      <c r="K715" s="114" t="str">
        <f>IF(VLOOKUP(I715,Tabla7[#All],3,FALSE)=0,"",VLOOKUP(I715,Tabla7[#All],3,FALSE))</f>
        <v>MECÁNICA</v>
      </c>
      <c r="L715" s="35" t="s">
        <v>1457</v>
      </c>
      <c r="M715" s="35" t="s">
        <v>1458</v>
      </c>
      <c r="N715" s="35" t="str" cm="1">
        <f t="array" ref="N715">IFERROR(IF(Tabla8[[#This Row],[P/NP]]="NO PROGRAMADA","",_xlfn.TEXTJOIN(", ",TRUE,_xlfn._xlws.FILTER(Tabla4[[#All],[PIEZA]],ISNUMBER(SEARCH(Tabla4[[#All],[PCLAVE]],Tabla8[[#This Row],[DESCRIPCION DE TRABAJO]])),""))),"")</f>
        <v/>
      </c>
      <c r="O715" s="35" t="str" cm="1">
        <f t="array" ref="O715">_xlfn.TEXTJOIN(", ",TRUE,_xlfn._xlws.FILTER(Tabla28[[#All],[PARTE]],ISNUMBER(SEARCH(Tabla28[[#All],[PCLAVE2]],Tabla8[[#This Row],[DESCRIPCION DE TRABAJO]])),""))</f>
        <v/>
      </c>
      <c r="P715" s="303" t="str">
        <f>IFERROR(LEFT(O715, FIND(",", O715)-1), O715)</f>
        <v/>
      </c>
      <c r="Q715" s="303" t="str">
        <f>IFERROR(IF(ISERROR(FIND(",", O715, FIND(",", O715)+1)), RIGHT(O715, LEN(O715)-FIND(",", O715)-1), MID(O715, FIND(",", O715)+2, FIND(",", O715, FIND(",", O715)+1)-FIND(",", O715)-2)), "")</f>
        <v/>
      </c>
      <c r="R715" s="303" t="str">
        <f>IFERROR(RIGHT(O715, LEN(O715)-FIND(",", O715, FIND(",", O715)+1)-1), "")</f>
        <v/>
      </c>
      <c r="S715" s="35" t="str" cm="1">
        <f t="array" ref="S715">_xlfn.TEXTJOIN(", ",TRUE,_xlfn._xlws.FILTER(Tabla29[[#All],[PARTE]],ISNUMBER(SEARCH(Tabla29[[#All],[PCLAVE3]],Tabla8[[#This Row],[DESCRIPCION DE TRABAJO]])),""))</f>
        <v/>
      </c>
      <c r="T715" s="34" t="str">
        <f>IF(AND(Tabla8[[#This Row],[PIEZA]]="",Tabla8[[#This Row],[PARTE]]=""),"VACIO","OK")</f>
        <v>VACIO</v>
      </c>
      <c r="U715" s="303" t="str">
        <f>+CONCATENATE(WEEKNUM(Tabla8[[#This Row],[FECHA]]),"-",YEAR(Tabla8[[#This Row],[FECHA]]))</f>
        <v>13-2026</v>
      </c>
    </row>
    <row r="716" spans="1:21" ht="15" customHeight="1">
      <c r="A716" s="22">
        <v>46106</v>
      </c>
      <c r="B716" s="16" t="s">
        <v>191</v>
      </c>
      <c r="C716" s="10" t="s">
        <v>39</v>
      </c>
      <c r="D716" s="381" t="s">
        <v>1459</v>
      </c>
      <c r="E716" s="381" t="s">
        <v>1271</v>
      </c>
      <c r="F716" s="380">
        <f>+MOD(Tabla8[[#This Row],[HR. FIN]]-Tabla8[[#This Row],[HR. INICIO]],1)</f>
        <v>1.736111111111116E-2</v>
      </c>
      <c r="G716" s="16" t="s">
        <v>119</v>
      </c>
      <c r="H716" s="343" t="str">
        <f>IFERROR(VLOOKUP(G716,DATOS!$M$2:$N$219,2,FALSE),"")</f>
        <v>Maquinaria</v>
      </c>
      <c r="I716" s="115" t="s">
        <v>32</v>
      </c>
      <c r="J716" s="115" t="str">
        <f>+VLOOKUP($I716,Tabla7[#All],2,FALSE)</f>
        <v>PROGRAMADA</v>
      </c>
      <c r="K716" s="114" t="str">
        <f>IF(VLOOKUP(I716,Tabla7[#All],3,FALSE)=0,"",VLOOKUP(I716,Tabla7[#All],3,FALSE))</f>
        <v/>
      </c>
      <c r="L716" s="35" t="s">
        <v>1460</v>
      </c>
      <c r="M716" s="35" t="s">
        <v>121</v>
      </c>
      <c r="N716" s="35" t="str" cm="1">
        <f t="array" ref="N716">IFERROR(IF(Tabla8[[#This Row],[P/NP]]="NO PROGRAMADA","",_xlfn.TEXTJOIN(", ",TRUE,_xlfn._xlws.FILTER(Tabla4[[#All],[PIEZA]],ISNUMBER(SEARCH(Tabla4[[#All],[PCLAVE]],Tabla8[[#This Row],[DESCRIPCION DE TRABAJO]])),""))),"")</f>
        <v/>
      </c>
      <c r="O716" s="35" t="str" cm="1">
        <f t="array" ref="O716">_xlfn.TEXTJOIN(", ",TRUE,_xlfn._xlws.FILTER(Tabla28[[#All],[PARTE]],ISNUMBER(SEARCH(Tabla28[[#All],[PCLAVE2]],Tabla8[[#This Row],[DESCRIPCION DE TRABAJO]])),""))</f>
        <v>Mds</v>
      </c>
      <c r="P716" s="303" t="str">
        <f>IFERROR(LEFT(O716, FIND(",", O716)-1), O716)</f>
        <v>Mds</v>
      </c>
      <c r="Q716" s="303" t="str">
        <f>IFERROR(IF(ISERROR(FIND(",", O716, FIND(",", O716)+1)), RIGHT(O716, LEN(O716)-FIND(",", O716)-1), MID(O716, FIND(",", O716)+2, FIND(",", O716, FIND(",", O716)+1)-FIND(",", O716)-2)), "")</f>
        <v/>
      </c>
      <c r="R716" s="303" t="str">
        <f>IFERROR(RIGHT(O716, LEN(O716)-FIND(",", O716, FIND(",", O716)+1)-1), "")</f>
        <v/>
      </c>
      <c r="S716" s="35" t="str" cm="1">
        <f t="array" ref="S716">_xlfn.TEXTJOIN(", ",TRUE,_xlfn._xlws.FILTER(Tabla29[[#All],[PARTE]],ISNUMBER(SEARCH(Tabla29[[#All],[PCLAVE3]],Tabla8[[#This Row],[DESCRIPCION DE TRABAJO]])),""))</f>
        <v>Cambio De Formato</v>
      </c>
      <c r="T716" s="34" t="str">
        <f>IF(AND(Tabla8[[#This Row],[PIEZA]]="",Tabla8[[#This Row],[PARTE]]=""),"VACIO","OK")</f>
        <v>OK</v>
      </c>
      <c r="U716" s="303" t="str">
        <f>+CONCATENATE(WEEKNUM(Tabla8[[#This Row],[FECHA]]),"-",YEAR(Tabla8[[#This Row],[FECHA]]))</f>
        <v>13-2026</v>
      </c>
    </row>
    <row r="717" spans="1:21" ht="15" customHeight="1">
      <c r="A717" s="22">
        <v>46106</v>
      </c>
      <c r="B717" s="16" t="s">
        <v>179</v>
      </c>
      <c r="C717" s="10" t="s">
        <v>23</v>
      </c>
      <c r="D717" s="381" t="s">
        <v>579</v>
      </c>
      <c r="E717" s="381" t="s">
        <v>1461</v>
      </c>
      <c r="F717" s="380">
        <f>+MOD(Tabla8[[#This Row],[HR. FIN]]-Tabla8[[#This Row],[HR. INICIO]],1)</f>
        <v>1.7361111111111049E-2</v>
      </c>
      <c r="G717" s="16" t="s">
        <v>119</v>
      </c>
      <c r="H717" s="343" t="str">
        <f>IFERROR(VLOOKUP(G717,DATOS!$M$2:$N$219,2,FALSE),"")</f>
        <v>Maquinaria</v>
      </c>
      <c r="I717" s="115" t="s">
        <v>32</v>
      </c>
      <c r="J717" s="115" t="str">
        <f>+VLOOKUP($I717,Tabla7[#All],2,FALSE)</f>
        <v>PROGRAMADA</v>
      </c>
      <c r="K717" s="114" t="str">
        <f>IF(VLOOKUP(I717,Tabla7[#All],3,FALSE)=0,"",VLOOKUP(I717,Tabla7[#All],3,FALSE))</f>
        <v/>
      </c>
      <c r="L717" s="35" t="s">
        <v>1462</v>
      </c>
      <c r="M717" s="35" t="s">
        <v>121</v>
      </c>
      <c r="N717" s="35" t="str" cm="1">
        <f t="array" ref="N717">IFERROR(IF(Tabla8[[#This Row],[P/NP]]="NO PROGRAMADA","",_xlfn.TEXTJOIN(", ",TRUE,_xlfn._xlws.FILTER(Tabla4[[#All],[PIEZA]],ISNUMBER(SEARCH(Tabla4[[#All],[PCLAVE]],Tabla8[[#This Row],[DESCRIPCION DE TRABAJO]])),""))),"")</f>
        <v/>
      </c>
      <c r="O717" s="35" t="str" cm="1">
        <f t="array" ref="O717">_xlfn.TEXTJOIN(", ",TRUE,_xlfn._xlws.FILTER(Tabla28[[#All],[PARTE]],ISNUMBER(SEARCH(Tabla28[[#All],[PCLAVE2]],Tabla8[[#This Row],[DESCRIPCION DE TRABAJO]])),""))</f>
        <v>Mds</v>
      </c>
      <c r="P717" s="303" t="str">
        <f>IFERROR(LEFT(O717, FIND(",", O717)-1), O717)</f>
        <v>Mds</v>
      </c>
      <c r="Q717" s="303" t="str">
        <f>IFERROR(IF(ISERROR(FIND(",", O717, FIND(",", O717)+1)), RIGHT(O717, LEN(O717)-FIND(",", O717)-1), MID(O717, FIND(",", O717)+2, FIND(",", O717, FIND(",", O717)+1)-FIND(",", O717)-2)), "")</f>
        <v/>
      </c>
      <c r="R717" s="303" t="str">
        <f>IFERROR(RIGHT(O717, LEN(O717)-FIND(",", O717, FIND(",", O717)+1)-1), "")</f>
        <v/>
      </c>
      <c r="S717" s="35" t="str" cm="1">
        <f t="array" ref="S717">_xlfn.TEXTJOIN(", ",TRUE,_xlfn._xlws.FILTER(Tabla29[[#All],[PARTE]],ISNUMBER(SEARCH(Tabla29[[#All],[PCLAVE3]],Tabla8[[#This Row],[DESCRIPCION DE TRABAJO]])),""))</f>
        <v/>
      </c>
      <c r="T717" s="34" t="str">
        <f>IF(AND(Tabla8[[#This Row],[PIEZA]]="",Tabla8[[#This Row],[PARTE]]=""),"VACIO","OK")</f>
        <v>OK</v>
      </c>
      <c r="U717" s="303" t="str">
        <f>+CONCATENATE(WEEKNUM(Tabla8[[#This Row],[FECHA]]),"-",YEAR(Tabla8[[#This Row],[FECHA]]))</f>
        <v>13-2026</v>
      </c>
    </row>
    <row r="718" spans="1:21" ht="15" customHeight="1">
      <c r="A718" s="22">
        <v>46106</v>
      </c>
      <c r="B718" s="16" t="s">
        <v>179</v>
      </c>
      <c r="C718" s="10" t="s">
        <v>23</v>
      </c>
      <c r="D718" s="381" t="s">
        <v>139</v>
      </c>
      <c r="E718" s="381" t="s">
        <v>282</v>
      </c>
      <c r="F718" s="380">
        <f>+MOD(Tabla8[[#This Row],[HR. FIN]]-Tabla8[[#This Row],[HR. INICIO]],1)</f>
        <v>1.388888888888884E-2</v>
      </c>
      <c r="G718" s="16" t="s">
        <v>81</v>
      </c>
      <c r="H718" s="343" t="str">
        <f>IFERROR(VLOOKUP(G718,DATOS!$M$2:$N$219,2,FALSE),"")</f>
        <v>Maquinaria</v>
      </c>
      <c r="I718" s="115" t="s">
        <v>186</v>
      </c>
      <c r="J718" s="115" t="str">
        <f>+VLOOKUP($I718,Tabla7[#All],2,FALSE)</f>
        <v>NO PROGRAMADA</v>
      </c>
      <c r="K718" s="114" t="s">
        <v>93</v>
      </c>
      <c r="L718" s="35" t="s">
        <v>1463</v>
      </c>
      <c r="M718" s="35" t="s">
        <v>1464</v>
      </c>
      <c r="N718" s="35" t="str" cm="1">
        <f t="array" ref="N718">IFERROR(IF(Tabla8[[#This Row],[P/NP]]="NO PROGRAMADA","",_xlfn.TEXTJOIN(", ",TRUE,_xlfn._xlws.FILTER(Tabla4[[#All],[PIEZA]],ISNUMBER(SEARCH(Tabla4[[#All],[PCLAVE]],Tabla8[[#This Row],[DESCRIPCION DE TRABAJO]])),""))),"")</f>
        <v/>
      </c>
      <c r="O718" s="35" t="str" cm="1">
        <f t="array" ref="O718">_xlfn.TEXTJOIN(", ",TRUE,_xlfn._xlws.FILTER(Tabla28[[#All],[PARTE]],ISNUMBER(SEARCH(Tabla28[[#All],[PCLAVE2]],Tabla8[[#This Row],[DESCRIPCION DE TRABAJO]])),""))</f>
        <v/>
      </c>
      <c r="P718" s="303" t="str">
        <f>IFERROR(LEFT(O718, FIND(",", O718)-1), O718)</f>
        <v/>
      </c>
      <c r="Q718" s="303" t="str">
        <f>IFERROR(IF(ISERROR(FIND(",", O718, FIND(",", O718)+1)), RIGHT(O718, LEN(O718)-FIND(",", O718)-1), MID(O718, FIND(",", O718)+2, FIND(",", O718, FIND(",", O718)+1)-FIND(",", O718)-2)), "")</f>
        <v/>
      </c>
      <c r="R718" s="303" t="str">
        <f>IFERROR(RIGHT(O718, LEN(O718)-FIND(",", O718, FIND(",", O718)+1)-1), "")</f>
        <v/>
      </c>
      <c r="S718" s="35" t="str" cm="1">
        <f t="array" ref="S718">_xlfn.TEXTJOIN(", ",TRUE,_xlfn._xlws.FILTER(Tabla29[[#All],[PARTE]],ISNUMBER(SEARCH(Tabla29[[#All],[PCLAVE3]],Tabla8[[#This Row],[DESCRIPCION DE TRABAJO]])),""))</f>
        <v/>
      </c>
      <c r="T718" s="34" t="str">
        <f>IF(AND(Tabla8[[#This Row],[PIEZA]]="",Tabla8[[#This Row],[PARTE]]=""),"VACIO","OK")</f>
        <v>VACIO</v>
      </c>
      <c r="U718" s="303" t="str">
        <f>+CONCATENATE(WEEKNUM(Tabla8[[#This Row],[FECHA]]),"-",YEAR(Tabla8[[#This Row],[FECHA]]))</f>
        <v>13-2026</v>
      </c>
    </row>
    <row r="719" spans="1:21" ht="15" customHeight="1">
      <c r="A719" s="22">
        <v>46106</v>
      </c>
      <c r="B719" s="16" t="s">
        <v>179</v>
      </c>
      <c r="C719" s="10" t="s">
        <v>23</v>
      </c>
      <c r="D719" s="381" t="s">
        <v>620</v>
      </c>
      <c r="E719" s="381" t="s">
        <v>453</v>
      </c>
      <c r="F719" s="380">
        <f>+MOD(Tabla8[[#This Row],[HR. FIN]]-Tabla8[[#This Row],[HR. INICIO]],1)</f>
        <v>1.388888888888884E-2</v>
      </c>
      <c r="G719" s="16" t="s">
        <v>1465</v>
      </c>
      <c r="H719" s="343" t="str">
        <f>IFERROR(VLOOKUP(G719,DATOS!$M$2:$N$219,2,FALSE),"")</f>
        <v>Maquinaria</v>
      </c>
      <c r="I719" s="115" t="s">
        <v>32</v>
      </c>
      <c r="J719" s="115" t="s">
        <v>92</v>
      </c>
      <c r="K719" s="114" t="s">
        <v>148</v>
      </c>
      <c r="L719" s="35" t="s">
        <v>1466</v>
      </c>
      <c r="M719" s="35" t="s">
        <v>1467</v>
      </c>
      <c r="N719" s="35" t="str" cm="1">
        <f t="array" ref="N719">IFERROR(IF(Tabla8[[#This Row],[P/NP]]="NO PROGRAMADA","",_xlfn.TEXTJOIN(", ",TRUE,_xlfn._xlws.FILTER(Tabla4[[#All],[PIEZA]],ISNUMBER(SEARCH(Tabla4[[#All],[PCLAVE]],Tabla8[[#This Row],[DESCRIPCION DE TRABAJO]])),""))),"")</f>
        <v/>
      </c>
      <c r="O719" s="35" t="str" cm="1">
        <f t="array" ref="O719">_xlfn.TEXTJOIN(", ",TRUE,_xlfn._xlws.FILTER(Tabla28[[#All],[PARTE]],ISNUMBER(SEARCH(Tabla28[[#All],[PCLAVE2]],Tabla8[[#This Row],[DESCRIPCION DE TRABAJO]])),""))</f>
        <v/>
      </c>
      <c r="P719" s="303" t="str">
        <f>IFERROR(LEFT(O719, FIND(",", O719)-1), O719)</f>
        <v/>
      </c>
      <c r="Q719" s="303" t="str">
        <f>IFERROR(IF(ISERROR(FIND(",", O719, FIND(",", O719)+1)), RIGHT(O719, LEN(O719)-FIND(",", O719)-1), MID(O719, FIND(",", O719)+2, FIND(",", O719, FIND(",", O719)+1)-FIND(",", O719)-2)), "")</f>
        <v/>
      </c>
      <c r="R719" s="303" t="str">
        <f>IFERROR(RIGHT(O719, LEN(O719)-FIND(",", O719, FIND(",", O719)+1)-1), "")</f>
        <v/>
      </c>
      <c r="S719" s="35" t="str" cm="1">
        <f t="array" ref="S719">_xlfn.TEXTJOIN(", ",TRUE,_xlfn._xlws.FILTER(Tabla29[[#All],[PARTE]],ISNUMBER(SEARCH(Tabla29[[#All],[PCLAVE3]],Tabla8[[#This Row],[DESCRIPCION DE TRABAJO]])),""))</f>
        <v/>
      </c>
      <c r="T719" s="34" t="str">
        <f>IF(AND(Tabla8[[#This Row],[PIEZA]]="",Tabla8[[#This Row],[PARTE]]=""),"VACIO","OK")</f>
        <v>VACIO</v>
      </c>
      <c r="U719" s="303" t="str">
        <f>+CONCATENATE(WEEKNUM(Tabla8[[#This Row],[FECHA]]),"-",YEAR(Tabla8[[#This Row],[FECHA]]))</f>
        <v>13-2026</v>
      </c>
    </row>
    <row r="720" spans="1:21" ht="15" customHeight="1">
      <c r="A720" s="22">
        <v>46106</v>
      </c>
      <c r="B720" s="16" t="s">
        <v>191</v>
      </c>
      <c r="C720" s="10" t="s">
        <v>39</v>
      </c>
      <c r="D720" s="381" t="s">
        <v>1468</v>
      </c>
      <c r="E720" s="381" t="s">
        <v>1469</v>
      </c>
      <c r="F720" s="380">
        <f>+MOD(Tabla8[[#This Row],[HR. FIN]]-Tabla8[[#This Row],[HR. INICIO]],1)</f>
        <v>1.3194444444444509E-2</v>
      </c>
      <c r="G720" s="16" t="s">
        <v>1470</v>
      </c>
      <c r="H720" s="343" t="str">
        <f>IFERROR(VLOOKUP(G720,DATOS!$M$2:$N$219,2,FALSE),"")</f>
        <v>Maquinaria</v>
      </c>
      <c r="I720" s="115" t="s">
        <v>28</v>
      </c>
      <c r="J720" s="115" t="s">
        <v>92</v>
      </c>
      <c r="K720" s="114" t="s">
        <v>93</v>
      </c>
      <c r="L720" s="35" t="s">
        <v>1471</v>
      </c>
      <c r="M720" s="35" t="s">
        <v>1472</v>
      </c>
      <c r="N720" s="35" t="str" cm="1">
        <f t="array" ref="N720">IFERROR(IF(Tabla8[[#This Row],[P/NP]]="NO PROGRAMADA","",_xlfn.TEXTJOIN(", ",TRUE,_xlfn._xlws.FILTER(Tabla4[[#All],[PIEZA]],ISNUMBER(SEARCH(Tabla4[[#All],[PCLAVE]],Tabla8[[#This Row],[DESCRIPCION DE TRABAJO]])),""))),"")</f>
        <v/>
      </c>
      <c r="O720" s="35" t="str" cm="1">
        <f t="array" ref="O720">_xlfn.TEXTJOIN(", ",TRUE,_xlfn._xlws.FILTER(Tabla28[[#All],[PARTE]],ISNUMBER(SEARCH(Tabla28[[#All],[PCLAVE2]],Tabla8[[#This Row],[DESCRIPCION DE TRABAJO]])),""))</f>
        <v/>
      </c>
      <c r="P720" s="303" t="str">
        <f>IFERROR(LEFT(O720, FIND(",", O720)-1), O720)</f>
        <v/>
      </c>
      <c r="Q720" s="303" t="str">
        <f>IFERROR(IF(ISERROR(FIND(",", O720, FIND(",", O720)+1)), RIGHT(O720, LEN(O720)-FIND(",", O720)-1), MID(O720, FIND(",", O720)+2, FIND(",", O720, FIND(",", O720)+1)-FIND(",", O720)-2)), "")</f>
        <v/>
      </c>
      <c r="R720" s="303" t="str">
        <f>IFERROR(RIGHT(O720, LEN(O720)-FIND(",", O720, FIND(",", O720)+1)-1), "")</f>
        <v/>
      </c>
      <c r="S720" s="35" t="str" cm="1">
        <f t="array" ref="S720">_xlfn.TEXTJOIN(", ",TRUE,_xlfn._xlws.FILTER(Tabla29[[#All],[PARTE]],ISNUMBER(SEARCH(Tabla29[[#All],[PCLAVE3]],Tabla8[[#This Row],[DESCRIPCION DE TRABAJO]])),""))</f>
        <v>No Corta</v>
      </c>
      <c r="T720" s="34" t="str">
        <f>IF(AND(Tabla8[[#This Row],[PIEZA]]="",Tabla8[[#This Row],[PARTE]]=""),"VACIO","OK")</f>
        <v>VACIO</v>
      </c>
      <c r="U720" s="303" t="str">
        <f>+CONCATENATE(WEEKNUM(Tabla8[[#This Row],[FECHA]]),"-",YEAR(Tabla8[[#This Row],[FECHA]]))</f>
        <v>13-2026</v>
      </c>
    </row>
    <row r="721" spans="1:21" ht="15" customHeight="1">
      <c r="A721" s="22">
        <v>46106</v>
      </c>
      <c r="B721" s="16" t="s">
        <v>191</v>
      </c>
      <c r="C721" s="10" t="s">
        <v>39</v>
      </c>
      <c r="D721" s="381" t="s">
        <v>1473</v>
      </c>
      <c r="E721" s="381" t="s">
        <v>1474</v>
      </c>
      <c r="F721" s="380">
        <f>+MOD(Tabla8[[#This Row],[HR. FIN]]-Tabla8[[#This Row],[HR. INICIO]],1)</f>
        <v>1.3194444444444439E-2</v>
      </c>
      <c r="G721" s="16" t="s">
        <v>31</v>
      </c>
      <c r="H721" s="343" t="str">
        <f>IFERROR(VLOOKUP(G721,DATOS!$M$2:$N$219,2,FALSE),"")</f>
        <v>Maquinaria</v>
      </c>
      <c r="I721" s="115" t="s">
        <v>57</v>
      </c>
      <c r="J721" s="115" t="s">
        <v>157</v>
      </c>
      <c r="K721" s="114"/>
      <c r="L721" s="35" t="s">
        <v>1475</v>
      </c>
      <c r="M721" s="35" t="s">
        <v>121</v>
      </c>
      <c r="N721" s="35" t="str" cm="1">
        <f t="array" ref="N721">IFERROR(IF(Tabla8[[#This Row],[P/NP]]="NO PROGRAMADA","",_xlfn.TEXTJOIN(", ",TRUE,_xlfn._xlws.FILTER(Tabla4[[#All],[PIEZA]],ISNUMBER(SEARCH(Tabla4[[#All],[PCLAVE]],Tabla8[[#This Row],[DESCRIPCION DE TRABAJO]])),""))),"")</f>
        <v>Banda, Guias, Producto</v>
      </c>
      <c r="O721" s="35" t="str" cm="1">
        <f t="array" ref="O721">_xlfn.TEXTJOIN(", ",TRUE,_xlfn._xlws.FILTER(Tabla28[[#All],[PARTE]],ISNUMBER(SEARCH(Tabla28[[#All],[PCLAVE2]],Tabla8[[#This Row],[DESCRIPCION DE TRABAJO]])),""))</f>
        <v/>
      </c>
      <c r="P721" s="303" t="str">
        <f>IFERROR(LEFT(O721, FIND(",", O721)-1), O721)</f>
        <v/>
      </c>
      <c r="Q721" s="303" t="str">
        <f>IFERROR(IF(ISERROR(FIND(",", O721, FIND(",", O721)+1)), RIGHT(O721, LEN(O721)-FIND(",", O721)-1), MID(O721, FIND(",", O721)+2, FIND(",", O721, FIND(",", O721)+1)-FIND(",", O721)-2)), "")</f>
        <v/>
      </c>
      <c r="R721" s="303" t="str">
        <f>IFERROR(RIGHT(O721, LEN(O721)-FIND(",", O721, FIND(",", O721)+1)-1), "")</f>
        <v/>
      </c>
      <c r="S721" s="35" t="str" cm="1">
        <f t="array" ref="S721">_xlfn.TEXTJOIN(", ",TRUE,_xlfn._xlws.FILTER(Tabla29[[#All],[PARTE]],ISNUMBER(SEARCH(Tabla29[[#All],[PCLAVE3]],Tabla8[[#This Row],[DESCRIPCION DE TRABAJO]])),""))</f>
        <v>Expulsion, Falla En Velocid*, Velocidad</v>
      </c>
      <c r="T721" s="34" t="str">
        <f>IF(AND(Tabla8[[#This Row],[PIEZA]]="",Tabla8[[#This Row],[PARTE]]=""),"VACIO","OK")</f>
        <v>OK</v>
      </c>
      <c r="U721" s="303" t="str">
        <f>+CONCATENATE(WEEKNUM(Tabla8[[#This Row],[FECHA]]),"-",YEAR(Tabla8[[#This Row],[FECHA]]))</f>
        <v>13-2026</v>
      </c>
    </row>
    <row r="722" spans="1:21" ht="15" customHeight="1">
      <c r="A722" s="22">
        <v>46106</v>
      </c>
      <c r="B722" s="16" t="s">
        <v>191</v>
      </c>
      <c r="C722" s="10" t="s">
        <v>39</v>
      </c>
      <c r="D722" s="381" t="s">
        <v>681</v>
      </c>
      <c r="E722" s="381" t="s">
        <v>886</v>
      </c>
      <c r="F722" s="380">
        <f>+MOD(Tabla8[[#This Row],[HR. FIN]]-Tabla8[[#This Row],[HR. INICIO]],1)</f>
        <v>1.2500000000000067E-2</v>
      </c>
      <c r="G722" s="16" t="s">
        <v>215</v>
      </c>
      <c r="H722" s="343" t="str">
        <f>IFERROR(VLOOKUP(G722,DATOS!$M$2:$N$219,2,FALSE),"")</f>
        <v>Equipos auxiliares</v>
      </c>
      <c r="I722" s="115" t="s">
        <v>54</v>
      </c>
      <c r="J722" s="115" t="str">
        <f>+VLOOKUP($I722,Tabla7[#All],2,FALSE)</f>
        <v>PROGRAMADA</v>
      </c>
      <c r="K722" s="114" t="str">
        <f>IF(VLOOKUP(I722,Tabla7[#All],3,FALSE)=0,"",VLOOKUP(I722,Tabla7[#All],3,FALSE))</f>
        <v/>
      </c>
      <c r="L722" s="35" t="s">
        <v>248</v>
      </c>
      <c r="M722" s="35" t="s">
        <v>121</v>
      </c>
      <c r="N722" s="35" t="str" cm="1">
        <f t="array" ref="N722">IFERROR(IF(Tabla8[[#This Row],[P/NP]]="NO PROGRAMADA","",_xlfn.TEXTJOIN(", ",TRUE,_xlfn._xlws.FILTER(Tabla4[[#All],[PIEZA]],ISNUMBER(SEARCH(Tabla4[[#All],[PCLAVE]],Tabla8[[#This Row],[DESCRIPCION DE TRABAJO]])),""))),"")</f>
        <v/>
      </c>
      <c r="O722" s="35" t="str" cm="1">
        <f t="array" ref="O722">_xlfn.TEXTJOIN(", ",TRUE,_xlfn._xlws.FILTER(Tabla28[[#All],[PARTE]],ISNUMBER(SEARCH(Tabla28[[#All],[PCLAVE2]],Tabla8[[#This Row],[DESCRIPCION DE TRABAJO]])),""))</f>
        <v/>
      </c>
      <c r="P722" s="303" t="str">
        <f>IFERROR(LEFT(O722, FIND(",", O722)-1), O722)</f>
        <v/>
      </c>
      <c r="Q722" s="303" t="str">
        <f>IFERROR(IF(ISERROR(FIND(",", O722, FIND(",", O722)+1)), RIGHT(O722, LEN(O722)-FIND(",", O722)-1), MID(O722, FIND(",", O722)+2, FIND(",", O722, FIND(",", O722)+1)-FIND(",", O722)-2)), "")</f>
        <v/>
      </c>
      <c r="R722" s="303" t="str">
        <f>IFERROR(RIGHT(O722, LEN(O722)-FIND(",", O722, FIND(",", O722)+1)-1), "")</f>
        <v/>
      </c>
      <c r="S722" s="35" t="str" cm="1">
        <f t="array" ref="S722">_xlfn.TEXTJOIN(", ",TRUE,_xlfn._xlws.FILTER(Tabla29[[#All],[PARTE]],ISNUMBER(SEARCH(Tabla29[[#All],[PCLAVE3]],Tabla8[[#This Row],[DESCRIPCION DE TRABAJO]])),""))</f>
        <v/>
      </c>
      <c r="T722" s="34" t="str">
        <f>IF(AND(Tabla8[[#This Row],[PIEZA]]="",Tabla8[[#This Row],[PARTE]]=""),"VACIO","OK")</f>
        <v>VACIO</v>
      </c>
      <c r="U722" s="303" t="str">
        <f>+CONCATENATE(WEEKNUM(Tabla8[[#This Row],[FECHA]]),"-",YEAR(Tabla8[[#This Row],[FECHA]]))</f>
        <v>13-2026</v>
      </c>
    </row>
    <row r="723" spans="1:21" ht="15" customHeight="1">
      <c r="A723" s="22">
        <v>46106</v>
      </c>
      <c r="B723" s="16" t="s">
        <v>191</v>
      </c>
      <c r="C723" s="10" t="s">
        <v>39</v>
      </c>
      <c r="D723" s="381" t="s">
        <v>583</v>
      </c>
      <c r="E723" s="381" t="s">
        <v>546</v>
      </c>
      <c r="F723" s="380">
        <f>+MOD(Tabla8[[#This Row],[HR. FIN]]-Tabla8[[#This Row],[HR. INICIO]],1)</f>
        <v>1.1805555555555514E-2</v>
      </c>
      <c r="G723" s="16" t="s">
        <v>1247</v>
      </c>
      <c r="H723" s="343" t="str">
        <f>IFERROR(VLOOKUP(G723,DATOS!$M$2:$N$219,2,FALSE),"")</f>
        <v>Equipos</v>
      </c>
      <c r="I723" s="115" t="s">
        <v>32</v>
      </c>
      <c r="J723" s="115" t="s">
        <v>92</v>
      </c>
      <c r="K723" s="114" t="s">
        <v>148</v>
      </c>
      <c r="L723" s="35" t="s">
        <v>1476</v>
      </c>
      <c r="M723" s="35" t="s">
        <v>1477</v>
      </c>
      <c r="N723" s="35" t="str" cm="1">
        <f t="array" ref="N723">IFERROR(IF(Tabla8[[#This Row],[P/NP]]="NO PROGRAMADA","",_xlfn.TEXTJOIN(", ",TRUE,_xlfn._xlws.FILTER(Tabla4[[#All],[PIEZA]],ISNUMBER(SEARCH(Tabla4[[#All],[PCLAVE]],Tabla8[[#This Row],[DESCRIPCION DE TRABAJO]])),""))),"")</f>
        <v/>
      </c>
      <c r="O723" s="35" t="str" cm="1">
        <f t="array" ref="O723">_xlfn.TEXTJOIN(", ",TRUE,_xlfn._xlws.FILTER(Tabla28[[#All],[PARTE]],ISNUMBER(SEARCH(Tabla28[[#All],[PCLAVE2]],Tabla8[[#This Row],[DESCRIPCION DE TRABAJO]])),""))</f>
        <v/>
      </c>
      <c r="P723" s="303" t="str">
        <f>IFERROR(LEFT(O723, FIND(",", O723)-1), O723)</f>
        <v/>
      </c>
      <c r="Q723" s="303" t="str">
        <f>IFERROR(IF(ISERROR(FIND(",", O723, FIND(",", O723)+1)), RIGHT(O723, LEN(O723)-FIND(",", O723)-1), MID(O723, FIND(",", O723)+2, FIND(",", O723, FIND(",", O723)+1)-FIND(",", O723)-2)), "")</f>
        <v/>
      </c>
      <c r="R723" s="303" t="str">
        <f>IFERROR(RIGHT(O723, LEN(O723)-FIND(",", O723, FIND(",", O723)+1)-1), "")</f>
        <v/>
      </c>
      <c r="S723" s="35" t="str" cm="1">
        <f t="array" ref="S723">_xlfn.TEXTJOIN(", ",TRUE,_xlfn._xlws.FILTER(Tabla29[[#All],[PARTE]],ISNUMBER(SEARCH(Tabla29[[#All],[PCLAVE3]],Tabla8[[#This Row],[DESCRIPCION DE TRABAJO]])),""))</f>
        <v/>
      </c>
      <c r="T723" s="34" t="str">
        <f>IF(AND(Tabla8[[#This Row],[PIEZA]]="",Tabla8[[#This Row],[PARTE]]=""),"VACIO","OK")</f>
        <v>VACIO</v>
      </c>
      <c r="U723" s="303" t="str">
        <f>+CONCATENATE(WEEKNUM(Tabla8[[#This Row],[FECHA]]),"-",YEAR(Tabla8[[#This Row],[FECHA]]))</f>
        <v>13-2026</v>
      </c>
    </row>
    <row r="724" spans="1:21" ht="15" customHeight="1">
      <c r="A724" s="22">
        <v>46106</v>
      </c>
      <c r="B724" s="16" t="s">
        <v>191</v>
      </c>
      <c r="C724" s="10" t="s">
        <v>39</v>
      </c>
      <c r="D724" s="381" t="s">
        <v>1478</v>
      </c>
      <c r="E724" s="381" t="s">
        <v>1104</v>
      </c>
      <c r="F724" s="380">
        <f>+MOD(Tabla8[[#This Row],[HR. FIN]]-Tabla8[[#This Row],[HR. INICIO]],1)</f>
        <v>1.1111111111111072E-2</v>
      </c>
      <c r="G724" s="16" t="s">
        <v>169</v>
      </c>
      <c r="H724" s="343" t="str">
        <f>IFERROR(VLOOKUP(G724,DATOS!$M$2:$N$219,2,FALSE),"")</f>
        <v>Maquinaria</v>
      </c>
      <c r="I724" s="115" t="s">
        <v>32</v>
      </c>
      <c r="J724" s="115" t="str">
        <f>+VLOOKUP($I724,Tabla7[#All],2,FALSE)</f>
        <v>PROGRAMADA</v>
      </c>
      <c r="K724" s="114" t="str">
        <f>IF(VLOOKUP(I724,Tabla7[#All],3,FALSE)=0,"",VLOOKUP(I724,Tabla7[#All],3,FALSE))</f>
        <v/>
      </c>
      <c r="L724" s="35" t="s">
        <v>449</v>
      </c>
      <c r="M724" s="35" t="s">
        <v>121</v>
      </c>
      <c r="N724" s="35" t="str" cm="1">
        <f t="array" ref="N724">IFERROR(IF(Tabla8[[#This Row],[P/NP]]="NO PROGRAMADA","",_xlfn.TEXTJOIN(", ",TRUE,_xlfn._xlws.FILTER(Tabla4[[#All],[PIEZA]],ISNUMBER(SEARCH(Tabla4[[#All],[PCLAVE]],Tabla8[[#This Row],[DESCRIPCION DE TRABAJO]])),""))),"")</f>
        <v/>
      </c>
      <c r="O724" s="35" t="str" cm="1">
        <f t="array" ref="O724">_xlfn.TEXTJOIN(", ",TRUE,_xlfn._xlws.FILTER(Tabla28[[#All],[PARTE]],ISNUMBER(SEARCH(Tabla28[[#All],[PCLAVE2]],Tabla8[[#This Row],[DESCRIPCION DE TRABAJO]])),""))</f>
        <v/>
      </c>
      <c r="P724" s="303" t="str">
        <f>IFERROR(LEFT(O724, FIND(",", O724)-1), O724)</f>
        <v/>
      </c>
      <c r="Q724" s="303" t="str">
        <f>IFERROR(IF(ISERROR(FIND(",", O724, FIND(",", O724)+1)), RIGHT(O724, LEN(O724)-FIND(",", O724)-1), MID(O724, FIND(",", O724)+2, FIND(",", O724, FIND(",", O724)+1)-FIND(",", O724)-2)), "")</f>
        <v/>
      </c>
      <c r="R724" s="303" t="str">
        <f>IFERROR(RIGHT(O724, LEN(O724)-FIND(",", O724, FIND(",", O724)+1)-1), "")</f>
        <v/>
      </c>
      <c r="S724" s="35" t="str" cm="1">
        <f t="array" ref="S724">_xlfn.TEXTJOIN(", ",TRUE,_xlfn._xlws.FILTER(Tabla29[[#All],[PARTE]],ISNUMBER(SEARCH(Tabla29[[#All],[PCLAVE3]],Tabla8[[#This Row],[DESCRIPCION DE TRABAJO]])),""))</f>
        <v/>
      </c>
      <c r="T724" s="34" t="str">
        <f>IF(AND(Tabla8[[#This Row],[PIEZA]]="",Tabla8[[#This Row],[PARTE]]=""),"VACIO","OK")</f>
        <v>VACIO</v>
      </c>
      <c r="U724" s="303" t="str">
        <f>+CONCATENATE(WEEKNUM(Tabla8[[#This Row],[FECHA]]),"-",YEAR(Tabla8[[#This Row],[FECHA]]))</f>
        <v>13-2026</v>
      </c>
    </row>
    <row r="725" spans="1:21" ht="15" customHeight="1">
      <c r="A725" s="22">
        <v>46106</v>
      </c>
      <c r="B725" s="16" t="s">
        <v>191</v>
      </c>
      <c r="C725" s="10" t="s">
        <v>39</v>
      </c>
      <c r="D725" s="381" t="s">
        <v>663</v>
      </c>
      <c r="E725" s="381" t="s">
        <v>1479</v>
      </c>
      <c r="F725" s="380">
        <f>+MOD(Tabla8[[#This Row],[HR. FIN]]-Tabla8[[#This Row],[HR. INICIO]],1)</f>
        <v>1.0416666666666741E-2</v>
      </c>
      <c r="G725" s="16" t="s">
        <v>119</v>
      </c>
      <c r="H725" s="343" t="str">
        <f>IFERROR(VLOOKUP(G725,DATOS!$M$2:$N$219,2,FALSE),"")</f>
        <v>Maquinaria</v>
      </c>
      <c r="I725" s="115" t="s">
        <v>57</v>
      </c>
      <c r="J725" s="115" t="s">
        <v>157</v>
      </c>
      <c r="K725" s="114"/>
      <c r="L725" s="35" t="s">
        <v>1480</v>
      </c>
      <c r="M725" s="35" t="s">
        <v>121</v>
      </c>
      <c r="N725" s="35" t="str" cm="1">
        <f t="array" ref="N725">IFERROR(IF(Tabla8[[#This Row],[P/NP]]="NO PROGRAMADA","",_xlfn.TEXTJOIN(", ",TRUE,_xlfn._xlws.FILTER(Tabla4[[#All],[PIEZA]],ISNUMBER(SEARCH(Tabla4[[#All],[PCLAVE]],Tabla8[[#This Row],[DESCRIPCION DE TRABAJO]])),""))),"")</f>
        <v/>
      </c>
      <c r="O725" s="35" t="str" cm="1">
        <f t="array" ref="O725">_xlfn.TEXTJOIN(", ",TRUE,_xlfn._xlws.FILTER(Tabla28[[#All],[PARTE]],ISNUMBER(SEARCH(Tabla28[[#All],[PCLAVE2]],Tabla8[[#This Row],[DESCRIPCION DE TRABAJO]])),""))</f>
        <v>Dosificador, Mds</v>
      </c>
      <c r="P725" s="303" t="str">
        <f>IFERROR(LEFT(O725, FIND(",", O725)-1), O725)</f>
        <v>Dosificador</v>
      </c>
      <c r="Q725" s="303" t="str">
        <f>IFERROR(IF(ISERROR(FIND(",", O725, FIND(",", O725)+1)), RIGHT(O725, LEN(O725)-FIND(",", O725)-1), MID(O725, FIND(",", O725)+2, FIND(",", O725, FIND(",", O725)+1)-FIND(",", O725)-2)), "")</f>
        <v>Mds</v>
      </c>
      <c r="R725" s="303" t="str">
        <f>IFERROR(RIGHT(O725, LEN(O725)-FIND(",", O725, FIND(",", O725)+1)-1), "")</f>
        <v/>
      </c>
      <c r="S725" s="35" t="str" cm="1">
        <f t="array" ref="S725">_xlfn.TEXTJOIN(", ",TRUE,_xlfn._xlws.FILTER(Tabla29[[#All],[PARTE]],ISNUMBER(SEARCH(Tabla29[[#All],[PCLAVE3]],Tabla8[[#This Row],[DESCRIPCION DE TRABAJO]])),""))</f>
        <v/>
      </c>
      <c r="T725" s="34" t="str">
        <f>IF(AND(Tabla8[[#This Row],[PIEZA]]="",Tabla8[[#This Row],[PARTE]]=""),"VACIO","OK")</f>
        <v>OK</v>
      </c>
      <c r="U725" s="303" t="str">
        <f>+CONCATENATE(WEEKNUM(Tabla8[[#This Row],[FECHA]]),"-",YEAR(Tabla8[[#This Row],[FECHA]]))</f>
        <v>13-2026</v>
      </c>
    </row>
    <row r="726" spans="1:21" ht="15" customHeight="1">
      <c r="A726" s="22">
        <v>46106</v>
      </c>
      <c r="B726" s="16" t="s">
        <v>191</v>
      </c>
      <c r="C726" s="10" t="s">
        <v>39</v>
      </c>
      <c r="D726" s="381" t="s">
        <v>1481</v>
      </c>
      <c r="E726" s="381" t="s">
        <v>1482</v>
      </c>
      <c r="F726" s="380">
        <f>+MOD(Tabla8[[#This Row],[HR. FIN]]-Tabla8[[#This Row],[HR. INICIO]],1)</f>
        <v>9.7222222222222224E-3</v>
      </c>
      <c r="G726" s="16" t="s">
        <v>169</v>
      </c>
      <c r="H726" s="343" t="str">
        <f>IFERROR(VLOOKUP(G726,DATOS!$M$2:$N$219,2,FALSE),"")</f>
        <v>Maquinaria</v>
      </c>
      <c r="I726" s="115" t="s">
        <v>32</v>
      </c>
      <c r="J726" s="115" t="str">
        <f>+VLOOKUP($I726,Tabla7[#All],2,FALSE)</f>
        <v>PROGRAMADA</v>
      </c>
      <c r="K726" s="114" t="str">
        <f>IF(VLOOKUP(I726,Tabla7[#All],3,FALSE)=0,"",VLOOKUP(I726,Tabla7[#All],3,FALSE))</f>
        <v/>
      </c>
      <c r="L726" s="35" t="s">
        <v>893</v>
      </c>
      <c r="M726" s="35" t="s">
        <v>121</v>
      </c>
      <c r="N726" s="35" t="str" cm="1">
        <f t="array" ref="N726">IFERROR(IF(Tabla8[[#This Row],[P/NP]]="NO PROGRAMADA","",_xlfn.TEXTJOIN(", ",TRUE,_xlfn._xlws.FILTER(Tabla4[[#All],[PIEZA]],ISNUMBER(SEARCH(Tabla4[[#All],[PCLAVE]],Tabla8[[#This Row],[DESCRIPCION DE TRABAJO]])),""))),"")</f>
        <v/>
      </c>
      <c r="O726" s="35" t="str" cm="1">
        <f t="array" ref="O726">_xlfn.TEXTJOIN(", ",TRUE,_xlfn._xlws.FILTER(Tabla28[[#All],[PARTE]],ISNUMBER(SEARCH(Tabla28[[#All],[PCLAVE2]],Tabla8[[#This Row],[DESCRIPCION DE TRABAJO]])),""))</f>
        <v/>
      </c>
      <c r="P726" s="303" t="str">
        <f>IFERROR(LEFT(O726, FIND(",", O726)-1), O726)</f>
        <v/>
      </c>
      <c r="Q726" s="303" t="str">
        <f>IFERROR(IF(ISERROR(FIND(",", O726, FIND(",", O726)+1)), RIGHT(O726, LEN(O726)-FIND(",", O726)-1), MID(O726, FIND(",", O726)+2, FIND(",", O726, FIND(",", O726)+1)-FIND(",", O726)-2)), "")</f>
        <v/>
      </c>
      <c r="R726" s="303" t="str">
        <f>IFERROR(RIGHT(O726, LEN(O726)-FIND(",", O726, FIND(",", O726)+1)-1), "")</f>
        <v/>
      </c>
      <c r="S726" s="35" t="str" cm="1">
        <f t="array" ref="S726">_xlfn.TEXTJOIN(", ",TRUE,_xlfn._xlws.FILTER(Tabla29[[#All],[PARTE]],ISNUMBER(SEARCH(Tabla29[[#All],[PCLAVE3]],Tabla8[[#This Row],[DESCRIPCION DE TRABAJO]])),""))</f>
        <v/>
      </c>
      <c r="T726" s="34" t="str">
        <f>IF(AND(Tabla8[[#This Row],[PIEZA]]="",Tabla8[[#This Row],[PARTE]]=""),"VACIO","OK")</f>
        <v>VACIO</v>
      </c>
      <c r="U726" s="303" t="str">
        <f>+CONCATENATE(WEEKNUM(Tabla8[[#This Row],[FECHA]]),"-",YEAR(Tabla8[[#This Row],[FECHA]]))</f>
        <v>13-2026</v>
      </c>
    </row>
    <row r="727" spans="1:21" ht="15" customHeight="1">
      <c r="A727" s="22">
        <v>46106</v>
      </c>
      <c r="B727" s="16" t="s">
        <v>191</v>
      </c>
      <c r="C727" s="10" t="s">
        <v>39</v>
      </c>
      <c r="D727" s="381" t="s">
        <v>113</v>
      </c>
      <c r="E727" s="381" t="s">
        <v>1483</v>
      </c>
      <c r="F727" s="380">
        <f>+MOD(Tabla8[[#This Row],[HR. FIN]]-Tabla8[[#This Row],[HR. INICIO]],1)</f>
        <v>9.7222222222222154E-3</v>
      </c>
      <c r="G727" s="16" t="s">
        <v>31</v>
      </c>
      <c r="H727" s="343" t="str">
        <f>IFERROR(VLOOKUP(G727,DATOS!$M$2:$N$219,2,FALSE),"")</f>
        <v>Maquinaria</v>
      </c>
      <c r="I727" s="115" t="s">
        <v>57</v>
      </c>
      <c r="J727" s="115" t="str">
        <f>+VLOOKUP($I727,Tabla7[#All],2,FALSE)</f>
        <v>NO PROGRAMADA</v>
      </c>
      <c r="K727" s="114" t="s">
        <v>93</v>
      </c>
      <c r="L727" s="35" t="s">
        <v>1484</v>
      </c>
      <c r="M727" s="35" t="s">
        <v>121</v>
      </c>
      <c r="N727" s="35" t="str" cm="1">
        <f t="array" ref="N727">IFERROR(IF(Tabla8[[#This Row],[P/NP]]="NO PROGRAMADA","",_xlfn.TEXTJOIN(", ",TRUE,_xlfn._xlws.FILTER(Tabla4[[#All],[PIEZA]],ISNUMBER(SEARCH(Tabla4[[#All],[PCLAVE]],Tabla8[[#This Row],[DESCRIPCION DE TRABAJO]])),""))),"")</f>
        <v/>
      </c>
      <c r="O727" s="35" t="str" cm="1">
        <f t="array" ref="O727">_xlfn.TEXTJOIN(", ",TRUE,_xlfn._xlws.FILTER(Tabla28[[#All],[PARTE]],ISNUMBER(SEARCH(Tabla28[[#All],[PCLAVE2]],Tabla8[[#This Row],[DESCRIPCION DE TRABAJO]])),""))</f>
        <v/>
      </c>
      <c r="P727" s="303" t="str">
        <f>IFERROR(LEFT(O727, FIND(",", O727)-1), O727)</f>
        <v/>
      </c>
      <c r="Q727" s="303" t="str">
        <f>IFERROR(IF(ISERROR(FIND(",", O727, FIND(",", O727)+1)), RIGHT(O727, LEN(O727)-FIND(",", O727)-1), MID(O727, FIND(",", O727)+2, FIND(",", O727, FIND(",", O727)+1)-FIND(",", O727)-2)), "")</f>
        <v/>
      </c>
      <c r="R727" s="303" t="str">
        <f>IFERROR(RIGHT(O727, LEN(O727)-FIND(",", O727, FIND(",", O727)+1)-1), "")</f>
        <v/>
      </c>
      <c r="S727" s="35" t="str" cm="1">
        <f t="array" ref="S727">_xlfn.TEXTJOIN(", ",TRUE,_xlfn._xlws.FILTER(Tabla29[[#All],[PARTE]],ISNUMBER(SEARCH(Tabla29[[#All],[PCLAVE3]],Tabla8[[#This Row],[DESCRIPCION DE TRABAJO]])),""))</f>
        <v>Cambio De Formato</v>
      </c>
      <c r="T727" s="34" t="str">
        <f>IF(AND(Tabla8[[#This Row],[PIEZA]]="",Tabla8[[#This Row],[PARTE]]=""),"VACIO","OK")</f>
        <v>VACIO</v>
      </c>
      <c r="U727" s="303" t="str">
        <f>+CONCATENATE(WEEKNUM(Tabla8[[#This Row],[FECHA]]),"-",YEAR(Tabla8[[#This Row],[FECHA]]))</f>
        <v>13-2026</v>
      </c>
    </row>
    <row r="728" spans="1:21" ht="15" customHeight="1">
      <c r="A728" s="22">
        <v>46106</v>
      </c>
      <c r="B728" s="16" t="s">
        <v>191</v>
      </c>
      <c r="C728" s="10" t="s">
        <v>39</v>
      </c>
      <c r="D728" s="381" t="s">
        <v>598</v>
      </c>
      <c r="E728" s="381" t="s">
        <v>734</v>
      </c>
      <c r="F728" s="380">
        <f>+MOD(Tabla8[[#This Row],[HR. FIN]]-Tabla8[[#This Row],[HR. INICIO]],1)</f>
        <v>9.0277777777777735E-3</v>
      </c>
      <c r="G728" s="16" t="s">
        <v>256</v>
      </c>
      <c r="H728" s="343" t="str">
        <f>IFERROR(VLOOKUP(G728,DATOS!$M$2:$N$219,2,FALSE),"")</f>
        <v>Maquinaria</v>
      </c>
      <c r="I728" s="115" t="s">
        <v>54</v>
      </c>
      <c r="J728" s="115" t="s">
        <v>92</v>
      </c>
      <c r="K728" s="114" t="s">
        <v>93</v>
      </c>
      <c r="L728" s="35" t="s">
        <v>1485</v>
      </c>
      <c r="M728" s="35" t="s">
        <v>1486</v>
      </c>
      <c r="N728" s="35" t="str" cm="1">
        <f t="array" ref="N728">IFERROR(IF(Tabla8[[#This Row],[P/NP]]="NO PROGRAMADA","",_xlfn.TEXTJOIN(", ",TRUE,_xlfn._xlws.FILTER(Tabla4[[#All],[PIEZA]],ISNUMBER(SEARCH(Tabla4[[#All],[PCLAVE]],Tabla8[[#This Row],[DESCRIPCION DE TRABAJO]])),""))),"")</f>
        <v/>
      </c>
      <c r="O728" s="35" t="str" cm="1">
        <f t="array" ref="O728">_xlfn.TEXTJOIN(", ",TRUE,_xlfn._xlws.FILTER(Tabla28[[#All],[PARTE]],ISNUMBER(SEARCH(Tabla28[[#All],[PCLAVE2]],Tabla8[[#This Row],[DESCRIPCION DE TRABAJO]])),""))</f>
        <v/>
      </c>
      <c r="P728" s="303" t="str">
        <f>IFERROR(LEFT(O728, FIND(",", O728)-1), O728)</f>
        <v/>
      </c>
      <c r="Q728" s="303" t="str">
        <f>IFERROR(IF(ISERROR(FIND(",", O728, FIND(",", O728)+1)), RIGHT(O728, LEN(O728)-FIND(",", O728)-1), MID(O728, FIND(",", O728)+2, FIND(",", O728, FIND(",", O728)+1)-FIND(",", O728)-2)), "")</f>
        <v/>
      </c>
      <c r="R728" s="303" t="str">
        <f>IFERROR(RIGHT(O728, LEN(O728)-FIND(",", O728, FIND(",", O728)+1)-1), "")</f>
        <v/>
      </c>
      <c r="S728" s="35" t="str" cm="1">
        <f t="array" ref="S728">_xlfn.TEXTJOIN(", ",TRUE,_xlfn._xlws.FILTER(Tabla29[[#All],[PARTE]],ISNUMBER(SEARCH(Tabla29[[#All],[PCLAVE3]],Tabla8[[#This Row],[DESCRIPCION DE TRABAJO]])),""))</f>
        <v/>
      </c>
      <c r="T728" s="34" t="str">
        <f>IF(AND(Tabla8[[#This Row],[PIEZA]]="",Tabla8[[#This Row],[PARTE]]=""),"VACIO","OK")</f>
        <v>VACIO</v>
      </c>
      <c r="U728" s="303" t="str">
        <f>+CONCATENATE(WEEKNUM(Tabla8[[#This Row],[FECHA]]),"-",YEAR(Tabla8[[#This Row],[FECHA]]))</f>
        <v>13-2026</v>
      </c>
    </row>
    <row r="729" spans="1:21" ht="15" customHeight="1">
      <c r="A729" s="22">
        <v>46107</v>
      </c>
      <c r="B729" s="16" t="s">
        <v>111</v>
      </c>
      <c r="C729" s="10" t="s">
        <v>36</v>
      </c>
      <c r="D729" s="381" t="s">
        <v>1487</v>
      </c>
      <c r="E729" s="381" t="s">
        <v>127</v>
      </c>
      <c r="F729" s="380">
        <f>+MOD(Tabla8[[#This Row],[HR. FIN]]-Tabla8[[#This Row],[HR. INICIO]],1)</f>
        <v>7.9861111111111105E-2</v>
      </c>
      <c r="G729" s="16" t="s">
        <v>119</v>
      </c>
      <c r="H729" s="343" t="str">
        <f>IFERROR(VLOOKUP(G729,DATOS!$M$2:$N$219,2,FALSE),"")</f>
        <v>Maquinaria</v>
      </c>
      <c r="I729" s="115" t="s">
        <v>32</v>
      </c>
      <c r="J729" s="115" t="s">
        <v>92</v>
      </c>
      <c r="K729" s="114" t="s">
        <v>93</v>
      </c>
      <c r="L729" s="35" t="s">
        <v>343</v>
      </c>
      <c r="M729" s="35" t="s">
        <v>1488</v>
      </c>
      <c r="N729" s="35" t="str" cm="1">
        <f t="array" ref="N729">IFERROR(IF(Tabla8[[#This Row],[P/NP]]="NO PROGRAMADA","",_xlfn.TEXTJOIN(", ",TRUE,_xlfn._xlws.FILTER(Tabla4[[#All],[PIEZA]],ISNUMBER(SEARCH(Tabla4[[#All],[PCLAVE]],Tabla8[[#This Row],[DESCRIPCION DE TRABAJO]])),""))),"")</f>
        <v/>
      </c>
      <c r="O729" s="35" t="str" cm="1">
        <f t="array" ref="O729">_xlfn.TEXTJOIN(", ",TRUE,_xlfn._xlws.FILTER(Tabla28[[#All],[PARTE]],ISNUMBER(SEARCH(Tabla28[[#All],[PCLAVE2]],Tabla8[[#This Row],[DESCRIPCION DE TRABAJO]])),""))</f>
        <v>Temperadora</v>
      </c>
      <c r="P729" s="303" t="str">
        <f>IFERROR(LEFT(O729, FIND(",", O729)-1), O729)</f>
        <v>Temperadora</v>
      </c>
      <c r="Q729" s="303" t="str">
        <f>IFERROR(IF(ISERROR(FIND(",", O729, FIND(",", O729)+1)), RIGHT(O729, LEN(O729)-FIND(",", O729)-1), MID(O729, FIND(",", O729)+2, FIND(",", O729, FIND(",", O729)+1)-FIND(",", O729)-2)), "")</f>
        <v/>
      </c>
      <c r="R729" s="303" t="str">
        <f>IFERROR(RIGHT(O729, LEN(O729)-FIND(",", O729, FIND(",", O729)+1)-1), "")</f>
        <v/>
      </c>
      <c r="S729" s="35" t="str" cm="1">
        <f t="array" ref="S729">_xlfn.TEXTJOIN(", ",TRUE,_xlfn._xlws.FILTER(Tabla29[[#All],[PARTE]],ISNUMBER(SEARCH(Tabla29[[#All],[PCLAVE3]],Tabla8[[#This Row],[DESCRIPCION DE TRABAJO]])),""))</f>
        <v>Bloqueado</v>
      </c>
      <c r="T729" s="34" t="str">
        <f>IF(AND(Tabla8[[#This Row],[PIEZA]]="",Tabla8[[#This Row],[PARTE]]=""),"VACIO","OK")</f>
        <v>OK</v>
      </c>
      <c r="U729" s="303" t="str">
        <f>+CONCATENATE(WEEKNUM(Tabla8[[#This Row],[FECHA]]),"-",YEAR(Tabla8[[#This Row],[FECHA]]))</f>
        <v>13-2026</v>
      </c>
    </row>
    <row r="730" spans="1:21" ht="15" customHeight="1">
      <c r="A730" s="22">
        <v>46107</v>
      </c>
      <c r="B730" s="16" t="s">
        <v>111</v>
      </c>
      <c r="C730" s="10" t="s">
        <v>36</v>
      </c>
      <c r="D730" s="381" t="s">
        <v>697</v>
      </c>
      <c r="E730" s="381" t="s">
        <v>1489</v>
      </c>
      <c r="F730" s="380">
        <f>+MOD(Tabla8[[#This Row],[HR. FIN]]-Tabla8[[#This Row],[HR. INICIO]],1)</f>
        <v>6.597222222222221E-2</v>
      </c>
      <c r="G730" s="16" t="s">
        <v>182</v>
      </c>
      <c r="H730" s="343" t="str">
        <f>IFERROR(VLOOKUP(G730,DATOS!$M$2:$N$219,2,FALSE),"")</f>
        <v>Maquinaria</v>
      </c>
      <c r="I730" s="115" t="s">
        <v>32</v>
      </c>
      <c r="J730" s="115" t="str">
        <f>+VLOOKUP($I730,Tabla7[#All],2,FALSE)</f>
        <v>PROGRAMADA</v>
      </c>
      <c r="K730" s="114" t="str">
        <f>IF(VLOOKUP(I730,Tabla7[#All],3,FALSE)=0,"",VLOOKUP(I730,Tabla7[#All],3,FALSE))</f>
        <v/>
      </c>
      <c r="L730" s="35" t="s">
        <v>1490</v>
      </c>
      <c r="M730" s="35" t="s">
        <v>1491</v>
      </c>
      <c r="N730" s="35" t="str" cm="1">
        <f t="array" ref="N730">IFERROR(IF(Tabla8[[#This Row],[P/NP]]="NO PROGRAMADA","",_xlfn.TEXTJOIN(", ",TRUE,_xlfn._xlws.FILTER(Tabla4[[#All],[PIEZA]],ISNUMBER(SEARCH(Tabla4[[#All],[PCLAVE]],Tabla8[[#This Row],[DESCRIPCION DE TRABAJO]])),""))),"")</f>
        <v/>
      </c>
      <c r="O730" s="35" t="str" cm="1">
        <f t="array" ref="O730">_xlfn.TEXTJOIN(", ",TRUE,_xlfn._xlws.FILTER(Tabla28[[#All],[PARTE]],ISNUMBER(SEARCH(Tabla28[[#All],[PCLAVE2]],Tabla8[[#This Row],[DESCRIPCION DE TRABAJO]])),""))</f>
        <v/>
      </c>
      <c r="P730" s="303" t="str">
        <f>IFERROR(LEFT(O730, FIND(",", O730)-1), O730)</f>
        <v/>
      </c>
      <c r="Q730" s="303" t="str">
        <f>IFERROR(IF(ISERROR(FIND(",", O730, FIND(",", O730)+1)), RIGHT(O730, LEN(O730)-FIND(",", O730)-1), MID(O730, FIND(",", O730)+2, FIND(",", O730, FIND(",", O730)+1)-FIND(",", O730)-2)), "")</f>
        <v/>
      </c>
      <c r="R730" s="303" t="str">
        <f>IFERROR(RIGHT(O730, LEN(O730)-FIND(",", O730, FIND(",", O730)+1)-1), "")</f>
        <v/>
      </c>
      <c r="S730" s="35" t="str" cm="1">
        <f t="array" ref="S730">_xlfn.TEXTJOIN(", ",TRUE,_xlfn._xlws.FILTER(Tabla29[[#All],[PARTE]],ISNUMBER(SEARCH(Tabla29[[#All],[PCLAVE3]],Tabla8[[#This Row],[DESCRIPCION DE TRABAJO]])),""))</f>
        <v>Cambio De Formato</v>
      </c>
      <c r="T730" s="34" t="str">
        <f>IF(AND(Tabla8[[#This Row],[PIEZA]]="",Tabla8[[#This Row],[PARTE]]=""),"VACIO","OK")</f>
        <v>VACIO</v>
      </c>
      <c r="U730" s="303" t="str">
        <f>+CONCATENATE(WEEKNUM(Tabla8[[#This Row],[FECHA]]),"-",YEAR(Tabla8[[#This Row],[FECHA]]))</f>
        <v>13-2026</v>
      </c>
    </row>
    <row r="731" spans="1:21" ht="15" customHeight="1">
      <c r="A731" s="22">
        <v>46107</v>
      </c>
      <c r="B731" s="16" t="s">
        <v>191</v>
      </c>
      <c r="C731" s="10" t="s">
        <v>39</v>
      </c>
      <c r="D731" s="381" t="s">
        <v>1492</v>
      </c>
      <c r="E731" s="381" t="s">
        <v>1493</v>
      </c>
      <c r="F731" s="380">
        <f>+MOD(Tabla8[[#This Row],[HR. FIN]]-Tabla8[[#This Row],[HR. INICIO]],1)</f>
        <v>3.333333333333334E-2</v>
      </c>
      <c r="G731" s="16" t="s">
        <v>153</v>
      </c>
      <c r="H731" s="343" t="str">
        <f>IFERROR(VLOOKUP(G731,DATOS!$M$2:$N$219,2,FALSE),"")</f>
        <v>Maquinaria</v>
      </c>
      <c r="I731" s="115" t="s">
        <v>57</v>
      </c>
      <c r="J731" s="115" t="str">
        <f>+VLOOKUP($I731,Tabla7[#All],2,FALSE)</f>
        <v>NO PROGRAMADA</v>
      </c>
      <c r="K731" s="114" t="str">
        <f>IF(VLOOKUP(I731,Tabla7[#All],3,FALSE)=0,"",VLOOKUP(I731,Tabla7[#All],3,FALSE))</f>
        <v>MECÁNICA</v>
      </c>
      <c r="L731" s="35" t="s">
        <v>1494</v>
      </c>
      <c r="M731" s="35" t="s">
        <v>1495</v>
      </c>
      <c r="N731" s="35" t="str" cm="1">
        <f t="array" ref="N731">IFERROR(IF(Tabla8[[#This Row],[P/NP]]="NO PROGRAMADA","",_xlfn.TEXTJOIN(", ",TRUE,_xlfn._xlws.FILTER(Tabla4[[#All],[PIEZA]],ISNUMBER(SEARCH(Tabla4[[#All],[PCLAVE]],Tabla8[[#This Row],[DESCRIPCION DE TRABAJO]])),""))),"")</f>
        <v/>
      </c>
      <c r="O731" s="35" t="str" cm="1">
        <f t="array" ref="O731">_xlfn.TEXTJOIN(", ",TRUE,_xlfn._xlws.FILTER(Tabla28[[#All],[PARTE]],ISNUMBER(SEARCH(Tabla28[[#All],[PCLAVE2]],Tabla8[[#This Row],[DESCRIPCION DE TRABAJO]])),""))</f>
        <v>Contraelevador</v>
      </c>
      <c r="P731" s="303" t="str">
        <f>IFERROR(LEFT(O731, FIND(",", O731)-1), O731)</f>
        <v>Contraelevador</v>
      </c>
      <c r="Q731" s="303" t="str">
        <f>IFERROR(IF(ISERROR(FIND(",", O731, FIND(",", O731)+1)), RIGHT(O731, LEN(O731)-FIND(",", O731)-1), MID(O731, FIND(",", O731)+2, FIND(",", O731, FIND(",", O731)+1)-FIND(",", O731)-2)), "")</f>
        <v/>
      </c>
      <c r="R731" s="303" t="str">
        <f>IFERROR(RIGHT(O731, LEN(O731)-FIND(",", O731, FIND(",", O731)+1)-1), "")</f>
        <v/>
      </c>
      <c r="S731" s="35" t="str" cm="1">
        <f t="array" ref="S731">_xlfn.TEXTJOIN(", ",TRUE,_xlfn._xlws.FILTER(Tabla29[[#All],[PARTE]],ISNUMBER(SEARCH(Tabla29[[#All],[PCLAVE3]],Tabla8[[#This Row],[DESCRIPCION DE TRABAJO]])),""))</f>
        <v>Calibracion, Descalibrado, Soltura</v>
      </c>
      <c r="T731" s="34" t="str">
        <f>IF(AND(Tabla8[[#This Row],[PIEZA]]="",Tabla8[[#This Row],[PARTE]]=""),"VACIO","OK")</f>
        <v>OK</v>
      </c>
      <c r="U731" s="303" t="str">
        <f>+CONCATENATE(WEEKNUM(Tabla8[[#This Row],[FECHA]]),"-",YEAR(Tabla8[[#This Row],[FECHA]]))</f>
        <v>13-2026</v>
      </c>
    </row>
    <row r="732" spans="1:21" ht="15" customHeight="1">
      <c r="A732" s="22">
        <v>46107</v>
      </c>
      <c r="B732" s="16" t="s">
        <v>88</v>
      </c>
      <c r="C732" s="10" t="s">
        <v>36</v>
      </c>
      <c r="D732" s="381" t="s">
        <v>1496</v>
      </c>
      <c r="E732" s="381" t="s">
        <v>126</v>
      </c>
      <c r="F732" s="380">
        <f>+MOD(Tabla8[[#This Row],[HR. FIN]]-Tabla8[[#This Row],[HR. INICIO]],1)</f>
        <v>3.125E-2</v>
      </c>
      <c r="G732" s="16" t="s">
        <v>31</v>
      </c>
      <c r="H732" s="343" t="str">
        <f>IFERROR(VLOOKUP(G732,DATOS!$M$2:$N$219,2,FALSE),"")</f>
        <v>Maquinaria</v>
      </c>
      <c r="I732" s="115" t="s">
        <v>57</v>
      </c>
      <c r="J732" s="115" t="str">
        <f>+VLOOKUP($I732,Tabla7[#All],2,FALSE)</f>
        <v>NO PROGRAMADA</v>
      </c>
      <c r="K732" s="114" t="str">
        <f>IF(VLOOKUP(I732,Tabla7[#All],3,FALSE)=0,"",VLOOKUP(I732,Tabla7[#All],3,FALSE))</f>
        <v>MECÁNICA</v>
      </c>
      <c r="L732" s="35" t="s">
        <v>1497</v>
      </c>
      <c r="M732" s="35" t="s">
        <v>1498</v>
      </c>
      <c r="N732" s="35" t="str" cm="1">
        <f t="array" ref="N732">IFERROR(IF(Tabla8[[#This Row],[P/NP]]="NO PROGRAMADA","",_xlfn.TEXTJOIN(", ",TRUE,_xlfn._xlws.FILTER(Tabla4[[#All],[PIEZA]],ISNUMBER(SEARCH(Tabla4[[#All],[PCLAVE]],Tabla8[[#This Row],[DESCRIPCION DE TRABAJO]])),""))),"")</f>
        <v/>
      </c>
      <c r="O732" s="35" t="str" cm="1">
        <f t="array" ref="O732">_xlfn.TEXTJOIN(", ",TRUE,_xlfn._xlws.FILTER(Tabla28[[#All],[PARTE]],ISNUMBER(SEARCH(Tabla28[[#All],[PCLAVE2]],Tabla8[[#This Row],[DESCRIPCION DE TRABAJO]])),""))</f>
        <v/>
      </c>
      <c r="P732" s="303" t="str">
        <f>IFERROR(LEFT(O732, FIND(",", O732)-1), O732)</f>
        <v/>
      </c>
      <c r="Q732" s="303" t="str">
        <f>IFERROR(IF(ISERROR(FIND(",", O732, FIND(",", O732)+1)), RIGHT(O732, LEN(O732)-FIND(",", O732)-1), MID(O732, FIND(",", O732)+2, FIND(",", O732, FIND(",", O732)+1)-FIND(",", O732)-2)), "")</f>
        <v/>
      </c>
      <c r="R732" s="303" t="str">
        <f>IFERROR(RIGHT(O732, LEN(O732)-FIND(",", O732, FIND(",", O732)+1)-1), "")</f>
        <v/>
      </c>
      <c r="S732" s="35" t="str" cm="1">
        <f t="array" ref="S732">_xlfn.TEXTJOIN(", ",TRUE,_xlfn._xlws.FILTER(Tabla29[[#All],[PARTE]],ISNUMBER(SEARCH(Tabla29[[#All],[PCLAVE3]],Tabla8[[#This Row],[DESCRIPCION DE TRABAJO]])),""))</f>
        <v>Sellado</v>
      </c>
      <c r="T732" s="34" t="str">
        <f>IF(AND(Tabla8[[#This Row],[PIEZA]]="",Tabla8[[#This Row],[PARTE]]=""),"VACIO","OK")</f>
        <v>VACIO</v>
      </c>
      <c r="U732" s="303" t="str">
        <f>+CONCATENATE(WEEKNUM(Tabla8[[#This Row],[FECHA]]),"-",YEAR(Tabla8[[#This Row],[FECHA]]))</f>
        <v>13-2026</v>
      </c>
    </row>
    <row r="733" spans="1:21" ht="15" customHeight="1">
      <c r="A733" s="22">
        <v>46107</v>
      </c>
      <c r="B733" s="16" t="s">
        <v>191</v>
      </c>
      <c r="C733" s="10" t="s">
        <v>39</v>
      </c>
      <c r="D733" s="381" t="s">
        <v>1499</v>
      </c>
      <c r="E733" s="381" t="s">
        <v>499</v>
      </c>
      <c r="F733" s="380">
        <f>+MOD(Tabla8[[#This Row],[HR. FIN]]-Tabla8[[#This Row],[HR. INICIO]],1)</f>
        <v>2.9166666666666674E-2</v>
      </c>
      <c r="G733" s="16" t="s">
        <v>236</v>
      </c>
      <c r="H733" s="343" t="str">
        <f>IFERROR(VLOOKUP(G733,DATOS!$M$2:$N$219,2,FALSE),"")</f>
        <v>Sistema</v>
      </c>
      <c r="I733" s="115" t="s">
        <v>61</v>
      </c>
      <c r="J733" s="115" t="str">
        <f>+VLOOKUP($I733,Tabla7[#All],2,FALSE)</f>
        <v>PROGRAMADA</v>
      </c>
      <c r="K733" s="114" t="str">
        <f>IF(VLOOKUP(I733,Tabla7[#All],3,FALSE)=0,"",VLOOKUP(I733,Tabla7[#All],3,FALSE))</f>
        <v/>
      </c>
      <c r="L733" s="35" t="s">
        <v>1500</v>
      </c>
      <c r="M733" s="35" t="s">
        <v>1501</v>
      </c>
      <c r="N733" s="35" t="str" cm="1">
        <f t="array" ref="N733">IFERROR(IF(Tabla8[[#This Row],[P/NP]]="NO PROGRAMADA","",_xlfn.TEXTJOIN(", ",TRUE,_xlfn._xlws.FILTER(Tabla4[[#All],[PIEZA]],ISNUMBER(SEARCH(Tabla4[[#All],[PCLAVE]],Tabla8[[#This Row],[DESCRIPCION DE TRABAJO]])),""))),"")</f>
        <v/>
      </c>
      <c r="O733" s="35" t="str" cm="1">
        <f t="array" ref="O733">_xlfn.TEXTJOIN(", ",TRUE,_xlfn._xlws.FILTER(Tabla28[[#All],[PARTE]],ISNUMBER(SEARCH(Tabla28[[#All],[PCLAVE2]],Tabla8[[#This Row],[DESCRIPCION DE TRABAJO]])),""))</f>
        <v/>
      </c>
      <c r="P733" s="303" t="str">
        <f>IFERROR(LEFT(O733, FIND(",", O733)-1), O733)</f>
        <v/>
      </c>
      <c r="Q733" s="303" t="str">
        <f>IFERROR(IF(ISERROR(FIND(",", O733, FIND(",", O733)+1)), RIGHT(O733, LEN(O733)-FIND(",", O733)-1), MID(O733, FIND(",", O733)+2, FIND(",", O733, FIND(",", O733)+1)-FIND(",", O733)-2)), "")</f>
        <v/>
      </c>
      <c r="R733" s="303" t="str">
        <f>IFERROR(RIGHT(O733, LEN(O733)-FIND(",", O733, FIND(",", O733)+1)-1), "")</f>
        <v/>
      </c>
      <c r="S733" s="35" t="str" cm="1">
        <f t="array" ref="S733">_xlfn.TEXTJOIN(", ",TRUE,_xlfn._xlws.FILTER(Tabla29[[#All],[PARTE]],ISNUMBER(SEARCH(Tabla29[[#All],[PCLAVE3]],Tabla8[[#This Row],[DESCRIPCION DE TRABAJO]])),""))</f>
        <v/>
      </c>
      <c r="T733" s="34" t="str">
        <f>IF(AND(Tabla8[[#This Row],[PIEZA]]="",Tabla8[[#This Row],[PARTE]]=""),"VACIO","OK")</f>
        <v>VACIO</v>
      </c>
      <c r="U733" s="303" t="str">
        <f>+CONCATENATE(WEEKNUM(Tabla8[[#This Row],[FECHA]]),"-",YEAR(Tabla8[[#This Row],[FECHA]]))</f>
        <v>13-2026</v>
      </c>
    </row>
    <row r="734" spans="1:21" ht="15" customHeight="1">
      <c r="A734" s="22">
        <v>46107</v>
      </c>
      <c r="B734" s="16" t="s">
        <v>191</v>
      </c>
      <c r="C734" s="10" t="s">
        <v>39</v>
      </c>
      <c r="D734" s="381" t="s">
        <v>1502</v>
      </c>
      <c r="E734" s="381" t="s">
        <v>1503</v>
      </c>
      <c r="F734" s="380">
        <f>+MOD(Tabla8[[#This Row],[HR. FIN]]-Tabla8[[#This Row],[HR. INICIO]],1)</f>
        <v>2.7083333333333334E-2</v>
      </c>
      <c r="G734" s="16" t="s">
        <v>153</v>
      </c>
      <c r="H734" s="343" t="str">
        <f>IFERROR(VLOOKUP(G734,DATOS!$M$2:$N$219,2,FALSE),"")</f>
        <v>Maquinaria</v>
      </c>
      <c r="I734" s="115" t="s">
        <v>28</v>
      </c>
      <c r="J734" s="115" t="str">
        <f>+VLOOKUP($I734,Tabla7[#All],2,FALSE)</f>
        <v>NO PROGRAMADA</v>
      </c>
      <c r="K734" s="114" t="s">
        <v>93</v>
      </c>
      <c r="L734" s="35" t="s">
        <v>1504</v>
      </c>
      <c r="M734" s="35" t="s">
        <v>1505</v>
      </c>
      <c r="N734" s="35" t="str" cm="1">
        <f t="array" ref="N734">IFERROR(IF(Tabla8[[#This Row],[P/NP]]="NO PROGRAMADA","",_xlfn.TEXTJOIN(", ",TRUE,_xlfn._xlws.FILTER(Tabla4[[#All],[PIEZA]],ISNUMBER(SEARCH(Tabla4[[#All],[PCLAVE]],Tabla8[[#This Row],[DESCRIPCION DE TRABAJO]])),""))),"")</f>
        <v/>
      </c>
      <c r="O734" s="35" t="str" cm="1">
        <f t="array" ref="O734">_xlfn.TEXTJOIN(", ",TRUE,_xlfn._xlws.FILTER(Tabla28[[#All],[PARTE]],ISNUMBER(SEARCH(Tabla28[[#All],[PCLAVE2]],Tabla8[[#This Row],[DESCRIPCION DE TRABAJO]])),""))</f>
        <v>Contraelevador</v>
      </c>
      <c r="P734" s="303" t="str">
        <f>IFERROR(LEFT(O734, FIND(",", O734)-1), O734)</f>
        <v>Contraelevador</v>
      </c>
      <c r="Q734" s="303" t="str">
        <f>IFERROR(IF(ISERROR(FIND(",", O734, FIND(",", O734)+1)), RIGHT(O734, LEN(O734)-FIND(",", O734)-1), MID(O734, FIND(",", O734)+2, FIND(",", O734, FIND(",", O734)+1)-FIND(",", O734)-2)), "")</f>
        <v/>
      </c>
      <c r="R734" s="303" t="str">
        <f>IFERROR(RIGHT(O734, LEN(O734)-FIND(",", O734, FIND(",", O734)+1)-1), "")</f>
        <v/>
      </c>
      <c r="S734" s="35" t="str" cm="1">
        <f t="array" ref="S734">_xlfn.TEXTJOIN(", ",TRUE,_xlfn._xlws.FILTER(Tabla29[[#All],[PARTE]],ISNUMBER(SEARCH(Tabla29[[#All],[PCLAVE3]],Tabla8[[#This Row],[DESCRIPCION DE TRABAJO]])),""))</f>
        <v/>
      </c>
      <c r="T734" s="34" t="str">
        <f>IF(AND(Tabla8[[#This Row],[PIEZA]]="",Tabla8[[#This Row],[PARTE]]=""),"VACIO","OK")</f>
        <v>OK</v>
      </c>
      <c r="U734" s="303" t="str">
        <f>+CONCATENATE(WEEKNUM(Tabla8[[#This Row],[FECHA]]),"-",YEAR(Tabla8[[#This Row],[FECHA]]))</f>
        <v>13-2026</v>
      </c>
    </row>
    <row r="735" spans="1:21" ht="15" customHeight="1">
      <c r="A735" s="22">
        <v>46107</v>
      </c>
      <c r="B735" s="16" t="s">
        <v>191</v>
      </c>
      <c r="C735" s="10" t="s">
        <v>39</v>
      </c>
      <c r="D735" s="381" t="s">
        <v>1506</v>
      </c>
      <c r="E735" s="381" t="s">
        <v>1507</v>
      </c>
      <c r="F735" s="380">
        <f>+MOD(Tabla8[[#This Row],[HR. FIN]]-Tabla8[[#This Row],[HR. INICIO]],1)</f>
        <v>2.2916666666666669E-2</v>
      </c>
      <c r="G735" s="16" t="s">
        <v>119</v>
      </c>
      <c r="H735" s="343" t="str">
        <f>IFERROR(VLOOKUP(G735,DATOS!$M$2:$N$219,2,FALSE),"")</f>
        <v>Maquinaria</v>
      </c>
      <c r="I735" s="115" t="s">
        <v>32</v>
      </c>
      <c r="J735" s="115" t="str">
        <f>+VLOOKUP($I735,Tabla7[#All],2,FALSE)</f>
        <v>PROGRAMADA</v>
      </c>
      <c r="K735" s="114" t="str">
        <f>IF(VLOOKUP(I735,Tabla7[#All],3,FALSE)=0,"",VLOOKUP(I735,Tabla7[#All],3,FALSE))</f>
        <v/>
      </c>
      <c r="L735" s="35" t="s">
        <v>1508</v>
      </c>
      <c r="M735" s="35" t="s">
        <v>121</v>
      </c>
      <c r="N735" s="35" t="str" cm="1">
        <f t="array" ref="N735">IFERROR(IF(Tabla8[[#This Row],[P/NP]]="NO PROGRAMADA","",_xlfn.TEXTJOIN(", ",TRUE,_xlfn._xlws.FILTER(Tabla4[[#All],[PIEZA]],ISNUMBER(SEARCH(Tabla4[[#All],[PCLAVE]],Tabla8[[#This Row],[DESCRIPCION DE TRABAJO]])),""))),"")</f>
        <v/>
      </c>
      <c r="O735" s="35" t="str" cm="1">
        <f t="array" ref="O735">_xlfn.TEXTJOIN(", ",TRUE,_xlfn._xlws.FILTER(Tabla28[[#All],[PARTE]],ISNUMBER(SEARCH(Tabla28[[#All],[PCLAVE2]],Tabla8[[#This Row],[DESCRIPCION DE TRABAJO]])),""))</f>
        <v>Mds</v>
      </c>
      <c r="P735" s="303" t="str">
        <f>IFERROR(LEFT(O735, FIND(",", O735)-1), O735)</f>
        <v>Mds</v>
      </c>
      <c r="Q735" s="303" t="str">
        <f>IFERROR(IF(ISERROR(FIND(",", O735, FIND(",", O735)+1)), RIGHT(O735, LEN(O735)-FIND(",", O735)-1), MID(O735, FIND(",", O735)+2, FIND(",", O735, FIND(",", O735)+1)-FIND(",", O735)-2)), "")</f>
        <v/>
      </c>
      <c r="R735" s="303" t="str">
        <f>IFERROR(RIGHT(O735, LEN(O735)-FIND(",", O735, FIND(",", O735)+1)-1), "")</f>
        <v/>
      </c>
      <c r="S735" s="35" t="str" cm="1">
        <f t="array" ref="S735">_xlfn.TEXTJOIN(", ",TRUE,_xlfn._xlws.FILTER(Tabla29[[#All],[PARTE]],ISNUMBER(SEARCH(Tabla29[[#All],[PCLAVE3]],Tabla8[[#This Row],[DESCRIPCION DE TRABAJO]])),""))</f>
        <v>Cambio De Formato</v>
      </c>
      <c r="T735" s="34" t="str">
        <f>IF(AND(Tabla8[[#This Row],[PIEZA]]="",Tabla8[[#This Row],[PARTE]]=""),"VACIO","OK")</f>
        <v>OK</v>
      </c>
      <c r="U735" s="303" t="str">
        <f>+CONCATENATE(WEEKNUM(Tabla8[[#This Row],[FECHA]]),"-",YEAR(Tabla8[[#This Row],[FECHA]]))</f>
        <v>13-2026</v>
      </c>
    </row>
    <row r="736" spans="1:21" ht="15" customHeight="1">
      <c r="A736" s="22">
        <v>46107</v>
      </c>
      <c r="B736" s="16" t="s">
        <v>191</v>
      </c>
      <c r="C736" s="10" t="s">
        <v>39</v>
      </c>
      <c r="D736" s="381" t="s">
        <v>1509</v>
      </c>
      <c r="E736" s="381" t="s">
        <v>612</v>
      </c>
      <c r="F736" s="380">
        <f>+MOD(Tabla8[[#This Row],[HR. FIN]]-Tabla8[[#This Row],[HR. INICIO]],1)</f>
        <v>2.1527777777777812E-2</v>
      </c>
      <c r="G736" s="16" t="s">
        <v>119</v>
      </c>
      <c r="H736" s="343" t="str">
        <f>IFERROR(VLOOKUP(G736,DATOS!$M$2:$N$219,2,FALSE),"")</f>
        <v>Maquinaria</v>
      </c>
      <c r="I736" s="115" t="s">
        <v>32</v>
      </c>
      <c r="J736" s="115" t="str">
        <f>+VLOOKUP($I736,Tabla7[#All],2,FALSE)</f>
        <v>PROGRAMADA</v>
      </c>
      <c r="K736" s="114" t="str">
        <f>IF(VLOOKUP(I736,Tabla7[#All],3,FALSE)=0,"",VLOOKUP(I736,Tabla7[#All],3,FALSE))</f>
        <v/>
      </c>
      <c r="L736" s="35" t="s">
        <v>197</v>
      </c>
      <c r="M736" s="35" t="s">
        <v>121</v>
      </c>
      <c r="N736" s="35" t="str" cm="1">
        <f t="array" ref="N736">IFERROR(IF(Tabla8[[#This Row],[P/NP]]="NO PROGRAMADA","",_xlfn.TEXTJOIN(", ",TRUE,_xlfn._xlws.FILTER(Tabla4[[#All],[PIEZA]],ISNUMBER(SEARCH(Tabla4[[#All],[PCLAVE]],Tabla8[[#This Row],[DESCRIPCION DE TRABAJO]])),""))),"")</f>
        <v/>
      </c>
      <c r="O736" s="35" t="str" cm="1">
        <f t="array" ref="O736">_xlfn.TEXTJOIN(", ",TRUE,_xlfn._xlws.FILTER(Tabla28[[#All],[PARTE]],ISNUMBER(SEARCH(Tabla28[[#All],[PCLAVE2]],Tabla8[[#This Row],[DESCRIPCION DE TRABAJO]])),""))</f>
        <v>Mds</v>
      </c>
      <c r="P736" s="303" t="str">
        <f>IFERROR(LEFT(O736, FIND(",", O736)-1), O736)</f>
        <v>Mds</v>
      </c>
      <c r="Q736" s="303" t="str">
        <f>IFERROR(IF(ISERROR(FIND(",", O736, FIND(",", O736)+1)), RIGHT(O736, LEN(O736)-FIND(",", O736)-1), MID(O736, FIND(",", O736)+2, FIND(",", O736, FIND(",", O736)+1)-FIND(",", O736)-2)), "")</f>
        <v/>
      </c>
      <c r="R736" s="303" t="str">
        <f>IFERROR(RIGHT(O736, LEN(O736)-FIND(",", O736, FIND(",", O736)+1)-1), "")</f>
        <v/>
      </c>
      <c r="S736" s="35" t="str" cm="1">
        <f t="array" ref="S736">_xlfn.TEXTJOIN(", ",TRUE,_xlfn._xlws.FILTER(Tabla29[[#All],[PARTE]],ISNUMBER(SEARCH(Tabla29[[#All],[PCLAVE3]],Tabla8[[#This Row],[DESCRIPCION DE TRABAJO]])),""))</f>
        <v>Cambio De Formato</v>
      </c>
      <c r="T736" s="34" t="str">
        <f>IF(AND(Tabla8[[#This Row],[PIEZA]]="",Tabla8[[#This Row],[PARTE]]=""),"VACIO","OK")</f>
        <v>OK</v>
      </c>
      <c r="U736" s="303" t="str">
        <f>+CONCATENATE(WEEKNUM(Tabla8[[#This Row],[FECHA]]),"-",YEAR(Tabla8[[#This Row],[FECHA]]))</f>
        <v>13-2026</v>
      </c>
    </row>
    <row r="737" spans="1:21" ht="15" customHeight="1">
      <c r="A737" s="22">
        <v>46107</v>
      </c>
      <c r="B737" s="16" t="s">
        <v>88</v>
      </c>
      <c r="C737" s="10" t="s">
        <v>36</v>
      </c>
      <c r="D737" s="381" t="s">
        <v>461</v>
      </c>
      <c r="E737" s="381" t="s">
        <v>1510</v>
      </c>
      <c r="F737" s="380">
        <f>+MOD(Tabla8[[#This Row],[HR. FIN]]-Tabla8[[#This Row],[HR. INICIO]],1)</f>
        <v>2.083333333333337E-2</v>
      </c>
      <c r="G737" s="16" t="s">
        <v>140</v>
      </c>
      <c r="H737" s="343" t="str">
        <f>IFERROR(VLOOKUP(G737,DATOS!$M$2:$N$219,2,FALSE),"")</f>
        <v>Maquinaria</v>
      </c>
      <c r="I737" s="115" t="s">
        <v>57</v>
      </c>
      <c r="J737" s="115" t="str">
        <f>+VLOOKUP($I737,Tabla7[#All],2,FALSE)</f>
        <v>NO PROGRAMADA</v>
      </c>
      <c r="K737" s="114" t="str">
        <f>IF(VLOOKUP(I737,Tabla7[#All],3,FALSE)=0,"",VLOOKUP(I737,Tabla7[#All],3,FALSE))</f>
        <v>MECÁNICA</v>
      </c>
      <c r="L737" s="35" t="s">
        <v>1511</v>
      </c>
      <c r="M737" s="35" t="s">
        <v>1512</v>
      </c>
      <c r="N737" s="35" t="str" cm="1">
        <f t="array" ref="N737">IFERROR(IF(Tabla8[[#This Row],[P/NP]]="NO PROGRAMADA","",_xlfn.TEXTJOIN(", ",TRUE,_xlfn._xlws.FILTER(Tabla4[[#All],[PIEZA]],ISNUMBER(SEARCH(Tabla4[[#All],[PCLAVE]],Tabla8[[#This Row],[DESCRIPCION DE TRABAJO]])),""))),"")</f>
        <v/>
      </c>
      <c r="O737" s="35" t="str" cm="1">
        <f t="array" ref="O737">_xlfn.TEXTJOIN(", ",TRUE,_xlfn._xlws.FILTER(Tabla28[[#All],[PARTE]],ISNUMBER(SEARCH(Tabla28[[#All],[PCLAVE2]],Tabla8[[#This Row],[DESCRIPCION DE TRABAJO]])),""))</f>
        <v/>
      </c>
      <c r="P737" s="303" t="str">
        <f>IFERROR(LEFT(O737, FIND(",", O737)-1), O737)</f>
        <v/>
      </c>
      <c r="Q737" s="303" t="str">
        <f>IFERROR(IF(ISERROR(FIND(",", O737, FIND(",", O737)+1)), RIGHT(O737, LEN(O737)-FIND(",", O737)-1), MID(O737, FIND(",", O737)+2, FIND(",", O737, FIND(",", O737)+1)-FIND(",", O737)-2)), "")</f>
        <v/>
      </c>
      <c r="R737" s="303" t="str">
        <f>IFERROR(RIGHT(O737, LEN(O737)-FIND(",", O737, FIND(",", O737)+1)-1), "")</f>
        <v/>
      </c>
      <c r="S737" s="35" t="str" cm="1">
        <f t="array" ref="S737">_xlfn.TEXTJOIN(", ",TRUE,_xlfn._xlws.FILTER(Tabla29[[#All],[PARTE]],ISNUMBER(SEARCH(Tabla29[[#All],[PCLAVE3]],Tabla8[[#This Row],[DESCRIPCION DE TRABAJO]])),""))</f>
        <v/>
      </c>
      <c r="T737" s="34" t="str">
        <f>IF(AND(Tabla8[[#This Row],[PIEZA]]="",Tabla8[[#This Row],[PARTE]]=""),"VACIO","OK")</f>
        <v>VACIO</v>
      </c>
      <c r="U737" s="303" t="str">
        <f>+CONCATENATE(WEEKNUM(Tabla8[[#This Row],[FECHA]]),"-",YEAR(Tabla8[[#This Row],[FECHA]]))</f>
        <v>13-2026</v>
      </c>
    </row>
    <row r="738" spans="1:21" ht="15" customHeight="1">
      <c r="A738" s="22">
        <v>46107</v>
      </c>
      <c r="B738" s="16" t="s">
        <v>191</v>
      </c>
      <c r="C738" s="10" t="s">
        <v>39</v>
      </c>
      <c r="D738" s="381" t="s">
        <v>1110</v>
      </c>
      <c r="E738" s="381" t="s">
        <v>1122</v>
      </c>
      <c r="F738" s="380">
        <f>+MOD(Tabla8[[#This Row],[HR. FIN]]-Tabla8[[#This Row],[HR. INICIO]],1)</f>
        <v>1.6666666666666718E-2</v>
      </c>
      <c r="G738" s="16" t="s">
        <v>215</v>
      </c>
      <c r="H738" s="343" t="str">
        <f>IFERROR(VLOOKUP(G738,DATOS!$M$2:$N$219,2,FALSE),"")</f>
        <v>Equipos auxiliares</v>
      </c>
      <c r="I738" s="115" t="s">
        <v>54</v>
      </c>
      <c r="J738" s="115" t="str">
        <f>+VLOOKUP($I738,Tabla7[#All],2,FALSE)</f>
        <v>PROGRAMADA</v>
      </c>
      <c r="K738" s="114" t="str">
        <f>IF(VLOOKUP(I738,Tabla7[#All],3,FALSE)=0,"",VLOOKUP(I738,Tabla7[#All],3,FALSE))</f>
        <v/>
      </c>
      <c r="L738" s="35" t="s">
        <v>248</v>
      </c>
      <c r="M738" s="35" t="s">
        <v>121</v>
      </c>
      <c r="N738" s="35" t="str" cm="1">
        <f t="array" ref="N738">IFERROR(IF(Tabla8[[#This Row],[P/NP]]="NO PROGRAMADA","",_xlfn.TEXTJOIN(", ",TRUE,_xlfn._xlws.FILTER(Tabla4[[#All],[PIEZA]],ISNUMBER(SEARCH(Tabla4[[#All],[PCLAVE]],Tabla8[[#This Row],[DESCRIPCION DE TRABAJO]])),""))),"")</f>
        <v/>
      </c>
      <c r="O738" s="35" t="str" cm="1">
        <f t="array" ref="O738">_xlfn.TEXTJOIN(", ",TRUE,_xlfn._xlws.FILTER(Tabla28[[#All],[PARTE]],ISNUMBER(SEARCH(Tabla28[[#All],[PCLAVE2]],Tabla8[[#This Row],[DESCRIPCION DE TRABAJO]])),""))</f>
        <v/>
      </c>
      <c r="P738" s="303" t="str">
        <f>IFERROR(LEFT(O738, FIND(",", O738)-1), O738)</f>
        <v/>
      </c>
      <c r="Q738" s="303" t="str">
        <f>IFERROR(IF(ISERROR(FIND(",", O738, FIND(",", O738)+1)), RIGHT(O738, LEN(O738)-FIND(",", O738)-1), MID(O738, FIND(",", O738)+2, FIND(",", O738, FIND(",", O738)+1)-FIND(",", O738)-2)), "")</f>
        <v/>
      </c>
      <c r="R738" s="303" t="str">
        <f>IFERROR(RIGHT(O738, LEN(O738)-FIND(",", O738, FIND(",", O738)+1)-1), "")</f>
        <v/>
      </c>
      <c r="S738" s="35" t="str" cm="1">
        <f t="array" ref="S738">_xlfn.TEXTJOIN(", ",TRUE,_xlfn._xlws.FILTER(Tabla29[[#All],[PARTE]],ISNUMBER(SEARCH(Tabla29[[#All],[PCLAVE3]],Tabla8[[#This Row],[DESCRIPCION DE TRABAJO]])),""))</f>
        <v/>
      </c>
      <c r="T738" s="34" t="str">
        <f>IF(AND(Tabla8[[#This Row],[PIEZA]]="",Tabla8[[#This Row],[PARTE]]=""),"VACIO","OK")</f>
        <v>VACIO</v>
      </c>
      <c r="U738" s="303" t="str">
        <f>+CONCATENATE(WEEKNUM(Tabla8[[#This Row],[FECHA]]),"-",YEAR(Tabla8[[#This Row],[FECHA]]))</f>
        <v>13-2026</v>
      </c>
    </row>
    <row r="739" spans="1:21" ht="15" customHeight="1">
      <c r="A739" s="22">
        <v>46107</v>
      </c>
      <c r="B739" s="16" t="s">
        <v>191</v>
      </c>
      <c r="C739" s="10" t="s">
        <v>39</v>
      </c>
      <c r="D739" s="381" t="s">
        <v>143</v>
      </c>
      <c r="E739" s="381" t="s">
        <v>1513</v>
      </c>
      <c r="F739" s="380">
        <f>+MOD(Tabla8[[#This Row],[HR. FIN]]-Tabla8[[#This Row],[HR. INICIO]],1)</f>
        <v>1.5277777777777779E-2</v>
      </c>
      <c r="G739" s="16" t="s">
        <v>153</v>
      </c>
      <c r="H739" s="343" t="str">
        <f>IFERROR(VLOOKUP(G739,DATOS!$M$2:$N$219,2,FALSE),"")</f>
        <v>Maquinaria</v>
      </c>
      <c r="I739" s="115" t="s">
        <v>186</v>
      </c>
      <c r="J739" s="115" t="str">
        <f>+VLOOKUP($I739,Tabla7[#All],2,FALSE)</f>
        <v>NO PROGRAMADA</v>
      </c>
      <c r="K739" s="114" t="s">
        <v>93</v>
      </c>
      <c r="L739" s="35" t="s">
        <v>1514</v>
      </c>
      <c r="M739" s="35" t="s">
        <v>1515</v>
      </c>
      <c r="N739" s="35" t="str" cm="1">
        <f t="array" ref="N739">IFERROR(IF(Tabla8[[#This Row],[P/NP]]="NO PROGRAMADA","",_xlfn.TEXTJOIN(", ",TRUE,_xlfn._xlws.FILTER(Tabla4[[#All],[PIEZA]],ISNUMBER(SEARCH(Tabla4[[#All],[PCLAVE]],Tabla8[[#This Row],[DESCRIPCION DE TRABAJO]])),""))),"")</f>
        <v/>
      </c>
      <c r="O739" s="35" t="str" cm="1">
        <f t="array" ref="O739">_xlfn.TEXTJOIN(", ",TRUE,_xlfn._xlws.FILTER(Tabla28[[#All],[PARTE]],ISNUMBER(SEARCH(Tabla28[[#All],[PCLAVE2]],Tabla8[[#This Row],[DESCRIPCION DE TRABAJO]])),""))</f>
        <v/>
      </c>
      <c r="P739" s="303" t="str">
        <f>IFERROR(LEFT(O739, FIND(",", O739)-1), O739)</f>
        <v/>
      </c>
      <c r="Q739" s="303" t="str">
        <f>IFERROR(IF(ISERROR(FIND(",", O739, FIND(",", O739)+1)), RIGHT(O739, LEN(O739)-FIND(",", O739)-1), MID(O739, FIND(",", O739)+2, FIND(",", O739, FIND(",", O739)+1)-FIND(",", O739)-2)), "")</f>
        <v/>
      </c>
      <c r="R739" s="303" t="str">
        <f>IFERROR(RIGHT(O739, LEN(O739)-FIND(",", O739, FIND(",", O739)+1)-1), "")</f>
        <v/>
      </c>
      <c r="S739" s="35" t="str" cm="1">
        <f t="array" ref="S739">_xlfn.TEXTJOIN(", ",TRUE,_xlfn._xlws.FILTER(Tabla29[[#All],[PARTE]],ISNUMBER(SEARCH(Tabla29[[#All],[PCLAVE3]],Tabla8[[#This Row],[DESCRIPCION DE TRABAJO]])),""))</f>
        <v/>
      </c>
      <c r="T739" s="34" t="str">
        <f>IF(AND(Tabla8[[#This Row],[PIEZA]]="",Tabla8[[#This Row],[PARTE]]=""),"VACIO","OK")</f>
        <v>VACIO</v>
      </c>
      <c r="U739" s="303" t="str">
        <f>+CONCATENATE(WEEKNUM(Tabla8[[#This Row],[FECHA]]),"-",YEAR(Tabla8[[#This Row],[FECHA]]))</f>
        <v>13-2026</v>
      </c>
    </row>
    <row r="740" spans="1:21" ht="15" customHeight="1">
      <c r="A740" s="22">
        <v>46107</v>
      </c>
      <c r="B740" s="16" t="s">
        <v>191</v>
      </c>
      <c r="C740" s="10" t="s">
        <v>39</v>
      </c>
      <c r="D740" s="381" t="s">
        <v>1516</v>
      </c>
      <c r="E740" s="381" t="s">
        <v>1517</v>
      </c>
      <c r="F740" s="380">
        <f>+MOD(Tabla8[[#This Row],[HR. FIN]]-Tabla8[[#This Row],[HR. INICIO]],1)</f>
        <v>1.4583333333333393E-2</v>
      </c>
      <c r="G740" s="16" t="s">
        <v>31</v>
      </c>
      <c r="H740" s="343" t="str">
        <f>IFERROR(VLOOKUP(G740,DATOS!$M$2:$N$219,2,FALSE),"")</f>
        <v>Maquinaria</v>
      </c>
      <c r="I740" s="115" t="s">
        <v>57</v>
      </c>
      <c r="J740" s="115" t="str">
        <f>+VLOOKUP($I740,Tabla7[#All],2,FALSE)</f>
        <v>NO PROGRAMADA</v>
      </c>
      <c r="K740" s="114" t="str">
        <f>IF(VLOOKUP(I740,Tabla7[#All],3,FALSE)=0,"",VLOOKUP(I740,Tabla7[#All],3,FALSE))</f>
        <v>MECÁNICA</v>
      </c>
      <c r="L740" s="35" t="s">
        <v>1518</v>
      </c>
      <c r="M740" s="35" t="s">
        <v>121</v>
      </c>
      <c r="N740" s="35" t="str" cm="1">
        <f t="array" ref="N740">IFERROR(IF(Tabla8[[#This Row],[P/NP]]="NO PROGRAMADA","",_xlfn.TEXTJOIN(", ",TRUE,_xlfn._xlws.FILTER(Tabla4[[#All],[PIEZA]],ISNUMBER(SEARCH(Tabla4[[#All],[PCLAVE]],Tabla8[[#This Row],[DESCRIPCION DE TRABAJO]])),""))),"")</f>
        <v/>
      </c>
      <c r="O740" s="35" t="str" cm="1">
        <f t="array" ref="O740">_xlfn.TEXTJOIN(", ",TRUE,_xlfn._xlws.FILTER(Tabla28[[#All],[PARTE]],ISNUMBER(SEARCH(Tabla28[[#All],[PCLAVE2]],Tabla8[[#This Row],[DESCRIPCION DE TRABAJO]])),""))</f>
        <v/>
      </c>
      <c r="P740" s="303" t="str">
        <f>IFERROR(LEFT(O740, FIND(",", O740)-1), O740)</f>
        <v/>
      </c>
      <c r="Q740" s="303" t="str">
        <f>IFERROR(IF(ISERROR(FIND(",", O740, FIND(",", O740)+1)), RIGHT(O740, LEN(O740)-FIND(",", O740)-1), MID(O740, FIND(",", O740)+2, FIND(",", O740, FIND(",", O740)+1)-FIND(",", O740)-2)), "")</f>
        <v/>
      </c>
      <c r="R740" s="303" t="str">
        <f>IFERROR(RIGHT(O740, LEN(O740)-FIND(",", O740, FIND(",", O740)+1)-1), "")</f>
        <v/>
      </c>
      <c r="S740" s="35" t="str" cm="1">
        <f t="array" ref="S740">_xlfn.TEXTJOIN(", ",TRUE,_xlfn._xlws.FILTER(Tabla29[[#All],[PARTE]],ISNUMBER(SEARCH(Tabla29[[#All],[PCLAVE3]],Tabla8[[#This Row],[DESCRIPCION DE TRABAJO]])),""))</f>
        <v>Calibracion</v>
      </c>
      <c r="T740" s="34" t="str">
        <f>IF(AND(Tabla8[[#This Row],[PIEZA]]="",Tabla8[[#This Row],[PARTE]]=""),"VACIO","OK")</f>
        <v>VACIO</v>
      </c>
      <c r="U740" s="303" t="str">
        <f>+CONCATENATE(WEEKNUM(Tabla8[[#This Row],[FECHA]]),"-",YEAR(Tabla8[[#This Row],[FECHA]]))</f>
        <v>13-2026</v>
      </c>
    </row>
    <row r="741" spans="1:21" ht="15" customHeight="1">
      <c r="A741" s="22">
        <v>46107</v>
      </c>
      <c r="B741" s="16" t="s">
        <v>191</v>
      </c>
      <c r="C741" s="10" t="s">
        <v>39</v>
      </c>
      <c r="D741" s="381" t="s">
        <v>1519</v>
      </c>
      <c r="E741" s="381" t="s">
        <v>1520</v>
      </c>
      <c r="F741" s="380">
        <f>+MOD(Tabla8[[#This Row],[HR. FIN]]-Tabla8[[#This Row],[HR. INICIO]],1)</f>
        <v>1.3194444444444425E-2</v>
      </c>
      <c r="G741" s="16" t="s">
        <v>119</v>
      </c>
      <c r="H741" s="343" t="str">
        <f>IFERROR(VLOOKUP(G741,DATOS!$M$2:$N$219,2,FALSE),"")</f>
        <v>Maquinaria</v>
      </c>
      <c r="I741" s="115" t="s">
        <v>32</v>
      </c>
      <c r="J741" s="115" t="str">
        <f>+VLOOKUP($I741,Tabla7[#All],2,FALSE)</f>
        <v>PROGRAMADA</v>
      </c>
      <c r="K741" s="114" t="str">
        <f>IF(VLOOKUP(I741,Tabla7[#All],3,FALSE)=0,"",VLOOKUP(I741,Tabla7[#All],3,FALSE))</f>
        <v/>
      </c>
      <c r="L741" s="35" t="s">
        <v>1521</v>
      </c>
      <c r="M741" s="35" t="s">
        <v>121</v>
      </c>
      <c r="N741" s="35" t="str" cm="1">
        <f t="array" ref="N741">IFERROR(IF(Tabla8[[#This Row],[P/NP]]="NO PROGRAMADA","",_xlfn.TEXTJOIN(", ",TRUE,_xlfn._xlws.FILTER(Tabla4[[#All],[PIEZA]],ISNUMBER(SEARCH(Tabla4[[#All],[PCLAVE]],Tabla8[[#This Row],[DESCRIPCION DE TRABAJO]])),""))),"")</f>
        <v/>
      </c>
      <c r="O741" s="35" t="str" cm="1">
        <f t="array" ref="O741">_xlfn.TEXTJOIN(", ",TRUE,_xlfn._xlws.FILTER(Tabla28[[#All],[PARTE]],ISNUMBER(SEARCH(Tabla28[[#All],[PCLAVE2]],Tabla8[[#This Row],[DESCRIPCION DE TRABAJO]])),""))</f>
        <v>Dosificador, Mds</v>
      </c>
      <c r="P741" s="303" t="str">
        <f>IFERROR(LEFT(O741, FIND(",", O741)-1), O741)</f>
        <v>Dosificador</v>
      </c>
      <c r="Q741" s="303" t="str">
        <f>IFERROR(IF(ISERROR(FIND(",", O741, FIND(",", O741)+1)), RIGHT(O741, LEN(O741)-FIND(",", O741)-1), MID(O741, FIND(",", O741)+2, FIND(",", O741, FIND(",", O741)+1)-FIND(",", O741)-2)), "")</f>
        <v>Mds</v>
      </c>
      <c r="R741" s="303" t="str">
        <f>IFERROR(RIGHT(O741, LEN(O741)-FIND(",", O741, FIND(",", O741)+1)-1), "")</f>
        <v/>
      </c>
      <c r="S741" s="35" t="str" cm="1">
        <f t="array" ref="S741">_xlfn.TEXTJOIN(", ",TRUE,_xlfn._xlws.FILTER(Tabla29[[#All],[PARTE]],ISNUMBER(SEARCH(Tabla29[[#All],[PCLAVE3]],Tabla8[[#This Row],[DESCRIPCION DE TRABAJO]])),""))</f>
        <v>Desalineado</v>
      </c>
      <c r="T741" s="34" t="str">
        <f>IF(AND(Tabla8[[#This Row],[PIEZA]]="",Tabla8[[#This Row],[PARTE]]=""),"VACIO","OK")</f>
        <v>OK</v>
      </c>
      <c r="U741" s="303" t="str">
        <f>+CONCATENATE(WEEKNUM(Tabla8[[#This Row],[FECHA]]),"-",YEAR(Tabla8[[#This Row],[FECHA]]))</f>
        <v>13-2026</v>
      </c>
    </row>
    <row r="742" spans="1:21" ht="15" customHeight="1">
      <c r="A742" s="22">
        <v>46107</v>
      </c>
      <c r="B742" s="16" t="s">
        <v>191</v>
      </c>
      <c r="C742" s="10" t="s">
        <v>39</v>
      </c>
      <c r="D742" s="381" t="s">
        <v>1522</v>
      </c>
      <c r="E742" s="381" t="s">
        <v>1523</v>
      </c>
      <c r="F742" s="380">
        <f>+MOD(Tabla8[[#This Row],[HR. FIN]]-Tabla8[[#This Row],[HR. INICIO]],1)</f>
        <v>1.2499999999999997E-2</v>
      </c>
      <c r="G742" s="16" t="s">
        <v>31</v>
      </c>
      <c r="H742" s="343" t="str">
        <f>IFERROR(VLOOKUP(G742,DATOS!$M$2:$N$219,2,FALSE),"")</f>
        <v>Maquinaria</v>
      </c>
      <c r="I742" s="115" t="s">
        <v>57</v>
      </c>
      <c r="J742" s="115" t="str">
        <f>+VLOOKUP($I742,Tabla7[#All],2,FALSE)</f>
        <v>NO PROGRAMADA</v>
      </c>
      <c r="K742" s="114" t="str">
        <f>IF(VLOOKUP(I742,Tabla7[#All],3,FALSE)=0,"",VLOOKUP(I742,Tabla7[#All],3,FALSE))</f>
        <v>MECÁNICA</v>
      </c>
      <c r="L742" s="35" t="s">
        <v>1524</v>
      </c>
      <c r="M742" s="35" t="s">
        <v>1525</v>
      </c>
      <c r="N742" s="35" t="str" cm="1">
        <f t="array" ref="N742">IFERROR(IF(Tabla8[[#This Row],[P/NP]]="NO PROGRAMADA","",_xlfn.TEXTJOIN(", ",TRUE,_xlfn._xlws.FILTER(Tabla4[[#All],[PIEZA]],ISNUMBER(SEARCH(Tabla4[[#All],[PCLAVE]],Tabla8[[#This Row],[DESCRIPCION DE TRABAJO]])),""))),"")</f>
        <v/>
      </c>
      <c r="O742" s="35" t="str" cm="1">
        <f t="array" ref="O742">_xlfn.TEXTJOIN(", ",TRUE,_xlfn._xlws.FILTER(Tabla28[[#All],[PARTE]],ISNUMBER(SEARCH(Tabla28[[#All],[PCLAVE2]],Tabla8[[#This Row],[DESCRIPCION DE TRABAJO]])),""))</f>
        <v/>
      </c>
      <c r="P742" s="303" t="str">
        <f>IFERROR(LEFT(O742, FIND(",", O742)-1), O742)</f>
        <v/>
      </c>
      <c r="Q742" s="303" t="str">
        <f>IFERROR(IF(ISERROR(FIND(",", O742, FIND(",", O742)+1)), RIGHT(O742, LEN(O742)-FIND(",", O742)-1), MID(O742, FIND(",", O742)+2, FIND(",", O742, FIND(",", O742)+1)-FIND(",", O742)-2)), "")</f>
        <v/>
      </c>
      <c r="R742" s="303" t="str">
        <f>IFERROR(RIGHT(O742, LEN(O742)-FIND(",", O742, FIND(",", O742)+1)-1), "")</f>
        <v/>
      </c>
      <c r="S742" s="35" t="str" cm="1">
        <f t="array" ref="S742">_xlfn.TEXTJOIN(", ",TRUE,_xlfn._xlws.FILTER(Tabla29[[#All],[PARTE]],ISNUMBER(SEARCH(Tabla29[[#All],[PCLAVE3]],Tabla8[[#This Row],[DESCRIPCION DE TRABAJO]])),""))</f>
        <v/>
      </c>
      <c r="T742" s="34" t="str">
        <f>IF(AND(Tabla8[[#This Row],[PIEZA]]="",Tabla8[[#This Row],[PARTE]]=""),"VACIO","OK")</f>
        <v>VACIO</v>
      </c>
      <c r="U742" s="303" t="str">
        <f>+CONCATENATE(WEEKNUM(Tabla8[[#This Row],[FECHA]]),"-",YEAR(Tabla8[[#This Row],[FECHA]]))</f>
        <v>13-2026</v>
      </c>
    </row>
    <row r="743" spans="1:21" ht="15" customHeight="1">
      <c r="A743" s="22">
        <v>46107</v>
      </c>
      <c r="B743" s="16" t="s">
        <v>111</v>
      </c>
      <c r="C743" s="10" t="s">
        <v>36</v>
      </c>
      <c r="D743" s="381" t="s">
        <v>404</v>
      </c>
      <c r="E743" s="381" t="s">
        <v>586</v>
      </c>
      <c r="F743" s="380">
        <f>+MOD(Tabla8[[#This Row],[HR. FIN]]-Tabla8[[#This Row],[HR. INICIO]],1)</f>
        <v>1.0416666666666685E-2</v>
      </c>
      <c r="G743" s="16" t="s">
        <v>140</v>
      </c>
      <c r="H743" s="343" t="str">
        <f>IFERROR(VLOOKUP(G743,DATOS!$M$2:$N$219,2,FALSE),"")</f>
        <v>Maquinaria</v>
      </c>
      <c r="I743" s="115" t="s">
        <v>57</v>
      </c>
      <c r="J743" s="115" t="str">
        <f>+VLOOKUP($I743,Tabla7[#All],2,FALSE)</f>
        <v>NO PROGRAMADA</v>
      </c>
      <c r="K743" s="114" t="str">
        <f>IF(VLOOKUP(I743,Tabla7[#All],3,FALSE)=0,"",VLOOKUP(I743,Tabla7[#All],3,FALSE))</f>
        <v>MECÁNICA</v>
      </c>
      <c r="L743" s="35" t="s">
        <v>1526</v>
      </c>
      <c r="M743" s="35" t="s">
        <v>1527</v>
      </c>
      <c r="N743" s="35" t="str" cm="1">
        <f t="array" ref="N743">IFERROR(IF(Tabla8[[#This Row],[P/NP]]="NO PROGRAMADA","",_xlfn.TEXTJOIN(", ",TRUE,_xlfn._xlws.FILTER(Tabla4[[#All],[PIEZA]],ISNUMBER(SEARCH(Tabla4[[#All],[PCLAVE]],Tabla8[[#This Row],[DESCRIPCION DE TRABAJO]])),""))),"")</f>
        <v/>
      </c>
      <c r="O743" s="35" t="str" cm="1">
        <f t="array" ref="O743">_xlfn.TEXTJOIN(", ",TRUE,_xlfn._xlws.FILTER(Tabla28[[#All],[PARTE]],ISNUMBER(SEARCH(Tabla28[[#All],[PCLAVE2]],Tabla8[[#This Row],[DESCRIPCION DE TRABAJO]])),""))</f>
        <v/>
      </c>
      <c r="P743" s="303" t="str">
        <f>IFERROR(LEFT(O743, FIND(",", O743)-1), O743)</f>
        <v/>
      </c>
      <c r="Q743" s="303" t="str">
        <f>IFERROR(IF(ISERROR(FIND(",", O743, FIND(",", O743)+1)), RIGHT(O743, LEN(O743)-FIND(",", O743)-1), MID(O743, FIND(",", O743)+2, FIND(",", O743, FIND(",", O743)+1)-FIND(",", O743)-2)), "")</f>
        <v/>
      </c>
      <c r="R743" s="303" t="str">
        <f>IFERROR(RIGHT(O743, LEN(O743)-FIND(",", O743, FIND(",", O743)+1)-1), "")</f>
        <v/>
      </c>
      <c r="S743" s="35" t="str" cm="1">
        <f t="array" ref="S743">_xlfn.TEXTJOIN(", ",TRUE,_xlfn._xlws.FILTER(Tabla29[[#All],[PARTE]],ISNUMBER(SEARCH(Tabla29[[#All],[PCLAVE3]],Tabla8[[#This Row],[DESCRIPCION DE TRABAJO]])),""))</f>
        <v>Alimentacion Obstruida</v>
      </c>
      <c r="T743" s="34" t="str">
        <f>IF(AND(Tabla8[[#This Row],[PIEZA]]="",Tabla8[[#This Row],[PARTE]]=""),"VACIO","OK")</f>
        <v>VACIO</v>
      </c>
      <c r="U743" s="303" t="str">
        <f>+CONCATENATE(WEEKNUM(Tabla8[[#This Row],[FECHA]]),"-",YEAR(Tabla8[[#This Row],[FECHA]]))</f>
        <v>13-2026</v>
      </c>
    </row>
    <row r="744" spans="1:21" ht="15" customHeight="1">
      <c r="A744" s="22">
        <v>46107</v>
      </c>
      <c r="B744" s="16" t="s">
        <v>111</v>
      </c>
      <c r="C744" s="10" t="s">
        <v>36</v>
      </c>
      <c r="D744" s="381" t="s">
        <v>1510</v>
      </c>
      <c r="E744" s="381" t="s">
        <v>1528</v>
      </c>
      <c r="F744" s="380">
        <f>+MOD(Tabla8[[#This Row],[HR. FIN]]-Tabla8[[#This Row],[HR. INICIO]],1)</f>
        <v>1.041666666666663E-2</v>
      </c>
      <c r="G744" s="16" t="s">
        <v>140</v>
      </c>
      <c r="H744" s="343" t="str">
        <f>IFERROR(VLOOKUP(G744,DATOS!$M$2:$N$219,2,FALSE),"")</f>
        <v>Maquinaria</v>
      </c>
      <c r="I744" s="115" t="s">
        <v>54</v>
      </c>
      <c r="J744" s="115" t="str">
        <f>+VLOOKUP($I744,Tabla7[#All],2,FALSE)</f>
        <v>PROGRAMADA</v>
      </c>
      <c r="K744" s="114" t="str">
        <f>IF(VLOOKUP(I744,Tabla7[#All],3,FALSE)=0,"",VLOOKUP(I744,Tabla7[#All],3,FALSE))</f>
        <v/>
      </c>
      <c r="L744" s="35" t="s">
        <v>225</v>
      </c>
      <c r="M744" s="35" t="s">
        <v>121</v>
      </c>
      <c r="N744" s="35" t="str" cm="1">
        <f t="array" ref="N744">IFERROR(IF(Tabla8[[#This Row],[P/NP]]="NO PROGRAMADA","",_xlfn.TEXTJOIN(", ",TRUE,_xlfn._xlws.FILTER(Tabla4[[#All],[PIEZA]],ISNUMBER(SEARCH(Tabla4[[#All],[PCLAVE]],Tabla8[[#This Row],[DESCRIPCION DE TRABAJO]])),""))),"")</f>
        <v/>
      </c>
      <c r="O744" s="35" t="str" cm="1">
        <f t="array" ref="O744">_xlfn.TEXTJOIN(", ",TRUE,_xlfn._xlws.FILTER(Tabla28[[#All],[PARTE]],ISNUMBER(SEARCH(Tabla28[[#All],[PCLAVE2]],Tabla8[[#This Row],[DESCRIPCION DE TRABAJO]])),""))</f>
        <v/>
      </c>
      <c r="P744" s="303" t="str">
        <f>IFERROR(LEFT(O744, FIND(",", O744)-1), O744)</f>
        <v/>
      </c>
      <c r="Q744" s="303" t="str">
        <f>IFERROR(IF(ISERROR(FIND(",", O744, FIND(",", O744)+1)), RIGHT(O744, LEN(O744)-FIND(",", O744)-1), MID(O744, FIND(",", O744)+2, FIND(",", O744, FIND(",", O744)+1)-FIND(",", O744)-2)), "")</f>
        <v/>
      </c>
      <c r="R744" s="303" t="str">
        <f>IFERROR(RIGHT(O744, LEN(O744)-FIND(",", O744, FIND(",", O744)+1)-1), "")</f>
        <v/>
      </c>
      <c r="S744" s="35" t="str" cm="1">
        <f t="array" ref="S744">_xlfn.TEXTJOIN(", ",TRUE,_xlfn._xlws.FILTER(Tabla29[[#All],[PARTE]],ISNUMBER(SEARCH(Tabla29[[#All],[PCLAVE3]],Tabla8[[#This Row],[DESCRIPCION DE TRABAJO]])),""))</f>
        <v/>
      </c>
      <c r="T744" s="34" t="str">
        <f>IF(AND(Tabla8[[#This Row],[PIEZA]]="",Tabla8[[#This Row],[PARTE]]=""),"VACIO","OK")</f>
        <v>VACIO</v>
      </c>
      <c r="U744" s="303" t="str">
        <f>+CONCATENATE(WEEKNUM(Tabla8[[#This Row],[FECHA]]),"-",YEAR(Tabla8[[#This Row],[FECHA]]))</f>
        <v>13-2026</v>
      </c>
    </row>
    <row r="745" spans="1:21" ht="15" customHeight="1">
      <c r="A745" s="22">
        <v>46107</v>
      </c>
      <c r="B745" s="16" t="s">
        <v>111</v>
      </c>
      <c r="C745" s="10" t="s">
        <v>36</v>
      </c>
      <c r="D745" s="381" t="s">
        <v>89</v>
      </c>
      <c r="E745" s="381" t="s">
        <v>1529</v>
      </c>
      <c r="F745" s="380">
        <f>+MOD(Tabla8[[#This Row],[HR. FIN]]-Tabla8[[#This Row],[HR. INICIO]],1)</f>
        <v>1.041666666666663E-2</v>
      </c>
      <c r="G745" s="16" t="s">
        <v>31</v>
      </c>
      <c r="H745" s="343" t="str">
        <f>IFERROR(VLOOKUP(G745,DATOS!$M$2:$N$219,2,FALSE),"")</f>
        <v>Maquinaria</v>
      </c>
      <c r="I745" s="115" t="s">
        <v>54</v>
      </c>
      <c r="J745" s="115" t="str">
        <f>+VLOOKUP($I745,Tabla7[#All],2,FALSE)</f>
        <v>PROGRAMADA</v>
      </c>
      <c r="K745" s="114" t="str">
        <f>IF(VLOOKUP(I745,Tabla7[#All],3,FALSE)=0,"",VLOOKUP(I745,Tabla7[#All],3,FALSE))</f>
        <v/>
      </c>
      <c r="L745" s="35" t="s">
        <v>225</v>
      </c>
      <c r="M745" s="35" t="s">
        <v>1530</v>
      </c>
      <c r="N745" s="35" t="str" cm="1">
        <f t="array" ref="N745">IFERROR(IF(Tabla8[[#This Row],[P/NP]]="NO PROGRAMADA","",_xlfn.TEXTJOIN(", ",TRUE,_xlfn._xlws.FILTER(Tabla4[[#All],[PIEZA]],ISNUMBER(SEARCH(Tabla4[[#All],[PCLAVE]],Tabla8[[#This Row],[DESCRIPCION DE TRABAJO]])),""))),"")</f>
        <v/>
      </c>
      <c r="O745" s="35" t="str" cm="1">
        <f t="array" ref="O745">_xlfn.TEXTJOIN(", ",TRUE,_xlfn._xlws.FILTER(Tabla28[[#All],[PARTE]],ISNUMBER(SEARCH(Tabla28[[#All],[PCLAVE2]],Tabla8[[#This Row],[DESCRIPCION DE TRABAJO]])),""))</f>
        <v/>
      </c>
      <c r="P745" s="303" t="str">
        <f>IFERROR(LEFT(O745, FIND(",", O745)-1), O745)</f>
        <v/>
      </c>
      <c r="Q745" s="303" t="str">
        <f>IFERROR(IF(ISERROR(FIND(",", O745, FIND(",", O745)+1)), RIGHT(O745, LEN(O745)-FIND(",", O745)-1), MID(O745, FIND(",", O745)+2, FIND(",", O745, FIND(",", O745)+1)-FIND(",", O745)-2)), "")</f>
        <v/>
      </c>
      <c r="R745" s="303" t="str">
        <f>IFERROR(RIGHT(O745, LEN(O745)-FIND(",", O745, FIND(",", O745)+1)-1), "")</f>
        <v/>
      </c>
      <c r="S745" s="35" t="str" cm="1">
        <f t="array" ref="S745">_xlfn.TEXTJOIN(", ",TRUE,_xlfn._xlws.FILTER(Tabla29[[#All],[PARTE]],ISNUMBER(SEARCH(Tabla29[[#All],[PCLAVE3]],Tabla8[[#This Row],[DESCRIPCION DE TRABAJO]])),""))</f>
        <v/>
      </c>
      <c r="T745" s="34" t="str">
        <f>IF(AND(Tabla8[[#This Row],[PIEZA]]="",Tabla8[[#This Row],[PARTE]]=""),"VACIO","OK")</f>
        <v>VACIO</v>
      </c>
      <c r="U745" s="303" t="str">
        <f>+CONCATENATE(WEEKNUM(Tabla8[[#This Row],[FECHA]]),"-",YEAR(Tabla8[[#This Row],[FECHA]]))</f>
        <v>13-2026</v>
      </c>
    </row>
    <row r="746" spans="1:21" ht="15" customHeight="1">
      <c r="A746" s="22">
        <v>46107</v>
      </c>
      <c r="B746" s="16" t="s">
        <v>88</v>
      </c>
      <c r="C746" s="10" t="s">
        <v>36</v>
      </c>
      <c r="D746" s="381" t="s">
        <v>586</v>
      </c>
      <c r="E746" s="381" t="s">
        <v>531</v>
      </c>
      <c r="F746" s="380">
        <f>+MOD(Tabla8[[#This Row],[HR. FIN]]-Tabla8[[#This Row],[HR. INICIO]],1)</f>
        <v>1.041666666666663E-2</v>
      </c>
      <c r="G746" s="16" t="s">
        <v>31</v>
      </c>
      <c r="H746" s="343" t="str">
        <f>IFERROR(VLOOKUP(G746,DATOS!$M$2:$N$219,2,FALSE),"")</f>
        <v>Maquinaria</v>
      </c>
      <c r="I746" s="115" t="s">
        <v>61</v>
      </c>
      <c r="J746" s="115" t="s">
        <v>92</v>
      </c>
      <c r="K746" s="114" t="s">
        <v>93</v>
      </c>
      <c r="L746" s="35" t="s">
        <v>1531</v>
      </c>
      <c r="M746" s="35" t="s">
        <v>1532</v>
      </c>
      <c r="N746" s="35" t="str" cm="1">
        <f t="array" ref="N746">IFERROR(IF(Tabla8[[#This Row],[P/NP]]="NO PROGRAMADA","",_xlfn.TEXTJOIN(", ",TRUE,_xlfn._xlws.FILTER(Tabla4[[#All],[PIEZA]],ISNUMBER(SEARCH(Tabla4[[#All],[PCLAVE]],Tabla8[[#This Row],[DESCRIPCION DE TRABAJO]])),""))),"")</f>
        <v/>
      </c>
      <c r="O746" s="35" t="str" cm="1">
        <f t="array" ref="O746">_xlfn.TEXTJOIN(", ",TRUE,_xlfn._xlws.FILTER(Tabla28[[#All],[PARTE]],ISNUMBER(SEARCH(Tabla28[[#All],[PCLAVE2]],Tabla8[[#This Row],[DESCRIPCION DE TRABAJO]])),""))</f>
        <v/>
      </c>
      <c r="P746" s="303" t="str">
        <f>IFERROR(LEFT(O746, FIND(",", O746)-1), O746)</f>
        <v/>
      </c>
      <c r="Q746" s="303" t="str">
        <f>IFERROR(IF(ISERROR(FIND(",", O746, FIND(",", O746)+1)), RIGHT(O746, LEN(O746)-FIND(",", O746)-1), MID(O746, FIND(",", O746)+2, FIND(",", O746, FIND(",", O746)+1)-FIND(",", O746)-2)), "")</f>
        <v/>
      </c>
      <c r="R746" s="303" t="str">
        <f>IFERROR(RIGHT(O746, LEN(O746)-FIND(",", O746, FIND(",", O746)+1)-1), "")</f>
        <v/>
      </c>
      <c r="S746" s="35" t="str" cm="1">
        <f t="array" ref="S746">_xlfn.TEXTJOIN(", ",TRUE,_xlfn._xlws.FILTER(Tabla29[[#All],[PARTE]],ISNUMBER(SEARCH(Tabla29[[#All],[PCLAVE3]],Tabla8[[#This Row],[DESCRIPCION DE TRABAJO]])),""))</f>
        <v>Desalineado</v>
      </c>
      <c r="T746" s="34" t="str">
        <f>IF(AND(Tabla8[[#This Row],[PIEZA]]="",Tabla8[[#This Row],[PARTE]]=""),"VACIO","OK")</f>
        <v>VACIO</v>
      </c>
      <c r="U746" s="303" t="str">
        <f>+CONCATENATE(WEEKNUM(Tabla8[[#This Row],[FECHA]]),"-",YEAR(Tabla8[[#This Row],[FECHA]]))</f>
        <v>13-2026</v>
      </c>
    </row>
    <row r="747" spans="1:21" ht="15" customHeight="1">
      <c r="A747" s="22">
        <v>46107</v>
      </c>
      <c r="B747" s="16" t="s">
        <v>111</v>
      </c>
      <c r="C747" s="10" t="s">
        <v>36</v>
      </c>
      <c r="D747" s="381" t="s">
        <v>631</v>
      </c>
      <c r="E747" s="381" t="s">
        <v>556</v>
      </c>
      <c r="F747" s="380">
        <f>+MOD(Tabla8[[#This Row],[HR. FIN]]-Tabla8[[#This Row],[HR. INICIO]],1)</f>
        <v>6.9444444444444198E-3</v>
      </c>
      <c r="G747" s="16" t="s">
        <v>128</v>
      </c>
      <c r="H747" s="343" t="str">
        <f>IFERROR(VLOOKUP(G747,DATOS!$M$2:$N$219,2,FALSE),"")</f>
        <v>Maquinaria</v>
      </c>
      <c r="I747" s="115" t="s">
        <v>32</v>
      </c>
      <c r="J747" s="115" t="str">
        <f>+VLOOKUP($I747,Tabla7[#All],2,FALSE)</f>
        <v>PROGRAMADA</v>
      </c>
      <c r="K747" s="114" t="str">
        <f>IF(VLOOKUP(I747,Tabla7[#All],3,FALSE)=0,"",VLOOKUP(I747,Tabla7[#All],3,FALSE))</f>
        <v/>
      </c>
      <c r="L747" s="35" t="s">
        <v>1272</v>
      </c>
      <c r="M747" s="35" t="s">
        <v>1533</v>
      </c>
      <c r="N747" s="35" t="str" cm="1">
        <f t="array" ref="N747">IFERROR(IF(Tabla8[[#This Row],[P/NP]]="NO PROGRAMADA","",_xlfn.TEXTJOIN(", ",TRUE,_xlfn._xlws.FILTER(Tabla4[[#All],[PIEZA]],ISNUMBER(SEARCH(Tabla4[[#All],[PCLAVE]],Tabla8[[#This Row],[DESCRIPCION DE TRABAJO]])),""))),"")</f>
        <v/>
      </c>
      <c r="O747" s="35" t="str" cm="1">
        <f t="array" ref="O747">_xlfn.TEXTJOIN(", ",TRUE,_xlfn._xlws.FILTER(Tabla28[[#All],[PARTE]],ISNUMBER(SEARCH(Tabla28[[#All],[PCLAVE2]],Tabla8[[#This Row],[DESCRIPCION DE TRABAJO]])),""))</f>
        <v/>
      </c>
      <c r="P747" s="303" t="str">
        <f>IFERROR(LEFT(O747, FIND(",", O747)-1), O747)</f>
        <v/>
      </c>
      <c r="Q747" s="303" t="str">
        <f>IFERROR(IF(ISERROR(FIND(",", O747, FIND(",", O747)+1)), RIGHT(O747, LEN(O747)-FIND(",", O747)-1), MID(O747, FIND(",", O747)+2, FIND(",", O747, FIND(",", O747)+1)-FIND(",", O747)-2)), "")</f>
        <v/>
      </c>
      <c r="R747" s="303" t="str">
        <f>IFERROR(RIGHT(O747, LEN(O747)-FIND(",", O747, FIND(",", O747)+1)-1), "")</f>
        <v/>
      </c>
      <c r="S747" s="35" t="str" cm="1">
        <f t="array" ref="S747">_xlfn.TEXTJOIN(", ",TRUE,_xlfn._xlws.FILTER(Tabla29[[#All],[PARTE]],ISNUMBER(SEARCH(Tabla29[[#All],[PCLAVE3]],Tabla8[[#This Row],[DESCRIPCION DE TRABAJO]])),""))</f>
        <v/>
      </c>
      <c r="T747" s="34" t="str">
        <f>IF(AND(Tabla8[[#This Row],[PIEZA]]="",Tabla8[[#This Row],[PARTE]]=""),"VACIO","OK")</f>
        <v>VACIO</v>
      </c>
      <c r="U747" s="303" t="str">
        <f>+CONCATENATE(WEEKNUM(Tabla8[[#This Row],[FECHA]]),"-",YEAR(Tabla8[[#This Row],[FECHA]]))</f>
        <v>13-2026</v>
      </c>
    </row>
    <row r="748" spans="1:21" ht="15" customHeight="1">
      <c r="A748" s="22">
        <v>46111</v>
      </c>
      <c r="B748" s="16" t="s">
        <v>191</v>
      </c>
      <c r="C748" s="10" t="s">
        <v>23</v>
      </c>
      <c r="D748" s="381" t="s">
        <v>915</v>
      </c>
      <c r="E748" s="381" t="s">
        <v>1534</v>
      </c>
      <c r="F748" s="380">
        <f>+MOD(Tabla8[[#This Row],[HR. FIN]]-Tabla8[[#This Row],[HR. INICIO]],1)</f>
        <v>7.0138888888888862E-2</v>
      </c>
      <c r="G748" s="16" t="s">
        <v>256</v>
      </c>
      <c r="H748" s="343" t="str">
        <f>IFERROR(VLOOKUP(G748,DATOS!$M$2:$N$219,2,FALSE),"")</f>
        <v>Maquinaria</v>
      </c>
      <c r="I748" s="115" t="s">
        <v>32</v>
      </c>
      <c r="J748" s="115" t="s">
        <v>92</v>
      </c>
      <c r="K748" s="114" t="s">
        <v>148</v>
      </c>
      <c r="L748" s="35" t="s">
        <v>1535</v>
      </c>
      <c r="M748" s="35" t="s">
        <v>1536</v>
      </c>
      <c r="N748" s="35" t="str" cm="1">
        <f t="array" ref="N748">IFERROR(IF(Tabla8[[#This Row],[P/NP]]="NO PROGRAMADA","",_xlfn.TEXTJOIN(", ",TRUE,_xlfn._xlws.FILTER(Tabla4[[#All],[PIEZA]],ISNUMBER(SEARCH(Tabla4[[#All],[PCLAVE]],Tabla8[[#This Row],[DESCRIPCION DE TRABAJO]])),""))),"")</f>
        <v/>
      </c>
      <c r="O748" s="35" t="str" cm="1">
        <f t="array" ref="O748">_xlfn.TEXTJOIN(", ",TRUE,_xlfn._xlws.FILTER(Tabla28[[#All],[PARTE]],ISNUMBER(SEARCH(Tabla28[[#All],[PCLAVE2]],Tabla8[[#This Row],[DESCRIPCION DE TRABAJO]])),""))</f>
        <v>Dosificador</v>
      </c>
      <c r="P748" s="303" t="str">
        <f>IFERROR(LEFT(O748, FIND(",", O748)-1), O748)</f>
        <v>Dosificador</v>
      </c>
      <c r="Q748" s="303" t="str">
        <f>IFERROR(IF(ISERROR(FIND(",", O748, FIND(",", O748)+1)), RIGHT(O748, LEN(O748)-FIND(",", O748)-1), MID(O748, FIND(",", O748)+2, FIND(",", O748, FIND(",", O748)+1)-FIND(",", O748)-2)), "")</f>
        <v/>
      </c>
      <c r="R748" s="303" t="str">
        <f>IFERROR(RIGHT(O748, LEN(O748)-FIND(",", O748, FIND(",", O748)+1)-1), "")</f>
        <v/>
      </c>
      <c r="S748" s="35" t="str" cm="1">
        <f t="array" ref="S748">_xlfn.TEXTJOIN(", ",TRUE,_xlfn._xlws.FILTER(Tabla29[[#All],[PARTE]],ISNUMBER(SEARCH(Tabla29[[#All],[PCLAVE3]],Tabla8[[#This Row],[DESCRIPCION DE TRABAJO]])),""))</f>
        <v/>
      </c>
      <c r="T748" s="34" t="str">
        <f>IF(AND(Tabla8[[#This Row],[PIEZA]]="",Tabla8[[#This Row],[PARTE]]=""),"VACIO","OK")</f>
        <v>OK</v>
      </c>
      <c r="U748" s="303" t="str">
        <f>+CONCATENATE(WEEKNUM(Tabla8[[#This Row],[FECHA]]),"-",YEAR(Tabla8[[#This Row],[FECHA]]))</f>
        <v>14-2026</v>
      </c>
    </row>
    <row r="749" spans="1:21" ht="15" customHeight="1">
      <c r="A749" s="22">
        <v>46111</v>
      </c>
      <c r="B749" s="16" t="s">
        <v>88</v>
      </c>
      <c r="C749" s="10" t="s">
        <v>36</v>
      </c>
      <c r="D749" s="381" t="s">
        <v>101</v>
      </c>
      <c r="E749" s="381" t="s">
        <v>122</v>
      </c>
      <c r="F749" s="380">
        <f>+MOD(Tabla8[[#This Row],[HR. FIN]]-Tabla8[[#This Row],[HR. INICIO]],1)</f>
        <v>4.1666666666666657E-2</v>
      </c>
      <c r="G749" s="16" t="s">
        <v>103</v>
      </c>
      <c r="H749" s="343" t="str">
        <f>IFERROR(VLOOKUP(G749,DATOS!$M$2:$N$219,2,FALSE),"")</f>
        <v>Area</v>
      </c>
      <c r="I749" s="115" t="s">
        <v>43</v>
      </c>
      <c r="J749" s="115" t="str">
        <f>+VLOOKUP($I749,Tabla7[#All],2,FALSE)</f>
        <v>PROGRAMADA</v>
      </c>
      <c r="K749" s="114" t="str">
        <f>IF(VLOOKUP(I749,Tabla7[#All],3,FALSE)=0,"",VLOOKUP(I749,Tabla7[#All],3,FALSE))</f>
        <v/>
      </c>
      <c r="L749" s="35" t="s">
        <v>104</v>
      </c>
      <c r="M749" s="35" t="s">
        <v>1403</v>
      </c>
      <c r="N749" s="35" t="str" cm="1">
        <f t="array" ref="N749">IFERROR(IF(Tabla8[[#This Row],[P/NP]]="NO PROGRAMADA","",_xlfn.TEXTJOIN(", ",TRUE,_xlfn._xlws.FILTER(Tabla4[[#All],[PIEZA]],ISNUMBER(SEARCH(Tabla4[[#All],[PCLAVE]],Tabla8[[#This Row],[DESCRIPCION DE TRABAJO]])),""))),"")</f>
        <v/>
      </c>
      <c r="O749" s="35" t="str" cm="1">
        <f t="array" ref="O749">_xlfn.TEXTJOIN(", ",TRUE,_xlfn._xlws.FILTER(Tabla28[[#All],[PARTE]],ISNUMBER(SEARCH(Tabla28[[#All],[PCLAVE2]],Tabla8[[#This Row],[DESCRIPCION DE TRABAJO]])),""))</f>
        <v/>
      </c>
      <c r="P749" s="303" t="str">
        <f>IFERROR(LEFT(O749, FIND(",", O749)-1), O749)</f>
        <v/>
      </c>
      <c r="Q749" s="303" t="str">
        <f>IFERROR(IF(ISERROR(FIND(",", O749, FIND(",", O749)+1)), RIGHT(O749, LEN(O749)-FIND(",", O749)-1), MID(O749, FIND(",", O749)+2, FIND(",", O749, FIND(",", O749)+1)-FIND(",", O749)-2)), "")</f>
        <v/>
      </c>
      <c r="R749" s="303" t="str">
        <f>IFERROR(RIGHT(O749, LEN(O749)-FIND(",", O749, FIND(",", O749)+1)-1), "")</f>
        <v/>
      </c>
      <c r="S749" s="35" t="str" cm="1">
        <f t="array" ref="S749">_xlfn.TEXTJOIN(", ",TRUE,_xlfn._xlws.FILTER(Tabla29[[#All],[PARTE]],ISNUMBER(SEARCH(Tabla29[[#All],[PCLAVE3]],Tabla8[[#This Row],[DESCRIPCION DE TRABAJO]])),""))</f>
        <v/>
      </c>
      <c r="T749" s="34" t="str">
        <f>IF(AND(Tabla8[[#This Row],[PIEZA]]="",Tabla8[[#This Row],[PARTE]]=""),"VACIO","OK")</f>
        <v>VACIO</v>
      </c>
      <c r="U749" s="303" t="str">
        <f>+CONCATENATE(WEEKNUM(Tabla8[[#This Row],[FECHA]]),"-",YEAR(Tabla8[[#This Row],[FECHA]]))</f>
        <v>14-2026</v>
      </c>
    </row>
    <row r="750" spans="1:21" ht="15" customHeight="1">
      <c r="A750" s="22">
        <v>46111</v>
      </c>
      <c r="B750" s="16" t="s">
        <v>111</v>
      </c>
      <c r="C750" s="10" t="s">
        <v>39</v>
      </c>
      <c r="D750" s="381" t="s">
        <v>600</v>
      </c>
      <c r="E750" s="381" t="s">
        <v>1537</v>
      </c>
      <c r="F750" s="380">
        <f>+MOD(Tabla8[[#This Row],[HR. FIN]]-Tabla8[[#This Row],[HR. INICIO]],1)</f>
        <v>3.8194444444444475E-2</v>
      </c>
      <c r="G750" s="16" t="s">
        <v>312</v>
      </c>
      <c r="H750" s="343" t="str">
        <f>IFERROR(VLOOKUP(G750,DATOS!$M$2:$N$219,2,FALSE),"")</f>
        <v>Maquinaria</v>
      </c>
      <c r="I750" s="115" t="s">
        <v>28</v>
      </c>
      <c r="J750" s="115" t="str">
        <f>+VLOOKUP($I750,Tabla7[#All],2,FALSE)</f>
        <v>NO PROGRAMADA</v>
      </c>
      <c r="K750" s="114" t="s">
        <v>93</v>
      </c>
      <c r="L750" s="35" t="s">
        <v>1538</v>
      </c>
      <c r="M750" s="35" t="s">
        <v>1539</v>
      </c>
      <c r="N750" s="35" t="str" cm="1">
        <f t="array" ref="N750">IFERROR(IF(Tabla8[[#This Row],[P/NP]]="NO PROGRAMADA","",_xlfn.TEXTJOIN(", ",TRUE,_xlfn._xlws.FILTER(Tabla4[[#All],[PIEZA]],ISNUMBER(SEARCH(Tabla4[[#All],[PCLAVE]],Tabla8[[#This Row],[DESCRIPCION DE TRABAJO]])),""))),"")</f>
        <v/>
      </c>
      <c r="O750" s="35" t="str" cm="1">
        <f t="array" ref="O750">_xlfn.TEXTJOIN(", ",TRUE,_xlfn._xlws.FILTER(Tabla28[[#All],[PARTE]],ISNUMBER(SEARCH(Tabla28[[#All],[PCLAVE2]],Tabla8[[#This Row],[DESCRIPCION DE TRABAJO]])),""))</f>
        <v/>
      </c>
      <c r="P750" s="303" t="str">
        <f>IFERROR(LEFT(O750, FIND(",", O750)-1), O750)</f>
        <v/>
      </c>
      <c r="Q750" s="303" t="str">
        <f>IFERROR(IF(ISERROR(FIND(",", O750, FIND(",", O750)+1)), RIGHT(O750, LEN(O750)-FIND(",", O750)-1), MID(O750, FIND(",", O750)+2, FIND(",", O750, FIND(",", O750)+1)-FIND(",", O750)-2)), "")</f>
        <v/>
      </c>
      <c r="R750" s="303" t="str">
        <f>IFERROR(RIGHT(O750, LEN(O750)-FIND(",", O750, FIND(",", O750)+1)-1), "")</f>
        <v/>
      </c>
      <c r="S750" s="35" t="str" cm="1">
        <f t="array" ref="S750">_xlfn.TEXTJOIN(", ",TRUE,_xlfn._xlws.FILTER(Tabla29[[#All],[PARTE]],ISNUMBER(SEARCH(Tabla29[[#All],[PCLAVE3]],Tabla8[[#This Row],[DESCRIPCION DE TRABAJO]])),""))</f>
        <v/>
      </c>
      <c r="T750" s="34" t="str">
        <f>IF(AND(Tabla8[[#This Row],[PIEZA]]="",Tabla8[[#This Row],[PARTE]]=""),"VACIO","OK")</f>
        <v>VACIO</v>
      </c>
      <c r="U750" s="303" t="str">
        <f>+CONCATENATE(WEEKNUM(Tabla8[[#This Row],[FECHA]]),"-",YEAR(Tabla8[[#This Row],[FECHA]]))</f>
        <v>14-2026</v>
      </c>
    </row>
    <row r="751" spans="1:21" ht="15" customHeight="1">
      <c r="A751" s="22">
        <v>46111</v>
      </c>
      <c r="B751" s="16" t="s">
        <v>111</v>
      </c>
      <c r="C751" s="10" t="s">
        <v>39</v>
      </c>
      <c r="D751" s="381" t="s">
        <v>1290</v>
      </c>
      <c r="E751" s="381" t="s">
        <v>112</v>
      </c>
      <c r="F751" s="380">
        <f>+MOD(Tabla8[[#This Row],[HR. FIN]]-Tabla8[[#This Row],[HR. INICIO]],1)</f>
        <v>3.4722222222222224E-2</v>
      </c>
      <c r="G751" s="16" t="s">
        <v>31</v>
      </c>
      <c r="H751" s="343" t="str">
        <f>IFERROR(VLOOKUP(G751,DATOS!$M$2:$N$219,2,FALSE),"")</f>
        <v>Maquinaria</v>
      </c>
      <c r="I751" s="115" t="s">
        <v>54</v>
      </c>
      <c r="J751" s="115" t="str">
        <f>+VLOOKUP($I751,Tabla7[#All],2,FALSE)</f>
        <v>PROGRAMADA</v>
      </c>
      <c r="K751" s="114" t="str">
        <f>IF(VLOOKUP(I751,Tabla7[#All],3,FALSE)=0,"",VLOOKUP(I751,Tabla7[#All],3,FALSE))</f>
        <v/>
      </c>
      <c r="L751" s="35" t="s">
        <v>225</v>
      </c>
      <c r="M751" s="35" t="s">
        <v>1540</v>
      </c>
      <c r="N751" s="35" t="str" cm="1">
        <f t="array" ref="N751">IFERROR(IF(Tabla8[[#This Row],[P/NP]]="NO PROGRAMADA","",_xlfn.TEXTJOIN(", ",TRUE,_xlfn._xlws.FILTER(Tabla4[[#All],[PIEZA]],ISNUMBER(SEARCH(Tabla4[[#All],[PCLAVE]],Tabla8[[#This Row],[DESCRIPCION DE TRABAJO]])),""))),"")</f>
        <v/>
      </c>
      <c r="O751" s="35" t="str" cm="1">
        <f t="array" ref="O751">_xlfn.TEXTJOIN(", ",TRUE,_xlfn._xlws.FILTER(Tabla28[[#All],[PARTE]],ISNUMBER(SEARCH(Tabla28[[#All],[PCLAVE2]],Tabla8[[#This Row],[DESCRIPCION DE TRABAJO]])),""))</f>
        <v/>
      </c>
      <c r="P751" s="303" t="str">
        <f>IFERROR(LEFT(O751, FIND(",", O751)-1), O751)</f>
        <v/>
      </c>
      <c r="Q751" s="303" t="str">
        <f>IFERROR(IF(ISERROR(FIND(",", O751, FIND(",", O751)+1)), RIGHT(O751, LEN(O751)-FIND(",", O751)-1), MID(O751, FIND(",", O751)+2, FIND(",", O751, FIND(",", O751)+1)-FIND(",", O751)-2)), "")</f>
        <v/>
      </c>
      <c r="R751" s="303" t="str">
        <f>IFERROR(RIGHT(O751, LEN(O751)-FIND(",", O751, FIND(",", O751)+1)-1), "")</f>
        <v/>
      </c>
      <c r="S751" s="35" t="str" cm="1">
        <f t="array" ref="S751">_xlfn.TEXTJOIN(", ",TRUE,_xlfn._xlws.FILTER(Tabla29[[#All],[PARTE]],ISNUMBER(SEARCH(Tabla29[[#All],[PCLAVE3]],Tabla8[[#This Row],[DESCRIPCION DE TRABAJO]])),""))</f>
        <v/>
      </c>
      <c r="T751" s="34" t="str">
        <f>IF(AND(Tabla8[[#This Row],[PIEZA]]="",Tabla8[[#This Row],[PARTE]]=""),"VACIO","OK")</f>
        <v>VACIO</v>
      </c>
      <c r="U751" s="303" t="str">
        <f>+CONCATENATE(WEEKNUM(Tabla8[[#This Row],[FECHA]]),"-",YEAR(Tabla8[[#This Row],[FECHA]]))</f>
        <v>14-2026</v>
      </c>
    </row>
    <row r="752" spans="1:21" ht="15" customHeight="1">
      <c r="A752" s="22">
        <v>46111</v>
      </c>
      <c r="B752" s="16" t="s">
        <v>179</v>
      </c>
      <c r="C752" s="10" t="s">
        <v>23</v>
      </c>
      <c r="D752" s="381" t="s">
        <v>453</v>
      </c>
      <c r="E752" s="381" t="s">
        <v>297</v>
      </c>
      <c r="F752" s="380">
        <f>+MOD(Tabla8[[#This Row],[HR. FIN]]-Tabla8[[#This Row],[HR. INICIO]],1)</f>
        <v>2.777777777777779E-2</v>
      </c>
      <c r="G752" s="16" t="s">
        <v>1541</v>
      </c>
      <c r="H752" s="343" t="str">
        <f>IFERROR(VLOOKUP(G752,DATOS!$M$2:$N$219,2,FALSE),"")</f>
        <v/>
      </c>
      <c r="I752" s="115" t="s">
        <v>25</v>
      </c>
      <c r="J752" s="115" t="str">
        <f>+VLOOKUP($I752,Tabla7[#All],2,FALSE)</f>
        <v>PROGRAMADA</v>
      </c>
      <c r="K752" s="114" t="str">
        <f>IF(VLOOKUP(I752,Tabla7[#All],3,FALSE)=0,"",VLOOKUP(I752,Tabla7[#All],3,FALSE))</f>
        <v/>
      </c>
      <c r="L752" s="35" t="s">
        <v>1542</v>
      </c>
      <c r="M752" s="35" t="s">
        <v>121</v>
      </c>
      <c r="N752" s="35" t="str" cm="1">
        <f t="array" ref="N752">IFERROR(IF(Tabla8[[#This Row],[P/NP]]="NO PROGRAMADA","",_xlfn.TEXTJOIN(", ",TRUE,_xlfn._xlws.FILTER(Tabla4[[#All],[PIEZA]],ISNUMBER(SEARCH(Tabla4[[#All],[PCLAVE]],Tabla8[[#This Row],[DESCRIPCION DE TRABAJO]])),""))),"")</f>
        <v/>
      </c>
      <c r="O752" s="35" t="str" cm="1">
        <f t="array" ref="O752">_xlfn.TEXTJOIN(", ",TRUE,_xlfn._xlws.FILTER(Tabla28[[#All],[PARTE]],ISNUMBER(SEARCH(Tabla28[[#All],[PCLAVE2]],Tabla8[[#This Row],[DESCRIPCION DE TRABAJO]])),""))</f>
        <v/>
      </c>
      <c r="P752" s="303" t="str">
        <f>IFERROR(LEFT(O752, FIND(",", O752)-1), O752)</f>
        <v/>
      </c>
      <c r="Q752" s="303" t="str">
        <f>IFERROR(IF(ISERROR(FIND(",", O752, FIND(",", O752)+1)), RIGHT(O752, LEN(O752)-FIND(",", O752)-1), MID(O752, FIND(",", O752)+2, FIND(",", O752, FIND(",", O752)+1)-FIND(",", O752)-2)), "")</f>
        <v/>
      </c>
      <c r="R752" s="303" t="str">
        <f>IFERROR(RIGHT(O752, LEN(O752)-FIND(",", O752, FIND(",", O752)+1)-1), "")</f>
        <v/>
      </c>
      <c r="S752" s="35" t="str" cm="1">
        <f t="array" ref="S752">_xlfn.TEXTJOIN(", ",TRUE,_xlfn._xlws.FILTER(Tabla29[[#All],[PARTE]],ISNUMBER(SEARCH(Tabla29[[#All],[PCLAVE3]],Tabla8[[#This Row],[DESCRIPCION DE TRABAJO]])),""))</f>
        <v>Sustitucion</v>
      </c>
      <c r="T752" s="34" t="str">
        <f>IF(AND(Tabla8[[#This Row],[PIEZA]]="",Tabla8[[#This Row],[PARTE]]=""),"VACIO","OK")</f>
        <v>VACIO</v>
      </c>
      <c r="U752" s="303" t="str">
        <f>+CONCATENATE(WEEKNUM(Tabla8[[#This Row],[FECHA]]),"-",YEAR(Tabla8[[#This Row],[FECHA]]))</f>
        <v>14-2026</v>
      </c>
    </row>
    <row r="753" spans="1:21" ht="15" customHeight="1">
      <c r="A753" s="22">
        <v>46111</v>
      </c>
      <c r="B753" s="16" t="s">
        <v>111</v>
      </c>
      <c r="C753" s="10" t="s">
        <v>39</v>
      </c>
      <c r="D753" s="381" t="s">
        <v>672</v>
      </c>
      <c r="E753" s="381" t="s">
        <v>693</v>
      </c>
      <c r="F753" s="380">
        <f>+MOD(Tabla8[[#This Row],[HR. FIN]]-Tabla8[[#This Row],[HR. INICIO]],1)</f>
        <v>2.430555555555558E-2</v>
      </c>
      <c r="G753" s="16" t="s">
        <v>1543</v>
      </c>
      <c r="H753" s="343" t="str">
        <f>IFERROR(VLOOKUP(G753,DATOS!$M$2:$N$219,2,FALSE),"")</f>
        <v>Equipos auxiliares</v>
      </c>
      <c r="I753" s="115" t="s">
        <v>57</v>
      </c>
      <c r="J753" s="115" t="str">
        <f>+VLOOKUP($I753,Tabla7[#All],2,FALSE)</f>
        <v>NO PROGRAMADA</v>
      </c>
      <c r="K753" s="114" t="str">
        <f>IF(VLOOKUP(I753,Tabla7[#All],3,FALSE)=0,"",VLOOKUP(I753,Tabla7[#All],3,FALSE))</f>
        <v>MECÁNICA</v>
      </c>
      <c r="L753" s="35" t="s">
        <v>1544</v>
      </c>
      <c r="M753" s="35" t="s">
        <v>1545</v>
      </c>
      <c r="N753" s="35" t="str" cm="1">
        <f t="array" ref="N753">IFERROR(IF(Tabla8[[#This Row],[P/NP]]="NO PROGRAMADA","",_xlfn.TEXTJOIN(", ",TRUE,_xlfn._xlws.FILTER(Tabla4[[#All],[PIEZA]],ISNUMBER(SEARCH(Tabla4[[#All],[PCLAVE]],Tabla8[[#This Row],[DESCRIPCION DE TRABAJO]])),""))),"")</f>
        <v/>
      </c>
      <c r="O753" s="35" t="str" cm="1">
        <f t="array" ref="O753">_xlfn.TEXTJOIN(", ",TRUE,_xlfn._xlws.FILTER(Tabla28[[#All],[PARTE]],ISNUMBER(SEARCH(Tabla28[[#All],[PCLAVE2]],Tabla8[[#This Row],[DESCRIPCION DE TRABAJO]])),""))</f>
        <v/>
      </c>
      <c r="P753" s="303" t="str">
        <f>IFERROR(LEFT(O753, FIND(",", O753)-1), O753)</f>
        <v/>
      </c>
      <c r="Q753" s="303" t="str">
        <f>IFERROR(IF(ISERROR(FIND(",", O753, FIND(",", O753)+1)), RIGHT(O753, LEN(O753)-FIND(",", O753)-1), MID(O753, FIND(",", O753)+2, FIND(",", O753, FIND(",", O753)+1)-FIND(",", O753)-2)), "")</f>
        <v/>
      </c>
      <c r="R753" s="303" t="str">
        <f>IFERROR(RIGHT(O753, LEN(O753)-FIND(",", O753, FIND(",", O753)+1)-1), "")</f>
        <v/>
      </c>
      <c r="S753" s="35" t="str" cm="1">
        <f t="array" ref="S753">_xlfn.TEXTJOIN(", ",TRUE,_xlfn._xlws.FILTER(Tabla29[[#All],[PARTE]],ISNUMBER(SEARCH(Tabla29[[#All],[PCLAVE3]],Tabla8[[#This Row],[DESCRIPCION DE TRABAJO]])),""))</f>
        <v/>
      </c>
      <c r="T753" s="34" t="str">
        <f>IF(AND(Tabla8[[#This Row],[PIEZA]]="",Tabla8[[#This Row],[PARTE]]=""),"VACIO","OK")</f>
        <v>VACIO</v>
      </c>
      <c r="U753" s="303" t="str">
        <f>+CONCATENATE(WEEKNUM(Tabla8[[#This Row],[FECHA]]),"-",YEAR(Tabla8[[#This Row],[FECHA]]))</f>
        <v>14-2026</v>
      </c>
    </row>
    <row r="754" spans="1:21" ht="15" customHeight="1">
      <c r="A754" s="22">
        <v>46111</v>
      </c>
      <c r="B754" s="16" t="s">
        <v>179</v>
      </c>
      <c r="C754" s="10" t="s">
        <v>23</v>
      </c>
      <c r="D754" s="381" t="s">
        <v>571</v>
      </c>
      <c r="E754" s="381" t="s">
        <v>533</v>
      </c>
      <c r="F754" s="380">
        <f>+MOD(Tabla8[[#This Row],[HR. FIN]]-Tabla8[[#This Row],[HR. INICIO]],1)</f>
        <v>2.430555555555558E-2</v>
      </c>
      <c r="G754" s="16" t="s">
        <v>119</v>
      </c>
      <c r="H754" s="343" t="str">
        <f>IFERROR(VLOOKUP(G754,DATOS!$M$2:$N$219,2,FALSE),"")</f>
        <v>Maquinaria</v>
      </c>
      <c r="I754" s="115" t="s">
        <v>32</v>
      </c>
      <c r="J754" s="115" t="str">
        <f>+VLOOKUP($I754,Tabla7[#All],2,FALSE)</f>
        <v>PROGRAMADA</v>
      </c>
      <c r="K754" s="114" t="str">
        <f>IF(VLOOKUP(I754,Tabla7[#All],3,FALSE)=0,"",VLOOKUP(I754,Tabla7[#All],3,FALSE))</f>
        <v/>
      </c>
      <c r="L754" s="35" t="s">
        <v>1546</v>
      </c>
      <c r="M754" s="35" t="s">
        <v>121</v>
      </c>
      <c r="N754" s="35" t="str" cm="1">
        <f t="array" ref="N754">IFERROR(IF(Tabla8[[#This Row],[P/NP]]="NO PROGRAMADA","",_xlfn.TEXTJOIN(", ",TRUE,_xlfn._xlws.FILTER(Tabla4[[#All],[PIEZA]],ISNUMBER(SEARCH(Tabla4[[#All],[PCLAVE]],Tabla8[[#This Row],[DESCRIPCION DE TRABAJO]])),""))),"")</f>
        <v/>
      </c>
      <c r="O754" s="35" t="str" cm="1">
        <f t="array" ref="O754">_xlfn.TEXTJOIN(", ",TRUE,_xlfn._xlws.FILTER(Tabla28[[#All],[PARTE]],ISNUMBER(SEARCH(Tabla28[[#All],[PCLAVE2]],Tabla8[[#This Row],[DESCRIPCION DE TRABAJO]])),""))</f>
        <v>Mds</v>
      </c>
      <c r="P754" s="303" t="str">
        <f>IFERROR(LEFT(O754, FIND(",", O754)-1), O754)</f>
        <v>Mds</v>
      </c>
      <c r="Q754" s="303" t="str">
        <f>IFERROR(IF(ISERROR(FIND(",", O754, FIND(",", O754)+1)), RIGHT(O754, LEN(O754)-FIND(",", O754)-1), MID(O754, FIND(",", O754)+2, FIND(",", O754, FIND(",", O754)+1)-FIND(",", O754)-2)), "")</f>
        <v/>
      </c>
      <c r="R754" s="303" t="str">
        <f>IFERROR(RIGHT(O754, LEN(O754)-FIND(",", O754, FIND(",", O754)+1)-1), "")</f>
        <v/>
      </c>
      <c r="S754" s="35" t="str" cm="1">
        <f t="array" ref="S754">_xlfn.TEXTJOIN(", ",TRUE,_xlfn._xlws.FILTER(Tabla29[[#All],[PARTE]],ISNUMBER(SEARCH(Tabla29[[#All],[PCLAVE3]],Tabla8[[#This Row],[DESCRIPCION DE TRABAJO]])),""))</f>
        <v/>
      </c>
      <c r="T754" s="34" t="str">
        <f>IF(AND(Tabla8[[#This Row],[PIEZA]]="",Tabla8[[#This Row],[PARTE]]=""),"VACIO","OK")</f>
        <v>OK</v>
      </c>
      <c r="U754" s="303" t="str">
        <f>+CONCATENATE(WEEKNUM(Tabla8[[#This Row],[FECHA]]),"-",YEAR(Tabla8[[#This Row],[FECHA]]))</f>
        <v>14-2026</v>
      </c>
    </row>
    <row r="755" spans="1:21" ht="15" customHeight="1">
      <c r="A755" s="22">
        <v>46111</v>
      </c>
      <c r="B755" s="16" t="s">
        <v>88</v>
      </c>
      <c r="C755" s="10" t="s">
        <v>36</v>
      </c>
      <c r="D755" s="381" t="s">
        <v>470</v>
      </c>
      <c r="E755" s="381" t="s">
        <v>461</v>
      </c>
      <c r="F755" s="380">
        <f>+MOD(Tabla8[[#This Row],[HR. FIN]]-Tabla8[[#This Row],[HR. INICIO]],1)</f>
        <v>2.4305555555555525E-2</v>
      </c>
      <c r="G755" s="16" t="s">
        <v>119</v>
      </c>
      <c r="H755" s="343" t="str">
        <f>IFERROR(VLOOKUP(G755,DATOS!$M$2:$N$219,2,FALSE),"")</f>
        <v>Maquinaria</v>
      </c>
      <c r="I755" s="115" t="s">
        <v>32</v>
      </c>
      <c r="J755" s="115" t="str">
        <f>+VLOOKUP($I755,Tabla7[#All],2,FALSE)</f>
        <v>PROGRAMADA</v>
      </c>
      <c r="K755" s="114" t="str">
        <f>IF(VLOOKUP(I755,Tabla7[#All],3,FALSE)=0,"",VLOOKUP(I755,Tabla7[#All],3,FALSE))</f>
        <v/>
      </c>
      <c r="L755" s="35" t="s">
        <v>1547</v>
      </c>
      <c r="M755" s="35" t="s">
        <v>1548</v>
      </c>
      <c r="N755" s="35" t="str" cm="1">
        <f t="array" ref="N755">IFERROR(IF(Tabla8[[#This Row],[P/NP]]="NO PROGRAMADA","",_xlfn.TEXTJOIN(", ",TRUE,_xlfn._xlws.FILTER(Tabla4[[#All],[PIEZA]],ISNUMBER(SEARCH(Tabla4[[#All],[PCLAVE]],Tabla8[[#This Row],[DESCRIPCION DE TRABAJO]])),""))),"")</f>
        <v/>
      </c>
      <c r="O755" s="35" t="str" cm="1">
        <f t="array" ref="O755">_xlfn.TEXTJOIN(", ",TRUE,_xlfn._xlws.FILTER(Tabla28[[#All],[PARTE]],ISNUMBER(SEARCH(Tabla28[[#All],[PCLAVE2]],Tabla8[[#This Row],[DESCRIPCION DE TRABAJO]])),""))</f>
        <v>Mds</v>
      </c>
      <c r="P755" s="303" t="str">
        <f>IFERROR(LEFT(O755, FIND(",", O755)-1), O755)</f>
        <v>Mds</v>
      </c>
      <c r="Q755" s="303" t="str">
        <f>IFERROR(IF(ISERROR(FIND(",", O755, FIND(",", O755)+1)), RIGHT(O755, LEN(O755)-FIND(",", O755)-1), MID(O755, FIND(",", O755)+2, FIND(",", O755, FIND(",", O755)+1)-FIND(",", O755)-2)), "")</f>
        <v/>
      </c>
      <c r="R755" s="303" t="str">
        <f>IFERROR(RIGHT(O755, LEN(O755)-FIND(",", O755, FIND(",", O755)+1)-1), "")</f>
        <v/>
      </c>
      <c r="S755" s="35" t="str" cm="1">
        <f t="array" ref="S755">_xlfn.TEXTJOIN(", ",TRUE,_xlfn._xlws.FILTER(Tabla29[[#All],[PARTE]],ISNUMBER(SEARCH(Tabla29[[#All],[PCLAVE3]],Tabla8[[#This Row],[DESCRIPCION DE TRABAJO]])),""))</f>
        <v>Cambio De Formato</v>
      </c>
      <c r="T755" s="34" t="str">
        <f>IF(AND(Tabla8[[#This Row],[PIEZA]]="",Tabla8[[#This Row],[PARTE]]=""),"VACIO","OK")</f>
        <v>OK</v>
      </c>
      <c r="U755" s="303" t="str">
        <f>+CONCATENATE(WEEKNUM(Tabla8[[#This Row],[FECHA]]),"-",YEAR(Tabla8[[#This Row],[FECHA]]))</f>
        <v>14-2026</v>
      </c>
    </row>
    <row r="756" spans="1:21" ht="15" customHeight="1">
      <c r="A756" s="22">
        <v>46111</v>
      </c>
      <c r="B756" s="16" t="s">
        <v>191</v>
      </c>
      <c r="C756" s="10" t="s">
        <v>23</v>
      </c>
      <c r="D756" s="381" t="s">
        <v>790</v>
      </c>
      <c r="E756" s="381" t="s">
        <v>1549</v>
      </c>
      <c r="F756" s="380">
        <f>+MOD(Tabla8[[#This Row],[HR. FIN]]-Tabla8[[#This Row],[HR. INICIO]],1)</f>
        <v>2.2222222222222254E-2</v>
      </c>
      <c r="G756" s="16" t="s">
        <v>1550</v>
      </c>
      <c r="H756" s="343" t="str">
        <f>IFERROR(VLOOKUP(G756,DATOS!$M$2:$N$219,2,FALSE),"")</f>
        <v>Maquinaria</v>
      </c>
      <c r="I756" s="115" t="s">
        <v>57</v>
      </c>
      <c r="J756" s="115" t="str">
        <f>+VLOOKUP($I756,Tabla7[#All],2,FALSE)</f>
        <v>NO PROGRAMADA</v>
      </c>
      <c r="K756" s="114" t="str">
        <f>IF(VLOOKUP(I756,Tabla7[#All],3,FALSE)=0,"",VLOOKUP(I756,Tabla7[#All],3,FALSE))</f>
        <v>MECÁNICA</v>
      </c>
      <c r="L756" s="35" t="s">
        <v>1551</v>
      </c>
      <c r="M756" s="35" t="s">
        <v>1552</v>
      </c>
      <c r="N756" s="35" t="str" cm="1">
        <f t="array" ref="N756">IFERROR(IF(Tabla8[[#This Row],[P/NP]]="NO PROGRAMADA","",_xlfn.TEXTJOIN(", ",TRUE,_xlfn._xlws.FILTER(Tabla4[[#All],[PIEZA]],ISNUMBER(SEARCH(Tabla4[[#All],[PCLAVE]],Tabla8[[#This Row],[DESCRIPCION DE TRABAJO]])),""))),"")</f>
        <v/>
      </c>
      <c r="O756" s="35" t="str" cm="1">
        <f t="array" ref="O756">_xlfn.TEXTJOIN(", ",TRUE,_xlfn._xlws.FILTER(Tabla28[[#All],[PARTE]],ISNUMBER(SEARCH(Tabla28[[#All],[PCLAVE2]],Tabla8[[#This Row],[DESCRIPCION DE TRABAJO]])),""))</f>
        <v/>
      </c>
      <c r="P756" s="303" t="str">
        <f>IFERROR(LEFT(O756, FIND(",", O756)-1), O756)</f>
        <v/>
      </c>
      <c r="Q756" s="303" t="str">
        <f>IFERROR(IF(ISERROR(FIND(",", O756, FIND(",", O756)+1)), RIGHT(O756, LEN(O756)-FIND(",", O756)-1), MID(O756, FIND(",", O756)+2, FIND(",", O756, FIND(",", O756)+1)-FIND(",", O756)-2)), "")</f>
        <v/>
      </c>
      <c r="R756" s="303" t="str">
        <f>IFERROR(RIGHT(O756, LEN(O756)-FIND(",", O756, FIND(",", O756)+1)-1), "")</f>
        <v/>
      </c>
      <c r="S756" s="35" t="str" cm="1">
        <f t="array" ref="S756">_xlfn.TEXTJOIN(", ",TRUE,_xlfn._xlws.FILTER(Tabla29[[#All],[PARTE]],ISNUMBER(SEARCH(Tabla29[[#All],[PCLAVE3]],Tabla8[[#This Row],[DESCRIPCION DE TRABAJO]])),""))</f>
        <v>Sellado</v>
      </c>
      <c r="T756" s="34" t="str">
        <f>IF(AND(Tabla8[[#This Row],[PIEZA]]="",Tabla8[[#This Row],[PARTE]]=""),"VACIO","OK")</f>
        <v>VACIO</v>
      </c>
      <c r="U756" s="303" t="str">
        <f>+CONCATENATE(WEEKNUM(Tabla8[[#This Row],[FECHA]]),"-",YEAR(Tabla8[[#This Row],[FECHA]]))</f>
        <v>14-2026</v>
      </c>
    </row>
    <row r="757" spans="1:21" ht="15" customHeight="1">
      <c r="A757" s="22">
        <v>46111</v>
      </c>
      <c r="B757" s="16" t="s">
        <v>111</v>
      </c>
      <c r="C757" s="10" t="s">
        <v>39</v>
      </c>
      <c r="D757" s="381" t="s">
        <v>557</v>
      </c>
      <c r="E757" s="381" t="s">
        <v>96</v>
      </c>
      <c r="F757" s="380">
        <f>+MOD(Tabla8[[#This Row],[HR. FIN]]-Tabla8[[#This Row],[HR. INICIO]],1)</f>
        <v>2.083333333333337E-2</v>
      </c>
      <c r="G757" s="16" t="s">
        <v>42</v>
      </c>
      <c r="H757" s="343" t="str">
        <f>IFERROR(VLOOKUP(G757,DATOS!$M$2:$N$219,2,FALSE),"")</f>
        <v>Maquinaria</v>
      </c>
      <c r="I757" s="115" t="s">
        <v>54</v>
      </c>
      <c r="J757" s="115" t="str">
        <f>+VLOOKUP($I757,Tabla7[#All],2,FALSE)</f>
        <v>PROGRAMADA</v>
      </c>
      <c r="K757" s="114" t="str">
        <f>IF(VLOOKUP(I757,Tabla7[#All],3,FALSE)=0,"",VLOOKUP(I757,Tabla7[#All],3,FALSE))</f>
        <v/>
      </c>
      <c r="L757" s="35" t="s">
        <v>1553</v>
      </c>
      <c r="M757" s="35" t="s">
        <v>121</v>
      </c>
      <c r="N757" s="35" t="str" cm="1">
        <f t="array" ref="N757">IFERROR(IF(Tabla8[[#This Row],[P/NP]]="NO PROGRAMADA","",_xlfn.TEXTJOIN(", ",TRUE,_xlfn._xlws.FILTER(Tabla4[[#All],[PIEZA]],ISNUMBER(SEARCH(Tabla4[[#All],[PCLAVE]],Tabla8[[#This Row],[DESCRIPCION DE TRABAJO]])),""))),"")</f>
        <v/>
      </c>
      <c r="O757" s="35" t="str" cm="1">
        <f t="array" ref="O757">_xlfn.TEXTJOIN(", ",TRUE,_xlfn._xlws.FILTER(Tabla28[[#All],[PARTE]],ISNUMBER(SEARCH(Tabla28[[#All],[PCLAVE2]],Tabla8[[#This Row],[DESCRIPCION DE TRABAJO]])),""))</f>
        <v/>
      </c>
      <c r="P757" s="303" t="str">
        <f>IFERROR(LEFT(O757, FIND(",", O757)-1), O757)</f>
        <v/>
      </c>
      <c r="Q757" s="303" t="str">
        <f>IFERROR(IF(ISERROR(FIND(",", O757, FIND(",", O757)+1)), RIGHT(O757, LEN(O757)-FIND(",", O757)-1), MID(O757, FIND(",", O757)+2, FIND(",", O757, FIND(",", O757)+1)-FIND(",", O757)-2)), "")</f>
        <v/>
      </c>
      <c r="R757" s="303" t="str">
        <f>IFERROR(RIGHT(O757, LEN(O757)-FIND(",", O757, FIND(",", O757)+1)-1), "")</f>
        <v/>
      </c>
      <c r="S757" s="35" t="str" cm="1">
        <f t="array" ref="S757">_xlfn.TEXTJOIN(", ",TRUE,_xlfn._xlws.FILTER(Tabla29[[#All],[PARTE]],ISNUMBER(SEARCH(Tabla29[[#All],[PCLAVE3]],Tabla8[[#This Row],[DESCRIPCION DE TRABAJO]])),""))</f>
        <v/>
      </c>
      <c r="T757" s="34" t="str">
        <f>IF(AND(Tabla8[[#This Row],[PIEZA]]="",Tabla8[[#This Row],[PARTE]]=""),"VACIO","OK")</f>
        <v>VACIO</v>
      </c>
      <c r="U757" s="303" t="str">
        <f>+CONCATENATE(WEEKNUM(Tabla8[[#This Row],[FECHA]]),"-",YEAR(Tabla8[[#This Row],[FECHA]]))</f>
        <v>14-2026</v>
      </c>
    </row>
    <row r="758" spans="1:21" ht="15" customHeight="1">
      <c r="A758" s="22">
        <v>46111</v>
      </c>
      <c r="B758" s="16" t="s">
        <v>88</v>
      </c>
      <c r="C758" s="10" t="s">
        <v>36</v>
      </c>
      <c r="D758" s="381" t="s">
        <v>122</v>
      </c>
      <c r="E758" s="381" t="s">
        <v>123</v>
      </c>
      <c r="F758" s="380">
        <f>+MOD(Tabla8[[#This Row],[HR. FIN]]-Tabla8[[#This Row],[HR. INICIO]],1)</f>
        <v>2.083333333333337E-2</v>
      </c>
      <c r="G758" s="16" t="s">
        <v>98</v>
      </c>
      <c r="H758" s="343" t="str">
        <f>IFERROR(VLOOKUP(G758,DATOS!$M$2:$N$219,2,FALSE),"")</f>
        <v>Maquinaria</v>
      </c>
      <c r="I758" s="115" t="s">
        <v>32</v>
      </c>
      <c r="J758" s="115" t="str">
        <f>+VLOOKUP($I758,Tabla7[#All],2,FALSE)</f>
        <v>PROGRAMADA</v>
      </c>
      <c r="K758" s="114" t="str">
        <f>IF(VLOOKUP(I758,Tabla7[#All],3,FALSE)=0,"",VLOOKUP(I758,Tabla7[#All],3,FALSE))</f>
        <v/>
      </c>
      <c r="L758" s="35" t="s">
        <v>361</v>
      </c>
      <c r="M758" s="35" t="s">
        <v>1554</v>
      </c>
      <c r="N758" s="35" t="str" cm="1">
        <f t="array" ref="N758">IFERROR(IF(Tabla8[[#This Row],[P/NP]]="NO PROGRAMADA","",_xlfn.TEXTJOIN(", ",TRUE,_xlfn._xlws.FILTER(Tabla4[[#All],[PIEZA]],ISNUMBER(SEARCH(Tabla4[[#All],[PCLAVE]],Tabla8[[#This Row],[DESCRIPCION DE TRABAJO]])),""))),"")</f>
        <v/>
      </c>
      <c r="O758" s="35" t="str" cm="1">
        <f t="array" ref="O758">_xlfn.TEXTJOIN(", ",TRUE,_xlfn._xlws.FILTER(Tabla28[[#All],[PARTE]],ISNUMBER(SEARCH(Tabla28[[#All],[PCLAVE2]],Tabla8[[#This Row],[DESCRIPCION DE TRABAJO]])),""))</f>
        <v/>
      </c>
      <c r="P758" s="303" t="str">
        <f>IFERROR(LEFT(O758, FIND(",", O758)-1), O758)</f>
        <v/>
      </c>
      <c r="Q758" s="303" t="str">
        <f>IFERROR(IF(ISERROR(FIND(",", O758, FIND(",", O758)+1)), RIGHT(O758, LEN(O758)-FIND(",", O758)-1), MID(O758, FIND(",", O758)+2, FIND(",", O758, FIND(",", O758)+1)-FIND(",", O758)-2)), "")</f>
        <v/>
      </c>
      <c r="R758" s="303" t="str">
        <f>IFERROR(RIGHT(O758, LEN(O758)-FIND(",", O758, FIND(",", O758)+1)-1), "")</f>
        <v/>
      </c>
      <c r="S758" s="35" t="str" cm="1">
        <f t="array" ref="S758">_xlfn.TEXTJOIN(", ",TRUE,_xlfn._xlws.FILTER(Tabla29[[#All],[PARTE]],ISNUMBER(SEARCH(Tabla29[[#All],[PCLAVE3]],Tabla8[[#This Row],[DESCRIPCION DE TRABAJO]])),""))</f>
        <v/>
      </c>
      <c r="T758" s="34" t="str">
        <f>IF(AND(Tabla8[[#This Row],[PIEZA]]="",Tabla8[[#This Row],[PARTE]]=""),"VACIO","OK")</f>
        <v>VACIO</v>
      </c>
      <c r="U758" s="303" t="str">
        <f>+CONCATENATE(WEEKNUM(Tabla8[[#This Row],[FECHA]]),"-",YEAR(Tabla8[[#This Row],[FECHA]]))</f>
        <v>14-2026</v>
      </c>
    </row>
    <row r="759" spans="1:21" ht="15" customHeight="1">
      <c r="A759" s="22">
        <v>46111</v>
      </c>
      <c r="B759" s="16" t="s">
        <v>111</v>
      </c>
      <c r="C759" s="10" t="s">
        <v>39</v>
      </c>
      <c r="D759" s="381" t="s">
        <v>1555</v>
      </c>
      <c r="E759" s="381" t="s">
        <v>146</v>
      </c>
      <c r="F759" s="380">
        <f>+MOD(Tabla8[[#This Row],[HR. FIN]]-Tabla8[[#This Row],[HR. INICIO]],1)</f>
        <v>1.7361111111111119E-2</v>
      </c>
      <c r="G759" s="16" t="s">
        <v>256</v>
      </c>
      <c r="H759" s="343" t="str">
        <f>IFERROR(VLOOKUP(G759,DATOS!$M$2:$N$219,2,FALSE),"")</f>
        <v>Maquinaria</v>
      </c>
      <c r="I759" s="115" t="s">
        <v>54</v>
      </c>
      <c r="J759" s="115" t="str">
        <f>+VLOOKUP($I759,Tabla7[#All],2,FALSE)</f>
        <v>PROGRAMADA</v>
      </c>
      <c r="K759" s="114" t="str">
        <f>IF(VLOOKUP(I759,Tabla7[#All],3,FALSE)=0,"",VLOOKUP(I759,Tabla7[#All],3,FALSE))</f>
        <v/>
      </c>
      <c r="L759" s="35" t="s">
        <v>225</v>
      </c>
      <c r="M759" s="35" t="s">
        <v>1556</v>
      </c>
      <c r="N759" s="35" t="str" cm="1">
        <f t="array" ref="N759">IFERROR(IF(Tabla8[[#This Row],[P/NP]]="NO PROGRAMADA","",_xlfn.TEXTJOIN(", ",TRUE,_xlfn._xlws.FILTER(Tabla4[[#All],[PIEZA]],ISNUMBER(SEARCH(Tabla4[[#All],[PCLAVE]],Tabla8[[#This Row],[DESCRIPCION DE TRABAJO]])),""))),"")</f>
        <v/>
      </c>
      <c r="O759" s="35" t="str" cm="1">
        <f t="array" ref="O759">_xlfn.TEXTJOIN(", ",TRUE,_xlfn._xlws.FILTER(Tabla28[[#All],[PARTE]],ISNUMBER(SEARCH(Tabla28[[#All],[PCLAVE2]],Tabla8[[#This Row],[DESCRIPCION DE TRABAJO]])),""))</f>
        <v/>
      </c>
      <c r="P759" s="303" t="str">
        <f>IFERROR(LEFT(O759, FIND(",", O759)-1), O759)</f>
        <v/>
      </c>
      <c r="Q759" s="303" t="str">
        <f>IFERROR(IF(ISERROR(FIND(",", O759, FIND(",", O759)+1)), RIGHT(O759, LEN(O759)-FIND(",", O759)-1), MID(O759, FIND(",", O759)+2, FIND(",", O759, FIND(",", O759)+1)-FIND(",", O759)-2)), "")</f>
        <v/>
      </c>
      <c r="R759" s="303" t="str">
        <f>IFERROR(RIGHT(O759, LEN(O759)-FIND(",", O759, FIND(",", O759)+1)-1), "")</f>
        <v/>
      </c>
      <c r="S759" s="35" t="str" cm="1">
        <f t="array" ref="S759">_xlfn.TEXTJOIN(", ",TRUE,_xlfn._xlws.FILTER(Tabla29[[#All],[PARTE]],ISNUMBER(SEARCH(Tabla29[[#All],[PCLAVE3]],Tabla8[[#This Row],[DESCRIPCION DE TRABAJO]])),""))</f>
        <v/>
      </c>
      <c r="T759" s="34" t="str">
        <f>IF(AND(Tabla8[[#This Row],[PIEZA]]="",Tabla8[[#This Row],[PARTE]]=""),"VACIO","OK")</f>
        <v>VACIO</v>
      </c>
      <c r="U759" s="303" t="str">
        <f>+CONCATENATE(WEEKNUM(Tabla8[[#This Row],[FECHA]]),"-",YEAR(Tabla8[[#This Row],[FECHA]]))</f>
        <v>14-2026</v>
      </c>
    </row>
    <row r="760" spans="1:21" ht="15" customHeight="1">
      <c r="A760" s="22">
        <v>46111</v>
      </c>
      <c r="B760" s="16" t="s">
        <v>191</v>
      </c>
      <c r="C760" s="10" t="s">
        <v>23</v>
      </c>
      <c r="D760" s="381" t="s">
        <v>889</v>
      </c>
      <c r="E760" s="381" t="s">
        <v>1557</v>
      </c>
      <c r="F760" s="380">
        <f>+MOD(Tabla8[[#This Row],[HR. FIN]]-Tabla8[[#This Row],[HR. INICIO]],1)</f>
        <v>1.4583333333333282E-2</v>
      </c>
      <c r="G760" s="16" t="s">
        <v>192</v>
      </c>
      <c r="H760" s="343" t="str">
        <f>IFERROR(VLOOKUP(G760,DATOS!$M$2:$N$219,2,FALSE),"")</f>
        <v>Maquinaria</v>
      </c>
      <c r="I760" s="115" t="s">
        <v>32</v>
      </c>
      <c r="J760" s="115" t="str">
        <f>+VLOOKUP($I760,Tabla7[#All],2,FALSE)</f>
        <v>PROGRAMADA</v>
      </c>
      <c r="K760" s="114" t="str">
        <f>IF(VLOOKUP(I760,Tabla7[#All],3,FALSE)=0,"",VLOOKUP(I760,Tabla7[#All],3,FALSE))</f>
        <v/>
      </c>
      <c r="L760" s="35" t="s">
        <v>1558</v>
      </c>
      <c r="M760" s="35" t="s">
        <v>121</v>
      </c>
      <c r="N760" s="35" t="str" cm="1">
        <f t="array" ref="N760">IFERROR(IF(Tabla8[[#This Row],[P/NP]]="NO PROGRAMADA","",_xlfn.TEXTJOIN(", ",TRUE,_xlfn._xlws.FILTER(Tabla4[[#All],[PIEZA]],ISNUMBER(SEARCH(Tabla4[[#All],[PCLAVE]],Tabla8[[#This Row],[DESCRIPCION DE TRABAJO]])),""))),"")</f>
        <v>Producto</v>
      </c>
      <c r="O760" s="35" t="str" cm="1">
        <f t="array" ref="O760">_xlfn.TEXTJOIN(", ",TRUE,_xlfn._xlws.FILTER(Tabla28[[#All],[PARTE]],ISNUMBER(SEARCH(Tabla28[[#All],[PCLAVE2]],Tabla8[[#This Row],[DESCRIPCION DE TRABAJO]])),""))</f>
        <v/>
      </c>
      <c r="P760" s="303" t="str">
        <f>IFERROR(LEFT(O760, FIND(",", O760)-1), O760)</f>
        <v/>
      </c>
      <c r="Q760" s="303" t="str">
        <f>IFERROR(IF(ISERROR(FIND(",", O760, FIND(",", O760)+1)), RIGHT(O760, LEN(O760)-FIND(",", O760)-1), MID(O760, FIND(",", O760)+2, FIND(",", O760, FIND(",", O760)+1)-FIND(",", O760)-2)), "")</f>
        <v/>
      </c>
      <c r="R760" s="303" t="str">
        <f>IFERROR(RIGHT(O760, LEN(O760)-FIND(",", O760, FIND(",", O760)+1)-1), "")</f>
        <v/>
      </c>
      <c r="S760" s="35" t="str" cm="1">
        <f t="array" ref="S760">_xlfn.TEXTJOIN(", ",TRUE,_xlfn._xlws.FILTER(Tabla29[[#All],[PARTE]],ISNUMBER(SEARCH(Tabla29[[#All],[PCLAVE3]],Tabla8[[#This Row],[DESCRIPCION DE TRABAJO]])),""))</f>
        <v>Cambio De Formato</v>
      </c>
      <c r="T760" s="34" t="str">
        <f>IF(AND(Tabla8[[#This Row],[PIEZA]]="",Tabla8[[#This Row],[PARTE]]=""),"VACIO","OK")</f>
        <v>OK</v>
      </c>
      <c r="U760" s="303" t="str">
        <f>+CONCATENATE(WEEKNUM(Tabla8[[#This Row],[FECHA]]),"-",YEAR(Tabla8[[#This Row],[FECHA]]))</f>
        <v>14-2026</v>
      </c>
    </row>
    <row r="761" spans="1:21" ht="15" customHeight="1">
      <c r="A761" s="22">
        <v>46111</v>
      </c>
      <c r="B761" s="16" t="s">
        <v>111</v>
      </c>
      <c r="C761" s="10" t="s">
        <v>39</v>
      </c>
      <c r="D761" s="381" t="s">
        <v>1559</v>
      </c>
      <c r="E761" s="381" t="s">
        <v>397</v>
      </c>
      <c r="F761" s="380">
        <f>+MOD(Tabla8[[#This Row],[HR. FIN]]-Tabla8[[#This Row],[HR. INICIO]],1)</f>
        <v>1.3888888888888888E-2</v>
      </c>
      <c r="G761" s="16" t="s">
        <v>119</v>
      </c>
      <c r="H761" s="343" t="str">
        <f>IFERROR(VLOOKUP(G761,DATOS!$M$2:$N$219,2,FALSE),"")</f>
        <v>Maquinaria</v>
      </c>
      <c r="I761" s="115" t="s">
        <v>54</v>
      </c>
      <c r="J761" s="115" t="str">
        <f>+VLOOKUP($I761,Tabla7[#All],2,FALSE)</f>
        <v>PROGRAMADA</v>
      </c>
      <c r="K761" s="114" t="str">
        <f>IF(VLOOKUP(I761,Tabla7[#All],3,FALSE)=0,"",VLOOKUP(I761,Tabla7[#All],3,FALSE))</f>
        <v/>
      </c>
      <c r="L761" s="35" t="s">
        <v>489</v>
      </c>
      <c r="M761" s="35" t="s">
        <v>121</v>
      </c>
      <c r="N761" s="35" t="str" cm="1">
        <f t="array" ref="N761">IFERROR(IF(Tabla8[[#This Row],[P/NP]]="NO PROGRAMADA","",_xlfn.TEXTJOIN(", ",TRUE,_xlfn._xlws.FILTER(Tabla4[[#All],[PIEZA]],ISNUMBER(SEARCH(Tabla4[[#All],[PCLAVE]],Tabla8[[#This Row],[DESCRIPCION DE TRABAJO]])),""))),"")</f>
        <v/>
      </c>
      <c r="O761" s="35" t="str" cm="1">
        <f t="array" ref="O761">_xlfn.TEXTJOIN(", ",TRUE,_xlfn._xlws.FILTER(Tabla28[[#All],[PARTE]],ISNUMBER(SEARCH(Tabla28[[#All],[PCLAVE2]],Tabla8[[#This Row],[DESCRIPCION DE TRABAJO]])),""))</f>
        <v>Temperadora</v>
      </c>
      <c r="P761" s="303" t="str">
        <f>IFERROR(LEFT(O761, FIND(",", O761)-1), O761)</f>
        <v>Temperadora</v>
      </c>
      <c r="Q761" s="303" t="str">
        <f>IFERROR(IF(ISERROR(FIND(",", O761, FIND(",", O761)+1)), RIGHT(O761, LEN(O761)-FIND(",", O761)-1), MID(O761, FIND(",", O761)+2, FIND(",", O761, FIND(",", O761)+1)-FIND(",", O761)-2)), "")</f>
        <v/>
      </c>
      <c r="R761" s="303" t="str">
        <f>IFERROR(RIGHT(O761, LEN(O761)-FIND(",", O761, FIND(",", O761)+1)-1), "")</f>
        <v/>
      </c>
      <c r="S761" s="35" t="str" cm="1">
        <f t="array" ref="S761">_xlfn.TEXTJOIN(", ",TRUE,_xlfn._xlws.FILTER(Tabla29[[#All],[PARTE]],ISNUMBER(SEARCH(Tabla29[[#All],[PCLAVE3]],Tabla8[[#This Row],[DESCRIPCION DE TRABAJO]])),""))</f>
        <v/>
      </c>
      <c r="T761" s="34" t="str">
        <f>IF(AND(Tabla8[[#This Row],[PIEZA]]="",Tabla8[[#This Row],[PARTE]]=""),"VACIO","OK")</f>
        <v>OK</v>
      </c>
      <c r="U761" s="303" t="str">
        <f>+CONCATENATE(WEEKNUM(Tabla8[[#This Row],[FECHA]]),"-",YEAR(Tabla8[[#This Row],[FECHA]]))</f>
        <v>14-2026</v>
      </c>
    </row>
    <row r="762" spans="1:21" ht="15" customHeight="1">
      <c r="A762" s="22">
        <v>46111</v>
      </c>
      <c r="B762" s="16" t="s">
        <v>179</v>
      </c>
      <c r="C762" s="10" t="s">
        <v>36</v>
      </c>
      <c r="D762" s="381" t="s">
        <v>515</v>
      </c>
      <c r="E762" s="381" t="s">
        <v>265</v>
      </c>
      <c r="F762" s="380">
        <f>+MOD(Tabla8[[#This Row],[HR. FIN]]-Tabla8[[#This Row],[HR. INICIO]],1)</f>
        <v>1.388888888888884E-2</v>
      </c>
      <c r="G762" s="16" t="s">
        <v>192</v>
      </c>
      <c r="H762" s="343" t="str">
        <f>IFERROR(VLOOKUP(G762,DATOS!$M$2:$N$219,2,FALSE),"")</f>
        <v>Maquinaria</v>
      </c>
      <c r="I762" s="115" t="s">
        <v>57</v>
      </c>
      <c r="J762" s="115" t="str">
        <f>+VLOOKUP($I762,Tabla7[#All],2,FALSE)</f>
        <v>NO PROGRAMADA</v>
      </c>
      <c r="K762" s="114" t="str">
        <f>IF(VLOOKUP(I762,Tabla7[#All],3,FALSE)=0,"",VLOOKUP(I762,Tabla7[#All],3,FALSE))</f>
        <v>MECÁNICA</v>
      </c>
      <c r="L762" s="35" t="s">
        <v>1560</v>
      </c>
      <c r="M762" s="35" t="s">
        <v>1561</v>
      </c>
      <c r="N762" s="35" t="str" cm="1">
        <f t="array" ref="N762">IFERROR(IF(Tabla8[[#This Row],[P/NP]]="NO PROGRAMADA","",_xlfn.TEXTJOIN(", ",TRUE,_xlfn._xlws.FILTER(Tabla4[[#All],[PIEZA]],ISNUMBER(SEARCH(Tabla4[[#All],[PCLAVE]],Tabla8[[#This Row],[DESCRIPCION DE TRABAJO]])),""))),"")</f>
        <v/>
      </c>
      <c r="O762" s="35" t="str" cm="1">
        <f t="array" ref="O762">_xlfn.TEXTJOIN(", ",TRUE,_xlfn._xlws.FILTER(Tabla28[[#All],[PARTE]],ISNUMBER(SEARCH(Tabla28[[#All],[PCLAVE2]],Tabla8[[#This Row],[DESCRIPCION DE TRABAJO]])),""))</f>
        <v/>
      </c>
      <c r="P762" s="303" t="str">
        <f>IFERROR(LEFT(O762, FIND(",", O762)-1), O762)</f>
        <v/>
      </c>
      <c r="Q762" s="303" t="str">
        <f>IFERROR(IF(ISERROR(FIND(",", O762, FIND(",", O762)+1)), RIGHT(O762, LEN(O762)-FIND(",", O762)-1), MID(O762, FIND(",", O762)+2, FIND(",", O762, FIND(",", O762)+1)-FIND(",", O762)-2)), "")</f>
        <v/>
      </c>
      <c r="R762" s="303" t="str">
        <f>IFERROR(RIGHT(O762, LEN(O762)-FIND(",", O762, FIND(",", O762)+1)-1), "")</f>
        <v/>
      </c>
      <c r="S762" s="35" t="str" cm="1">
        <f t="array" ref="S762">_xlfn.TEXTJOIN(", ",TRUE,_xlfn._xlws.FILTER(Tabla29[[#All],[PARTE]],ISNUMBER(SEARCH(Tabla29[[#All],[PCLAVE3]],Tabla8[[#This Row],[DESCRIPCION DE TRABAJO]])),""))</f>
        <v/>
      </c>
      <c r="T762" s="34" t="str">
        <f>IF(AND(Tabla8[[#This Row],[PIEZA]]="",Tabla8[[#This Row],[PARTE]]=""),"VACIO","OK")</f>
        <v>VACIO</v>
      </c>
      <c r="U762" s="303" t="str">
        <f>+CONCATENATE(WEEKNUM(Tabla8[[#This Row],[FECHA]]),"-",YEAR(Tabla8[[#This Row],[FECHA]]))</f>
        <v>14-2026</v>
      </c>
    </row>
    <row r="763" spans="1:21" ht="15" customHeight="1">
      <c r="A763" s="22">
        <v>46111</v>
      </c>
      <c r="B763" s="16" t="s">
        <v>179</v>
      </c>
      <c r="C763" s="10" t="s">
        <v>36</v>
      </c>
      <c r="D763" s="381" t="s">
        <v>311</v>
      </c>
      <c r="E763" s="381" t="s">
        <v>1562</v>
      </c>
      <c r="F763" s="380">
        <f>+MOD(Tabla8[[#This Row],[HR. FIN]]-Tabla8[[#This Row],[HR. INICIO]],1)</f>
        <v>1.388888888888884E-2</v>
      </c>
      <c r="G763" s="16" t="s">
        <v>270</v>
      </c>
      <c r="H763" s="343" t="str">
        <f>IFERROR(VLOOKUP(G763,DATOS!$M$2:$N$219,2,FALSE),"")</f>
        <v>Maquinaria</v>
      </c>
      <c r="I763" s="115" t="s">
        <v>32</v>
      </c>
      <c r="J763" s="115" t="s">
        <v>92</v>
      </c>
      <c r="K763" s="114" t="s">
        <v>148</v>
      </c>
      <c r="L763" s="35" t="s">
        <v>1563</v>
      </c>
      <c r="M763" s="35" t="s">
        <v>1564</v>
      </c>
      <c r="N763" s="35" t="str" cm="1">
        <f t="array" ref="N763">IFERROR(IF(Tabla8[[#This Row],[P/NP]]="NO PROGRAMADA","",_xlfn.TEXTJOIN(", ",TRUE,_xlfn._xlws.FILTER(Tabla4[[#All],[PIEZA]],ISNUMBER(SEARCH(Tabla4[[#All],[PCLAVE]],Tabla8[[#This Row],[DESCRIPCION DE TRABAJO]])),""))),"")</f>
        <v/>
      </c>
      <c r="O763" s="35" t="str" cm="1">
        <f t="array" ref="O763">_xlfn.TEXTJOIN(", ",TRUE,_xlfn._xlws.FILTER(Tabla28[[#All],[PARTE]],ISNUMBER(SEARCH(Tabla28[[#All],[PCLAVE2]],Tabla8[[#This Row],[DESCRIPCION DE TRABAJO]])),""))</f>
        <v/>
      </c>
      <c r="P763" s="303" t="str">
        <f>IFERROR(LEFT(O763, FIND(",", O763)-1), O763)</f>
        <v/>
      </c>
      <c r="Q763" s="303" t="str">
        <f>IFERROR(IF(ISERROR(FIND(",", O763, FIND(",", O763)+1)), RIGHT(O763, LEN(O763)-FIND(",", O763)-1), MID(O763, FIND(",", O763)+2, FIND(",", O763, FIND(",", O763)+1)-FIND(",", O763)-2)), "")</f>
        <v/>
      </c>
      <c r="R763" s="303" t="str">
        <f>IFERROR(RIGHT(O763, LEN(O763)-FIND(",", O763, FIND(",", O763)+1)-1), "")</f>
        <v/>
      </c>
      <c r="S763" s="35" t="str" cm="1">
        <f t="array" ref="S763">_xlfn.TEXTJOIN(", ",TRUE,_xlfn._xlws.FILTER(Tabla29[[#All],[PARTE]],ISNUMBER(SEARCH(Tabla29[[#All],[PCLAVE3]],Tabla8[[#This Row],[DESCRIPCION DE TRABAJO]])),""))</f>
        <v>Fuera De Posicion</v>
      </c>
      <c r="T763" s="34" t="str">
        <f>IF(AND(Tabla8[[#This Row],[PIEZA]]="",Tabla8[[#This Row],[PARTE]]=""),"VACIO","OK")</f>
        <v>VACIO</v>
      </c>
      <c r="U763" s="303" t="str">
        <f>+CONCATENATE(WEEKNUM(Tabla8[[#This Row],[FECHA]]),"-",YEAR(Tabla8[[#This Row],[FECHA]]))</f>
        <v>14-2026</v>
      </c>
    </row>
    <row r="764" spans="1:21" ht="15" customHeight="1">
      <c r="A764" s="22">
        <v>46111</v>
      </c>
      <c r="B764" s="16" t="s">
        <v>191</v>
      </c>
      <c r="C764" s="10" t="s">
        <v>23</v>
      </c>
      <c r="D764" s="381" t="s">
        <v>1565</v>
      </c>
      <c r="E764" s="381" t="s">
        <v>1566</v>
      </c>
      <c r="F764" s="380">
        <f>+MOD(Tabla8[[#This Row],[HR. FIN]]-Tabla8[[#This Row],[HR. INICIO]],1)</f>
        <v>1.3194444444444509E-2</v>
      </c>
      <c r="G764" s="16" t="s">
        <v>312</v>
      </c>
      <c r="H764" s="343" t="str">
        <f>IFERROR(VLOOKUP(G764,DATOS!$M$2:$N$219,2,FALSE),"")</f>
        <v>Maquinaria</v>
      </c>
      <c r="I764" s="115" t="s">
        <v>32</v>
      </c>
      <c r="J764" s="115" t="s">
        <v>157</v>
      </c>
      <c r="K764" s="114" t="str">
        <f>IF(VLOOKUP(I764,Tabla7[#All],3,FALSE)=0,"",VLOOKUP(I764,Tabla7[#All],3,FALSE))</f>
        <v/>
      </c>
      <c r="L764" s="35" t="s">
        <v>1567</v>
      </c>
      <c r="M764" s="35" t="s">
        <v>1568</v>
      </c>
      <c r="N764" s="35" t="str" cm="1">
        <f t="array" ref="N764">IFERROR(IF(Tabla8[[#This Row],[P/NP]]="NO PROGRAMADA","",_xlfn.TEXTJOIN(", ",TRUE,_xlfn._xlws.FILTER(Tabla4[[#All],[PIEZA]],ISNUMBER(SEARCH(Tabla4[[#All],[PCLAVE]],Tabla8[[#This Row],[DESCRIPCION DE TRABAJO]])),""))),"")</f>
        <v>Producto</v>
      </c>
      <c r="O764" s="35" t="str" cm="1">
        <f t="array" ref="O764">_xlfn.TEXTJOIN(", ",TRUE,_xlfn._xlws.FILTER(Tabla28[[#All],[PARTE]],ISNUMBER(SEARCH(Tabla28[[#All],[PCLAVE2]],Tabla8[[#This Row],[DESCRIPCION DE TRABAJO]])),""))</f>
        <v/>
      </c>
      <c r="P764" s="303" t="str">
        <f>IFERROR(LEFT(O764, FIND(",", O764)-1), O764)</f>
        <v/>
      </c>
      <c r="Q764" s="303" t="str">
        <f>IFERROR(IF(ISERROR(FIND(",", O764, FIND(",", O764)+1)), RIGHT(O764, LEN(O764)-FIND(",", O764)-1), MID(O764, FIND(",", O764)+2, FIND(",", O764, FIND(",", O764)+1)-FIND(",", O764)-2)), "")</f>
        <v/>
      </c>
      <c r="R764" s="303" t="str">
        <f>IFERROR(RIGHT(O764, LEN(O764)-FIND(",", O764, FIND(",", O764)+1)-1), "")</f>
        <v/>
      </c>
      <c r="S764" s="35" t="str" cm="1">
        <f t="array" ref="S764">_xlfn.TEXTJOIN(", ",TRUE,_xlfn._xlws.FILTER(Tabla29[[#All],[PARTE]],ISNUMBER(SEARCH(Tabla29[[#All],[PCLAVE3]],Tabla8[[#This Row],[DESCRIPCION DE TRABAJO]])),""))</f>
        <v/>
      </c>
      <c r="T764" s="34" t="str">
        <f>IF(AND(Tabla8[[#This Row],[PIEZA]]="",Tabla8[[#This Row],[PARTE]]=""),"VACIO","OK")</f>
        <v>OK</v>
      </c>
      <c r="U764" s="303" t="str">
        <f>+CONCATENATE(WEEKNUM(Tabla8[[#This Row],[FECHA]]),"-",YEAR(Tabla8[[#This Row],[FECHA]]))</f>
        <v>14-2026</v>
      </c>
    </row>
    <row r="765" spans="1:21" ht="15" customHeight="1">
      <c r="A765" s="22">
        <v>46111</v>
      </c>
      <c r="B765" s="16" t="s">
        <v>191</v>
      </c>
      <c r="C765" s="10" t="s">
        <v>23</v>
      </c>
      <c r="D765" s="381" t="s">
        <v>1569</v>
      </c>
      <c r="E765" s="381" t="s">
        <v>1570</v>
      </c>
      <c r="F765" s="380">
        <f>+MOD(Tabla8[[#This Row],[HR. FIN]]-Tabla8[[#This Row],[HR. INICIO]],1)</f>
        <v>1.1805555555555514E-2</v>
      </c>
      <c r="G765" s="16" t="s">
        <v>215</v>
      </c>
      <c r="H765" s="343" t="str">
        <f>IFERROR(VLOOKUP(G765,DATOS!$M$2:$N$219,2,FALSE),"")</f>
        <v>Equipos auxiliares</v>
      </c>
      <c r="I765" s="115" t="s">
        <v>54</v>
      </c>
      <c r="J765" s="115" t="str">
        <f>+VLOOKUP($I765,Tabla7[#All],2,FALSE)</f>
        <v>PROGRAMADA</v>
      </c>
      <c r="K765" s="114" t="str">
        <f>IF(VLOOKUP(I765,Tabla7[#All],3,FALSE)=0,"",VLOOKUP(I765,Tabla7[#All],3,FALSE))</f>
        <v/>
      </c>
      <c r="L765" s="35" t="s">
        <v>248</v>
      </c>
      <c r="M765" s="35" t="s">
        <v>121</v>
      </c>
      <c r="N765" s="35" t="str" cm="1">
        <f t="array" ref="N765">IFERROR(IF(Tabla8[[#This Row],[P/NP]]="NO PROGRAMADA","",_xlfn.TEXTJOIN(", ",TRUE,_xlfn._xlws.FILTER(Tabla4[[#All],[PIEZA]],ISNUMBER(SEARCH(Tabla4[[#All],[PCLAVE]],Tabla8[[#This Row],[DESCRIPCION DE TRABAJO]])),""))),"")</f>
        <v/>
      </c>
      <c r="O765" s="35" t="str" cm="1">
        <f t="array" ref="O765">_xlfn.TEXTJOIN(", ",TRUE,_xlfn._xlws.FILTER(Tabla28[[#All],[PARTE]],ISNUMBER(SEARCH(Tabla28[[#All],[PCLAVE2]],Tabla8[[#This Row],[DESCRIPCION DE TRABAJO]])),""))</f>
        <v/>
      </c>
      <c r="P765" s="303" t="str">
        <f>IFERROR(LEFT(O765, FIND(",", O765)-1), O765)</f>
        <v/>
      </c>
      <c r="Q765" s="303" t="str">
        <f>IFERROR(IF(ISERROR(FIND(",", O765, FIND(",", O765)+1)), RIGHT(O765, LEN(O765)-FIND(",", O765)-1), MID(O765, FIND(",", O765)+2, FIND(",", O765, FIND(",", O765)+1)-FIND(",", O765)-2)), "")</f>
        <v/>
      </c>
      <c r="R765" s="303" t="str">
        <f>IFERROR(RIGHT(O765, LEN(O765)-FIND(",", O765, FIND(",", O765)+1)-1), "")</f>
        <v/>
      </c>
      <c r="S765" s="35" t="str" cm="1">
        <f t="array" ref="S765">_xlfn.TEXTJOIN(", ",TRUE,_xlfn._xlws.FILTER(Tabla29[[#All],[PARTE]],ISNUMBER(SEARCH(Tabla29[[#All],[PCLAVE3]],Tabla8[[#This Row],[DESCRIPCION DE TRABAJO]])),""))</f>
        <v/>
      </c>
      <c r="T765" s="34" t="str">
        <f>IF(AND(Tabla8[[#This Row],[PIEZA]]="",Tabla8[[#This Row],[PARTE]]=""),"VACIO","OK")</f>
        <v>VACIO</v>
      </c>
      <c r="U765" s="303" t="str">
        <f>+CONCATENATE(WEEKNUM(Tabla8[[#This Row],[FECHA]]),"-",YEAR(Tabla8[[#This Row],[FECHA]]))</f>
        <v>14-2026</v>
      </c>
    </row>
    <row r="766" spans="1:21" ht="15" customHeight="1">
      <c r="A766" s="22">
        <v>46111</v>
      </c>
      <c r="B766" s="16" t="s">
        <v>88</v>
      </c>
      <c r="C766" s="10" t="s">
        <v>36</v>
      </c>
      <c r="D766" s="381" t="s">
        <v>176</v>
      </c>
      <c r="E766" s="381" t="s">
        <v>127</v>
      </c>
      <c r="F766" s="380">
        <f>+MOD(Tabla8[[#This Row],[HR. FIN]]-Tabla8[[#This Row],[HR. INICIO]],1)</f>
        <v>1.041666666666663E-2</v>
      </c>
      <c r="G766" s="16" t="s">
        <v>256</v>
      </c>
      <c r="H766" s="343" t="str">
        <f>IFERROR(VLOOKUP(G766,DATOS!$M$2:$N$219,2,FALSE),"")</f>
        <v>Maquinaria</v>
      </c>
      <c r="I766" s="115" t="s">
        <v>32</v>
      </c>
      <c r="J766" s="115" t="str">
        <f>+VLOOKUP($I766,Tabla7[#All],2,FALSE)</f>
        <v>PROGRAMADA</v>
      </c>
      <c r="K766" s="114" t="str">
        <f>IF(VLOOKUP(I766,Tabla7[#All],3,FALSE)=0,"",VLOOKUP(I766,Tabla7[#All],3,FALSE))</f>
        <v/>
      </c>
      <c r="L766" s="35" t="s">
        <v>1571</v>
      </c>
      <c r="M766" s="35" t="s">
        <v>1572</v>
      </c>
      <c r="N766" s="35" t="str" cm="1">
        <f t="array" ref="N766">IFERROR(IF(Tabla8[[#This Row],[P/NP]]="NO PROGRAMADA","",_xlfn.TEXTJOIN(", ",TRUE,_xlfn._xlws.FILTER(Tabla4[[#All],[PIEZA]],ISNUMBER(SEARCH(Tabla4[[#All],[PCLAVE]],Tabla8[[#This Row],[DESCRIPCION DE TRABAJO]])),""))),"")</f>
        <v>Dientes</v>
      </c>
      <c r="O766" s="35" t="str" cm="1">
        <f t="array" ref="O766">_xlfn.TEXTJOIN(", ",TRUE,_xlfn._xlws.FILTER(Tabla28[[#All],[PARTE]],ISNUMBER(SEARCH(Tabla28[[#All],[PCLAVE2]],Tabla8[[#This Row],[DESCRIPCION DE TRABAJO]])),""))</f>
        <v/>
      </c>
      <c r="P766" s="303" t="str">
        <f>IFERROR(LEFT(O766, FIND(",", O766)-1), O766)</f>
        <v/>
      </c>
      <c r="Q766" s="303" t="str">
        <f>IFERROR(IF(ISERROR(FIND(",", O766, FIND(",", O766)+1)), RIGHT(O766, LEN(O766)-FIND(",", O766)-1), MID(O766, FIND(",", O766)+2, FIND(",", O766, FIND(",", O766)+1)-FIND(",", O766)-2)), "")</f>
        <v/>
      </c>
      <c r="R766" s="303" t="str">
        <f>IFERROR(RIGHT(O766, LEN(O766)-FIND(",", O766, FIND(",", O766)+1)-1), "")</f>
        <v/>
      </c>
      <c r="S766" s="35" t="str" cm="1">
        <f t="array" ref="S766">_xlfn.TEXTJOIN(", ",TRUE,_xlfn._xlws.FILTER(Tabla29[[#All],[PARTE]],ISNUMBER(SEARCH(Tabla29[[#All],[PCLAVE3]],Tabla8[[#This Row],[DESCRIPCION DE TRABAJO]])),""))</f>
        <v/>
      </c>
      <c r="T766" s="34" t="str">
        <f>IF(AND(Tabla8[[#This Row],[PIEZA]]="",Tabla8[[#This Row],[PARTE]]=""),"VACIO","OK")</f>
        <v>OK</v>
      </c>
      <c r="U766" s="303" t="str">
        <f>+CONCATENATE(WEEKNUM(Tabla8[[#This Row],[FECHA]]),"-",YEAR(Tabla8[[#This Row],[FECHA]]))</f>
        <v>14-2026</v>
      </c>
    </row>
    <row r="767" spans="1:21" ht="15" customHeight="1">
      <c r="A767" s="22">
        <v>46112</v>
      </c>
      <c r="B767" s="16" t="s">
        <v>88</v>
      </c>
      <c r="C767" s="10" t="s">
        <v>36</v>
      </c>
      <c r="D767" s="381" t="s">
        <v>96</v>
      </c>
      <c r="E767" s="381" t="s">
        <v>586</v>
      </c>
      <c r="F767" s="380">
        <f>+MOD(Tabla8[[#This Row],[HR. FIN]]-Tabla8[[#This Row],[HR. INICIO]],1)</f>
        <v>8.3333333333333315E-2</v>
      </c>
      <c r="G767" s="16" t="s">
        <v>793</v>
      </c>
      <c r="H767" s="343" t="str">
        <f>IFERROR(VLOOKUP(G767,DATOS!$M$2:$N$219,2,FALSE),"")</f>
        <v>Maquinaria</v>
      </c>
      <c r="I767" s="115" t="s">
        <v>32</v>
      </c>
      <c r="J767" s="115" t="str">
        <f>+VLOOKUP($I767,Tabla7[#All],2,FALSE)</f>
        <v>PROGRAMADA</v>
      </c>
      <c r="K767" s="114" t="str">
        <f>IF(VLOOKUP(I767,Tabla7[#All],3,FALSE)=0,"",VLOOKUP(I767,Tabla7[#All],3,FALSE))</f>
        <v/>
      </c>
      <c r="L767" s="35" t="s">
        <v>1573</v>
      </c>
      <c r="M767" s="35" t="s">
        <v>1574</v>
      </c>
      <c r="N767" s="35" t="str" cm="1">
        <f t="array" ref="N767">IFERROR(IF(Tabla8[[#This Row],[P/NP]]="NO PROGRAMADA","",_xlfn.TEXTJOIN(", ",TRUE,_xlfn._xlws.FILTER(Tabla4[[#All],[PIEZA]],ISNUMBER(SEARCH(Tabla4[[#All],[PCLAVE]],Tabla8[[#This Row],[DESCRIPCION DE TRABAJO]])),""))),"")</f>
        <v>Compuerta, Banda, Faja De Transmisión, Puerta, Ventana, Transmisión</v>
      </c>
      <c r="O767" s="35" t="str" cm="1">
        <f t="array" ref="O767">_xlfn.TEXTJOIN(", ",TRUE,_xlfn._xlws.FILTER(Tabla28[[#All],[PARTE]],ISNUMBER(SEARCH(Tabla28[[#All],[PCLAVE2]],Tabla8[[#This Row],[DESCRIPCION DE TRABAJO]])),""))</f>
        <v/>
      </c>
      <c r="P767" s="303" t="str">
        <f>IFERROR(LEFT(O767, FIND(",", O767)-1), O767)</f>
        <v/>
      </c>
      <c r="Q767" s="303" t="str">
        <f>IFERROR(IF(ISERROR(FIND(",", O767, FIND(",", O767)+1)), RIGHT(O767, LEN(O767)-FIND(",", O767)-1), MID(O767, FIND(",", O767)+2, FIND(",", O767, FIND(",", O767)+1)-FIND(",", O767)-2)), "")</f>
        <v/>
      </c>
      <c r="R767" s="303" t="str">
        <f>IFERROR(RIGHT(O767, LEN(O767)-FIND(",", O767, FIND(",", O767)+1)-1), "")</f>
        <v/>
      </c>
      <c r="S767" s="35" t="str" cm="1">
        <f t="array" ref="S767">_xlfn.TEXTJOIN(", ",TRUE,_xlfn._xlws.FILTER(Tabla29[[#All],[PARTE]],ISNUMBER(SEARCH(Tabla29[[#All],[PCLAVE3]],Tabla8[[#This Row],[DESCRIPCION DE TRABAJO]])),""))</f>
        <v/>
      </c>
      <c r="T767" s="34" t="str">
        <f>IF(AND(Tabla8[[#This Row],[PIEZA]]="",Tabla8[[#This Row],[PARTE]]=""),"VACIO","OK")</f>
        <v>OK</v>
      </c>
      <c r="U767" s="303" t="str">
        <f>+CONCATENATE(WEEKNUM(Tabla8[[#This Row],[FECHA]]),"-",YEAR(Tabla8[[#This Row],[FECHA]]))</f>
        <v>14-2026</v>
      </c>
    </row>
    <row r="768" spans="1:21" ht="15" customHeight="1">
      <c r="A768" s="22">
        <v>46112</v>
      </c>
      <c r="B768" s="16" t="s">
        <v>88</v>
      </c>
      <c r="C768" s="10" t="s">
        <v>36</v>
      </c>
      <c r="D768" s="381" t="s">
        <v>89</v>
      </c>
      <c r="E768" s="381" t="s">
        <v>482</v>
      </c>
      <c r="F768" s="380">
        <f>+MOD(Tabla8[[#This Row],[HR. FIN]]-Tabla8[[#This Row],[HR. INICIO]],1)</f>
        <v>5.2083333333333315E-2</v>
      </c>
      <c r="G768" s="16" t="s">
        <v>1575</v>
      </c>
      <c r="H768" s="343" t="str">
        <f>IFERROR(VLOOKUP(G768,DATOS!$M$2:$N$219,2,FALSE),"")</f>
        <v>Sistema</v>
      </c>
      <c r="I768" s="115" t="s">
        <v>405</v>
      </c>
      <c r="J768" s="115" t="str">
        <f>+VLOOKUP($I768,Tabla7[#All],2,FALSE)</f>
        <v>PROGRAMADA</v>
      </c>
      <c r="K768" s="114" t="str">
        <f>IF(VLOOKUP(I768,Tabla7[#All],3,FALSE)=0,"",VLOOKUP(I768,Tabla7[#All],3,FALSE))</f>
        <v/>
      </c>
      <c r="L768" s="35" t="s">
        <v>1576</v>
      </c>
      <c r="M768" s="35" t="s">
        <v>1577</v>
      </c>
      <c r="N768" s="35" t="str" cm="1">
        <f t="array" ref="N768">IFERROR(IF(Tabla8[[#This Row],[P/NP]]="NO PROGRAMADA","",_xlfn.TEXTJOIN(", ",TRUE,_xlfn._xlws.FILTER(Tabla4[[#All],[PIEZA]],ISNUMBER(SEARCH(Tabla4[[#All],[PCLAVE]],Tabla8[[#This Row],[DESCRIPCION DE TRABAJO]])),""))),"")</f>
        <v/>
      </c>
      <c r="O768" s="35" t="str" cm="1">
        <f t="array" ref="O768">_xlfn.TEXTJOIN(", ",TRUE,_xlfn._xlws.FILTER(Tabla28[[#All],[PARTE]],ISNUMBER(SEARCH(Tabla28[[#All],[PCLAVE2]],Tabla8[[#This Row],[DESCRIPCION DE TRABAJO]])),""))</f>
        <v/>
      </c>
      <c r="P768" s="303" t="str">
        <f>IFERROR(LEFT(O768, FIND(",", O768)-1), O768)</f>
        <v/>
      </c>
      <c r="Q768" s="303" t="str">
        <f>IFERROR(IF(ISERROR(FIND(",", O768, FIND(",", O768)+1)), RIGHT(O768, LEN(O768)-FIND(",", O768)-1), MID(O768, FIND(",", O768)+2, FIND(",", O768, FIND(",", O768)+1)-FIND(",", O768)-2)), "")</f>
        <v/>
      </c>
      <c r="R768" s="303" t="str">
        <f>IFERROR(RIGHT(O768, LEN(O768)-FIND(",", O768, FIND(",", O768)+1)-1), "")</f>
        <v/>
      </c>
      <c r="S768" s="35" t="str" cm="1">
        <f t="array" ref="S768">_xlfn.TEXTJOIN(", ",TRUE,_xlfn._xlws.FILTER(Tabla29[[#All],[PARTE]],ISNUMBER(SEARCH(Tabla29[[#All],[PCLAVE3]],Tabla8[[#This Row],[DESCRIPCION DE TRABAJO]])),""))</f>
        <v/>
      </c>
      <c r="T768" s="34" t="str">
        <f>IF(AND(Tabla8[[#This Row],[PIEZA]]="",Tabla8[[#This Row],[PARTE]]=""),"VACIO","OK")</f>
        <v>VACIO</v>
      </c>
      <c r="U768" s="303" t="str">
        <f>+CONCATENATE(WEEKNUM(Tabla8[[#This Row],[FECHA]]),"-",YEAR(Tabla8[[#This Row],[FECHA]]))</f>
        <v>14-2026</v>
      </c>
    </row>
    <row r="769" spans="1:21" ht="15" customHeight="1">
      <c r="A769" s="22">
        <v>46112</v>
      </c>
      <c r="B769" s="16" t="s">
        <v>88</v>
      </c>
      <c r="C769" s="10" t="s">
        <v>36</v>
      </c>
      <c r="D769" s="381" t="s">
        <v>123</v>
      </c>
      <c r="E769" s="381" t="s">
        <v>127</v>
      </c>
      <c r="F769" s="380">
        <f>+MOD(Tabla8[[#This Row],[HR. FIN]]-Tabla8[[#This Row],[HR. INICIO]],1)</f>
        <v>4.166666666666663E-2</v>
      </c>
      <c r="G769" s="16" t="s">
        <v>328</v>
      </c>
      <c r="H769" s="343" t="str">
        <f>IFERROR(VLOOKUP(G769,DATOS!$M$2:$N$219,2,FALSE),"")</f>
        <v>Area</v>
      </c>
      <c r="I769" s="115" t="s">
        <v>61</v>
      </c>
      <c r="J769" s="115" t="str">
        <f>+VLOOKUP($I769,Tabla7[#All],2,FALSE)</f>
        <v>PROGRAMADA</v>
      </c>
      <c r="K769" s="114" t="str">
        <f>IF(VLOOKUP(I769,Tabla7[#All],3,FALSE)=0,"",VLOOKUP(I769,Tabla7[#All],3,FALSE))</f>
        <v/>
      </c>
      <c r="L769" s="35" t="s">
        <v>1578</v>
      </c>
      <c r="M769" s="35" t="s">
        <v>1579</v>
      </c>
      <c r="N769" s="35" t="str" cm="1">
        <f t="array" ref="N769">IFERROR(IF(Tabla8[[#This Row],[P/NP]]="NO PROGRAMADA","",_xlfn.TEXTJOIN(", ",TRUE,_xlfn._xlws.FILTER(Tabla4[[#All],[PIEZA]],ISNUMBER(SEARCH(Tabla4[[#All],[PCLAVE]],Tabla8[[#This Row],[DESCRIPCION DE TRABAJO]])),""))),"")</f>
        <v/>
      </c>
      <c r="O769" s="35" t="str" cm="1">
        <f t="array" ref="O769">_xlfn.TEXTJOIN(", ",TRUE,_xlfn._xlws.FILTER(Tabla28[[#All],[PARTE]],ISNUMBER(SEARCH(Tabla28[[#All],[PCLAVE2]],Tabla8[[#This Row],[DESCRIPCION DE TRABAJO]])),""))</f>
        <v/>
      </c>
      <c r="P769" s="303" t="str">
        <f>IFERROR(LEFT(O769, FIND(",", O769)-1), O769)</f>
        <v/>
      </c>
      <c r="Q769" s="303" t="str">
        <f>IFERROR(IF(ISERROR(FIND(",", O769, FIND(",", O769)+1)), RIGHT(O769, LEN(O769)-FIND(",", O769)-1), MID(O769, FIND(",", O769)+2, FIND(",", O769, FIND(",", O769)+1)-FIND(",", O769)-2)), "")</f>
        <v/>
      </c>
      <c r="R769" s="303" t="str">
        <f>IFERROR(RIGHT(O769, LEN(O769)-FIND(",", O769, FIND(",", O769)+1)-1), "")</f>
        <v/>
      </c>
      <c r="S769" s="35" t="str" cm="1">
        <f t="array" ref="S769">_xlfn.TEXTJOIN(", ",TRUE,_xlfn._xlws.FILTER(Tabla29[[#All],[PARTE]],ISNUMBER(SEARCH(Tabla29[[#All],[PCLAVE3]],Tabla8[[#This Row],[DESCRIPCION DE TRABAJO]])),""))</f>
        <v/>
      </c>
      <c r="T769" s="34" t="str">
        <f>IF(AND(Tabla8[[#This Row],[PIEZA]]="",Tabla8[[#This Row],[PARTE]]=""),"VACIO","OK")</f>
        <v>VACIO</v>
      </c>
      <c r="U769" s="303" t="str">
        <f>+CONCATENATE(WEEKNUM(Tabla8[[#This Row],[FECHA]]),"-",YEAR(Tabla8[[#This Row],[FECHA]]))</f>
        <v>14-2026</v>
      </c>
    </row>
    <row r="770" spans="1:21" ht="15" customHeight="1">
      <c r="A770" s="22">
        <v>46112</v>
      </c>
      <c r="B770" s="16" t="s">
        <v>111</v>
      </c>
      <c r="C770" s="10" t="s">
        <v>39</v>
      </c>
      <c r="D770" s="381" t="s">
        <v>667</v>
      </c>
      <c r="E770" s="381" t="s">
        <v>1167</v>
      </c>
      <c r="F770" s="380">
        <f>+MOD(Tabla8[[#This Row],[HR. FIN]]-Tabla8[[#This Row],[HR. INICIO]],1)</f>
        <v>3.125E-2</v>
      </c>
      <c r="G770" s="16" t="s">
        <v>98</v>
      </c>
      <c r="H770" s="343" t="str">
        <f>IFERROR(VLOOKUP(G770,DATOS!$M$2:$N$219,2,FALSE),"")</f>
        <v>Maquinaria</v>
      </c>
      <c r="I770" s="115" t="s">
        <v>32</v>
      </c>
      <c r="J770" s="115" t="str">
        <f>+VLOOKUP($I770,Tabla7[#All],2,FALSE)</f>
        <v>PROGRAMADA</v>
      </c>
      <c r="K770" s="114" t="str">
        <f>IF(VLOOKUP(I770,Tabla7[#All],3,FALSE)=0,"",VLOOKUP(I770,Tabla7[#All],3,FALSE))</f>
        <v/>
      </c>
      <c r="L770" s="35" t="s">
        <v>467</v>
      </c>
      <c r="M770" s="35" t="s">
        <v>121</v>
      </c>
      <c r="N770" s="35" t="str" cm="1">
        <f t="array" ref="N770">IFERROR(IF(Tabla8[[#This Row],[P/NP]]="NO PROGRAMADA","",_xlfn.TEXTJOIN(", ",TRUE,_xlfn._xlws.FILTER(Tabla4[[#All],[PIEZA]],ISNUMBER(SEARCH(Tabla4[[#All],[PCLAVE]],Tabla8[[#This Row],[DESCRIPCION DE TRABAJO]])),""))),"")</f>
        <v/>
      </c>
      <c r="O770" s="35" t="str" cm="1">
        <f t="array" ref="O770">_xlfn.TEXTJOIN(", ",TRUE,_xlfn._xlws.FILTER(Tabla28[[#All],[PARTE]],ISNUMBER(SEARCH(Tabla28[[#All],[PCLAVE2]],Tabla8[[#This Row],[DESCRIPCION DE TRABAJO]])),""))</f>
        <v/>
      </c>
      <c r="P770" s="303" t="str">
        <f>IFERROR(LEFT(O770, FIND(",", O770)-1), O770)</f>
        <v/>
      </c>
      <c r="Q770" s="303" t="str">
        <f>IFERROR(IF(ISERROR(FIND(",", O770, FIND(",", O770)+1)), RIGHT(O770, LEN(O770)-FIND(",", O770)-1), MID(O770, FIND(",", O770)+2, FIND(",", O770, FIND(",", O770)+1)-FIND(",", O770)-2)), "")</f>
        <v/>
      </c>
      <c r="R770" s="303" t="str">
        <f>IFERROR(RIGHT(O770, LEN(O770)-FIND(",", O770, FIND(",", O770)+1)-1), "")</f>
        <v/>
      </c>
      <c r="S770" s="35" t="str" cm="1">
        <f t="array" ref="S770">_xlfn.TEXTJOIN(", ",TRUE,_xlfn._xlws.FILTER(Tabla29[[#All],[PARTE]],ISNUMBER(SEARCH(Tabla29[[#All],[PCLAVE3]],Tabla8[[#This Row],[DESCRIPCION DE TRABAJO]])),""))</f>
        <v/>
      </c>
      <c r="T770" s="34" t="str">
        <f>IF(AND(Tabla8[[#This Row],[PIEZA]]="",Tabla8[[#This Row],[PARTE]]=""),"VACIO","OK")</f>
        <v>VACIO</v>
      </c>
      <c r="U770" s="303" t="str">
        <f>+CONCATENATE(WEEKNUM(Tabla8[[#This Row],[FECHA]]),"-",YEAR(Tabla8[[#This Row],[FECHA]]))</f>
        <v>14-2026</v>
      </c>
    </row>
    <row r="771" spans="1:21" ht="15" customHeight="1">
      <c r="A771" s="22">
        <v>46112</v>
      </c>
      <c r="B771" s="16" t="s">
        <v>111</v>
      </c>
      <c r="C771" s="10" t="s">
        <v>39</v>
      </c>
      <c r="D771" s="381" t="s">
        <v>670</v>
      </c>
      <c r="E771" s="381" t="s">
        <v>1580</v>
      </c>
      <c r="F771" s="380">
        <f>+MOD(Tabla8[[#This Row],[HR. FIN]]-Tabla8[[#This Row],[HR. INICIO]],1)</f>
        <v>2.777777777777779E-2</v>
      </c>
      <c r="G771" s="16" t="s">
        <v>42</v>
      </c>
      <c r="H771" s="343" t="str">
        <f>IFERROR(VLOOKUP(G771,DATOS!$M$2:$N$219,2,FALSE),"")</f>
        <v>Maquinaria</v>
      </c>
      <c r="I771" s="115" t="s">
        <v>54</v>
      </c>
      <c r="J771" s="115" t="str">
        <f>+VLOOKUP($I771,Tabla7[#All],2,FALSE)</f>
        <v>PROGRAMADA</v>
      </c>
      <c r="K771" s="114" t="str">
        <f>IF(VLOOKUP(I771,Tabla7[#All],3,FALSE)=0,"",VLOOKUP(I771,Tabla7[#All],3,FALSE))</f>
        <v/>
      </c>
      <c r="L771" s="35" t="s">
        <v>1191</v>
      </c>
      <c r="M771" s="35" t="s">
        <v>121</v>
      </c>
      <c r="N771" s="35" t="str" cm="1">
        <f t="array" ref="N771">IFERROR(IF(Tabla8[[#This Row],[P/NP]]="NO PROGRAMADA","",_xlfn.TEXTJOIN(", ",TRUE,_xlfn._xlws.FILTER(Tabla4[[#All],[PIEZA]],ISNUMBER(SEARCH(Tabla4[[#All],[PCLAVE]],Tabla8[[#This Row],[DESCRIPCION DE TRABAJO]])),""))),"")</f>
        <v/>
      </c>
      <c r="O771" s="35" t="str" cm="1">
        <f t="array" ref="O771">_xlfn.TEXTJOIN(", ",TRUE,_xlfn._xlws.FILTER(Tabla28[[#All],[PARTE]],ISNUMBER(SEARCH(Tabla28[[#All],[PCLAVE2]],Tabla8[[#This Row],[DESCRIPCION DE TRABAJO]])),""))</f>
        <v/>
      </c>
      <c r="P771" s="303" t="str">
        <f>IFERROR(LEFT(O771, FIND(",", O771)-1), O771)</f>
        <v/>
      </c>
      <c r="Q771" s="303" t="str">
        <f>IFERROR(IF(ISERROR(FIND(",", O771, FIND(",", O771)+1)), RIGHT(O771, LEN(O771)-FIND(",", O771)-1), MID(O771, FIND(",", O771)+2, FIND(",", O771, FIND(",", O771)+1)-FIND(",", O771)-2)), "")</f>
        <v/>
      </c>
      <c r="R771" s="303" t="str">
        <f>IFERROR(RIGHT(O771, LEN(O771)-FIND(",", O771, FIND(",", O771)+1)-1), "")</f>
        <v/>
      </c>
      <c r="S771" s="35" t="str" cm="1">
        <f t="array" ref="S771">_xlfn.TEXTJOIN(", ",TRUE,_xlfn._xlws.FILTER(Tabla29[[#All],[PARTE]],ISNUMBER(SEARCH(Tabla29[[#All],[PCLAVE3]],Tabla8[[#This Row],[DESCRIPCION DE TRABAJO]])),""))</f>
        <v/>
      </c>
      <c r="T771" s="34" t="str">
        <f>IF(AND(Tabla8[[#This Row],[PIEZA]]="",Tabla8[[#This Row],[PARTE]]=""),"VACIO","OK")</f>
        <v>VACIO</v>
      </c>
      <c r="U771" s="303" t="str">
        <f>+CONCATENATE(WEEKNUM(Tabla8[[#This Row],[FECHA]]),"-",YEAR(Tabla8[[#This Row],[FECHA]]))</f>
        <v>14-2026</v>
      </c>
    </row>
    <row r="772" spans="1:21" ht="15" customHeight="1">
      <c r="A772" s="22">
        <v>46112</v>
      </c>
      <c r="B772" s="16" t="s">
        <v>88</v>
      </c>
      <c r="C772" s="10" t="s">
        <v>36</v>
      </c>
      <c r="D772" s="381" t="s">
        <v>430</v>
      </c>
      <c r="E772" s="381" t="s">
        <v>122</v>
      </c>
      <c r="F772" s="380">
        <f>+MOD(Tabla8[[#This Row],[HR. FIN]]-Tabla8[[#This Row],[HR. INICIO]],1)</f>
        <v>2.0833333333333315E-2</v>
      </c>
      <c r="G772" s="16" t="s">
        <v>256</v>
      </c>
      <c r="H772" s="343" t="str">
        <f>IFERROR(VLOOKUP(G772,DATOS!$M$2:$N$219,2,FALSE),"")</f>
        <v>Maquinaria</v>
      </c>
      <c r="I772" s="115" t="s">
        <v>54</v>
      </c>
      <c r="J772" s="115" t="str">
        <f>+VLOOKUP($I772,Tabla7[#All],2,FALSE)</f>
        <v>PROGRAMADA</v>
      </c>
      <c r="K772" s="114" t="str">
        <f>IF(VLOOKUP(I772,Tabla7[#All],3,FALSE)=0,"",VLOOKUP(I772,Tabla7[#All],3,FALSE))</f>
        <v/>
      </c>
      <c r="L772" s="35" t="s">
        <v>1581</v>
      </c>
      <c r="M772" s="35" t="s">
        <v>1582</v>
      </c>
      <c r="N772" s="35" t="str" cm="1">
        <f t="array" ref="N772">IFERROR(IF(Tabla8[[#This Row],[P/NP]]="NO PROGRAMADA","",_xlfn.TEXTJOIN(", ",TRUE,_xlfn._xlws.FILTER(Tabla4[[#All],[PIEZA]],ISNUMBER(SEARCH(Tabla4[[#All],[PCLAVE]],Tabla8[[#This Row],[DESCRIPCION DE TRABAJO]])),""))),"")</f>
        <v/>
      </c>
      <c r="O772" s="35" t="str" cm="1">
        <f t="array" ref="O772">_xlfn.TEXTJOIN(", ",TRUE,_xlfn._xlws.FILTER(Tabla28[[#All],[PARTE]],ISNUMBER(SEARCH(Tabla28[[#All],[PCLAVE2]],Tabla8[[#This Row],[DESCRIPCION DE TRABAJO]])),""))</f>
        <v/>
      </c>
      <c r="P772" s="303" t="str">
        <f>IFERROR(LEFT(O772, FIND(",", O772)-1), O772)</f>
        <v/>
      </c>
      <c r="Q772" s="303" t="str">
        <f>IFERROR(IF(ISERROR(FIND(",", O772, FIND(",", O772)+1)), RIGHT(O772, LEN(O772)-FIND(",", O772)-1), MID(O772, FIND(",", O772)+2, FIND(",", O772, FIND(",", O772)+1)-FIND(",", O772)-2)), "")</f>
        <v/>
      </c>
      <c r="R772" s="303" t="str">
        <f>IFERROR(RIGHT(O772, LEN(O772)-FIND(",", O772, FIND(",", O772)+1)-1), "")</f>
        <v/>
      </c>
      <c r="S772" s="35" t="str" cm="1">
        <f t="array" ref="S772">_xlfn.TEXTJOIN(", ",TRUE,_xlfn._xlws.FILTER(Tabla29[[#All],[PARTE]],ISNUMBER(SEARCH(Tabla29[[#All],[PCLAVE3]],Tabla8[[#This Row],[DESCRIPCION DE TRABAJO]])),""))</f>
        <v>Carga/descarga</v>
      </c>
      <c r="T772" s="34" t="str">
        <f>IF(AND(Tabla8[[#This Row],[PIEZA]]="",Tabla8[[#This Row],[PARTE]]=""),"VACIO","OK")</f>
        <v>VACIO</v>
      </c>
      <c r="U772" s="303" t="str">
        <f>+CONCATENATE(WEEKNUM(Tabla8[[#This Row],[FECHA]]),"-",YEAR(Tabla8[[#This Row],[FECHA]]))</f>
        <v>14-2026</v>
      </c>
    </row>
    <row r="773" spans="1:21" ht="15" customHeight="1">
      <c r="A773" s="22">
        <v>46112</v>
      </c>
      <c r="B773" s="16" t="s">
        <v>111</v>
      </c>
      <c r="C773" s="10" t="s">
        <v>39</v>
      </c>
      <c r="D773" s="381" t="s">
        <v>551</v>
      </c>
      <c r="E773" s="381" t="s">
        <v>404</v>
      </c>
      <c r="F773" s="380">
        <f>+MOD(Tabla8[[#This Row],[HR. FIN]]-Tabla8[[#This Row],[HR. INICIO]],1)</f>
        <v>1.041666666666663E-2</v>
      </c>
      <c r="G773" s="16" t="s">
        <v>312</v>
      </c>
      <c r="H773" s="343" t="str">
        <f>IFERROR(VLOOKUP(G773,DATOS!$M$2:$N$219,2,FALSE),"")</f>
        <v>Maquinaria</v>
      </c>
      <c r="I773" s="115" t="s">
        <v>32</v>
      </c>
      <c r="J773" s="115" t="str">
        <f>+VLOOKUP($I773,Tabla7[#All],2,FALSE)</f>
        <v>PROGRAMADA</v>
      </c>
      <c r="K773" s="114" t="str">
        <f>IF(VLOOKUP(I773,Tabla7[#All],3,FALSE)=0,"",VLOOKUP(I773,Tabla7[#All],3,FALSE))</f>
        <v/>
      </c>
      <c r="L773" s="35" t="s">
        <v>1583</v>
      </c>
      <c r="M773" s="35" t="s">
        <v>121</v>
      </c>
      <c r="N773" s="35" t="str" cm="1">
        <f t="array" ref="N773">IFERROR(IF(Tabla8[[#This Row],[P/NP]]="NO PROGRAMADA","",_xlfn.TEXTJOIN(", ",TRUE,_xlfn._xlws.FILTER(Tabla4[[#All],[PIEZA]],ISNUMBER(SEARCH(Tabla4[[#All],[PCLAVE]],Tabla8[[#This Row],[DESCRIPCION DE TRABAJO]])),""))),"")</f>
        <v>Filtro, Producto</v>
      </c>
      <c r="O773" s="35" t="str" cm="1">
        <f t="array" ref="O773">_xlfn.TEXTJOIN(", ",TRUE,_xlfn._xlws.FILTER(Tabla28[[#All],[PARTE]],ISNUMBER(SEARCH(Tabla28[[#All],[PCLAVE2]],Tabla8[[#This Row],[DESCRIPCION DE TRABAJO]])),""))</f>
        <v/>
      </c>
      <c r="P773" s="303" t="str">
        <f>IFERROR(LEFT(O773, FIND(",", O773)-1), O773)</f>
        <v/>
      </c>
      <c r="Q773" s="303" t="str">
        <f>IFERROR(IF(ISERROR(FIND(",", O773, FIND(",", O773)+1)), RIGHT(O773, LEN(O773)-FIND(",", O773)-1), MID(O773, FIND(",", O773)+2, FIND(",", O773, FIND(",", O773)+1)-FIND(",", O773)-2)), "")</f>
        <v/>
      </c>
      <c r="R773" s="303" t="str">
        <f>IFERROR(RIGHT(O773, LEN(O773)-FIND(",", O773, FIND(",", O773)+1)-1), "")</f>
        <v/>
      </c>
      <c r="S773" s="35" t="str" cm="1">
        <f t="array" ref="S773">_xlfn.TEXTJOIN(", ",TRUE,_xlfn._xlws.FILTER(Tabla29[[#All],[PARTE]],ISNUMBER(SEARCH(Tabla29[[#All],[PCLAVE3]],Tabla8[[#This Row],[DESCRIPCION DE TRABAJO]])),""))</f>
        <v>Filtracion, Sustitucion</v>
      </c>
      <c r="T773" s="34" t="str">
        <f>IF(AND(Tabla8[[#This Row],[PIEZA]]="",Tabla8[[#This Row],[PARTE]]=""),"VACIO","OK")</f>
        <v>OK</v>
      </c>
      <c r="U773" s="303" t="str">
        <f>+CONCATENATE(WEEKNUM(Tabla8[[#This Row],[FECHA]]),"-",YEAR(Tabla8[[#This Row],[FECHA]]))</f>
        <v>14-2026</v>
      </c>
    </row>
    <row r="774" spans="1:21" ht="15" customHeight="1">
      <c r="A774" s="22">
        <v>46113</v>
      </c>
      <c r="B774" s="16" t="s">
        <v>111</v>
      </c>
      <c r="C774" s="10" t="s">
        <v>39</v>
      </c>
      <c r="D774" s="381" t="s">
        <v>1290</v>
      </c>
      <c r="E774" s="381" t="s">
        <v>1278</v>
      </c>
      <c r="F774" s="380">
        <f>+MOD(Tabla8[[#This Row],[HR. FIN]]-Tabla8[[#This Row],[HR. INICIO]],1)</f>
        <v>4.8611111111111105E-2</v>
      </c>
      <c r="G774" s="16" t="s">
        <v>119</v>
      </c>
      <c r="H774" s="343" t="str">
        <f>IFERROR(VLOOKUP(G774,DATOS!$M$2:$N$219,2,FALSE),"")</f>
        <v>Maquinaria</v>
      </c>
      <c r="I774" s="115" t="s">
        <v>32</v>
      </c>
      <c r="J774" s="115" t="s">
        <v>92</v>
      </c>
      <c r="K774" s="114" t="s">
        <v>148</v>
      </c>
      <c r="L774" s="35" t="s">
        <v>1584</v>
      </c>
      <c r="M774" s="35" t="s">
        <v>1585</v>
      </c>
      <c r="N774" s="35" t="str" cm="1">
        <f t="array" ref="N774">IFERROR(IF(Tabla8[[#This Row],[P/NP]]="NO PROGRAMADA","",_xlfn.TEXTJOIN(", ",TRUE,_xlfn._xlws.FILTER(Tabla4[[#All],[PIEZA]],ISNUMBER(SEARCH(Tabla4[[#All],[PCLAVE]],Tabla8[[#This Row],[DESCRIPCION DE TRABAJO]])),""))),"")</f>
        <v/>
      </c>
      <c r="O774" s="35" t="str" cm="1">
        <f t="array" ref="O774">_xlfn.TEXTJOIN(", ",TRUE,_xlfn._xlws.FILTER(Tabla28[[#All],[PARTE]],ISNUMBER(SEARCH(Tabla28[[#All],[PCLAVE2]],Tabla8[[#This Row],[DESCRIPCION DE TRABAJO]])),""))</f>
        <v>Extension</v>
      </c>
      <c r="P774" s="303" t="str">
        <f>IFERROR(LEFT(O774, FIND(",", O774)-1), O774)</f>
        <v>Extension</v>
      </c>
      <c r="Q774" s="303" t="str">
        <f>IFERROR(IF(ISERROR(FIND(",", O774, FIND(",", O774)+1)), RIGHT(O774, LEN(O774)-FIND(",", O774)-1), MID(O774, FIND(",", O774)+2, FIND(",", O774, FIND(",", O774)+1)-FIND(",", O774)-2)), "")</f>
        <v/>
      </c>
      <c r="R774" s="303" t="str">
        <f>IFERROR(RIGHT(O774, LEN(O774)-FIND(",", O774, FIND(",", O774)+1)-1), "")</f>
        <v/>
      </c>
      <c r="S774" s="35" t="str" cm="1">
        <f t="array" ref="S774">_xlfn.TEXTJOIN(", ",TRUE,_xlfn._xlws.FILTER(Tabla29[[#All],[PARTE]],ISNUMBER(SEARCH(Tabla29[[#All],[PCLAVE3]],Tabla8[[#This Row],[DESCRIPCION DE TRABAJO]])),""))</f>
        <v/>
      </c>
      <c r="T774" s="34" t="str">
        <f>IF(AND(Tabla8[[#This Row],[PIEZA]]="",Tabla8[[#This Row],[PARTE]]=""),"VACIO","OK")</f>
        <v>OK</v>
      </c>
      <c r="U774" s="303" t="str">
        <f>+CONCATENATE(WEEKNUM(Tabla8[[#This Row],[FECHA]]),"-",YEAR(Tabla8[[#This Row],[FECHA]]))</f>
        <v>14-2026</v>
      </c>
    </row>
    <row r="775" spans="1:21" ht="15" customHeight="1">
      <c r="A775" s="22">
        <v>46118</v>
      </c>
      <c r="B775" s="16" t="s">
        <v>191</v>
      </c>
      <c r="C775" s="10" t="s">
        <v>36</v>
      </c>
      <c r="D775" s="381" t="s">
        <v>1586</v>
      </c>
      <c r="E775" s="381" t="s">
        <v>1587</v>
      </c>
      <c r="F775" s="380">
        <f>+MOD(Tabla8[[#This Row],[HR. FIN]]-Tabla8[[#This Row],[HR. INICIO]],1)</f>
        <v>4.5833333333333337E-2</v>
      </c>
      <c r="G775" s="16" t="s">
        <v>215</v>
      </c>
      <c r="H775" s="343" t="str">
        <f>IFERROR(VLOOKUP(G775,DATOS!$M$2:$N$219,2,FALSE),"")</f>
        <v>Equipos auxiliares</v>
      </c>
      <c r="I775" s="115" t="s">
        <v>43</v>
      </c>
      <c r="J775" s="115" t="str">
        <f>+VLOOKUP($I775,Tabla7[#All],2,FALSE)</f>
        <v>PROGRAMADA</v>
      </c>
      <c r="K775" s="114" t="str">
        <f>IF(VLOOKUP(I775,Tabla7[#All],3,FALSE)=0,"",VLOOKUP(I775,Tabla7[#All],3,FALSE))</f>
        <v/>
      </c>
      <c r="L775" s="35" t="s">
        <v>1588</v>
      </c>
      <c r="M775" s="35" t="s">
        <v>121</v>
      </c>
      <c r="N775" s="35" t="str" cm="1">
        <f t="array" ref="N775">IFERROR(IF(Tabla8[[#This Row],[P/NP]]="NO PROGRAMADA","",_xlfn.TEXTJOIN(", ",TRUE,_xlfn._xlws.FILTER(Tabla4[[#All],[PIEZA]],ISNUMBER(SEARCH(Tabla4[[#All],[PCLAVE]],Tabla8[[#This Row],[DESCRIPCION DE TRABAJO]])),""))),"")</f>
        <v/>
      </c>
      <c r="O775" s="35" t="str" cm="1">
        <f t="array" ref="O775">_xlfn.TEXTJOIN(", ",TRUE,_xlfn._xlws.FILTER(Tabla28[[#All],[PARTE]],ISNUMBER(SEARCH(Tabla28[[#All],[PCLAVE2]],Tabla8[[#This Row],[DESCRIPCION DE TRABAJO]])),""))</f>
        <v/>
      </c>
      <c r="P775" s="303" t="str">
        <f>IFERROR(LEFT(O775, FIND(",", O775)-1), O775)</f>
        <v/>
      </c>
      <c r="Q775" s="303" t="str">
        <f>IFERROR(IF(ISERROR(FIND(",", O775, FIND(",", O775)+1)), RIGHT(O775, LEN(O775)-FIND(",", O775)-1), MID(O775, FIND(",", O775)+2, FIND(",", O775, FIND(",", O775)+1)-FIND(",", O775)-2)), "")</f>
        <v/>
      </c>
      <c r="R775" s="303" t="str">
        <f>IFERROR(RIGHT(O775, LEN(O775)-FIND(",", O775, FIND(",", O775)+1)-1), "")</f>
        <v/>
      </c>
      <c r="S775" s="35" t="str" cm="1">
        <f t="array" ref="S775">_xlfn.TEXTJOIN(", ",TRUE,_xlfn._xlws.FILTER(Tabla29[[#All],[PARTE]],ISNUMBER(SEARCH(Tabla29[[#All],[PCLAVE3]],Tabla8[[#This Row],[DESCRIPCION DE TRABAJO]])),""))</f>
        <v/>
      </c>
      <c r="T775" s="34" t="str">
        <f>IF(AND(Tabla8[[#This Row],[PIEZA]]="",Tabla8[[#This Row],[PARTE]]=""),"VACIO","OK")</f>
        <v>VACIO</v>
      </c>
      <c r="U775" s="303" t="str">
        <f>+CONCATENATE(WEEKNUM(Tabla8[[#This Row],[FECHA]]),"-",YEAR(Tabla8[[#This Row],[FECHA]]))</f>
        <v>15-2026</v>
      </c>
    </row>
    <row r="776" spans="1:21" ht="15" customHeight="1">
      <c r="A776" s="22">
        <v>46118</v>
      </c>
      <c r="B776" s="16" t="s">
        <v>131</v>
      </c>
      <c r="C776" s="10" t="s">
        <v>39</v>
      </c>
      <c r="D776" s="381" t="s">
        <v>1589</v>
      </c>
      <c r="E776" s="381" t="s">
        <v>1590</v>
      </c>
      <c r="F776" s="380">
        <f>+MOD(Tabla8[[#This Row],[HR. FIN]]-Tabla8[[#This Row],[HR. INICIO]],1)</f>
        <v>4.3055555555555569E-2</v>
      </c>
      <c r="G776" s="16" t="s">
        <v>182</v>
      </c>
      <c r="H776" s="343" t="str">
        <f>IFERROR(VLOOKUP(G776,DATOS!$M$2:$N$219,2,FALSE),"")</f>
        <v>Maquinaria</v>
      </c>
      <c r="I776" s="115" t="s">
        <v>32</v>
      </c>
      <c r="J776" s="115" t="str">
        <f>+VLOOKUP($I776,Tabla7[#All],2,FALSE)</f>
        <v>PROGRAMADA</v>
      </c>
      <c r="K776" s="114" t="str">
        <f>IF(VLOOKUP(I776,Tabla7[#All],3,FALSE)=0,"",VLOOKUP(I776,Tabla7[#All],3,FALSE))</f>
        <v/>
      </c>
      <c r="L776" s="35" t="s">
        <v>1591</v>
      </c>
      <c r="M776" s="35" t="s">
        <v>190</v>
      </c>
      <c r="N776" s="35" t="str" cm="1">
        <f t="array" ref="N776">IFERROR(IF(Tabla8[[#This Row],[P/NP]]="NO PROGRAMADA","",_xlfn.TEXTJOIN(", ",TRUE,_xlfn._xlws.FILTER(Tabla4[[#All],[PIEZA]],ISNUMBER(SEARCH(Tabla4[[#All],[PCLAVE]],Tabla8[[#This Row],[DESCRIPCION DE TRABAJO]])),""))),"")</f>
        <v/>
      </c>
      <c r="O776" s="35" t="str" cm="1">
        <f t="array" ref="O776">_xlfn.TEXTJOIN(", ",TRUE,_xlfn._xlws.FILTER(Tabla28[[#All],[PARTE]],ISNUMBER(SEARCH(Tabla28[[#All],[PCLAVE2]],Tabla8[[#This Row],[DESCRIPCION DE TRABAJO]])),""))</f>
        <v/>
      </c>
      <c r="P776" s="303" t="str">
        <f>IFERROR(LEFT(O776, FIND(",", O776)-1), O776)</f>
        <v/>
      </c>
      <c r="Q776" s="303" t="str">
        <f>IFERROR(IF(ISERROR(FIND(",", O776, FIND(",", O776)+1)), RIGHT(O776, LEN(O776)-FIND(",", O776)-1), MID(O776, FIND(",", O776)+2, FIND(",", O776, FIND(",", O776)+1)-FIND(",", O776)-2)), "")</f>
        <v/>
      </c>
      <c r="R776" s="303" t="str">
        <f>IFERROR(RIGHT(O776, LEN(O776)-FIND(",", O776, FIND(",", O776)+1)-1), "")</f>
        <v/>
      </c>
      <c r="S776" s="35" t="str" cm="1">
        <f t="array" ref="S776">_xlfn.TEXTJOIN(", ",TRUE,_xlfn._xlws.FILTER(Tabla29[[#All],[PARTE]],ISNUMBER(SEARCH(Tabla29[[#All],[PCLAVE3]],Tabla8[[#This Row],[DESCRIPCION DE TRABAJO]])),""))</f>
        <v>Cambio De Formato</v>
      </c>
      <c r="T776" s="34" t="str">
        <f>IF(AND(Tabla8[[#This Row],[PIEZA]]="",Tabla8[[#This Row],[PARTE]]=""),"VACIO","OK")</f>
        <v>VACIO</v>
      </c>
      <c r="U776" s="303" t="str">
        <f>+CONCATENATE(WEEKNUM(Tabla8[[#This Row],[FECHA]]),"-",YEAR(Tabla8[[#This Row],[FECHA]]))</f>
        <v>15-2026</v>
      </c>
    </row>
    <row r="777" spans="1:21" ht="15" customHeight="1">
      <c r="A777" s="22">
        <v>46118</v>
      </c>
      <c r="B777" s="16" t="s">
        <v>88</v>
      </c>
      <c r="C777" s="10" t="s">
        <v>36</v>
      </c>
      <c r="D777" s="381" t="s">
        <v>1592</v>
      </c>
      <c r="E777" s="381" t="s">
        <v>600</v>
      </c>
      <c r="F777" s="380">
        <f>+MOD(Tabla8[[#This Row],[HR. FIN]]-Tabla8[[#This Row],[HR. INICIO]],1)</f>
        <v>4.1666666666666685E-2</v>
      </c>
      <c r="G777" s="16" t="s">
        <v>98</v>
      </c>
      <c r="H777" s="343" t="str">
        <f>IFERROR(VLOOKUP(G777,DATOS!$M$2:$N$219,2,FALSE),"")</f>
        <v>Maquinaria</v>
      </c>
      <c r="I777" s="115" t="s">
        <v>32</v>
      </c>
      <c r="J777" s="115" t="str">
        <f>+VLOOKUP($I777,Tabla7[#All],2,FALSE)</f>
        <v>PROGRAMADA</v>
      </c>
      <c r="K777" s="114" t="str">
        <f>IF(VLOOKUP(I777,Tabla7[#All],3,FALSE)=0,"",VLOOKUP(I777,Tabla7[#All],3,FALSE))</f>
        <v/>
      </c>
      <c r="L777" s="35" t="s">
        <v>1593</v>
      </c>
      <c r="M777" s="35" t="s">
        <v>1129</v>
      </c>
      <c r="N777" s="35" t="str" cm="1">
        <f t="array" ref="N777">IFERROR(IF(Tabla8[[#This Row],[P/NP]]="NO PROGRAMADA","",_xlfn.TEXTJOIN(", ",TRUE,_xlfn._xlws.FILTER(Tabla4[[#All],[PIEZA]],ISNUMBER(SEARCH(Tabla4[[#All],[PCLAVE]],Tabla8[[#This Row],[DESCRIPCION DE TRABAJO]])),""))),"")</f>
        <v/>
      </c>
      <c r="O777" s="35" t="str" cm="1">
        <f t="array" ref="O777">_xlfn.TEXTJOIN(", ",TRUE,_xlfn._xlws.FILTER(Tabla28[[#All],[PARTE]],ISNUMBER(SEARCH(Tabla28[[#All],[PCLAVE2]],Tabla8[[#This Row],[DESCRIPCION DE TRABAJO]])),""))</f>
        <v/>
      </c>
      <c r="P777" s="303" t="str">
        <f>IFERROR(LEFT(O777, FIND(",", O777)-1), O777)</f>
        <v/>
      </c>
      <c r="Q777" s="303" t="str">
        <f>IFERROR(IF(ISERROR(FIND(",", O777, FIND(",", O777)+1)), RIGHT(O777, LEN(O777)-FIND(",", O777)-1), MID(O777, FIND(",", O777)+2, FIND(",", O777, FIND(",", O777)+1)-FIND(",", O777)-2)), "")</f>
        <v/>
      </c>
      <c r="R777" s="303" t="str">
        <f>IFERROR(RIGHT(O777, LEN(O777)-FIND(",", O777, FIND(",", O777)+1)-1), "")</f>
        <v/>
      </c>
      <c r="S777" s="35" t="str" cm="1">
        <f t="array" ref="S777">_xlfn.TEXTJOIN(", ",TRUE,_xlfn._xlws.FILTER(Tabla29[[#All],[PARTE]],ISNUMBER(SEARCH(Tabla29[[#All],[PCLAVE3]],Tabla8[[#This Row],[DESCRIPCION DE TRABAJO]])),""))</f>
        <v/>
      </c>
      <c r="T777" s="34" t="str">
        <f>IF(AND(Tabla8[[#This Row],[PIEZA]]="",Tabla8[[#This Row],[PARTE]]=""),"VACIO","OK")</f>
        <v>VACIO</v>
      </c>
      <c r="U777" s="303" t="str">
        <f>+CONCATENATE(WEEKNUM(Tabla8[[#This Row],[FECHA]]),"-",YEAR(Tabla8[[#This Row],[FECHA]]))</f>
        <v>15-2026</v>
      </c>
    </row>
    <row r="778" spans="1:21" ht="15" customHeight="1">
      <c r="A778" s="22">
        <v>46118</v>
      </c>
      <c r="B778" s="16" t="s">
        <v>88</v>
      </c>
      <c r="C778" s="10" t="s">
        <v>36</v>
      </c>
      <c r="D778" s="381" t="s">
        <v>101</v>
      </c>
      <c r="E778" s="381" t="s">
        <v>122</v>
      </c>
      <c r="F778" s="380">
        <f>+MOD(Tabla8[[#This Row],[HR. FIN]]-Tabla8[[#This Row],[HR. INICIO]],1)</f>
        <v>4.1666666666666657E-2</v>
      </c>
      <c r="G778" s="16" t="s">
        <v>103</v>
      </c>
      <c r="H778" s="343" t="str">
        <f>IFERROR(VLOOKUP(G778,DATOS!$M$2:$N$219,2,FALSE),"")</f>
        <v>Area</v>
      </c>
      <c r="I778" s="115" t="s">
        <v>43</v>
      </c>
      <c r="J778" s="115" t="str">
        <f>+VLOOKUP($I778,Tabla7[#All],2,FALSE)</f>
        <v>PROGRAMADA</v>
      </c>
      <c r="K778" s="114" t="str">
        <f>IF(VLOOKUP(I778,Tabla7[#All],3,FALSE)=0,"",VLOOKUP(I778,Tabla7[#All],3,FALSE))</f>
        <v/>
      </c>
      <c r="L778" s="35" t="s">
        <v>446</v>
      </c>
      <c r="M778" s="35" t="s">
        <v>1403</v>
      </c>
      <c r="N778" s="35" t="str" cm="1">
        <f t="array" ref="N778">IFERROR(IF(Tabla8[[#This Row],[P/NP]]="NO PROGRAMADA","",_xlfn.TEXTJOIN(", ",TRUE,_xlfn._xlws.FILTER(Tabla4[[#All],[PIEZA]],ISNUMBER(SEARCH(Tabla4[[#All],[PCLAVE]],Tabla8[[#This Row],[DESCRIPCION DE TRABAJO]])),""))),"")</f>
        <v/>
      </c>
      <c r="O778" s="35" t="str" cm="1">
        <f t="array" ref="O778">_xlfn.TEXTJOIN(", ",TRUE,_xlfn._xlws.FILTER(Tabla28[[#All],[PARTE]],ISNUMBER(SEARCH(Tabla28[[#All],[PCLAVE2]],Tabla8[[#This Row],[DESCRIPCION DE TRABAJO]])),""))</f>
        <v/>
      </c>
      <c r="P778" s="303" t="str">
        <f>IFERROR(LEFT(O778, FIND(",", O778)-1), O778)</f>
        <v/>
      </c>
      <c r="Q778" s="303" t="str">
        <f>IFERROR(IF(ISERROR(FIND(",", O778, FIND(",", O778)+1)), RIGHT(O778, LEN(O778)-FIND(",", O778)-1), MID(O778, FIND(",", O778)+2, FIND(",", O778, FIND(",", O778)+1)-FIND(",", O778)-2)), "")</f>
        <v/>
      </c>
      <c r="R778" s="303" t="str">
        <f>IFERROR(RIGHT(O778, LEN(O778)-FIND(",", O778, FIND(",", O778)+1)-1), "")</f>
        <v/>
      </c>
      <c r="S778" s="35" t="str" cm="1">
        <f t="array" ref="S778">_xlfn.TEXTJOIN(", ",TRUE,_xlfn._xlws.FILTER(Tabla29[[#All],[PARTE]],ISNUMBER(SEARCH(Tabla29[[#All],[PCLAVE3]],Tabla8[[#This Row],[DESCRIPCION DE TRABAJO]])),""))</f>
        <v/>
      </c>
      <c r="T778" s="34" t="str">
        <f>IF(AND(Tabla8[[#This Row],[PIEZA]]="",Tabla8[[#This Row],[PARTE]]=""),"VACIO","OK")</f>
        <v>VACIO</v>
      </c>
      <c r="U778" s="303" t="str">
        <f>+CONCATENATE(WEEKNUM(Tabla8[[#This Row],[FECHA]]),"-",YEAR(Tabla8[[#This Row],[FECHA]]))</f>
        <v>15-2026</v>
      </c>
    </row>
    <row r="779" spans="1:21" ht="15" customHeight="1">
      <c r="A779" s="22">
        <v>46118</v>
      </c>
      <c r="B779" s="16" t="s">
        <v>191</v>
      </c>
      <c r="C779" s="10" t="s">
        <v>36</v>
      </c>
      <c r="D779" s="381" t="s">
        <v>1594</v>
      </c>
      <c r="E779" s="381" t="s">
        <v>881</v>
      </c>
      <c r="F779" s="380">
        <f>+MOD(Tabla8[[#This Row],[HR. FIN]]-Tabla8[[#This Row],[HR. INICIO]],1)</f>
        <v>3.4027777777777768E-2</v>
      </c>
      <c r="G779" s="16" t="s">
        <v>256</v>
      </c>
      <c r="H779" s="343" t="str">
        <f>IFERROR(VLOOKUP(G779,DATOS!$M$2:$N$219,2,FALSE),"")</f>
        <v>Maquinaria</v>
      </c>
      <c r="I779" s="115" t="s">
        <v>390</v>
      </c>
      <c r="J779" s="115" t="str">
        <f>+VLOOKUP($I779,Tabla7[#All],2,FALSE)</f>
        <v>PROGRAMADA</v>
      </c>
      <c r="K779" s="114" t="str">
        <f>IF(VLOOKUP(I779,Tabla7[#All],3,FALSE)=0,"",VLOOKUP(I779,Tabla7[#All],3,FALSE))</f>
        <v/>
      </c>
      <c r="L779" s="35" t="s">
        <v>1595</v>
      </c>
      <c r="M779" s="35" t="s">
        <v>1596</v>
      </c>
      <c r="N779" s="35" t="str" cm="1">
        <f t="array" ref="N779">IFERROR(IF(Tabla8[[#This Row],[P/NP]]="NO PROGRAMADA","",_xlfn.TEXTJOIN(", ",TRUE,_xlfn._xlws.FILTER(Tabla4[[#All],[PIEZA]],ISNUMBER(SEARCH(Tabla4[[#All],[PCLAVE]],Tabla8[[#This Row],[DESCRIPCION DE TRABAJO]])),""))),"")</f>
        <v>Producto</v>
      </c>
      <c r="O779" s="35" t="str" cm="1">
        <f t="array" ref="O779">_xlfn.TEXTJOIN(", ",TRUE,_xlfn._xlws.FILTER(Tabla28[[#All],[PARTE]],ISNUMBER(SEARCH(Tabla28[[#All],[PCLAVE2]],Tabla8[[#This Row],[DESCRIPCION DE TRABAJO]])),""))</f>
        <v/>
      </c>
      <c r="P779" s="303" t="str">
        <f>IFERROR(LEFT(O779, FIND(",", O779)-1), O779)</f>
        <v/>
      </c>
      <c r="Q779" s="303" t="str">
        <f>IFERROR(IF(ISERROR(FIND(",", O779, FIND(",", O779)+1)), RIGHT(O779, LEN(O779)-FIND(",", O779)-1), MID(O779, FIND(",", O779)+2, FIND(",", O779, FIND(",", O779)+1)-FIND(",", O779)-2)), "")</f>
        <v/>
      </c>
      <c r="R779" s="303" t="str">
        <f>IFERROR(RIGHT(O779, LEN(O779)-FIND(",", O779, FIND(",", O779)+1)-1), "")</f>
        <v/>
      </c>
      <c r="S779" s="35" t="str" cm="1">
        <f t="array" ref="S779">_xlfn.TEXTJOIN(", ",TRUE,_xlfn._xlws.FILTER(Tabla29[[#All],[PARTE]],ISNUMBER(SEARCH(Tabla29[[#All],[PCLAVE3]],Tabla8[[#This Row],[DESCRIPCION DE TRABAJO]])),""))</f>
        <v/>
      </c>
      <c r="T779" s="34" t="str">
        <f>IF(AND(Tabla8[[#This Row],[PIEZA]]="",Tabla8[[#This Row],[PARTE]]=""),"VACIO","OK")</f>
        <v>OK</v>
      </c>
      <c r="U779" s="303" t="str">
        <f>+CONCATENATE(WEEKNUM(Tabla8[[#This Row],[FECHA]]),"-",YEAR(Tabla8[[#This Row],[FECHA]]))</f>
        <v>15-2026</v>
      </c>
    </row>
    <row r="780" spans="1:21" ht="15" customHeight="1">
      <c r="A780" s="22">
        <v>46118</v>
      </c>
      <c r="B780" s="16" t="s">
        <v>88</v>
      </c>
      <c r="C780" s="10" t="s">
        <v>36</v>
      </c>
      <c r="D780" s="381" t="s">
        <v>670</v>
      </c>
      <c r="E780" s="381" t="s">
        <v>152</v>
      </c>
      <c r="F780" s="380">
        <f>+MOD(Tabla8[[#This Row],[HR. FIN]]-Tabla8[[#This Row],[HR. INICIO]],1)</f>
        <v>3.125E-2</v>
      </c>
      <c r="G780" s="16" t="s">
        <v>24</v>
      </c>
      <c r="H780" s="343" t="str">
        <f>IFERROR(VLOOKUP(G780,DATOS!$M$2:$N$219,2,FALSE),"")</f>
        <v>Maquinaria</v>
      </c>
      <c r="I780" s="115" t="s">
        <v>32</v>
      </c>
      <c r="J780" s="115" t="str">
        <f>+VLOOKUP($I780,Tabla7[#All],2,FALSE)</f>
        <v>PROGRAMADA</v>
      </c>
      <c r="K780" s="114" t="str">
        <f>IF(VLOOKUP(I780,Tabla7[#All],3,FALSE)=0,"",VLOOKUP(I780,Tabla7[#All],3,FALSE))</f>
        <v/>
      </c>
      <c r="L780" s="35" t="s">
        <v>1593</v>
      </c>
      <c r="M780" s="35" t="s">
        <v>1597</v>
      </c>
      <c r="N780" s="35" t="str" cm="1">
        <f t="array" ref="N780">IFERROR(IF(Tabla8[[#This Row],[P/NP]]="NO PROGRAMADA","",_xlfn.TEXTJOIN(", ",TRUE,_xlfn._xlws.FILTER(Tabla4[[#All],[PIEZA]],ISNUMBER(SEARCH(Tabla4[[#All],[PCLAVE]],Tabla8[[#This Row],[DESCRIPCION DE TRABAJO]])),""))),"")</f>
        <v/>
      </c>
      <c r="O780" s="35" t="str" cm="1">
        <f t="array" ref="O780">_xlfn.TEXTJOIN(", ",TRUE,_xlfn._xlws.FILTER(Tabla28[[#All],[PARTE]],ISNUMBER(SEARCH(Tabla28[[#All],[PCLAVE2]],Tabla8[[#This Row],[DESCRIPCION DE TRABAJO]])),""))</f>
        <v/>
      </c>
      <c r="P780" s="303" t="str">
        <f>IFERROR(LEFT(O780, FIND(",", O780)-1), O780)</f>
        <v/>
      </c>
      <c r="Q780" s="303" t="str">
        <f>IFERROR(IF(ISERROR(FIND(",", O780, FIND(",", O780)+1)), RIGHT(O780, LEN(O780)-FIND(",", O780)-1), MID(O780, FIND(",", O780)+2, FIND(",", O780, FIND(",", O780)+1)-FIND(",", O780)-2)), "")</f>
        <v/>
      </c>
      <c r="R780" s="303" t="str">
        <f>IFERROR(RIGHT(O780, LEN(O780)-FIND(",", O780, FIND(",", O780)+1)-1), "")</f>
        <v/>
      </c>
      <c r="S780" s="35" t="str" cm="1">
        <f t="array" ref="S780">_xlfn.TEXTJOIN(", ",TRUE,_xlfn._xlws.FILTER(Tabla29[[#All],[PARTE]],ISNUMBER(SEARCH(Tabla29[[#All],[PCLAVE3]],Tabla8[[#This Row],[DESCRIPCION DE TRABAJO]])),""))</f>
        <v/>
      </c>
      <c r="T780" s="34" t="str">
        <f>IF(AND(Tabla8[[#This Row],[PIEZA]]="",Tabla8[[#This Row],[PARTE]]=""),"VACIO","OK")</f>
        <v>VACIO</v>
      </c>
      <c r="U780" s="303" t="str">
        <f>+CONCATENATE(WEEKNUM(Tabla8[[#This Row],[FECHA]]),"-",YEAR(Tabla8[[#This Row],[FECHA]]))</f>
        <v>15-2026</v>
      </c>
    </row>
    <row r="781" spans="1:21" ht="15" customHeight="1">
      <c r="A781" s="22">
        <v>46118</v>
      </c>
      <c r="B781" s="16" t="s">
        <v>131</v>
      </c>
      <c r="C781" s="10" t="s">
        <v>39</v>
      </c>
      <c r="D781" s="381" t="s">
        <v>872</v>
      </c>
      <c r="E781" s="381" t="s">
        <v>1598</v>
      </c>
      <c r="F781" s="380">
        <f>+MOD(Tabla8[[#This Row],[HR. FIN]]-Tabla8[[#This Row],[HR. INICIO]],1)</f>
        <v>2.9166666666666674E-2</v>
      </c>
      <c r="G781" s="16" t="s">
        <v>119</v>
      </c>
      <c r="H781" s="343" t="str">
        <f>IFERROR(VLOOKUP(G781,DATOS!$M$2:$N$219,2,FALSE),"")</f>
        <v>Maquinaria</v>
      </c>
      <c r="I781" s="115" t="s">
        <v>32</v>
      </c>
      <c r="J781" s="115" t="str">
        <f>+VLOOKUP($I781,Tabla7[#All],2,FALSE)</f>
        <v>PROGRAMADA</v>
      </c>
      <c r="K781" s="114" t="str">
        <f>IF(VLOOKUP(I781,Tabla7[#All],3,FALSE)=0,"",VLOOKUP(I781,Tabla7[#All],3,FALSE))</f>
        <v/>
      </c>
      <c r="L781" s="35" t="s">
        <v>837</v>
      </c>
      <c r="M781" s="35" t="s">
        <v>121</v>
      </c>
      <c r="N781" s="35" t="str" cm="1">
        <f t="array" ref="N781">IFERROR(IF(Tabla8[[#This Row],[P/NP]]="NO PROGRAMADA","",_xlfn.TEXTJOIN(", ",TRUE,_xlfn._xlws.FILTER(Tabla4[[#All],[PIEZA]],ISNUMBER(SEARCH(Tabla4[[#All],[PCLAVE]],Tabla8[[#This Row],[DESCRIPCION DE TRABAJO]])),""))),"")</f>
        <v/>
      </c>
      <c r="O781" s="35" t="str" cm="1">
        <f t="array" ref="O781">_xlfn.TEXTJOIN(", ",TRUE,_xlfn._xlws.FILTER(Tabla28[[#All],[PARTE]],ISNUMBER(SEARCH(Tabla28[[#All],[PCLAVE2]],Tabla8[[#This Row],[DESCRIPCION DE TRABAJO]])),""))</f>
        <v>Mds</v>
      </c>
      <c r="P781" s="303" t="str">
        <f>IFERROR(LEFT(O781, FIND(",", O781)-1), O781)</f>
        <v>Mds</v>
      </c>
      <c r="Q781" s="303" t="str">
        <f>IFERROR(IF(ISERROR(FIND(",", O781, FIND(",", O781)+1)), RIGHT(O781, LEN(O781)-FIND(",", O781)-1), MID(O781, FIND(",", O781)+2, FIND(",", O781, FIND(",", O781)+1)-FIND(",", O781)-2)), "")</f>
        <v/>
      </c>
      <c r="R781" s="303" t="str">
        <f>IFERROR(RIGHT(O781, LEN(O781)-FIND(",", O781, FIND(",", O781)+1)-1), "")</f>
        <v/>
      </c>
      <c r="S781" s="35" t="str" cm="1">
        <f t="array" ref="S781">_xlfn.TEXTJOIN(", ",TRUE,_xlfn._xlws.FILTER(Tabla29[[#All],[PARTE]],ISNUMBER(SEARCH(Tabla29[[#All],[PCLAVE3]],Tabla8[[#This Row],[DESCRIPCION DE TRABAJO]])),""))</f>
        <v/>
      </c>
      <c r="T781" s="34" t="str">
        <f>IF(AND(Tabla8[[#This Row],[PIEZA]]="",Tabla8[[#This Row],[PARTE]]=""),"VACIO","OK")</f>
        <v>OK</v>
      </c>
      <c r="U781" s="303" t="str">
        <f>+CONCATENATE(WEEKNUM(Tabla8[[#This Row],[FECHA]]),"-",YEAR(Tabla8[[#This Row],[FECHA]]))</f>
        <v>15-2026</v>
      </c>
    </row>
    <row r="782" spans="1:21" ht="15" customHeight="1">
      <c r="A782" s="22">
        <v>46118</v>
      </c>
      <c r="B782" s="16" t="s">
        <v>88</v>
      </c>
      <c r="C782" s="10" t="s">
        <v>36</v>
      </c>
      <c r="D782" s="381" t="s">
        <v>127</v>
      </c>
      <c r="E782" s="381" t="s">
        <v>89</v>
      </c>
      <c r="F782" s="380">
        <f>+MOD(Tabla8[[#This Row],[HR. FIN]]-Tabla8[[#This Row],[HR. INICIO]],1)</f>
        <v>2.083333333333337E-2</v>
      </c>
      <c r="G782" s="16" t="s">
        <v>114</v>
      </c>
      <c r="H782" s="343" t="str">
        <f>IFERROR(VLOOKUP(G782,DATOS!$M$2:$N$219,2,FALSE),"")</f>
        <v>Maquinaria</v>
      </c>
      <c r="I782" s="115" t="s">
        <v>32</v>
      </c>
      <c r="J782" s="115" t="str">
        <f>+VLOOKUP($I782,Tabla7[#All],2,FALSE)</f>
        <v>PROGRAMADA</v>
      </c>
      <c r="K782" s="114" t="str">
        <f>IF(VLOOKUP(I782,Tabla7[#All],3,FALSE)=0,"",VLOOKUP(I782,Tabla7[#All],3,FALSE))</f>
        <v/>
      </c>
      <c r="L782" s="35" t="s">
        <v>1168</v>
      </c>
      <c r="M782" s="35" t="s">
        <v>1599</v>
      </c>
      <c r="N782" s="35" t="str" cm="1">
        <f t="array" ref="N782">IFERROR(IF(Tabla8[[#This Row],[P/NP]]="NO PROGRAMADA","",_xlfn.TEXTJOIN(", ",TRUE,_xlfn._xlws.FILTER(Tabla4[[#All],[PIEZA]],ISNUMBER(SEARCH(Tabla4[[#All],[PCLAVE]],Tabla8[[#This Row],[DESCRIPCION DE TRABAJO]])),""))),"")</f>
        <v/>
      </c>
      <c r="O782" s="35" t="str" cm="1">
        <f t="array" ref="O782">_xlfn.TEXTJOIN(", ",TRUE,_xlfn._xlws.FILTER(Tabla28[[#All],[PARTE]],ISNUMBER(SEARCH(Tabla28[[#All],[PCLAVE2]],Tabla8[[#This Row],[DESCRIPCION DE TRABAJO]])),""))</f>
        <v/>
      </c>
      <c r="P782" s="303" t="str">
        <f>IFERROR(LEFT(O782, FIND(",", O782)-1), O782)</f>
        <v/>
      </c>
      <c r="Q782" s="303" t="str">
        <f>IFERROR(IF(ISERROR(FIND(",", O782, FIND(",", O782)+1)), RIGHT(O782, LEN(O782)-FIND(",", O782)-1), MID(O782, FIND(",", O782)+2, FIND(",", O782, FIND(",", O782)+1)-FIND(",", O782)-2)), "")</f>
        <v/>
      </c>
      <c r="R782" s="303" t="str">
        <f>IFERROR(RIGHT(O782, LEN(O782)-FIND(",", O782, FIND(",", O782)+1)-1), "")</f>
        <v/>
      </c>
      <c r="S782" s="35" t="str" cm="1">
        <f t="array" ref="S782">_xlfn.TEXTJOIN(", ",TRUE,_xlfn._xlws.FILTER(Tabla29[[#All],[PARTE]],ISNUMBER(SEARCH(Tabla29[[#All],[PCLAVE3]],Tabla8[[#This Row],[DESCRIPCION DE TRABAJO]])),""))</f>
        <v/>
      </c>
      <c r="T782" s="34" t="str">
        <f>IF(AND(Tabla8[[#This Row],[PIEZA]]="",Tabla8[[#This Row],[PARTE]]=""),"VACIO","OK")</f>
        <v>VACIO</v>
      </c>
      <c r="U782" s="303" t="str">
        <f>+CONCATENATE(WEEKNUM(Tabla8[[#This Row],[FECHA]]),"-",YEAR(Tabla8[[#This Row],[FECHA]]))</f>
        <v>15-2026</v>
      </c>
    </row>
    <row r="783" spans="1:21" ht="15" customHeight="1">
      <c r="A783" s="22">
        <v>46118</v>
      </c>
      <c r="B783" s="16" t="s">
        <v>131</v>
      </c>
      <c r="C783" s="10" t="s">
        <v>39</v>
      </c>
      <c r="D783" s="381" t="s">
        <v>1600</v>
      </c>
      <c r="E783" s="381" t="s">
        <v>421</v>
      </c>
      <c r="F783" s="380">
        <f>+MOD(Tabla8[[#This Row],[HR. FIN]]-Tabla8[[#This Row],[HR. INICIO]],1)</f>
        <v>2.083333333333337E-2</v>
      </c>
      <c r="G783" s="16" t="s">
        <v>438</v>
      </c>
      <c r="H783" s="343" t="str">
        <f>IFERROR(VLOOKUP(G783,DATOS!$M$2:$N$219,2,FALSE),"")</f>
        <v>Maquinaria</v>
      </c>
      <c r="I783" s="115" t="s">
        <v>54</v>
      </c>
      <c r="J783" s="115" t="str">
        <f>+VLOOKUP($I783,Tabla7[#All],2,FALSE)</f>
        <v>PROGRAMADA</v>
      </c>
      <c r="K783" s="114" t="str">
        <f>IF(VLOOKUP(I783,Tabla7[#All],3,FALSE)=0,"",VLOOKUP(I783,Tabla7[#All],3,FALSE))</f>
        <v/>
      </c>
      <c r="L783" s="35" t="s">
        <v>154</v>
      </c>
      <c r="M783" s="35" t="s">
        <v>121</v>
      </c>
      <c r="N783" s="35" t="str" cm="1">
        <f t="array" ref="N783">IFERROR(IF(Tabla8[[#This Row],[P/NP]]="NO PROGRAMADA","",_xlfn.TEXTJOIN(", ",TRUE,_xlfn._xlws.FILTER(Tabla4[[#All],[PIEZA]],ISNUMBER(SEARCH(Tabla4[[#All],[PCLAVE]],Tabla8[[#This Row],[DESCRIPCION DE TRABAJO]])),""))),"")</f>
        <v/>
      </c>
      <c r="O783" s="35" t="str" cm="1">
        <f t="array" ref="O783">_xlfn.TEXTJOIN(", ",TRUE,_xlfn._xlws.FILTER(Tabla28[[#All],[PARTE]],ISNUMBER(SEARCH(Tabla28[[#All],[PCLAVE2]],Tabla8[[#This Row],[DESCRIPCION DE TRABAJO]])),""))</f>
        <v/>
      </c>
      <c r="P783" s="303" t="str">
        <f>IFERROR(LEFT(O783, FIND(",", O783)-1), O783)</f>
        <v/>
      </c>
      <c r="Q783" s="303" t="str">
        <f>IFERROR(IF(ISERROR(FIND(",", O783, FIND(",", O783)+1)), RIGHT(O783, LEN(O783)-FIND(",", O783)-1), MID(O783, FIND(",", O783)+2, FIND(",", O783, FIND(",", O783)+1)-FIND(",", O783)-2)), "")</f>
        <v/>
      </c>
      <c r="R783" s="303" t="str">
        <f>IFERROR(RIGHT(O783, LEN(O783)-FIND(",", O783, FIND(",", O783)+1)-1), "")</f>
        <v/>
      </c>
      <c r="S783" s="35" t="str" cm="1">
        <f t="array" ref="S783">_xlfn.TEXTJOIN(", ",TRUE,_xlfn._xlws.FILTER(Tabla29[[#All],[PARTE]],ISNUMBER(SEARCH(Tabla29[[#All],[PCLAVE3]],Tabla8[[#This Row],[DESCRIPCION DE TRABAJO]])),""))</f>
        <v/>
      </c>
      <c r="T783" s="34" t="str">
        <f>IF(AND(Tabla8[[#This Row],[PIEZA]]="",Tabla8[[#This Row],[PARTE]]=""),"VACIO","OK")</f>
        <v>VACIO</v>
      </c>
      <c r="U783" s="303" t="str">
        <f>+CONCATENATE(WEEKNUM(Tabla8[[#This Row],[FECHA]]),"-",YEAR(Tabla8[[#This Row],[FECHA]]))</f>
        <v>15-2026</v>
      </c>
    </row>
    <row r="784" spans="1:21" ht="15" customHeight="1">
      <c r="A784" s="22">
        <v>46118</v>
      </c>
      <c r="B784" s="16" t="s">
        <v>131</v>
      </c>
      <c r="C784" s="10" t="s">
        <v>39</v>
      </c>
      <c r="D784" s="381" t="s">
        <v>112</v>
      </c>
      <c r="E784" s="381" t="s">
        <v>397</v>
      </c>
      <c r="F784" s="380">
        <f>+MOD(Tabla8[[#This Row],[HR. FIN]]-Tabla8[[#This Row],[HR. INICIO]],1)</f>
        <v>2.0833333333333336E-2</v>
      </c>
      <c r="G784" s="16" t="s">
        <v>270</v>
      </c>
      <c r="H784" s="343" t="str">
        <f>IFERROR(VLOOKUP(G784,DATOS!$M$2:$N$219,2,FALSE),"")</f>
        <v>Maquinaria</v>
      </c>
      <c r="I784" s="115" t="s">
        <v>54</v>
      </c>
      <c r="J784" s="115" t="str">
        <f>+VLOOKUP($I784,Tabla7[#All],2,FALSE)</f>
        <v>PROGRAMADA</v>
      </c>
      <c r="K784" s="114" t="str">
        <f>IF(VLOOKUP(I784,Tabla7[#All],3,FALSE)=0,"",VLOOKUP(I784,Tabla7[#All],3,FALSE))</f>
        <v/>
      </c>
      <c r="L784" s="35" t="s">
        <v>1601</v>
      </c>
      <c r="M784" s="35" t="s">
        <v>121</v>
      </c>
      <c r="N784" s="35" t="str" cm="1">
        <f t="array" ref="N784">IFERROR(IF(Tabla8[[#This Row],[P/NP]]="NO PROGRAMADA","",_xlfn.TEXTJOIN(", ",TRUE,_xlfn._xlws.FILTER(Tabla4[[#All],[PIEZA]],ISNUMBER(SEARCH(Tabla4[[#All],[PCLAVE]],Tabla8[[#This Row],[DESCRIPCION DE TRABAJO]])),""))),"")</f>
        <v/>
      </c>
      <c r="O784" s="35" t="str" cm="1">
        <f t="array" ref="O784">_xlfn.TEXTJOIN(", ",TRUE,_xlfn._xlws.FILTER(Tabla28[[#All],[PARTE]],ISNUMBER(SEARCH(Tabla28[[#All],[PCLAVE2]],Tabla8[[#This Row],[DESCRIPCION DE TRABAJO]])),""))</f>
        <v>Temperadora</v>
      </c>
      <c r="P784" s="303" t="str">
        <f>IFERROR(LEFT(O784, FIND(",", O784)-1), O784)</f>
        <v>Temperadora</v>
      </c>
      <c r="Q784" s="303" t="str">
        <f>IFERROR(IF(ISERROR(FIND(",", O784, FIND(",", O784)+1)), RIGHT(O784, LEN(O784)-FIND(",", O784)-1), MID(O784, FIND(",", O784)+2, FIND(",", O784, FIND(",", O784)+1)-FIND(",", O784)-2)), "")</f>
        <v/>
      </c>
      <c r="R784" s="303" t="str">
        <f>IFERROR(RIGHT(O784, LEN(O784)-FIND(",", O784, FIND(",", O784)+1)-1), "")</f>
        <v/>
      </c>
      <c r="S784" s="35" t="str" cm="1">
        <f t="array" ref="S784">_xlfn.TEXTJOIN(", ",TRUE,_xlfn._xlws.FILTER(Tabla29[[#All],[PARTE]],ISNUMBER(SEARCH(Tabla29[[#All],[PCLAVE3]],Tabla8[[#This Row],[DESCRIPCION DE TRABAJO]])),""))</f>
        <v/>
      </c>
      <c r="T784" s="34" t="str">
        <f>IF(AND(Tabla8[[#This Row],[PIEZA]]="",Tabla8[[#This Row],[PARTE]]=""),"VACIO","OK")</f>
        <v>OK</v>
      </c>
      <c r="U784" s="303" t="str">
        <f>+CONCATENATE(WEEKNUM(Tabla8[[#This Row],[FECHA]]),"-",YEAR(Tabla8[[#This Row],[FECHA]]))</f>
        <v>15-2026</v>
      </c>
    </row>
    <row r="785" spans="1:21" ht="15" customHeight="1">
      <c r="A785" s="22">
        <v>46118</v>
      </c>
      <c r="B785" s="16" t="s">
        <v>88</v>
      </c>
      <c r="C785" s="10" t="s">
        <v>36</v>
      </c>
      <c r="D785" s="381" t="s">
        <v>1176</v>
      </c>
      <c r="E785" s="381" t="s">
        <v>461</v>
      </c>
      <c r="F785" s="380">
        <f>+MOD(Tabla8[[#This Row],[HR. FIN]]-Tabla8[[#This Row],[HR. INICIO]],1)</f>
        <v>2.0833333333333315E-2</v>
      </c>
      <c r="G785" s="16" t="s">
        <v>312</v>
      </c>
      <c r="H785" s="343" t="str">
        <f>IFERROR(VLOOKUP(G785,DATOS!$M$2:$N$219,2,FALSE),"")</f>
        <v>Maquinaria</v>
      </c>
      <c r="I785" s="115" t="s">
        <v>32</v>
      </c>
      <c r="J785" s="115" t="str">
        <f>+VLOOKUP($I785,Tabla7[#All],2,FALSE)</f>
        <v>PROGRAMADA</v>
      </c>
      <c r="K785" s="114" t="str">
        <f>IF(VLOOKUP(I785,Tabla7[#All],3,FALSE)=0,"",VLOOKUP(I785,Tabla7[#All],3,FALSE))</f>
        <v/>
      </c>
      <c r="L785" s="35" t="s">
        <v>1168</v>
      </c>
      <c r="M785" s="35" t="s">
        <v>1602</v>
      </c>
      <c r="N785" s="35" t="str" cm="1">
        <f t="array" ref="N785">IFERROR(IF(Tabla8[[#This Row],[P/NP]]="NO PROGRAMADA","",_xlfn.TEXTJOIN(", ",TRUE,_xlfn._xlws.FILTER(Tabla4[[#All],[PIEZA]],ISNUMBER(SEARCH(Tabla4[[#All],[PCLAVE]],Tabla8[[#This Row],[DESCRIPCION DE TRABAJO]])),""))),"")</f>
        <v/>
      </c>
      <c r="O785" s="35" t="str" cm="1">
        <f t="array" ref="O785">_xlfn.TEXTJOIN(", ",TRUE,_xlfn._xlws.FILTER(Tabla28[[#All],[PARTE]],ISNUMBER(SEARCH(Tabla28[[#All],[PCLAVE2]],Tabla8[[#This Row],[DESCRIPCION DE TRABAJO]])),""))</f>
        <v/>
      </c>
      <c r="P785" s="303" t="str">
        <f>IFERROR(LEFT(O785, FIND(",", O785)-1), O785)</f>
        <v/>
      </c>
      <c r="Q785" s="303" t="str">
        <f>IFERROR(IF(ISERROR(FIND(",", O785, FIND(",", O785)+1)), RIGHT(O785, LEN(O785)-FIND(",", O785)-1), MID(O785, FIND(",", O785)+2, FIND(",", O785, FIND(",", O785)+1)-FIND(",", O785)-2)), "")</f>
        <v/>
      </c>
      <c r="R785" s="303" t="str">
        <f>IFERROR(RIGHT(O785, LEN(O785)-FIND(",", O785, FIND(",", O785)+1)-1), "")</f>
        <v/>
      </c>
      <c r="S785" s="35" t="str" cm="1">
        <f t="array" ref="S785">_xlfn.TEXTJOIN(", ",TRUE,_xlfn._xlws.FILTER(Tabla29[[#All],[PARTE]],ISNUMBER(SEARCH(Tabla29[[#All],[PCLAVE3]],Tabla8[[#This Row],[DESCRIPCION DE TRABAJO]])),""))</f>
        <v/>
      </c>
      <c r="T785" s="34" t="str">
        <f>IF(AND(Tabla8[[#This Row],[PIEZA]]="",Tabla8[[#This Row],[PARTE]]=""),"VACIO","OK")</f>
        <v>VACIO</v>
      </c>
      <c r="U785" s="303" t="str">
        <f>+CONCATENATE(WEEKNUM(Tabla8[[#This Row],[FECHA]]),"-",YEAR(Tabla8[[#This Row],[FECHA]]))</f>
        <v>15-2026</v>
      </c>
    </row>
    <row r="786" spans="1:21" ht="15" customHeight="1">
      <c r="A786" s="22">
        <v>46118</v>
      </c>
      <c r="B786" s="16" t="s">
        <v>131</v>
      </c>
      <c r="C786" s="10" t="s">
        <v>39</v>
      </c>
      <c r="D786" s="381" t="s">
        <v>1492</v>
      </c>
      <c r="E786" s="381" t="s">
        <v>726</v>
      </c>
      <c r="F786" s="380">
        <f>+MOD(Tabla8[[#This Row],[HR. FIN]]-Tabla8[[#This Row],[HR. INICIO]],1)</f>
        <v>2.013888888888889E-2</v>
      </c>
      <c r="G786" s="16" t="s">
        <v>24</v>
      </c>
      <c r="H786" s="343" t="str">
        <f>IFERROR(VLOOKUP(G786,DATOS!$M$2:$N$219,2,FALSE),"")</f>
        <v>Maquinaria</v>
      </c>
      <c r="I786" s="115" t="s">
        <v>54</v>
      </c>
      <c r="J786" s="115" t="str">
        <f>+VLOOKUP($I786,Tabla7[#All],2,FALSE)</f>
        <v>PROGRAMADA</v>
      </c>
      <c r="K786" s="114" t="str">
        <f>IF(VLOOKUP(I786,Tabla7[#All],3,FALSE)=0,"",VLOOKUP(I786,Tabla7[#All],3,FALSE))</f>
        <v/>
      </c>
      <c r="L786" s="35" t="s">
        <v>154</v>
      </c>
      <c r="M786" s="35" t="s">
        <v>121</v>
      </c>
      <c r="N786" s="35" t="str" cm="1">
        <f t="array" ref="N786">IFERROR(IF(Tabla8[[#This Row],[P/NP]]="NO PROGRAMADA","",_xlfn.TEXTJOIN(", ",TRUE,_xlfn._xlws.FILTER(Tabla4[[#All],[PIEZA]],ISNUMBER(SEARCH(Tabla4[[#All],[PCLAVE]],Tabla8[[#This Row],[DESCRIPCION DE TRABAJO]])),""))),"")</f>
        <v/>
      </c>
      <c r="O786" s="35" t="str" cm="1">
        <f t="array" ref="O786">_xlfn.TEXTJOIN(", ",TRUE,_xlfn._xlws.FILTER(Tabla28[[#All],[PARTE]],ISNUMBER(SEARCH(Tabla28[[#All],[PCLAVE2]],Tabla8[[#This Row],[DESCRIPCION DE TRABAJO]])),""))</f>
        <v/>
      </c>
      <c r="P786" s="303" t="str">
        <f>IFERROR(LEFT(O786, FIND(",", O786)-1), O786)</f>
        <v/>
      </c>
      <c r="Q786" s="303" t="str">
        <f>IFERROR(IF(ISERROR(FIND(",", O786, FIND(",", O786)+1)), RIGHT(O786, LEN(O786)-FIND(",", O786)-1), MID(O786, FIND(",", O786)+2, FIND(",", O786, FIND(",", O786)+1)-FIND(",", O786)-2)), "")</f>
        <v/>
      </c>
      <c r="R786" s="303" t="str">
        <f>IFERROR(RIGHT(O786, LEN(O786)-FIND(",", O786, FIND(",", O786)+1)-1), "")</f>
        <v/>
      </c>
      <c r="S786" s="35" t="str" cm="1">
        <f t="array" ref="S786">_xlfn.TEXTJOIN(", ",TRUE,_xlfn._xlws.FILTER(Tabla29[[#All],[PARTE]],ISNUMBER(SEARCH(Tabla29[[#All],[PCLAVE3]],Tabla8[[#This Row],[DESCRIPCION DE TRABAJO]])),""))</f>
        <v/>
      </c>
      <c r="T786" s="34" t="str">
        <f>IF(AND(Tabla8[[#This Row],[PIEZA]]="",Tabla8[[#This Row],[PARTE]]=""),"VACIO","OK")</f>
        <v>VACIO</v>
      </c>
      <c r="U786" s="303" t="str">
        <f>+CONCATENATE(WEEKNUM(Tabla8[[#This Row],[FECHA]]),"-",YEAR(Tabla8[[#This Row],[FECHA]]))</f>
        <v>15-2026</v>
      </c>
    </row>
    <row r="787" spans="1:21" ht="15" customHeight="1">
      <c r="A787" s="22">
        <v>46118</v>
      </c>
      <c r="B787" s="16" t="s">
        <v>191</v>
      </c>
      <c r="C787" s="10" t="s">
        <v>36</v>
      </c>
      <c r="D787" s="381" t="s">
        <v>522</v>
      </c>
      <c r="E787" s="381" t="s">
        <v>670</v>
      </c>
      <c r="F787" s="380">
        <f>+MOD(Tabla8[[#This Row],[HR. FIN]]-Tabla8[[#This Row],[HR. INICIO]],1)</f>
        <v>1.7361111111111105E-2</v>
      </c>
      <c r="G787" s="16" t="s">
        <v>312</v>
      </c>
      <c r="H787" s="343" t="str">
        <f>IFERROR(VLOOKUP(G787,DATOS!$M$2:$N$219,2,FALSE),"")</f>
        <v>Maquinaria</v>
      </c>
      <c r="I787" s="115" t="s">
        <v>32</v>
      </c>
      <c r="J787" s="115" t="str">
        <f>+VLOOKUP($I787,Tabla7[#All],2,FALSE)</f>
        <v>PROGRAMADA</v>
      </c>
      <c r="K787" s="114" t="str">
        <f>IF(VLOOKUP(I787,Tabla7[#All],3,FALSE)=0,"",VLOOKUP(I787,Tabla7[#All],3,FALSE))</f>
        <v/>
      </c>
      <c r="L787" s="35" t="s">
        <v>1603</v>
      </c>
      <c r="M787" s="35" t="s">
        <v>121</v>
      </c>
      <c r="N787" s="35" t="str" cm="1">
        <f t="array" ref="N787">IFERROR(IF(Tabla8[[#This Row],[P/NP]]="NO PROGRAMADA","",_xlfn.TEXTJOIN(", ",TRUE,_xlfn._xlws.FILTER(Tabla4[[#All],[PIEZA]],ISNUMBER(SEARCH(Tabla4[[#All],[PCLAVE]],Tabla8[[#This Row],[DESCRIPCION DE TRABAJO]])),""))),"")</f>
        <v>Filtro, Polin De Arrastre</v>
      </c>
      <c r="O787" s="35" t="str" cm="1">
        <f t="array" ref="O787">_xlfn.TEXTJOIN(", ",TRUE,_xlfn._xlws.FILTER(Tabla28[[#All],[PARTE]],ISNUMBER(SEARCH(Tabla28[[#All],[PCLAVE2]],Tabla8[[#This Row],[DESCRIPCION DE TRABAJO]])),""))</f>
        <v/>
      </c>
      <c r="P787" s="303" t="str">
        <f>IFERROR(LEFT(O787, FIND(",", O787)-1), O787)</f>
        <v/>
      </c>
      <c r="Q787" s="303" t="str">
        <f>IFERROR(IF(ISERROR(FIND(",", O787, FIND(",", O787)+1)), RIGHT(O787, LEN(O787)-FIND(",", O787)-1), MID(O787, FIND(",", O787)+2, FIND(",", O787, FIND(",", O787)+1)-FIND(",", O787)-2)), "")</f>
        <v/>
      </c>
      <c r="R787" s="303" t="str">
        <f>IFERROR(RIGHT(O787, LEN(O787)-FIND(",", O787, FIND(",", O787)+1)-1), "")</f>
        <v/>
      </c>
      <c r="S787" s="35" t="str" cm="1">
        <f t="array" ref="S787">_xlfn.TEXTJOIN(", ",TRUE,_xlfn._xlws.FILTER(Tabla29[[#All],[PARTE]],ISNUMBER(SEARCH(Tabla29[[#All],[PCLAVE3]],Tabla8[[#This Row],[DESCRIPCION DE TRABAJO]])),""))</f>
        <v>Filtracion, Sustitucion</v>
      </c>
      <c r="T787" s="34" t="str">
        <f>IF(AND(Tabla8[[#This Row],[PIEZA]]="",Tabla8[[#This Row],[PARTE]]=""),"VACIO","OK")</f>
        <v>OK</v>
      </c>
      <c r="U787" s="303" t="str">
        <f>+CONCATENATE(WEEKNUM(Tabla8[[#This Row],[FECHA]]),"-",YEAR(Tabla8[[#This Row],[FECHA]]))</f>
        <v>15-2026</v>
      </c>
    </row>
    <row r="788" spans="1:21" ht="15" customHeight="1">
      <c r="A788" s="22">
        <v>46118</v>
      </c>
      <c r="B788" s="16" t="s">
        <v>131</v>
      </c>
      <c r="C788" s="10" t="s">
        <v>39</v>
      </c>
      <c r="D788" s="381" t="s">
        <v>1604</v>
      </c>
      <c r="E788" s="381" t="s">
        <v>1605</v>
      </c>
      <c r="F788" s="380">
        <f>+MOD(Tabla8[[#This Row],[HR. FIN]]-Tabla8[[#This Row],[HR. INICIO]],1)</f>
        <v>1.4583333333333393E-2</v>
      </c>
      <c r="G788" s="16" t="s">
        <v>238</v>
      </c>
      <c r="H788" s="343" t="str">
        <f>IFERROR(VLOOKUP(G788,DATOS!$M$2:$N$219,2,FALSE),"")</f>
        <v>Maquinaria</v>
      </c>
      <c r="I788" s="115" t="s">
        <v>54</v>
      </c>
      <c r="J788" s="115" t="str">
        <f>+VLOOKUP($I788,Tabla7[#All],2,FALSE)</f>
        <v>PROGRAMADA</v>
      </c>
      <c r="K788" s="114" t="str">
        <f>IF(VLOOKUP(I788,Tabla7[#All],3,FALSE)=0,"",VLOOKUP(I788,Tabla7[#All],3,FALSE))</f>
        <v/>
      </c>
      <c r="L788" s="35" t="s">
        <v>1606</v>
      </c>
      <c r="M788" s="35" t="s">
        <v>121</v>
      </c>
      <c r="N788" s="35" t="str" cm="1">
        <f t="array" ref="N788">IFERROR(IF(Tabla8[[#This Row],[P/NP]]="NO PROGRAMADA","",_xlfn.TEXTJOIN(", ",TRUE,_xlfn._xlws.FILTER(Tabla4[[#All],[PIEZA]],ISNUMBER(SEARCH(Tabla4[[#All],[PCLAVE]],Tabla8[[#This Row],[DESCRIPCION DE TRABAJO]])),""))),"")</f>
        <v/>
      </c>
      <c r="O788" s="35" t="str" cm="1">
        <f t="array" ref="O788">_xlfn.TEXTJOIN(", ",TRUE,_xlfn._xlws.FILTER(Tabla28[[#All],[PARTE]],ISNUMBER(SEARCH(Tabla28[[#All],[PCLAVE2]],Tabla8[[#This Row],[DESCRIPCION DE TRABAJO]])),""))</f>
        <v/>
      </c>
      <c r="P788" s="303" t="str">
        <f>IFERROR(LEFT(O788, FIND(",", O788)-1), O788)</f>
        <v/>
      </c>
      <c r="Q788" s="303" t="str">
        <f>IFERROR(IF(ISERROR(FIND(",", O788, FIND(",", O788)+1)), RIGHT(O788, LEN(O788)-FIND(",", O788)-1), MID(O788, FIND(",", O788)+2, FIND(",", O788, FIND(",", O788)+1)-FIND(",", O788)-2)), "")</f>
        <v/>
      </c>
      <c r="R788" s="303" t="str">
        <f>IFERROR(RIGHT(O788, LEN(O788)-FIND(",", O788, FIND(",", O788)+1)-1), "")</f>
        <v/>
      </c>
      <c r="S788" s="35" t="str" cm="1">
        <f t="array" ref="S788">_xlfn.TEXTJOIN(", ",TRUE,_xlfn._xlws.FILTER(Tabla29[[#All],[PARTE]],ISNUMBER(SEARCH(Tabla29[[#All],[PCLAVE3]],Tabla8[[#This Row],[DESCRIPCION DE TRABAJO]])),""))</f>
        <v/>
      </c>
      <c r="T788" s="34" t="str">
        <f>IF(AND(Tabla8[[#This Row],[PIEZA]]="",Tabla8[[#This Row],[PARTE]]=""),"VACIO","OK")</f>
        <v>VACIO</v>
      </c>
      <c r="U788" s="303" t="str">
        <f>+CONCATENATE(WEEKNUM(Tabla8[[#This Row],[FECHA]]),"-",YEAR(Tabla8[[#This Row],[FECHA]]))</f>
        <v>15-2026</v>
      </c>
    </row>
    <row r="789" spans="1:21" ht="15" customHeight="1">
      <c r="A789" s="22">
        <v>46118</v>
      </c>
      <c r="B789" s="16" t="s">
        <v>191</v>
      </c>
      <c r="C789" s="10" t="s">
        <v>36</v>
      </c>
      <c r="D789" s="381" t="s">
        <v>1607</v>
      </c>
      <c r="E789" s="381" t="s">
        <v>1608</v>
      </c>
      <c r="F789" s="380">
        <f>+MOD(Tabla8[[#This Row],[HR. FIN]]-Tabla8[[#This Row],[HR. INICIO]],1)</f>
        <v>1.4583333333333337E-2</v>
      </c>
      <c r="G789" s="16" t="s">
        <v>236</v>
      </c>
      <c r="H789" s="343" t="str">
        <f>IFERROR(VLOOKUP(G789,DATOS!$M$2:$N$219,2,FALSE),"")</f>
        <v>Sistema</v>
      </c>
      <c r="I789" s="115" t="s">
        <v>405</v>
      </c>
      <c r="J789" s="115" t="s">
        <v>92</v>
      </c>
      <c r="K789" s="114" t="s">
        <v>93</v>
      </c>
      <c r="L789" s="35" t="s">
        <v>1609</v>
      </c>
      <c r="M789" s="35" t="s">
        <v>1610</v>
      </c>
      <c r="N789" s="35" t="str" cm="1">
        <f t="array" ref="N789">IFERROR(IF(Tabla8[[#This Row],[P/NP]]="NO PROGRAMADA","",_xlfn.TEXTJOIN(", ",TRUE,_xlfn._xlws.FILTER(Tabla4[[#All],[PIEZA]],ISNUMBER(SEARCH(Tabla4[[#All],[PCLAVE]],Tabla8[[#This Row],[DESCRIPCION DE TRABAJO]])),""))),"")</f>
        <v/>
      </c>
      <c r="O789" s="35" t="str" cm="1">
        <f t="array" ref="O789">_xlfn.TEXTJOIN(", ",TRUE,_xlfn._xlws.FILTER(Tabla28[[#All],[PARTE]],ISNUMBER(SEARCH(Tabla28[[#All],[PCLAVE2]],Tabla8[[#This Row],[DESCRIPCION DE TRABAJO]])),""))</f>
        <v/>
      </c>
      <c r="P789" s="303" t="str">
        <f>IFERROR(LEFT(O789, FIND(",", O789)-1), O789)</f>
        <v/>
      </c>
      <c r="Q789" s="303" t="str">
        <f>IFERROR(IF(ISERROR(FIND(",", O789, FIND(",", O789)+1)), RIGHT(O789, LEN(O789)-FIND(",", O789)-1), MID(O789, FIND(",", O789)+2, FIND(",", O789, FIND(",", O789)+1)-FIND(",", O789)-2)), "")</f>
        <v/>
      </c>
      <c r="R789" s="303" t="str">
        <f>IFERROR(RIGHT(O789, LEN(O789)-FIND(",", O789, FIND(",", O789)+1)-1), "")</f>
        <v/>
      </c>
      <c r="S789" s="35" t="str" cm="1">
        <f t="array" ref="S789">_xlfn.TEXTJOIN(", ",TRUE,_xlfn._xlws.FILTER(Tabla29[[#All],[PARTE]],ISNUMBER(SEARCH(Tabla29[[#All],[PCLAVE3]],Tabla8[[#This Row],[DESCRIPCION DE TRABAJO]])),""))</f>
        <v>Se Tapo</v>
      </c>
      <c r="T789" s="34" t="str">
        <f>IF(AND(Tabla8[[#This Row],[PIEZA]]="",Tabla8[[#This Row],[PARTE]]=""),"VACIO","OK")</f>
        <v>VACIO</v>
      </c>
      <c r="U789" s="303" t="str">
        <f>+CONCATENATE(WEEKNUM(Tabla8[[#This Row],[FECHA]]),"-",YEAR(Tabla8[[#This Row],[FECHA]]))</f>
        <v>15-2026</v>
      </c>
    </row>
    <row r="790" spans="1:21" ht="15" customHeight="1">
      <c r="A790" s="22">
        <v>46118</v>
      </c>
      <c r="B790" s="16" t="s">
        <v>88</v>
      </c>
      <c r="C790" s="10" t="s">
        <v>36</v>
      </c>
      <c r="D790" s="381" t="s">
        <v>636</v>
      </c>
      <c r="E790" s="381" t="s">
        <v>123</v>
      </c>
      <c r="F790" s="380">
        <f>+MOD(Tabla8[[#This Row],[HR. FIN]]-Tabla8[[#This Row],[HR. INICIO]],1)</f>
        <v>1.3888888888888895E-2</v>
      </c>
      <c r="G790" s="16" t="s">
        <v>331</v>
      </c>
      <c r="H790" s="343" t="str">
        <f>IFERROR(VLOOKUP(G790,DATOS!$M$2:$N$219,2,FALSE),"")</f>
        <v>Maquinaria</v>
      </c>
      <c r="I790" s="115" t="s">
        <v>32</v>
      </c>
      <c r="J790" s="115" t="str">
        <f>+VLOOKUP($I790,Tabla7[#All],2,FALSE)</f>
        <v>PROGRAMADA</v>
      </c>
      <c r="K790" s="114" t="str">
        <f>IF(VLOOKUP(I790,Tabla7[#All],3,FALSE)=0,"",VLOOKUP(I790,Tabla7[#All],3,FALSE))</f>
        <v/>
      </c>
      <c r="L790" s="35" t="s">
        <v>1168</v>
      </c>
      <c r="M790" s="35" t="s">
        <v>1166</v>
      </c>
      <c r="N790" s="35" t="str" cm="1">
        <f t="array" ref="N790">IFERROR(IF(Tabla8[[#This Row],[P/NP]]="NO PROGRAMADA","",_xlfn.TEXTJOIN(", ",TRUE,_xlfn._xlws.FILTER(Tabla4[[#All],[PIEZA]],ISNUMBER(SEARCH(Tabla4[[#All],[PCLAVE]],Tabla8[[#This Row],[DESCRIPCION DE TRABAJO]])),""))),"")</f>
        <v/>
      </c>
      <c r="O790" s="35" t="str" cm="1">
        <f t="array" ref="O790">_xlfn.TEXTJOIN(", ",TRUE,_xlfn._xlws.FILTER(Tabla28[[#All],[PARTE]],ISNUMBER(SEARCH(Tabla28[[#All],[PCLAVE2]],Tabla8[[#This Row],[DESCRIPCION DE TRABAJO]])),""))</f>
        <v/>
      </c>
      <c r="P790" s="303" t="str">
        <f>IFERROR(LEFT(O790, FIND(",", O790)-1), O790)</f>
        <v/>
      </c>
      <c r="Q790" s="303" t="str">
        <f>IFERROR(IF(ISERROR(FIND(",", O790, FIND(",", O790)+1)), RIGHT(O790, LEN(O790)-FIND(",", O790)-1), MID(O790, FIND(",", O790)+2, FIND(",", O790, FIND(",", O790)+1)-FIND(",", O790)-2)), "")</f>
        <v/>
      </c>
      <c r="R790" s="303" t="str">
        <f>IFERROR(RIGHT(O790, LEN(O790)-FIND(",", O790, FIND(",", O790)+1)-1), "")</f>
        <v/>
      </c>
      <c r="S790" s="35" t="str" cm="1">
        <f t="array" ref="S790">_xlfn.TEXTJOIN(", ",TRUE,_xlfn._xlws.FILTER(Tabla29[[#All],[PARTE]],ISNUMBER(SEARCH(Tabla29[[#All],[PCLAVE3]],Tabla8[[#This Row],[DESCRIPCION DE TRABAJO]])),""))</f>
        <v/>
      </c>
      <c r="T790" s="34" t="str">
        <f>IF(AND(Tabla8[[#This Row],[PIEZA]]="",Tabla8[[#This Row],[PARTE]]=""),"VACIO","OK")</f>
        <v>VACIO</v>
      </c>
      <c r="U790" s="303" t="str">
        <f>+CONCATENATE(WEEKNUM(Tabla8[[#This Row],[FECHA]]),"-",YEAR(Tabla8[[#This Row],[FECHA]]))</f>
        <v>15-2026</v>
      </c>
    </row>
    <row r="791" spans="1:21" ht="15" customHeight="1">
      <c r="A791" s="22">
        <v>46118</v>
      </c>
      <c r="B791" s="16" t="s">
        <v>191</v>
      </c>
      <c r="C791" s="10" t="s">
        <v>36</v>
      </c>
      <c r="D791" s="381" t="s">
        <v>1611</v>
      </c>
      <c r="E791" s="381" t="s">
        <v>1612</v>
      </c>
      <c r="F791" s="380">
        <f>+MOD(Tabla8[[#This Row],[HR. FIN]]-Tabla8[[#This Row],[HR. INICIO]],1)</f>
        <v>1.3888888888888895E-2</v>
      </c>
      <c r="G791" s="16" t="s">
        <v>1243</v>
      </c>
      <c r="H791" s="343" t="str">
        <f>IFERROR(VLOOKUP(G791,DATOS!$M$2:$N$219,2,FALSE),"")</f>
        <v>Sistema</v>
      </c>
      <c r="I791" s="115" t="s">
        <v>405</v>
      </c>
      <c r="J791" s="115" t="str">
        <f>+VLOOKUP($I791,Tabla7[#All],2,FALSE)</f>
        <v>PROGRAMADA</v>
      </c>
      <c r="K791" s="114" t="str">
        <f>IF(VLOOKUP(I791,Tabla7[#All],3,FALSE)=0,"",VLOOKUP(I791,Tabla7[#All],3,FALSE))</f>
        <v/>
      </c>
      <c r="L791" s="35" t="s">
        <v>1613</v>
      </c>
      <c r="M791" s="35" t="s">
        <v>1614</v>
      </c>
      <c r="N791" s="35" t="str" cm="1">
        <f t="array" ref="N791">IFERROR(IF(Tabla8[[#This Row],[P/NP]]="NO PROGRAMADA","",_xlfn.TEXTJOIN(", ",TRUE,_xlfn._xlws.FILTER(Tabla4[[#All],[PIEZA]],ISNUMBER(SEARCH(Tabla4[[#All],[PCLAVE]],Tabla8[[#This Row],[DESCRIPCION DE TRABAJO]])),""))),"")</f>
        <v/>
      </c>
      <c r="O791" s="35" t="str" cm="1">
        <f t="array" ref="O791">_xlfn.TEXTJOIN(", ",TRUE,_xlfn._xlws.FILTER(Tabla28[[#All],[PARTE]],ISNUMBER(SEARCH(Tabla28[[#All],[PCLAVE2]],Tabla8[[#This Row],[DESCRIPCION DE TRABAJO]])),""))</f>
        <v/>
      </c>
      <c r="P791" s="303" t="str">
        <f>IFERROR(LEFT(O791, FIND(",", O791)-1), O791)</f>
        <v/>
      </c>
      <c r="Q791" s="303" t="str">
        <f>IFERROR(IF(ISERROR(FIND(",", O791, FIND(",", O791)+1)), RIGHT(O791, LEN(O791)-FIND(",", O791)-1), MID(O791, FIND(",", O791)+2, FIND(",", O791, FIND(",", O791)+1)-FIND(",", O791)-2)), "")</f>
        <v/>
      </c>
      <c r="R791" s="303" t="str">
        <f>IFERROR(RIGHT(O791, LEN(O791)-FIND(",", O791, FIND(",", O791)+1)-1), "")</f>
        <v/>
      </c>
      <c r="S791" s="35" t="str" cm="1">
        <f t="array" ref="S791">_xlfn.TEXTJOIN(", ",TRUE,_xlfn._xlws.FILTER(Tabla29[[#All],[PARTE]],ISNUMBER(SEARCH(Tabla29[[#All],[PCLAVE3]],Tabla8[[#This Row],[DESCRIPCION DE TRABAJO]])),""))</f>
        <v>Bajo Nivel, Nivel</v>
      </c>
      <c r="T791" s="34" t="str">
        <f>IF(AND(Tabla8[[#This Row],[PIEZA]]="",Tabla8[[#This Row],[PARTE]]=""),"VACIO","OK")</f>
        <v>VACIO</v>
      </c>
      <c r="U791" s="303" t="str">
        <f>+CONCATENATE(WEEKNUM(Tabla8[[#This Row],[FECHA]]),"-",YEAR(Tabla8[[#This Row],[FECHA]]))</f>
        <v>15-2026</v>
      </c>
    </row>
    <row r="792" spans="1:21" ht="15" customHeight="1">
      <c r="A792" s="22">
        <v>46118</v>
      </c>
      <c r="B792" s="16" t="s">
        <v>88</v>
      </c>
      <c r="C792" s="10" t="s">
        <v>36</v>
      </c>
      <c r="D792" s="381" t="s">
        <v>106</v>
      </c>
      <c r="E792" s="381" t="s">
        <v>468</v>
      </c>
      <c r="F792" s="380">
        <f>+MOD(Tabla8[[#This Row],[HR. FIN]]-Tabla8[[#This Row],[HR. INICIO]],1)</f>
        <v>1.388888888888884E-2</v>
      </c>
      <c r="G792" s="16" t="s">
        <v>793</v>
      </c>
      <c r="H792" s="343" t="str">
        <f>IFERROR(VLOOKUP(G792,DATOS!$M$2:$N$219,2,FALSE),"")</f>
        <v>Maquinaria</v>
      </c>
      <c r="I792" s="115" t="s">
        <v>1615</v>
      </c>
      <c r="J792" s="115" t="str">
        <f>+VLOOKUP($I792,Tabla7[#All],2,FALSE)</f>
        <v>PROGRAMADA</v>
      </c>
      <c r="K792" s="114" t="str">
        <f>IF(VLOOKUP(I792,Tabla7[#All],3,FALSE)=0,"",VLOOKUP(I792,Tabla7[#All],3,FALSE))</f>
        <v/>
      </c>
      <c r="L792" s="35" t="s">
        <v>1616</v>
      </c>
      <c r="M792" s="35" t="s">
        <v>1617</v>
      </c>
      <c r="N792" s="35" t="str" cm="1">
        <f t="array" ref="N792">IFERROR(IF(Tabla8[[#This Row],[P/NP]]="NO PROGRAMADA","",_xlfn.TEXTJOIN(", ",TRUE,_xlfn._xlws.FILTER(Tabla4[[#All],[PIEZA]],ISNUMBER(SEARCH(Tabla4[[#All],[PCLAVE]],Tabla8[[#This Row],[DESCRIPCION DE TRABAJO]])),""))),"")</f>
        <v>Banda</v>
      </c>
      <c r="O792" s="35" t="str" cm="1">
        <f t="array" ref="O792">_xlfn.TEXTJOIN(", ",TRUE,_xlfn._xlws.FILTER(Tabla28[[#All],[PARTE]],ISNUMBER(SEARCH(Tabla28[[#All],[PCLAVE2]],Tabla8[[#This Row],[DESCRIPCION DE TRABAJO]])),""))</f>
        <v/>
      </c>
      <c r="P792" s="303" t="str">
        <f>IFERROR(LEFT(O792, FIND(",", O792)-1), O792)</f>
        <v/>
      </c>
      <c r="Q792" s="303" t="str">
        <f>IFERROR(IF(ISERROR(FIND(",", O792, FIND(",", O792)+1)), RIGHT(O792, LEN(O792)-FIND(",", O792)-1), MID(O792, FIND(",", O792)+2, FIND(",", O792, FIND(",", O792)+1)-FIND(",", O792)-2)), "")</f>
        <v/>
      </c>
      <c r="R792" s="303" t="str">
        <f>IFERROR(RIGHT(O792, LEN(O792)-FIND(",", O792, FIND(",", O792)+1)-1), "")</f>
        <v/>
      </c>
      <c r="S792" s="35" t="str" cm="1">
        <f t="array" ref="S792">_xlfn.TEXTJOIN(", ",TRUE,_xlfn._xlws.FILTER(Tabla29[[#All],[PARTE]],ISNUMBER(SEARCH(Tabla29[[#All],[PCLAVE3]],Tabla8[[#This Row],[DESCRIPCION DE TRABAJO]])),""))</f>
        <v/>
      </c>
      <c r="T792" s="34" t="str">
        <f>IF(AND(Tabla8[[#This Row],[PIEZA]]="",Tabla8[[#This Row],[PARTE]]=""),"VACIO","OK")</f>
        <v>OK</v>
      </c>
      <c r="U792" s="303" t="str">
        <f>+CONCATENATE(WEEKNUM(Tabla8[[#This Row],[FECHA]]),"-",YEAR(Tabla8[[#This Row],[FECHA]]))</f>
        <v>15-2026</v>
      </c>
    </row>
    <row r="793" spans="1:21" ht="15" customHeight="1">
      <c r="A793" s="22">
        <v>46118</v>
      </c>
      <c r="B793" s="16" t="s">
        <v>131</v>
      </c>
      <c r="C793" s="10" t="s">
        <v>39</v>
      </c>
      <c r="D793" s="381" t="s">
        <v>1282</v>
      </c>
      <c r="E793" s="381" t="s">
        <v>660</v>
      </c>
      <c r="F793" s="380">
        <f>+MOD(Tabla8[[#This Row],[HR. FIN]]-Tabla8[[#This Row],[HR. INICIO]],1)</f>
        <v>1.388888888888884E-2</v>
      </c>
      <c r="G793" s="16" t="s">
        <v>438</v>
      </c>
      <c r="H793" s="343" t="str">
        <f>IFERROR(VLOOKUP(G793,DATOS!$M$2:$N$219,2,FALSE),"")</f>
        <v>Maquinaria</v>
      </c>
      <c r="I793" s="115" t="s">
        <v>28</v>
      </c>
      <c r="J793" s="115" t="str">
        <f>+VLOOKUP($I793,Tabla7[#All],2,FALSE)</f>
        <v>NO PROGRAMADA</v>
      </c>
      <c r="K793" s="114" t="s">
        <v>93</v>
      </c>
      <c r="L793" s="35" t="s">
        <v>1618</v>
      </c>
      <c r="M793" s="35" t="s">
        <v>1619</v>
      </c>
      <c r="N793" s="35" t="str" cm="1">
        <f t="array" ref="N793">IFERROR(IF(Tabla8[[#This Row],[P/NP]]="NO PROGRAMADA","",_xlfn.TEXTJOIN(", ",TRUE,_xlfn._xlws.FILTER(Tabla4[[#All],[PIEZA]],ISNUMBER(SEARCH(Tabla4[[#All],[PCLAVE]],Tabla8[[#This Row],[DESCRIPCION DE TRABAJO]])),""))),"")</f>
        <v/>
      </c>
      <c r="O793" s="35" t="str" cm="1">
        <f t="array" ref="O793">_xlfn.TEXTJOIN(", ",TRUE,_xlfn._xlws.FILTER(Tabla28[[#All],[PARTE]],ISNUMBER(SEARCH(Tabla28[[#All],[PCLAVE2]],Tabla8[[#This Row],[DESCRIPCION DE TRABAJO]])),""))</f>
        <v/>
      </c>
      <c r="P793" s="303" t="str">
        <f>IFERROR(LEFT(O793, FIND(",", O793)-1), O793)</f>
        <v/>
      </c>
      <c r="Q793" s="303" t="str">
        <f>IFERROR(IF(ISERROR(FIND(",", O793, FIND(",", O793)+1)), RIGHT(O793, LEN(O793)-FIND(",", O793)-1), MID(O793, FIND(",", O793)+2, FIND(",", O793, FIND(",", O793)+1)-FIND(",", O793)-2)), "")</f>
        <v/>
      </c>
      <c r="R793" s="303" t="str">
        <f>IFERROR(RIGHT(O793, LEN(O793)-FIND(",", O793, FIND(",", O793)+1)-1), "")</f>
        <v/>
      </c>
      <c r="S793" s="35" t="str" cm="1">
        <f t="array" ref="S793">_xlfn.TEXTJOIN(", ",TRUE,_xlfn._xlws.FILTER(Tabla29[[#All],[PARTE]],ISNUMBER(SEARCH(Tabla29[[#All],[PCLAVE3]],Tabla8[[#This Row],[DESCRIPCION DE TRABAJO]])),""))</f>
        <v>Calibracion, Temperatura</v>
      </c>
      <c r="T793" s="34" t="str">
        <f>IF(AND(Tabla8[[#This Row],[PIEZA]]="",Tabla8[[#This Row],[PARTE]]=""),"VACIO","OK")</f>
        <v>VACIO</v>
      </c>
      <c r="U793" s="303" t="str">
        <f>+CONCATENATE(WEEKNUM(Tabla8[[#This Row],[FECHA]]),"-",YEAR(Tabla8[[#This Row],[FECHA]]))</f>
        <v>15-2026</v>
      </c>
    </row>
    <row r="794" spans="1:21" ht="15" customHeight="1">
      <c r="A794" s="22">
        <v>46118</v>
      </c>
      <c r="B794" s="16" t="s">
        <v>131</v>
      </c>
      <c r="C794" s="10" t="s">
        <v>39</v>
      </c>
      <c r="D794" s="381" t="s">
        <v>1620</v>
      </c>
      <c r="E794" s="381" t="s">
        <v>1621</v>
      </c>
      <c r="F794" s="380">
        <f>+MOD(Tabla8[[#This Row],[HR. FIN]]-Tabla8[[#This Row],[HR. INICIO]],1)</f>
        <v>1.1111111111111072E-2</v>
      </c>
      <c r="G794" s="16" t="s">
        <v>438</v>
      </c>
      <c r="H794" s="343" t="str">
        <f>IFERROR(VLOOKUP(G794,DATOS!$M$2:$N$219,2,FALSE),"")</f>
        <v>Maquinaria</v>
      </c>
      <c r="I794" s="115" t="s">
        <v>245</v>
      </c>
      <c r="J794" s="115" t="str">
        <f>+VLOOKUP($I794,Tabla7[#All],2,FALSE)</f>
        <v>PROGRAMADA</v>
      </c>
      <c r="K794" s="114" t="str">
        <f>IF(VLOOKUP(I794,Tabla7[#All],3,FALSE)=0,"",VLOOKUP(I794,Tabla7[#All],3,FALSE))</f>
        <v/>
      </c>
      <c r="L794" s="35" t="s">
        <v>1622</v>
      </c>
      <c r="M794" s="35" t="s">
        <v>121</v>
      </c>
      <c r="N794" s="35" t="str" cm="1">
        <f t="array" ref="N794">IFERROR(IF(Tabla8[[#This Row],[P/NP]]="NO PROGRAMADA","",_xlfn.TEXTJOIN(", ",TRUE,_xlfn._xlws.FILTER(Tabla4[[#All],[PIEZA]],ISNUMBER(SEARCH(Tabla4[[#All],[PCLAVE]],Tabla8[[#This Row],[DESCRIPCION DE TRABAJO]])),""))),"")</f>
        <v>Cadena</v>
      </c>
      <c r="O794" s="35" t="str" cm="1">
        <f t="array" ref="O794">_xlfn.TEXTJOIN(", ",TRUE,_xlfn._xlws.FILTER(Tabla28[[#All],[PARTE]],ISNUMBER(SEARCH(Tabla28[[#All],[PCLAVE2]],Tabla8[[#This Row],[DESCRIPCION DE TRABAJO]])),""))</f>
        <v/>
      </c>
      <c r="P794" s="303" t="str">
        <f>IFERROR(LEFT(O794, FIND(",", O794)-1), O794)</f>
        <v/>
      </c>
      <c r="Q794" s="303" t="str">
        <f>IFERROR(IF(ISERROR(FIND(",", O794, FIND(",", O794)+1)), RIGHT(O794, LEN(O794)-FIND(",", O794)-1), MID(O794, FIND(",", O794)+2, FIND(",", O794, FIND(",", O794)+1)-FIND(",", O794)-2)), "")</f>
        <v/>
      </c>
      <c r="R794" s="303" t="str">
        <f>IFERROR(RIGHT(O794, LEN(O794)-FIND(",", O794, FIND(",", O794)+1)-1), "")</f>
        <v/>
      </c>
      <c r="S794" s="35" t="str" cm="1">
        <f t="array" ref="S794">_xlfn.TEXTJOIN(", ",TRUE,_xlfn._xlws.FILTER(Tabla29[[#All],[PARTE]],ISNUMBER(SEARCH(Tabla29[[#All],[PCLAVE3]],Tabla8[[#This Row],[DESCRIPCION DE TRABAJO]])),""))</f>
        <v>Lubricacion</v>
      </c>
      <c r="T794" s="34" t="str">
        <f>IF(AND(Tabla8[[#This Row],[PIEZA]]="",Tabla8[[#This Row],[PARTE]]=""),"VACIO","OK")</f>
        <v>OK</v>
      </c>
      <c r="U794" s="303" t="str">
        <f>+CONCATENATE(WEEKNUM(Tabla8[[#This Row],[FECHA]]),"-",YEAR(Tabla8[[#This Row],[FECHA]]))</f>
        <v>15-2026</v>
      </c>
    </row>
    <row r="795" spans="1:21" ht="15" customHeight="1">
      <c r="A795" s="22">
        <v>46118</v>
      </c>
      <c r="B795" s="16" t="s">
        <v>88</v>
      </c>
      <c r="C795" s="10" t="s">
        <v>36</v>
      </c>
      <c r="D795" s="381" t="s">
        <v>1529</v>
      </c>
      <c r="E795" s="381" t="s">
        <v>556</v>
      </c>
      <c r="F795" s="380">
        <f>+MOD(Tabla8[[#This Row],[HR. FIN]]-Tabla8[[#This Row],[HR. INICIO]],1)</f>
        <v>1.0416666666666685E-2</v>
      </c>
      <c r="G795" s="16" t="s">
        <v>833</v>
      </c>
      <c r="H795" s="343" t="str">
        <f>IFERROR(VLOOKUP(G795,DATOS!$M$2:$N$219,2,FALSE),"")</f>
        <v>Area</v>
      </c>
      <c r="I795" s="115" t="s">
        <v>32</v>
      </c>
      <c r="J795" s="115" t="str">
        <f>+VLOOKUP($I795,Tabla7[#All],2,FALSE)</f>
        <v>PROGRAMADA</v>
      </c>
      <c r="K795" s="114" t="str">
        <f>IF(VLOOKUP(I795,Tabla7[#All],3,FALSE)=0,"",VLOOKUP(I795,Tabla7[#All],3,FALSE))</f>
        <v/>
      </c>
      <c r="L795" s="35" t="s">
        <v>1623</v>
      </c>
      <c r="M795" s="35" t="s">
        <v>1624</v>
      </c>
      <c r="N795" s="35" t="str" cm="1">
        <f t="array" ref="N795">IFERROR(IF(Tabla8[[#This Row],[P/NP]]="NO PROGRAMADA","",_xlfn.TEXTJOIN(", ",TRUE,_xlfn._xlws.FILTER(Tabla4[[#All],[PIEZA]],ISNUMBER(SEARCH(Tabla4[[#All],[PCLAVE]],Tabla8[[#This Row],[DESCRIPCION DE TRABAJO]])),""))),"")</f>
        <v>Ventilador</v>
      </c>
      <c r="O795" s="35" t="str" cm="1">
        <f t="array" ref="O795">_xlfn.TEXTJOIN(", ",TRUE,_xlfn._xlws.FILTER(Tabla28[[#All],[PARTE]],ISNUMBER(SEARCH(Tabla28[[#All],[PCLAVE2]],Tabla8[[#This Row],[DESCRIPCION DE TRABAJO]])),""))</f>
        <v/>
      </c>
      <c r="P795" s="303" t="str">
        <f>IFERROR(LEFT(O795, FIND(",", O795)-1), O795)</f>
        <v/>
      </c>
      <c r="Q795" s="303" t="str">
        <f>IFERROR(IF(ISERROR(FIND(",", O795, FIND(",", O795)+1)), RIGHT(O795, LEN(O795)-FIND(",", O795)-1), MID(O795, FIND(",", O795)+2, FIND(",", O795, FIND(",", O795)+1)-FIND(",", O795)-2)), "")</f>
        <v/>
      </c>
      <c r="R795" s="303" t="str">
        <f>IFERROR(RIGHT(O795, LEN(O795)-FIND(",", O795, FIND(",", O795)+1)-1), "")</f>
        <v/>
      </c>
      <c r="S795" s="35" t="str" cm="1">
        <f t="array" ref="S795">_xlfn.TEXTJOIN(", ",TRUE,_xlfn._xlws.FILTER(Tabla29[[#All],[PARTE]],ISNUMBER(SEARCH(Tabla29[[#All],[PCLAVE3]],Tabla8[[#This Row],[DESCRIPCION DE TRABAJO]])),""))</f>
        <v>Sustitucion</v>
      </c>
      <c r="T795" s="34" t="str">
        <f>IF(AND(Tabla8[[#This Row],[PIEZA]]="",Tabla8[[#This Row],[PARTE]]=""),"VACIO","OK")</f>
        <v>OK</v>
      </c>
      <c r="U795" s="303" t="str">
        <f>+CONCATENATE(WEEKNUM(Tabla8[[#This Row],[FECHA]]),"-",YEAR(Tabla8[[#This Row],[FECHA]]))</f>
        <v>15-2026</v>
      </c>
    </row>
    <row r="796" spans="1:21" ht="15" customHeight="1">
      <c r="A796" s="22">
        <v>46118</v>
      </c>
      <c r="B796" s="16" t="s">
        <v>88</v>
      </c>
      <c r="C796" s="10" t="s">
        <v>36</v>
      </c>
      <c r="D796" s="381" t="s">
        <v>523</v>
      </c>
      <c r="E796" s="381" t="s">
        <v>670</v>
      </c>
      <c r="F796" s="380">
        <f>+MOD(Tabla8[[#This Row],[HR. FIN]]-Tabla8[[#This Row],[HR. INICIO]],1)</f>
        <v>1.0416666666666685E-2</v>
      </c>
      <c r="G796" s="16" t="s">
        <v>690</v>
      </c>
      <c r="H796" s="343" t="str">
        <f>IFERROR(VLOOKUP(G796,DATOS!$M$2:$N$219,2,FALSE),"")</f>
        <v>Equipos auxiliares</v>
      </c>
      <c r="I796" s="115" t="s">
        <v>61</v>
      </c>
      <c r="J796" s="115" t="s">
        <v>92</v>
      </c>
      <c r="K796" s="114" t="s">
        <v>93</v>
      </c>
      <c r="L796" s="35" t="s">
        <v>1625</v>
      </c>
      <c r="M796" s="35" t="s">
        <v>1626</v>
      </c>
      <c r="N796" s="35" t="str" cm="1">
        <f t="array" ref="N796">IFERROR(IF(Tabla8[[#This Row],[P/NP]]="NO PROGRAMADA","",_xlfn.TEXTJOIN(", ",TRUE,_xlfn._xlws.FILTER(Tabla4[[#All],[PIEZA]],ISNUMBER(SEARCH(Tabla4[[#All],[PCLAVE]],Tabla8[[#This Row],[DESCRIPCION DE TRABAJO]])),""))),"")</f>
        <v/>
      </c>
      <c r="O796" s="35" t="str" cm="1">
        <f t="array" ref="O796">_xlfn.TEXTJOIN(", ",TRUE,_xlfn._xlws.FILTER(Tabla28[[#All],[PARTE]],ISNUMBER(SEARCH(Tabla28[[#All],[PCLAVE2]],Tabla8[[#This Row],[DESCRIPCION DE TRABAJO]])),""))</f>
        <v/>
      </c>
      <c r="P796" s="303" t="str">
        <f>IFERROR(LEFT(O796, FIND(",", O796)-1), O796)</f>
        <v/>
      </c>
      <c r="Q796" s="303" t="str">
        <f>IFERROR(IF(ISERROR(FIND(",", O796, FIND(",", O796)+1)), RIGHT(O796, LEN(O796)-FIND(",", O796)-1), MID(O796, FIND(",", O796)+2, FIND(",", O796, FIND(",", O796)+1)-FIND(",", O796)-2)), "")</f>
        <v/>
      </c>
      <c r="R796" s="303" t="str">
        <f>IFERROR(RIGHT(O796, LEN(O796)-FIND(",", O796, FIND(",", O796)+1)-1), "")</f>
        <v/>
      </c>
      <c r="S796" s="35" t="str" cm="1">
        <f t="array" ref="S796">_xlfn.TEXTJOIN(", ",TRUE,_xlfn._xlws.FILTER(Tabla29[[#All],[PARTE]],ISNUMBER(SEARCH(Tabla29[[#All],[PCLAVE3]],Tabla8[[#This Row],[DESCRIPCION DE TRABAJO]])),""))</f>
        <v>Lento, Muy Lento, Obstruido</v>
      </c>
      <c r="T796" s="34" t="str">
        <f>IF(AND(Tabla8[[#This Row],[PIEZA]]="",Tabla8[[#This Row],[PARTE]]=""),"VACIO","OK")</f>
        <v>VACIO</v>
      </c>
      <c r="U796" s="303" t="str">
        <f>+CONCATENATE(WEEKNUM(Tabla8[[#This Row],[FECHA]]),"-",YEAR(Tabla8[[#This Row],[FECHA]]))</f>
        <v>15-2026</v>
      </c>
    </row>
    <row r="797" spans="1:21" ht="15" customHeight="1">
      <c r="A797" s="22">
        <v>46118</v>
      </c>
      <c r="B797" s="16" t="s">
        <v>191</v>
      </c>
      <c r="C797" s="10" t="s">
        <v>36</v>
      </c>
      <c r="D797" s="381" t="s">
        <v>1496</v>
      </c>
      <c r="E797" s="381" t="s">
        <v>1627</v>
      </c>
      <c r="F797" s="380">
        <f>+MOD(Tabla8[[#This Row],[HR. FIN]]-Tabla8[[#This Row],[HR. INICIO]],1)</f>
        <v>8.3333333333333592E-3</v>
      </c>
      <c r="G797" s="16" t="s">
        <v>238</v>
      </c>
      <c r="H797" s="343" t="str">
        <f>IFERROR(VLOOKUP(G797,DATOS!$M$2:$N$219,2,FALSE),"")</f>
        <v>Maquinaria</v>
      </c>
      <c r="I797" s="115" t="s">
        <v>32</v>
      </c>
      <c r="J797" s="115" t="s">
        <v>92</v>
      </c>
      <c r="K797" s="114" t="s">
        <v>148</v>
      </c>
      <c r="L797" s="35" t="s">
        <v>1628</v>
      </c>
      <c r="M797" s="35" t="s">
        <v>1629</v>
      </c>
      <c r="N797" s="35" t="str" cm="1">
        <f t="array" ref="N797">IFERROR(IF(Tabla8[[#This Row],[P/NP]]="NO PROGRAMADA","",_xlfn.TEXTJOIN(", ",TRUE,_xlfn._xlws.FILTER(Tabla4[[#All],[PIEZA]],ISNUMBER(SEARCH(Tabla4[[#All],[PCLAVE]],Tabla8[[#This Row],[DESCRIPCION DE TRABAJO]])),""))),"")</f>
        <v/>
      </c>
      <c r="O797" s="35" t="str" cm="1">
        <f t="array" ref="O797">_xlfn.TEXTJOIN(", ",TRUE,_xlfn._xlws.FILTER(Tabla28[[#All],[PARTE]],ISNUMBER(SEARCH(Tabla28[[#All],[PCLAVE2]],Tabla8[[#This Row],[DESCRIPCION DE TRABAJO]])),""))</f>
        <v/>
      </c>
      <c r="P797" s="303" t="str">
        <f>IFERROR(LEFT(O797, FIND(",", O797)-1), O797)</f>
        <v/>
      </c>
      <c r="Q797" s="303" t="str">
        <f>IFERROR(IF(ISERROR(FIND(",", O797, FIND(",", O797)+1)), RIGHT(O797, LEN(O797)-FIND(",", O797)-1), MID(O797, FIND(",", O797)+2, FIND(",", O797, FIND(",", O797)+1)-FIND(",", O797)-2)), "")</f>
        <v/>
      </c>
      <c r="R797" s="303" t="str">
        <f>IFERROR(RIGHT(O797, LEN(O797)-FIND(",", O797, FIND(",", O797)+1)-1), "")</f>
        <v/>
      </c>
      <c r="S797" s="35" t="str" cm="1">
        <f t="array" ref="S797">_xlfn.TEXTJOIN(", ",TRUE,_xlfn._xlws.FILTER(Tabla29[[#All],[PARTE]],ISNUMBER(SEARCH(Tabla29[[#All],[PCLAVE3]],Tabla8[[#This Row],[DESCRIPCION DE TRABAJO]])),""))</f>
        <v>Apagado, Seco</v>
      </c>
      <c r="T797" s="34" t="str">
        <f>IF(AND(Tabla8[[#This Row],[PIEZA]]="",Tabla8[[#This Row],[PARTE]]=""),"VACIO","OK")</f>
        <v>VACIO</v>
      </c>
      <c r="U797" s="303" t="str">
        <f>+CONCATENATE(WEEKNUM(Tabla8[[#This Row],[FECHA]]),"-",YEAR(Tabla8[[#This Row],[FECHA]]))</f>
        <v>15-2026</v>
      </c>
    </row>
    <row r="798" spans="1:21" ht="15" customHeight="1">
      <c r="A798" s="22">
        <v>46118</v>
      </c>
      <c r="B798" s="16" t="s">
        <v>131</v>
      </c>
      <c r="C798" s="10" t="s">
        <v>39</v>
      </c>
      <c r="D798" s="381" t="s">
        <v>113</v>
      </c>
      <c r="E798" s="381" t="s">
        <v>1630</v>
      </c>
      <c r="F798" s="380">
        <f>+MOD(Tabla8[[#This Row],[HR. FIN]]-Tabla8[[#This Row],[HR. INICIO]],1)</f>
        <v>8.3333333333333315E-3</v>
      </c>
      <c r="G798" s="16" t="s">
        <v>236</v>
      </c>
      <c r="H798" s="343" t="str">
        <f>IFERROR(VLOOKUP(G798,DATOS!$M$2:$N$219,2,FALSE),"")</f>
        <v>Sistema</v>
      </c>
      <c r="I798" s="115" t="s">
        <v>54</v>
      </c>
      <c r="J798" s="115" t="str">
        <f>+VLOOKUP($I798,Tabla7[#All],2,FALSE)</f>
        <v>PROGRAMADA</v>
      </c>
      <c r="K798" s="114" t="str">
        <f>IF(VLOOKUP(I798,Tabla7[#All],3,FALSE)=0,"",VLOOKUP(I798,Tabla7[#All],3,FALSE))</f>
        <v/>
      </c>
      <c r="L798" s="35" t="s">
        <v>1631</v>
      </c>
      <c r="M798" s="35" t="s">
        <v>121</v>
      </c>
      <c r="N798" s="35" t="str" cm="1">
        <f t="array" ref="N798">IFERROR(IF(Tabla8[[#This Row],[P/NP]]="NO PROGRAMADA","",_xlfn.TEXTJOIN(", ",TRUE,_xlfn._xlws.FILTER(Tabla4[[#All],[PIEZA]],ISNUMBER(SEARCH(Tabla4[[#All],[PCLAVE]],Tabla8[[#This Row],[DESCRIPCION DE TRABAJO]])),""))),"")</f>
        <v/>
      </c>
      <c r="O798" s="35" t="str" cm="1">
        <f t="array" ref="O798">_xlfn.TEXTJOIN(", ",TRUE,_xlfn._xlws.FILTER(Tabla28[[#All],[PARTE]],ISNUMBER(SEARCH(Tabla28[[#All],[PCLAVE2]],Tabla8[[#This Row],[DESCRIPCION DE TRABAJO]])),""))</f>
        <v/>
      </c>
      <c r="P798" s="303" t="str">
        <f>IFERROR(LEFT(O798, FIND(",", O798)-1), O798)</f>
        <v/>
      </c>
      <c r="Q798" s="303" t="str">
        <f>IFERROR(IF(ISERROR(FIND(",", O798, FIND(",", O798)+1)), RIGHT(O798, LEN(O798)-FIND(",", O798)-1), MID(O798, FIND(",", O798)+2, FIND(",", O798, FIND(",", O798)+1)-FIND(",", O798)-2)), "")</f>
        <v/>
      </c>
      <c r="R798" s="303" t="str">
        <f>IFERROR(RIGHT(O798, LEN(O798)-FIND(",", O798, FIND(",", O798)+1)-1), "")</f>
        <v/>
      </c>
      <c r="S798" s="35" t="str" cm="1">
        <f t="array" ref="S798">_xlfn.TEXTJOIN(", ",TRUE,_xlfn._xlws.FILTER(Tabla29[[#All],[PARTE]],ISNUMBER(SEARCH(Tabla29[[#All],[PCLAVE3]],Tabla8[[#This Row],[DESCRIPCION DE TRABAJO]])),""))</f>
        <v>Nivel</v>
      </c>
      <c r="T798" s="34" t="str">
        <f>IF(AND(Tabla8[[#This Row],[PIEZA]]="",Tabla8[[#This Row],[PARTE]]=""),"VACIO","OK")</f>
        <v>VACIO</v>
      </c>
      <c r="U798" s="303" t="str">
        <f>+CONCATENATE(WEEKNUM(Tabla8[[#This Row],[FECHA]]),"-",YEAR(Tabla8[[#This Row],[FECHA]]))</f>
        <v>15-2026</v>
      </c>
    </row>
    <row r="799" spans="1:21" ht="15" customHeight="1">
      <c r="A799" s="22">
        <v>46118</v>
      </c>
      <c r="B799" s="16" t="s">
        <v>191</v>
      </c>
      <c r="C799" s="10" t="s">
        <v>36</v>
      </c>
      <c r="D799" s="381" t="s">
        <v>1632</v>
      </c>
      <c r="E799" s="381" t="s">
        <v>1633</v>
      </c>
      <c r="F799" s="380">
        <f>+MOD(Tabla8[[#This Row],[HR. FIN]]-Tabla8[[#This Row],[HR. INICIO]],1)</f>
        <v>8.3333333333333037E-3</v>
      </c>
      <c r="G799" s="16" t="s">
        <v>153</v>
      </c>
      <c r="H799" s="343" t="str">
        <f>IFERROR(VLOOKUP(G799,DATOS!$M$2:$N$219,2,FALSE),"")</f>
        <v>Maquinaria</v>
      </c>
      <c r="I799" s="115" t="s">
        <v>32</v>
      </c>
      <c r="J799" s="115" t="str">
        <f>+VLOOKUP($I799,Tabla7[#All],2,FALSE)</f>
        <v>PROGRAMADA</v>
      </c>
      <c r="K799" s="114" t="str">
        <f>IF(VLOOKUP(I799,Tabla7[#All],3,FALSE)=0,"",VLOOKUP(I799,Tabla7[#All],3,FALSE))</f>
        <v/>
      </c>
      <c r="L799" s="35" t="s">
        <v>1634</v>
      </c>
      <c r="M799" s="35" t="s">
        <v>121</v>
      </c>
      <c r="N799" s="35" t="str" cm="1">
        <f t="array" ref="N799">IFERROR(IF(Tabla8[[#This Row],[P/NP]]="NO PROGRAMADA","",_xlfn.TEXTJOIN(", ",TRUE,_xlfn._xlws.FILTER(Tabla4[[#All],[PIEZA]],ISNUMBER(SEARCH(Tabla4[[#All],[PCLAVE]],Tabla8[[#This Row],[DESCRIPCION DE TRABAJO]])),""))),"")</f>
        <v>Tapa</v>
      </c>
      <c r="O799" s="35" t="str" cm="1">
        <f t="array" ref="O799">_xlfn.TEXTJOIN(", ",TRUE,_xlfn._xlws.FILTER(Tabla28[[#All],[PARTE]],ISNUMBER(SEARCH(Tabla28[[#All],[PCLAVE2]],Tabla8[[#This Row],[DESCRIPCION DE TRABAJO]])),""))</f>
        <v/>
      </c>
      <c r="P799" s="303" t="str">
        <f>IFERROR(LEFT(O799, FIND(",", O799)-1), O799)</f>
        <v/>
      </c>
      <c r="Q799" s="303" t="str">
        <f>IFERROR(IF(ISERROR(FIND(",", O799, FIND(",", O799)+1)), RIGHT(O799, LEN(O799)-FIND(",", O799)-1), MID(O799, FIND(",", O799)+2, FIND(",", O799, FIND(",", O799)+1)-FIND(",", O799)-2)), "")</f>
        <v/>
      </c>
      <c r="R799" s="303" t="str">
        <f>IFERROR(RIGHT(O799, LEN(O799)-FIND(",", O799, FIND(",", O799)+1)-1), "")</f>
        <v/>
      </c>
      <c r="S799" s="35" t="str" cm="1">
        <f t="array" ref="S799">_xlfn.TEXTJOIN(", ",TRUE,_xlfn._xlws.FILTER(Tabla29[[#All],[PARTE]],ISNUMBER(SEARCH(Tabla29[[#All],[PCLAVE3]],Tabla8[[#This Row],[DESCRIPCION DE TRABAJO]])),""))</f>
        <v>Sustitucion</v>
      </c>
      <c r="T799" s="34" t="str">
        <f>IF(AND(Tabla8[[#This Row],[PIEZA]]="",Tabla8[[#This Row],[PARTE]]=""),"VACIO","OK")</f>
        <v>OK</v>
      </c>
      <c r="U799" s="303" t="str">
        <f>+CONCATENATE(WEEKNUM(Tabla8[[#This Row],[FECHA]]),"-",YEAR(Tabla8[[#This Row],[FECHA]]))</f>
        <v>15-2026</v>
      </c>
    </row>
    <row r="800" spans="1:21" ht="15" customHeight="1">
      <c r="A800" s="22">
        <v>46118</v>
      </c>
      <c r="B800" s="16" t="s">
        <v>131</v>
      </c>
      <c r="C800" s="10" t="s">
        <v>39</v>
      </c>
      <c r="D800" s="381" t="s">
        <v>1635</v>
      </c>
      <c r="E800" s="381" t="s">
        <v>1586</v>
      </c>
      <c r="F800" s="380">
        <f>+MOD(Tabla8[[#This Row],[HR. FIN]]-Tabla8[[#This Row],[HR. INICIO]],1)</f>
        <v>6.9444444444444475E-3</v>
      </c>
      <c r="G800" s="16" t="s">
        <v>1636</v>
      </c>
      <c r="H800" s="343" t="str">
        <f>IFERROR(VLOOKUP(G800,DATOS!$M$2:$N$219,2,FALSE),"")</f>
        <v>Maquinaria</v>
      </c>
      <c r="I800" s="115" t="s">
        <v>54</v>
      </c>
      <c r="J800" s="115" t="s">
        <v>92</v>
      </c>
      <c r="K800" s="114" t="s">
        <v>93</v>
      </c>
      <c r="L800" s="35" t="s">
        <v>1637</v>
      </c>
      <c r="M800" s="35" t="s">
        <v>1638</v>
      </c>
      <c r="N800" s="35" t="str" cm="1">
        <f t="array" ref="N800">IFERROR(IF(Tabla8[[#This Row],[P/NP]]="NO PROGRAMADA","",_xlfn.TEXTJOIN(", ",TRUE,_xlfn._xlws.FILTER(Tabla4[[#All],[PIEZA]],ISNUMBER(SEARCH(Tabla4[[#All],[PCLAVE]],Tabla8[[#This Row],[DESCRIPCION DE TRABAJO]])),""))),"")</f>
        <v/>
      </c>
      <c r="O800" s="35" t="str" cm="1">
        <f t="array" ref="O800">_xlfn.TEXTJOIN(", ",TRUE,_xlfn._xlws.FILTER(Tabla28[[#All],[PARTE]],ISNUMBER(SEARCH(Tabla28[[#All],[PCLAVE2]],Tabla8[[#This Row],[DESCRIPCION DE TRABAJO]])),""))</f>
        <v/>
      </c>
      <c r="P800" s="303" t="str">
        <f>IFERROR(LEFT(O800, FIND(",", O800)-1), O800)</f>
        <v/>
      </c>
      <c r="Q800" s="303" t="str">
        <f>IFERROR(IF(ISERROR(FIND(",", O800, FIND(",", O800)+1)), RIGHT(O800, LEN(O800)-FIND(",", O800)-1), MID(O800, FIND(",", O800)+2, FIND(",", O800, FIND(",", O800)+1)-FIND(",", O800)-2)), "")</f>
        <v/>
      </c>
      <c r="R800" s="303" t="str">
        <f>IFERROR(RIGHT(O800, LEN(O800)-FIND(",", O800, FIND(",", O800)+1)-1), "")</f>
        <v/>
      </c>
      <c r="S800" s="35" t="str" cm="1">
        <f t="array" ref="S800">_xlfn.TEXTJOIN(", ",TRUE,_xlfn._xlws.FILTER(Tabla29[[#All],[PARTE]],ISNUMBER(SEARCH(Tabla29[[#All],[PCLAVE3]],Tabla8[[#This Row],[DESCRIPCION DE TRABAJO]])),""))</f>
        <v>Ruido</v>
      </c>
      <c r="T800" s="34" t="str">
        <f>IF(AND(Tabla8[[#This Row],[PIEZA]]="",Tabla8[[#This Row],[PARTE]]=""),"VACIO","OK")</f>
        <v>VACIO</v>
      </c>
      <c r="U800" s="303" t="str">
        <f>+CONCATENATE(WEEKNUM(Tabla8[[#This Row],[FECHA]]),"-",YEAR(Tabla8[[#This Row],[FECHA]]))</f>
        <v>15-2026</v>
      </c>
    </row>
    <row r="801" spans="1:21" ht="15" customHeight="1">
      <c r="A801" s="22">
        <v>46118</v>
      </c>
      <c r="B801" s="16" t="s">
        <v>131</v>
      </c>
      <c r="C801" s="10" t="s">
        <v>39</v>
      </c>
      <c r="D801" s="381" t="s">
        <v>1639</v>
      </c>
      <c r="E801" s="381" t="s">
        <v>1640</v>
      </c>
      <c r="F801" s="380">
        <f>+MOD(Tabla8[[#This Row],[HR. FIN]]-Tabla8[[#This Row],[HR. INICIO]],1)</f>
        <v>6.9444444444444198E-3</v>
      </c>
      <c r="G801" s="16" t="s">
        <v>24</v>
      </c>
      <c r="H801" s="343" t="str">
        <f>IFERROR(VLOOKUP(G801,DATOS!$M$2:$N$219,2,FALSE),"")</f>
        <v>Maquinaria</v>
      </c>
      <c r="I801" s="115" t="s">
        <v>32</v>
      </c>
      <c r="J801" s="115" t="s">
        <v>92</v>
      </c>
      <c r="K801" s="114" t="s">
        <v>148</v>
      </c>
      <c r="L801" s="35" t="s">
        <v>1641</v>
      </c>
      <c r="M801" s="35" t="s">
        <v>1642</v>
      </c>
      <c r="N801" s="35" t="str" cm="1">
        <f t="array" ref="N801">IFERROR(IF(Tabla8[[#This Row],[P/NP]]="NO PROGRAMADA","",_xlfn.TEXTJOIN(", ",TRUE,_xlfn._xlws.FILTER(Tabla4[[#All],[PIEZA]],ISNUMBER(SEARCH(Tabla4[[#All],[PCLAVE]],Tabla8[[#This Row],[DESCRIPCION DE TRABAJO]])),""))),"")</f>
        <v/>
      </c>
      <c r="O801" s="35" t="str" cm="1">
        <f t="array" ref="O801">_xlfn.TEXTJOIN(", ",TRUE,_xlfn._xlws.FILTER(Tabla28[[#All],[PARTE]],ISNUMBER(SEARCH(Tabla28[[#All],[PCLAVE2]],Tabla8[[#This Row],[DESCRIPCION DE TRABAJO]])),""))</f>
        <v/>
      </c>
      <c r="P801" s="303" t="str">
        <f>IFERROR(LEFT(O801, FIND(",", O801)-1), O801)</f>
        <v/>
      </c>
      <c r="Q801" s="303" t="str">
        <f>IFERROR(IF(ISERROR(FIND(",", O801, FIND(",", O801)+1)), RIGHT(O801, LEN(O801)-FIND(",", O801)-1), MID(O801, FIND(",", O801)+2, FIND(",", O801, FIND(",", O801)+1)-FIND(",", O801)-2)), "")</f>
        <v/>
      </c>
      <c r="R801" s="303" t="str">
        <f>IFERROR(RIGHT(O801, LEN(O801)-FIND(",", O801, FIND(",", O801)+1)-1), "")</f>
        <v/>
      </c>
      <c r="S801" s="35" t="str" cm="1">
        <f t="array" ref="S801">_xlfn.TEXTJOIN(", ",TRUE,_xlfn._xlws.FILTER(Tabla29[[#All],[PARTE]],ISNUMBER(SEARCH(Tabla29[[#All],[PCLAVE3]],Tabla8[[#This Row],[DESCRIPCION DE TRABAJO]])),""))</f>
        <v>Alimentacion Obstruida, Juntos</v>
      </c>
      <c r="T801" s="34" t="str">
        <f>IF(AND(Tabla8[[#This Row],[PIEZA]]="",Tabla8[[#This Row],[PARTE]]=""),"VACIO","OK")</f>
        <v>VACIO</v>
      </c>
      <c r="U801" s="303" t="str">
        <f>+CONCATENATE(WEEKNUM(Tabla8[[#This Row],[FECHA]]),"-",YEAR(Tabla8[[#This Row],[FECHA]]))</f>
        <v>15-2026</v>
      </c>
    </row>
    <row r="802" spans="1:21" ht="15" customHeight="1">
      <c r="A802" s="22">
        <v>46118</v>
      </c>
      <c r="B802" s="16" t="s">
        <v>191</v>
      </c>
      <c r="C802" s="10" t="s">
        <v>36</v>
      </c>
      <c r="D802" s="381" t="s">
        <v>603</v>
      </c>
      <c r="E802" s="381" t="s">
        <v>495</v>
      </c>
      <c r="F802" s="380">
        <f>+MOD(Tabla8[[#This Row],[HR. FIN]]-Tabla8[[#This Row],[HR. INICIO]],1)</f>
        <v>4.8611111111110938E-3</v>
      </c>
      <c r="G802" s="16" t="s">
        <v>1643</v>
      </c>
      <c r="H802" s="343" t="str">
        <f>IFERROR(VLOOKUP(G802,DATOS!$M$2:$N$219,2,FALSE),"")</f>
        <v>Maquinaria</v>
      </c>
      <c r="I802" s="115" t="s">
        <v>32</v>
      </c>
      <c r="J802" s="115" t="s">
        <v>92</v>
      </c>
      <c r="K802" s="114" t="s">
        <v>148</v>
      </c>
      <c r="L802" s="35" t="s">
        <v>1644</v>
      </c>
      <c r="M802" s="35" t="s">
        <v>1645</v>
      </c>
      <c r="N802" s="35" t="str" cm="1">
        <f t="array" ref="N802">IFERROR(IF(Tabla8[[#This Row],[P/NP]]="NO PROGRAMADA","",_xlfn.TEXTJOIN(", ",TRUE,_xlfn._xlws.FILTER(Tabla4[[#All],[PIEZA]],ISNUMBER(SEARCH(Tabla4[[#All],[PCLAVE]],Tabla8[[#This Row],[DESCRIPCION DE TRABAJO]])),""))),"")</f>
        <v/>
      </c>
      <c r="O802" s="35" t="str" cm="1">
        <f t="array" ref="O802">_xlfn.TEXTJOIN(", ",TRUE,_xlfn._xlws.FILTER(Tabla28[[#All],[PARTE]],ISNUMBER(SEARCH(Tabla28[[#All],[PCLAVE2]],Tabla8[[#This Row],[DESCRIPCION DE TRABAJO]])),""))</f>
        <v/>
      </c>
      <c r="P802" s="303" t="str">
        <f>IFERROR(LEFT(O802, FIND(",", O802)-1), O802)</f>
        <v/>
      </c>
      <c r="Q802" s="303" t="str">
        <f>IFERROR(IF(ISERROR(FIND(",", O802, FIND(",", O802)+1)), RIGHT(O802, LEN(O802)-FIND(",", O802)-1), MID(O802, FIND(",", O802)+2, FIND(",", O802, FIND(",", O802)+1)-FIND(",", O802)-2)), "")</f>
        <v/>
      </c>
      <c r="R802" s="303" t="str">
        <f>IFERROR(RIGHT(O802, LEN(O802)-FIND(",", O802, FIND(",", O802)+1)-1), "")</f>
        <v/>
      </c>
      <c r="S802" s="35" t="str" cm="1">
        <f t="array" ref="S802">_xlfn.TEXTJOIN(", ",TRUE,_xlfn._xlws.FILTER(Tabla29[[#All],[PARTE]],ISNUMBER(SEARCH(Tabla29[[#All],[PCLAVE3]],Tabla8[[#This Row],[DESCRIPCION DE TRABAJO]])),""))</f>
        <v>No Enciende</v>
      </c>
      <c r="T802" s="34" t="str">
        <f>IF(AND(Tabla8[[#This Row],[PIEZA]]="",Tabla8[[#This Row],[PARTE]]=""),"VACIO","OK")</f>
        <v>VACIO</v>
      </c>
      <c r="U802" s="303" t="str">
        <f>+CONCATENATE(WEEKNUM(Tabla8[[#This Row],[FECHA]]),"-",YEAR(Tabla8[[#This Row],[FECHA]]))</f>
        <v>15-2026</v>
      </c>
    </row>
    <row r="803" spans="1:21" ht="15" customHeight="1">
      <c r="A803" s="22">
        <v>46118</v>
      </c>
      <c r="B803" s="16" t="s">
        <v>131</v>
      </c>
      <c r="C803" s="10" t="s">
        <v>39</v>
      </c>
      <c r="D803" s="381" t="s">
        <v>1646</v>
      </c>
      <c r="E803" s="381" t="s">
        <v>171</v>
      </c>
      <c r="F803" s="380">
        <f>+MOD(Tabla8[[#This Row],[HR. FIN]]-Tabla8[[#This Row],[HR. INICIO]],1)</f>
        <v>1.388888888888884E-3</v>
      </c>
      <c r="G803" s="16" t="s">
        <v>1647</v>
      </c>
      <c r="H803" s="343" t="str">
        <f>IFERROR(VLOOKUP(G803,DATOS!$M$2:$N$219,2,FALSE),"")</f>
        <v>Equipos auxiliares</v>
      </c>
      <c r="I803" s="115" t="s">
        <v>32</v>
      </c>
      <c r="J803" s="115" t="s">
        <v>92</v>
      </c>
      <c r="K803" s="114" t="s">
        <v>148</v>
      </c>
      <c r="L803" s="35" t="s">
        <v>1648</v>
      </c>
      <c r="M803" s="35" t="s">
        <v>1649</v>
      </c>
      <c r="N803" s="35" t="str" cm="1">
        <f t="array" ref="N803">IFERROR(IF(Tabla8[[#This Row],[P/NP]]="NO PROGRAMADA","",_xlfn.TEXTJOIN(", ",TRUE,_xlfn._xlws.FILTER(Tabla4[[#All],[PIEZA]],ISNUMBER(SEARCH(Tabla4[[#All],[PCLAVE]],Tabla8[[#This Row],[DESCRIPCION DE TRABAJO]])),""))),"")</f>
        <v/>
      </c>
      <c r="O803" s="35" t="str" cm="1">
        <f t="array" ref="O803">_xlfn.TEXTJOIN(", ",TRUE,_xlfn._xlws.FILTER(Tabla28[[#All],[PARTE]],ISNUMBER(SEARCH(Tabla28[[#All],[PCLAVE2]],Tabla8[[#This Row],[DESCRIPCION DE TRABAJO]])),""))</f>
        <v/>
      </c>
      <c r="P803" s="303" t="str">
        <f>IFERROR(LEFT(O803, FIND(",", O803)-1), O803)</f>
        <v/>
      </c>
      <c r="Q803" s="303" t="str">
        <f>IFERROR(IF(ISERROR(FIND(",", O803, FIND(",", O803)+1)), RIGHT(O803, LEN(O803)-FIND(",", O803)-1), MID(O803, FIND(",", O803)+2, FIND(",", O803, FIND(",", O803)+1)-FIND(",", O803)-2)), "")</f>
        <v/>
      </c>
      <c r="R803" s="303" t="str">
        <f>IFERROR(RIGHT(O803, LEN(O803)-FIND(",", O803, FIND(",", O803)+1)-1), "")</f>
        <v/>
      </c>
      <c r="S803" s="35" t="str" cm="1">
        <f t="array" ref="S803">_xlfn.TEXTJOIN(", ",TRUE,_xlfn._xlws.FILTER(Tabla29[[#All],[PARTE]],ISNUMBER(SEARCH(Tabla29[[#All],[PCLAVE3]],Tabla8[[#This Row],[DESCRIPCION DE TRABAJO]])),""))</f>
        <v/>
      </c>
      <c r="T803" s="34" t="str">
        <f>IF(AND(Tabla8[[#This Row],[PIEZA]]="",Tabla8[[#This Row],[PARTE]]=""),"VACIO","OK")</f>
        <v>VACIO</v>
      </c>
      <c r="U803" s="303" t="str">
        <f>+CONCATENATE(WEEKNUM(Tabla8[[#This Row],[FECHA]]),"-",YEAR(Tabla8[[#This Row],[FECHA]]))</f>
        <v>15-2026</v>
      </c>
    </row>
    <row r="804" spans="1:21" ht="15" customHeight="1">
      <c r="A804" s="22">
        <v>46119</v>
      </c>
      <c r="B804" s="16" t="s">
        <v>88</v>
      </c>
      <c r="C804" s="10" t="s">
        <v>36</v>
      </c>
      <c r="D804" s="381" t="s">
        <v>96</v>
      </c>
      <c r="E804" s="381" t="s">
        <v>586</v>
      </c>
      <c r="F804" s="380">
        <f>+MOD(Tabla8[[#This Row],[HR. FIN]]-Tabla8[[#This Row],[HR. INICIO]],1)</f>
        <v>8.3333333333333315E-2</v>
      </c>
      <c r="G804" s="16" t="s">
        <v>312</v>
      </c>
      <c r="H804" s="343" t="str">
        <f>IFERROR(VLOOKUP(G804,DATOS!$M$2:$N$219,2,FALSE),"")</f>
        <v>Maquinaria</v>
      </c>
      <c r="I804" s="115" t="s">
        <v>28</v>
      </c>
      <c r="J804" s="115" t="str">
        <f>+VLOOKUP($I804,Tabla7[#All],2,FALSE)</f>
        <v>NO PROGRAMADA</v>
      </c>
      <c r="K804" s="114" t="s">
        <v>93</v>
      </c>
      <c r="L804" s="35" t="s">
        <v>1650</v>
      </c>
      <c r="M804" s="35" t="s">
        <v>1651</v>
      </c>
      <c r="N804" s="35" t="str" cm="1">
        <f t="array" ref="N804">IFERROR(IF(Tabla8[[#This Row],[P/NP]]="NO PROGRAMADA","",_xlfn.TEXTJOIN(", ",TRUE,_xlfn._xlws.FILTER(Tabla4[[#All],[PIEZA]],ISNUMBER(SEARCH(Tabla4[[#All],[PCLAVE]],Tabla8[[#This Row],[DESCRIPCION DE TRABAJO]])),""))),"")</f>
        <v/>
      </c>
      <c r="O804" s="35" t="str" cm="1">
        <f t="array" ref="O804">_xlfn.TEXTJOIN(", ",TRUE,_xlfn._xlws.FILTER(Tabla28[[#All],[PARTE]],ISNUMBER(SEARCH(Tabla28[[#All],[PCLAVE2]],Tabla8[[#This Row],[DESCRIPCION DE TRABAJO]])),""))</f>
        <v/>
      </c>
      <c r="P804" s="303" t="str">
        <f>IFERROR(LEFT(O804, FIND(",", O804)-1), O804)</f>
        <v/>
      </c>
      <c r="Q804" s="303" t="str">
        <f>IFERROR(IF(ISERROR(FIND(",", O804, FIND(",", O804)+1)), RIGHT(O804, LEN(O804)-FIND(",", O804)-1), MID(O804, FIND(",", O804)+2, FIND(",", O804, FIND(",", O804)+1)-FIND(",", O804)-2)), "")</f>
        <v/>
      </c>
      <c r="R804" s="303" t="str">
        <f>IFERROR(RIGHT(O804, LEN(O804)-FIND(",", O804, FIND(",", O804)+1)-1), "")</f>
        <v/>
      </c>
      <c r="S804" s="35" t="str" cm="1">
        <f t="array" ref="S804">_xlfn.TEXTJOIN(", ",TRUE,_xlfn._xlws.FILTER(Tabla29[[#All],[PARTE]],ISNUMBER(SEARCH(Tabla29[[#All],[PCLAVE3]],Tabla8[[#This Row],[DESCRIPCION DE TRABAJO]])),""))</f>
        <v>Dañado, Obstruido</v>
      </c>
      <c r="T804" s="34" t="str">
        <f>IF(AND(Tabla8[[#This Row],[PIEZA]]="",Tabla8[[#This Row],[PARTE]]=""),"VACIO","OK")</f>
        <v>VACIO</v>
      </c>
      <c r="U804" s="303" t="str">
        <f>+CONCATENATE(WEEKNUM(Tabla8[[#This Row],[FECHA]]),"-",YEAR(Tabla8[[#This Row],[FECHA]]))</f>
        <v>15-2026</v>
      </c>
    </row>
    <row r="805" spans="1:21" ht="15" customHeight="1">
      <c r="A805" s="22">
        <v>46119</v>
      </c>
      <c r="B805" s="16" t="s">
        <v>88</v>
      </c>
      <c r="C805" s="10" t="s">
        <v>36</v>
      </c>
      <c r="D805" s="381" t="s">
        <v>556</v>
      </c>
      <c r="E805" s="381" t="s">
        <v>96</v>
      </c>
      <c r="F805" s="380">
        <f>+MOD(Tabla8[[#This Row],[HR. FIN]]-Tabla8[[#This Row],[HR. INICIO]],1)</f>
        <v>4.1666666666666685E-2</v>
      </c>
      <c r="G805" s="16" t="s">
        <v>833</v>
      </c>
      <c r="H805" s="343" t="str">
        <f>IFERROR(VLOOKUP(G805,DATOS!$M$2:$N$219,2,FALSE),"")</f>
        <v>Area</v>
      </c>
      <c r="I805" s="115" t="s">
        <v>405</v>
      </c>
      <c r="J805" s="115" t="str">
        <f>+VLOOKUP($I805,Tabla7[#All],2,FALSE)</f>
        <v>PROGRAMADA</v>
      </c>
      <c r="K805" s="114" t="str">
        <f>IF(VLOOKUP(I805,Tabla7[#All],3,FALSE)=0,"",VLOOKUP(I805,Tabla7[#All],3,FALSE))</f>
        <v/>
      </c>
      <c r="L805" s="35" t="s">
        <v>1652</v>
      </c>
      <c r="M805" s="35" t="s">
        <v>1653</v>
      </c>
      <c r="N805" s="35" t="str" cm="1">
        <f t="array" ref="N805">IFERROR(IF(Tabla8[[#This Row],[P/NP]]="NO PROGRAMADA","",_xlfn.TEXTJOIN(", ",TRUE,_xlfn._xlws.FILTER(Tabla4[[#All],[PIEZA]],ISNUMBER(SEARCH(Tabla4[[#All],[PCLAVE]],Tabla8[[#This Row],[DESCRIPCION DE TRABAJO]])),""))),"")</f>
        <v>Ventilador</v>
      </c>
      <c r="O805" s="35" t="str" cm="1">
        <f t="array" ref="O805">_xlfn.TEXTJOIN(", ",TRUE,_xlfn._xlws.FILTER(Tabla28[[#All],[PARTE]],ISNUMBER(SEARCH(Tabla28[[#All],[PCLAVE2]],Tabla8[[#This Row],[DESCRIPCION DE TRABAJO]])),""))</f>
        <v/>
      </c>
      <c r="P805" s="303" t="str">
        <f>IFERROR(LEFT(O805, FIND(",", O805)-1), O805)</f>
        <v/>
      </c>
      <c r="Q805" s="303" t="str">
        <f>IFERROR(IF(ISERROR(FIND(",", O805, FIND(",", O805)+1)), RIGHT(O805, LEN(O805)-FIND(",", O805)-1), MID(O805, FIND(",", O805)+2, FIND(",", O805, FIND(",", O805)+1)-FIND(",", O805)-2)), "")</f>
        <v/>
      </c>
      <c r="R805" s="303" t="str">
        <f>IFERROR(RIGHT(O805, LEN(O805)-FIND(",", O805, FIND(",", O805)+1)-1), "")</f>
        <v/>
      </c>
      <c r="S805" s="35" t="str" cm="1">
        <f t="array" ref="S805">_xlfn.TEXTJOIN(", ",TRUE,_xlfn._xlws.FILTER(Tabla29[[#All],[PARTE]],ISNUMBER(SEARCH(Tabla29[[#All],[PCLAVE3]],Tabla8[[#This Row],[DESCRIPCION DE TRABAJO]])),""))</f>
        <v/>
      </c>
      <c r="T805" s="34" t="str">
        <f>IF(AND(Tabla8[[#This Row],[PIEZA]]="",Tabla8[[#This Row],[PARTE]]=""),"VACIO","OK")</f>
        <v>OK</v>
      </c>
      <c r="U805" s="303" t="str">
        <f>+CONCATENATE(WEEKNUM(Tabla8[[#This Row],[FECHA]]),"-",YEAR(Tabla8[[#This Row],[FECHA]]))</f>
        <v>15-2026</v>
      </c>
    </row>
    <row r="806" spans="1:21" ht="15" customHeight="1">
      <c r="A806" s="22">
        <v>46119</v>
      </c>
      <c r="B806" s="16" t="s">
        <v>131</v>
      </c>
      <c r="C806" s="10" t="s">
        <v>39</v>
      </c>
      <c r="D806" s="381" t="s">
        <v>167</v>
      </c>
      <c r="E806" s="381" t="s">
        <v>1654</v>
      </c>
      <c r="F806" s="380">
        <f>+MOD(Tabla8[[#This Row],[HR. FIN]]-Tabla8[[#This Row],[HR. INICIO]],1)</f>
        <v>2.2916666666666665E-2</v>
      </c>
      <c r="G806" s="16" t="s">
        <v>119</v>
      </c>
      <c r="H806" s="343" t="str">
        <f>IFERROR(VLOOKUP(G806,DATOS!$M$2:$N$219,2,FALSE),"")</f>
        <v>Maquinaria</v>
      </c>
      <c r="I806" s="115" t="s">
        <v>32</v>
      </c>
      <c r="J806" s="115" t="str">
        <f>+VLOOKUP($I806,Tabla7[#All],2,FALSE)</f>
        <v>PROGRAMADA</v>
      </c>
      <c r="K806" s="114" t="str">
        <f>IF(VLOOKUP(I806,Tabla7[#All],3,FALSE)=0,"",VLOOKUP(I806,Tabla7[#All],3,FALSE))</f>
        <v/>
      </c>
      <c r="L806" s="35" t="s">
        <v>359</v>
      </c>
      <c r="M806" s="35" t="s">
        <v>121</v>
      </c>
      <c r="N806" s="35" t="str" cm="1">
        <f t="array" ref="N806">IFERROR(IF(Tabla8[[#This Row],[P/NP]]="NO PROGRAMADA","",_xlfn.TEXTJOIN(", ",TRUE,_xlfn._xlws.FILTER(Tabla4[[#All],[PIEZA]],ISNUMBER(SEARCH(Tabla4[[#All],[PCLAVE]],Tabla8[[#This Row],[DESCRIPCION DE TRABAJO]])),""))),"")</f>
        <v/>
      </c>
      <c r="O806" s="35" t="str" cm="1">
        <f t="array" ref="O806">_xlfn.TEXTJOIN(", ",TRUE,_xlfn._xlws.FILTER(Tabla28[[#All],[PARTE]],ISNUMBER(SEARCH(Tabla28[[#All],[PCLAVE2]],Tabla8[[#This Row],[DESCRIPCION DE TRABAJO]])),""))</f>
        <v>Mds</v>
      </c>
      <c r="P806" s="303" t="str">
        <f>IFERROR(LEFT(O806, FIND(",", O806)-1), O806)</f>
        <v>Mds</v>
      </c>
      <c r="Q806" s="303" t="str">
        <f>IFERROR(IF(ISERROR(FIND(",", O806, FIND(",", O806)+1)), RIGHT(O806, LEN(O806)-FIND(",", O806)-1), MID(O806, FIND(",", O806)+2, FIND(",", O806, FIND(",", O806)+1)-FIND(",", O806)-2)), "")</f>
        <v/>
      </c>
      <c r="R806" s="303" t="str">
        <f>IFERROR(RIGHT(O806, LEN(O806)-FIND(",", O806, FIND(",", O806)+1)-1), "")</f>
        <v/>
      </c>
      <c r="S806" s="35" t="str" cm="1">
        <f t="array" ref="S806">_xlfn.TEXTJOIN(", ",TRUE,_xlfn._xlws.FILTER(Tabla29[[#All],[PARTE]],ISNUMBER(SEARCH(Tabla29[[#All],[PCLAVE3]],Tabla8[[#This Row],[DESCRIPCION DE TRABAJO]])),""))</f>
        <v>Cambio De Formato</v>
      </c>
      <c r="T806" s="34" t="str">
        <f>IF(AND(Tabla8[[#This Row],[PIEZA]]="",Tabla8[[#This Row],[PARTE]]=""),"VACIO","OK")</f>
        <v>OK</v>
      </c>
      <c r="U806" s="303" t="str">
        <f>+CONCATENATE(WEEKNUM(Tabla8[[#This Row],[FECHA]]),"-",YEAR(Tabla8[[#This Row],[FECHA]]))</f>
        <v>15-2026</v>
      </c>
    </row>
    <row r="807" spans="1:21" ht="15" customHeight="1">
      <c r="A807" s="22">
        <v>46119</v>
      </c>
      <c r="B807" s="16" t="s">
        <v>131</v>
      </c>
      <c r="C807" s="10" t="s">
        <v>39</v>
      </c>
      <c r="D807" s="381" t="s">
        <v>1655</v>
      </c>
      <c r="E807" s="381" t="s">
        <v>1502</v>
      </c>
      <c r="F807" s="380">
        <f>+MOD(Tabla8[[#This Row],[HR. FIN]]-Tabla8[[#This Row],[HR. INICIO]],1)</f>
        <v>2.2916666666666662E-2</v>
      </c>
      <c r="G807" s="16" t="s">
        <v>119</v>
      </c>
      <c r="H807" s="343" t="str">
        <f>IFERROR(VLOOKUP(G807,DATOS!$M$2:$N$219,2,FALSE),"")</f>
        <v>Maquinaria</v>
      </c>
      <c r="I807" s="115" t="s">
        <v>32</v>
      </c>
      <c r="J807" s="115" t="str">
        <f>+VLOOKUP($I807,Tabla7[#All],2,FALSE)</f>
        <v>PROGRAMADA</v>
      </c>
      <c r="K807" s="114" t="str">
        <f>IF(VLOOKUP(I807,Tabla7[#All],3,FALSE)=0,"",VLOOKUP(I807,Tabla7[#All],3,FALSE))</f>
        <v/>
      </c>
      <c r="L807" s="35" t="s">
        <v>1656</v>
      </c>
      <c r="M807" s="35" t="s">
        <v>121</v>
      </c>
      <c r="N807" s="35" t="str" cm="1">
        <f t="array" ref="N807">IFERROR(IF(Tabla8[[#This Row],[P/NP]]="NO PROGRAMADA","",_xlfn.TEXTJOIN(", ",TRUE,_xlfn._xlws.FILTER(Tabla4[[#All],[PIEZA]],ISNUMBER(SEARCH(Tabla4[[#All],[PCLAVE]],Tabla8[[#This Row],[DESCRIPCION DE TRABAJO]])),""))),"")</f>
        <v/>
      </c>
      <c r="O807" s="35" t="str" cm="1">
        <f t="array" ref="O807">_xlfn.TEXTJOIN(", ",TRUE,_xlfn._xlws.FILTER(Tabla28[[#All],[PARTE]],ISNUMBER(SEARCH(Tabla28[[#All],[PCLAVE2]],Tabla8[[#This Row],[DESCRIPCION DE TRABAJO]])),""))</f>
        <v>Mds</v>
      </c>
      <c r="P807" s="303" t="str">
        <f>IFERROR(LEFT(O807, FIND(",", O807)-1), O807)</f>
        <v>Mds</v>
      </c>
      <c r="Q807" s="303" t="str">
        <f>IFERROR(IF(ISERROR(FIND(",", O807, FIND(",", O807)+1)), RIGHT(O807, LEN(O807)-FIND(",", O807)-1), MID(O807, FIND(",", O807)+2, FIND(",", O807, FIND(",", O807)+1)-FIND(",", O807)-2)), "")</f>
        <v/>
      </c>
      <c r="R807" s="303" t="str">
        <f>IFERROR(RIGHT(O807, LEN(O807)-FIND(",", O807, FIND(",", O807)+1)-1), "")</f>
        <v/>
      </c>
      <c r="S807" s="35" t="str" cm="1">
        <f t="array" ref="S807">_xlfn.TEXTJOIN(", ",TRUE,_xlfn._xlws.FILTER(Tabla29[[#All],[PARTE]],ISNUMBER(SEARCH(Tabla29[[#All],[PCLAVE3]],Tabla8[[#This Row],[DESCRIPCION DE TRABAJO]])),""))</f>
        <v/>
      </c>
      <c r="T807" s="34" t="str">
        <f>IF(AND(Tabla8[[#This Row],[PIEZA]]="",Tabla8[[#This Row],[PARTE]]=""),"VACIO","OK")</f>
        <v>OK</v>
      </c>
      <c r="U807" s="303" t="str">
        <f>+CONCATENATE(WEEKNUM(Tabla8[[#This Row],[FECHA]]),"-",YEAR(Tabla8[[#This Row],[FECHA]]))</f>
        <v>15-2026</v>
      </c>
    </row>
    <row r="808" spans="1:21" ht="15" customHeight="1">
      <c r="A808" s="22">
        <v>46119</v>
      </c>
      <c r="B808" s="16" t="s">
        <v>131</v>
      </c>
      <c r="C808" s="10" t="s">
        <v>39</v>
      </c>
      <c r="D808" s="381" t="s">
        <v>1265</v>
      </c>
      <c r="E808" s="381" t="s">
        <v>146</v>
      </c>
      <c r="F808" s="380">
        <f>+MOD(Tabla8[[#This Row],[HR. FIN]]-Tabla8[[#This Row],[HR. INICIO]],1)</f>
        <v>2.0833333333333329E-2</v>
      </c>
      <c r="G808" s="16" t="s">
        <v>31</v>
      </c>
      <c r="H808" s="343" t="str">
        <f>IFERROR(VLOOKUP(G808,DATOS!$M$2:$N$219,2,FALSE),"")</f>
        <v>Maquinaria</v>
      </c>
      <c r="I808" s="115" t="s">
        <v>54</v>
      </c>
      <c r="J808" s="115" t="str">
        <f>+VLOOKUP($I808,Tabla7[#All],2,FALSE)</f>
        <v>PROGRAMADA</v>
      </c>
      <c r="K808" s="114" t="str">
        <f>IF(VLOOKUP(I808,Tabla7[#All],3,FALSE)=0,"",VLOOKUP(I808,Tabla7[#All],3,FALSE))</f>
        <v/>
      </c>
      <c r="L808" s="35" t="s">
        <v>154</v>
      </c>
      <c r="M808" s="35" t="s">
        <v>121</v>
      </c>
      <c r="N808" s="35" t="str" cm="1">
        <f t="array" ref="N808">IFERROR(IF(Tabla8[[#This Row],[P/NP]]="NO PROGRAMADA","",_xlfn.TEXTJOIN(", ",TRUE,_xlfn._xlws.FILTER(Tabla4[[#All],[PIEZA]],ISNUMBER(SEARCH(Tabla4[[#All],[PCLAVE]],Tabla8[[#This Row],[DESCRIPCION DE TRABAJO]])),""))),"")</f>
        <v/>
      </c>
      <c r="O808" s="35" t="str" cm="1">
        <f t="array" ref="O808">_xlfn.TEXTJOIN(", ",TRUE,_xlfn._xlws.FILTER(Tabla28[[#All],[PARTE]],ISNUMBER(SEARCH(Tabla28[[#All],[PCLAVE2]],Tabla8[[#This Row],[DESCRIPCION DE TRABAJO]])),""))</f>
        <v/>
      </c>
      <c r="P808" s="303" t="str">
        <f>IFERROR(LEFT(O808, FIND(",", O808)-1), O808)</f>
        <v/>
      </c>
      <c r="Q808" s="303" t="str">
        <f>IFERROR(IF(ISERROR(FIND(",", O808, FIND(",", O808)+1)), RIGHT(O808, LEN(O808)-FIND(",", O808)-1), MID(O808, FIND(",", O808)+2, FIND(",", O808, FIND(",", O808)+1)-FIND(",", O808)-2)), "")</f>
        <v/>
      </c>
      <c r="R808" s="303" t="str">
        <f>IFERROR(RIGHT(O808, LEN(O808)-FIND(",", O808, FIND(",", O808)+1)-1), "")</f>
        <v/>
      </c>
      <c r="S808" s="35" t="str" cm="1">
        <f t="array" ref="S808">_xlfn.TEXTJOIN(", ",TRUE,_xlfn._xlws.FILTER(Tabla29[[#All],[PARTE]],ISNUMBER(SEARCH(Tabla29[[#All],[PCLAVE3]],Tabla8[[#This Row],[DESCRIPCION DE TRABAJO]])),""))</f>
        <v/>
      </c>
      <c r="T808" s="34" t="str">
        <f>IF(AND(Tabla8[[#This Row],[PIEZA]]="",Tabla8[[#This Row],[PARTE]]=""),"VACIO","OK")</f>
        <v>VACIO</v>
      </c>
      <c r="U808" s="303" t="str">
        <f>+CONCATENATE(WEEKNUM(Tabla8[[#This Row],[FECHA]]),"-",YEAR(Tabla8[[#This Row],[FECHA]]))</f>
        <v>15-2026</v>
      </c>
    </row>
    <row r="809" spans="1:21" ht="15" customHeight="1">
      <c r="A809" s="22">
        <v>46119</v>
      </c>
      <c r="B809" s="16" t="s">
        <v>131</v>
      </c>
      <c r="C809" s="10" t="s">
        <v>39</v>
      </c>
      <c r="D809" s="381" t="s">
        <v>1657</v>
      </c>
      <c r="E809" s="381" t="s">
        <v>1270</v>
      </c>
      <c r="F809" s="380">
        <f>+MOD(Tabla8[[#This Row],[HR. FIN]]-Tabla8[[#This Row],[HR. INICIO]],1)</f>
        <v>1.8750000000000044E-2</v>
      </c>
      <c r="G809" s="16" t="s">
        <v>238</v>
      </c>
      <c r="H809" s="343" t="str">
        <f>IFERROR(VLOOKUP(G809,DATOS!$M$2:$N$219,2,FALSE),"")</f>
        <v>Maquinaria</v>
      </c>
      <c r="I809" s="115" t="s">
        <v>32</v>
      </c>
      <c r="J809" s="115" t="s">
        <v>92</v>
      </c>
      <c r="K809" s="114" t="s">
        <v>148</v>
      </c>
      <c r="L809" s="35" t="s">
        <v>1658</v>
      </c>
      <c r="M809" s="35" t="s">
        <v>1659</v>
      </c>
      <c r="N809" s="35" t="str" cm="1">
        <f t="array" ref="N809">IFERROR(IF(Tabla8[[#This Row],[P/NP]]="NO PROGRAMADA","",_xlfn.TEXTJOIN(", ",TRUE,_xlfn._xlws.FILTER(Tabla4[[#All],[PIEZA]],ISNUMBER(SEARCH(Tabla4[[#All],[PCLAVE]],Tabla8[[#This Row],[DESCRIPCION DE TRABAJO]])),""))),"")</f>
        <v/>
      </c>
      <c r="O809" s="35" t="str" cm="1">
        <f t="array" ref="O809">_xlfn.TEXTJOIN(", ",TRUE,_xlfn._xlws.FILTER(Tabla28[[#All],[PARTE]],ISNUMBER(SEARCH(Tabla28[[#All],[PCLAVE2]],Tabla8[[#This Row],[DESCRIPCION DE TRABAJO]])),""))</f>
        <v/>
      </c>
      <c r="P809" s="303" t="str">
        <f>IFERROR(LEFT(O809, FIND(",", O809)-1), O809)</f>
        <v/>
      </c>
      <c r="Q809" s="303" t="str">
        <f>IFERROR(IF(ISERROR(FIND(",", O809, FIND(",", O809)+1)), RIGHT(O809, LEN(O809)-FIND(",", O809)-1), MID(O809, FIND(",", O809)+2, FIND(",", O809, FIND(",", O809)+1)-FIND(",", O809)-2)), "")</f>
        <v/>
      </c>
      <c r="R809" s="303" t="str">
        <f>IFERROR(RIGHT(O809, LEN(O809)-FIND(",", O809, FIND(",", O809)+1)-1), "")</f>
        <v/>
      </c>
      <c r="S809" s="35" t="str" cm="1">
        <f t="array" ref="S809">_xlfn.TEXTJOIN(", ",TRUE,_xlfn._xlws.FILTER(Tabla29[[#All],[PARTE]],ISNUMBER(SEARCH(Tabla29[[#All],[PCLAVE3]],Tabla8[[#This Row],[DESCRIPCION DE TRABAJO]])),""))</f>
        <v/>
      </c>
      <c r="T809" s="34" t="str">
        <f>IF(AND(Tabla8[[#This Row],[PIEZA]]="",Tabla8[[#This Row],[PARTE]]=""),"VACIO","OK")</f>
        <v>VACIO</v>
      </c>
      <c r="U809" s="303" t="str">
        <f>+CONCATENATE(WEEKNUM(Tabla8[[#This Row],[FECHA]]),"-",YEAR(Tabla8[[#This Row],[FECHA]]))</f>
        <v>15-2026</v>
      </c>
    </row>
    <row r="810" spans="1:21" ht="15" customHeight="1">
      <c r="A810" s="22">
        <v>46119</v>
      </c>
      <c r="B810" s="16" t="s">
        <v>131</v>
      </c>
      <c r="C810" s="10" t="s">
        <v>39</v>
      </c>
      <c r="D810" s="381" t="s">
        <v>887</v>
      </c>
      <c r="E810" s="381" t="s">
        <v>660</v>
      </c>
      <c r="F810" s="380">
        <f>+MOD(Tabla8[[#This Row],[HR. FIN]]-Tabla8[[#This Row],[HR. INICIO]],1)</f>
        <v>1.736111111111116E-2</v>
      </c>
      <c r="G810" s="16" t="s">
        <v>270</v>
      </c>
      <c r="H810" s="343" t="str">
        <f>IFERROR(VLOOKUP(G810,DATOS!$M$2:$N$219,2,FALSE),"")</f>
        <v>Maquinaria</v>
      </c>
      <c r="I810" s="115" t="s">
        <v>54</v>
      </c>
      <c r="J810" s="115" t="str">
        <f>+VLOOKUP($I810,Tabla7[#All],2,FALSE)</f>
        <v>PROGRAMADA</v>
      </c>
      <c r="K810" s="114" t="str">
        <f>IF(VLOOKUP(I810,Tabla7[#All],3,FALSE)=0,"",VLOOKUP(I810,Tabla7[#All],3,FALSE))</f>
        <v/>
      </c>
      <c r="L810" s="35" t="s">
        <v>154</v>
      </c>
      <c r="M810" s="35" t="s">
        <v>121</v>
      </c>
      <c r="N810" s="35" t="str" cm="1">
        <f t="array" ref="N810">IFERROR(IF(Tabla8[[#This Row],[P/NP]]="NO PROGRAMADA","",_xlfn.TEXTJOIN(", ",TRUE,_xlfn._xlws.FILTER(Tabla4[[#All],[PIEZA]],ISNUMBER(SEARCH(Tabla4[[#All],[PCLAVE]],Tabla8[[#This Row],[DESCRIPCION DE TRABAJO]])),""))),"")</f>
        <v/>
      </c>
      <c r="O810" s="35" t="str" cm="1">
        <f t="array" ref="O810">_xlfn.TEXTJOIN(", ",TRUE,_xlfn._xlws.FILTER(Tabla28[[#All],[PARTE]],ISNUMBER(SEARCH(Tabla28[[#All],[PCLAVE2]],Tabla8[[#This Row],[DESCRIPCION DE TRABAJO]])),""))</f>
        <v/>
      </c>
      <c r="P810" s="303" t="str">
        <f>IFERROR(LEFT(O810, FIND(",", O810)-1), O810)</f>
        <v/>
      </c>
      <c r="Q810" s="303" t="str">
        <f>IFERROR(IF(ISERROR(FIND(",", O810, FIND(",", O810)+1)), RIGHT(O810, LEN(O810)-FIND(",", O810)-1), MID(O810, FIND(",", O810)+2, FIND(",", O810, FIND(",", O810)+1)-FIND(",", O810)-2)), "")</f>
        <v/>
      </c>
      <c r="R810" s="303" t="str">
        <f>IFERROR(RIGHT(O810, LEN(O810)-FIND(",", O810, FIND(",", O810)+1)-1), "")</f>
        <v/>
      </c>
      <c r="S810" s="35" t="str" cm="1">
        <f t="array" ref="S810">_xlfn.TEXTJOIN(", ",TRUE,_xlfn._xlws.FILTER(Tabla29[[#All],[PARTE]],ISNUMBER(SEARCH(Tabla29[[#All],[PCLAVE3]],Tabla8[[#This Row],[DESCRIPCION DE TRABAJO]])),""))</f>
        <v/>
      </c>
      <c r="T810" s="34" t="str">
        <f>IF(AND(Tabla8[[#This Row],[PIEZA]]="",Tabla8[[#This Row],[PARTE]]=""),"VACIO","OK")</f>
        <v>VACIO</v>
      </c>
      <c r="U810" s="303" t="str">
        <f>+CONCATENATE(WEEKNUM(Tabla8[[#This Row],[FECHA]]),"-",YEAR(Tabla8[[#This Row],[FECHA]]))</f>
        <v>15-2026</v>
      </c>
    </row>
    <row r="811" spans="1:21" ht="15" customHeight="1">
      <c r="A811" s="22">
        <v>46119</v>
      </c>
      <c r="B811" s="16" t="s">
        <v>131</v>
      </c>
      <c r="C811" s="10" t="s">
        <v>39</v>
      </c>
      <c r="D811" s="381" t="s">
        <v>612</v>
      </c>
      <c r="E811" s="381" t="s">
        <v>422</v>
      </c>
      <c r="F811" s="380">
        <f>+MOD(Tabla8[[#This Row],[HR. FIN]]-Tabla8[[#This Row],[HR. INICIO]],1)</f>
        <v>1.736111111111116E-2</v>
      </c>
      <c r="G811" s="16" t="s">
        <v>98</v>
      </c>
      <c r="H811" s="343" t="str">
        <f>IFERROR(VLOOKUP(G811,DATOS!$M$2:$N$219,2,FALSE),"")</f>
        <v>Maquinaria</v>
      </c>
      <c r="I811" s="115" t="s">
        <v>54</v>
      </c>
      <c r="J811" s="115" t="str">
        <f>+VLOOKUP($I811,Tabla7[#All],2,FALSE)</f>
        <v>PROGRAMADA</v>
      </c>
      <c r="K811" s="114" t="str">
        <f>IF(VLOOKUP(I811,Tabla7[#All],3,FALSE)=0,"",VLOOKUP(I811,Tabla7[#All],3,FALSE))</f>
        <v/>
      </c>
      <c r="L811" s="35" t="s">
        <v>225</v>
      </c>
      <c r="M811" s="35" t="s">
        <v>121</v>
      </c>
      <c r="N811" s="35" t="str" cm="1">
        <f t="array" ref="N811">IFERROR(IF(Tabla8[[#This Row],[P/NP]]="NO PROGRAMADA","",_xlfn.TEXTJOIN(", ",TRUE,_xlfn._xlws.FILTER(Tabla4[[#All],[PIEZA]],ISNUMBER(SEARCH(Tabla4[[#All],[PCLAVE]],Tabla8[[#This Row],[DESCRIPCION DE TRABAJO]])),""))),"")</f>
        <v/>
      </c>
      <c r="O811" s="35" t="str" cm="1">
        <f t="array" ref="O811">_xlfn.TEXTJOIN(", ",TRUE,_xlfn._xlws.FILTER(Tabla28[[#All],[PARTE]],ISNUMBER(SEARCH(Tabla28[[#All],[PCLAVE2]],Tabla8[[#This Row],[DESCRIPCION DE TRABAJO]])),""))</f>
        <v/>
      </c>
      <c r="P811" s="303" t="str">
        <f>IFERROR(LEFT(O811, FIND(",", O811)-1), O811)</f>
        <v/>
      </c>
      <c r="Q811" s="303" t="str">
        <f>IFERROR(IF(ISERROR(FIND(",", O811, FIND(",", O811)+1)), RIGHT(O811, LEN(O811)-FIND(",", O811)-1), MID(O811, FIND(",", O811)+2, FIND(",", O811, FIND(",", O811)+1)-FIND(",", O811)-2)), "")</f>
        <v/>
      </c>
      <c r="R811" s="303" t="str">
        <f>IFERROR(RIGHT(O811, LEN(O811)-FIND(",", O811, FIND(",", O811)+1)-1), "")</f>
        <v/>
      </c>
      <c r="S811" s="35" t="str" cm="1">
        <f t="array" ref="S811">_xlfn.TEXTJOIN(", ",TRUE,_xlfn._xlws.FILTER(Tabla29[[#All],[PARTE]],ISNUMBER(SEARCH(Tabla29[[#All],[PCLAVE3]],Tabla8[[#This Row],[DESCRIPCION DE TRABAJO]])),""))</f>
        <v/>
      </c>
      <c r="T811" s="34" t="str">
        <f>IF(AND(Tabla8[[#This Row],[PIEZA]]="",Tabla8[[#This Row],[PARTE]]=""),"VACIO","OK")</f>
        <v>VACIO</v>
      </c>
      <c r="U811" s="303" t="str">
        <f>+CONCATENATE(WEEKNUM(Tabla8[[#This Row],[FECHA]]),"-",YEAR(Tabla8[[#This Row],[FECHA]]))</f>
        <v>15-2026</v>
      </c>
    </row>
    <row r="812" spans="1:21" ht="15" customHeight="1">
      <c r="A812" s="22">
        <v>46119</v>
      </c>
      <c r="B812" s="16" t="s">
        <v>191</v>
      </c>
      <c r="C812" s="10" t="s">
        <v>36</v>
      </c>
      <c r="D812" s="381" t="s">
        <v>102</v>
      </c>
      <c r="E812" s="381" t="s">
        <v>720</v>
      </c>
      <c r="F812" s="380">
        <f>+MOD(Tabla8[[#This Row],[HR. FIN]]-Tabla8[[#This Row],[HR. INICIO]],1)</f>
        <v>1.6666666666666663E-2</v>
      </c>
      <c r="G812" s="16" t="s">
        <v>24</v>
      </c>
      <c r="H812" s="343" t="str">
        <f>IFERROR(VLOOKUP(G812,DATOS!$M$2:$N$219,2,FALSE),"")</f>
        <v>Maquinaria</v>
      </c>
      <c r="I812" s="115" t="s">
        <v>28</v>
      </c>
      <c r="J812" s="115" t="str">
        <f>+VLOOKUP($I812,Tabla7[#All],2,FALSE)</f>
        <v>NO PROGRAMADA</v>
      </c>
      <c r="K812" s="114" t="s">
        <v>93</v>
      </c>
      <c r="L812" s="35" t="s">
        <v>1660</v>
      </c>
      <c r="M812" s="35" t="s">
        <v>121</v>
      </c>
      <c r="N812" s="35" t="str" cm="1">
        <f t="array" ref="N812">IFERROR(IF(Tabla8[[#This Row],[P/NP]]="NO PROGRAMADA","",_xlfn.TEXTJOIN(", ",TRUE,_xlfn._xlws.FILTER(Tabla4[[#All],[PIEZA]],ISNUMBER(SEARCH(Tabla4[[#All],[PCLAVE]],Tabla8[[#This Row],[DESCRIPCION DE TRABAJO]])),""))),"")</f>
        <v/>
      </c>
      <c r="O812" s="35" t="str" cm="1">
        <f t="array" ref="O812">_xlfn.TEXTJOIN(", ",TRUE,_xlfn._xlws.FILTER(Tabla28[[#All],[PARTE]],ISNUMBER(SEARCH(Tabla28[[#All],[PCLAVE2]],Tabla8[[#This Row],[DESCRIPCION DE TRABAJO]])),""))</f>
        <v/>
      </c>
      <c r="P812" s="303" t="str">
        <f>IFERROR(LEFT(O812, FIND(",", O812)-1), O812)</f>
        <v/>
      </c>
      <c r="Q812" s="303" t="str">
        <f>IFERROR(IF(ISERROR(FIND(",", O812, FIND(",", O812)+1)), RIGHT(O812, LEN(O812)-FIND(",", O812)-1), MID(O812, FIND(",", O812)+2, FIND(",", O812, FIND(",", O812)+1)-FIND(",", O812)-2)), "")</f>
        <v/>
      </c>
      <c r="R812" s="303" t="str">
        <f>IFERROR(RIGHT(O812, LEN(O812)-FIND(",", O812, FIND(",", O812)+1)-1), "")</f>
        <v/>
      </c>
      <c r="S812" s="35" t="str" cm="1">
        <f t="array" ref="S812">_xlfn.TEXTJOIN(", ",TRUE,_xlfn._xlws.FILTER(Tabla29[[#All],[PARTE]],ISNUMBER(SEARCH(Tabla29[[#All],[PCLAVE3]],Tabla8[[#This Row],[DESCRIPCION DE TRABAJO]])),""))</f>
        <v/>
      </c>
      <c r="T812" s="34" t="str">
        <f>IF(AND(Tabla8[[#This Row],[PIEZA]]="",Tabla8[[#This Row],[PARTE]]=""),"VACIO","OK")</f>
        <v>VACIO</v>
      </c>
      <c r="U812" s="303" t="str">
        <f>+CONCATENATE(WEEKNUM(Tabla8[[#This Row],[FECHA]]),"-",YEAR(Tabla8[[#This Row],[FECHA]]))</f>
        <v>15-2026</v>
      </c>
    </row>
    <row r="813" spans="1:21" ht="15" customHeight="1">
      <c r="A813" s="22">
        <v>46119</v>
      </c>
      <c r="B813" s="16" t="s">
        <v>191</v>
      </c>
      <c r="C813" s="10" t="s">
        <v>36</v>
      </c>
      <c r="D813" s="381" t="s">
        <v>1661</v>
      </c>
      <c r="E813" s="381" t="s">
        <v>934</v>
      </c>
      <c r="F813" s="380">
        <f>+MOD(Tabla8[[#This Row],[HR. FIN]]-Tabla8[[#This Row],[HR. INICIO]],1)</f>
        <v>1.5972222222222221E-2</v>
      </c>
      <c r="G813" s="16" t="s">
        <v>215</v>
      </c>
      <c r="H813" s="343" t="str">
        <f>IFERROR(VLOOKUP(G813,DATOS!$M$2:$N$219,2,FALSE),"")</f>
        <v>Equipos auxiliares</v>
      </c>
      <c r="I813" s="115" t="s">
        <v>54</v>
      </c>
      <c r="J813" s="115" t="str">
        <f>+VLOOKUP($I813,Tabla7[#All],2,FALSE)</f>
        <v>PROGRAMADA</v>
      </c>
      <c r="K813" s="114" t="str">
        <f>IF(VLOOKUP(I813,Tabla7[#All],3,FALSE)=0,"",VLOOKUP(I813,Tabla7[#All],3,FALSE))</f>
        <v/>
      </c>
      <c r="L813" s="35" t="s">
        <v>248</v>
      </c>
      <c r="M813" s="35" t="s">
        <v>121</v>
      </c>
      <c r="N813" s="35" t="str" cm="1">
        <f t="array" ref="N813">IFERROR(IF(Tabla8[[#This Row],[P/NP]]="NO PROGRAMADA","",_xlfn.TEXTJOIN(", ",TRUE,_xlfn._xlws.FILTER(Tabla4[[#All],[PIEZA]],ISNUMBER(SEARCH(Tabla4[[#All],[PCLAVE]],Tabla8[[#This Row],[DESCRIPCION DE TRABAJO]])),""))),"")</f>
        <v/>
      </c>
      <c r="O813" s="35" t="str" cm="1">
        <f t="array" ref="O813">_xlfn.TEXTJOIN(", ",TRUE,_xlfn._xlws.FILTER(Tabla28[[#All],[PARTE]],ISNUMBER(SEARCH(Tabla28[[#All],[PCLAVE2]],Tabla8[[#This Row],[DESCRIPCION DE TRABAJO]])),""))</f>
        <v/>
      </c>
      <c r="P813" s="303" t="str">
        <f>IFERROR(LEFT(O813, FIND(",", O813)-1), O813)</f>
        <v/>
      </c>
      <c r="Q813" s="303" t="str">
        <f>IFERROR(IF(ISERROR(FIND(",", O813, FIND(",", O813)+1)), RIGHT(O813, LEN(O813)-FIND(",", O813)-1), MID(O813, FIND(",", O813)+2, FIND(",", O813, FIND(",", O813)+1)-FIND(",", O813)-2)), "")</f>
        <v/>
      </c>
      <c r="R813" s="303" t="str">
        <f>IFERROR(RIGHT(O813, LEN(O813)-FIND(",", O813, FIND(",", O813)+1)-1), "")</f>
        <v/>
      </c>
      <c r="S813" s="35" t="str" cm="1">
        <f t="array" ref="S813">_xlfn.TEXTJOIN(", ",TRUE,_xlfn._xlws.FILTER(Tabla29[[#All],[PARTE]],ISNUMBER(SEARCH(Tabla29[[#All],[PCLAVE3]],Tabla8[[#This Row],[DESCRIPCION DE TRABAJO]])),""))</f>
        <v/>
      </c>
      <c r="T813" s="34" t="str">
        <f>IF(AND(Tabla8[[#This Row],[PIEZA]]="",Tabla8[[#This Row],[PARTE]]=""),"VACIO","OK")</f>
        <v>VACIO</v>
      </c>
      <c r="U813" s="303" t="str">
        <f>+CONCATENATE(WEEKNUM(Tabla8[[#This Row],[FECHA]]),"-",YEAR(Tabla8[[#This Row],[FECHA]]))</f>
        <v>15-2026</v>
      </c>
    </row>
    <row r="814" spans="1:21" ht="15" customHeight="1">
      <c r="A814" s="22">
        <v>46119</v>
      </c>
      <c r="B814" s="16" t="s">
        <v>131</v>
      </c>
      <c r="C814" s="10" t="s">
        <v>39</v>
      </c>
      <c r="D814" s="381" t="s">
        <v>434</v>
      </c>
      <c r="E814" s="381" t="s">
        <v>1662</v>
      </c>
      <c r="F814" s="380">
        <f>+MOD(Tabla8[[#This Row],[HR. FIN]]-Tabla8[[#This Row],[HR. INICIO]],1)</f>
        <v>1.3888888888888867E-2</v>
      </c>
      <c r="G814" s="16" t="s">
        <v>222</v>
      </c>
      <c r="H814" s="343" t="str">
        <f>IFERROR(VLOOKUP(G814,DATOS!$M$2:$N$219,2,FALSE),"")</f>
        <v>Maquinaria</v>
      </c>
      <c r="I814" s="115" t="s">
        <v>54</v>
      </c>
      <c r="J814" s="115" t="str">
        <f>+VLOOKUP($I814,Tabla7[#All],2,FALSE)</f>
        <v>PROGRAMADA</v>
      </c>
      <c r="K814" s="114" t="str">
        <f>IF(VLOOKUP(I814,Tabla7[#All],3,FALSE)=0,"",VLOOKUP(I814,Tabla7[#All],3,FALSE))</f>
        <v/>
      </c>
      <c r="L814" s="35" t="s">
        <v>1663</v>
      </c>
      <c r="M814" s="35" t="s">
        <v>121</v>
      </c>
      <c r="N814" s="35" t="str" cm="1">
        <f t="array" ref="N814">IFERROR(IF(Tabla8[[#This Row],[P/NP]]="NO PROGRAMADA","",_xlfn.TEXTJOIN(", ",TRUE,_xlfn._xlws.FILTER(Tabla4[[#All],[PIEZA]],ISNUMBER(SEARCH(Tabla4[[#All],[PCLAVE]],Tabla8[[#This Row],[DESCRIPCION DE TRABAJO]])),""))),"")</f>
        <v/>
      </c>
      <c r="O814" s="35" t="str" cm="1">
        <f t="array" ref="O814">_xlfn.TEXTJOIN(", ",TRUE,_xlfn._xlws.FILTER(Tabla28[[#All],[PARTE]],ISNUMBER(SEARCH(Tabla28[[#All],[PCLAVE2]],Tabla8[[#This Row],[DESCRIPCION DE TRABAJO]])),""))</f>
        <v/>
      </c>
      <c r="P814" s="303" t="str">
        <f>IFERROR(LEFT(O814, FIND(",", O814)-1), O814)</f>
        <v/>
      </c>
      <c r="Q814" s="303" t="str">
        <f>IFERROR(IF(ISERROR(FIND(",", O814, FIND(",", O814)+1)), RIGHT(O814, LEN(O814)-FIND(",", O814)-1), MID(O814, FIND(",", O814)+2, FIND(",", O814, FIND(",", O814)+1)-FIND(",", O814)-2)), "")</f>
        <v/>
      </c>
      <c r="R814" s="303" t="str">
        <f>IFERROR(RIGHT(O814, LEN(O814)-FIND(",", O814, FIND(",", O814)+1)-1), "")</f>
        <v/>
      </c>
      <c r="S814" s="35" t="str" cm="1">
        <f t="array" ref="S814">_xlfn.TEXTJOIN(", ",TRUE,_xlfn._xlws.FILTER(Tabla29[[#All],[PARTE]],ISNUMBER(SEARCH(Tabla29[[#All],[PCLAVE3]],Tabla8[[#This Row],[DESCRIPCION DE TRABAJO]])),""))</f>
        <v/>
      </c>
      <c r="T814" s="34" t="str">
        <f>IF(AND(Tabla8[[#This Row],[PIEZA]]="",Tabla8[[#This Row],[PARTE]]=""),"VACIO","OK")</f>
        <v>VACIO</v>
      </c>
      <c r="U814" s="303" t="str">
        <f>+CONCATENATE(WEEKNUM(Tabla8[[#This Row],[FECHA]]),"-",YEAR(Tabla8[[#This Row],[FECHA]]))</f>
        <v>15-2026</v>
      </c>
    </row>
    <row r="815" spans="1:21" ht="15" customHeight="1">
      <c r="A815" s="22">
        <v>46119</v>
      </c>
      <c r="B815" s="16" t="s">
        <v>191</v>
      </c>
      <c r="C815" s="10" t="s">
        <v>36</v>
      </c>
      <c r="D815" s="381" t="s">
        <v>1664</v>
      </c>
      <c r="E815" s="381" t="s">
        <v>437</v>
      </c>
      <c r="F815" s="380">
        <f>+MOD(Tabla8[[#This Row],[HR. FIN]]-Tabla8[[#This Row],[HR. INICIO]],1)</f>
        <v>1.3194444444444453E-2</v>
      </c>
      <c r="G815" s="16" t="s">
        <v>236</v>
      </c>
      <c r="H815" s="343" t="str">
        <f>IFERROR(VLOOKUP(G815,DATOS!$M$2:$N$219,2,FALSE),"")</f>
        <v>Sistema</v>
      </c>
      <c r="I815" s="115" t="s">
        <v>405</v>
      </c>
      <c r="J815" s="115" t="str">
        <f>+VLOOKUP($I815,Tabla7[#All],2,FALSE)</f>
        <v>PROGRAMADA</v>
      </c>
      <c r="K815" s="114" t="str">
        <f>IF(VLOOKUP(I815,Tabla7[#All],3,FALSE)=0,"",VLOOKUP(I815,Tabla7[#All],3,FALSE))</f>
        <v/>
      </c>
      <c r="L815" s="35" t="s">
        <v>1665</v>
      </c>
      <c r="M815" s="35" t="s">
        <v>1666</v>
      </c>
      <c r="N815" s="35" t="str" cm="1">
        <f t="array" ref="N815">IFERROR(IF(Tabla8[[#This Row],[P/NP]]="NO PROGRAMADA","",_xlfn.TEXTJOIN(", ",TRUE,_xlfn._xlws.FILTER(Tabla4[[#All],[PIEZA]],ISNUMBER(SEARCH(Tabla4[[#All],[PCLAVE]],Tabla8[[#This Row],[DESCRIPCION DE TRABAJO]])),""))),"")</f>
        <v/>
      </c>
      <c r="O815" s="35" t="str" cm="1">
        <f t="array" ref="O815">_xlfn.TEXTJOIN(", ",TRUE,_xlfn._xlws.FILTER(Tabla28[[#All],[PARTE]],ISNUMBER(SEARCH(Tabla28[[#All],[PCLAVE2]],Tabla8[[#This Row],[DESCRIPCION DE TRABAJO]])),""))</f>
        <v/>
      </c>
      <c r="P815" s="303" t="str">
        <f>IFERROR(LEFT(O815, FIND(",", O815)-1), O815)</f>
        <v/>
      </c>
      <c r="Q815" s="303" t="str">
        <f>IFERROR(IF(ISERROR(FIND(",", O815, FIND(",", O815)+1)), RIGHT(O815, LEN(O815)-FIND(",", O815)-1), MID(O815, FIND(",", O815)+2, FIND(",", O815, FIND(",", O815)+1)-FIND(",", O815)-2)), "")</f>
        <v/>
      </c>
      <c r="R815" s="303" t="str">
        <f>IFERROR(RIGHT(O815, LEN(O815)-FIND(",", O815, FIND(",", O815)+1)-1), "")</f>
        <v/>
      </c>
      <c r="S815" s="35" t="str" cm="1">
        <f t="array" ref="S815">_xlfn.TEXTJOIN(", ",TRUE,_xlfn._xlws.FILTER(Tabla29[[#All],[PARTE]],ISNUMBER(SEARCH(Tabla29[[#All],[PCLAVE3]],Tabla8[[#This Row],[DESCRIPCION DE TRABAJO]])),""))</f>
        <v>Bajo Nivel, Nivel</v>
      </c>
      <c r="T815" s="34" t="str">
        <f>IF(AND(Tabla8[[#This Row],[PIEZA]]="",Tabla8[[#This Row],[PARTE]]=""),"VACIO","OK")</f>
        <v>VACIO</v>
      </c>
      <c r="U815" s="303" t="str">
        <f>+CONCATENATE(WEEKNUM(Tabla8[[#This Row],[FECHA]]),"-",YEAR(Tabla8[[#This Row],[FECHA]]))</f>
        <v>15-2026</v>
      </c>
    </row>
    <row r="816" spans="1:21" ht="15" customHeight="1">
      <c r="A816" s="22">
        <v>46119</v>
      </c>
      <c r="B816" s="16" t="s">
        <v>191</v>
      </c>
      <c r="C816" s="10" t="s">
        <v>36</v>
      </c>
      <c r="D816" s="381" t="s">
        <v>1667</v>
      </c>
      <c r="E816" s="381" t="s">
        <v>879</v>
      </c>
      <c r="F816" s="380">
        <f>+MOD(Tabla8[[#This Row],[HR. FIN]]-Tabla8[[#This Row],[HR. INICIO]],1)</f>
        <v>1.2500000000000011E-2</v>
      </c>
      <c r="G816" s="16" t="s">
        <v>198</v>
      </c>
      <c r="H816" s="343" t="str">
        <f>IFERROR(VLOOKUP(G816,DATOS!$M$2:$N$219,2,FALSE),"")</f>
        <v>Maquinaria</v>
      </c>
      <c r="I816" s="115" t="s">
        <v>57</v>
      </c>
      <c r="J816" s="115" t="str">
        <f>+VLOOKUP($I816,Tabla7[#All],2,FALSE)</f>
        <v>NO PROGRAMADA</v>
      </c>
      <c r="K816" s="114" t="str">
        <f>IF(VLOOKUP(I816,Tabla7[#All],3,FALSE)=0,"",VLOOKUP(I816,Tabla7[#All],3,FALSE))</f>
        <v>MECÁNICA</v>
      </c>
      <c r="L816" s="35" t="s">
        <v>1668</v>
      </c>
      <c r="M816" s="35" t="s">
        <v>1669</v>
      </c>
      <c r="N816" s="35" t="str" cm="1">
        <f t="array" ref="N816">IFERROR(IF(Tabla8[[#This Row],[P/NP]]="NO PROGRAMADA","",_xlfn.TEXTJOIN(", ",TRUE,_xlfn._xlws.FILTER(Tabla4[[#All],[PIEZA]],ISNUMBER(SEARCH(Tabla4[[#All],[PCLAVE]],Tabla8[[#This Row],[DESCRIPCION DE TRABAJO]])),""))),"")</f>
        <v/>
      </c>
      <c r="O816" s="35" t="str" cm="1">
        <f t="array" ref="O816">_xlfn.TEXTJOIN(", ",TRUE,_xlfn._xlws.FILTER(Tabla28[[#All],[PARTE]],ISNUMBER(SEARCH(Tabla28[[#All],[PCLAVE2]],Tabla8[[#This Row],[DESCRIPCION DE TRABAJO]])),""))</f>
        <v/>
      </c>
      <c r="P816" s="303" t="str">
        <f>IFERROR(LEFT(O816, FIND(",", O816)-1), O816)</f>
        <v/>
      </c>
      <c r="Q816" s="303" t="str">
        <f>IFERROR(IF(ISERROR(FIND(",", O816, FIND(",", O816)+1)), RIGHT(O816, LEN(O816)-FIND(",", O816)-1), MID(O816, FIND(",", O816)+2, FIND(",", O816, FIND(",", O816)+1)-FIND(",", O816)-2)), "")</f>
        <v/>
      </c>
      <c r="R816" s="303" t="str">
        <f>IFERROR(RIGHT(O816, LEN(O816)-FIND(",", O816, FIND(",", O816)+1)-1), "")</f>
        <v/>
      </c>
      <c r="S816" s="35" t="str" cm="1">
        <f t="array" ref="S816">_xlfn.TEXTJOIN(", ",TRUE,_xlfn._xlws.FILTER(Tabla29[[#All],[PARTE]],ISNUMBER(SEARCH(Tabla29[[#All],[PCLAVE3]],Tabla8[[#This Row],[DESCRIPCION DE TRABAJO]])),""))</f>
        <v/>
      </c>
      <c r="T816" s="34" t="str">
        <f>IF(AND(Tabla8[[#This Row],[PIEZA]]="",Tabla8[[#This Row],[PARTE]]=""),"VACIO","OK")</f>
        <v>VACIO</v>
      </c>
      <c r="U816" s="303" t="str">
        <f>+CONCATENATE(WEEKNUM(Tabla8[[#This Row],[FECHA]]),"-",YEAR(Tabla8[[#This Row],[FECHA]]))</f>
        <v>15-2026</v>
      </c>
    </row>
    <row r="817" spans="1:21" ht="15" customHeight="1">
      <c r="A817" s="22">
        <v>46119</v>
      </c>
      <c r="B817" s="16" t="s">
        <v>88</v>
      </c>
      <c r="C817" s="10" t="s">
        <v>36</v>
      </c>
      <c r="D817" s="381" t="s">
        <v>127</v>
      </c>
      <c r="E817" s="381" t="s">
        <v>462</v>
      </c>
      <c r="F817" s="380">
        <f>+MOD(Tabla8[[#This Row],[HR. FIN]]-Tabla8[[#This Row],[HR. INICIO]],1)</f>
        <v>1.0416666666666685E-2</v>
      </c>
      <c r="G817" s="16" t="s">
        <v>24</v>
      </c>
      <c r="H817" s="343" t="str">
        <f>IFERROR(VLOOKUP(G817,DATOS!$M$2:$N$219,2,FALSE),"")</f>
        <v>Maquinaria</v>
      </c>
      <c r="I817" s="115" t="s">
        <v>28</v>
      </c>
      <c r="J817" s="115" t="str">
        <f>+VLOOKUP($I817,Tabla7[#All],2,FALSE)</f>
        <v>NO PROGRAMADA</v>
      </c>
      <c r="K817" s="114" t="s">
        <v>93</v>
      </c>
      <c r="L817" s="35" t="s">
        <v>1670</v>
      </c>
      <c r="M817" s="35" t="s">
        <v>1671</v>
      </c>
      <c r="N817" s="35" t="str" cm="1">
        <f t="array" ref="N817">IFERROR(IF(Tabla8[[#This Row],[P/NP]]="NO PROGRAMADA","",_xlfn.TEXTJOIN(", ",TRUE,_xlfn._xlws.FILTER(Tabla4[[#All],[PIEZA]],ISNUMBER(SEARCH(Tabla4[[#All],[PCLAVE]],Tabla8[[#This Row],[DESCRIPCION DE TRABAJO]])),""))),"")</f>
        <v/>
      </c>
      <c r="O817" s="35" t="str" cm="1">
        <f t="array" ref="O817">_xlfn.TEXTJOIN(", ",TRUE,_xlfn._xlws.FILTER(Tabla28[[#All],[PARTE]],ISNUMBER(SEARCH(Tabla28[[#All],[PCLAVE2]],Tabla8[[#This Row],[DESCRIPCION DE TRABAJO]])),""))</f>
        <v/>
      </c>
      <c r="P817" s="303" t="str">
        <f>IFERROR(LEFT(O817, FIND(",", O817)-1), O817)</f>
        <v/>
      </c>
      <c r="Q817" s="303" t="str">
        <f>IFERROR(IF(ISERROR(FIND(",", O817, FIND(",", O817)+1)), RIGHT(O817, LEN(O817)-FIND(",", O817)-1), MID(O817, FIND(",", O817)+2, FIND(",", O817, FIND(",", O817)+1)-FIND(",", O817)-2)), "")</f>
        <v/>
      </c>
      <c r="R817" s="303" t="str">
        <f>IFERROR(RIGHT(O817, LEN(O817)-FIND(",", O817, FIND(",", O817)+1)-1), "")</f>
        <v/>
      </c>
      <c r="S817" s="35" t="str" cm="1">
        <f t="array" ref="S817">_xlfn.TEXTJOIN(", ",TRUE,_xlfn._xlws.FILTER(Tabla29[[#All],[PARTE]],ISNUMBER(SEARCH(Tabla29[[#All],[PCLAVE3]],Tabla8[[#This Row],[DESCRIPCION DE TRABAJO]])),""))</f>
        <v>Desgaste</v>
      </c>
      <c r="T817" s="34" t="str">
        <f>IF(AND(Tabla8[[#This Row],[PIEZA]]="",Tabla8[[#This Row],[PARTE]]=""),"VACIO","OK")</f>
        <v>VACIO</v>
      </c>
      <c r="U817" s="303" t="str">
        <f>+CONCATENATE(WEEKNUM(Tabla8[[#This Row],[FECHA]]),"-",YEAR(Tabla8[[#This Row],[FECHA]]))</f>
        <v>15-2026</v>
      </c>
    </row>
    <row r="818" spans="1:21" ht="15" customHeight="1">
      <c r="A818" s="22">
        <v>46119</v>
      </c>
      <c r="B818" s="16" t="s">
        <v>131</v>
      </c>
      <c r="C818" s="10" t="s">
        <v>39</v>
      </c>
      <c r="D818" s="381" t="s">
        <v>171</v>
      </c>
      <c r="E818" s="381" t="s">
        <v>172</v>
      </c>
      <c r="F818" s="380">
        <f>+MOD(Tabla8[[#This Row],[HR. FIN]]-Tabla8[[#This Row],[HR. INICIO]],1)</f>
        <v>1.041666666666663E-2</v>
      </c>
      <c r="G818" s="16" t="s">
        <v>721</v>
      </c>
      <c r="H818" s="343" t="str">
        <f>IFERROR(VLOOKUP(G818,DATOS!$M$2:$N$219,2,FALSE),"")</f>
        <v>Maquinaria</v>
      </c>
      <c r="I818" s="115" t="s">
        <v>186</v>
      </c>
      <c r="J818" s="115" t="str">
        <f>+VLOOKUP($I818,Tabla7[#All],2,FALSE)</f>
        <v>NO PROGRAMADA</v>
      </c>
      <c r="K818" s="114" t="str">
        <f>IF(VLOOKUP(I818,Tabla7[#All],3,FALSE)=0,"",VLOOKUP(I818,Tabla7[#All],3,FALSE))</f>
        <v>ELÉCTRICA</v>
      </c>
      <c r="L818" s="35" t="s">
        <v>1672</v>
      </c>
      <c r="M818" s="35" t="s">
        <v>1673</v>
      </c>
      <c r="N818" s="35" t="str" cm="1">
        <f t="array" ref="N818">IFERROR(IF(Tabla8[[#This Row],[P/NP]]="NO PROGRAMADA","",_xlfn.TEXTJOIN(", ",TRUE,_xlfn._xlws.FILTER(Tabla4[[#All],[PIEZA]],ISNUMBER(SEARCH(Tabla4[[#All],[PCLAVE]],Tabla8[[#This Row],[DESCRIPCION DE TRABAJO]])),""))),"")</f>
        <v/>
      </c>
      <c r="O818" s="35" t="str" cm="1">
        <f t="array" ref="O818">_xlfn.TEXTJOIN(", ",TRUE,_xlfn._xlws.FILTER(Tabla28[[#All],[PARTE]],ISNUMBER(SEARCH(Tabla28[[#All],[PCLAVE2]],Tabla8[[#This Row],[DESCRIPCION DE TRABAJO]])),""))</f>
        <v/>
      </c>
      <c r="P818" s="303" t="str">
        <f>IFERROR(LEFT(O818, FIND(",", O818)-1), O818)</f>
        <v/>
      </c>
      <c r="Q818" s="303" t="str">
        <f>IFERROR(IF(ISERROR(FIND(",", O818, FIND(",", O818)+1)), RIGHT(O818, LEN(O818)-FIND(",", O818)-1), MID(O818, FIND(",", O818)+2, FIND(",", O818, FIND(",", O818)+1)-FIND(",", O818)-2)), "")</f>
        <v/>
      </c>
      <c r="R818" s="303" t="str">
        <f>IFERROR(RIGHT(O818, LEN(O818)-FIND(",", O818, FIND(",", O818)+1)-1), "")</f>
        <v/>
      </c>
      <c r="S818" s="35" t="str" cm="1">
        <f t="array" ref="S818">_xlfn.TEXTJOIN(", ",TRUE,_xlfn._xlws.FILTER(Tabla29[[#All],[PARTE]],ISNUMBER(SEARCH(Tabla29[[#All],[PCLAVE3]],Tabla8[[#This Row],[DESCRIPCION DE TRABAJO]])),""))</f>
        <v/>
      </c>
      <c r="T818" s="34" t="str">
        <f>IF(AND(Tabla8[[#This Row],[PIEZA]]="",Tabla8[[#This Row],[PARTE]]=""),"VACIO","OK")</f>
        <v>VACIO</v>
      </c>
      <c r="U818" s="303" t="str">
        <f>+CONCATENATE(WEEKNUM(Tabla8[[#This Row],[FECHA]]),"-",YEAR(Tabla8[[#This Row],[FECHA]]))</f>
        <v>15-2026</v>
      </c>
    </row>
    <row r="819" spans="1:21" ht="15" customHeight="1">
      <c r="A819" s="22">
        <v>46120</v>
      </c>
      <c r="B819" s="16" t="s">
        <v>179</v>
      </c>
      <c r="C819" s="10" t="s">
        <v>23</v>
      </c>
      <c r="D819" s="381" t="s">
        <v>1674</v>
      </c>
      <c r="E819" s="381" t="s">
        <v>1102</v>
      </c>
      <c r="F819" s="380">
        <f>+MOD(Tabla8[[#This Row],[HR. FIN]]-Tabla8[[#This Row],[HR. INICIO]],1)</f>
        <v>2.777777777777779E-2</v>
      </c>
      <c r="G819" s="16" t="s">
        <v>192</v>
      </c>
      <c r="H819" s="343" t="str">
        <f>IFERROR(VLOOKUP(G819,DATOS!$M$2:$N$219,2,FALSE),"")</f>
        <v>Maquinaria</v>
      </c>
      <c r="I819" s="115" t="s">
        <v>32</v>
      </c>
      <c r="J819" s="115" t="str">
        <f>+VLOOKUP($I819,Tabla7[#All],2,FALSE)</f>
        <v>PROGRAMADA</v>
      </c>
      <c r="K819" s="114" t="str">
        <f>IF(VLOOKUP(I819,Tabla7[#All],3,FALSE)=0,"",VLOOKUP(I819,Tabla7[#All],3,FALSE))</f>
        <v/>
      </c>
      <c r="L819" s="35" t="s">
        <v>1675</v>
      </c>
      <c r="M819" s="35" t="s">
        <v>121</v>
      </c>
      <c r="N819" s="35" t="str" cm="1">
        <f t="array" ref="N819">IFERROR(IF(Tabla8[[#This Row],[P/NP]]="NO PROGRAMADA","",_xlfn.TEXTJOIN(", ",TRUE,_xlfn._xlws.FILTER(Tabla4[[#All],[PIEZA]],ISNUMBER(SEARCH(Tabla4[[#All],[PCLAVE]],Tabla8[[#This Row],[DESCRIPCION DE TRABAJO]])),""))),"")</f>
        <v/>
      </c>
      <c r="O819" s="35" t="str" cm="1">
        <f t="array" ref="O819">_xlfn.TEXTJOIN(", ",TRUE,_xlfn._xlws.FILTER(Tabla28[[#All],[PARTE]],ISNUMBER(SEARCH(Tabla28[[#All],[PCLAVE2]],Tabla8[[#This Row],[DESCRIPCION DE TRABAJO]])),""))</f>
        <v/>
      </c>
      <c r="P819" s="303" t="str">
        <f>IFERROR(LEFT(O819, FIND(",", O819)-1), O819)</f>
        <v/>
      </c>
      <c r="Q819" s="303" t="str">
        <f>IFERROR(IF(ISERROR(FIND(",", O819, FIND(",", O819)+1)), RIGHT(O819, LEN(O819)-FIND(",", O819)-1), MID(O819, FIND(",", O819)+2, FIND(",", O819, FIND(",", O819)+1)-FIND(",", O819)-2)), "")</f>
        <v/>
      </c>
      <c r="R819" s="303" t="str">
        <f>IFERROR(RIGHT(O819, LEN(O819)-FIND(",", O819, FIND(",", O819)+1)-1), "")</f>
        <v/>
      </c>
      <c r="S819" s="35" t="str" cm="1">
        <f t="array" ref="S819">_xlfn.TEXTJOIN(", ",TRUE,_xlfn._xlws.FILTER(Tabla29[[#All],[PARTE]],ISNUMBER(SEARCH(Tabla29[[#All],[PCLAVE3]],Tabla8[[#This Row],[DESCRIPCION DE TRABAJO]])),""))</f>
        <v>Cambio De Formato</v>
      </c>
      <c r="T819" s="34" t="str">
        <f>IF(AND(Tabla8[[#This Row],[PIEZA]]="",Tabla8[[#This Row],[PARTE]]=""),"VACIO","OK")</f>
        <v>VACIO</v>
      </c>
      <c r="U819" s="303" t="str">
        <f>+CONCATENATE(WEEKNUM(Tabla8[[#This Row],[FECHA]]),"-",YEAR(Tabla8[[#This Row],[FECHA]]))</f>
        <v>15-2026</v>
      </c>
    </row>
    <row r="820" spans="1:21" ht="15" customHeight="1">
      <c r="A820" s="22">
        <v>46120</v>
      </c>
      <c r="B820" s="16" t="s">
        <v>179</v>
      </c>
      <c r="C820" s="10" t="s">
        <v>23</v>
      </c>
      <c r="D820" s="381" t="s">
        <v>1676</v>
      </c>
      <c r="E820" s="381" t="s">
        <v>1677</v>
      </c>
      <c r="F820" s="380">
        <f>+MOD(Tabla8[[#This Row],[HR. FIN]]-Tabla8[[#This Row],[HR. INICIO]],1)</f>
        <v>2.7083333333333348E-2</v>
      </c>
      <c r="G820" s="16" t="s">
        <v>833</v>
      </c>
      <c r="H820" s="343" t="str">
        <f>IFERROR(VLOOKUP(G820,DATOS!$M$2:$N$219,2,FALSE),"")</f>
        <v>Area</v>
      </c>
      <c r="I820" s="115" t="s">
        <v>390</v>
      </c>
      <c r="J820" s="115" t="str">
        <f>+VLOOKUP($I820,Tabla7[#All],2,FALSE)</f>
        <v>PROGRAMADA</v>
      </c>
      <c r="K820" s="114" t="str">
        <f>IF(VLOOKUP(I820,Tabla7[#All],3,FALSE)=0,"",VLOOKUP(I820,Tabla7[#All],3,FALSE))</f>
        <v/>
      </c>
      <c r="L820" s="35" t="s">
        <v>1678</v>
      </c>
      <c r="M820" s="35" t="s">
        <v>121</v>
      </c>
      <c r="N820" s="35" t="str" cm="1">
        <f t="array" ref="N820">IFERROR(IF(Tabla8[[#This Row],[P/NP]]="NO PROGRAMADA","",_xlfn.TEXTJOIN(", ",TRUE,_xlfn._xlws.FILTER(Tabla4[[#All],[PIEZA]],ISNUMBER(SEARCH(Tabla4[[#All],[PCLAVE]],Tabla8[[#This Row],[DESCRIPCION DE TRABAJO]])),""))),"")</f>
        <v/>
      </c>
      <c r="O820" s="35" t="str" cm="1">
        <f t="array" ref="O820">_xlfn.TEXTJOIN(", ",TRUE,_xlfn._xlws.FILTER(Tabla28[[#All],[PARTE]],ISNUMBER(SEARCH(Tabla28[[#All],[PCLAVE2]],Tabla8[[#This Row],[DESCRIPCION DE TRABAJO]])),""))</f>
        <v/>
      </c>
      <c r="P820" s="303" t="str">
        <f>IFERROR(LEFT(O820, FIND(",", O820)-1), O820)</f>
        <v/>
      </c>
      <c r="Q820" s="303" t="str">
        <f>IFERROR(IF(ISERROR(FIND(",", O820, FIND(",", O820)+1)), RIGHT(O820, LEN(O820)-FIND(",", O820)-1), MID(O820, FIND(",", O820)+2, FIND(",", O820, FIND(",", O820)+1)-FIND(",", O820)-2)), "")</f>
        <v/>
      </c>
      <c r="R820" s="303" t="str">
        <f>IFERROR(RIGHT(O820, LEN(O820)-FIND(",", O820, FIND(",", O820)+1)-1), "")</f>
        <v/>
      </c>
      <c r="S820" s="35" t="str" cm="1">
        <f t="array" ref="S820">_xlfn.TEXTJOIN(", ",TRUE,_xlfn._xlws.FILTER(Tabla29[[#All],[PARTE]],ISNUMBER(SEARCH(Tabla29[[#All],[PCLAVE3]],Tabla8[[#This Row],[DESCRIPCION DE TRABAJO]])),""))</f>
        <v/>
      </c>
      <c r="T820" s="34" t="str">
        <f>IF(AND(Tabla8[[#This Row],[PIEZA]]="",Tabla8[[#This Row],[PARTE]]=""),"VACIO","OK")</f>
        <v>VACIO</v>
      </c>
      <c r="U820" s="303" t="str">
        <f>+CONCATENATE(WEEKNUM(Tabla8[[#This Row],[FECHA]]),"-",YEAR(Tabla8[[#This Row],[FECHA]]))</f>
        <v>15-2026</v>
      </c>
    </row>
    <row r="821" spans="1:21" ht="15" customHeight="1">
      <c r="A821" s="22">
        <v>46120</v>
      </c>
      <c r="B821" s="16" t="s">
        <v>131</v>
      </c>
      <c r="C821" s="10" t="s">
        <v>39</v>
      </c>
      <c r="D821" s="381" t="s">
        <v>315</v>
      </c>
      <c r="E821" s="381" t="s">
        <v>319</v>
      </c>
      <c r="F821" s="380">
        <f>+MOD(Tabla8[[#This Row],[HR. FIN]]-Tabla8[[#This Row],[HR. INICIO]],1)</f>
        <v>2.4305555555555552E-2</v>
      </c>
      <c r="G821" s="16" t="s">
        <v>119</v>
      </c>
      <c r="H821" s="343" t="str">
        <f>IFERROR(VLOOKUP(G821,DATOS!$M$2:$N$219,2,FALSE),"")</f>
        <v>Maquinaria</v>
      </c>
      <c r="I821" s="115" t="s">
        <v>32</v>
      </c>
      <c r="J821" s="115" t="str">
        <f>+VLOOKUP($I821,Tabla7[#All],2,FALSE)</f>
        <v>PROGRAMADA</v>
      </c>
      <c r="K821" s="114" t="str">
        <f>IF(VLOOKUP(I821,Tabla7[#All],3,FALSE)=0,"",VLOOKUP(I821,Tabla7[#All],3,FALSE))</f>
        <v/>
      </c>
      <c r="L821" s="35" t="s">
        <v>1679</v>
      </c>
      <c r="M821" s="35" t="s">
        <v>121</v>
      </c>
      <c r="N821" s="35" t="str" cm="1">
        <f t="array" ref="N821">IFERROR(IF(Tabla8[[#This Row],[P/NP]]="NO PROGRAMADA","",_xlfn.TEXTJOIN(", ",TRUE,_xlfn._xlws.FILTER(Tabla4[[#All],[PIEZA]],ISNUMBER(SEARCH(Tabla4[[#All],[PCLAVE]],Tabla8[[#This Row],[DESCRIPCION DE TRABAJO]])),""))),"")</f>
        <v/>
      </c>
      <c r="O821" s="35" t="str" cm="1">
        <f t="array" ref="O821">_xlfn.TEXTJOIN(", ",TRUE,_xlfn._xlws.FILTER(Tabla28[[#All],[PARTE]],ISNUMBER(SEARCH(Tabla28[[#All],[PCLAVE2]],Tabla8[[#This Row],[DESCRIPCION DE TRABAJO]])),""))</f>
        <v>Mds</v>
      </c>
      <c r="P821" s="303" t="str">
        <f>IFERROR(LEFT(O821, FIND(",", O821)-1), O821)</f>
        <v>Mds</v>
      </c>
      <c r="Q821" s="303" t="str">
        <f>IFERROR(IF(ISERROR(FIND(",", O821, FIND(",", O821)+1)), RIGHT(O821, LEN(O821)-FIND(",", O821)-1), MID(O821, FIND(",", O821)+2, FIND(",", O821, FIND(",", O821)+1)-FIND(",", O821)-2)), "")</f>
        <v/>
      </c>
      <c r="R821" s="303" t="str">
        <f>IFERROR(RIGHT(O821, LEN(O821)-FIND(",", O821, FIND(",", O821)+1)-1), "")</f>
        <v/>
      </c>
      <c r="S821" s="35" t="str" cm="1">
        <f t="array" ref="S821">_xlfn.TEXTJOIN(", ",TRUE,_xlfn._xlws.FILTER(Tabla29[[#All],[PARTE]],ISNUMBER(SEARCH(Tabla29[[#All],[PCLAVE3]],Tabla8[[#This Row],[DESCRIPCION DE TRABAJO]])),""))</f>
        <v/>
      </c>
      <c r="T821" s="34" t="str">
        <f>IF(AND(Tabla8[[#This Row],[PIEZA]]="",Tabla8[[#This Row],[PARTE]]=""),"VACIO","OK")</f>
        <v>OK</v>
      </c>
      <c r="U821" s="303" t="str">
        <f>+CONCATENATE(WEEKNUM(Tabla8[[#This Row],[FECHA]]),"-",YEAR(Tabla8[[#This Row],[FECHA]]))</f>
        <v>15-2026</v>
      </c>
    </row>
    <row r="822" spans="1:21" ht="15" customHeight="1">
      <c r="A822" s="22">
        <v>46120</v>
      </c>
      <c r="B822" s="16" t="s">
        <v>179</v>
      </c>
      <c r="C822" s="10" t="s">
        <v>23</v>
      </c>
      <c r="D822" s="381" t="s">
        <v>699</v>
      </c>
      <c r="E822" s="381" t="s">
        <v>537</v>
      </c>
      <c r="F822" s="380">
        <f>+MOD(Tabla8[[#This Row],[HR. FIN]]-Tabla8[[#This Row],[HR. INICIO]],1)</f>
        <v>2.4305555555555525E-2</v>
      </c>
      <c r="G822" s="16" t="s">
        <v>169</v>
      </c>
      <c r="H822" s="343" t="str">
        <f>IFERROR(VLOOKUP(G822,DATOS!$M$2:$N$219,2,FALSE),"")</f>
        <v>Maquinaria</v>
      </c>
      <c r="I822" s="115" t="s">
        <v>32</v>
      </c>
      <c r="J822" s="115" t="str">
        <f>+VLOOKUP($I822,Tabla7[#All],2,FALSE)</f>
        <v>PROGRAMADA</v>
      </c>
      <c r="K822" s="114" t="str">
        <f>IF(VLOOKUP(I822,Tabla7[#All],3,FALSE)=0,"",VLOOKUP(I822,Tabla7[#All],3,FALSE))</f>
        <v/>
      </c>
      <c r="L822" s="35" t="s">
        <v>1680</v>
      </c>
      <c r="M822" s="35" t="s">
        <v>121</v>
      </c>
      <c r="N822" s="35" t="str" cm="1">
        <f t="array" ref="N822">IFERROR(IF(Tabla8[[#This Row],[P/NP]]="NO PROGRAMADA","",_xlfn.TEXTJOIN(", ",TRUE,_xlfn._xlws.FILTER(Tabla4[[#All],[PIEZA]],ISNUMBER(SEARCH(Tabla4[[#All],[PCLAVE]],Tabla8[[#This Row],[DESCRIPCION DE TRABAJO]])),""))),"")</f>
        <v/>
      </c>
      <c r="O822" s="35" t="str" cm="1">
        <f t="array" ref="O822">_xlfn.TEXTJOIN(", ",TRUE,_xlfn._xlws.FILTER(Tabla28[[#All],[PARTE]],ISNUMBER(SEARCH(Tabla28[[#All],[PCLAVE2]],Tabla8[[#This Row],[DESCRIPCION DE TRABAJO]])),""))</f>
        <v/>
      </c>
      <c r="P822" s="303" t="str">
        <f>IFERROR(LEFT(O822, FIND(",", O822)-1), O822)</f>
        <v/>
      </c>
      <c r="Q822" s="303" t="str">
        <f>IFERROR(IF(ISERROR(FIND(",", O822, FIND(",", O822)+1)), RIGHT(O822, LEN(O822)-FIND(",", O822)-1), MID(O822, FIND(",", O822)+2, FIND(",", O822, FIND(",", O822)+1)-FIND(",", O822)-2)), "")</f>
        <v/>
      </c>
      <c r="R822" s="303" t="str">
        <f>IFERROR(RIGHT(O822, LEN(O822)-FIND(",", O822, FIND(",", O822)+1)-1), "")</f>
        <v/>
      </c>
      <c r="S822" s="35" t="str" cm="1">
        <f t="array" ref="S822">_xlfn.TEXTJOIN(", ",TRUE,_xlfn._xlws.FILTER(Tabla29[[#All],[PARTE]],ISNUMBER(SEARCH(Tabla29[[#All],[PCLAVE3]],Tabla8[[#This Row],[DESCRIPCION DE TRABAJO]])),""))</f>
        <v/>
      </c>
      <c r="T822" s="34" t="str">
        <f>IF(AND(Tabla8[[#This Row],[PIEZA]]="",Tabla8[[#This Row],[PARTE]]=""),"VACIO","OK")</f>
        <v>VACIO</v>
      </c>
      <c r="U822" s="303" t="str">
        <f>+CONCATENATE(WEEKNUM(Tabla8[[#This Row],[FECHA]]),"-",YEAR(Tabla8[[#This Row],[FECHA]]))</f>
        <v>15-2026</v>
      </c>
    </row>
    <row r="823" spans="1:21" ht="15" customHeight="1">
      <c r="A823" s="22">
        <v>46120</v>
      </c>
      <c r="B823" s="16" t="s">
        <v>179</v>
      </c>
      <c r="C823" s="10" t="s">
        <v>23</v>
      </c>
      <c r="D823" s="381" t="s">
        <v>107</v>
      </c>
      <c r="E823" s="381" t="s">
        <v>281</v>
      </c>
      <c r="F823" s="380">
        <f>+MOD(Tabla8[[#This Row],[HR. FIN]]-Tabla8[[#This Row],[HR. INICIO]],1)</f>
        <v>2.083333333333337E-2</v>
      </c>
      <c r="G823" s="16" t="s">
        <v>833</v>
      </c>
      <c r="H823" s="343" t="str">
        <f>IFERROR(VLOOKUP(G823,DATOS!$M$2:$N$219,2,FALSE),"")</f>
        <v>Area</v>
      </c>
      <c r="I823" s="115" t="s">
        <v>390</v>
      </c>
      <c r="J823" s="115" t="str">
        <f>+VLOOKUP($I823,Tabla7[#All],2,FALSE)</f>
        <v>PROGRAMADA</v>
      </c>
      <c r="K823" s="114" t="str">
        <f>IF(VLOOKUP(I823,Tabla7[#All],3,FALSE)=0,"",VLOOKUP(I823,Tabla7[#All],3,FALSE))</f>
        <v/>
      </c>
      <c r="L823" s="35" t="s">
        <v>1681</v>
      </c>
      <c r="M823" s="35" t="s">
        <v>121</v>
      </c>
      <c r="N823" s="35" t="str" cm="1">
        <f t="array" ref="N823">IFERROR(IF(Tabla8[[#This Row],[P/NP]]="NO PROGRAMADA","",_xlfn.TEXTJOIN(", ",TRUE,_xlfn._xlws.FILTER(Tabla4[[#All],[PIEZA]],ISNUMBER(SEARCH(Tabla4[[#All],[PCLAVE]],Tabla8[[#This Row],[DESCRIPCION DE TRABAJO]])),""))),"")</f>
        <v/>
      </c>
      <c r="O823" s="35" t="str" cm="1">
        <f t="array" ref="O823">_xlfn.TEXTJOIN(", ",TRUE,_xlfn._xlws.FILTER(Tabla28[[#All],[PARTE]],ISNUMBER(SEARCH(Tabla28[[#All],[PCLAVE2]],Tabla8[[#This Row],[DESCRIPCION DE TRABAJO]])),""))</f>
        <v/>
      </c>
      <c r="P823" s="303" t="str">
        <f>IFERROR(LEFT(O823, FIND(",", O823)-1), O823)</f>
        <v/>
      </c>
      <c r="Q823" s="303" t="str">
        <f>IFERROR(IF(ISERROR(FIND(",", O823, FIND(",", O823)+1)), RIGHT(O823, LEN(O823)-FIND(",", O823)-1), MID(O823, FIND(",", O823)+2, FIND(",", O823, FIND(",", O823)+1)-FIND(",", O823)-2)), "")</f>
        <v/>
      </c>
      <c r="R823" s="303" t="str">
        <f>IFERROR(RIGHT(O823, LEN(O823)-FIND(",", O823, FIND(",", O823)+1)-1), "")</f>
        <v/>
      </c>
      <c r="S823" s="35" t="str" cm="1">
        <f t="array" ref="S823">_xlfn.TEXTJOIN(", ",TRUE,_xlfn._xlws.FILTER(Tabla29[[#All],[PARTE]],ISNUMBER(SEARCH(Tabla29[[#All],[PCLAVE3]],Tabla8[[#This Row],[DESCRIPCION DE TRABAJO]])),""))</f>
        <v/>
      </c>
      <c r="T823" s="34" t="str">
        <f>IF(AND(Tabla8[[#This Row],[PIEZA]]="",Tabla8[[#This Row],[PARTE]]=""),"VACIO","OK")</f>
        <v>VACIO</v>
      </c>
      <c r="U823" s="303" t="str">
        <f>+CONCATENATE(WEEKNUM(Tabla8[[#This Row],[FECHA]]),"-",YEAR(Tabla8[[#This Row],[FECHA]]))</f>
        <v>15-2026</v>
      </c>
    </row>
    <row r="824" spans="1:21" ht="15" customHeight="1">
      <c r="A824" s="22">
        <v>46120</v>
      </c>
      <c r="B824" s="16" t="s">
        <v>179</v>
      </c>
      <c r="C824" s="10" t="s">
        <v>23</v>
      </c>
      <c r="D824" s="381" t="s">
        <v>526</v>
      </c>
      <c r="E824" s="381" t="s">
        <v>584</v>
      </c>
      <c r="F824" s="380">
        <f>+MOD(Tabla8[[#This Row],[HR. FIN]]-Tabla8[[#This Row],[HR. INICIO]],1)</f>
        <v>2.083333333333337E-2</v>
      </c>
      <c r="G824" s="16" t="s">
        <v>270</v>
      </c>
      <c r="H824" s="343" t="str">
        <f>IFERROR(VLOOKUP(G824,DATOS!$M$2:$N$219,2,FALSE),"")</f>
        <v>Maquinaria</v>
      </c>
      <c r="I824" s="115" t="s">
        <v>57</v>
      </c>
      <c r="J824" s="115" t="s">
        <v>157</v>
      </c>
      <c r="K824" s="114"/>
      <c r="L824" s="35" t="s">
        <v>1682</v>
      </c>
      <c r="M824" s="35" t="s">
        <v>121</v>
      </c>
      <c r="N824" s="35" t="str" cm="1">
        <f t="array" ref="N824">IFERROR(IF(Tabla8[[#This Row],[P/NP]]="NO PROGRAMADA","",_xlfn.TEXTJOIN(", ",TRUE,_xlfn._xlws.FILTER(Tabla4[[#All],[PIEZA]],ISNUMBER(SEARCH(Tabla4[[#All],[PCLAVE]],Tabla8[[#This Row],[DESCRIPCION DE TRABAJO]])),""))),"")</f>
        <v>Moldes</v>
      </c>
      <c r="O824" s="35" t="str" cm="1">
        <f t="array" ref="O824">_xlfn.TEXTJOIN(", ",TRUE,_xlfn._xlws.FILTER(Tabla28[[#All],[PARTE]],ISNUMBER(SEARCH(Tabla28[[#All],[PCLAVE2]],Tabla8[[#This Row],[DESCRIPCION DE TRABAJO]])),""))</f>
        <v>Robot</v>
      </c>
      <c r="P824" s="303" t="str">
        <f>IFERROR(LEFT(O824, FIND(",", O824)-1), O824)</f>
        <v>Robot</v>
      </c>
      <c r="Q824" s="303" t="str">
        <f>IFERROR(IF(ISERROR(FIND(",", O824, FIND(",", O824)+1)), RIGHT(O824, LEN(O824)-FIND(",", O824)-1), MID(O824, FIND(",", O824)+2, FIND(",", O824, FIND(",", O824)+1)-FIND(",", O824)-2)), "")</f>
        <v/>
      </c>
      <c r="R824" s="303" t="str">
        <f>IFERROR(RIGHT(O824, LEN(O824)-FIND(",", O824, FIND(",", O824)+1)-1), "")</f>
        <v/>
      </c>
      <c r="S824" s="35" t="str" cm="1">
        <f t="array" ref="S824">_xlfn.TEXTJOIN(", ",TRUE,_xlfn._xlws.FILTER(Tabla29[[#All],[PARTE]],ISNUMBER(SEARCH(Tabla29[[#All],[PCLAVE3]],Tabla8[[#This Row],[DESCRIPCION DE TRABAJO]])),""))</f>
        <v>Calibracion, Desmolde</v>
      </c>
      <c r="T824" s="34" t="str">
        <f>IF(AND(Tabla8[[#This Row],[PIEZA]]="",Tabla8[[#This Row],[PARTE]]=""),"VACIO","OK")</f>
        <v>OK</v>
      </c>
      <c r="U824" s="303" t="str">
        <f>+CONCATENATE(WEEKNUM(Tabla8[[#This Row],[FECHA]]),"-",YEAR(Tabla8[[#This Row],[FECHA]]))</f>
        <v>15-2026</v>
      </c>
    </row>
    <row r="825" spans="1:21" ht="15" customHeight="1">
      <c r="A825" s="22">
        <v>46120</v>
      </c>
      <c r="B825" s="16" t="s">
        <v>131</v>
      </c>
      <c r="C825" s="10" t="s">
        <v>39</v>
      </c>
      <c r="D825" s="381" t="s">
        <v>887</v>
      </c>
      <c r="E825" s="381" t="s">
        <v>134</v>
      </c>
      <c r="F825" s="380">
        <f>+MOD(Tabla8[[#This Row],[HR. FIN]]-Tabla8[[#This Row],[HR. INICIO]],1)</f>
        <v>2.083333333333337E-2</v>
      </c>
      <c r="G825" s="16" t="s">
        <v>31</v>
      </c>
      <c r="H825" s="343" t="str">
        <f>IFERROR(VLOOKUP(G825,DATOS!$M$2:$N$219,2,FALSE),"")</f>
        <v>Maquinaria</v>
      </c>
      <c r="I825" s="115" t="s">
        <v>32</v>
      </c>
      <c r="J825" s="115" t="str">
        <f>+VLOOKUP($I825,Tabla7[#All],2,FALSE)</f>
        <v>PROGRAMADA</v>
      </c>
      <c r="K825" s="114" t="str">
        <f>IF(VLOOKUP(I825,Tabla7[#All],3,FALSE)=0,"",VLOOKUP(I825,Tabla7[#All],3,FALSE))</f>
        <v/>
      </c>
      <c r="L825" s="35" t="s">
        <v>1683</v>
      </c>
      <c r="M825" s="35" t="s">
        <v>121</v>
      </c>
      <c r="N825" s="35" t="str" cm="1">
        <f t="array" ref="N825">IFERROR(IF(Tabla8[[#This Row],[P/NP]]="NO PROGRAMADA","",_xlfn.TEXTJOIN(", ",TRUE,_xlfn._xlws.FILTER(Tabla4[[#All],[PIEZA]],ISNUMBER(SEARCH(Tabla4[[#All],[PCLAVE]],Tabla8[[#This Row],[DESCRIPCION DE TRABAJO]])),""))),"")</f>
        <v>Disco, Planchas</v>
      </c>
      <c r="O825" s="35" t="str" cm="1">
        <f t="array" ref="O825">_xlfn.TEXTJOIN(", ",TRUE,_xlfn._xlws.FILTER(Tabla28[[#All],[PARTE]],ISNUMBER(SEARCH(Tabla28[[#All],[PCLAVE2]],Tabla8[[#This Row],[DESCRIPCION DE TRABAJO]])),""))</f>
        <v/>
      </c>
      <c r="P825" s="303" t="str">
        <f>IFERROR(LEFT(O825, FIND(",", O825)-1), O825)</f>
        <v/>
      </c>
      <c r="Q825" s="303" t="str">
        <f>IFERROR(IF(ISERROR(FIND(",", O825, FIND(",", O825)+1)), RIGHT(O825, LEN(O825)-FIND(",", O825)-1), MID(O825, FIND(",", O825)+2, FIND(",", O825, FIND(",", O825)+1)-FIND(",", O825)-2)), "")</f>
        <v/>
      </c>
      <c r="R825" s="303" t="str">
        <f>IFERROR(RIGHT(O825, LEN(O825)-FIND(",", O825, FIND(",", O825)+1)-1), "")</f>
        <v/>
      </c>
      <c r="S825" s="35" t="str" cm="1">
        <f t="array" ref="S825">_xlfn.TEXTJOIN(", ",TRUE,_xlfn._xlws.FILTER(Tabla29[[#All],[PARTE]],ISNUMBER(SEARCH(Tabla29[[#All],[PCLAVE3]],Tabla8[[#This Row],[DESCRIPCION DE TRABAJO]])),""))</f>
        <v>Altura, Calibracion, Cambio De Formato, Sellado</v>
      </c>
      <c r="T825" s="34" t="str">
        <f>IF(AND(Tabla8[[#This Row],[PIEZA]]="",Tabla8[[#This Row],[PARTE]]=""),"VACIO","OK")</f>
        <v>OK</v>
      </c>
      <c r="U825" s="303" t="str">
        <f>+CONCATENATE(WEEKNUM(Tabla8[[#This Row],[FECHA]]),"-",YEAR(Tabla8[[#This Row],[FECHA]]))</f>
        <v>15-2026</v>
      </c>
    </row>
    <row r="826" spans="1:21" ht="15" customHeight="1">
      <c r="A826" s="22">
        <v>46120</v>
      </c>
      <c r="B826" s="16" t="s">
        <v>131</v>
      </c>
      <c r="C826" s="10" t="s">
        <v>39</v>
      </c>
      <c r="D826" s="381" t="s">
        <v>1150</v>
      </c>
      <c r="E826" s="381" t="s">
        <v>1684</v>
      </c>
      <c r="F826" s="380">
        <f>+MOD(Tabla8[[#This Row],[HR. FIN]]-Tabla8[[#This Row],[HR. INICIO]],1)</f>
        <v>1.8750000000000003E-2</v>
      </c>
      <c r="G826" s="16" t="s">
        <v>205</v>
      </c>
      <c r="H826" s="343" t="str">
        <f>IFERROR(VLOOKUP(G826,DATOS!$M$2:$N$219,2,FALSE),"")</f>
        <v>Maquinaria</v>
      </c>
      <c r="I826" s="115" t="s">
        <v>54</v>
      </c>
      <c r="J826" s="115" t="str">
        <f>+VLOOKUP($I826,Tabla7[#All],2,FALSE)</f>
        <v>PROGRAMADA</v>
      </c>
      <c r="K826" s="114" t="str">
        <f>IF(VLOOKUP(I826,Tabla7[#All],3,FALSE)=0,"",VLOOKUP(I826,Tabla7[#All],3,FALSE))</f>
        <v/>
      </c>
      <c r="L826" s="35" t="s">
        <v>154</v>
      </c>
      <c r="M826" s="35" t="s">
        <v>121</v>
      </c>
      <c r="N826" s="35" t="str" cm="1">
        <f t="array" ref="N826">IFERROR(IF(Tabla8[[#This Row],[P/NP]]="NO PROGRAMADA","",_xlfn.TEXTJOIN(", ",TRUE,_xlfn._xlws.FILTER(Tabla4[[#All],[PIEZA]],ISNUMBER(SEARCH(Tabla4[[#All],[PCLAVE]],Tabla8[[#This Row],[DESCRIPCION DE TRABAJO]])),""))),"")</f>
        <v/>
      </c>
      <c r="O826" s="35" t="str" cm="1">
        <f t="array" ref="O826">_xlfn.TEXTJOIN(", ",TRUE,_xlfn._xlws.FILTER(Tabla28[[#All],[PARTE]],ISNUMBER(SEARCH(Tabla28[[#All],[PCLAVE2]],Tabla8[[#This Row],[DESCRIPCION DE TRABAJO]])),""))</f>
        <v/>
      </c>
      <c r="P826" s="303" t="str">
        <f>IFERROR(LEFT(O826, FIND(",", O826)-1), O826)</f>
        <v/>
      </c>
      <c r="Q826" s="303" t="str">
        <f>IFERROR(IF(ISERROR(FIND(",", O826, FIND(",", O826)+1)), RIGHT(O826, LEN(O826)-FIND(",", O826)-1), MID(O826, FIND(",", O826)+2, FIND(",", O826, FIND(",", O826)+1)-FIND(",", O826)-2)), "")</f>
        <v/>
      </c>
      <c r="R826" s="303" t="str">
        <f>IFERROR(RIGHT(O826, LEN(O826)-FIND(",", O826, FIND(",", O826)+1)-1), "")</f>
        <v/>
      </c>
      <c r="S826" s="35" t="str" cm="1">
        <f t="array" ref="S826">_xlfn.TEXTJOIN(", ",TRUE,_xlfn._xlws.FILTER(Tabla29[[#All],[PARTE]],ISNUMBER(SEARCH(Tabla29[[#All],[PCLAVE3]],Tabla8[[#This Row],[DESCRIPCION DE TRABAJO]])),""))</f>
        <v/>
      </c>
      <c r="T826" s="34" t="str">
        <f>IF(AND(Tabla8[[#This Row],[PIEZA]]="",Tabla8[[#This Row],[PARTE]]=""),"VACIO","OK")</f>
        <v>VACIO</v>
      </c>
      <c r="U826" s="303" t="str">
        <f>+CONCATENATE(WEEKNUM(Tabla8[[#This Row],[FECHA]]),"-",YEAR(Tabla8[[#This Row],[FECHA]]))</f>
        <v>15-2026</v>
      </c>
    </row>
    <row r="827" spans="1:21" ht="15" customHeight="1">
      <c r="A827" s="22">
        <v>46120</v>
      </c>
      <c r="B827" s="16" t="s">
        <v>179</v>
      </c>
      <c r="C827" s="10" t="s">
        <v>23</v>
      </c>
      <c r="D827" s="381" t="s">
        <v>1685</v>
      </c>
      <c r="E827" s="381" t="s">
        <v>1686</v>
      </c>
      <c r="F827" s="380">
        <f>+MOD(Tabla8[[#This Row],[HR. FIN]]-Tabla8[[#This Row],[HR. INICIO]],1)</f>
        <v>1.736111111111116E-2</v>
      </c>
      <c r="G827" s="16" t="s">
        <v>1305</v>
      </c>
      <c r="H827" s="343" t="str">
        <f>IFERROR(VLOOKUP(G827,DATOS!$M$2:$N$219,2,FALSE),"")</f>
        <v>Area</v>
      </c>
      <c r="I827" s="115" t="s">
        <v>32</v>
      </c>
      <c r="J827" s="115" t="str">
        <f>+VLOOKUP($I827,Tabla7[#All],2,FALSE)</f>
        <v>PROGRAMADA</v>
      </c>
      <c r="K827" s="114" t="str">
        <f>IF(VLOOKUP(I827,Tabla7[#All],3,FALSE)=0,"",VLOOKUP(I827,Tabla7[#All],3,FALSE))</f>
        <v/>
      </c>
      <c r="L827" s="35" t="s">
        <v>1687</v>
      </c>
      <c r="M827" s="35" t="s">
        <v>121</v>
      </c>
      <c r="N827" s="35" t="str" cm="1">
        <f t="array" ref="N827">IFERROR(IF(Tabla8[[#This Row],[P/NP]]="NO PROGRAMADA","",_xlfn.TEXTJOIN(", ",TRUE,_xlfn._xlws.FILTER(Tabla4[[#All],[PIEZA]],ISNUMBER(SEARCH(Tabla4[[#All],[PCLAVE]],Tabla8[[#This Row],[DESCRIPCION DE TRABAJO]])),""))),"")</f>
        <v/>
      </c>
      <c r="O827" s="35" t="str" cm="1">
        <f t="array" ref="O827">_xlfn.TEXTJOIN(", ",TRUE,_xlfn._xlws.FILTER(Tabla28[[#All],[PARTE]],ISNUMBER(SEARCH(Tabla28[[#All],[PCLAVE2]],Tabla8[[#This Row],[DESCRIPCION DE TRABAJO]])),""))</f>
        <v/>
      </c>
      <c r="P827" s="303" t="str">
        <f>IFERROR(LEFT(O827, FIND(",", O827)-1), O827)</f>
        <v/>
      </c>
      <c r="Q827" s="303" t="str">
        <f>IFERROR(IF(ISERROR(FIND(",", O827, FIND(",", O827)+1)), RIGHT(O827, LEN(O827)-FIND(",", O827)-1), MID(O827, FIND(",", O827)+2, FIND(",", O827, FIND(",", O827)+1)-FIND(",", O827)-2)), "")</f>
        <v/>
      </c>
      <c r="R827" s="303" t="str">
        <f>IFERROR(RIGHT(O827, LEN(O827)-FIND(",", O827, FIND(",", O827)+1)-1), "")</f>
        <v/>
      </c>
      <c r="S827" s="35" t="str" cm="1">
        <f t="array" ref="S827">_xlfn.TEXTJOIN(", ",TRUE,_xlfn._xlws.FILTER(Tabla29[[#All],[PARTE]],ISNUMBER(SEARCH(Tabla29[[#All],[PCLAVE3]],Tabla8[[#This Row],[DESCRIPCION DE TRABAJO]])),""))</f>
        <v/>
      </c>
      <c r="T827" s="34" t="str">
        <f>IF(AND(Tabla8[[#This Row],[PIEZA]]="",Tabla8[[#This Row],[PARTE]]=""),"VACIO","OK")</f>
        <v>VACIO</v>
      </c>
      <c r="U827" s="303" t="str">
        <f>+CONCATENATE(WEEKNUM(Tabla8[[#This Row],[FECHA]]),"-",YEAR(Tabla8[[#This Row],[FECHA]]))</f>
        <v>15-2026</v>
      </c>
    </row>
    <row r="828" spans="1:21" ht="15" customHeight="1">
      <c r="A828" s="22">
        <v>46120</v>
      </c>
      <c r="B828" s="16" t="s">
        <v>179</v>
      </c>
      <c r="C828" s="10" t="s">
        <v>23</v>
      </c>
      <c r="D828" s="381" t="s">
        <v>1688</v>
      </c>
      <c r="E828" s="381" t="s">
        <v>1689</v>
      </c>
      <c r="F828" s="380">
        <f>+MOD(Tabla8[[#This Row],[HR. FIN]]-Tabla8[[#This Row],[HR. INICIO]],1)</f>
        <v>1.5277777777777779E-2</v>
      </c>
      <c r="G828" s="16" t="s">
        <v>182</v>
      </c>
      <c r="H828" s="343" t="str">
        <f>IFERROR(VLOOKUP(G828,DATOS!$M$2:$N$219,2,FALSE),"")</f>
        <v>Maquinaria</v>
      </c>
      <c r="I828" s="115" t="s">
        <v>57</v>
      </c>
      <c r="J828" s="115" t="str">
        <f>+VLOOKUP($I828,Tabla7[#All],2,FALSE)</f>
        <v>NO PROGRAMADA</v>
      </c>
      <c r="K828" s="114" t="str">
        <f>IF(VLOOKUP(I828,Tabla7[#All],3,FALSE)=0,"",VLOOKUP(I828,Tabla7[#All],3,FALSE))</f>
        <v>MECÁNICA</v>
      </c>
      <c r="L828" s="35" t="s">
        <v>1690</v>
      </c>
      <c r="M828" s="35" t="s">
        <v>1691</v>
      </c>
      <c r="N828" s="35" t="str" cm="1">
        <f t="array" ref="N828">IFERROR(IF(Tabla8[[#This Row],[P/NP]]="NO PROGRAMADA","",_xlfn.TEXTJOIN(", ",TRUE,_xlfn._xlws.FILTER(Tabla4[[#All],[PIEZA]],ISNUMBER(SEARCH(Tabla4[[#All],[PCLAVE]],Tabla8[[#This Row],[DESCRIPCION DE TRABAJO]])),""))),"")</f>
        <v/>
      </c>
      <c r="O828" s="35" t="str" cm="1">
        <f t="array" ref="O828">_xlfn.TEXTJOIN(", ",TRUE,_xlfn._xlws.FILTER(Tabla28[[#All],[PARTE]],ISNUMBER(SEARCH(Tabla28[[#All],[PCLAVE2]],Tabla8[[#This Row],[DESCRIPCION DE TRABAJO]])),""))</f>
        <v/>
      </c>
      <c r="P828" s="303" t="str">
        <f>IFERROR(LEFT(O828, FIND(",", O828)-1), O828)</f>
        <v/>
      </c>
      <c r="Q828" s="303" t="str">
        <f>IFERROR(IF(ISERROR(FIND(",", O828, FIND(",", O828)+1)), RIGHT(O828, LEN(O828)-FIND(",", O828)-1), MID(O828, FIND(",", O828)+2, FIND(",", O828, FIND(",", O828)+1)-FIND(",", O828)-2)), "")</f>
        <v/>
      </c>
      <c r="R828" s="303" t="str">
        <f>IFERROR(RIGHT(O828, LEN(O828)-FIND(",", O828, FIND(",", O828)+1)-1), "")</f>
        <v/>
      </c>
      <c r="S828" s="35" t="str" cm="1">
        <f t="array" ref="S828">_xlfn.TEXTJOIN(", ",TRUE,_xlfn._xlws.FILTER(Tabla29[[#All],[PARTE]],ISNUMBER(SEARCH(Tabla29[[#All],[PCLAVE3]],Tabla8[[#This Row],[DESCRIPCION DE TRABAJO]])),""))</f>
        <v>No Sella</v>
      </c>
      <c r="T828" s="34" t="str">
        <f>IF(AND(Tabla8[[#This Row],[PIEZA]]="",Tabla8[[#This Row],[PARTE]]=""),"VACIO","OK")</f>
        <v>VACIO</v>
      </c>
      <c r="U828" s="303" t="str">
        <f>+CONCATENATE(WEEKNUM(Tabla8[[#This Row],[FECHA]]),"-",YEAR(Tabla8[[#This Row],[FECHA]]))</f>
        <v>15-2026</v>
      </c>
    </row>
    <row r="829" spans="1:21" ht="15" customHeight="1">
      <c r="A829" s="22">
        <v>46120</v>
      </c>
      <c r="B829" s="16" t="s">
        <v>179</v>
      </c>
      <c r="C829" s="10" t="s">
        <v>23</v>
      </c>
      <c r="D829" s="381" t="s">
        <v>1692</v>
      </c>
      <c r="E829" s="381" t="s">
        <v>620</v>
      </c>
      <c r="F829" s="380">
        <f>+MOD(Tabla8[[#This Row],[HR. FIN]]-Tabla8[[#This Row],[HR. INICIO]],1)</f>
        <v>1.3888888888888951E-2</v>
      </c>
      <c r="G829" s="16" t="s">
        <v>192</v>
      </c>
      <c r="H829" s="343" t="str">
        <f>IFERROR(VLOOKUP(G829,DATOS!$M$2:$N$219,2,FALSE),"")</f>
        <v>Maquinaria</v>
      </c>
      <c r="I829" s="115" t="s">
        <v>28</v>
      </c>
      <c r="J829" s="115" t="str">
        <f>+VLOOKUP($I829,Tabla7[#All],2,FALSE)</f>
        <v>NO PROGRAMADA</v>
      </c>
      <c r="K829" s="114" t="s">
        <v>93</v>
      </c>
      <c r="L829" s="35" t="s">
        <v>1693</v>
      </c>
      <c r="M829" s="35" t="s">
        <v>1694</v>
      </c>
      <c r="N829" s="35" t="str" cm="1">
        <f t="array" ref="N829">IFERROR(IF(Tabla8[[#This Row],[P/NP]]="NO PROGRAMADA","",_xlfn.TEXTJOIN(", ",TRUE,_xlfn._xlws.FILTER(Tabla4[[#All],[PIEZA]],ISNUMBER(SEARCH(Tabla4[[#All],[PCLAVE]],Tabla8[[#This Row],[DESCRIPCION DE TRABAJO]])),""))),"")</f>
        <v/>
      </c>
      <c r="O829" s="35" t="str" cm="1">
        <f t="array" ref="O829">_xlfn.TEXTJOIN(", ",TRUE,_xlfn._xlws.FILTER(Tabla28[[#All],[PARTE]],ISNUMBER(SEARCH(Tabla28[[#All],[PCLAVE2]],Tabla8[[#This Row],[DESCRIPCION DE TRABAJO]])),""))</f>
        <v/>
      </c>
      <c r="P829" s="303" t="str">
        <f>IFERROR(LEFT(O829, FIND(",", O829)-1), O829)</f>
        <v/>
      </c>
      <c r="Q829" s="303" t="str">
        <f>IFERROR(IF(ISERROR(FIND(",", O829, FIND(",", O829)+1)), RIGHT(O829, LEN(O829)-FIND(",", O829)-1), MID(O829, FIND(",", O829)+2, FIND(",", O829, FIND(",", O829)+1)-FIND(",", O829)-2)), "")</f>
        <v/>
      </c>
      <c r="R829" s="303" t="str">
        <f>IFERROR(RIGHT(O829, LEN(O829)-FIND(",", O829, FIND(",", O829)+1)-1), "")</f>
        <v/>
      </c>
      <c r="S829" s="35" t="str" cm="1">
        <f t="array" ref="S829">_xlfn.TEXTJOIN(", ",TRUE,_xlfn._xlws.FILTER(Tabla29[[#All],[PARTE]],ISNUMBER(SEARCH(Tabla29[[#All],[PCLAVE3]],Tabla8[[#This Row],[DESCRIPCION DE TRABAJO]])),""))</f>
        <v/>
      </c>
      <c r="T829" s="34" t="str">
        <f>IF(AND(Tabla8[[#This Row],[PIEZA]]="",Tabla8[[#This Row],[PARTE]]=""),"VACIO","OK")</f>
        <v>VACIO</v>
      </c>
      <c r="U829" s="303" t="str">
        <f>+CONCATENATE(WEEKNUM(Tabla8[[#This Row],[FECHA]]),"-",YEAR(Tabla8[[#This Row],[FECHA]]))</f>
        <v>15-2026</v>
      </c>
    </row>
    <row r="830" spans="1:21" ht="15" customHeight="1">
      <c r="A830" s="22">
        <v>46120</v>
      </c>
      <c r="B830" s="16" t="s">
        <v>131</v>
      </c>
      <c r="C830" s="10" t="s">
        <v>39</v>
      </c>
      <c r="D830" s="381" t="s">
        <v>900</v>
      </c>
      <c r="E830" s="381" t="s">
        <v>421</v>
      </c>
      <c r="F830" s="380">
        <f>+MOD(Tabla8[[#This Row],[HR. FIN]]-Tabla8[[#This Row],[HR. INICIO]],1)</f>
        <v>1.3888888888888951E-2</v>
      </c>
      <c r="G830" s="16" t="s">
        <v>270</v>
      </c>
      <c r="H830" s="343" t="str">
        <f>IFERROR(VLOOKUP(G830,DATOS!$M$2:$N$219,2,FALSE),"")</f>
        <v>Maquinaria</v>
      </c>
      <c r="I830" s="115" t="s">
        <v>54</v>
      </c>
      <c r="J830" s="115" t="str">
        <f>+VLOOKUP($I830,Tabla7[#All],2,FALSE)</f>
        <v>PROGRAMADA</v>
      </c>
      <c r="K830" s="114" t="str">
        <f>IF(VLOOKUP(I830,Tabla7[#All],3,FALSE)=0,"",VLOOKUP(I830,Tabla7[#All],3,FALSE))</f>
        <v/>
      </c>
      <c r="L830" s="35" t="s">
        <v>154</v>
      </c>
      <c r="M830" s="35" t="s">
        <v>1695</v>
      </c>
      <c r="N830" s="35" t="str" cm="1">
        <f t="array" ref="N830">IFERROR(IF(Tabla8[[#This Row],[P/NP]]="NO PROGRAMADA","",_xlfn.TEXTJOIN(", ",TRUE,_xlfn._xlws.FILTER(Tabla4[[#All],[PIEZA]],ISNUMBER(SEARCH(Tabla4[[#All],[PCLAVE]],Tabla8[[#This Row],[DESCRIPCION DE TRABAJO]])),""))),"")</f>
        <v/>
      </c>
      <c r="O830" s="35" t="str" cm="1">
        <f t="array" ref="O830">_xlfn.TEXTJOIN(", ",TRUE,_xlfn._xlws.FILTER(Tabla28[[#All],[PARTE]],ISNUMBER(SEARCH(Tabla28[[#All],[PCLAVE2]],Tabla8[[#This Row],[DESCRIPCION DE TRABAJO]])),""))</f>
        <v/>
      </c>
      <c r="P830" s="303" t="str">
        <f>IFERROR(LEFT(O830, FIND(",", O830)-1), O830)</f>
        <v/>
      </c>
      <c r="Q830" s="303" t="str">
        <f>IFERROR(IF(ISERROR(FIND(",", O830, FIND(",", O830)+1)), RIGHT(O830, LEN(O830)-FIND(",", O830)-1), MID(O830, FIND(",", O830)+2, FIND(",", O830, FIND(",", O830)+1)-FIND(",", O830)-2)), "")</f>
        <v/>
      </c>
      <c r="R830" s="303" t="str">
        <f>IFERROR(RIGHT(O830, LEN(O830)-FIND(",", O830, FIND(",", O830)+1)-1), "")</f>
        <v/>
      </c>
      <c r="S830" s="35" t="str" cm="1">
        <f t="array" ref="S830">_xlfn.TEXTJOIN(", ",TRUE,_xlfn._xlws.FILTER(Tabla29[[#All],[PARTE]],ISNUMBER(SEARCH(Tabla29[[#All],[PCLAVE3]],Tabla8[[#This Row],[DESCRIPCION DE TRABAJO]])),""))</f>
        <v/>
      </c>
      <c r="T830" s="34" t="str">
        <f>IF(AND(Tabla8[[#This Row],[PIEZA]]="",Tabla8[[#This Row],[PARTE]]=""),"VACIO","OK")</f>
        <v>VACIO</v>
      </c>
      <c r="U830" s="303" t="str">
        <f>+CONCATENATE(WEEKNUM(Tabla8[[#This Row],[FECHA]]),"-",YEAR(Tabla8[[#This Row],[FECHA]]))</f>
        <v>15-2026</v>
      </c>
    </row>
    <row r="831" spans="1:21" ht="15" customHeight="1">
      <c r="A831" s="22">
        <v>46120</v>
      </c>
      <c r="B831" s="16" t="s">
        <v>131</v>
      </c>
      <c r="C831" s="10" t="s">
        <v>39</v>
      </c>
      <c r="D831" s="381" t="s">
        <v>1696</v>
      </c>
      <c r="E831" s="381" t="s">
        <v>1697</v>
      </c>
      <c r="F831" s="380">
        <f>+MOD(Tabla8[[#This Row],[HR. FIN]]-Tabla8[[#This Row],[HR. INICIO]],1)</f>
        <v>1.3888888888888951E-2</v>
      </c>
      <c r="G831" s="16" t="s">
        <v>119</v>
      </c>
      <c r="H831" s="343" t="str">
        <f>IFERROR(VLOOKUP(G831,DATOS!$M$2:$N$219,2,FALSE),"")</f>
        <v>Maquinaria</v>
      </c>
      <c r="I831" s="115" t="s">
        <v>54</v>
      </c>
      <c r="J831" s="115" t="str">
        <f>+VLOOKUP($I831,Tabla7[#All],2,FALSE)</f>
        <v>PROGRAMADA</v>
      </c>
      <c r="K831" s="114" t="str">
        <f>IF(VLOOKUP(I831,Tabla7[#All],3,FALSE)=0,"",VLOOKUP(I831,Tabla7[#All],3,FALSE))</f>
        <v/>
      </c>
      <c r="L831" s="35" t="s">
        <v>225</v>
      </c>
      <c r="M831" s="35" t="s">
        <v>121</v>
      </c>
      <c r="N831" s="35" t="str" cm="1">
        <f t="array" ref="N831">IFERROR(IF(Tabla8[[#This Row],[P/NP]]="NO PROGRAMADA","",_xlfn.TEXTJOIN(", ",TRUE,_xlfn._xlws.FILTER(Tabla4[[#All],[PIEZA]],ISNUMBER(SEARCH(Tabla4[[#All],[PCLAVE]],Tabla8[[#This Row],[DESCRIPCION DE TRABAJO]])),""))),"")</f>
        <v/>
      </c>
      <c r="O831" s="35" t="str" cm="1">
        <f t="array" ref="O831">_xlfn.TEXTJOIN(", ",TRUE,_xlfn._xlws.FILTER(Tabla28[[#All],[PARTE]],ISNUMBER(SEARCH(Tabla28[[#All],[PCLAVE2]],Tabla8[[#This Row],[DESCRIPCION DE TRABAJO]])),""))</f>
        <v/>
      </c>
      <c r="P831" s="303" t="str">
        <f>IFERROR(LEFT(O831, FIND(",", O831)-1), O831)</f>
        <v/>
      </c>
      <c r="Q831" s="303" t="str">
        <f>IFERROR(IF(ISERROR(FIND(",", O831, FIND(",", O831)+1)), RIGHT(O831, LEN(O831)-FIND(",", O831)-1), MID(O831, FIND(",", O831)+2, FIND(",", O831, FIND(",", O831)+1)-FIND(",", O831)-2)), "")</f>
        <v/>
      </c>
      <c r="R831" s="303" t="str">
        <f>IFERROR(RIGHT(O831, LEN(O831)-FIND(",", O831, FIND(",", O831)+1)-1), "")</f>
        <v/>
      </c>
      <c r="S831" s="35" t="str" cm="1">
        <f t="array" ref="S831">_xlfn.TEXTJOIN(", ",TRUE,_xlfn._xlws.FILTER(Tabla29[[#All],[PARTE]],ISNUMBER(SEARCH(Tabla29[[#All],[PCLAVE3]],Tabla8[[#This Row],[DESCRIPCION DE TRABAJO]])),""))</f>
        <v/>
      </c>
      <c r="T831" s="34" t="str">
        <f>IF(AND(Tabla8[[#This Row],[PIEZA]]="",Tabla8[[#This Row],[PARTE]]=""),"VACIO","OK")</f>
        <v>VACIO</v>
      </c>
      <c r="U831" s="303" t="str">
        <f>+CONCATENATE(WEEKNUM(Tabla8[[#This Row],[FECHA]]),"-",YEAR(Tabla8[[#This Row],[FECHA]]))</f>
        <v>15-2026</v>
      </c>
    </row>
    <row r="832" spans="1:21" ht="15" customHeight="1">
      <c r="A832" s="22">
        <v>46120</v>
      </c>
      <c r="B832" s="16" t="s">
        <v>131</v>
      </c>
      <c r="C832" s="10" t="s">
        <v>39</v>
      </c>
      <c r="D832" s="381" t="s">
        <v>434</v>
      </c>
      <c r="E832" s="381" t="s">
        <v>1662</v>
      </c>
      <c r="F832" s="380">
        <f>+MOD(Tabla8[[#This Row],[HR. FIN]]-Tabla8[[#This Row],[HR. INICIO]],1)</f>
        <v>1.3888888888888867E-2</v>
      </c>
      <c r="G832" s="16" t="s">
        <v>31</v>
      </c>
      <c r="H832" s="343" t="str">
        <f>IFERROR(VLOOKUP(G832,DATOS!$M$2:$N$219,2,FALSE),"")</f>
        <v>Maquinaria</v>
      </c>
      <c r="I832" s="115" t="s">
        <v>54</v>
      </c>
      <c r="J832" s="115" t="str">
        <f>+VLOOKUP($I832,Tabla7[#All],2,FALSE)</f>
        <v>PROGRAMADA</v>
      </c>
      <c r="K832" s="114" t="str">
        <f>IF(VLOOKUP(I832,Tabla7[#All],3,FALSE)=0,"",VLOOKUP(I832,Tabla7[#All],3,FALSE))</f>
        <v/>
      </c>
      <c r="L832" s="35" t="s">
        <v>154</v>
      </c>
      <c r="M832" s="35" t="s">
        <v>121</v>
      </c>
      <c r="N832" s="35" t="str" cm="1">
        <f t="array" ref="N832">IFERROR(IF(Tabla8[[#This Row],[P/NP]]="NO PROGRAMADA","",_xlfn.TEXTJOIN(", ",TRUE,_xlfn._xlws.FILTER(Tabla4[[#All],[PIEZA]],ISNUMBER(SEARCH(Tabla4[[#All],[PCLAVE]],Tabla8[[#This Row],[DESCRIPCION DE TRABAJO]])),""))),"")</f>
        <v/>
      </c>
      <c r="O832" s="35" t="str" cm="1">
        <f t="array" ref="O832">_xlfn.TEXTJOIN(", ",TRUE,_xlfn._xlws.FILTER(Tabla28[[#All],[PARTE]],ISNUMBER(SEARCH(Tabla28[[#All],[PCLAVE2]],Tabla8[[#This Row],[DESCRIPCION DE TRABAJO]])),""))</f>
        <v/>
      </c>
      <c r="P832" s="303" t="str">
        <f>IFERROR(LEFT(O832, FIND(",", O832)-1), O832)</f>
        <v/>
      </c>
      <c r="Q832" s="303" t="str">
        <f>IFERROR(IF(ISERROR(FIND(",", O832, FIND(",", O832)+1)), RIGHT(O832, LEN(O832)-FIND(",", O832)-1), MID(O832, FIND(",", O832)+2, FIND(",", O832, FIND(",", O832)+1)-FIND(",", O832)-2)), "")</f>
        <v/>
      </c>
      <c r="R832" s="303" t="str">
        <f>IFERROR(RIGHT(O832, LEN(O832)-FIND(",", O832, FIND(",", O832)+1)-1), "")</f>
        <v/>
      </c>
      <c r="S832" s="35" t="str" cm="1">
        <f t="array" ref="S832">_xlfn.TEXTJOIN(", ",TRUE,_xlfn._xlws.FILTER(Tabla29[[#All],[PARTE]],ISNUMBER(SEARCH(Tabla29[[#All],[PCLAVE3]],Tabla8[[#This Row],[DESCRIPCION DE TRABAJO]])),""))</f>
        <v/>
      </c>
      <c r="T832" s="34" t="str">
        <f>IF(AND(Tabla8[[#This Row],[PIEZA]]="",Tabla8[[#This Row],[PARTE]]=""),"VACIO","OK")</f>
        <v>VACIO</v>
      </c>
      <c r="U832" s="303" t="str">
        <f>+CONCATENATE(WEEKNUM(Tabla8[[#This Row],[FECHA]]),"-",YEAR(Tabla8[[#This Row],[FECHA]]))</f>
        <v>15-2026</v>
      </c>
    </row>
    <row r="833" spans="1:21" ht="15" customHeight="1">
      <c r="A833" s="22">
        <v>46120</v>
      </c>
      <c r="B833" s="16" t="s">
        <v>131</v>
      </c>
      <c r="C833" s="10" t="s">
        <v>39</v>
      </c>
      <c r="D833" s="381" t="s">
        <v>1698</v>
      </c>
      <c r="E833" s="381" t="s">
        <v>156</v>
      </c>
      <c r="F833" s="380">
        <f>+MOD(Tabla8[[#This Row],[HR. FIN]]-Tabla8[[#This Row],[HR. INICIO]],1)</f>
        <v>1.0416666666666666E-2</v>
      </c>
      <c r="G833" s="16" t="s">
        <v>965</v>
      </c>
      <c r="H833" s="343" t="str">
        <f>IFERROR(VLOOKUP(G833,DATOS!$M$2:$N$219,2,FALSE),"")</f>
        <v>Maquinaria</v>
      </c>
      <c r="I833" s="115" t="s">
        <v>54</v>
      </c>
      <c r="J833" s="115" t="str">
        <f>+VLOOKUP($I833,Tabla7[#All],2,FALSE)</f>
        <v>PROGRAMADA</v>
      </c>
      <c r="K833" s="114" t="str">
        <f>IF(VLOOKUP(I833,Tabla7[#All],3,FALSE)=0,"",VLOOKUP(I833,Tabla7[#All],3,FALSE))</f>
        <v/>
      </c>
      <c r="L833" s="35" t="s">
        <v>225</v>
      </c>
      <c r="M833" s="35" t="s">
        <v>121</v>
      </c>
      <c r="N833" s="35" t="str" cm="1">
        <f t="array" ref="N833">IFERROR(IF(Tabla8[[#This Row],[P/NP]]="NO PROGRAMADA","",_xlfn.TEXTJOIN(", ",TRUE,_xlfn._xlws.FILTER(Tabla4[[#All],[PIEZA]],ISNUMBER(SEARCH(Tabla4[[#All],[PCLAVE]],Tabla8[[#This Row],[DESCRIPCION DE TRABAJO]])),""))),"")</f>
        <v/>
      </c>
      <c r="O833" s="35" t="str" cm="1">
        <f t="array" ref="O833">_xlfn.TEXTJOIN(", ",TRUE,_xlfn._xlws.FILTER(Tabla28[[#All],[PARTE]],ISNUMBER(SEARCH(Tabla28[[#All],[PCLAVE2]],Tabla8[[#This Row],[DESCRIPCION DE TRABAJO]])),""))</f>
        <v/>
      </c>
      <c r="P833" s="303" t="str">
        <f>IFERROR(LEFT(O833, FIND(",", O833)-1), O833)</f>
        <v/>
      </c>
      <c r="Q833" s="303" t="str">
        <f>IFERROR(IF(ISERROR(FIND(",", O833, FIND(",", O833)+1)), RIGHT(O833, LEN(O833)-FIND(",", O833)-1), MID(O833, FIND(",", O833)+2, FIND(",", O833, FIND(",", O833)+1)-FIND(",", O833)-2)), "")</f>
        <v/>
      </c>
      <c r="R833" s="303" t="str">
        <f>IFERROR(RIGHT(O833, LEN(O833)-FIND(",", O833, FIND(",", O833)+1)-1), "")</f>
        <v/>
      </c>
      <c r="S833" s="35" t="str" cm="1">
        <f t="array" ref="S833">_xlfn.TEXTJOIN(", ",TRUE,_xlfn._xlws.FILTER(Tabla29[[#All],[PARTE]],ISNUMBER(SEARCH(Tabla29[[#All],[PCLAVE3]],Tabla8[[#This Row],[DESCRIPCION DE TRABAJO]])),""))</f>
        <v/>
      </c>
      <c r="T833" s="34" t="str">
        <f>IF(AND(Tabla8[[#This Row],[PIEZA]]="",Tabla8[[#This Row],[PARTE]]=""),"VACIO","OK")</f>
        <v>VACIO</v>
      </c>
      <c r="U833" s="303" t="str">
        <f>+CONCATENATE(WEEKNUM(Tabla8[[#This Row],[FECHA]]),"-",YEAR(Tabla8[[#This Row],[FECHA]]))</f>
        <v>15-2026</v>
      </c>
    </row>
    <row r="834" spans="1:21" ht="15" customHeight="1">
      <c r="A834" s="22">
        <v>46120</v>
      </c>
      <c r="B834" s="16" t="s">
        <v>131</v>
      </c>
      <c r="C834" s="10" t="s">
        <v>39</v>
      </c>
      <c r="D834" s="381" t="s">
        <v>624</v>
      </c>
      <c r="E834" s="381" t="s">
        <v>1141</v>
      </c>
      <c r="F834" s="380">
        <f>+MOD(Tabla8[[#This Row],[HR. FIN]]-Tabla8[[#This Row],[HR. INICIO]],1)</f>
        <v>9.0277777777777457E-3</v>
      </c>
      <c r="G834" s="16" t="s">
        <v>1647</v>
      </c>
      <c r="H834" s="343" t="str">
        <f>IFERROR(VLOOKUP(G834,DATOS!$M$2:$N$219,2,FALSE),"")</f>
        <v>Equipos auxiliares</v>
      </c>
      <c r="I834" s="115" t="s">
        <v>32</v>
      </c>
      <c r="J834" s="115" t="s">
        <v>92</v>
      </c>
      <c r="K834" s="114" t="s">
        <v>148</v>
      </c>
      <c r="L834" s="35" t="s">
        <v>1699</v>
      </c>
      <c r="M834" s="35" t="s">
        <v>1700</v>
      </c>
      <c r="N834" s="35" t="str" cm="1">
        <f t="array" ref="N834">IFERROR(IF(Tabla8[[#This Row],[P/NP]]="NO PROGRAMADA","",_xlfn.TEXTJOIN(", ",TRUE,_xlfn._xlws.FILTER(Tabla4[[#All],[PIEZA]],ISNUMBER(SEARCH(Tabla4[[#All],[PCLAVE]],Tabla8[[#This Row],[DESCRIPCION DE TRABAJO]])),""))),"")</f>
        <v/>
      </c>
      <c r="O834" s="35" t="str" cm="1">
        <f t="array" ref="O834">_xlfn.TEXTJOIN(", ",TRUE,_xlfn._xlws.FILTER(Tabla28[[#All],[PARTE]],ISNUMBER(SEARCH(Tabla28[[#All],[PCLAVE2]],Tabla8[[#This Row],[DESCRIPCION DE TRABAJO]])),""))</f>
        <v/>
      </c>
      <c r="P834" s="303" t="str">
        <f>IFERROR(LEFT(O834, FIND(",", O834)-1), O834)</f>
        <v/>
      </c>
      <c r="Q834" s="303" t="str">
        <f>IFERROR(IF(ISERROR(FIND(",", O834, FIND(",", O834)+1)), RIGHT(O834, LEN(O834)-FIND(",", O834)-1), MID(O834, FIND(",", O834)+2, FIND(",", O834, FIND(",", O834)+1)-FIND(",", O834)-2)), "")</f>
        <v/>
      </c>
      <c r="R834" s="303" t="str">
        <f>IFERROR(RIGHT(O834, LEN(O834)-FIND(",", O834, FIND(",", O834)+1)-1), "")</f>
        <v/>
      </c>
      <c r="S834" s="35" t="str" cm="1">
        <f t="array" ref="S834">_xlfn.TEXTJOIN(", ",TRUE,_xlfn._xlws.FILTER(Tabla29[[#All],[PARTE]],ISNUMBER(SEARCH(Tabla29[[#All],[PCLAVE3]],Tabla8[[#This Row],[DESCRIPCION DE TRABAJO]])),""))</f>
        <v>Obstruido</v>
      </c>
      <c r="T834" s="34" t="str">
        <f>IF(AND(Tabla8[[#This Row],[PIEZA]]="",Tabla8[[#This Row],[PARTE]]=""),"VACIO","OK")</f>
        <v>VACIO</v>
      </c>
      <c r="U834" s="303" t="str">
        <f>+CONCATENATE(WEEKNUM(Tabla8[[#This Row],[FECHA]]),"-",YEAR(Tabla8[[#This Row],[FECHA]]))</f>
        <v>15-2026</v>
      </c>
    </row>
    <row r="835" spans="1:21" ht="15" customHeight="1">
      <c r="A835" s="22">
        <v>46120</v>
      </c>
      <c r="B835" s="16" t="s">
        <v>131</v>
      </c>
      <c r="C835" s="10" t="s">
        <v>39</v>
      </c>
      <c r="D835" s="381" t="s">
        <v>397</v>
      </c>
      <c r="E835" s="381" t="s">
        <v>1701</v>
      </c>
      <c r="F835" s="380">
        <f>+MOD(Tabla8[[#This Row],[HR. FIN]]-Tabla8[[#This Row],[HR. INICIO]],1)</f>
        <v>8.3333333333333315E-3</v>
      </c>
      <c r="G835" s="16" t="s">
        <v>222</v>
      </c>
      <c r="H835" s="343" t="str">
        <f>IFERROR(VLOOKUP(G835,DATOS!$M$2:$N$219,2,FALSE),"")</f>
        <v>Maquinaria</v>
      </c>
      <c r="I835" s="115" t="s">
        <v>390</v>
      </c>
      <c r="J835" s="115" t="str">
        <f>+VLOOKUP($I835,Tabla7[#All],2,FALSE)</f>
        <v>PROGRAMADA</v>
      </c>
      <c r="K835" s="114" t="str">
        <f>IF(VLOOKUP(I835,Tabla7[#All],3,FALSE)=0,"",VLOOKUP(I835,Tabla7[#All],3,FALSE))</f>
        <v/>
      </c>
      <c r="L835" s="35" t="s">
        <v>1702</v>
      </c>
      <c r="M835" s="35" t="s">
        <v>1703</v>
      </c>
      <c r="N835" s="35" t="str" cm="1">
        <f t="array" ref="N835">IFERROR(IF(Tabla8[[#This Row],[P/NP]]="NO PROGRAMADA","",_xlfn.TEXTJOIN(", ",TRUE,_xlfn._xlws.FILTER(Tabla4[[#All],[PIEZA]],ISNUMBER(SEARCH(Tabla4[[#All],[PCLAVE]],Tabla8[[#This Row],[DESCRIPCION DE TRABAJO]])),""))),"")</f>
        <v>Patrones</v>
      </c>
      <c r="O835" s="35" t="str" cm="1">
        <f t="array" ref="O835">_xlfn.TEXTJOIN(", ",TRUE,_xlfn._xlws.FILTER(Tabla28[[#All],[PARTE]],ISNUMBER(SEARCH(Tabla28[[#All],[PCLAVE2]],Tabla8[[#This Row],[DESCRIPCION DE TRABAJO]])),""))</f>
        <v/>
      </c>
      <c r="P835" s="303" t="str">
        <f>IFERROR(LEFT(O835, FIND(",", O835)-1), O835)</f>
        <v/>
      </c>
      <c r="Q835" s="303" t="str">
        <f>IFERROR(IF(ISERROR(FIND(",", O835, FIND(",", O835)+1)), RIGHT(O835, LEN(O835)-FIND(",", O835)-1), MID(O835, FIND(",", O835)+2, FIND(",", O835, FIND(",", O835)+1)-FIND(",", O835)-2)), "")</f>
        <v/>
      </c>
      <c r="R835" s="303" t="str">
        <f>IFERROR(RIGHT(O835, LEN(O835)-FIND(",", O835, FIND(",", O835)+1)-1), "")</f>
        <v/>
      </c>
      <c r="S835" s="35" t="str" cm="1">
        <f t="array" ref="S835">_xlfn.TEXTJOIN(", ",TRUE,_xlfn._xlws.FILTER(Tabla29[[#All],[PARTE]],ISNUMBER(SEARCH(Tabla29[[#All],[PCLAVE3]],Tabla8[[#This Row],[DESCRIPCION DE TRABAJO]])),""))</f>
        <v/>
      </c>
      <c r="T835" s="34" t="str">
        <f>IF(AND(Tabla8[[#This Row],[PIEZA]]="",Tabla8[[#This Row],[PARTE]]=""),"VACIO","OK")</f>
        <v>OK</v>
      </c>
      <c r="U835" s="303" t="str">
        <f>+CONCATENATE(WEEKNUM(Tabla8[[#This Row],[FECHA]]),"-",YEAR(Tabla8[[#This Row],[FECHA]]))</f>
        <v>15-2026</v>
      </c>
    </row>
    <row r="836" spans="1:21" ht="15" customHeight="1">
      <c r="A836" s="22">
        <v>46120</v>
      </c>
      <c r="B836" s="16" t="s">
        <v>179</v>
      </c>
      <c r="C836" s="10" t="s">
        <v>23</v>
      </c>
      <c r="D836" s="381" t="s">
        <v>543</v>
      </c>
      <c r="E836" s="381" t="s">
        <v>1704</v>
      </c>
      <c r="F836" s="380">
        <f>+MOD(Tabla8[[#This Row],[HR. FIN]]-Tabla8[[#This Row],[HR. INICIO]],1)</f>
        <v>6.9444444444444198E-3</v>
      </c>
      <c r="G836" s="16" t="s">
        <v>91</v>
      </c>
      <c r="H836" s="343" t="str">
        <f>IFERROR(VLOOKUP(G836,DATOS!$M$2:$N$219,2,FALSE),"")</f>
        <v>Area</v>
      </c>
      <c r="I836" s="115" t="s">
        <v>32</v>
      </c>
      <c r="J836" s="115" t="str">
        <f>+VLOOKUP($I836,Tabla7[#All],2,FALSE)</f>
        <v>PROGRAMADA</v>
      </c>
      <c r="K836" s="114" t="str">
        <f>IF(VLOOKUP(I836,Tabla7[#All],3,FALSE)=0,"",VLOOKUP(I836,Tabla7[#All],3,FALSE))</f>
        <v/>
      </c>
      <c r="L836" s="35" t="s">
        <v>1705</v>
      </c>
      <c r="M836" s="35"/>
      <c r="N836" s="35" t="str" cm="1">
        <f t="array" ref="N836">IFERROR(IF(Tabla8[[#This Row],[P/NP]]="NO PROGRAMADA","",_xlfn.TEXTJOIN(", ",TRUE,_xlfn._xlws.FILTER(Tabla4[[#All],[PIEZA]],ISNUMBER(SEARCH(Tabla4[[#All],[PCLAVE]],Tabla8[[#This Row],[DESCRIPCION DE TRABAJO]])),""))),"")</f>
        <v xml:space="preserve">Bomba </v>
      </c>
      <c r="O836" s="35" t="str" cm="1">
        <f t="array" ref="O836">_xlfn.TEXTJOIN(", ",TRUE,_xlfn._xlws.FILTER(Tabla28[[#All],[PARTE]],ISNUMBER(SEARCH(Tabla28[[#All],[PCLAVE2]],Tabla8[[#This Row],[DESCRIPCION DE TRABAJO]])),""))</f>
        <v/>
      </c>
      <c r="P836" s="303" t="str">
        <f>IFERROR(LEFT(O836, FIND(",", O836)-1), O836)</f>
        <v/>
      </c>
      <c r="Q836" s="303" t="str">
        <f>IFERROR(IF(ISERROR(FIND(",", O836, FIND(",", O836)+1)), RIGHT(O836, LEN(O836)-FIND(",", O836)-1), MID(O836, FIND(",", O836)+2, FIND(",", O836, FIND(",", O836)+1)-FIND(",", O836)-2)), "")</f>
        <v/>
      </c>
      <c r="R836" s="303" t="str">
        <f>IFERROR(RIGHT(O836, LEN(O836)-FIND(",", O836, FIND(",", O836)+1)-1), "")</f>
        <v/>
      </c>
      <c r="S836" s="35" t="str" cm="1">
        <f t="array" ref="S836">_xlfn.TEXTJOIN(", ",TRUE,_xlfn._xlws.FILTER(Tabla29[[#All],[PARTE]],ISNUMBER(SEARCH(Tabla29[[#All],[PCLAVE3]],Tabla8[[#This Row],[DESCRIPCION DE TRABAJO]])),""))</f>
        <v>Falla De Presion</v>
      </c>
      <c r="T836" s="34" t="str">
        <f>IF(AND(Tabla8[[#This Row],[PIEZA]]="",Tabla8[[#This Row],[PARTE]]=""),"VACIO","OK")</f>
        <v>OK</v>
      </c>
      <c r="U836" s="303" t="str">
        <f>+CONCATENATE(WEEKNUM(Tabla8[[#This Row],[FECHA]]),"-",YEAR(Tabla8[[#This Row],[FECHA]]))</f>
        <v>15-2026</v>
      </c>
    </row>
    <row r="837" spans="1:21" ht="15" customHeight="1">
      <c r="A837" s="22">
        <v>46120</v>
      </c>
      <c r="B837" s="16" t="s">
        <v>179</v>
      </c>
      <c r="C837" s="10" t="s">
        <v>23</v>
      </c>
      <c r="D837" s="381" t="s">
        <v>1706</v>
      </c>
      <c r="E837" s="381" t="s">
        <v>1707</v>
      </c>
      <c r="F837" s="380">
        <f>+MOD(Tabla8[[#This Row],[HR. FIN]]-Tabla8[[#This Row],[HR. INICIO]],1)</f>
        <v>6.9444444444444198E-3</v>
      </c>
      <c r="G837" s="16" t="s">
        <v>312</v>
      </c>
      <c r="H837" s="343" t="str">
        <f>IFERROR(VLOOKUP(G837,DATOS!$M$2:$N$219,2,FALSE),"")</f>
        <v>Maquinaria</v>
      </c>
      <c r="I837" s="115" t="s">
        <v>32</v>
      </c>
      <c r="J837" s="115" t="str">
        <f>+VLOOKUP($I837,Tabla7[#All],2,FALSE)</f>
        <v>PROGRAMADA</v>
      </c>
      <c r="K837" s="114" t="str">
        <f>IF(VLOOKUP(I837,Tabla7[#All],3,FALSE)=0,"",VLOOKUP(I837,Tabla7[#All],3,FALSE))</f>
        <v/>
      </c>
      <c r="L837" s="35" t="s">
        <v>1708</v>
      </c>
      <c r="M837" s="35" t="s">
        <v>121</v>
      </c>
      <c r="N837" s="35" t="str" cm="1">
        <f t="array" ref="N837">IFERROR(IF(Tabla8[[#This Row],[P/NP]]="NO PROGRAMADA","",_xlfn.TEXTJOIN(", ",TRUE,_xlfn._xlws.FILTER(Tabla4[[#All],[PIEZA]],ISNUMBER(SEARCH(Tabla4[[#All],[PCLAVE]],Tabla8[[#This Row],[DESCRIPCION DE TRABAJO]])),""))),"")</f>
        <v>Banda</v>
      </c>
      <c r="O837" s="35" t="str" cm="1">
        <f t="array" ref="O837">_xlfn.TEXTJOIN(", ",TRUE,_xlfn._xlws.FILTER(Tabla28[[#All],[PARTE]],ISNUMBER(SEARCH(Tabla28[[#All],[PCLAVE2]],Tabla8[[#This Row],[DESCRIPCION DE TRABAJO]])),""))</f>
        <v/>
      </c>
      <c r="P837" s="303" t="str">
        <f>IFERROR(LEFT(O837, FIND(",", O837)-1), O837)</f>
        <v/>
      </c>
      <c r="Q837" s="303" t="str">
        <f>IFERROR(IF(ISERROR(FIND(",", O837, FIND(",", O837)+1)), RIGHT(O837, LEN(O837)-FIND(",", O837)-1), MID(O837, FIND(",", O837)+2, FIND(",", O837, FIND(",", O837)+1)-FIND(",", O837)-2)), "")</f>
        <v/>
      </c>
      <c r="R837" s="303" t="str">
        <f>IFERROR(RIGHT(O837, LEN(O837)-FIND(",", O837, FIND(",", O837)+1)-1), "")</f>
        <v/>
      </c>
      <c r="S837" s="35" t="str" cm="1">
        <f t="array" ref="S837">_xlfn.TEXTJOIN(", ",TRUE,_xlfn._xlws.FILTER(Tabla29[[#All],[PARTE]],ISNUMBER(SEARCH(Tabla29[[#All],[PCLAVE3]],Tabla8[[#This Row],[DESCRIPCION DE TRABAJO]])),""))</f>
        <v/>
      </c>
      <c r="T837" s="34" t="str">
        <f>IF(AND(Tabla8[[#This Row],[PIEZA]]="",Tabla8[[#This Row],[PARTE]]=""),"VACIO","OK")</f>
        <v>OK</v>
      </c>
      <c r="U837" s="303" t="str">
        <f>+CONCATENATE(WEEKNUM(Tabla8[[#This Row],[FECHA]]),"-",YEAR(Tabla8[[#This Row],[FECHA]]))</f>
        <v>15-2026</v>
      </c>
    </row>
    <row r="838" spans="1:21" ht="15" customHeight="1">
      <c r="A838" s="22">
        <v>46120</v>
      </c>
      <c r="B838" s="16" t="s">
        <v>131</v>
      </c>
      <c r="C838" s="10" t="s">
        <v>39</v>
      </c>
      <c r="D838" s="381" t="s">
        <v>747</v>
      </c>
      <c r="E838" s="381" t="s">
        <v>886</v>
      </c>
      <c r="F838" s="380">
        <f>+MOD(Tabla8[[#This Row],[HR. FIN]]-Tabla8[[#This Row],[HR. INICIO]],1)</f>
        <v>6.9444444444444198E-3</v>
      </c>
      <c r="G838" s="16" t="s">
        <v>1636</v>
      </c>
      <c r="H838" s="343" t="str">
        <f>IFERROR(VLOOKUP(G838,DATOS!$M$2:$N$219,2,FALSE),"")</f>
        <v>Maquinaria</v>
      </c>
      <c r="I838" s="115" t="s">
        <v>32</v>
      </c>
      <c r="J838" s="115" t="s">
        <v>92</v>
      </c>
      <c r="K838" s="114" t="s">
        <v>148</v>
      </c>
      <c r="L838" s="35" t="s">
        <v>1709</v>
      </c>
      <c r="M838" s="35" t="s">
        <v>1710</v>
      </c>
      <c r="N838" s="35" t="str" cm="1">
        <f t="array" ref="N838">IFERROR(IF(Tabla8[[#This Row],[P/NP]]="NO PROGRAMADA","",_xlfn.TEXTJOIN(", ",TRUE,_xlfn._xlws.FILTER(Tabla4[[#All],[PIEZA]],ISNUMBER(SEARCH(Tabla4[[#All],[PCLAVE]],Tabla8[[#This Row],[DESCRIPCION DE TRABAJO]])),""))),"")</f>
        <v/>
      </c>
      <c r="O838" s="35" t="str" cm="1">
        <f t="array" ref="O838">_xlfn.TEXTJOIN(", ",TRUE,_xlfn._xlws.FILTER(Tabla28[[#All],[PARTE]],ISNUMBER(SEARCH(Tabla28[[#All],[PCLAVE2]],Tabla8[[#This Row],[DESCRIPCION DE TRABAJO]])),""))</f>
        <v/>
      </c>
      <c r="P838" s="303" t="str">
        <f>IFERROR(LEFT(O838, FIND(",", O838)-1), O838)</f>
        <v/>
      </c>
      <c r="Q838" s="303" t="str">
        <f>IFERROR(IF(ISERROR(FIND(",", O838, FIND(",", O838)+1)), RIGHT(O838, LEN(O838)-FIND(",", O838)-1), MID(O838, FIND(",", O838)+2, FIND(",", O838, FIND(",", O838)+1)-FIND(",", O838)-2)), "")</f>
        <v/>
      </c>
      <c r="R838" s="303" t="str">
        <f>IFERROR(RIGHT(O838, LEN(O838)-FIND(",", O838, FIND(",", O838)+1)-1), "")</f>
        <v/>
      </c>
      <c r="S838" s="35" t="str" cm="1">
        <f t="array" ref="S838">_xlfn.TEXTJOIN(", ",TRUE,_xlfn._xlws.FILTER(Tabla29[[#All],[PARTE]],ISNUMBER(SEARCH(Tabla29[[#All],[PCLAVE3]],Tabla8[[#This Row],[DESCRIPCION DE TRABAJO]])),""))</f>
        <v/>
      </c>
      <c r="T838" s="34" t="str">
        <f>IF(AND(Tabla8[[#This Row],[PIEZA]]="",Tabla8[[#This Row],[PARTE]]=""),"VACIO","OK")</f>
        <v>VACIO</v>
      </c>
      <c r="U838" s="303" t="str">
        <f>+CONCATENATE(WEEKNUM(Tabla8[[#This Row],[FECHA]]),"-",YEAR(Tabla8[[#This Row],[FECHA]]))</f>
        <v>15-2026</v>
      </c>
    </row>
    <row r="839" spans="1:21" ht="15" customHeight="1">
      <c r="A839" s="22">
        <v>46121</v>
      </c>
      <c r="B839" s="16" t="s">
        <v>191</v>
      </c>
      <c r="C839" s="10" t="s">
        <v>36</v>
      </c>
      <c r="D839" s="381">
        <v>0.41458333333333336</v>
      </c>
      <c r="E839" s="381">
        <v>0.49652777777777779</v>
      </c>
      <c r="F839" s="380">
        <f>+MOD(Tabla8[[#This Row],[HR. FIN]]-Tabla8[[#This Row],[HR. INICIO]],1)</f>
        <v>8.1944444444444431E-2</v>
      </c>
      <c r="G839" s="16" t="s">
        <v>241</v>
      </c>
      <c r="H839" s="343" t="str">
        <f>IFERROR(VLOOKUP(G839,DATOS!$M$2:$N$219,2,FALSE),"")</f>
        <v>Maquinaria</v>
      </c>
      <c r="I839" s="115" t="s">
        <v>1426</v>
      </c>
      <c r="J839" s="115" t="str">
        <f>+VLOOKUP($I839,Tabla7[#All],2,FALSE)</f>
        <v>PROGRAMADA</v>
      </c>
      <c r="K839" s="114" t="str">
        <f>IF(VLOOKUP(I839,Tabla7[#All],3,FALSE)=0,"",VLOOKUP(I839,Tabla7[#All],3,FALSE))</f>
        <v/>
      </c>
      <c r="L839" s="35" t="s">
        <v>1711</v>
      </c>
      <c r="M839" s="35" t="s">
        <v>121</v>
      </c>
      <c r="N839" s="35" t="str" cm="1">
        <f t="array" ref="N839">IFERROR(IF(Tabla8[[#This Row],[P/NP]]="NO PROGRAMADA","",_xlfn.TEXTJOIN(", ",TRUE,_xlfn._xlws.FILTER(Tabla4[[#All],[PIEZA]],ISNUMBER(SEARCH(Tabla4[[#All],[PCLAVE]],Tabla8[[#This Row],[DESCRIPCION DE TRABAJO]])),""))),"")</f>
        <v/>
      </c>
      <c r="O839" s="35" t="str" cm="1">
        <f t="array" ref="O839">_xlfn.TEXTJOIN(", ",TRUE,_xlfn._xlws.FILTER(Tabla28[[#All],[PARTE]],ISNUMBER(SEARCH(Tabla28[[#All],[PCLAVE2]],Tabla8[[#This Row],[DESCRIPCION DE TRABAJO]])),""))</f>
        <v/>
      </c>
      <c r="P839" s="303" t="str">
        <f>IFERROR(LEFT(O839, FIND(",", O839)-1), O839)</f>
        <v/>
      </c>
      <c r="Q839" s="303" t="str">
        <f>IFERROR(IF(ISERROR(FIND(",", O839, FIND(",", O839)+1)), RIGHT(O839, LEN(O839)-FIND(",", O839)-1), MID(O839, FIND(",", O839)+2, FIND(",", O839, FIND(",", O839)+1)-FIND(",", O839)-2)), "")</f>
        <v/>
      </c>
      <c r="R839" s="303" t="str">
        <f>IFERROR(RIGHT(O839, LEN(O839)-FIND(",", O839, FIND(",", O839)+1)-1), "")</f>
        <v/>
      </c>
      <c r="S839" s="35" t="str" cm="1">
        <f t="array" ref="S839">_xlfn.TEXTJOIN(", ",TRUE,_xlfn._xlws.FILTER(Tabla29[[#All],[PARTE]],ISNUMBER(SEARCH(Tabla29[[#All],[PCLAVE3]],Tabla8[[#This Row],[DESCRIPCION DE TRABAJO]])),""))</f>
        <v/>
      </c>
      <c r="T839" s="34" t="str">
        <f>IF(AND(Tabla8[[#This Row],[PIEZA]]="",Tabla8[[#This Row],[PARTE]]=""),"VACIO","OK")</f>
        <v>VACIO</v>
      </c>
      <c r="U839" s="303" t="str">
        <f>+CONCATENATE(WEEKNUM(Tabla8[[#This Row],[FECHA]]),"-",YEAR(Tabla8[[#This Row],[FECHA]]))</f>
        <v>15-2026</v>
      </c>
    </row>
    <row r="840" spans="1:21" ht="15" customHeight="1">
      <c r="A840" s="22">
        <v>46121</v>
      </c>
      <c r="B840" s="16" t="s">
        <v>88</v>
      </c>
      <c r="C840" s="10" t="s">
        <v>36</v>
      </c>
      <c r="D840" s="381">
        <v>0.375</v>
      </c>
      <c r="E840" s="381">
        <v>0.4375</v>
      </c>
      <c r="F840" s="380">
        <f>+MOD(Tabla8[[#This Row],[HR. FIN]]-Tabla8[[#This Row],[HR. INICIO]],1)</f>
        <v>6.25E-2</v>
      </c>
      <c r="G840" s="16" t="s">
        <v>222</v>
      </c>
      <c r="H840" s="343" t="str">
        <f>IFERROR(VLOOKUP(G840,DATOS!$M$2:$N$219,2,FALSE),"")</f>
        <v>Maquinaria</v>
      </c>
      <c r="I840" s="115" t="s">
        <v>390</v>
      </c>
      <c r="J840" s="115" t="str">
        <f>+VLOOKUP($I840,Tabla7[#All],2,FALSE)</f>
        <v>PROGRAMADA</v>
      </c>
      <c r="K840" s="114" t="str">
        <f>IF(VLOOKUP(I840,Tabla7[#All],3,FALSE)=0,"",VLOOKUP(I840,Tabla7[#All],3,FALSE))</f>
        <v/>
      </c>
      <c r="L840" s="35" t="s">
        <v>1712</v>
      </c>
      <c r="M840" s="35" t="s">
        <v>1713</v>
      </c>
      <c r="N840" s="35" t="str" cm="1">
        <f t="array" ref="N840">IFERROR(IF(Tabla8[[#This Row],[P/NP]]="NO PROGRAMADA","",_xlfn.TEXTJOIN(", ",TRUE,_xlfn._xlws.FILTER(Tabla4[[#All],[PIEZA]],ISNUMBER(SEARCH(Tabla4[[#All],[PCLAVE]],Tabla8[[#This Row],[DESCRIPCION DE TRABAJO]])),""))),"")</f>
        <v/>
      </c>
      <c r="O840" s="35" t="str" cm="1">
        <f t="array" ref="O840">_xlfn.TEXTJOIN(", ",TRUE,_xlfn._xlws.FILTER(Tabla28[[#All],[PARTE]],ISNUMBER(SEARCH(Tabla28[[#All],[PCLAVE2]],Tabla8[[#This Row],[DESCRIPCION DE TRABAJO]])),""))</f>
        <v/>
      </c>
      <c r="P840" s="303" t="str">
        <f>IFERROR(LEFT(O840, FIND(",", O840)-1), O840)</f>
        <v/>
      </c>
      <c r="Q840" s="303" t="str">
        <f>IFERROR(IF(ISERROR(FIND(",", O840, FIND(",", O840)+1)), RIGHT(O840, LEN(O840)-FIND(",", O840)-1), MID(O840, FIND(",", O840)+2, FIND(",", O840, FIND(",", O840)+1)-FIND(",", O840)-2)), "")</f>
        <v/>
      </c>
      <c r="R840" s="303" t="str">
        <f>IFERROR(RIGHT(O840, LEN(O840)-FIND(",", O840, FIND(",", O840)+1)-1), "")</f>
        <v/>
      </c>
      <c r="S840" s="35" t="str" cm="1">
        <f t="array" ref="S840">_xlfn.TEXTJOIN(", ",TRUE,_xlfn._xlws.FILTER(Tabla29[[#All],[PARTE]],ISNUMBER(SEARCH(Tabla29[[#All],[PCLAVE3]],Tabla8[[#This Row],[DESCRIPCION DE TRABAJO]])),""))</f>
        <v>Calibracion, Cambio De Formato</v>
      </c>
      <c r="T840" s="34" t="str">
        <f>IF(AND(Tabla8[[#This Row],[PIEZA]]="",Tabla8[[#This Row],[PARTE]]=""),"VACIO","OK")</f>
        <v>VACIO</v>
      </c>
      <c r="U840" s="303" t="str">
        <f>+CONCATENATE(WEEKNUM(Tabla8[[#This Row],[FECHA]]),"-",YEAR(Tabla8[[#This Row],[FECHA]]))</f>
        <v>15-2026</v>
      </c>
    </row>
    <row r="841" spans="1:21" ht="15" customHeight="1">
      <c r="A841" s="22">
        <v>46121</v>
      </c>
      <c r="B841" s="16" t="s">
        <v>88</v>
      </c>
      <c r="C841" s="10" t="s">
        <v>36</v>
      </c>
      <c r="D841" s="381">
        <v>0.31944444444444442</v>
      </c>
      <c r="E841" s="381">
        <v>0.36805555555555558</v>
      </c>
      <c r="F841" s="380">
        <f>+MOD(Tabla8[[#This Row],[HR. FIN]]-Tabla8[[#This Row],[HR. INICIO]],1)</f>
        <v>4.861111111111116E-2</v>
      </c>
      <c r="G841" s="16" t="s">
        <v>24</v>
      </c>
      <c r="H841" s="343" t="str">
        <f>IFERROR(VLOOKUP(G841,DATOS!$M$2:$N$219,2,FALSE),"")</f>
        <v>Maquinaria</v>
      </c>
      <c r="I841" s="115" t="s">
        <v>32</v>
      </c>
      <c r="J841" s="115" t="str">
        <f>+VLOOKUP($I841,Tabla7[#All],2,FALSE)</f>
        <v>PROGRAMADA</v>
      </c>
      <c r="K841" s="114" t="str">
        <f>IF(VLOOKUP(I841,Tabla7[#All],3,FALSE)=0,"",VLOOKUP(I841,Tabla7[#All],3,FALSE))</f>
        <v/>
      </c>
      <c r="L841" s="35" t="s">
        <v>1714</v>
      </c>
      <c r="M841" s="35" t="s">
        <v>1715</v>
      </c>
      <c r="N841" s="35" t="str" cm="1">
        <f t="array" ref="N841">IFERROR(IF(Tabla8[[#This Row],[P/NP]]="NO PROGRAMADA","",_xlfn.TEXTJOIN(", ",TRUE,_xlfn._xlws.FILTER(Tabla4[[#All],[PIEZA]],ISNUMBER(SEARCH(Tabla4[[#All],[PCLAVE]],Tabla8[[#This Row],[DESCRIPCION DE TRABAJO]])),""))),"")</f>
        <v>Pasta</v>
      </c>
      <c r="O841" s="35" t="str" cm="1">
        <f t="array" ref="O841">_xlfn.TEXTJOIN(", ",TRUE,_xlfn._xlws.FILTER(Tabla28[[#All],[PARTE]],ISNUMBER(SEARCH(Tabla28[[#All],[PCLAVE2]],Tabla8[[#This Row],[DESCRIPCION DE TRABAJO]])),""))</f>
        <v/>
      </c>
      <c r="P841" s="303" t="str">
        <f>IFERROR(LEFT(O841, FIND(",", O841)-1), O841)</f>
        <v/>
      </c>
      <c r="Q841" s="303" t="str">
        <f>IFERROR(IF(ISERROR(FIND(",", O841, FIND(",", O841)+1)), RIGHT(O841, LEN(O841)-FIND(",", O841)-1), MID(O841, FIND(",", O841)+2, FIND(",", O841, FIND(",", O841)+1)-FIND(",", O841)-2)), "")</f>
        <v/>
      </c>
      <c r="R841" s="303" t="str">
        <f>IFERROR(RIGHT(O841, LEN(O841)-FIND(",", O841, FIND(",", O841)+1)-1), "")</f>
        <v/>
      </c>
      <c r="S841" s="35" t="str" cm="1">
        <f t="array" ref="S841">_xlfn.TEXTJOIN(", ",TRUE,_xlfn._xlws.FILTER(Tabla29[[#All],[PARTE]],ISNUMBER(SEARCH(Tabla29[[#All],[PCLAVE3]],Tabla8[[#This Row],[DESCRIPCION DE TRABAJO]])),""))</f>
        <v/>
      </c>
      <c r="T841" s="34" t="str">
        <f>IF(AND(Tabla8[[#This Row],[PIEZA]]="",Tabla8[[#This Row],[PARTE]]=""),"VACIO","OK")</f>
        <v>OK</v>
      </c>
      <c r="U841" s="303" t="str">
        <f>+CONCATENATE(WEEKNUM(Tabla8[[#This Row],[FECHA]]),"-",YEAR(Tabla8[[#This Row],[FECHA]]))</f>
        <v>15-2026</v>
      </c>
    </row>
    <row r="842" spans="1:21" ht="15" customHeight="1">
      <c r="A842" s="22">
        <v>46121</v>
      </c>
      <c r="B842" s="16" t="s">
        <v>191</v>
      </c>
      <c r="C842" s="10" t="s">
        <v>36</v>
      </c>
      <c r="D842" s="381">
        <v>0.32777777777777778</v>
      </c>
      <c r="E842" s="381">
        <v>0.37291666666666667</v>
      </c>
      <c r="F842" s="380">
        <f>+MOD(Tabla8[[#This Row],[HR. FIN]]-Tabla8[[#This Row],[HR. INICIO]],1)</f>
        <v>4.5138888888888895E-2</v>
      </c>
      <c r="G842" s="16" t="s">
        <v>165</v>
      </c>
      <c r="H842" s="343" t="str">
        <f>IFERROR(VLOOKUP(G842,DATOS!$M$2:$N$219,2,FALSE),"")</f>
        <v>Maquinaria</v>
      </c>
      <c r="I842" s="115" t="s">
        <v>32</v>
      </c>
      <c r="J842" s="115" t="s">
        <v>92</v>
      </c>
      <c r="K842" s="114" t="s">
        <v>148</v>
      </c>
      <c r="L842" s="35" t="s">
        <v>1716</v>
      </c>
      <c r="M842" s="35" t="s">
        <v>1717</v>
      </c>
      <c r="N842" s="35" t="str" cm="1">
        <f t="array" ref="N842">IFERROR(IF(Tabla8[[#This Row],[P/NP]]="NO PROGRAMADA","",_xlfn.TEXTJOIN(", ",TRUE,_xlfn._xlws.FILTER(Tabla4[[#All],[PIEZA]],ISNUMBER(SEARCH(Tabla4[[#All],[PCLAVE]],Tabla8[[#This Row],[DESCRIPCION DE TRABAJO]])),""))),"")</f>
        <v/>
      </c>
      <c r="O842" s="35" t="str" cm="1">
        <f t="array" ref="O842">_xlfn.TEXTJOIN(", ",TRUE,_xlfn._xlws.FILTER(Tabla28[[#All],[PARTE]],ISNUMBER(SEARCH(Tabla28[[#All],[PCLAVE2]],Tabla8[[#This Row],[DESCRIPCION DE TRABAJO]])),""))</f>
        <v/>
      </c>
      <c r="P842" s="303" t="str">
        <f>IFERROR(LEFT(O842, FIND(",", O842)-1), O842)</f>
        <v/>
      </c>
      <c r="Q842" s="303" t="str">
        <f>IFERROR(IF(ISERROR(FIND(",", O842, FIND(",", O842)+1)), RIGHT(O842, LEN(O842)-FIND(",", O842)-1), MID(O842, FIND(",", O842)+2, FIND(",", O842, FIND(",", O842)+1)-FIND(",", O842)-2)), "")</f>
        <v/>
      </c>
      <c r="R842" s="303" t="str">
        <f>IFERROR(RIGHT(O842, LEN(O842)-FIND(",", O842, FIND(",", O842)+1)-1), "")</f>
        <v/>
      </c>
      <c r="S842" s="35" t="str" cm="1">
        <f t="array" ref="S842">_xlfn.TEXTJOIN(", ",TRUE,_xlfn._xlws.FILTER(Tabla29[[#All],[PARTE]],ISNUMBER(SEARCH(Tabla29[[#All],[PCLAVE3]],Tabla8[[#This Row],[DESCRIPCION DE TRABAJO]])),""))</f>
        <v/>
      </c>
      <c r="T842" s="34" t="str">
        <f>IF(AND(Tabla8[[#This Row],[PIEZA]]="",Tabla8[[#This Row],[PARTE]]=""),"VACIO","OK")</f>
        <v>VACIO</v>
      </c>
      <c r="U842" s="303" t="str">
        <f>+CONCATENATE(WEEKNUM(Tabla8[[#This Row],[FECHA]]),"-",YEAR(Tabla8[[#This Row],[FECHA]]))</f>
        <v>15-2026</v>
      </c>
    </row>
    <row r="843" spans="1:21" ht="15" customHeight="1">
      <c r="A843" s="22">
        <v>46121</v>
      </c>
      <c r="B843" s="16" t="s">
        <v>191</v>
      </c>
      <c r="C843" s="10" t="s">
        <v>36</v>
      </c>
      <c r="D843" s="381">
        <v>0.37430555555555556</v>
      </c>
      <c r="E843" s="381">
        <v>0.40833333333333333</v>
      </c>
      <c r="F843" s="380">
        <f>+MOD(Tabla8[[#This Row],[HR. FIN]]-Tabla8[[#This Row],[HR. INICIO]],1)</f>
        <v>3.4027777777777768E-2</v>
      </c>
      <c r="G843" s="16" t="s">
        <v>222</v>
      </c>
      <c r="H843" s="343" t="str">
        <f>IFERROR(VLOOKUP(G843,DATOS!$M$2:$N$219,2,FALSE),"")</f>
        <v>Maquinaria</v>
      </c>
      <c r="I843" s="115" t="s">
        <v>32</v>
      </c>
      <c r="J843" s="115" t="s">
        <v>92</v>
      </c>
      <c r="K843" s="114" t="s">
        <v>148</v>
      </c>
      <c r="L843" s="35" t="s">
        <v>1718</v>
      </c>
      <c r="M843" s="35" t="s">
        <v>1719</v>
      </c>
      <c r="N843" s="35" t="str" cm="1">
        <f t="array" ref="N843">IFERROR(IF(Tabla8[[#This Row],[P/NP]]="NO PROGRAMADA","",_xlfn.TEXTJOIN(", ",TRUE,_xlfn._xlws.FILTER(Tabla4[[#All],[PIEZA]],ISNUMBER(SEARCH(Tabla4[[#All],[PCLAVE]],Tabla8[[#This Row],[DESCRIPCION DE TRABAJO]])),""))),"")</f>
        <v/>
      </c>
      <c r="O843" s="35" t="str" cm="1">
        <f t="array" ref="O843">_xlfn.TEXTJOIN(", ",TRUE,_xlfn._xlws.FILTER(Tabla28[[#All],[PARTE]],ISNUMBER(SEARCH(Tabla28[[#All],[PCLAVE2]],Tabla8[[#This Row],[DESCRIPCION DE TRABAJO]])),""))</f>
        <v/>
      </c>
      <c r="P843" s="303" t="str">
        <f>IFERROR(LEFT(O843, FIND(",", O843)-1), O843)</f>
        <v/>
      </c>
      <c r="Q843" s="303" t="str">
        <f>IFERROR(IF(ISERROR(FIND(",", O843, FIND(",", O843)+1)), RIGHT(O843, LEN(O843)-FIND(",", O843)-1), MID(O843, FIND(",", O843)+2, FIND(",", O843, FIND(",", O843)+1)-FIND(",", O843)-2)), "")</f>
        <v/>
      </c>
      <c r="R843" s="303" t="str">
        <f>IFERROR(RIGHT(O843, LEN(O843)-FIND(",", O843, FIND(",", O843)+1)-1), "")</f>
        <v/>
      </c>
      <c r="S843" s="35" t="str" cm="1">
        <f t="array" ref="S843">_xlfn.TEXTJOIN(", ",TRUE,_xlfn._xlws.FILTER(Tabla29[[#All],[PARTE]],ISNUMBER(SEARCH(Tabla29[[#All],[PCLAVE3]],Tabla8[[#This Row],[DESCRIPCION DE TRABAJO]])),""))</f>
        <v/>
      </c>
      <c r="T843" s="34" t="str">
        <f>IF(AND(Tabla8[[#This Row],[PIEZA]]="",Tabla8[[#This Row],[PARTE]]=""),"VACIO","OK")</f>
        <v>VACIO</v>
      </c>
      <c r="U843" s="303" t="str">
        <f>+CONCATENATE(WEEKNUM(Tabla8[[#This Row],[FECHA]]),"-",YEAR(Tabla8[[#This Row],[FECHA]]))</f>
        <v>15-2026</v>
      </c>
    </row>
    <row r="844" spans="1:21" ht="15" customHeight="1">
      <c r="A844" s="22">
        <v>46121</v>
      </c>
      <c r="B844" s="16" t="s">
        <v>191</v>
      </c>
      <c r="C844" s="10" t="s">
        <v>36</v>
      </c>
      <c r="D844" s="381">
        <v>0.26527777777777778</v>
      </c>
      <c r="E844" s="381">
        <v>0.28819444444444442</v>
      </c>
      <c r="F844" s="380">
        <f>+MOD(Tabla8[[#This Row],[HR. FIN]]-Tabla8[[#This Row],[HR. INICIO]],1)</f>
        <v>2.2916666666666641E-2</v>
      </c>
      <c r="G844" s="16" t="s">
        <v>270</v>
      </c>
      <c r="H844" s="343" t="str">
        <f>IFERROR(VLOOKUP(G844,DATOS!$M$2:$N$219,2,FALSE),"")</f>
        <v>Maquinaria</v>
      </c>
      <c r="I844" s="115" t="s">
        <v>57</v>
      </c>
      <c r="J844" s="115" t="str">
        <f>+VLOOKUP($I844,Tabla7[#All],2,FALSE)</f>
        <v>NO PROGRAMADA</v>
      </c>
      <c r="K844" s="114" t="str">
        <f>IF(VLOOKUP(I844,Tabla7[#All],3,FALSE)=0,"",VLOOKUP(I844,Tabla7[#All],3,FALSE))</f>
        <v>MECÁNICA</v>
      </c>
      <c r="L844" s="35" t="s">
        <v>1720</v>
      </c>
      <c r="M844" s="35" t="s">
        <v>1721</v>
      </c>
      <c r="N844" s="35" t="str" cm="1">
        <f t="array" ref="N844">IFERROR(IF(Tabla8[[#This Row],[P/NP]]="NO PROGRAMADA","",_xlfn.TEXTJOIN(", ",TRUE,_xlfn._xlws.FILTER(Tabla4[[#All],[PIEZA]],ISNUMBER(SEARCH(Tabla4[[#All],[PCLAVE]],Tabla8[[#This Row],[DESCRIPCION DE TRABAJO]])),""))),"")</f>
        <v/>
      </c>
      <c r="O844" s="35" t="str" cm="1">
        <f t="array" ref="O844">_xlfn.TEXTJOIN(", ",TRUE,_xlfn._xlws.FILTER(Tabla28[[#All],[PARTE]],ISNUMBER(SEARCH(Tabla28[[#All],[PCLAVE2]],Tabla8[[#This Row],[DESCRIPCION DE TRABAJO]])),""))</f>
        <v>Sammfill, Temperadora</v>
      </c>
      <c r="P844" s="303" t="str">
        <f>IFERROR(LEFT(O844, FIND(",", O844)-1), O844)</f>
        <v>Sammfill</v>
      </c>
      <c r="Q844" s="303" t="str">
        <f>IFERROR(IF(ISERROR(FIND(",", O844, FIND(",", O844)+1)), RIGHT(O844, LEN(O844)-FIND(",", O844)-1), MID(O844, FIND(",", O844)+2, FIND(",", O844, FIND(",", O844)+1)-FIND(",", O844)-2)), "")</f>
        <v>Temperadora</v>
      </c>
      <c r="R844" s="303" t="str">
        <f>IFERROR(RIGHT(O844, LEN(O844)-FIND(",", O844, FIND(",", O844)+1)-1), "")</f>
        <v/>
      </c>
      <c r="S844" s="35" t="str" cm="1">
        <f t="array" ref="S844">_xlfn.TEXTJOIN(", ",TRUE,_xlfn._xlws.FILTER(Tabla29[[#All],[PARTE]],ISNUMBER(SEARCH(Tabla29[[#All],[PCLAVE3]],Tabla8[[#This Row],[DESCRIPCION DE TRABAJO]])),""))</f>
        <v/>
      </c>
      <c r="T844" s="34" t="str">
        <f>IF(AND(Tabla8[[#This Row],[PIEZA]]="",Tabla8[[#This Row],[PARTE]]=""),"VACIO","OK")</f>
        <v>OK</v>
      </c>
      <c r="U844" s="303" t="str">
        <f>+CONCATENATE(WEEKNUM(Tabla8[[#This Row],[FECHA]]),"-",YEAR(Tabla8[[#This Row],[FECHA]]))</f>
        <v>15-2026</v>
      </c>
    </row>
    <row r="845" spans="1:21" ht="15" customHeight="1">
      <c r="A845" s="22">
        <v>46121</v>
      </c>
      <c r="B845" s="16" t="s">
        <v>191</v>
      </c>
      <c r="C845" s="10" t="s">
        <v>36</v>
      </c>
      <c r="D845" s="381">
        <v>0.29791666666666666</v>
      </c>
      <c r="E845" s="381">
        <v>0.32013888888888886</v>
      </c>
      <c r="F845" s="380">
        <f>+MOD(Tabla8[[#This Row],[HR. FIN]]-Tabla8[[#This Row],[HR. INICIO]],1)</f>
        <v>2.2222222222222199E-2</v>
      </c>
      <c r="G845" s="16" t="s">
        <v>119</v>
      </c>
      <c r="H845" s="343" t="str">
        <f>IFERROR(VLOOKUP(G845,DATOS!$M$2:$N$219,2,FALSE),"")</f>
        <v>Maquinaria</v>
      </c>
      <c r="I845" s="115" t="s">
        <v>32</v>
      </c>
      <c r="J845" s="115" t="str">
        <f>+VLOOKUP($I845,Tabla7[#All],2,FALSE)</f>
        <v>PROGRAMADA</v>
      </c>
      <c r="K845" s="114" t="str">
        <f>IF(VLOOKUP(I845,Tabla7[#All],3,FALSE)=0,"",VLOOKUP(I845,Tabla7[#All],3,FALSE))</f>
        <v/>
      </c>
      <c r="L845" s="35" t="s">
        <v>1508</v>
      </c>
      <c r="M845" s="35" t="s">
        <v>121</v>
      </c>
      <c r="N845" s="35" t="str" cm="1">
        <f t="array" ref="N845">IFERROR(IF(Tabla8[[#This Row],[P/NP]]="NO PROGRAMADA","",_xlfn.TEXTJOIN(", ",TRUE,_xlfn._xlws.FILTER(Tabla4[[#All],[PIEZA]],ISNUMBER(SEARCH(Tabla4[[#All],[PCLAVE]],Tabla8[[#This Row],[DESCRIPCION DE TRABAJO]])),""))),"")</f>
        <v/>
      </c>
      <c r="O845" s="35" t="str" cm="1">
        <f t="array" ref="O845">_xlfn.TEXTJOIN(", ",TRUE,_xlfn._xlws.FILTER(Tabla28[[#All],[PARTE]],ISNUMBER(SEARCH(Tabla28[[#All],[PCLAVE2]],Tabla8[[#This Row],[DESCRIPCION DE TRABAJO]])),""))</f>
        <v>Mds</v>
      </c>
      <c r="P845" s="303" t="str">
        <f>IFERROR(LEFT(O845, FIND(",", O845)-1), O845)</f>
        <v>Mds</v>
      </c>
      <c r="Q845" s="303" t="str">
        <f>IFERROR(IF(ISERROR(FIND(",", O845, FIND(",", O845)+1)), RIGHT(O845, LEN(O845)-FIND(",", O845)-1), MID(O845, FIND(",", O845)+2, FIND(",", O845, FIND(",", O845)+1)-FIND(",", O845)-2)), "")</f>
        <v/>
      </c>
      <c r="R845" s="303" t="str">
        <f>IFERROR(RIGHT(O845, LEN(O845)-FIND(",", O845, FIND(",", O845)+1)-1), "")</f>
        <v/>
      </c>
      <c r="S845" s="35" t="str" cm="1">
        <f t="array" ref="S845">_xlfn.TEXTJOIN(", ",TRUE,_xlfn._xlws.FILTER(Tabla29[[#All],[PARTE]],ISNUMBER(SEARCH(Tabla29[[#All],[PCLAVE3]],Tabla8[[#This Row],[DESCRIPCION DE TRABAJO]])),""))</f>
        <v>Cambio De Formato</v>
      </c>
      <c r="T845" s="34" t="str">
        <f>IF(AND(Tabla8[[#This Row],[PIEZA]]="",Tabla8[[#This Row],[PARTE]]=""),"VACIO","OK")</f>
        <v>OK</v>
      </c>
      <c r="U845" s="303" t="str">
        <f>+CONCATENATE(WEEKNUM(Tabla8[[#This Row],[FECHA]]),"-",YEAR(Tabla8[[#This Row],[FECHA]]))</f>
        <v>15-2026</v>
      </c>
    </row>
    <row r="846" spans="1:21" ht="15" customHeight="1">
      <c r="A846" s="22">
        <v>46121</v>
      </c>
      <c r="B846" s="16" t="s">
        <v>88</v>
      </c>
      <c r="C846" s="10" t="s">
        <v>36</v>
      </c>
      <c r="D846" s="381">
        <v>0.27083333333333331</v>
      </c>
      <c r="E846" s="381">
        <v>0.29166666666666669</v>
      </c>
      <c r="F846" s="380">
        <f>+MOD(Tabla8[[#This Row],[HR. FIN]]-Tabla8[[#This Row],[HR. INICIO]],1)</f>
        <v>2.083333333333337E-2</v>
      </c>
      <c r="G846" s="16" t="s">
        <v>270</v>
      </c>
      <c r="H846" s="343" t="str">
        <f>IFERROR(VLOOKUP(G846,DATOS!$M$2:$N$219,2,FALSE),"")</f>
        <v>Maquinaria</v>
      </c>
      <c r="I846" s="115" t="s">
        <v>57</v>
      </c>
      <c r="J846" s="115" t="str">
        <f>+VLOOKUP($I846,Tabla7[#All],2,FALSE)</f>
        <v>NO PROGRAMADA</v>
      </c>
      <c r="K846" s="114" t="str">
        <f>IF(VLOOKUP(I846,Tabla7[#All],3,FALSE)=0,"",VLOOKUP(I846,Tabla7[#All],3,FALSE))</f>
        <v>MECÁNICA</v>
      </c>
      <c r="L846" s="35" t="s">
        <v>1722</v>
      </c>
      <c r="M846" s="35" t="s">
        <v>1723</v>
      </c>
      <c r="N846" s="35" t="str" cm="1">
        <f t="array" ref="N846">IFERROR(IF(Tabla8[[#This Row],[P/NP]]="NO PROGRAMADA","",_xlfn.TEXTJOIN(", ",TRUE,_xlfn._xlws.FILTER(Tabla4[[#All],[PIEZA]],ISNUMBER(SEARCH(Tabla4[[#All],[PCLAVE]],Tabla8[[#This Row],[DESCRIPCION DE TRABAJO]])),""))),"")</f>
        <v/>
      </c>
      <c r="O846" s="35" t="str" cm="1">
        <f t="array" ref="O846">_xlfn.TEXTJOIN(", ",TRUE,_xlfn._xlws.FILTER(Tabla28[[#All],[PARTE]],ISNUMBER(SEARCH(Tabla28[[#All],[PCLAVE2]],Tabla8[[#This Row],[DESCRIPCION DE TRABAJO]])),""))</f>
        <v/>
      </c>
      <c r="P846" s="303" t="str">
        <f>IFERROR(LEFT(O846, FIND(",", O846)-1), O846)</f>
        <v/>
      </c>
      <c r="Q846" s="303" t="str">
        <f>IFERROR(IF(ISERROR(FIND(",", O846, FIND(",", O846)+1)), RIGHT(O846, LEN(O846)-FIND(",", O846)-1), MID(O846, FIND(",", O846)+2, FIND(",", O846, FIND(",", O846)+1)-FIND(",", O846)-2)), "")</f>
        <v/>
      </c>
      <c r="R846" s="303" t="str">
        <f>IFERROR(RIGHT(O846, LEN(O846)-FIND(",", O846, FIND(",", O846)+1)-1), "")</f>
        <v/>
      </c>
      <c r="S846" s="35" t="str" cm="1">
        <f t="array" ref="S846">_xlfn.TEXTJOIN(", ",TRUE,_xlfn._xlws.FILTER(Tabla29[[#All],[PARTE]],ISNUMBER(SEARCH(Tabla29[[#All],[PCLAVE3]],Tabla8[[#This Row],[DESCRIPCION DE TRABAJO]])),""))</f>
        <v>No Tempera</v>
      </c>
      <c r="T846" s="34" t="str">
        <f>IF(AND(Tabla8[[#This Row],[PIEZA]]="",Tabla8[[#This Row],[PARTE]]=""),"VACIO","OK")</f>
        <v>VACIO</v>
      </c>
      <c r="U846" s="303" t="str">
        <f>+CONCATENATE(WEEKNUM(Tabla8[[#This Row],[FECHA]]),"-",YEAR(Tabla8[[#This Row],[FECHA]]))</f>
        <v>15-2026</v>
      </c>
    </row>
    <row r="847" spans="1:21" ht="15" customHeight="1">
      <c r="A847" s="22">
        <v>46121</v>
      </c>
      <c r="B847" s="16" t="s">
        <v>88</v>
      </c>
      <c r="C847" s="10" t="s">
        <v>36</v>
      </c>
      <c r="D847" s="381">
        <v>0.23958333333333334</v>
      </c>
      <c r="E847" s="381">
        <v>0.26041666666666669</v>
      </c>
      <c r="F847" s="380">
        <f>+MOD(Tabla8[[#This Row],[HR. FIN]]-Tabla8[[#This Row],[HR. INICIO]],1)</f>
        <v>2.0833333333333343E-2</v>
      </c>
      <c r="G847" s="16" t="s">
        <v>270</v>
      </c>
      <c r="H847" s="343" t="str">
        <f>IFERROR(VLOOKUP(G847,DATOS!$M$2:$N$219,2,FALSE),"")</f>
        <v>Maquinaria</v>
      </c>
      <c r="I847" s="115" t="s">
        <v>54</v>
      </c>
      <c r="J847" s="115" t="str">
        <f>+VLOOKUP($I847,Tabla7[#All],2,FALSE)</f>
        <v>PROGRAMADA</v>
      </c>
      <c r="K847" s="114" t="str">
        <f>IF(VLOOKUP(I847,Tabla7[#All],3,FALSE)=0,"",VLOOKUP(I847,Tabla7[#All],3,FALSE))</f>
        <v/>
      </c>
      <c r="L847" s="35" t="s">
        <v>1103</v>
      </c>
      <c r="M847" s="35" t="s">
        <v>214</v>
      </c>
      <c r="N847" s="35" t="str" cm="1">
        <f t="array" ref="N847">IFERROR(IF(Tabla8[[#This Row],[P/NP]]="NO PROGRAMADA","",_xlfn.TEXTJOIN(", ",TRUE,_xlfn._xlws.FILTER(Tabla4[[#All],[PIEZA]],ISNUMBER(SEARCH(Tabla4[[#All],[PCLAVE]],Tabla8[[#This Row],[DESCRIPCION DE TRABAJO]])),""))),"")</f>
        <v/>
      </c>
      <c r="O847" s="35" t="str" cm="1">
        <f t="array" ref="O847">_xlfn.TEXTJOIN(", ",TRUE,_xlfn._xlws.FILTER(Tabla28[[#All],[PARTE]],ISNUMBER(SEARCH(Tabla28[[#All],[PCLAVE2]],Tabla8[[#This Row],[DESCRIPCION DE TRABAJO]])),""))</f>
        <v/>
      </c>
      <c r="P847" s="303" t="str">
        <f>IFERROR(LEFT(O847, FIND(",", O847)-1), O847)</f>
        <v/>
      </c>
      <c r="Q847" s="303" t="str">
        <f>IFERROR(IF(ISERROR(FIND(",", O847, FIND(",", O847)+1)), RIGHT(O847, LEN(O847)-FIND(",", O847)-1), MID(O847, FIND(",", O847)+2, FIND(",", O847, FIND(",", O847)+1)-FIND(",", O847)-2)), "")</f>
        <v/>
      </c>
      <c r="R847" s="303" t="str">
        <f>IFERROR(RIGHT(O847, LEN(O847)-FIND(",", O847, FIND(",", O847)+1)-1), "")</f>
        <v/>
      </c>
      <c r="S847" s="35" t="str" cm="1">
        <f t="array" ref="S847">_xlfn.TEXTJOIN(", ",TRUE,_xlfn._xlws.FILTER(Tabla29[[#All],[PARTE]],ISNUMBER(SEARCH(Tabla29[[#All],[PCLAVE3]],Tabla8[[#This Row],[DESCRIPCION DE TRABAJO]])),""))</f>
        <v/>
      </c>
      <c r="T847" s="34" t="str">
        <f>IF(AND(Tabla8[[#This Row],[PIEZA]]="",Tabla8[[#This Row],[PARTE]]=""),"VACIO","OK")</f>
        <v>VACIO</v>
      </c>
      <c r="U847" s="303" t="str">
        <f>+CONCATENATE(WEEKNUM(Tabla8[[#This Row],[FECHA]]),"-",YEAR(Tabla8[[#This Row],[FECHA]]))</f>
        <v>15-2026</v>
      </c>
    </row>
    <row r="848" spans="1:21" ht="15" customHeight="1">
      <c r="A848" s="22">
        <v>46121</v>
      </c>
      <c r="B848" s="16" t="s">
        <v>191</v>
      </c>
      <c r="C848" s="10" t="s">
        <v>36</v>
      </c>
      <c r="D848" s="381">
        <v>0.24166666666666667</v>
      </c>
      <c r="E848" s="381">
        <v>0.25763888888888886</v>
      </c>
      <c r="F848" s="380">
        <f>+MOD(Tabla8[[#This Row],[HR. FIN]]-Tabla8[[#This Row],[HR. INICIO]],1)</f>
        <v>1.5972222222222193E-2</v>
      </c>
      <c r="G848" s="16" t="s">
        <v>215</v>
      </c>
      <c r="H848" s="343" t="str">
        <f>IFERROR(VLOOKUP(G848,DATOS!$M$2:$N$219,2,FALSE),"")</f>
        <v>Equipos auxiliares</v>
      </c>
      <c r="I848" s="115" t="s">
        <v>54</v>
      </c>
      <c r="J848" s="115" t="str">
        <f>+VLOOKUP($I848,Tabla7[#All],2,FALSE)</f>
        <v>PROGRAMADA</v>
      </c>
      <c r="K848" s="114" t="str">
        <f>IF(VLOOKUP(I848,Tabla7[#All],3,FALSE)=0,"",VLOOKUP(I848,Tabla7[#All],3,FALSE))</f>
        <v/>
      </c>
      <c r="L848" s="35" t="s">
        <v>248</v>
      </c>
      <c r="M848" s="35" t="s">
        <v>121</v>
      </c>
      <c r="N848" s="35" t="str" cm="1">
        <f t="array" ref="N848">IFERROR(IF(Tabla8[[#This Row],[P/NP]]="NO PROGRAMADA","",_xlfn.TEXTJOIN(", ",TRUE,_xlfn._xlws.FILTER(Tabla4[[#All],[PIEZA]],ISNUMBER(SEARCH(Tabla4[[#All],[PCLAVE]],Tabla8[[#This Row],[DESCRIPCION DE TRABAJO]])),""))),"")</f>
        <v/>
      </c>
      <c r="O848" s="35" t="str" cm="1">
        <f t="array" ref="O848">_xlfn.TEXTJOIN(", ",TRUE,_xlfn._xlws.FILTER(Tabla28[[#All],[PARTE]],ISNUMBER(SEARCH(Tabla28[[#All],[PCLAVE2]],Tabla8[[#This Row],[DESCRIPCION DE TRABAJO]])),""))</f>
        <v/>
      </c>
      <c r="P848" s="303" t="str">
        <f>IFERROR(LEFT(O848, FIND(",", O848)-1), O848)</f>
        <v/>
      </c>
      <c r="Q848" s="303" t="str">
        <f>IFERROR(IF(ISERROR(FIND(",", O848, FIND(",", O848)+1)), RIGHT(O848, LEN(O848)-FIND(",", O848)-1), MID(O848, FIND(",", O848)+2, FIND(",", O848, FIND(",", O848)+1)-FIND(",", O848)-2)), "")</f>
        <v/>
      </c>
      <c r="R848" s="303" t="str">
        <f>IFERROR(RIGHT(O848, LEN(O848)-FIND(",", O848, FIND(",", O848)+1)-1), "")</f>
        <v/>
      </c>
      <c r="S848" s="35" t="str" cm="1">
        <f t="array" ref="S848">_xlfn.TEXTJOIN(", ",TRUE,_xlfn._xlws.FILTER(Tabla29[[#All],[PARTE]],ISNUMBER(SEARCH(Tabla29[[#All],[PCLAVE3]],Tabla8[[#This Row],[DESCRIPCION DE TRABAJO]])),""))</f>
        <v/>
      </c>
      <c r="T848" s="34" t="str">
        <f>IF(AND(Tabla8[[#This Row],[PIEZA]]="",Tabla8[[#This Row],[PARTE]]=""),"VACIO","OK")</f>
        <v>VACIO</v>
      </c>
      <c r="U848" s="303" t="str">
        <f>+CONCATENATE(WEEKNUM(Tabla8[[#This Row],[FECHA]]),"-",YEAR(Tabla8[[#This Row],[FECHA]]))</f>
        <v>15-2026</v>
      </c>
    </row>
    <row r="849" spans="1:21" ht="15" customHeight="1">
      <c r="A849" s="22">
        <v>46121</v>
      </c>
      <c r="B849" s="16" t="s">
        <v>88</v>
      </c>
      <c r="C849" s="10" t="s">
        <v>36</v>
      </c>
      <c r="D849" s="381">
        <v>0.45833333333333331</v>
      </c>
      <c r="E849" s="381">
        <v>0.46875</v>
      </c>
      <c r="F849" s="380">
        <f>+MOD(Tabla8[[#This Row],[HR. FIN]]-Tabla8[[#This Row],[HR. INICIO]],1)</f>
        <v>1.0416666666666685E-2</v>
      </c>
      <c r="G849" s="16" t="s">
        <v>312</v>
      </c>
      <c r="H849" s="343" t="str">
        <f>IFERROR(VLOOKUP(G849,DATOS!$M$2:$N$219,2,FALSE),"")</f>
        <v>Maquinaria</v>
      </c>
      <c r="I849" s="115" t="s">
        <v>57</v>
      </c>
      <c r="J849" s="115" t="s">
        <v>157</v>
      </c>
      <c r="K849" s="114"/>
      <c r="L849" s="35" t="s">
        <v>1724</v>
      </c>
      <c r="M849" s="35" t="s">
        <v>1725</v>
      </c>
      <c r="N849" s="35" t="str" cm="1">
        <f t="array" ref="N849">IFERROR(IF(Tabla8[[#This Row],[P/NP]]="NO PROGRAMADA","",_xlfn.TEXTJOIN(", ",TRUE,_xlfn._xlws.FILTER(Tabla4[[#All],[PIEZA]],ISNUMBER(SEARCH(Tabla4[[#All],[PCLAVE]],Tabla8[[#This Row],[DESCRIPCION DE TRABAJO]])),""))),"")</f>
        <v>Manguera, Tuberias</v>
      </c>
      <c r="O849" s="35" t="str" cm="1">
        <f t="array" ref="O849">_xlfn.TEXTJOIN(", ",TRUE,_xlfn._xlws.FILTER(Tabla28[[#All],[PARTE]],ISNUMBER(SEARCH(Tabla28[[#All],[PCLAVE2]],Tabla8[[#This Row],[DESCRIPCION DE TRABAJO]])),""))</f>
        <v/>
      </c>
      <c r="P849" s="303" t="str">
        <f>IFERROR(LEFT(O849, FIND(",", O849)-1), O849)</f>
        <v/>
      </c>
      <c r="Q849" s="303" t="str">
        <f>IFERROR(IF(ISERROR(FIND(",", O849, FIND(",", O849)+1)), RIGHT(O849, LEN(O849)-FIND(",", O849)-1), MID(O849, FIND(",", O849)+2, FIND(",", O849, FIND(",", O849)+1)-FIND(",", O849)-2)), "")</f>
        <v/>
      </c>
      <c r="R849" s="303" t="str">
        <f>IFERROR(RIGHT(O849, LEN(O849)-FIND(",", O849, FIND(",", O849)+1)-1), "")</f>
        <v/>
      </c>
      <c r="S849" s="35" t="str" cm="1">
        <f t="array" ref="S849">_xlfn.TEXTJOIN(", ",TRUE,_xlfn._xlws.FILTER(Tabla29[[#All],[PARTE]],ISNUMBER(SEARCH(Tabla29[[#All],[PCLAVE3]],Tabla8[[#This Row],[DESCRIPCION DE TRABAJO]])),""))</f>
        <v>Fuga, Fuga De Agua</v>
      </c>
      <c r="T849" s="34" t="str">
        <f>IF(AND(Tabla8[[#This Row],[PIEZA]]="",Tabla8[[#This Row],[PARTE]]=""),"VACIO","OK")</f>
        <v>OK</v>
      </c>
      <c r="U849" s="303" t="str">
        <f>+CONCATENATE(WEEKNUM(Tabla8[[#This Row],[FECHA]]),"-",YEAR(Tabla8[[#This Row],[FECHA]]))</f>
        <v>15-2026</v>
      </c>
    </row>
    <row r="850" spans="1:21" ht="15" customHeight="1">
      <c r="A850" s="22">
        <v>46122</v>
      </c>
      <c r="B850" s="16" t="s">
        <v>131</v>
      </c>
      <c r="C850" s="10" t="s">
        <v>39</v>
      </c>
      <c r="D850" s="381">
        <v>0.90416666666666667</v>
      </c>
      <c r="E850" s="381">
        <v>0.94097222222222221</v>
      </c>
      <c r="F850" s="380">
        <f>+MOD(Tabla8[[#This Row],[HR. FIN]]-Tabla8[[#This Row],[HR. INICIO]],1)</f>
        <v>3.6805555555555536E-2</v>
      </c>
      <c r="G850" s="16" t="s">
        <v>222</v>
      </c>
      <c r="H850" s="343" t="str">
        <f>IFERROR(VLOOKUP(G850,DATOS!$M$2:$N$219,2,FALSE),"")</f>
        <v>Maquinaria</v>
      </c>
      <c r="I850" s="115" t="s">
        <v>390</v>
      </c>
      <c r="J850" s="115" t="str">
        <f>+VLOOKUP($I850,Tabla7[#All],2,FALSE)</f>
        <v>PROGRAMADA</v>
      </c>
      <c r="K850" s="114" t="str">
        <f>IF(VLOOKUP(I850,Tabla7[#All],3,FALSE)=0,"",VLOOKUP(I850,Tabla7[#All],3,FALSE))</f>
        <v/>
      </c>
      <c r="L850" s="35" t="s">
        <v>1726</v>
      </c>
      <c r="M850" s="35" t="s">
        <v>1727</v>
      </c>
      <c r="N850" s="35" t="str" cm="1">
        <f t="array" ref="N850">IFERROR(IF(Tabla8[[#This Row],[P/NP]]="NO PROGRAMADA","",_xlfn.TEXTJOIN(", ",TRUE,_xlfn._xlws.FILTER(Tabla4[[#All],[PIEZA]],ISNUMBER(SEARCH(Tabla4[[#All],[PCLAVE]],Tabla8[[#This Row],[DESCRIPCION DE TRABAJO]])),""))),"")</f>
        <v/>
      </c>
      <c r="O850" s="35" t="str" cm="1">
        <f t="array" ref="O850">_xlfn.TEXTJOIN(", ",TRUE,_xlfn._xlws.FILTER(Tabla28[[#All],[PARTE]],ISNUMBER(SEARCH(Tabla28[[#All],[PCLAVE2]],Tabla8[[#This Row],[DESCRIPCION DE TRABAJO]])),""))</f>
        <v/>
      </c>
      <c r="P850" s="303" t="str">
        <f>IFERROR(LEFT(O850, FIND(",", O850)-1), O850)</f>
        <v/>
      </c>
      <c r="Q850" s="303" t="str">
        <f>IFERROR(IF(ISERROR(FIND(",", O850, FIND(",", O850)+1)), RIGHT(O850, LEN(O850)-FIND(",", O850)-1), MID(O850, FIND(",", O850)+2, FIND(",", O850, FIND(",", O850)+1)-FIND(",", O850)-2)), "")</f>
        <v/>
      </c>
      <c r="R850" s="303" t="str">
        <f>IFERROR(RIGHT(O850, LEN(O850)-FIND(",", O850, FIND(",", O850)+1)-1), "")</f>
        <v/>
      </c>
      <c r="S850" s="35" t="str" cm="1">
        <f t="array" ref="S850">_xlfn.TEXTJOIN(", ",TRUE,_xlfn._xlws.FILTER(Tabla29[[#All],[PARTE]],ISNUMBER(SEARCH(Tabla29[[#All],[PCLAVE3]],Tabla8[[#This Row],[DESCRIPCION DE TRABAJO]])),""))</f>
        <v/>
      </c>
      <c r="T850" s="34" t="str">
        <f>IF(AND(Tabla8[[#This Row],[PIEZA]]="",Tabla8[[#This Row],[PARTE]]=""),"VACIO","OK")</f>
        <v>VACIO</v>
      </c>
      <c r="U850" s="303" t="str">
        <f>+CONCATENATE(WEEKNUM(Tabla8[[#This Row],[FECHA]]),"-",YEAR(Tabla8[[#This Row],[FECHA]]))</f>
        <v>15-2026</v>
      </c>
    </row>
    <row r="851" spans="1:21" ht="15" customHeight="1">
      <c r="A851" s="22">
        <v>46122</v>
      </c>
      <c r="B851" s="16" t="s">
        <v>131</v>
      </c>
      <c r="C851" s="10" t="s">
        <v>39</v>
      </c>
      <c r="D851" s="381">
        <v>2.7777777777777776E-2</v>
      </c>
      <c r="E851" s="381">
        <v>6.25E-2</v>
      </c>
      <c r="F851" s="380">
        <f>+MOD(Tabla8[[#This Row],[HR. FIN]]-Tabla8[[#This Row],[HR. INICIO]],1)</f>
        <v>3.4722222222222224E-2</v>
      </c>
      <c r="G851" s="16" t="s">
        <v>182</v>
      </c>
      <c r="H851" s="343" t="str">
        <f>IFERROR(VLOOKUP(G851,DATOS!$M$2:$N$219,2,FALSE),"")</f>
        <v>Maquinaria</v>
      </c>
      <c r="I851" s="115" t="s">
        <v>57</v>
      </c>
      <c r="J851" s="115" t="str">
        <f>+VLOOKUP($I851,Tabla7[#All],2,FALSE)</f>
        <v>NO PROGRAMADA</v>
      </c>
      <c r="K851" s="114" t="str">
        <f>IF(VLOOKUP(I851,Tabla7[#All],3,FALSE)=0,"",VLOOKUP(I851,Tabla7[#All],3,FALSE))</f>
        <v>MECÁNICA</v>
      </c>
      <c r="L851" s="35" t="s">
        <v>1728</v>
      </c>
      <c r="M851" s="35" t="s">
        <v>1729</v>
      </c>
      <c r="N851" s="35" t="str" cm="1">
        <f t="array" ref="N851">IFERROR(IF(Tabla8[[#This Row],[P/NP]]="NO PROGRAMADA","",_xlfn.TEXTJOIN(", ",TRUE,_xlfn._xlws.FILTER(Tabla4[[#All],[PIEZA]],ISNUMBER(SEARCH(Tabla4[[#All],[PCLAVE]],Tabla8[[#This Row],[DESCRIPCION DE TRABAJO]])),""))),"")</f>
        <v/>
      </c>
      <c r="O851" s="35" t="str" cm="1">
        <f t="array" ref="O851">_xlfn.TEXTJOIN(", ",TRUE,_xlfn._xlws.FILTER(Tabla28[[#All],[PARTE]],ISNUMBER(SEARCH(Tabla28[[#All],[PCLAVE2]],Tabla8[[#This Row],[DESCRIPCION DE TRABAJO]])),""))</f>
        <v/>
      </c>
      <c r="P851" s="303" t="str">
        <f>IFERROR(LEFT(O851, FIND(",", O851)-1), O851)</f>
        <v/>
      </c>
      <c r="Q851" s="303" t="str">
        <f>IFERROR(IF(ISERROR(FIND(",", O851, FIND(",", O851)+1)), RIGHT(O851, LEN(O851)-FIND(",", O851)-1), MID(O851, FIND(",", O851)+2, FIND(",", O851, FIND(",", O851)+1)-FIND(",", O851)-2)), "")</f>
        <v/>
      </c>
      <c r="R851" s="303" t="str">
        <f>IFERROR(RIGHT(O851, LEN(O851)-FIND(",", O851, FIND(",", O851)+1)-1), "")</f>
        <v/>
      </c>
      <c r="S851" s="35" t="str" cm="1">
        <f t="array" ref="S851">_xlfn.TEXTJOIN(", ",TRUE,_xlfn._xlws.FILTER(Tabla29[[#All],[PARTE]],ISNUMBER(SEARCH(Tabla29[[#All],[PCLAVE3]],Tabla8[[#This Row],[DESCRIPCION DE TRABAJO]])),""))</f>
        <v>Mal Plegadas, No Sella</v>
      </c>
      <c r="T851" s="34" t="str">
        <f>IF(AND(Tabla8[[#This Row],[PIEZA]]="",Tabla8[[#This Row],[PARTE]]=""),"VACIO","OK")</f>
        <v>VACIO</v>
      </c>
      <c r="U851" s="303" t="str">
        <f>+CONCATENATE(WEEKNUM(Tabla8[[#This Row],[FECHA]]),"-",YEAR(Tabla8[[#This Row],[FECHA]]))</f>
        <v>15-2026</v>
      </c>
    </row>
    <row r="852" spans="1:21" ht="15" customHeight="1">
      <c r="A852" s="22">
        <v>46122</v>
      </c>
      <c r="B852" s="16" t="s">
        <v>131</v>
      </c>
      <c r="C852" s="10" t="s">
        <v>39</v>
      </c>
      <c r="D852" s="381">
        <v>0.97916666666666663</v>
      </c>
      <c r="E852" s="381">
        <v>6.9444444444444441E-3</v>
      </c>
      <c r="F852" s="380">
        <f>+MOD(Tabla8[[#This Row],[HR. FIN]]-Tabla8[[#This Row],[HR. INICIO]],1)</f>
        <v>2.777777777777779E-2</v>
      </c>
      <c r="G852" s="16" t="s">
        <v>119</v>
      </c>
      <c r="H852" s="343" t="str">
        <f>IFERROR(VLOOKUP(G852,DATOS!$M$2:$N$219,2,FALSE),"")</f>
        <v>Maquinaria</v>
      </c>
      <c r="I852" s="115" t="s">
        <v>57</v>
      </c>
      <c r="J852" s="115" t="s">
        <v>92</v>
      </c>
      <c r="K852" s="114" t="str">
        <f>IF(VLOOKUP(I852,Tabla7[#All],3,FALSE)=0,"",VLOOKUP(I852,Tabla7[#All],3,FALSE))</f>
        <v>MECÁNICA</v>
      </c>
      <c r="L852" s="35" t="s">
        <v>1730</v>
      </c>
      <c r="M852" s="35" t="s">
        <v>1731</v>
      </c>
      <c r="N852" s="35" t="str" cm="1">
        <f t="array" ref="N852">IFERROR(IF(Tabla8[[#This Row],[P/NP]]="NO PROGRAMADA","",_xlfn.TEXTJOIN(", ",TRUE,_xlfn._xlws.FILTER(Tabla4[[#All],[PIEZA]],ISNUMBER(SEARCH(Tabla4[[#All],[PCLAVE]],Tabla8[[#This Row],[DESCRIPCION DE TRABAJO]])),""))),"")</f>
        <v/>
      </c>
      <c r="O852" s="35" t="str" cm="1">
        <f t="array" ref="O852">_xlfn.TEXTJOIN(", ",TRUE,_xlfn._xlws.FILTER(Tabla28[[#All],[PARTE]],ISNUMBER(SEARCH(Tabla28[[#All],[PCLAVE2]],Tabla8[[#This Row],[DESCRIPCION DE TRABAJO]])),""))</f>
        <v>Columna</v>
      </c>
      <c r="P852" s="303" t="str">
        <f>IFERROR(LEFT(O852, FIND(",", O852)-1), O852)</f>
        <v>Columna</v>
      </c>
      <c r="Q852" s="303" t="str">
        <f>IFERROR(IF(ISERROR(FIND(",", O852, FIND(",", O852)+1)), RIGHT(O852, LEN(O852)-FIND(",", O852)-1), MID(O852, FIND(",", O852)+2, FIND(",", O852, FIND(",", O852)+1)-FIND(",", O852)-2)), "")</f>
        <v/>
      </c>
      <c r="R852" s="303" t="str">
        <f>IFERROR(RIGHT(O852, LEN(O852)-FIND(",", O852, FIND(",", O852)+1)-1), "")</f>
        <v/>
      </c>
      <c r="S852" s="35" t="str" cm="1">
        <f t="array" ref="S852">_xlfn.TEXTJOIN(", ",TRUE,_xlfn._xlws.FILTER(Tabla29[[#All],[PARTE]],ISNUMBER(SEARCH(Tabla29[[#All],[PCLAVE3]],Tabla8[[#This Row],[DESCRIPCION DE TRABAJO]])),""))</f>
        <v>Bloqueado</v>
      </c>
      <c r="T852" s="34" t="str">
        <f>IF(AND(Tabla8[[#This Row],[PIEZA]]="",Tabla8[[#This Row],[PARTE]]=""),"VACIO","OK")</f>
        <v>OK</v>
      </c>
      <c r="U852" s="303" t="str">
        <f>+CONCATENATE(WEEKNUM(Tabla8[[#This Row],[FECHA]]),"-",YEAR(Tabla8[[#This Row],[FECHA]]))</f>
        <v>15-2026</v>
      </c>
    </row>
    <row r="853" spans="1:21" ht="15" customHeight="1">
      <c r="A853" s="22">
        <v>46122</v>
      </c>
      <c r="B853" s="16" t="s">
        <v>131</v>
      </c>
      <c r="C853" s="10" t="s">
        <v>39</v>
      </c>
      <c r="D853" s="381">
        <v>6.9444444444444448E-2</v>
      </c>
      <c r="E853" s="381">
        <v>9.375E-2</v>
      </c>
      <c r="F853" s="380">
        <f>+MOD(Tabla8[[#This Row],[HR. FIN]]-Tabla8[[#This Row],[HR. INICIO]],1)</f>
        <v>2.4305555555555552E-2</v>
      </c>
      <c r="G853" s="16" t="s">
        <v>182</v>
      </c>
      <c r="H853" s="343" t="str">
        <f>IFERROR(VLOOKUP(G853,DATOS!$M$2:$N$219,2,FALSE),"")</f>
        <v>Maquinaria</v>
      </c>
      <c r="I853" s="115" t="s">
        <v>28</v>
      </c>
      <c r="J853" s="115" t="s">
        <v>157</v>
      </c>
      <c r="K853" s="114"/>
      <c r="L853" s="35" t="s">
        <v>1732</v>
      </c>
      <c r="M853" s="35" t="s">
        <v>121</v>
      </c>
      <c r="N853" s="35" t="str" cm="1">
        <f t="array" ref="N853">IFERROR(IF(Tabla8[[#This Row],[P/NP]]="NO PROGRAMADA","",_xlfn.TEXTJOIN(", ",TRUE,_xlfn._xlws.FILTER(Tabla4[[#All],[PIEZA]],ISNUMBER(SEARCH(Tabla4[[#All],[PCLAVE]],Tabla8[[#This Row],[DESCRIPCION DE TRABAJO]])),""))),"")</f>
        <v>Bobina</v>
      </c>
      <c r="O853" s="35" t="str" cm="1">
        <f t="array" ref="O853">_xlfn.TEXTJOIN(", ",TRUE,_xlfn._xlws.FILTER(Tabla28[[#All],[PARTE]],ISNUMBER(SEARCH(Tabla28[[#All],[PCLAVE2]],Tabla8[[#This Row],[DESCRIPCION DE TRABAJO]])),""))</f>
        <v/>
      </c>
      <c r="P853" s="303" t="str">
        <f>IFERROR(LEFT(O853, FIND(",", O853)-1), O853)</f>
        <v/>
      </c>
      <c r="Q853" s="303" t="str">
        <f>IFERROR(IF(ISERROR(FIND(",", O853, FIND(",", O853)+1)), RIGHT(O853, LEN(O853)-FIND(",", O853)-1), MID(O853, FIND(",", O853)+2, FIND(",", O853, FIND(",", O853)+1)-FIND(",", O853)-2)), "")</f>
        <v/>
      </c>
      <c r="R853" s="303" t="str">
        <f>IFERROR(RIGHT(O853, LEN(O853)-FIND(",", O853, FIND(",", O853)+1)-1), "")</f>
        <v/>
      </c>
      <c r="S853" s="35" t="str" cm="1">
        <f t="array" ref="S853">_xlfn.TEXTJOIN(", ",TRUE,_xlfn._xlws.FILTER(Tabla29[[#All],[PARTE]],ISNUMBER(SEARCH(Tabla29[[#All],[PCLAVE3]],Tabla8[[#This Row],[DESCRIPCION DE TRABAJO]])),""))</f>
        <v/>
      </c>
      <c r="T853" s="34" t="str">
        <f>IF(AND(Tabla8[[#This Row],[PIEZA]]="",Tabla8[[#This Row],[PARTE]]=""),"VACIO","OK")</f>
        <v>OK</v>
      </c>
      <c r="U853" s="303" t="str">
        <f>+CONCATENATE(WEEKNUM(Tabla8[[#This Row],[FECHA]]),"-",YEAR(Tabla8[[#This Row],[FECHA]]))</f>
        <v>15-2026</v>
      </c>
    </row>
    <row r="854" spans="1:21" ht="15" customHeight="1">
      <c r="A854" s="22">
        <v>46122</v>
      </c>
      <c r="B854" s="16" t="s">
        <v>131</v>
      </c>
      <c r="C854" s="10" t="s">
        <v>39</v>
      </c>
      <c r="D854" s="381">
        <v>0.14930555555555555</v>
      </c>
      <c r="E854" s="381">
        <v>0.16666666666666666</v>
      </c>
      <c r="F854" s="380">
        <f>+MOD(Tabla8[[#This Row],[HR. FIN]]-Tabla8[[#This Row],[HR. INICIO]],1)</f>
        <v>1.7361111111111105E-2</v>
      </c>
      <c r="G854" s="16" t="s">
        <v>119</v>
      </c>
      <c r="H854" s="343" t="str">
        <f>IFERROR(VLOOKUP(G854,DATOS!$M$2:$N$219,2,FALSE),"")</f>
        <v>Maquinaria</v>
      </c>
      <c r="I854" s="115" t="s">
        <v>54</v>
      </c>
      <c r="J854" s="115" t="str">
        <f>+VLOOKUP($I854,Tabla7[#All],2,FALSE)</f>
        <v>PROGRAMADA</v>
      </c>
      <c r="K854" s="114" t="str">
        <f>IF(VLOOKUP(I854,Tabla7[#All],3,FALSE)=0,"",VLOOKUP(I854,Tabla7[#All],3,FALSE))</f>
        <v/>
      </c>
      <c r="L854" s="35" t="s">
        <v>154</v>
      </c>
      <c r="M854" s="35" t="s">
        <v>121</v>
      </c>
      <c r="N854" s="35" t="str" cm="1">
        <f t="array" ref="N854">IFERROR(IF(Tabla8[[#This Row],[P/NP]]="NO PROGRAMADA","",_xlfn.TEXTJOIN(", ",TRUE,_xlfn._xlws.FILTER(Tabla4[[#All],[PIEZA]],ISNUMBER(SEARCH(Tabla4[[#All],[PCLAVE]],Tabla8[[#This Row],[DESCRIPCION DE TRABAJO]])),""))),"")</f>
        <v/>
      </c>
      <c r="O854" s="35" t="str" cm="1">
        <f t="array" ref="O854">_xlfn.TEXTJOIN(", ",TRUE,_xlfn._xlws.FILTER(Tabla28[[#All],[PARTE]],ISNUMBER(SEARCH(Tabla28[[#All],[PCLAVE2]],Tabla8[[#This Row],[DESCRIPCION DE TRABAJO]])),""))</f>
        <v/>
      </c>
      <c r="P854" s="303" t="str">
        <f>IFERROR(LEFT(O854, FIND(",", O854)-1), O854)</f>
        <v/>
      </c>
      <c r="Q854" s="303" t="str">
        <f>IFERROR(IF(ISERROR(FIND(",", O854, FIND(",", O854)+1)), RIGHT(O854, LEN(O854)-FIND(",", O854)-1), MID(O854, FIND(",", O854)+2, FIND(",", O854, FIND(",", O854)+1)-FIND(",", O854)-2)), "")</f>
        <v/>
      </c>
      <c r="R854" s="303" t="str">
        <f>IFERROR(RIGHT(O854, LEN(O854)-FIND(",", O854, FIND(",", O854)+1)-1), "")</f>
        <v/>
      </c>
      <c r="S854" s="35" t="str" cm="1">
        <f t="array" ref="S854">_xlfn.TEXTJOIN(", ",TRUE,_xlfn._xlws.FILTER(Tabla29[[#All],[PARTE]],ISNUMBER(SEARCH(Tabla29[[#All],[PCLAVE3]],Tabla8[[#This Row],[DESCRIPCION DE TRABAJO]])),""))</f>
        <v/>
      </c>
      <c r="T854" s="34" t="str">
        <f>IF(AND(Tabla8[[#This Row],[PIEZA]]="",Tabla8[[#This Row],[PARTE]]=""),"VACIO","OK")</f>
        <v>VACIO</v>
      </c>
      <c r="U854" s="303" t="str">
        <f>+CONCATENATE(WEEKNUM(Tabla8[[#This Row],[FECHA]]),"-",YEAR(Tabla8[[#This Row],[FECHA]]))</f>
        <v>15-2026</v>
      </c>
    </row>
    <row r="855" spans="1:21" ht="15" customHeight="1">
      <c r="A855" s="22">
        <v>46122</v>
      </c>
      <c r="B855" s="16" t="s">
        <v>131</v>
      </c>
      <c r="C855" s="10" t="s">
        <v>39</v>
      </c>
      <c r="D855" s="381">
        <v>9.7222222222222224E-3</v>
      </c>
      <c r="E855" s="381">
        <v>2.4305555555555556E-2</v>
      </c>
      <c r="F855" s="380">
        <f>+MOD(Tabla8[[#This Row],[HR. FIN]]-Tabla8[[#This Row],[HR. INICIO]],1)</f>
        <v>1.4583333333333334E-2</v>
      </c>
      <c r="G855" s="16" t="s">
        <v>965</v>
      </c>
      <c r="H855" s="343" t="str">
        <f>IFERROR(VLOOKUP(G855,DATOS!$M$2:$N$219,2,FALSE),"")</f>
        <v>Maquinaria</v>
      </c>
      <c r="I855" s="115" t="s">
        <v>57</v>
      </c>
      <c r="J855" s="115" t="str">
        <f>+VLOOKUP($I855,Tabla7[#All],2,FALSE)</f>
        <v>NO PROGRAMADA</v>
      </c>
      <c r="K855" s="114" t="str">
        <f>IF(VLOOKUP(I855,Tabla7[#All],3,FALSE)=0,"",VLOOKUP(I855,Tabla7[#All],3,FALSE))</f>
        <v>MECÁNICA</v>
      </c>
      <c r="L855" s="35" t="s">
        <v>1733</v>
      </c>
      <c r="M855" s="35" t="s">
        <v>1734</v>
      </c>
      <c r="N855" s="35" t="str" cm="1">
        <f t="array" ref="N855">IFERROR(IF(Tabla8[[#This Row],[P/NP]]="NO PROGRAMADA","",_xlfn.TEXTJOIN(", ",TRUE,_xlfn._xlws.FILTER(Tabla4[[#All],[PIEZA]],ISNUMBER(SEARCH(Tabla4[[#All],[PCLAVE]],Tabla8[[#This Row],[DESCRIPCION DE TRABAJO]])),""))),"")</f>
        <v/>
      </c>
      <c r="O855" s="35" t="str" cm="1">
        <f t="array" ref="O855">_xlfn.TEXTJOIN(", ",TRUE,_xlfn._xlws.FILTER(Tabla28[[#All],[PARTE]],ISNUMBER(SEARCH(Tabla28[[#All],[PCLAVE2]],Tabla8[[#This Row],[DESCRIPCION DE TRABAJO]])),""))</f>
        <v/>
      </c>
      <c r="P855" s="303" t="str">
        <f>IFERROR(LEFT(O855, FIND(",", O855)-1), O855)</f>
        <v/>
      </c>
      <c r="Q855" s="303" t="str">
        <f>IFERROR(IF(ISERROR(FIND(",", O855, FIND(",", O855)+1)), RIGHT(O855, LEN(O855)-FIND(",", O855)-1), MID(O855, FIND(",", O855)+2, FIND(",", O855, FIND(",", O855)+1)-FIND(",", O855)-2)), "")</f>
        <v/>
      </c>
      <c r="R855" s="303" t="str">
        <f>IFERROR(RIGHT(O855, LEN(O855)-FIND(",", O855, FIND(",", O855)+1)-1), "")</f>
        <v/>
      </c>
      <c r="S855" s="35" t="str" cm="1">
        <f t="array" ref="S855">_xlfn.TEXTJOIN(", ",TRUE,_xlfn._xlws.FILTER(Tabla29[[#All],[PARTE]],ISNUMBER(SEARCH(Tabla29[[#All],[PCLAVE3]],Tabla8[[#This Row],[DESCRIPCION DE TRABAJO]])),""))</f>
        <v>Sellado</v>
      </c>
      <c r="T855" s="34" t="str">
        <f>IF(AND(Tabla8[[#This Row],[PIEZA]]="",Tabla8[[#This Row],[PARTE]]=""),"VACIO","OK")</f>
        <v>VACIO</v>
      </c>
      <c r="U855" s="303" t="str">
        <f>+CONCATENATE(WEEKNUM(Tabla8[[#This Row],[FECHA]]),"-",YEAR(Tabla8[[#This Row],[FECHA]]))</f>
        <v>15-2026</v>
      </c>
    </row>
    <row r="856" spans="1:21" ht="15" customHeight="1">
      <c r="A856" s="22">
        <v>46122</v>
      </c>
      <c r="B856" s="16" t="s">
        <v>131</v>
      </c>
      <c r="C856" s="10" t="s">
        <v>39</v>
      </c>
      <c r="D856" s="381">
        <v>0.1736111111111111</v>
      </c>
      <c r="E856" s="381">
        <v>0.1875</v>
      </c>
      <c r="F856" s="380">
        <f>+MOD(Tabla8[[#This Row],[HR. FIN]]-Tabla8[[#This Row],[HR. INICIO]],1)</f>
        <v>1.3888888888888895E-2</v>
      </c>
      <c r="G856" s="16" t="s">
        <v>256</v>
      </c>
      <c r="H856" s="343" t="str">
        <f>IFERROR(VLOOKUP(G856,DATOS!$M$2:$N$219,2,FALSE),"")</f>
        <v>Maquinaria</v>
      </c>
      <c r="I856" s="115" t="s">
        <v>54</v>
      </c>
      <c r="J856" s="115" t="str">
        <f>+VLOOKUP($I856,Tabla7[#All],2,FALSE)</f>
        <v>PROGRAMADA</v>
      </c>
      <c r="K856" s="114" t="str">
        <f>IF(VLOOKUP(I856,Tabla7[#All],3,FALSE)=0,"",VLOOKUP(I856,Tabla7[#All],3,FALSE))</f>
        <v/>
      </c>
      <c r="L856" s="35" t="s">
        <v>1735</v>
      </c>
      <c r="M856" s="35" t="s">
        <v>121</v>
      </c>
      <c r="N856" s="35" t="str" cm="1">
        <f t="array" ref="N856">IFERROR(IF(Tabla8[[#This Row],[P/NP]]="NO PROGRAMADA","",_xlfn.TEXTJOIN(", ",TRUE,_xlfn._xlws.FILTER(Tabla4[[#All],[PIEZA]],ISNUMBER(SEARCH(Tabla4[[#All],[PCLAVE]],Tabla8[[#This Row],[DESCRIPCION DE TRABAJO]])),""))),"")</f>
        <v/>
      </c>
      <c r="O856" s="35" t="str" cm="1">
        <f t="array" ref="O856">_xlfn.TEXTJOIN(", ",TRUE,_xlfn._xlws.FILTER(Tabla28[[#All],[PARTE]],ISNUMBER(SEARCH(Tabla28[[#All],[PCLAVE2]],Tabla8[[#This Row],[DESCRIPCION DE TRABAJO]])),""))</f>
        <v/>
      </c>
      <c r="P856" s="303" t="str">
        <f>IFERROR(LEFT(O856, FIND(",", O856)-1), O856)</f>
        <v/>
      </c>
      <c r="Q856" s="303" t="str">
        <f>IFERROR(IF(ISERROR(FIND(",", O856, FIND(",", O856)+1)), RIGHT(O856, LEN(O856)-FIND(",", O856)-1), MID(O856, FIND(",", O856)+2, FIND(",", O856, FIND(",", O856)+1)-FIND(",", O856)-2)), "")</f>
        <v/>
      </c>
      <c r="R856" s="303" t="str">
        <f>IFERROR(RIGHT(O856, LEN(O856)-FIND(",", O856, FIND(",", O856)+1)-1), "")</f>
        <v/>
      </c>
      <c r="S856" s="35" t="str" cm="1">
        <f t="array" ref="S856">_xlfn.TEXTJOIN(", ",TRUE,_xlfn._xlws.FILTER(Tabla29[[#All],[PARTE]],ISNUMBER(SEARCH(Tabla29[[#All],[PCLAVE3]],Tabla8[[#This Row],[DESCRIPCION DE TRABAJO]])),""))</f>
        <v/>
      </c>
      <c r="T856" s="34" t="str">
        <f>IF(AND(Tabla8[[#This Row],[PIEZA]]="",Tabla8[[#This Row],[PARTE]]=""),"VACIO","OK")</f>
        <v>VACIO</v>
      </c>
      <c r="U856" s="303" t="str">
        <f>+CONCATENATE(WEEKNUM(Tabla8[[#This Row],[FECHA]]),"-",YEAR(Tabla8[[#This Row],[FECHA]]))</f>
        <v>15-2026</v>
      </c>
    </row>
    <row r="857" spans="1:21" ht="15" customHeight="1">
      <c r="A857" s="22">
        <v>46122</v>
      </c>
      <c r="B857" s="16" t="s">
        <v>131</v>
      </c>
      <c r="C857" s="10" t="s">
        <v>39</v>
      </c>
      <c r="D857" s="381">
        <v>0.95486111111111116</v>
      </c>
      <c r="E857" s="381">
        <v>0.96875</v>
      </c>
      <c r="F857" s="380">
        <f>+MOD(Tabla8[[#This Row],[HR. FIN]]-Tabla8[[#This Row],[HR. INICIO]],1)</f>
        <v>1.388888888888884E-2</v>
      </c>
      <c r="G857" s="16" t="s">
        <v>256</v>
      </c>
      <c r="H857" s="343" t="str">
        <f>IFERROR(VLOOKUP(G857,DATOS!$M$2:$N$219,2,FALSE),"")</f>
        <v>Maquinaria</v>
      </c>
      <c r="I857" s="115" t="s">
        <v>32</v>
      </c>
      <c r="J857" s="115" t="s">
        <v>92</v>
      </c>
      <c r="K857" s="114" t="s">
        <v>148</v>
      </c>
      <c r="L857" s="35" t="s">
        <v>1736</v>
      </c>
      <c r="M857" s="35" t="s">
        <v>1737</v>
      </c>
      <c r="N857" s="35" t="str" cm="1">
        <f t="array" ref="N857">IFERROR(IF(Tabla8[[#This Row],[P/NP]]="NO PROGRAMADA","",_xlfn.TEXTJOIN(", ",TRUE,_xlfn._xlws.FILTER(Tabla4[[#All],[PIEZA]],ISNUMBER(SEARCH(Tabla4[[#All],[PCLAVE]],Tabla8[[#This Row],[DESCRIPCION DE TRABAJO]])),""))),"")</f>
        <v/>
      </c>
      <c r="O857" s="35" t="str" cm="1">
        <f t="array" ref="O857">_xlfn.TEXTJOIN(", ",TRUE,_xlfn._xlws.FILTER(Tabla28[[#All],[PARTE]],ISNUMBER(SEARCH(Tabla28[[#All],[PCLAVE2]],Tabla8[[#This Row],[DESCRIPCION DE TRABAJO]])),""))</f>
        <v/>
      </c>
      <c r="P857" s="303" t="str">
        <f>IFERROR(LEFT(O857, FIND(",", O857)-1), O857)</f>
        <v/>
      </c>
      <c r="Q857" s="303" t="str">
        <f>IFERROR(IF(ISERROR(FIND(",", O857, FIND(",", O857)+1)), RIGHT(O857, LEN(O857)-FIND(",", O857)-1), MID(O857, FIND(",", O857)+2, FIND(",", O857, FIND(",", O857)+1)-FIND(",", O857)-2)), "")</f>
        <v/>
      </c>
      <c r="R857" s="303" t="str">
        <f>IFERROR(RIGHT(O857, LEN(O857)-FIND(",", O857, FIND(",", O857)+1)-1), "")</f>
        <v/>
      </c>
      <c r="S857" s="35" t="str" cm="1">
        <f t="array" ref="S857">_xlfn.TEXTJOIN(", ",TRUE,_xlfn._xlws.FILTER(Tabla29[[#All],[PARTE]],ISNUMBER(SEARCH(Tabla29[[#All],[PCLAVE3]],Tabla8[[#This Row],[DESCRIPCION DE TRABAJO]])),""))</f>
        <v/>
      </c>
      <c r="T857" s="34" t="str">
        <f>IF(AND(Tabla8[[#This Row],[PIEZA]]="",Tabla8[[#This Row],[PARTE]]=""),"VACIO","OK")</f>
        <v>VACIO</v>
      </c>
      <c r="U857" s="303" t="str">
        <f>+CONCATENATE(WEEKNUM(Tabla8[[#This Row],[FECHA]]),"-",YEAR(Tabla8[[#This Row],[FECHA]]))</f>
        <v>15-2026</v>
      </c>
    </row>
    <row r="858" spans="1:21" ht="15" customHeight="1">
      <c r="A858" s="22">
        <v>46122</v>
      </c>
      <c r="B858" s="16" t="s">
        <v>131</v>
      </c>
      <c r="C858" s="10" t="s">
        <v>39</v>
      </c>
      <c r="D858" s="381">
        <v>0.88888888888888884</v>
      </c>
      <c r="E858" s="381">
        <v>0.89930555555555558</v>
      </c>
      <c r="F858" s="380">
        <f>+MOD(Tabla8[[#This Row],[HR. FIN]]-Tabla8[[#This Row],[HR. INICIO]],1)</f>
        <v>1.0416666666666741E-2</v>
      </c>
      <c r="G858" s="16" t="s">
        <v>293</v>
      </c>
      <c r="H858" s="343" t="str">
        <f>IFERROR(VLOOKUP(G858,DATOS!$M$2:$N$219,2,FALSE),"")</f>
        <v>Equipos auxiliares</v>
      </c>
      <c r="I858" s="115" t="s">
        <v>54</v>
      </c>
      <c r="J858" s="115" t="str">
        <f>+VLOOKUP($I858,Tabla7[#All],2,FALSE)</f>
        <v>PROGRAMADA</v>
      </c>
      <c r="K858" s="114" t="str">
        <f>IF(VLOOKUP(I858,Tabla7[#All],3,FALSE)=0,"",VLOOKUP(I858,Tabla7[#All],3,FALSE))</f>
        <v/>
      </c>
      <c r="L858" s="35" t="s">
        <v>1658</v>
      </c>
      <c r="M858" s="35" t="s">
        <v>1738</v>
      </c>
      <c r="N858" s="35" t="str" cm="1">
        <f t="array" ref="N858">IFERROR(IF(Tabla8[[#This Row],[P/NP]]="NO PROGRAMADA","",_xlfn.TEXTJOIN(", ",TRUE,_xlfn._xlws.FILTER(Tabla4[[#All],[PIEZA]],ISNUMBER(SEARCH(Tabla4[[#All],[PCLAVE]],Tabla8[[#This Row],[DESCRIPCION DE TRABAJO]])),""))),"")</f>
        <v/>
      </c>
      <c r="O858" s="35" t="str" cm="1">
        <f t="array" ref="O858">_xlfn.TEXTJOIN(", ",TRUE,_xlfn._xlws.FILTER(Tabla28[[#All],[PARTE]],ISNUMBER(SEARCH(Tabla28[[#All],[PCLAVE2]],Tabla8[[#This Row],[DESCRIPCION DE TRABAJO]])),""))</f>
        <v/>
      </c>
      <c r="P858" s="303" t="str">
        <f>IFERROR(LEFT(O858, FIND(",", O858)-1), O858)</f>
        <v/>
      </c>
      <c r="Q858" s="303" t="str">
        <f>IFERROR(IF(ISERROR(FIND(",", O858, FIND(",", O858)+1)), RIGHT(O858, LEN(O858)-FIND(",", O858)-1), MID(O858, FIND(",", O858)+2, FIND(",", O858, FIND(",", O858)+1)-FIND(",", O858)-2)), "")</f>
        <v/>
      </c>
      <c r="R858" s="303" t="str">
        <f>IFERROR(RIGHT(O858, LEN(O858)-FIND(",", O858, FIND(",", O858)+1)-1), "")</f>
        <v/>
      </c>
      <c r="S858" s="35" t="str" cm="1">
        <f t="array" ref="S858">_xlfn.TEXTJOIN(", ",TRUE,_xlfn._xlws.FILTER(Tabla29[[#All],[PARTE]],ISNUMBER(SEARCH(Tabla29[[#All],[PCLAVE3]],Tabla8[[#This Row],[DESCRIPCION DE TRABAJO]])),""))</f>
        <v/>
      </c>
      <c r="T858" s="34" t="str">
        <f>IF(AND(Tabla8[[#This Row],[PIEZA]]="",Tabla8[[#This Row],[PARTE]]=""),"VACIO","OK")</f>
        <v>VACIO</v>
      </c>
      <c r="U858" s="303" t="str">
        <f>+CONCATENATE(WEEKNUM(Tabla8[[#This Row],[FECHA]]),"-",YEAR(Tabla8[[#This Row],[FECHA]]))</f>
        <v>15-2026</v>
      </c>
    </row>
    <row r="859" spans="1:21" ht="15" customHeight="1">
      <c r="A859" s="22">
        <v>46122</v>
      </c>
      <c r="B859" s="16" t="s">
        <v>131</v>
      </c>
      <c r="C859" s="10" t="s">
        <v>39</v>
      </c>
      <c r="D859" s="381">
        <v>0.94305555555555554</v>
      </c>
      <c r="E859" s="381">
        <v>0.95138888888888884</v>
      </c>
      <c r="F859" s="380">
        <f>+MOD(Tabla8[[#This Row],[HR. FIN]]-Tabla8[[#This Row],[HR. INICIO]],1)</f>
        <v>8.3333333333333037E-3</v>
      </c>
      <c r="G859" s="16" t="s">
        <v>153</v>
      </c>
      <c r="H859" s="343" t="str">
        <f>IFERROR(VLOOKUP(G859,DATOS!$M$2:$N$219,2,FALSE),"")</f>
        <v>Maquinaria</v>
      </c>
      <c r="I859" s="115" t="s">
        <v>57</v>
      </c>
      <c r="J859" s="115" t="str">
        <f>+VLOOKUP($I859,Tabla7[#All],2,FALSE)</f>
        <v>NO PROGRAMADA</v>
      </c>
      <c r="K859" s="114" t="str">
        <f>IF(VLOOKUP(I859,Tabla7[#All],3,FALSE)=0,"",VLOOKUP(I859,Tabla7[#All],3,FALSE))</f>
        <v>MECÁNICA</v>
      </c>
      <c r="L859" s="35" t="s">
        <v>1739</v>
      </c>
      <c r="M859" s="35" t="s">
        <v>1740</v>
      </c>
      <c r="N859" s="35" t="str" cm="1">
        <f t="array" ref="N859">IFERROR(IF(Tabla8[[#This Row],[P/NP]]="NO PROGRAMADA","",_xlfn.TEXTJOIN(", ",TRUE,_xlfn._xlws.FILTER(Tabla4[[#All],[PIEZA]],ISNUMBER(SEARCH(Tabla4[[#All],[PCLAVE]],Tabla8[[#This Row],[DESCRIPCION DE TRABAJO]])),""))),"")</f>
        <v/>
      </c>
      <c r="O859" s="35" t="str" cm="1">
        <f t="array" ref="O859">_xlfn.TEXTJOIN(", ",TRUE,_xlfn._xlws.FILTER(Tabla28[[#All],[PARTE]],ISNUMBER(SEARCH(Tabla28[[#All],[PCLAVE2]],Tabla8[[#This Row],[DESCRIPCION DE TRABAJO]])),""))</f>
        <v/>
      </c>
      <c r="P859" s="303" t="str">
        <f>IFERROR(LEFT(O859, FIND(",", O859)-1), O859)</f>
        <v/>
      </c>
      <c r="Q859" s="303" t="str">
        <f>IFERROR(IF(ISERROR(FIND(",", O859, FIND(",", O859)+1)), RIGHT(O859, LEN(O859)-FIND(",", O859)-1), MID(O859, FIND(",", O859)+2, FIND(",", O859, FIND(",", O859)+1)-FIND(",", O859)-2)), "")</f>
        <v/>
      </c>
      <c r="R859" s="303" t="str">
        <f>IFERROR(RIGHT(O859, LEN(O859)-FIND(",", O859, FIND(",", O859)+1)-1), "")</f>
        <v/>
      </c>
      <c r="S859" s="35" t="str" cm="1">
        <f t="array" ref="S859">_xlfn.TEXTJOIN(", ",TRUE,_xlfn._xlws.FILTER(Tabla29[[#All],[PARTE]],ISNUMBER(SEARCH(Tabla29[[#All],[PCLAVE3]],Tabla8[[#This Row],[DESCRIPCION DE TRABAJO]])),""))</f>
        <v/>
      </c>
      <c r="T859" s="34" t="str">
        <f>IF(AND(Tabla8[[#This Row],[PIEZA]]="",Tabla8[[#This Row],[PARTE]]=""),"VACIO","OK")</f>
        <v>VACIO</v>
      </c>
      <c r="U859" s="303" t="str">
        <f>+CONCATENATE(WEEKNUM(Tabla8[[#This Row],[FECHA]]),"-",YEAR(Tabla8[[#This Row],[FECHA]]))</f>
        <v>15-2026</v>
      </c>
    </row>
    <row r="860" spans="1:21" ht="15" customHeight="1">
      <c r="A860" s="22">
        <v>46123</v>
      </c>
      <c r="B860" s="16" t="s">
        <v>191</v>
      </c>
      <c r="C860" s="10" t="s">
        <v>36</v>
      </c>
      <c r="D860" s="381">
        <v>0.30138888888888887</v>
      </c>
      <c r="E860" s="381">
        <v>0.32500000000000001</v>
      </c>
      <c r="F860" s="380">
        <f>+MOD(Tabla8[[#This Row],[HR. FIN]]-Tabla8[[#This Row],[HR. INICIO]],1)</f>
        <v>2.3611111111111138E-2</v>
      </c>
      <c r="G860" s="16" t="s">
        <v>119</v>
      </c>
      <c r="H860" s="343" t="str">
        <f>IFERROR(VLOOKUP(G860,DATOS!$M$2:$N$219,2,FALSE),"")</f>
        <v>Maquinaria</v>
      </c>
      <c r="I860" s="115" t="s">
        <v>32</v>
      </c>
      <c r="J860" s="115" t="str">
        <f>+VLOOKUP($I860,Tabla7[#All],2,FALSE)</f>
        <v>PROGRAMADA</v>
      </c>
      <c r="K860" s="114" t="str">
        <f>IF(VLOOKUP(I860,Tabla7[#All],3,FALSE)=0,"",VLOOKUP(I860,Tabla7[#All],3,FALSE))</f>
        <v/>
      </c>
      <c r="L860" s="35" t="s">
        <v>233</v>
      </c>
      <c r="M860" s="35" t="s">
        <v>121</v>
      </c>
      <c r="N860" s="35" t="str" cm="1">
        <f t="array" ref="N860">IFERROR(IF(Tabla8[[#This Row],[P/NP]]="NO PROGRAMADA","",_xlfn.TEXTJOIN(", ",TRUE,_xlfn._xlws.FILTER(Tabla4[[#All],[PIEZA]],ISNUMBER(SEARCH(Tabla4[[#All],[PCLAVE]],Tabla8[[#This Row],[DESCRIPCION DE TRABAJO]])),""))),"")</f>
        <v/>
      </c>
      <c r="O860" s="35" t="str" cm="1">
        <f t="array" ref="O860">_xlfn.TEXTJOIN(", ",TRUE,_xlfn._xlws.FILTER(Tabla28[[#All],[PARTE]],ISNUMBER(SEARCH(Tabla28[[#All],[PCLAVE2]],Tabla8[[#This Row],[DESCRIPCION DE TRABAJO]])),""))</f>
        <v>Mds</v>
      </c>
      <c r="P860" s="303" t="str">
        <f>IFERROR(LEFT(O860, FIND(",", O860)-1), O860)</f>
        <v>Mds</v>
      </c>
      <c r="Q860" s="303" t="str">
        <f>IFERROR(IF(ISERROR(FIND(",", O860, FIND(",", O860)+1)), RIGHT(O860, LEN(O860)-FIND(",", O860)-1), MID(O860, FIND(",", O860)+2, FIND(",", O860, FIND(",", O860)+1)-FIND(",", O860)-2)), "")</f>
        <v/>
      </c>
      <c r="R860" s="303" t="str">
        <f>IFERROR(RIGHT(O860, LEN(O860)-FIND(",", O860, FIND(",", O860)+1)-1), "")</f>
        <v/>
      </c>
      <c r="S860" s="35" t="str" cm="1">
        <f t="array" ref="S860">_xlfn.TEXTJOIN(", ",TRUE,_xlfn._xlws.FILTER(Tabla29[[#All],[PARTE]],ISNUMBER(SEARCH(Tabla29[[#All],[PCLAVE3]],Tabla8[[#This Row],[DESCRIPCION DE TRABAJO]])),""))</f>
        <v>Cambio De Formato</v>
      </c>
      <c r="T860" s="34" t="str">
        <f>IF(AND(Tabla8[[#This Row],[PIEZA]]="",Tabla8[[#This Row],[PARTE]]=""),"VACIO","OK")</f>
        <v>OK</v>
      </c>
      <c r="U860" s="303" t="str">
        <f>+CONCATENATE(WEEKNUM(Tabla8[[#This Row],[FECHA]]),"-",YEAR(Tabla8[[#This Row],[FECHA]]))</f>
        <v>15-2026</v>
      </c>
    </row>
    <row r="861" spans="1:21" ht="15" customHeight="1">
      <c r="A861" s="22">
        <v>46123</v>
      </c>
      <c r="B861" s="16" t="s">
        <v>191</v>
      </c>
      <c r="C861" s="10" t="s">
        <v>36</v>
      </c>
      <c r="D861" s="381">
        <v>0.27708333333333335</v>
      </c>
      <c r="E861" s="381">
        <v>0.29930555555555555</v>
      </c>
      <c r="F861" s="380">
        <f>+MOD(Tabla8[[#This Row],[HR. FIN]]-Tabla8[[#This Row],[HR. INICIO]],1)</f>
        <v>2.2222222222222199E-2</v>
      </c>
      <c r="G861" s="16" t="s">
        <v>119</v>
      </c>
      <c r="H861" s="343" t="str">
        <f>IFERROR(VLOOKUP(G861,DATOS!$M$2:$N$219,2,FALSE),"")</f>
        <v>Maquinaria</v>
      </c>
      <c r="I861" s="115" t="s">
        <v>32</v>
      </c>
      <c r="J861" s="115" t="str">
        <f>+VLOOKUP($I861,Tabla7[#All],2,FALSE)</f>
        <v>PROGRAMADA</v>
      </c>
      <c r="K861" s="114" t="str">
        <f>IF(VLOOKUP(I861,Tabla7[#All],3,FALSE)=0,"",VLOOKUP(I861,Tabla7[#All],3,FALSE))</f>
        <v/>
      </c>
      <c r="L861" s="35" t="s">
        <v>197</v>
      </c>
      <c r="M861" s="35" t="s">
        <v>121</v>
      </c>
      <c r="N861" s="35" t="str" cm="1">
        <f t="array" ref="N861">IFERROR(IF(Tabla8[[#This Row],[P/NP]]="NO PROGRAMADA","",_xlfn.TEXTJOIN(", ",TRUE,_xlfn._xlws.FILTER(Tabla4[[#All],[PIEZA]],ISNUMBER(SEARCH(Tabla4[[#All],[PCLAVE]],Tabla8[[#This Row],[DESCRIPCION DE TRABAJO]])),""))),"")</f>
        <v/>
      </c>
      <c r="O861" s="35" t="str" cm="1">
        <f t="array" ref="O861">_xlfn.TEXTJOIN(", ",TRUE,_xlfn._xlws.FILTER(Tabla28[[#All],[PARTE]],ISNUMBER(SEARCH(Tabla28[[#All],[PCLAVE2]],Tabla8[[#This Row],[DESCRIPCION DE TRABAJO]])),""))</f>
        <v>Mds</v>
      </c>
      <c r="P861" s="303" t="str">
        <f>IFERROR(LEFT(O861, FIND(",", O861)-1), O861)</f>
        <v>Mds</v>
      </c>
      <c r="Q861" s="303" t="str">
        <f>IFERROR(IF(ISERROR(FIND(",", O861, FIND(",", O861)+1)), RIGHT(O861, LEN(O861)-FIND(",", O861)-1), MID(O861, FIND(",", O861)+2, FIND(",", O861, FIND(",", O861)+1)-FIND(",", O861)-2)), "")</f>
        <v/>
      </c>
      <c r="R861" s="303" t="str">
        <f>IFERROR(RIGHT(O861, LEN(O861)-FIND(",", O861, FIND(",", O861)+1)-1), "")</f>
        <v/>
      </c>
      <c r="S861" s="35" t="str" cm="1">
        <f t="array" ref="S861">_xlfn.TEXTJOIN(", ",TRUE,_xlfn._xlws.FILTER(Tabla29[[#All],[PARTE]],ISNUMBER(SEARCH(Tabla29[[#All],[PCLAVE3]],Tabla8[[#This Row],[DESCRIPCION DE TRABAJO]])),""))</f>
        <v>Cambio De Formato</v>
      </c>
      <c r="T861" s="34" t="str">
        <f>IF(AND(Tabla8[[#This Row],[PIEZA]]="",Tabla8[[#This Row],[PARTE]]=""),"VACIO","OK")</f>
        <v>OK</v>
      </c>
      <c r="U861" s="303" t="str">
        <f>+CONCATENATE(WEEKNUM(Tabla8[[#This Row],[FECHA]]),"-",YEAR(Tabla8[[#This Row],[FECHA]]))</f>
        <v>15-2026</v>
      </c>
    </row>
    <row r="862" spans="1:21" ht="15" customHeight="1">
      <c r="A862" s="22">
        <v>46123</v>
      </c>
      <c r="B862" s="16" t="s">
        <v>191</v>
      </c>
      <c r="C862" s="10" t="s">
        <v>36</v>
      </c>
      <c r="D862" s="381">
        <v>0.34930555555555554</v>
      </c>
      <c r="E862" s="381">
        <v>0.36666666666666664</v>
      </c>
      <c r="F862" s="380">
        <f>+MOD(Tabla8[[#This Row],[HR. FIN]]-Tabla8[[#This Row],[HR. INICIO]],1)</f>
        <v>1.7361111111111105E-2</v>
      </c>
      <c r="G862" s="16" t="s">
        <v>153</v>
      </c>
      <c r="H862" s="343" t="str">
        <f>IFERROR(VLOOKUP(G862,DATOS!$M$2:$N$219,2,FALSE),"")</f>
        <v>Maquinaria</v>
      </c>
      <c r="I862" s="115" t="s">
        <v>25</v>
      </c>
      <c r="J862" s="115" t="str">
        <f>+VLOOKUP($I862,Tabla7[#All],2,FALSE)</f>
        <v>PROGRAMADA</v>
      </c>
      <c r="K862" s="114" t="str">
        <f>IF(VLOOKUP(I862,Tabla7[#All],3,FALSE)=0,"",VLOOKUP(I862,Tabla7[#All],3,FALSE))</f>
        <v/>
      </c>
      <c r="L862" s="35" t="s">
        <v>1741</v>
      </c>
      <c r="M862" s="35" t="s">
        <v>121</v>
      </c>
      <c r="N862" s="35" t="str" cm="1">
        <f t="array" ref="N862">IFERROR(IF(Tabla8[[#This Row],[P/NP]]="NO PROGRAMADA","",_xlfn.TEXTJOIN(", ",TRUE,_xlfn._xlws.FILTER(Tabla4[[#All],[PIEZA]],ISNUMBER(SEARCH(Tabla4[[#All],[PCLAVE]],Tabla8[[#This Row],[DESCRIPCION DE TRABAJO]])),""))),"")</f>
        <v/>
      </c>
      <c r="O862" s="35" t="str" cm="1">
        <f t="array" ref="O862">_xlfn.TEXTJOIN(", ",TRUE,_xlfn._xlws.FILTER(Tabla28[[#All],[PARTE]],ISNUMBER(SEARCH(Tabla28[[#All],[PCLAVE2]],Tabla8[[#This Row],[DESCRIPCION DE TRABAJO]])),""))</f>
        <v/>
      </c>
      <c r="P862" s="303" t="str">
        <f>IFERROR(LEFT(O862, FIND(",", O862)-1), O862)</f>
        <v/>
      </c>
      <c r="Q862" s="303" t="str">
        <f>IFERROR(IF(ISERROR(FIND(",", O862, FIND(",", O862)+1)), RIGHT(O862, LEN(O862)-FIND(",", O862)-1), MID(O862, FIND(",", O862)+2, FIND(",", O862, FIND(",", O862)+1)-FIND(",", O862)-2)), "")</f>
        <v/>
      </c>
      <c r="R862" s="303" t="str">
        <f>IFERROR(RIGHT(O862, LEN(O862)-FIND(",", O862, FIND(",", O862)+1)-1), "")</f>
        <v/>
      </c>
      <c r="S862" s="35" t="str" cm="1">
        <f t="array" ref="S862">_xlfn.TEXTJOIN(", ",TRUE,_xlfn._xlws.FILTER(Tabla29[[#All],[PARTE]],ISNUMBER(SEARCH(Tabla29[[#All],[PCLAVE3]],Tabla8[[#This Row],[DESCRIPCION DE TRABAJO]])),""))</f>
        <v/>
      </c>
      <c r="T862" s="34" t="str">
        <f>IF(AND(Tabla8[[#This Row],[PIEZA]]="",Tabla8[[#This Row],[PARTE]]=""),"VACIO","OK")</f>
        <v>VACIO</v>
      </c>
      <c r="U862" s="303" t="str">
        <f>+CONCATENATE(WEEKNUM(Tabla8[[#This Row],[FECHA]]),"-",YEAR(Tabla8[[#This Row],[FECHA]]))</f>
        <v>15-2026</v>
      </c>
    </row>
    <row r="863" spans="1:21" ht="15" customHeight="1">
      <c r="A863" s="22">
        <v>46123</v>
      </c>
      <c r="B863" s="16" t="s">
        <v>191</v>
      </c>
      <c r="C863" s="10" t="s">
        <v>36</v>
      </c>
      <c r="D863" s="381">
        <v>0.33055555555555555</v>
      </c>
      <c r="E863" s="381">
        <v>0.34722222222222221</v>
      </c>
      <c r="F863" s="380">
        <f>+MOD(Tabla8[[#This Row],[HR. FIN]]-Tabla8[[#This Row],[HR. INICIO]],1)</f>
        <v>1.6666666666666663E-2</v>
      </c>
      <c r="G863" s="16" t="s">
        <v>153</v>
      </c>
      <c r="H863" s="343" t="str">
        <f>IFERROR(VLOOKUP(G863,DATOS!$M$2:$N$219,2,FALSE),"")</f>
        <v>Maquinaria</v>
      </c>
      <c r="I863" s="115" t="s">
        <v>57</v>
      </c>
      <c r="J863" s="115" t="str">
        <f>+VLOOKUP($I863,Tabla7[#All],2,FALSE)</f>
        <v>NO PROGRAMADA</v>
      </c>
      <c r="K863" s="114" t="str">
        <f>IF(VLOOKUP(I863,Tabla7[#All],3,FALSE)=0,"",VLOOKUP(I863,Tabla7[#All],3,FALSE))</f>
        <v>MECÁNICA</v>
      </c>
      <c r="L863" s="35" t="s">
        <v>1742</v>
      </c>
      <c r="M863" s="35" t="s">
        <v>1743</v>
      </c>
      <c r="N863" s="35" t="str" cm="1">
        <f t="array" ref="N863">IFERROR(IF(Tabla8[[#This Row],[P/NP]]="NO PROGRAMADA","",_xlfn.TEXTJOIN(", ",TRUE,_xlfn._xlws.FILTER(Tabla4[[#All],[PIEZA]],ISNUMBER(SEARCH(Tabla4[[#All],[PCLAVE]],Tabla8[[#This Row],[DESCRIPCION DE TRABAJO]])),""))),"")</f>
        <v/>
      </c>
      <c r="O863" s="35" t="str" cm="1">
        <f t="array" ref="O863">_xlfn.TEXTJOIN(", ",TRUE,_xlfn._xlws.FILTER(Tabla28[[#All],[PARTE]],ISNUMBER(SEARCH(Tabla28[[#All],[PCLAVE2]],Tabla8[[#This Row],[DESCRIPCION DE TRABAJO]])),""))</f>
        <v>Contraelevador</v>
      </c>
      <c r="P863" s="303" t="str">
        <f>IFERROR(LEFT(O863, FIND(",", O863)-1), O863)</f>
        <v>Contraelevador</v>
      </c>
      <c r="Q863" s="303" t="str">
        <f>IFERROR(IF(ISERROR(FIND(",", O863, FIND(",", O863)+1)), RIGHT(O863, LEN(O863)-FIND(",", O863)-1), MID(O863, FIND(",", O863)+2, FIND(",", O863, FIND(",", O863)+1)-FIND(",", O863)-2)), "")</f>
        <v/>
      </c>
      <c r="R863" s="303" t="str">
        <f>IFERROR(RIGHT(O863, LEN(O863)-FIND(",", O863, FIND(",", O863)+1)-1), "")</f>
        <v/>
      </c>
      <c r="S863" s="35" t="str" cm="1">
        <f t="array" ref="S863">_xlfn.TEXTJOIN(", ",TRUE,_xlfn._xlws.FILTER(Tabla29[[#All],[PARTE]],ISNUMBER(SEARCH(Tabla29[[#All],[PCLAVE3]],Tabla8[[#This Row],[DESCRIPCION DE TRABAJO]])),""))</f>
        <v/>
      </c>
      <c r="T863" s="34" t="str">
        <f>IF(AND(Tabla8[[#This Row],[PIEZA]]="",Tabla8[[#This Row],[PARTE]]=""),"VACIO","OK")</f>
        <v>OK</v>
      </c>
      <c r="U863" s="303" t="str">
        <f>+CONCATENATE(WEEKNUM(Tabla8[[#This Row],[FECHA]]),"-",YEAR(Tabla8[[#This Row],[FECHA]]))</f>
        <v>15-2026</v>
      </c>
    </row>
    <row r="864" spans="1:21" ht="15" customHeight="1">
      <c r="A864" s="22">
        <v>46123</v>
      </c>
      <c r="B864" s="16" t="s">
        <v>191</v>
      </c>
      <c r="C864" s="10" t="s">
        <v>36</v>
      </c>
      <c r="D864" s="381">
        <v>0.24027777777777778</v>
      </c>
      <c r="E864" s="381">
        <v>0.25486111111111109</v>
      </c>
      <c r="F864" s="380">
        <f>+MOD(Tabla8[[#This Row],[HR. FIN]]-Tabla8[[#This Row],[HR. INICIO]],1)</f>
        <v>1.4583333333333309E-2</v>
      </c>
      <c r="G864" s="16" t="s">
        <v>215</v>
      </c>
      <c r="H864" s="343" t="str">
        <f>IFERROR(VLOOKUP(G864,DATOS!$M$2:$N$219,2,FALSE),"")</f>
        <v>Equipos auxiliares</v>
      </c>
      <c r="I864" s="115" t="s">
        <v>54</v>
      </c>
      <c r="J864" s="115" t="str">
        <f>+VLOOKUP($I864,Tabla7[#All],2,FALSE)</f>
        <v>PROGRAMADA</v>
      </c>
      <c r="K864" s="114" t="str">
        <f>IF(VLOOKUP(I864,Tabla7[#All],3,FALSE)=0,"",VLOOKUP(I864,Tabla7[#All],3,FALSE))</f>
        <v/>
      </c>
      <c r="L864" s="35" t="s">
        <v>248</v>
      </c>
      <c r="M864" s="35" t="s">
        <v>121</v>
      </c>
      <c r="N864" s="35" t="str" cm="1">
        <f t="array" ref="N864">IFERROR(IF(Tabla8[[#This Row],[P/NP]]="NO PROGRAMADA","",_xlfn.TEXTJOIN(", ",TRUE,_xlfn._xlws.FILTER(Tabla4[[#All],[PIEZA]],ISNUMBER(SEARCH(Tabla4[[#All],[PCLAVE]],Tabla8[[#This Row],[DESCRIPCION DE TRABAJO]])),""))),"")</f>
        <v/>
      </c>
      <c r="O864" s="35" t="str" cm="1">
        <f t="array" ref="O864">_xlfn.TEXTJOIN(", ",TRUE,_xlfn._xlws.FILTER(Tabla28[[#All],[PARTE]],ISNUMBER(SEARCH(Tabla28[[#All],[PCLAVE2]],Tabla8[[#This Row],[DESCRIPCION DE TRABAJO]])),""))</f>
        <v/>
      </c>
      <c r="P864" s="303" t="str">
        <f>IFERROR(LEFT(O864, FIND(",", O864)-1), O864)</f>
        <v/>
      </c>
      <c r="Q864" s="303" t="str">
        <f>IFERROR(IF(ISERROR(FIND(",", O864, FIND(",", O864)+1)), RIGHT(O864, LEN(O864)-FIND(",", O864)-1), MID(O864, FIND(",", O864)+2, FIND(",", O864, FIND(",", O864)+1)-FIND(",", O864)-2)), "")</f>
        <v/>
      </c>
      <c r="R864" s="303" t="str">
        <f>IFERROR(RIGHT(O864, LEN(O864)-FIND(",", O864, FIND(",", O864)+1)-1), "")</f>
        <v/>
      </c>
      <c r="S864" s="35" t="str" cm="1">
        <f t="array" ref="S864">_xlfn.TEXTJOIN(", ",TRUE,_xlfn._xlws.FILTER(Tabla29[[#All],[PARTE]],ISNUMBER(SEARCH(Tabla29[[#All],[PCLAVE3]],Tabla8[[#This Row],[DESCRIPCION DE TRABAJO]])),""))</f>
        <v/>
      </c>
      <c r="T864" s="34" t="str">
        <f>IF(AND(Tabla8[[#This Row],[PIEZA]]="",Tabla8[[#This Row],[PARTE]]=""),"VACIO","OK")</f>
        <v>VACIO</v>
      </c>
      <c r="U864" s="303" t="str">
        <f>+CONCATENATE(WEEKNUM(Tabla8[[#This Row],[FECHA]]),"-",YEAR(Tabla8[[#This Row],[FECHA]]))</f>
        <v>15-2026</v>
      </c>
    </row>
    <row r="865" spans="1:21" ht="15" customHeight="1">
      <c r="A865" s="22">
        <v>46123</v>
      </c>
      <c r="B865" s="16" t="s">
        <v>191</v>
      </c>
      <c r="C865" s="10" t="s">
        <v>36</v>
      </c>
      <c r="D865" s="381">
        <v>0.26111111111111113</v>
      </c>
      <c r="E865" s="381">
        <v>0.26874999999999999</v>
      </c>
      <c r="F865" s="380">
        <f>+MOD(Tabla8[[#This Row],[HR. FIN]]-Tabla8[[#This Row],[HR. INICIO]],1)</f>
        <v>7.6388888888888618E-3</v>
      </c>
      <c r="G865" s="16" t="s">
        <v>91</v>
      </c>
      <c r="H865" s="343" t="str">
        <f>IFERROR(VLOOKUP(G865,DATOS!$M$2:$N$219,2,FALSE),"")</f>
        <v>Area</v>
      </c>
      <c r="I865" s="115" t="s">
        <v>54</v>
      </c>
      <c r="J865" s="115" t="str">
        <f>+VLOOKUP($I865,Tabla7[#All],2,FALSE)</f>
        <v>PROGRAMADA</v>
      </c>
      <c r="K865" s="114" t="str">
        <f>IF(VLOOKUP(I865,Tabla7[#All],3,FALSE)=0,"",VLOOKUP(I865,Tabla7[#All],3,FALSE))</f>
        <v/>
      </c>
      <c r="L865" s="35" t="s">
        <v>1744</v>
      </c>
      <c r="M865" s="35" t="s">
        <v>121</v>
      </c>
      <c r="N865" s="35" t="str" cm="1">
        <f t="array" ref="N865">IFERROR(IF(Tabla8[[#This Row],[P/NP]]="NO PROGRAMADA","",_xlfn.TEXTJOIN(", ",TRUE,_xlfn._xlws.FILTER(Tabla4[[#All],[PIEZA]],ISNUMBER(SEARCH(Tabla4[[#All],[PCLAVE]],Tabla8[[#This Row],[DESCRIPCION DE TRABAJO]])),""))),"")</f>
        <v/>
      </c>
      <c r="O865" s="35" t="str" cm="1">
        <f t="array" ref="O865">_xlfn.TEXTJOIN(", ",TRUE,_xlfn._xlws.FILTER(Tabla28[[#All],[PARTE]],ISNUMBER(SEARCH(Tabla28[[#All],[PCLAVE2]],Tabla8[[#This Row],[DESCRIPCION DE TRABAJO]])),""))</f>
        <v>Tanque</v>
      </c>
      <c r="P865" s="303" t="str">
        <f>IFERROR(LEFT(O865, FIND(",", O865)-1), O865)</f>
        <v>Tanque</v>
      </c>
      <c r="Q865" s="303" t="str">
        <f>IFERROR(IF(ISERROR(FIND(",", O865, FIND(",", O865)+1)), RIGHT(O865, LEN(O865)-FIND(",", O865)-1), MID(O865, FIND(",", O865)+2, FIND(",", O865, FIND(",", O865)+1)-FIND(",", O865)-2)), "")</f>
        <v/>
      </c>
      <c r="R865" s="303" t="str">
        <f>IFERROR(RIGHT(O865, LEN(O865)-FIND(",", O865, FIND(",", O865)+1)-1), "")</f>
        <v/>
      </c>
      <c r="S865" s="35" t="str" cm="1">
        <f t="array" ref="S865">_xlfn.TEXTJOIN(", ",TRUE,_xlfn._xlws.FILTER(Tabla29[[#All],[PARTE]],ISNUMBER(SEARCH(Tabla29[[#All],[PCLAVE3]],Tabla8[[#This Row],[DESCRIPCION DE TRABAJO]])),""))</f>
        <v/>
      </c>
      <c r="T865" s="34" t="str">
        <f>IF(AND(Tabla8[[#This Row],[PIEZA]]="",Tabla8[[#This Row],[PARTE]]=""),"VACIO","OK")</f>
        <v>OK</v>
      </c>
      <c r="U865" s="303" t="str">
        <f>+CONCATENATE(WEEKNUM(Tabla8[[#This Row],[FECHA]]),"-",YEAR(Tabla8[[#This Row],[FECHA]]))</f>
        <v>15-2026</v>
      </c>
    </row>
    <row r="866" spans="1:21" ht="15" customHeight="1">
      <c r="A866" s="22">
        <v>46125</v>
      </c>
      <c r="B866" s="16" t="s">
        <v>88</v>
      </c>
      <c r="C866" s="10" t="s">
        <v>36</v>
      </c>
      <c r="D866" s="381">
        <v>0.35416666666666669</v>
      </c>
      <c r="E866" s="381">
        <v>0.40625</v>
      </c>
      <c r="F866" s="380">
        <f>+MOD(Tabla8[[#This Row],[HR. FIN]]-Tabla8[[#This Row],[HR. INICIO]],1)</f>
        <v>5.2083333333333315E-2</v>
      </c>
      <c r="G866" s="16" t="s">
        <v>31</v>
      </c>
      <c r="H866" s="343" t="str">
        <f>IFERROR(VLOOKUP(G866,DATOS!$M$2:$N$219,2,FALSE),"")</f>
        <v>Maquinaria</v>
      </c>
      <c r="I866" s="115" t="s">
        <v>32</v>
      </c>
      <c r="J866" s="115" t="str">
        <f>+VLOOKUP($I866,Tabla7[#All],2,FALSE)</f>
        <v>PROGRAMADA</v>
      </c>
      <c r="K866" s="114" t="str">
        <f>IF(VLOOKUP(I866,Tabla7[#All],3,FALSE)=0,"",VLOOKUP(I866,Tabla7[#All],3,FALSE))</f>
        <v/>
      </c>
      <c r="L866" s="35" t="s">
        <v>1745</v>
      </c>
      <c r="M866" s="35" t="s">
        <v>1746</v>
      </c>
      <c r="N866" s="35" t="str" cm="1">
        <f t="array" ref="N866">IFERROR(IF(Tabla8[[#This Row],[P/NP]]="NO PROGRAMADA","",_xlfn.TEXTJOIN(", ",TRUE,_xlfn._xlws.FILTER(Tabla4[[#All],[PIEZA]],ISNUMBER(SEARCH(Tabla4[[#All],[PCLAVE]],Tabla8[[#This Row],[DESCRIPCION DE TRABAJO]])),""))),"")</f>
        <v/>
      </c>
      <c r="O866" s="35" t="str" cm="1">
        <f t="array" ref="O866">_xlfn.TEXTJOIN(", ",TRUE,_xlfn._xlws.FILTER(Tabla28[[#All],[PARTE]],ISNUMBER(SEARCH(Tabla28[[#All],[PCLAVE2]],Tabla8[[#This Row],[DESCRIPCION DE TRABAJO]])),""))</f>
        <v/>
      </c>
      <c r="P866" s="303" t="str">
        <f>IFERROR(LEFT(O866, FIND(",", O866)-1), O866)</f>
        <v/>
      </c>
      <c r="Q866" s="303" t="str">
        <f>IFERROR(IF(ISERROR(FIND(",", O866, FIND(",", O866)+1)), RIGHT(O866, LEN(O866)-FIND(",", O866)-1), MID(O866, FIND(",", O866)+2, FIND(",", O866, FIND(",", O866)+1)-FIND(",", O866)-2)), "")</f>
        <v/>
      </c>
      <c r="R866" s="303" t="str">
        <f>IFERROR(RIGHT(O866, LEN(O866)-FIND(",", O866, FIND(",", O866)+1)-1), "")</f>
        <v/>
      </c>
      <c r="S866" s="35" t="str" cm="1">
        <f t="array" ref="S866">_xlfn.TEXTJOIN(", ",TRUE,_xlfn._xlws.FILTER(Tabla29[[#All],[PARTE]],ISNUMBER(SEARCH(Tabla29[[#All],[PCLAVE3]],Tabla8[[#This Row],[DESCRIPCION DE TRABAJO]])),""))</f>
        <v>Cambio De Formato</v>
      </c>
      <c r="T866" s="34" t="str">
        <f>IF(AND(Tabla8[[#This Row],[PIEZA]]="",Tabla8[[#This Row],[PARTE]]=""),"VACIO","OK")</f>
        <v>VACIO</v>
      </c>
      <c r="U866" s="303" t="str">
        <f>+CONCATENATE(WEEKNUM(Tabla8[[#This Row],[FECHA]]),"-",YEAR(Tabla8[[#This Row],[FECHA]]))</f>
        <v>16-2026</v>
      </c>
    </row>
    <row r="867" spans="1:21" ht="15" customHeight="1">
      <c r="A867" s="22">
        <v>46125</v>
      </c>
      <c r="B867" s="16" t="s">
        <v>191</v>
      </c>
      <c r="C867" s="10" t="s">
        <v>39</v>
      </c>
      <c r="D867" s="381">
        <v>0.93611111111111112</v>
      </c>
      <c r="E867" s="381">
        <v>0.98263888888888884</v>
      </c>
      <c r="F867" s="380">
        <f>+MOD(Tabla8[[#This Row],[HR. FIN]]-Tabla8[[#This Row],[HR. INICIO]],1)</f>
        <v>4.6527777777777724E-2</v>
      </c>
      <c r="G867" s="16" t="s">
        <v>182</v>
      </c>
      <c r="H867" s="343" t="str">
        <f>IFERROR(VLOOKUP(G867,DATOS!$M$2:$N$219,2,FALSE),"")</f>
        <v>Maquinaria</v>
      </c>
      <c r="I867" s="115" t="s">
        <v>57</v>
      </c>
      <c r="J867" s="115" t="str">
        <f>+VLOOKUP($I867,Tabla7[#All],2,FALSE)</f>
        <v>NO PROGRAMADA</v>
      </c>
      <c r="K867" s="114" t="str">
        <f>IF(VLOOKUP(I867,Tabla7[#All],3,FALSE)=0,"",VLOOKUP(I867,Tabla7[#All],3,FALSE))</f>
        <v>MECÁNICA</v>
      </c>
      <c r="L867" s="35" t="s">
        <v>1747</v>
      </c>
      <c r="M867" s="35" t="s">
        <v>1748</v>
      </c>
      <c r="N867" s="35" t="str" cm="1">
        <f t="array" ref="N867">IFERROR(IF(Tabla8[[#This Row],[P/NP]]="NO PROGRAMADA","",_xlfn.TEXTJOIN(", ",TRUE,_xlfn._xlws.FILTER(Tabla4[[#All],[PIEZA]],ISNUMBER(SEARCH(Tabla4[[#All],[PCLAVE]],Tabla8[[#This Row],[DESCRIPCION DE TRABAJO]])),""))),"")</f>
        <v/>
      </c>
      <c r="O867" s="35" t="str" cm="1">
        <f t="array" ref="O867">_xlfn.TEXTJOIN(", ",TRUE,_xlfn._xlws.FILTER(Tabla28[[#All],[PARTE]],ISNUMBER(SEARCH(Tabla28[[#All],[PCLAVE2]],Tabla8[[#This Row],[DESCRIPCION DE TRABAJO]])),""))</f>
        <v/>
      </c>
      <c r="P867" s="303" t="str">
        <f>IFERROR(LEFT(O867, FIND(",", O867)-1), O867)</f>
        <v/>
      </c>
      <c r="Q867" s="303" t="str">
        <f>IFERROR(IF(ISERROR(FIND(",", O867, FIND(",", O867)+1)), RIGHT(O867, LEN(O867)-FIND(",", O867)-1), MID(O867, FIND(",", O867)+2, FIND(",", O867, FIND(",", O867)+1)-FIND(",", O867)-2)), "")</f>
        <v/>
      </c>
      <c r="R867" s="303" t="str">
        <f>IFERROR(RIGHT(O867, LEN(O867)-FIND(",", O867, FIND(",", O867)+1)-1), "")</f>
        <v/>
      </c>
      <c r="S867" s="35" t="str" cm="1">
        <f t="array" ref="S867">_xlfn.TEXTJOIN(", ",TRUE,_xlfn._xlws.FILTER(Tabla29[[#All],[PARTE]],ISNUMBER(SEARCH(Tabla29[[#All],[PCLAVE3]],Tabla8[[#This Row],[DESCRIPCION DE TRABAJO]])),""))</f>
        <v>No Sella, Se Pegan</v>
      </c>
      <c r="T867" s="34" t="str">
        <f>IF(AND(Tabla8[[#This Row],[PIEZA]]="",Tabla8[[#This Row],[PARTE]]=""),"VACIO","OK")</f>
        <v>VACIO</v>
      </c>
      <c r="U867" s="303" t="str">
        <f>+CONCATENATE(WEEKNUM(Tabla8[[#This Row],[FECHA]]),"-",YEAR(Tabla8[[#This Row],[FECHA]]))</f>
        <v>16-2026</v>
      </c>
    </row>
    <row r="868" spans="1:21" ht="15" customHeight="1">
      <c r="A868" s="22">
        <v>46125</v>
      </c>
      <c r="B868" s="16" t="s">
        <v>88</v>
      </c>
      <c r="C868" s="10" t="s">
        <v>36</v>
      </c>
      <c r="D868" s="381">
        <v>0.22916666666666666</v>
      </c>
      <c r="E868" s="381">
        <v>0.27083333333333331</v>
      </c>
      <c r="F868" s="380">
        <f>+MOD(Tabla8[[#This Row],[HR. FIN]]-Tabla8[[#This Row],[HR. INICIO]],1)</f>
        <v>4.1666666666666657E-2</v>
      </c>
      <c r="G868" s="16" t="s">
        <v>103</v>
      </c>
      <c r="H868" s="343" t="str">
        <f>IFERROR(VLOOKUP(G868,DATOS!$M$2:$N$219,2,FALSE),"")</f>
        <v>Area</v>
      </c>
      <c r="I868" s="115" t="s">
        <v>43</v>
      </c>
      <c r="J868" s="115" t="str">
        <f>+VLOOKUP($I868,Tabla7[#All],2,FALSE)</f>
        <v>PROGRAMADA</v>
      </c>
      <c r="K868" s="114" t="str">
        <f>IF(VLOOKUP(I868,Tabla7[#All],3,FALSE)=0,"",VLOOKUP(I868,Tabla7[#All],3,FALSE))</f>
        <v/>
      </c>
      <c r="L868" s="35" t="s">
        <v>446</v>
      </c>
      <c r="M868" s="35" t="s">
        <v>1403</v>
      </c>
      <c r="N868" s="35" t="str" cm="1">
        <f t="array" ref="N868">IFERROR(IF(Tabla8[[#This Row],[P/NP]]="NO PROGRAMADA","",_xlfn.TEXTJOIN(", ",TRUE,_xlfn._xlws.FILTER(Tabla4[[#All],[PIEZA]],ISNUMBER(SEARCH(Tabla4[[#All],[PCLAVE]],Tabla8[[#This Row],[DESCRIPCION DE TRABAJO]])),""))),"")</f>
        <v/>
      </c>
      <c r="O868" s="35" t="str" cm="1">
        <f t="array" ref="O868">_xlfn.TEXTJOIN(", ",TRUE,_xlfn._xlws.FILTER(Tabla28[[#All],[PARTE]],ISNUMBER(SEARCH(Tabla28[[#All],[PCLAVE2]],Tabla8[[#This Row],[DESCRIPCION DE TRABAJO]])),""))</f>
        <v/>
      </c>
      <c r="P868" s="303" t="str">
        <f>IFERROR(LEFT(O868, FIND(",", O868)-1), O868)</f>
        <v/>
      </c>
      <c r="Q868" s="303" t="str">
        <f>IFERROR(IF(ISERROR(FIND(",", O868, FIND(",", O868)+1)), RIGHT(O868, LEN(O868)-FIND(",", O868)-1), MID(O868, FIND(",", O868)+2, FIND(",", O868, FIND(",", O868)+1)-FIND(",", O868)-2)), "")</f>
        <v/>
      </c>
      <c r="R868" s="303" t="str">
        <f>IFERROR(RIGHT(O868, LEN(O868)-FIND(",", O868, FIND(",", O868)+1)-1), "")</f>
        <v/>
      </c>
      <c r="S868" s="35" t="str" cm="1">
        <f t="array" ref="S868">_xlfn.TEXTJOIN(", ",TRUE,_xlfn._xlws.FILTER(Tabla29[[#All],[PARTE]],ISNUMBER(SEARCH(Tabla29[[#All],[PCLAVE3]],Tabla8[[#This Row],[DESCRIPCION DE TRABAJO]])),""))</f>
        <v/>
      </c>
      <c r="T868" s="34" t="str">
        <f>IF(AND(Tabla8[[#This Row],[PIEZA]]="",Tabla8[[#This Row],[PARTE]]=""),"VACIO","OK")</f>
        <v>VACIO</v>
      </c>
      <c r="U868" s="303" t="str">
        <f>+CONCATENATE(WEEKNUM(Tabla8[[#This Row],[FECHA]]),"-",YEAR(Tabla8[[#This Row],[FECHA]]))</f>
        <v>16-2026</v>
      </c>
    </row>
    <row r="869" spans="1:21" ht="15" customHeight="1">
      <c r="A869" s="22">
        <v>46125</v>
      </c>
      <c r="B869" s="16" t="s">
        <v>88</v>
      </c>
      <c r="C869" s="10" t="s">
        <v>36</v>
      </c>
      <c r="D869" s="381">
        <v>0.27083333333333331</v>
      </c>
      <c r="E869" s="381">
        <v>0.29166666666666669</v>
      </c>
      <c r="F869" s="380">
        <f>+MOD(Tabla8[[#This Row],[HR. FIN]]-Tabla8[[#This Row],[HR. INICIO]],1)</f>
        <v>2.083333333333337E-2</v>
      </c>
      <c r="G869" s="16" t="s">
        <v>312</v>
      </c>
      <c r="H869" s="343" t="str">
        <f>IFERROR(VLOOKUP(G869,DATOS!$M$2:$N$219,2,FALSE),"")</f>
        <v>Maquinaria</v>
      </c>
      <c r="I869" s="115" t="s">
        <v>32</v>
      </c>
      <c r="J869" s="115" t="str">
        <f>+VLOOKUP($I869,Tabla7[#All],2,FALSE)</f>
        <v>PROGRAMADA</v>
      </c>
      <c r="K869" s="114" t="str">
        <f>IF(VLOOKUP(I869,Tabla7[#All],3,FALSE)=0,"",VLOOKUP(I869,Tabla7[#All],3,FALSE))</f>
        <v/>
      </c>
      <c r="L869" s="35" t="s">
        <v>1168</v>
      </c>
      <c r="M869" s="35" t="s">
        <v>1168</v>
      </c>
      <c r="N869" s="35" t="str" cm="1">
        <f t="array" ref="N869">IFERROR(IF(Tabla8[[#This Row],[P/NP]]="NO PROGRAMADA","",_xlfn.TEXTJOIN(", ",TRUE,_xlfn._xlws.FILTER(Tabla4[[#All],[PIEZA]],ISNUMBER(SEARCH(Tabla4[[#All],[PCLAVE]],Tabla8[[#This Row],[DESCRIPCION DE TRABAJO]])),""))),"")</f>
        <v/>
      </c>
      <c r="O869" s="35" t="str" cm="1">
        <f t="array" ref="O869">_xlfn.TEXTJOIN(", ",TRUE,_xlfn._xlws.FILTER(Tabla28[[#All],[PARTE]],ISNUMBER(SEARCH(Tabla28[[#All],[PCLAVE2]],Tabla8[[#This Row],[DESCRIPCION DE TRABAJO]])),""))</f>
        <v/>
      </c>
      <c r="P869" s="303" t="str">
        <f>IFERROR(LEFT(O869, FIND(",", O869)-1), O869)</f>
        <v/>
      </c>
      <c r="Q869" s="303" t="str">
        <f>IFERROR(IF(ISERROR(FIND(",", O869, FIND(",", O869)+1)), RIGHT(O869, LEN(O869)-FIND(",", O869)-1), MID(O869, FIND(",", O869)+2, FIND(",", O869, FIND(",", O869)+1)-FIND(",", O869)-2)), "")</f>
        <v/>
      </c>
      <c r="R869" s="303" t="str">
        <f>IFERROR(RIGHT(O869, LEN(O869)-FIND(",", O869, FIND(",", O869)+1)-1), "")</f>
        <v/>
      </c>
      <c r="S869" s="35" t="str" cm="1">
        <f t="array" ref="S869">_xlfn.TEXTJOIN(", ",TRUE,_xlfn._xlws.FILTER(Tabla29[[#All],[PARTE]],ISNUMBER(SEARCH(Tabla29[[#All],[PCLAVE3]],Tabla8[[#This Row],[DESCRIPCION DE TRABAJO]])),""))</f>
        <v/>
      </c>
      <c r="T869" s="34" t="str">
        <f>IF(AND(Tabla8[[#This Row],[PIEZA]]="",Tabla8[[#This Row],[PARTE]]=""),"VACIO","OK")</f>
        <v>VACIO</v>
      </c>
      <c r="U869" s="303" t="str">
        <f>+CONCATENATE(WEEKNUM(Tabla8[[#This Row],[FECHA]]),"-",YEAR(Tabla8[[#This Row],[FECHA]]))</f>
        <v>16-2026</v>
      </c>
    </row>
    <row r="870" spans="1:21" ht="15" customHeight="1">
      <c r="A870" s="22">
        <v>46125</v>
      </c>
      <c r="B870" s="16" t="s">
        <v>88</v>
      </c>
      <c r="C870" s="10" t="s">
        <v>36</v>
      </c>
      <c r="D870" s="381">
        <v>0.33333333333333331</v>
      </c>
      <c r="E870" s="381">
        <v>0.35416666666666669</v>
      </c>
      <c r="F870" s="380">
        <f>+MOD(Tabla8[[#This Row],[HR. FIN]]-Tabla8[[#This Row],[HR. INICIO]],1)</f>
        <v>2.083333333333337E-2</v>
      </c>
      <c r="G870" s="16" t="s">
        <v>793</v>
      </c>
      <c r="H870" s="343" t="str">
        <f>IFERROR(VLOOKUP(G870,DATOS!$M$2:$N$219,2,FALSE),"")</f>
        <v>Maquinaria</v>
      </c>
      <c r="I870" s="115" t="s">
        <v>32</v>
      </c>
      <c r="J870" s="115" t="str">
        <f>+VLOOKUP($I870,Tabla7[#All],2,FALSE)</f>
        <v>PROGRAMADA</v>
      </c>
      <c r="K870" s="114" t="str">
        <f>IF(VLOOKUP(I870,Tabla7[#All],3,FALSE)=0,"",VLOOKUP(I870,Tabla7[#All],3,FALSE))</f>
        <v/>
      </c>
      <c r="L870" s="35" t="s">
        <v>1168</v>
      </c>
      <c r="M870" s="35" t="s">
        <v>1166</v>
      </c>
      <c r="N870" s="35" t="str" cm="1">
        <f t="array" ref="N870">IFERROR(IF(Tabla8[[#This Row],[P/NP]]="NO PROGRAMADA","",_xlfn.TEXTJOIN(", ",TRUE,_xlfn._xlws.FILTER(Tabla4[[#All],[PIEZA]],ISNUMBER(SEARCH(Tabla4[[#All],[PCLAVE]],Tabla8[[#This Row],[DESCRIPCION DE TRABAJO]])),""))),"")</f>
        <v/>
      </c>
      <c r="O870" s="35" t="str" cm="1">
        <f t="array" ref="O870">_xlfn.TEXTJOIN(", ",TRUE,_xlfn._xlws.FILTER(Tabla28[[#All],[PARTE]],ISNUMBER(SEARCH(Tabla28[[#All],[PCLAVE2]],Tabla8[[#This Row],[DESCRIPCION DE TRABAJO]])),""))</f>
        <v/>
      </c>
      <c r="P870" s="303" t="str">
        <f>IFERROR(LEFT(O870, FIND(",", O870)-1), O870)</f>
        <v/>
      </c>
      <c r="Q870" s="303" t="str">
        <f>IFERROR(IF(ISERROR(FIND(",", O870, FIND(",", O870)+1)), RIGHT(O870, LEN(O870)-FIND(",", O870)-1), MID(O870, FIND(",", O870)+2, FIND(",", O870, FIND(",", O870)+1)-FIND(",", O870)-2)), "")</f>
        <v/>
      </c>
      <c r="R870" s="303" t="str">
        <f>IFERROR(RIGHT(O870, LEN(O870)-FIND(",", O870, FIND(",", O870)+1)-1), "")</f>
        <v/>
      </c>
      <c r="S870" s="35" t="str" cm="1">
        <f t="array" ref="S870">_xlfn.TEXTJOIN(", ",TRUE,_xlfn._xlws.FILTER(Tabla29[[#All],[PARTE]],ISNUMBER(SEARCH(Tabla29[[#All],[PCLAVE3]],Tabla8[[#This Row],[DESCRIPCION DE TRABAJO]])),""))</f>
        <v/>
      </c>
      <c r="T870" s="34" t="str">
        <f>IF(AND(Tabla8[[#This Row],[PIEZA]]="",Tabla8[[#This Row],[PARTE]]=""),"VACIO","OK")</f>
        <v>VACIO</v>
      </c>
      <c r="U870" s="303" t="str">
        <f>+CONCATENATE(WEEKNUM(Tabla8[[#This Row],[FECHA]]),"-",YEAR(Tabla8[[#This Row],[FECHA]]))</f>
        <v>16-2026</v>
      </c>
    </row>
    <row r="871" spans="1:21" ht="15" customHeight="1">
      <c r="A871" s="22">
        <v>46125</v>
      </c>
      <c r="B871" s="16" t="s">
        <v>88</v>
      </c>
      <c r="C871" s="10" t="s">
        <v>36</v>
      </c>
      <c r="D871" s="381">
        <v>0.2986111111111111</v>
      </c>
      <c r="E871" s="381">
        <v>0.31944444444444442</v>
      </c>
      <c r="F871" s="380">
        <f>+MOD(Tabla8[[#This Row],[HR. FIN]]-Tabla8[[#This Row],[HR. INICIO]],1)</f>
        <v>2.0833333333333315E-2</v>
      </c>
      <c r="G871" s="16" t="s">
        <v>114</v>
      </c>
      <c r="H871" s="343" t="str">
        <f>IFERROR(VLOOKUP(G871,DATOS!$M$2:$N$219,2,FALSE),"")</f>
        <v>Maquinaria</v>
      </c>
      <c r="I871" s="115" t="s">
        <v>32</v>
      </c>
      <c r="J871" s="115" t="str">
        <f>+VLOOKUP($I871,Tabla7[#All],2,FALSE)</f>
        <v>PROGRAMADA</v>
      </c>
      <c r="K871" s="114" t="str">
        <f>IF(VLOOKUP(I871,Tabla7[#All],3,FALSE)=0,"",VLOOKUP(I871,Tabla7[#All],3,FALSE))</f>
        <v/>
      </c>
      <c r="L871" s="35" t="s">
        <v>1168</v>
      </c>
      <c r="M871" s="35" t="s">
        <v>1166</v>
      </c>
      <c r="N871" s="35" t="str" cm="1">
        <f t="array" ref="N871">IFERROR(IF(Tabla8[[#This Row],[P/NP]]="NO PROGRAMADA","",_xlfn.TEXTJOIN(", ",TRUE,_xlfn._xlws.FILTER(Tabla4[[#All],[PIEZA]],ISNUMBER(SEARCH(Tabla4[[#All],[PCLAVE]],Tabla8[[#This Row],[DESCRIPCION DE TRABAJO]])),""))),"")</f>
        <v/>
      </c>
      <c r="O871" s="35" t="str" cm="1">
        <f t="array" ref="O871">_xlfn.TEXTJOIN(", ",TRUE,_xlfn._xlws.FILTER(Tabla28[[#All],[PARTE]],ISNUMBER(SEARCH(Tabla28[[#All],[PCLAVE2]],Tabla8[[#This Row],[DESCRIPCION DE TRABAJO]])),""))</f>
        <v/>
      </c>
      <c r="P871" s="303" t="str">
        <f>IFERROR(LEFT(O871, FIND(",", O871)-1), O871)</f>
        <v/>
      </c>
      <c r="Q871" s="303" t="str">
        <f>IFERROR(IF(ISERROR(FIND(",", O871, FIND(",", O871)+1)), RIGHT(O871, LEN(O871)-FIND(",", O871)-1), MID(O871, FIND(",", O871)+2, FIND(",", O871, FIND(",", O871)+1)-FIND(",", O871)-2)), "")</f>
        <v/>
      </c>
      <c r="R871" s="303" t="str">
        <f>IFERROR(RIGHT(O871, LEN(O871)-FIND(",", O871, FIND(",", O871)+1)-1), "")</f>
        <v/>
      </c>
      <c r="S871" s="35" t="str" cm="1">
        <f t="array" ref="S871">_xlfn.TEXTJOIN(", ",TRUE,_xlfn._xlws.FILTER(Tabla29[[#All],[PARTE]],ISNUMBER(SEARCH(Tabla29[[#All],[PCLAVE3]],Tabla8[[#This Row],[DESCRIPCION DE TRABAJO]])),""))</f>
        <v/>
      </c>
      <c r="T871" s="34" t="str">
        <f>IF(AND(Tabla8[[#This Row],[PIEZA]]="",Tabla8[[#This Row],[PARTE]]=""),"VACIO","OK")</f>
        <v>VACIO</v>
      </c>
      <c r="U871" s="303" t="str">
        <f>+CONCATENATE(WEEKNUM(Tabla8[[#This Row],[FECHA]]),"-",YEAR(Tabla8[[#This Row],[FECHA]]))</f>
        <v>16-2026</v>
      </c>
    </row>
    <row r="872" spans="1:21" ht="15" customHeight="1">
      <c r="A872" s="22">
        <v>46125</v>
      </c>
      <c r="B872" s="16" t="s">
        <v>179</v>
      </c>
      <c r="C872" s="10" t="s">
        <v>36</v>
      </c>
      <c r="D872" s="381">
        <v>0.2361111111111111</v>
      </c>
      <c r="E872" s="381">
        <v>0.25694444444444442</v>
      </c>
      <c r="F872" s="380">
        <f>+MOD(Tabla8[[#This Row],[HR. FIN]]-Tabla8[[#This Row],[HR. INICIO]],1)</f>
        <v>2.0833333333333315E-2</v>
      </c>
      <c r="G872" s="16" t="s">
        <v>103</v>
      </c>
      <c r="H872" s="343" t="str">
        <f>IFERROR(VLOOKUP(G872,DATOS!$M$2:$N$219,2,FALSE),"")</f>
        <v>Area</v>
      </c>
      <c r="I872" s="115" t="s">
        <v>43</v>
      </c>
      <c r="J872" s="115" t="str">
        <f>+VLOOKUP($I872,Tabla7[#All],2,FALSE)</f>
        <v>PROGRAMADA</v>
      </c>
      <c r="K872" s="114" t="str">
        <f>IF(VLOOKUP(I872,Tabla7[#All],3,FALSE)=0,"",VLOOKUP(I872,Tabla7[#All],3,FALSE))</f>
        <v/>
      </c>
      <c r="L872" s="35" t="s">
        <v>755</v>
      </c>
      <c r="M872" s="35" t="s">
        <v>121</v>
      </c>
      <c r="N872" s="35" t="str" cm="1">
        <f t="array" ref="N872">IFERROR(IF(Tabla8[[#This Row],[P/NP]]="NO PROGRAMADA","",_xlfn.TEXTJOIN(", ",TRUE,_xlfn._xlws.FILTER(Tabla4[[#All],[PIEZA]],ISNUMBER(SEARCH(Tabla4[[#All],[PCLAVE]],Tabla8[[#This Row],[DESCRIPCION DE TRABAJO]])),""))),"")</f>
        <v/>
      </c>
      <c r="O872" s="35" t="str" cm="1">
        <f t="array" ref="O872">_xlfn.TEXTJOIN(", ",TRUE,_xlfn._xlws.FILTER(Tabla28[[#All],[PARTE]],ISNUMBER(SEARCH(Tabla28[[#All],[PCLAVE2]],Tabla8[[#This Row],[DESCRIPCION DE TRABAJO]])),""))</f>
        <v/>
      </c>
      <c r="P872" s="303" t="str">
        <f>IFERROR(LEFT(O872, FIND(",", O872)-1), O872)</f>
        <v/>
      </c>
      <c r="Q872" s="303" t="str">
        <f>IFERROR(IF(ISERROR(FIND(",", O872, FIND(",", O872)+1)), RIGHT(O872, LEN(O872)-FIND(",", O872)-1), MID(O872, FIND(",", O872)+2, FIND(",", O872, FIND(",", O872)+1)-FIND(",", O872)-2)), "")</f>
        <v/>
      </c>
      <c r="R872" s="303" t="str">
        <f>IFERROR(RIGHT(O872, LEN(O872)-FIND(",", O872, FIND(",", O872)+1)-1), "")</f>
        <v/>
      </c>
      <c r="S872" s="35" t="str" cm="1">
        <f t="array" ref="S872">_xlfn.TEXTJOIN(", ",TRUE,_xlfn._xlws.FILTER(Tabla29[[#All],[PARTE]],ISNUMBER(SEARCH(Tabla29[[#All],[PCLAVE3]],Tabla8[[#This Row],[DESCRIPCION DE TRABAJO]])),""))</f>
        <v/>
      </c>
      <c r="T872" s="34" t="str">
        <f>IF(AND(Tabla8[[#This Row],[PIEZA]]="",Tabla8[[#This Row],[PARTE]]=""),"VACIO","OK")</f>
        <v>VACIO</v>
      </c>
      <c r="U872" s="303" t="str">
        <f>+CONCATENATE(WEEKNUM(Tabla8[[#This Row],[FECHA]]),"-",YEAR(Tabla8[[#This Row],[FECHA]]))</f>
        <v>16-2026</v>
      </c>
    </row>
    <row r="873" spans="1:21" ht="15" customHeight="1">
      <c r="A873" s="22">
        <v>46125</v>
      </c>
      <c r="B873" s="16" t="s">
        <v>191</v>
      </c>
      <c r="C873" s="10" t="s">
        <v>39</v>
      </c>
      <c r="D873" s="381">
        <v>0.91527777777777775</v>
      </c>
      <c r="E873" s="381">
        <v>0.93125000000000002</v>
      </c>
      <c r="F873" s="380">
        <f>+MOD(Tabla8[[#This Row],[HR. FIN]]-Tabla8[[#This Row],[HR. INICIO]],1)</f>
        <v>1.5972222222222276E-2</v>
      </c>
      <c r="G873" s="16" t="s">
        <v>198</v>
      </c>
      <c r="H873" s="343" t="str">
        <f>IFERROR(VLOOKUP(G873,DATOS!$M$2:$N$219,2,FALSE),"")</f>
        <v>Maquinaria</v>
      </c>
      <c r="I873" s="115" t="s">
        <v>57</v>
      </c>
      <c r="J873" s="115" t="str">
        <f>+VLOOKUP($I873,Tabla7[#All],2,FALSE)</f>
        <v>NO PROGRAMADA</v>
      </c>
      <c r="K873" s="114" t="str">
        <f>IF(VLOOKUP(I873,Tabla7[#All],3,FALSE)=0,"",VLOOKUP(I873,Tabla7[#All],3,FALSE))</f>
        <v>MECÁNICA</v>
      </c>
      <c r="L873" s="35" t="s">
        <v>1749</v>
      </c>
      <c r="M873" s="35" t="s">
        <v>1750</v>
      </c>
      <c r="N873" s="35" t="str" cm="1">
        <f t="array" ref="N873">IFERROR(IF(Tabla8[[#This Row],[P/NP]]="NO PROGRAMADA","",_xlfn.TEXTJOIN(", ",TRUE,_xlfn._xlws.FILTER(Tabla4[[#All],[PIEZA]],ISNUMBER(SEARCH(Tabla4[[#All],[PCLAVE]],Tabla8[[#This Row],[DESCRIPCION DE TRABAJO]])),""))),"")</f>
        <v/>
      </c>
      <c r="O873" s="35" t="str" cm="1">
        <f t="array" ref="O873">_xlfn.TEXTJOIN(", ",TRUE,_xlfn._xlws.FILTER(Tabla28[[#All],[PARTE]],ISNUMBER(SEARCH(Tabla28[[#All],[PCLAVE2]],Tabla8[[#This Row],[DESCRIPCION DE TRABAJO]])),""))</f>
        <v/>
      </c>
      <c r="P873" s="303" t="str">
        <f>IFERROR(LEFT(O873, FIND(",", O873)-1), O873)</f>
        <v/>
      </c>
      <c r="Q873" s="303" t="str">
        <f>IFERROR(IF(ISERROR(FIND(",", O873, FIND(",", O873)+1)), RIGHT(O873, LEN(O873)-FIND(",", O873)-1), MID(O873, FIND(",", O873)+2, FIND(",", O873, FIND(",", O873)+1)-FIND(",", O873)-2)), "")</f>
        <v/>
      </c>
      <c r="R873" s="303" t="str">
        <f>IFERROR(RIGHT(O873, LEN(O873)-FIND(",", O873, FIND(",", O873)+1)-1), "")</f>
        <v/>
      </c>
      <c r="S873" s="35" t="str" cm="1">
        <f t="array" ref="S873">_xlfn.TEXTJOIN(", ",TRUE,_xlfn._xlws.FILTER(Tabla29[[#All],[PARTE]],ISNUMBER(SEARCH(Tabla29[[#All],[PCLAVE3]],Tabla8[[#This Row],[DESCRIPCION DE TRABAJO]])),""))</f>
        <v>Mal Plegadas</v>
      </c>
      <c r="T873" s="34" t="str">
        <f>IF(AND(Tabla8[[#This Row],[PIEZA]]="",Tabla8[[#This Row],[PARTE]]=""),"VACIO","OK")</f>
        <v>VACIO</v>
      </c>
      <c r="U873" s="303" t="str">
        <f>+CONCATENATE(WEEKNUM(Tabla8[[#This Row],[FECHA]]),"-",YEAR(Tabla8[[#This Row],[FECHA]]))</f>
        <v>16-2026</v>
      </c>
    </row>
    <row r="874" spans="1:21" ht="15" customHeight="1">
      <c r="A874" s="22">
        <v>46125</v>
      </c>
      <c r="B874" s="16" t="s">
        <v>191</v>
      </c>
      <c r="C874" s="10" t="s">
        <v>39</v>
      </c>
      <c r="D874" s="381">
        <v>0.89513888888888893</v>
      </c>
      <c r="E874" s="381">
        <v>0.90763888888888888</v>
      </c>
      <c r="F874" s="380">
        <f>+MOD(Tabla8[[#This Row],[HR. FIN]]-Tabla8[[#This Row],[HR. INICIO]],1)</f>
        <v>1.2499999999999956E-2</v>
      </c>
      <c r="G874" s="16" t="s">
        <v>215</v>
      </c>
      <c r="H874" s="343" t="str">
        <f>IFERROR(VLOOKUP(G874,DATOS!$M$2:$N$219,2,FALSE),"")</f>
        <v>Equipos auxiliares</v>
      </c>
      <c r="I874" s="115" t="s">
        <v>54</v>
      </c>
      <c r="J874" s="115" t="str">
        <f>+VLOOKUP($I874,Tabla7[#All],2,FALSE)</f>
        <v>PROGRAMADA</v>
      </c>
      <c r="K874" s="114" t="str">
        <f>IF(VLOOKUP(I874,Tabla7[#All],3,FALSE)=0,"",VLOOKUP(I874,Tabla7[#All],3,FALSE))</f>
        <v/>
      </c>
      <c r="L874" s="35" t="s">
        <v>1751</v>
      </c>
      <c r="M874" s="35" t="s">
        <v>121</v>
      </c>
      <c r="N874" s="35" t="str" cm="1">
        <f t="array" ref="N874">IFERROR(IF(Tabla8[[#This Row],[P/NP]]="NO PROGRAMADA","",_xlfn.TEXTJOIN(", ",TRUE,_xlfn._xlws.FILTER(Tabla4[[#All],[PIEZA]],ISNUMBER(SEARCH(Tabla4[[#All],[PCLAVE]],Tabla8[[#This Row],[DESCRIPCION DE TRABAJO]])),""))),"")</f>
        <v/>
      </c>
      <c r="O874" s="35" t="str" cm="1">
        <f t="array" ref="O874">_xlfn.TEXTJOIN(", ",TRUE,_xlfn._xlws.FILTER(Tabla28[[#All],[PARTE]],ISNUMBER(SEARCH(Tabla28[[#All],[PCLAVE2]],Tabla8[[#This Row],[DESCRIPCION DE TRABAJO]])),""))</f>
        <v/>
      </c>
      <c r="P874" s="303" t="str">
        <f>IFERROR(LEFT(O874, FIND(",", O874)-1), O874)</f>
        <v/>
      </c>
      <c r="Q874" s="303" t="str">
        <f>IFERROR(IF(ISERROR(FIND(",", O874, FIND(",", O874)+1)), RIGHT(O874, LEN(O874)-FIND(",", O874)-1), MID(O874, FIND(",", O874)+2, FIND(",", O874, FIND(",", O874)+1)-FIND(",", O874)-2)), "")</f>
        <v/>
      </c>
      <c r="R874" s="303" t="str">
        <f>IFERROR(RIGHT(O874, LEN(O874)-FIND(",", O874, FIND(",", O874)+1)-1), "")</f>
        <v/>
      </c>
      <c r="S874" s="35" t="str" cm="1">
        <f t="array" ref="S874">_xlfn.TEXTJOIN(", ",TRUE,_xlfn._xlws.FILTER(Tabla29[[#All],[PARTE]],ISNUMBER(SEARCH(Tabla29[[#All],[PCLAVE3]],Tabla8[[#This Row],[DESCRIPCION DE TRABAJO]])),""))</f>
        <v/>
      </c>
      <c r="T874" s="34" t="str">
        <f>IF(AND(Tabla8[[#This Row],[PIEZA]]="",Tabla8[[#This Row],[PARTE]]=""),"VACIO","OK")</f>
        <v>VACIO</v>
      </c>
      <c r="U874" s="303" t="str">
        <f>+CONCATENATE(WEEKNUM(Tabla8[[#This Row],[FECHA]]),"-",YEAR(Tabla8[[#This Row],[FECHA]]))</f>
        <v>16-2026</v>
      </c>
    </row>
    <row r="875" spans="1:21" ht="15" customHeight="1">
      <c r="A875" s="22">
        <v>46125</v>
      </c>
      <c r="B875" s="16" t="s">
        <v>88</v>
      </c>
      <c r="C875" s="10" t="s">
        <v>36</v>
      </c>
      <c r="D875" s="381">
        <v>0.45833333333333331</v>
      </c>
      <c r="E875" s="381">
        <v>0.46875</v>
      </c>
      <c r="F875" s="380">
        <f>+MOD(Tabla8[[#This Row],[HR. FIN]]-Tabla8[[#This Row],[HR. INICIO]],1)</f>
        <v>1.0416666666666685E-2</v>
      </c>
      <c r="G875" s="16" t="s">
        <v>1752</v>
      </c>
      <c r="H875" s="343" t="str">
        <f>IFERROR(VLOOKUP(G875,DATOS!$M$2:$N$219,2,FALSE),"")</f>
        <v>Sistema</v>
      </c>
      <c r="I875" s="115" t="s">
        <v>57</v>
      </c>
      <c r="J875" s="115" t="str">
        <f>+VLOOKUP($I875,Tabla7[#All],2,FALSE)</f>
        <v>NO PROGRAMADA</v>
      </c>
      <c r="K875" s="114" t="str">
        <f>IF(VLOOKUP(I875,Tabla7[#All],3,FALSE)=0,"",VLOOKUP(I875,Tabla7[#All],3,FALSE))</f>
        <v>MECÁNICA</v>
      </c>
      <c r="L875" s="35" t="s">
        <v>1753</v>
      </c>
      <c r="M875" s="35" t="s">
        <v>1754</v>
      </c>
      <c r="N875" s="35" t="str" cm="1">
        <f t="array" ref="N875">IFERROR(IF(Tabla8[[#This Row],[P/NP]]="NO PROGRAMADA","",_xlfn.TEXTJOIN(", ",TRUE,_xlfn._xlws.FILTER(Tabla4[[#All],[PIEZA]],ISNUMBER(SEARCH(Tabla4[[#All],[PCLAVE]],Tabla8[[#This Row],[DESCRIPCION DE TRABAJO]])),""))),"")</f>
        <v/>
      </c>
      <c r="O875" s="35" t="str" cm="1">
        <f t="array" ref="O875">_xlfn.TEXTJOIN(", ",TRUE,_xlfn._xlws.FILTER(Tabla28[[#All],[PARTE]],ISNUMBER(SEARCH(Tabla28[[#All],[PCLAVE2]],Tabla8[[#This Row],[DESCRIPCION DE TRABAJO]])),""))</f>
        <v/>
      </c>
      <c r="P875" s="303" t="str">
        <f>IFERROR(LEFT(O875, FIND(",", O875)-1), O875)</f>
        <v/>
      </c>
      <c r="Q875" s="303" t="str">
        <f>IFERROR(IF(ISERROR(FIND(",", O875, FIND(",", O875)+1)), RIGHT(O875, LEN(O875)-FIND(",", O875)-1), MID(O875, FIND(",", O875)+2, FIND(",", O875, FIND(",", O875)+1)-FIND(",", O875)-2)), "")</f>
        <v/>
      </c>
      <c r="R875" s="303" t="str">
        <f>IFERROR(RIGHT(O875, LEN(O875)-FIND(",", O875, FIND(",", O875)+1)-1), "")</f>
        <v/>
      </c>
      <c r="S875" s="35" t="str" cm="1">
        <f t="array" ref="S875">_xlfn.TEXTJOIN(", ",TRUE,_xlfn._xlws.FILTER(Tabla29[[#All],[PARTE]],ISNUMBER(SEARCH(Tabla29[[#All],[PCLAVE3]],Tabla8[[#This Row],[DESCRIPCION DE TRABAJO]])),""))</f>
        <v/>
      </c>
      <c r="T875" s="34" t="str">
        <f>IF(AND(Tabla8[[#This Row],[PIEZA]]="",Tabla8[[#This Row],[PARTE]]=""),"VACIO","OK")</f>
        <v>VACIO</v>
      </c>
      <c r="U875" s="303" t="str">
        <f>+CONCATENATE(WEEKNUM(Tabla8[[#This Row],[FECHA]]),"-",YEAR(Tabla8[[#This Row],[FECHA]]))</f>
        <v>16-2026</v>
      </c>
    </row>
    <row r="876" spans="1:21" ht="15" customHeight="1">
      <c r="A876" s="22">
        <v>46125</v>
      </c>
      <c r="B876" s="16" t="s">
        <v>191</v>
      </c>
      <c r="C876" s="10" t="s">
        <v>39</v>
      </c>
      <c r="D876" s="381">
        <v>0.98819444444444449</v>
      </c>
      <c r="E876" s="381">
        <v>0.99722222222222223</v>
      </c>
      <c r="F876" s="380">
        <f>+MOD(Tabla8[[#This Row],[HR. FIN]]-Tabla8[[#This Row],[HR. INICIO]],1)</f>
        <v>9.0277777777777457E-3</v>
      </c>
      <c r="G876" s="16" t="s">
        <v>169</v>
      </c>
      <c r="H876" s="343" t="str">
        <f>IFERROR(VLOOKUP(G876,DATOS!$M$2:$N$219,2,FALSE),"")</f>
        <v>Maquinaria</v>
      </c>
      <c r="I876" s="115" t="s">
        <v>32</v>
      </c>
      <c r="J876" s="115" t="str">
        <f>+VLOOKUP($I876,Tabla7[#All],2,FALSE)</f>
        <v>PROGRAMADA</v>
      </c>
      <c r="K876" s="114" t="str">
        <f>IF(VLOOKUP(I876,Tabla7[#All],3,FALSE)=0,"",VLOOKUP(I876,Tabla7[#All],3,FALSE))</f>
        <v/>
      </c>
      <c r="L876" s="35" t="s">
        <v>1755</v>
      </c>
      <c r="M876" s="35" t="s">
        <v>121</v>
      </c>
      <c r="N876" s="35" t="str" cm="1">
        <f t="array" ref="N876">IFERROR(IF(Tabla8[[#This Row],[P/NP]]="NO PROGRAMADA","",_xlfn.TEXTJOIN(", ",TRUE,_xlfn._xlws.FILTER(Tabla4[[#All],[PIEZA]],ISNUMBER(SEARCH(Tabla4[[#All],[PCLAVE]],Tabla8[[#This Row],[DESCRIPCION DE TRABAJO]])),""))),"")</f>
        <v/>
      </c>
      <c r="O876" s="35" t="str" cm="1">
        <f t="array" ref="O876">_xlfn.TEXTJOIN(", ",TRUE,_xlfn._xlws.FILTER(Tabla28[[#All],[PARTE]],ISNUMBER(SEARCH(Tabla28[[#All],[PCLAVE2]],Tabla8[[#This Row],[DESCRIPCION DE TRABAJO]])),""))</f>
        <v/>
      </c>
      <c r="P876" s="303" t="str">
        <f>IFERROR(LEFT(O876, FIND(",", O876)-1), O876)</f>
        <v/>
      </c>
      <c r="Q876" s="303" t="str">
        <f>IFERROR(IF(ISERROR(FIND(",", O876, FIND(",", O876)+1)), RIGHT(O876, LEN(O876)-FIND(",", O876)-1), MID(O876, FIND(",", O876)+2, FIND(",", O876, FIND(",", O876)+1)-FIND(",", O876)-2)), "")</f>
        <v/>
      </c>
      <c r="R876" s="303" t="str">
        <f>IFERROR(RIGHT(O876, LEN(O876)-FIND(",", O876, FIND(",", O876)+1)-1), "")</f>
        <v/>
      </c>
      <c r="S876" s="35" t="str" cm="1">
        <f t="array" ref="S876">_xlfn.TEXTJOIN(", ",TRUE,_xlfn._xlws.FILTER(Tabla29[[#All],[PARTE]],ISNUMBER(SEARCH(Tabla29[[#All],[PCLAVE3]],Tabla8[[#This Row],[DESCRIPCION DE TRABAJO]])),""))</f>
        <v/>
      </c>
      <c r="T876" s="34" t="str">
        <f>IF(AND(Tabla8[[#This Row],[PIEZA]]="",Tabla8[[#This Row],[PARTE]]=""),"VACIO","OK")</f>
        <v>VACIO</v>
      </c>
      <c r="U876" s="303" t="str">
        <f>+CONCATENATE(WEEKNUM(Tabla8[[#This Row],[FECHA]]),"-",YEAR(Tabla8[[#This Row],[FECHA]]))</f>
        <v>16-2026</v>
      </c>
    </row>
    <row r="877" spans="1:21" ht="15" customHeight="1">
      <c r="A877" s="22">
        <v>46125</v>
      </c>
      <c r="B877" s="16" t="s">
        <v>191</v>
      </c>
      <c r="C877" s="10" t="s">
        <v>39</v>
      </c>
      <c r="D877" s="381">
        <v>0.8881944444444444</v>
      </c>
      <c r="E877" s="381">
        <v>0.8930555555555556</v>
      </c>
      <c r="F877" s="380">
        <f>+MOD(Tabla8[[#This Row],[HR. FIN]]-Tabla8[[#This Row],[HR. INICIO]],1)</f>
        <v>4.8611111111112049E-3</v>
      </c>
      <c r="G877" s="16" t="s">
        <v>748</v>
      </c>
      <c r="H877" s="343" t="str">
        <f>IFERROR(VLOOKUP(G877,DATOS!$M$2:$N$219,2,FALSE),"")</f>
        <v>Area</v>
      </c>
      <c r="I877" s="115" t="s">
        <v>25</v>
      </c>
      <c r="J877" s="115" t="str">
        <f>+VLOOKUP($I877,Tabla7[#All],2,FALSE)</f>
        <v>PROGRAMADA</v>
      </c>
      <c r="K877" s="114" t="str">
        <f>IF(VLOOKUP(I877,Tabla7[#All],3,FALSE)=0,"",VLOOKUP(I877,Tabla7[#All],3,FALSE))</f>
        <v/>
      </c>
      <c r="L877" s="35" t="s">
        <v>1756</v>
      </c>
      <c r="M877" s="35" t="s">
        <v>121</v>
      </c>
      <c r="N877" s="35" t="str" cm="1">
        <f t="array" ref="N877">IFERROR(IF(Tabla8[[#This Row],[P/NP]]="NO PROGRAMADA","",_xlfn.TEXTJOIN(", ",TRUE,_xlfn._xlws.FILTER(Tabla4[[#All],[PIEZA]],ISNUMBER(SEARCH(Tabla4[[#All],[PCLAVE]],Tabla8[[#This Row],[DESCRIPCION DE TRABAJO]])),""))),"")</f>
        <v>Llave</v>
      </c>
      <c r="O877" s="35" t="str" cm="1">
        <f t="array" ref="O877">_xlfn.TEXTJOIN(", ",TRUE,_xlfn._xlws.FILTER(Tabla28[[#All],[PARTE]],ISNUMBER(SEARCH(Tabla28[[#All],[PCLAVE2]],Tabla8[[#This Row],[DESCRIPCION DE TRABAJO]])),""))</f>
        <v/>
      </c>
      <c r="P877" s="303" t="str">
        <f>IFERROR(LEFT(O877, FIND(",", O877)-1), O877)</f>
        <v/>
      </c>
      <c r="Q877" s="303" t="str">
        <f>IFERROR(IF(ISERROR(FIND(",", O877, FIND(",", O877)+1)), RIGHT(O877, LEN(O877)-FIND(",", O877)-1), MID(O877, FIND(",", O877)+2, FIND(",", O877, FIND(",", O877)+1)-FIND(",", O877)-2)), "")</f>
        <v/>
      </c>
      <c r="R877" s="303" t="str">
        <f>IFERROR(RIGHT(O877, LEN(O877)-FIND(",", O877, FIND(",", O877)+1)-1), "")</f>
        <v/>
      </c>
      <c r="S877" s="35" t="str" cm="1">
        <f t="array" ref="S877">_xlfn.TEXTJOIN(", ",TRUE,_xlfn._xlws.FILTER(Tabla29[[#All],[PARTE]],ISNUMBER(SEARCH(Tabla29[[#All],[PCLAVE3]],Tabla8[[#This Row],[DESCRIPCION DE TRABAJO]])),""))</f>
        <v>Rotura</v>
      </c>
      <c r="T877" s="34" t="str">
        <f>IF(AND(Tabla8[[#This Row],[PIEZA]]="",Tabla8[[#This Row],[PARTE]]=""),"VACIO","OK")</f>
        <v>OK</v>
      </c>
      <c r="U877" s="303" t="str">
        <f>+CONCATENATE(WEEKNUM(Tabla8[[#This Row],[FECHA]]),"-",YEAR(Tabla8[[#This Row],[FECHA]]))</f>
        <v>16-2026</v>
      </c>
    </row>
    <row r="878" spans="1:21" ht="15" customHeight="1">
      <c r="A878" s="22">
        <v>46126</v>
      </c>
      <c r="B878" s="16" t="s">
        <v>191</v>
      </c>
      <c r="C878" s="10" t="s">
        <v>39</v>
      </c>
      <c r="D878" s="381">
        <v>0.92083333333333328</v>
      </c>
      <c r="E878" s="381">
        <v>0.97569444444444442</v>
      </c>
      <c r="F878" s="380">
        <f>+MOD(Tabla8[[#This Row],[HR. FIN]]-Tabla8[[#This Row],[HR. INICIO]],1)</f>
        <v>5.4861111111111138E-2</v>
      </c>
      <c r="G878" s="16" t="s">
        <v>24</v>
      </c>
      <c r="H878" s="343" t="str">
        <f>IFERROR(VLOOKUP(G878,DATOS!$M$2:$N$219,2,FALSE),"")</f>
        <v>Maquinaria</v>
      </c>
      <c r="I878" s="115" t="s">
        <v>57</v>
      </c>
      <c r="J878" s="115" t="str">
        <f>+VLOOKUP($I878,Tabla7[#All],2,FALSE)</f>
        <v>NO PROGRAMADA</v>
      </c>
      <c r="K878" s="114" t="str">
        <f>IF(VLOOKUP(I878,Tabla7[#All],3,FALSE)=0,"",VLOOKUP(I878,Tabla7[#All],3,FALSE))</f>
        <v>MECÁNICA</v>
      </c>
      <c r="L878" s="35" t="s">
        <v>475</v>
      </c>
      <c r="M878" s="35" t="s">
        <v>1757</v>
      </c>
      <c r="N878" s="35" t="str" cm="1">
        <f t="array" ref="N878">IFERROR(IF(Tabla8[[#This Row],[P/NP]]="NO PROGRAMADA","",_xlfn.TEXTJOIN(", ",TRUE,_xlfn._xlws.FILTER(Tabla4[[#All],[PIEZA]],ISNUMBER(SEARCH(Tabla4[[#All],[PCLAVE]],Tabla8[[#This Row],[DESCRIPCION DE TRABAJO]])),""))),"")</f>
        <v/>
      </c>
      <c r="O878" s="35" t="str" cm="1">
        <f t="array" ref="O878">_xlfn.TEXTJOIN(", ",TRUE,_xlfn._xlws.FILTER(Tabla28[[#All],[PARTE]],ISNUMBER(SEARCH(Tabla28[[#All],[PCLAVE2]],Tabla8[[#This Row],[DESCRIPCION DE TRABAJO]])),""))</f>
        <v/>
      </c>
      <c r="P878" s="303" t="str">
        <f>IFERROR(LEFT(O878, FIND(",", O878)-1), O878)</f>
        <v/>
      </c>
      <c r="Q878" s="303" t="str">
        <f>IFERROR(IF(ISERROR(FIND(",", O878, FIND(",", O878)+1)), RIGHT(O878, LEN(O878)-FIND(",", O878)-1), MID(O878, FIND(",", O878)+2, FIND(",", O878, FIND(",", O878)+1)-FIND(",", O878)-2)), "")</f>
        <v/>
      </c>
      <c r="R878" s="303" t="str">
        <f>IFERROR(RIGHT(O878, LEN(O878)-FIND(",", O878, FIND(",", O878)+1)-1), "")</f>
        <v/>
      </c>
      <c r="S878" s="35" t="str" cm="1">
        <f t="array" ref="S878">_xlfn.TEXTJOIN(", ",TRUE,_xlfn._xlws.FILTER(Tabla29[[#All],[PARTE]],ISNUMBER(SEARCH(Tabla29[[#All],[PCLAVE3]],Tabla8[[#This Row],[DESCRIPCION DE TRABAJO]])),""))</f>
        <v/>
      </c>
      <c r="T878" s="34" t="str">
        <f>IF(AND(Tabla8[[#This Row],[PIEZA]]="",Tabla8[[#This Row],[PARTE]]=""),"VACIO","OK")</f>
        <v>VACIO</v>
      </c>
      <c r="U878" s="303" t="str">
        <f>+CONCATENATE(WEEKNUM(Tabla8[[#This Row],[FECHA]]),"-",YEAR(Tabla8[[#This Row],[FECHA]]))</f>
        <v>16-2026</v>
      </c>
    </row>
    <row r="879" spans="1:21" ht="15" customHeight="1">
      <c r="A879" s="22">
        <v>46126</v>
      </c>
      <c r="B879" s="16" t="s">
        <v>88</v>
      </c>
      <c r="C879" s="10" t="s">
        <v>36</v>
      </c>
      <c r="D879" s="381">
        <v>0.25</v>
      </c>
      <c r="E879" s="381">
        <v>0.28125</v>
      </c>
      <c r="F879" s="380">
        <f>+MOD(Tabla8[[#This Row],[HR. FIN]]-Tabla8[[#This Row],[HR. INICIO]],1)</f>
        <v>3.125E-2</v>
      </c>
      <c r="G879" s="16" t="s">
        <v>270</v>
      </c>
      <c r="H879" s="343" t="str">
        <f>IFERROR(VLOOKUP(G879,DATOS!$M$2:$N$219,2,FALSE),"")</f>
        <v>Maquinaria</v>
      </c>
      <c r="I879" s="115" t="s">
        <v>57</v>
      </c>
      <c r="J879" s="115" t="str">
        <f>+VLOOKUP($I879,Tabla7[#All],2,FALSE)</f>
        <v>NO PROGRAMADA</v>
      </c>
      <c r="K879" s="114" t="str">
        <f>IF(VLOOKUP(I879,Tabla7[#All],3,FALSE)=0,"",VLOOKUP(I879,Tabla7[#All],3,FALSE))</f>
        <v>MECÁNICA</v>
      </c>
      <c r="L879" s="35" t="s">
        <v>1758</v>
      </c>
      <c r="M879" s="35" t="s">
        <v>1759</v>
      </c>
      <c r="N879" s="35" t="str" cm="1">
        <f t="array" ref="N879">IFERROR(IF(Tabla8[[#This Row],[P/NP]]="NO PROGRAMADA","",_xlfn.TEXTJOIN(", ",TRUE,_xlfn._xlws.FILTER(Tabla4[[#All],[PIEZA]],ISNUMBER(SEARCH(Tabla4[[#All],[PCLAVE]],Tabla8[[#This Row],[DESCRIPCION DE TRABAJO]])),""))),"")</f>
        <v/>
      </c>
      <c r="O879" s="35" t="str" cm="1">
        <f t="array" ref="O879">_xlfn.TEXTJOIN(", ",TRUE,_xlfn._xlws.FILTER(Tabla28[[#All],[PARTE]],ISNUMBER(SEARCH(Tabla28[[#All],[PCLAVE2]],Tabla8[[#This Row],[DESCRIPCION DE TRABAJO]])),""))</f>
        <v>Intercambiador De Moldes</v>
      </c>
      <c r="P879" s="303" t="str">
        <f>IFERROR(LEFT(O879, FIND(",", O879)-1), O879)</f>
        <v>Intercambiador De Moldes</v>
      </c>
      <c r="Q879" s="303" t="str">
        <f>IFERROR(IF(ISERROR(FIND(",", O879, FIND(",", O879)+1)), RIGHT(O879, LEN(O879)-FIND(",", O879)-1), MID(O879, FIND(",", O879)+2, FIND(",", O879, FIND(",", O879)+1)-FIND(",", O879)-2)), "")</f>
        <v/>
      </c>
      <c r="R879" s="303" t="str">
        <f>IFERROR(RIGHT(O879, LEN(O879)-FIND(",", O879, FIND(",", O879)+1)-1), "")</f>
        <v/>
      </c>
      <c r="S879" s="35" t="str" cm="1">
        <f t="array" ref="S879">_xlfn.TEXTJOIN(", ",TRUE,_xlfn._xlws.FILTER(Tabla29[[#All],[PARTE]],ISNUMBER(SEARCH(Tabla29[[#All],[PCLAVE3]],Tabla8[[#This Row],[DESCRIPCION DE TRABAJO]])),""))</f>
        <v>Golpea</v>
      </c>
      <c r="T879" s="34" t="str">
        <f>IF(AND(Tabla8[[#This Row],[PIEZA]]="",Tabla8[[#This Row],[PARTE]]=""),"VACIO","OK")</f>
        <v>OK</v>
      </c>
      <c r="U879" s="303" t="str">
        <f>+CONCATENATE(WEEKNUM(Tabla8[[#This Row],[FECHA]]),"-",YEAR(Tabla8[[#This Row],[FECHA]]))</f>
        <v>16-2026</v>
      </c>
    </row>
    <row r="880" spans="1:21" ht="15" customHeight="1">
      <c r="A880" s="22">
        <v>46126</v>
      </c>
      <c r="B880" s="16" t="s">
        <v>179</v>
      </c>
      <c r="C880" s="10" t="s">
        <v>36</v>
      </c>
      <c r="D880" s="381">
        <v>0.5</v>
      </c>
      <c r="E880" s="381">
        <v>0.53125</v>
      </c>
      <c r="F880" s="380">
        <f>+MOD(Tabla8[[#This Row],[HR. FIN]]-Tabla8[[#This Row],[HR. INICIO]],1)</f>
        <v>3.125E-2</v>
      </c>
      <c r="G880" s="16" t="s">
        <v>140</v>
      </c>
      <c r="H880" s="343" t="str">
        <f>IFERROR(VLOOKUP(G880,DATOS!$M$2:$N$219,2,FALSE),"")</f>
        <v>Maquinaria</v>
      </c>
      <c r="I880" s="115" t="s">
        <v>57</v>
      </c>
      <c r="J880" s="115" t="s">
        <v>157</v>
      </c>
      <c r="K880" s="114"/>
      <c r="L880" s="35" t="s">
        <v>1760</v>
      </c>
      <c r="M880" s="35" t="s">
        <v>121</v>
      </c>
      <c r="N880" s="35" t="str" cm="1">
        <f t="array" ref="N880">IFERROR(IF(Tabla8[[#This Row],[P/NP]]="NO PROGRAMADA","",_xlfn.TEXTJOIN(", ",TRUE,_xlfn._xlws.FILTER(Tabla4[[#All],[PIEZA]],ISNUMBER(SEARCH(Tabla4[[#All],[PCLAVE]],Tabla8[[#This Row],[DESCRIPCION DE TRABAJO]])),""))),"")</f>
        <v/>
      </c>
      <c r="O880" s="35" t="str" cm="1">
        <f t="array" ref="O880">_xlfn.TEXTJOIN(", ",TRUE,_xlfn._xlws.FILTER(Tabla28[[#All],[PARTE]],ISNUMBER(SEARCH(Tabla28[[#All],[PCLAVE2]],Tabla8[[#This Row],[DESCRIPCION DE TRABAJO]])),""))</f>
        <v/>
      </c>
      <c r="P880" s="303" t="str">
        <f>IFERROR(LEFT(O880, FIND(",", O880)-1), O880)</f>
        <v/>
      </c>
      <c r="Q880" s="303" t="str">
        <f>IFERROR(IF(ISERROR(FIND(",", O880, FIND(",", O880)+1)), RIGHT(O880, LEN(O880)-FIND(",", O880)-1), MID(O880, FIND(",", O880)+2, FIND(",", O880, FIND(",", O880)+1)-FIND(",", O880)-2)), "")</f>
        <v/>
      </c>
      <c r="R880" s="303" t="str">
        <f>IFERROR(RIGHT(O880, LEN(O880)-FIND(",", O880, FIND(",", O880)+1)-1), "")</f>
        <v/>
      </c>
      <c r="S880" s="35" t="str" cm="1">
        <f t="array" ref="S880">_xlfn.TEXTJOIN(", ",TRUE,_xlfn._xlws.FILTER(Tabla29[[#All],[PARTE]],ISNUMBER(SEARCH(Tabla29[[#All],[PCLAVE3]],Tabla8[[#This Row],[DESCRIPCION DE TRABAJO]])),""))</f>
        <v>Calibracion</v>
      </c>
      <c r="T880" s="34" t="str">
        <f>IF(AND(Tabla8[[#This Row],[PIEZA]]="",Tabla8[[#This Row],[PARTE]]=""),"VACIO","OK")</f>
        <v>VACIO</v>
      </c>
      <c r="U880" s="303" t="str">
        <f>+CONCATENATE(WEEKNUM(Tabla8[[#This Row],[FECHA]]),"-",YEAR(Tabla8[[#This Row],[FECHA]]))</f>
        <v>16-2026</v>
      </c>
    </row>
    <row r="881" spans="1:21" ht="15" customHeight="1">
      <c r="A881" s="22">
        <v>46126</v>
      </c>
      <c r="B881" s="16" t="s">
        <v>88</v>
      </c>
      <c r="C881" s="10" t="s">
        <v>36</v>
      </c>
      <c r="D881" s="381">
        <v>0.33333333333333331</v>
      </c>
      <c r="E881" s="381">
        <v>0.35416666666666669</v>
      </c>
      <c r="F881" s="380">
        <f>+MOD(Tabla8[[#This Row],[HR. FIN]]-Tabla8[[#This Row],[HR. INICIO]],1)</f>
        <v>2.083333333333337E-2</v>
      </c>
      <c r="G881" s="16" t="s">
        <v>24</v>
      </c>
      <c r="H881" s="343" t="str">
        <f>IFERROR(VLOOKUP(G881,DATOS!$M$2:$N$219,2,FALSE),"")</f>
        <v>Maquinaria</v>
      </c>
      <c r="I881" s="115" t="s">
        <v>32</v>
      </c>
      <c r="J881" s="115" t="str">
        <f>+VLOOKUP($I881,Tabla7[#All],2,FALSE)</f>
        <v>PROGRAMADA</v>
      </c>
      <c r="K881" s="114" t="str">
        <f>IF(VLOOKUP(I881,Tabla7[#All],3,FALSE)=0,"",VLOOKUP(I881,Tabla7[#All],3,FALSE))</f>
        <v/>
      </c>
      <c r="L881" s="35" t="s">
        <v>1593</v>
      </c>
      <c r="M881" s="35" t="s">
        <v>1761</v>
      </c>
      <c r="N881" s="35" t="str" cm="1">
        <f t="array" ref="N881">IFERROR(IF(Tabla8[[#This Row],[P/NP]]="NO PROGRAMADA","",_xlfn.TEXTJOIN(", ",TRUE,_xlfn._xlws.FILTER(Tabla4[[#All],[PIEZA]],ISNUMBER(SEARCH(Tabla4[[#All],[PCLAVE]],Tabla8[[#This Row],[DESCRIPCION DE TRABAJO]])),""))),"")</f>
        <v/>
      </c>
      <c r="O881" s="35" t="str" cm="1">
        <f t="array" ref="O881">_xlfn.TEXTJOIN(", ",TRUE,_xlfn._xlws.FILTER(Tabla28[[#All],[PARTE]],ISNUMBER(SEARCH(Tabla28[[#All],[PCLAVE2]],Tabla8[[#This Row],[DESCRIPCION DE TRABAJO]])),""))</f>
        <v/>
      </c>
      <c r="P881" s="303" t="str">
        <f>IFERROR(LEFT(O881, FIND(",", O881)-1), O881)</f>
        <v/>
      </c>
      <c r="Q881" s="303" t="str">
        <f>IFERROR(IF(ISERROR(FIND(",", O881, FIND(",", O881)+1)), RIGHT(O881, LEN(O881)-FIND(",", O881)-1), MID(O881, FIND(",", O881)+2, FIND(",", O881, FIND(",", O881)+1)-FIND(",", O881)-2)), "")</f>
        <v/>
      </c>
      <c r="R881" s="303" t="str">
        <f>IFERROR(RIGHT(O881, LEN(O881)-FIND(",", O881, FIND(",", O881)+1)-1), "")</f>
        <v/>
      </c>
      <c r="S881" s="35" t="str" cm="1">
        <f t="array" ref="S881">_xlfn.TEXTJOIN(", ",TRUE,_xlfn._xlws.FILTER(Tabla29[[#All],[PARTE]],ISNUMBER(SEARCH(Tabla29[[#All],[PCLAVE3]],Tabla8[[#This Row],[DESCRIPCION DE TRABAJO]])),""))</f>
        <v/>
      </c>
      <c r="T881" s="34" t="str">
        <f>IF(AND(Tabla8[[#This Row],[PIEZA]]="",Tabla8[[#This Row],[PARTE]]=""),"VACIO","OK")</f>
        <v>VACIO</v>
      </c>
      <c r="U881" s="303" t="str">
        <f>+CONCATENATE(WEEKNUM(Tabla8[[#This Row],[FECHA]]),"-",YEAR(Tabla8[[#This Row],[FECHA]]))</f>
        <v>16-2026</v>
      </c>
    </row>
    <row r="882" spans="1:21" ht="15" customHeight="1">
      <c r="A882" s="22">
        <v>46126</v>
      </c>
      <c r="B882" s="16" t="s">
        <v>88</v>
      </c>
      <c r="C882" s="10" t="s">
        <v>36</v>
      </c>
      <c r="D882" s="381">
        <v>0.41666666666666669</v>
      </c>
      <c r="E882" s="381">
        <v>0.4375</v>
      </c>
      <c r="F882" s="380">
        <f>+MOD(Tabla8[[#This Row],[HR. FIN]]-Tabla8[[#This Row],[HR. INICIO]],1)</f>
        <v>2.0833333333333315E-2</v>
      </c>
      <c r="G882" s="16" t="s">
        <v>328</v>
      </c>
      <c r="H882" s="343" t="str">
        <f>IFERROR(VLOOKUP(G882,DATOS!$M$2:$N$219,2,FALSE),"")</f>
        <v>Area</v>
      </c>
      <c r="I882" s="115" t="s">
        <v>25</v>
      </c>
      <c r="J882" s="115" t="str">
        <f>+VLOOKUP($I882,Tabla7[#All],2,FALSE)</f>
        <v>PROGRAMADA</v>
      </c>
      <c r="K882" s="114" t="str">
        <f>IF(VLOOKUP(I882,Tabla7[#All],3,FALSE)=0,"",VLOOKUP(I882,Tabla7[#All],3,FALSE))</f>
        <v/>
      </c>
      <c r="L882" s="35" t="s">
        <v>1762</v>
      </c>
      <c r="M882" s="35" t="s">
        <v>1763</v>
      </c>
      <c r="N882" s="35" t="str" cm="1">
        <f t="array" ref="N882">IFERROR(IF(Tabla8[[#This Row],[P/NP]]="NO PROGRAMADA","",_xlfn.TEXTJOIN(", ",TRUE,_xlfn._xlws.FILTER(Tabla4[[#All],[PIEZA]],ISNUMBER(SEARCH(Tabla4[[#All],[PCLAVE]],Tabla8[[#This Row],[DESCRIPCION DE TRABAJO]])),""))),"")</f>
        <v/>
      </c>
      <c r="O882" s="35" t="str" cm="1">
        <f t="array" ref="O882">_xlfn.TEXTJOIN(", ",TRUE,_xlfn._xlws.FILTER(Tabla28[[#All],[PARTE]],ISNUMBER(SEARCH(Tabla28[[#All],[PCLAVE2]],Tabla8[[#This Row],[DESCRIPCION DE TRABAJO]])),""))</f>
        <v/>
      </c>
      <c r="P882" s="303" t="str">
        <f>IFERROR(LEFT(O882, FIND(",", O882)-1), O882)</f>
        <v/>
      </c>
      <c r="Q882" s="303" t="str">
        <f>IFERROR(IF(ISERROR(FIND(",", O882, FIND(",", O882)+1)), RIGHT(O882, LEN(O882)-FIND(",", O882)-1), MID(O882, FIND(",", O882)+2, FIND(",", O882, FIND(",", O882)+1)-FIND(",", O882)-2)), "")</f>
        <v/>
      </c>
      <c r="R882" s="303" t="str">
        <f>IFERROR(RIGHT(O882, LEN(O882)-FIND(",", O882, FIND(",", O882)+1)-1), "")</f>
        <v/>
      </c>
      <c r="S882" s="35" t="str" cm="1">
        <f t="array" ref="S882">_xlfn.TEXTJOIN(", ",TRUE,_xlfn._xlws.FILTER(Tabla29[[#All],[PARTE]],ISNUMBER(SEARCH(Tabla29[[#All],[PCLAVE3]],Tabla8[[#This Row],[DESCRIPCION DE TRABAJO]])),""))</f>
        <v/>
      </c>
      <c r="T882" s="34" t="str">
        <f>IF(AND(Tabla8[[#This Row],[PIEZA]]="",Tabla8[[#This Row],[PARTE]]=""),"VACIO","OK")</f>
        <v>VACIO</v>
      </c>
      <c r="U882" s="303" t="str">
        <f>+CONCATENATE(WEEKNUM(Tabla8[[#This Row],[FECHA]]),"-",YEAR(Tabla8[[#This Row],[FECHA]]))</f>
        <v>16-2026</v>
      </c>
    </row>
    <row r="883" spans="1:21" ht="15" customHeight="1">
      <c r="A883" s="22">
        <v>46126</v>
      </c>
      <c r="B883" s="16" t="s">
        <v>179</v>
      </c>
      <c r="C883" s="10" t="s">
        <v>36</v>
      </c>
      <c r="D883" s="381">
        <v>0.35416666666666669</v>
      </c>
      <c r="E883" s="381">
        <v>0.375</v>
      </c>
      <c r="F883" s="380">
        <f>+MOD(Tabla8[[#This Row],[HR. FIN]]-Tabla8[[#This Row],[HR. INICIO]],1)</f>
        <v>2.0833333333333315E-2</v>
      </c>
      <c r="G883" s="16" t="s">
        <v>1764</v>
      </c>
      <c r="H883" s="343" t="str">
        <f>IFERROR(VLOOKUP(G883,DATOS!$M$2:$N$219,2,FALSE),"")</f>
        <v>Maquinaria</v>
      </c>
      <c r="I883" s="115" t="s">
        <v>32</v>
      </c>
      <c r="J883" s="115" t="str">
        <f>+VLOOKUP($I883,Tabla7[#All],2,FALSE)</f>
        <v>PROGRAMADA</v>
      </c>
      <c r="K883" s="114" t="str">
        <f>IF(VLOOKUP(I883,Tabla7[#All],3,FALSE)=0,"",VLOOKUP(I883,Tabla7[#All],3,FALSE))</f>
        <v/>
      </c>
      <c r="L883" s="35" t="s">
        <v>1765</v>
      </c>
      <c r="M883" s="35" t="s">
        <v>121</v>
      </c>
      <c r="N883" s="35" t="str" cm="1">
        <f t="array" ref="N883">IFERROR(IF(Tabla8[[#This Row],[P/NP]]="NO PROGRAMADA","",_xlfn.TEXTJOIN(", ",TRUE,_xlfn._xlws.FILTER(Tabla4[[#All],[PIEZA]],ISNUMBER(SEARCH(Tabla4[[#All],[PCLAVE]],Tabla8[[#This Row],[DESCRIPCION DE TRABAJO]])),""))),"")</f>
        <v>Producto</v>
      </c>
      <c r="O883" s="35" t="str" cm="1">
        <f t="array" ref="O883">_xlfn.TEXTJOIN(", ",TRUE,_xlfn._xlws.FILTER(Tabla28[[#All],[PARTE]],ISNUMBER(SEARCH(Tabla28[[#All],[PCLAVE2]],Tabla8[[#This Row],[DESCRIPCION DE TRABAJO]])),""))</f>
        <v/>
      </c>
      <c r="P883" s="303" t="str">
        <f>IFERROR(LEFT(O883, FIND(",", O883)-1), O883)</f>
        <v/>
      </c>
      <c r="Q883" s="303" t="str">
        <f>IFERROR(IF(ISERROR(FIND(",", O883, FIND(",", O883)+1)), RIGHT(O883, LEN(O883)-FIND(",", O883)-1), MID(O883, FIND(",", O883)+2, FIND(",", O883, FIND(",", O883)+1)-FIND(",", O883)-2)), "")</f>
        <v/>
      </c>
      <c r="R883" s="303" t="str">
        <f>IFERROR(RIGHT(O883, LEN(O883)-FIND(",", O883, FIND(",", O883)+1)-1), "")</f>
        <v/>
      </c>
      <c r="S883" s="35" t="str" cm="1">
        <f t="array" ref="S883">_xlfn.TEXTJOIN(", ",TRUE,_xlfn._xlws.FILTER(Tabla29[[#All],[PARTE]],ISNUMBER(SEARCH(Tabla29[[#All],[PCLAVE3]],Tabla8[[#This Row],[DESCRIPCION DE TRABAJO]])),""))</f>
        <v/>
      </c>
      <c r="T883" s="34" t="str">
        <f>IF(AND(Tabla8[[#This Row],[PIEZA]]="",Tabla8[[#This Row],[PARTE]]=""),"VACIO","OK")</f>
        <v>OK</v>
      </c>
      <c r="U883" s="303" t="str">
        <f>+CONCATENATE(WEEKNUM(Tabla8[[#This Row],[FECHA]]),"-",YEAR(Tabla8[[#This Row],[FECHA]]))</f>
        <v>16-2026</v>
      </c>
    </row>
    <row r="884" spans="1:21" ht="15" customHeight="1">
      <c r="A884" s="22">
        <v>46126</v>
      </c>
      <c r="B884" s="16" t="s">
        <v>191</v>
      </c>
      <c r="C884" s="10" t="s">
        <v>39</v>
      </c>
      <c r="D884" s="381">
        <v>3.3333333333333333E-2</v>
      </c>
      <c r="E884" s="381">
        <v>5.347222222222222E-2</v>
      </c>
      <c r="F884" s="380">
        <f>+MOD(Tabla8[[#This Row],[HR. FIN]]-Tabla8[[#This Row],[HR. INICIO]],1)</f>
        <v>2.0138888888888887E-2</v>
      </c>
      <c r="G884" s="16" t="s">
        <v>24</v>
      </c>
      <c r="H884" s="343" t="str">
        <f>IFERROR(VLOOKUP(G884,DATOS!$M$2:$N$219,2,FALSE),"")</f>
        <v>Maquinaria</v>
      </c>
      <c r="I884" s="115" t="s">
        <v>28</v>
      </c>
      <c r="J884" s="115" t="str">
        <f>+VLOOKUP($I884,Tabla7[#All],2,FALSE)</f>
        <v>NO PROGRAMADA</v>
      </c>
      <c r="K884" s="114" t="s">
        <v>93</v>
      </c>
      <c r="L884" s="35" t="s">
        <v>1766</v>
      </c>
      <c r="M884" s="35" t="s">
        <v>1767</v>
      </c>
      <c r="N884" s="35" t="str" cm="1">
        <f t="array" ref="N884">IFERROR(IF(Tabla8[[#This Row],[P/NP]]="NO PROGRAMADA","",_xlfn.TEXTJOIN(", ",TRUE,_xlfn._xlws.FILTER(Tabla4[[#All],[PIEZA]],ISNUMBER(SEARCH(Tabla4[[#All],[PCLAVE]],Tabla8[[#This Row],[DESCRIPCION DE TRABAJO]])),""))),"")</f>
        <v/>
      </c>
      <c r="O884" s="35" t="str" cm="1">
        <f t="array" ref="O884">_xlfn.TEXTJOIN(", ",TRUE,_xlfn._xlws.FILTER(Tabla28[[#All],[PARTE]],ISNUMBER(SEARCH(Tabla28[[#All],[PCLAVE2]],Tabla8[[#This Row],[DESCRIPCION DE TRABAJO]])),""))</f>
        <v/>
      </c>
      <c r="P884" s="303" t="str">
        <f>IFERROR(LEFT(O884, FIND(",", O884)-1), O884)</f>
        <v/>
      </c>
      <c r="Q884" s="303" t="str">
        <f>IFERROR(IF(ISERROR(FIND(",", O884, FIND(",", O884)+1)), RIGHT(O884, LEN(O884)-FIND(",", O884)-1), MID(O884, FIND(",", O884)+2, FIND(",", O884, FIND(",", O884)+1)-FIND(",", O884)-2)), "")</f>
        <v/>
      </c>
      <c r="R884" s="303" t="str">
        <f>IFERROR(RIGHT(O884, LEN(O884)-FIND(",", O884, FIND(",", O884)+1)-1), "")</f>
        <v/>
      </c>
      <c r="S884" s="35" t="str" cm="1">
        <f t="array" ref="S884">_xlfn.TEXTJOIN(", ",TRUE,_xlfn._xlws.FILTER(Tabla29[[#All],[PARTE]],ISNUMBER(SEARCH(Tabla29[[#All],[PCLAVE3]],Tabla8[[#This Row],[DESCRIPCION DE TRABAJO]])),""))</f>
        <v>Rotura</v>
      </c>
      <c r="T884" s="34" t="str">
        <f>IF(AND(Tabla8[[#This Row],[PIEZA]]="",Tabla8[[#This Row],[PARTE]]=""),"VACIO","OK")</f>
        <v>VACIO</v>
      </c>
      <c r="U884" s="303" t="str">
        <f>+CONCATENATE(WEEKNUM(Tabla8[[#This Row],[FECHA]]),"-",YEAR(Tabla8[[#This Row],[FECHA]]))</f>
        <v>16-2026</v>
      </c>
    </row>
    <row r="885" spans="1:21" ht="15" customHeight="1">
      <c r="A885" s="22">
        <v>46126</v>
      </c>
      <c r="B885" s="16" t="s">
        <v>191</v>
      </c>
      <c r="C885" s="10" t="s">
        <v>39</v>
      </c>
      <c r="D885" s="381">
        <v>0.1</v>
      </c>
      <c r="E885" s="381">
        <v>0.11874999999999999</v>
      </c>
      <c r="F885" s="380">
        <f>+MOD(Tabla8[[#This Row],[HR. FIN]]-Tabla8[[#This Row],[HR. INICIO]],1)</f>
        <v>1.8749999999999989E-2</v>
      </c>
      <c r="G885" s="16" t="s">
        <v>1575</v>
      </c>
      <c r="H885" s="343" t="str">
        <f>IFERROR(VLOOKUP(G885,DATOS!$M$2:$N$219,2,FALSE),"")</f>
        <v>Sistema</v>
      </c>
      <c r="I885" s="115" t="s">
        <v>57</v>
      </c>
      <c r="J885" s="115" t="str">
        <f>+VLOOKUP($I885,Tabla7[#All],2,FALSE)</f>
        <v>NO PROGRAMADA</v>
      </c>
      <c r="K885" s="114" t="str">
        <f>IF(VLOOKUP(I885,Tabla7[#All],3,FALSE)=0,"",VLOOKUP(I885,Tabla7[#All],3,FALSE))</f>
        <v>MECÁNICA</v>
      </c>
      <c r="L885" s="35" t="s">
        <v>1768</v>
      </c>
      <c r="M885" s="35" t="s">
        <v>1769</v>
      </c>
      <c r="N885" s="35" t="str" cm="1">
        <f t="array" ref="N885">IFERROR(IF(Tabla8[[#This Row],[P/NP]]="NO PROGRAMADA","",_xlfn.TEXTJOIN(", ",TRUE,_xlfn._xlws.FILTER(Tabla4[[#All],[PIEZA]],ISNUMBER(SEARCH(Tabla4[[#All],[PCLAVE]],Tabla8[[#This Row],[DESCRIPCION DE TRABAJO]])),""))),"")</f>
        <v/>
      </c>
      <c r="O885" s="35" t="str" cm="1">
        <f t="array" ref="O885">_xlfn.TEXTJOIN(", ",TRUE,_xlfn._xlws.FILTER(Tabla28[[#All],[PARTE]],ISNUMBER(SEARCH(Tabla28[[#All],[PCLAVE2]],Tabla8[[#This Row],[DESCRIPCION DE TRABAJO]])),""))</f>
        <v/>
      </c>
      <c r="P885" s="303" t="str">
        <f>IFERROR(LEFT(O885, FIND(",", O885)-1), O885)</f>
        <v/>
      </c>
      <c r="Q885" s="303" t="str">
        <f>IFERROR(IF(ISERROR(FIND(",", O885, FIND(",", O885)+1)), RIGHT(O885, LEN(O885)-FIND(",", O885)-1), MID(O885, FIND(",", O885)+2, FIND(",", O885, FIND(",", O885)+1)-FIND(",", O885)-2)), "")</f>
        <v/>
      </c>
      <c r="R885" s="303" t="str">
        <f>IFERROR(RIGHT(O885, LEN(O885)-FIND(",", O885, FIND(",", O885)+1)-1), "")</f>
        <v/>
      </c>
      <c r="S885" s="35" t="str" cm="1">
        <f t="array" ref="S885">_xlfn.TEXTJOIN(", ",TRUE,_xlfn._xlws.FILTER(Tabla29[[#All],[PARTE]],ISNUMBER(SEARCH(Tabla29[[#All],[PCLAVE3]],Tabla8[[#This Row],[DESCRIPCION DE TRABAJO]])),""))</f>
        <v>Falla De Presion</v>
      </c>
      <c r="T885" s="34" t="str">
        <f>IF(AND(Tabla8[[#This Row],[PIEZA]]="",Tabla8[[#This Row],[PARTE]]=""),"VACIO","OK")</f>
        <v>VACIO</v>
      </c>
      <c r="U885" s="303" t="str">
        <f>+CONCATENATE(WEEKNUM(Tabla8[[#This Row],[FECHA]]),"-",YEAR(Tabla8[[#This Row],[FECHA]]))</f>
        <v>16-2026</v>
      </c>
    </row>
    <row r="886" spans="1:21" ht="15" customHeight="1">
      <c r="A886" s="22">
        <v>46126</v>
      </c>
      <c r="B886" s="16" t="s">
        <v>88</v>
      </c>
      <c r="C886" s="10" t="s">
        <v>36</v>
      </c>
      <c r="D886" s="381">
        <v>0.29166666666666669</v>
      </c>
      <c r="E886" s="381">
        <v>0.30902777777777779</v>
      </c>
      <c r="F886" s="380">
        <f>+MOD(Tabla8[[#This Row],[HR. FIN]]-Tabla8[[#This Row],[HR. INICIO]],1)</f>
        <v>1.7361111111111105E-2</v>
      </c>
      <c r="G886" s="16" t="s">
        <v>119</v>
      </c>
      <c r="H886" s="343" t="str">
        <f>IFERROR(VLOOKUP(G886,DATOS!$M$2:$N$219,2,FALSE),"")</f>
        <v>Maquinaria</v>
      </c>
      <c r="I886" s="115" t="s">
        <v>32</v>
      </c>
      <c r="J886" s="115" t="str">
        <f>+VLOOKUP($I886,Tabla7[#All],2,FALSE)</f>
        <v>PROGRAMADA</v>
      </c>
      <c r="K886" s="114" t="str">
        <f>IF(VLOOKUP(I886,Tabla7[#All],3,FALSE)=0,"",VLOOKUP(I886,Tabla7[#All],3,FALSE))</f>
        <v/>
      </c>
      <c r="L886" s="35" t="s">
        <v>1770</v>
      </c>
      <c r="M886" s="35" t="s">
        <v>1771</v>
      </c>
      <c r="N886" s="35" t="str" cm="1">
        <f t="array" ref="N886">IFERROR(IF(Tabla8[[#This Row],[P/NP]]="NO PROGRAMADA","",_xlfn.TEXTJOIN(", ",TRUE,_xlfn._xlws.FILTER(Tabla4[[#All],[PIEZA]],ISNUMBER(SEARCH(Tabla4[[#All],[PCLAVE]],Tabla8[[#This Row],[DESCRIPCION DE TRABAJO]])),""))),"")</f>
        <v/>
      </c>
      <c r="O886" s="35" t="str" cm="1">
        <f t="array" ref="O886">_xlfn.TEXTJOIN(", ",TRUE,_xlfn._xlws.FILTER(Tabla28[[#All],[PARTE]],ISNUMBER(SEARCH(Tabla28[[#All],[PCLAVE2]],Tabla8[[#This Row],[DESCRIPCION DE TRABAJO]])),""))</f>
        <v>Mds</v>
      </c>
      <c r="P886" s="303" t="str">
        <f>IFERROR(LEFT(O886, FIND(",", O886)-1), O886)</f>
        <v>Mds</v>
      </c>
      <c r="Q886" s="303" t="str">
        <f>IFERROR(IF(ISERROR(FIND(",", O886, FIND(",", O886)+1)), RIGHT(O886, LEN(O886)-FIND(",", O886)-1), MID(O886, FIND(",", O886)+2, FIND(",", O886, FIND(",", O886)+1)-FIND(",", O886)-2)), "")</f>
        <v/>
      </c>
      <c r="R886" s="303" t="str">
        <f>IFERROR(RIGHT(O886, LEN(O886)-FIND(",", O886, FIND(",", O886)+1)-1), "")</f>
        <v/>
      </c>
      <c r="S886" s="35" t="str" cm="1">
        <f t="array" ref="S886">_xlfn.TEXTJOIN(", ",TRUE,_xlfn._xlws.FILTER(Tabla29[[#All],[PARTE]],ISNUMBER(SEARCH(Tabla29[[#All],[PCLAVE3]],Tabla8[[#This Row],[DESCRIPCION DE TRABAJO]])),""))</f>
        <v>Cambio De Formato</v>
      </c>
      <c r="T886" s="34" t="str">
        <f>IF(AND(Tabla8[[#This Row],[PIEZA]]="",Tabla8[[#This Row],[PARTE]]=""),"VACIO","OK")</f>
        <v>OK</v>
      </c>
      <c r="U886" s="303" t="str">
        <f>+CONCATENATE(WEEKNUM(Tabla8[[#This Row],[FECHA]]),"-",YEAR(Tabla8[[#This Row],[FECHA]]))</f>
        <v>16-2026</v>
      </c>
    </row>
    <row r="887" spans="1:21" ht="15" customHeight="1">
      <c r="A887" s="22">
        <v>46126</v>
      </c>
      <c r="B887" s="16" t="s">
        <v>191</v>
      </c>
      <c r="C887" s="10" t="s">
        <v>39</v>
      </c>
      <c r="D887" s="381">
        <v>5.6944444444444443E-2</v>
      </c>
      <c r="E887" s="381">
        <v>7.2222222222222215E-2</v>
      </c>
      <c r="F887" s="380">
        <f>+MOD(Tabla8[[#This Row],[HR. FIN]]-Tabla8[[#This Row],[HR. INICIO]],1)</f>
        <v>1.5277777777777772E-2</v>
      </c>
      <c r="G887" s="16" t="s">
        <v>114</v>
      </c>
      <c r="H887" s="343" t="str">
        <f>IFERROR(VLOOKUP(G887,DATOS!$M$2:$N$219,2,FALSE),"")</f>
        <v>Maquinaria</v>
      </c>
      <c r="I887" s="115" t="s">
        <v>57</v>
      </c>
      <c r="J887" s="115" t="s">
        <v>157</v>
      </c>
      <c r="K887" s="114"/>
      <c r="L887" s="35" t="s">
        <v>1772</v>
      </c>
      <c r="M887" s="35" t="s">
        <v>1773</v>
      </c>
      <c r="N887" s="35" t="str" cm="1">
        <f t="array" ref="N887">IFERROR(IF(Tabla8[[#This Row],[P/NP]]="NO PROGRAMADA","",_xlfn.TEXTJOIN(", ",TRUE,_xlfn._xlws.FILTER(Tabla4[[#All],[PIEZA]],ISNUMBER(SEARCH(Tabla4[[#All],[PCLAVE]],Tabla8[[#This Row],[DESCRIPCION DE TRABAJO]])),""))),"")</f>
        <v>Aspirador, Perno, Tapa</v>
      </c>
      <c r="O887" s="35" t="str" cm="1">
        <f t="array" ref="O887">_xlfn.TEXTJOIN(", ",TRUE,_xlfn._xlws.FILTER(Tabla28[[#All],[PARTE]],ISNUMBER(SEARCH(Tabla28[[#All],[PCLAVE2]],Tabla8[[#This Row],[DESCRIPCION DE TRABAJO]])),""))</f>
        <v/>
      </c>
      <c r="P887" s="303" t="str">
        <f>IFERROR(LEFT(O887, FIND(",", O887)-1), O887)</f>
        <v/>
      </c>
      <c r="Q887" s="303" t="str">
        <f>IFERROR(IF(ISERROR(FIND(",", O887, FIND(",", O887)+1)), RIGHT(O887, LEN(O887)-FIND(",", O887)-1), MID(O887, FIND(",", O887)+2, FIND(",", O887, FIND(",", O887)+1)-FIND(",", O887)-2)), "")</f>
        <v/>
      </c>
      <c r="R887" s="303" t="str">
        <f>IFERROR(RIGHT(O887, LEN(O887)-FIND(",", O887, FIND(",", O887)+1)-1), "")</f>
        <v/>
      </c>
      <c r="S887" s="35" t="str" cm="1">
        <f t="array" ref="S887">_xlfn.TEXTJOIN(", ",TRUE,_xlfn._xlws.FILTER(Tabla29[[#All],[PARTE]],ISNUMBER(SEARCH(Tabla29[[#All],[PCLAVE3]],Tabla8[[#This Row],[DESCRIPCION DE TRABAJO]])),""))</f>
        <v/>
      </c>
      <c r="T887" s="34" t="str">
        <f>IF(AND(Tabla8[[#This Row],[PIEZA]]="",Tabla8[[#This Row],[PARTE]]=""),"VACIO","OK")</f>
        <v>OK</v>
      </c>
      <c r="U887" s="303" t="str">
        <f>+CONCATENATE(WEEKNUM(Tabla8[[#This Row],[FECHA]]),"-",YEAR(Tabla8[[#This Row],[FECHA]]))</f>
        <v>16-2026</v>
      </c>
    </row>
    <row r="888" spans="1:21" ht="15" customHeight="1">
      <c r="A888" s="22">
        <v>46126</v>
      </c>
      <c r="B888" s="16" t="s">
        <v>179</v>
      </c>
      <c r="C888" s="10" t="s">
        <v>36</v>
      </c>
      <c r="D888" s="381">
        <v>0.28819444444444442</v>
      </c>
      <c r="E888" s="381">
        <v>0.30208333333333331</v>
      </c>
      <c r="F888" s="380">
        <f>+MOD(Tabla8[[#This Row],[HR. FIN]]-Tabla8[[#This Row],[HR. INICIO]],1)</f>
        <v>1.3888888888888895E-2</v>
      </c>
      <c r="G888" s="16" t="s">
        <v>153</v>
      </c>
      <c r="H888" s="343" t="str">
        <f>IFERROR(VLOOKUP(G888,DATOS!$M$2:$N$219,2,FALSE),"")</f>
        <v>Maquinaria</v>
      </c>
      <c r="I888" s="115" t="s">
        <v>57</v>
      </c>
      <c r="J888" s="115" t="str">
        <f>+VLOOKUP($I888,Tabla7[#All],2,FALSE)</f>
        <v>NO PROGRAMADA</v>
      </c>
      <c r="K888" s="114" t="str">
        <f>IF(VLOOKUP(I888,Tabla7[#All],3,FALSE)=0,"",VLOOKUP(I888,Tabla7[#All],3,FALSE))</f>
        <v>MECÁNICA</v>
      </c>
      <c r="L888" s="35" t="s">
        <v>1774</v>
      </c>
      <c r="M888" s="35" t="s">
        <v>1775</v>
      </c>
      <c r="N888" s="35" t="str" cm="1">
        <f t="array" ref="N888">IFERROR(IF(Tabla8[[#This Row],[P/NP]]="NO PROGRAMADA","",_xlfn.TEXTJOIN(", ",TRUE,_xlfn._xlws.FILTER(Tabla4[[#All],[PIEZA]],ISNUMBER(SEARCH(Tabla4[[#All],[PCLAVE]],Tabla8[[#This Row],[DESCRIPCION DE TRABAJO]])),""))),"")</f>
        <v/>
      </c>
      <c r="O888" s="35" t="str" cm="1">
        <f t="array" ref="O888">_xlfn.TEXTJOIN(", ",TRUE,_xlfn._xlws.FILTER(Tabla28[[#All],[PARTE]],ISNUMBER(SEARCH(Tabla28[[#All],[PCLAVE2]],Tabla8[[#This Row],[DESCRIPCION DE TRABAJO]])),""))</f>
        <v/>
      </c>
      <c r="P888" s="303" t="str">
        <f>IFERROR(LEFT(O888, FIND(",", O888)-1), O888)</f>
        <v/>
      </c>
      <c r="Q888" s="303" t="str">
        <f>IFERROR(IF(ISERROR(FIND(",", O888, FIND(",", O888)+1)), RIGHT(O888, LEN(O888)-FIND(",", O888)-1), MID(O888, FIND(",", O888)+2, FIND(",", O888, FIND(",", O888)+1)-FIND(",", O888)-2)), "")</f>
        <v/>
      </c>
      <c r="R888" s="303" t="str">
        <f>IFERROR(RIGHT(O888, LEN(O888)-FIND(",", O888, FIND(",", O888)+1)-1), "")</f>
        <v/>
      </c>
      <c r="S888" s="35" t="str" cm="1">
        <f t="array" ref="S888">_xlfn.TEXTJOIN(", ",TRUE,_xlfn._xlws.FILTER(Tabla29[[#All],[PARTE]],ISNUMBER(SEARCH(Tabla29[[#All],[PCLAVE3]],Tabla8[[#This Row],[DESCRIPCION DE TRABAJO]])),""))</f>
        <v>Ruido</v>
      </c>
      <c r="T888" s="34" t="str">
        <f>IF(AND(Tabla8[[#This Row],[PIEZA]]="",Tabla8[[#This Row],[PARTE]]=""),"VACIO","OK")</f>
        <v>VACIO</v>
      </c>
      <c r="U888" s="303" t="str">
        <f>+CONCATENATE(WEEKNUM(Tabla8[[#This Row],[FECHA]]),"-",YEAR(Tabla8[[#This Row],[FECHA]]))</f>
        <v>16-2026</v>
      </c>
    </row>
    <row r="889" spans="1:21" ht="15" customHeight="1">
      <c r="A889" s="22">
        <v>46126</v>
      </c>
      <c r="B889" s="16" t="s">
        <v>179</v>
      </c>
      <c r="C889" s="10" t="s">
        <v>36</v>
      </c>
      <c r="D889" s="381">
        <v>0.38194444444444442</v>
      </c>
      <c r="E889" s="381">
        <v>0.39583333333333331</v>
      </c>
      <c r="F889" s="380">
        <f>+MOD(Tabla8[[#This Row],[HR. FIN]]-Tabla8[[#This Row],[HR. INICIO]],1)</f>
        <v>1.3888888888888895E-2</v>
      </c>
      <c r="G889" s="16" t="s">
        <v>98</v>
      </c>
      <c r="H889" s="343" t="str">
        <f>IFERROR(VLOOKUP(G889,DATOS!$M$2:$N$219,2,FALSE),"")</f>
        <v>Maquinaria</v>
      </c>
      <c r="I889" s="115" t="s">
        <v>61</v>
      </c>
      <c r="J889" s="115" t="str">
        <f>+VLOOKUP($I889,Tabla7[#All],2,FALSE)</f>
        <v>PROGRAMADA</v>
      </c>
      <c r="K889" s="114" t="str">
        <f>IF(VLOOKUP(I889,Tabla7[#All],3,FALSE)=0,"",VLOOKUP(I889,Tabla7[#All],3,FALSE))</f>
        <v/>
      </c>
      <c r="L889" s="35" t="s">
        <v>1776</v>
      </c>
      <c r="M889" s="35" t="s">
        <v>121</v>
      </c>
      <c r="N889" s="35" t="str" cm="1">
        <f t="array" ref="N889">IFERROR(IF(Tabla8[[#This Row],[P/NP]]="NO PROGRAMADA","",_xlfn.TEXTJOIN(", ",TRUE,_xlfn._xlws.FILTER(Tabla4[[#All],[PIEZA]],ISNUMBER(SEARCH(Tabla4[[#All],[PCLAVE]],Tabla8[[#This Row],[DESCRIPCION DE TRABAJO]])),""))),"")</f>
        <v>Ductos</v>
      </c>
      <c r="O889" s="35" t="str" cm="1">
        <f t="array" ref="O889">_xlfn.TEXTJOIN(", ",TRUE,_xlfn._xlws.FILTER(Tabla28[[#All],[PARTE]],ISNUMBER(SEARCH(Tabla28[[#All],[PCLAVE2]],Tabla8[[#This Row],[DESCRIPCION DE TRABAJO]])),""))</f>
        <v/>
      </c>
      <c r="P889" s="303" t="str">
        <f>IFERROR(LEFT(O889, FIND(",", O889)-1), O889)</f>
        <v/>
      </c>
      <c r="Q889" s="303" t="str">
        <f>IFERROR(IF(ISERROR(FIND(",", O889, FIND(",", O889)+1)), RIGHT(O889, LEN(O889)-FIND(",", O889)-1), MID(O889, FIND(",", O889)+2, FIND(",", O889, FIND(",", O889)+1)-FIND(",", O889)-2)), "")</f>
        <v/>
      </c>
      <c r="R889" s="303" t="str">
        <f>IFERROR(RIGHT(O889, LEN(O889)-FIND(",", O889, FIND(",", O889)+1)-1), "")</f>
        <v/>
      </c>
      <c r="S889" s="35" t="str" cm="1">
        <f t="array" ref="S889">_xlfn.TEXTJOIN(", ",TRUE,_xlfn._xlws.FILTER(Tabla29[[#All],[PARTE]],ISNUMBER(SEARCH(Tabla29[[#All],[PCLAVE3]],Tabla8[[#This Row],[DESCRIPCION DE TRABAJO]])),""))</f>
        <v/>
      </c>
      <c r="T889" s="34" t="str">
        <f>IF(AND(Tabla8[[#This Row],[PIEZA]]="",Tabla8[[#This Row],[PARTE]]=""),"VACIO","OK")</f>
        <v>OK</v>
      </c>
      <c r="U889" s="303" t="str">
        <f>+CONCATENATE(WEEKNUM(Tabla8[[#This Row],[FECHA]]),"-",YEAR(Tabla8[[#This Row],[FECHA]]))</f>
        <v>16-2026</v>
      </c>
    </row>
    <row r="890" spans="1:21" ht="15" customHeight="1">
      <c r="A890" s="22">
        <v>46126</v>
      </c>
      <c r="B890" s="16" t="s">
        <v>191</v>
      </c>
      <c r="C890" s="10" t="s">
        <v>39</v>
      </c>
      <c r="D890" s="381">
        <v>0.8881944444444444</v>
      </c>
      <c r="E890" s="381">
        <v>0.9</v>
      </c>
      <c r="F890" s="380">
        <f>+MOD(Tabla8[[#This Row],[HR. FIN]]-Tabla8[[#This Row],[HR. INICIO]],1)</f>
        <v>1.1805555555555625E-2</v>
      </c>
      <c r="G890" s="16" t="s">
        <v>215</v>
      </c>
      <c r="H890" s="343" t="str">
        <f>IFERROR(VLOOKUP(G890,DATOS!$M$2:$N$219,2,FALSE),"")</f>
        <v>Equipos auxiliares</v>
      </c>
      <c r="I890" s="115" t="s">
        <v>54</v>
      </c>
      <c r="J890" s="115" t="str">
        <f>+VLOOKUP($I890,Tabla7[#All],2,FALSE)</f>
        <v>PROGRAMADA</v>
      </c>
      <c r="K890" s="114" t="str">
        <f>IF(VLOOKUP(I890,Tabla7[#All],3,FALSE)=0,"",VLOOKUP(I890,Tabla7[#All],3,FALSE))</f>
        <v/>
      </c>
      <c r="L890" s="35" t="s">
        <v>248</v>
      </c>
      <c r="M890" s="35" t="s">
        <v>121</v>
      </c>
      <c r="N890" s="35" t="str" cm="1">
        <f t="array" ref="N890">IFERROR(IF(Tabla8[[#This Row],[P/NP]]="NO PROGRAMADA","",_xlfn.TEXTJOIN(", ",TRUE,_xlfn._xlws.FILTER(Tabla4[[#All],[PIEZA]],ISNUMBER(SEARCH(Tabla4[[#All],[PCLAVE]],Tabla8[[#This Row],[DESCRIPCION DE TRABAJO]])),""))),"")</f>
        <v/>
      </c>
      <c r="O890" s="35" t="str" cm="1">
        <f t="array" ref="O890">_xlfn.TEXTJOIN(", ",TRUE,_xlfn._xlws.FILTER(Tabla28[[#All],[PARTE]],ISNUMBER(SEARCH(Tabla28[[#All],[PCLAVE2]],Tabla8[[#This Row],[DESCRIPCION DE TRABAJO]])),""))</f>
        <v/>
      </c>
      <c r="P890" s="303" t="str">
        <f>IFERROR(LEFT(O890, FIND(",", O890)-1), O890)</f>
        <v/>
      </c>
      <c r="Q890" s="303" t="str">
        <f>IFERROR(IF(ISERROR(FIND(",", O890, FIND(",", O890)+1)), RIGHT(O890, LEN(O890)-FIND(",", O890)-1), MID(O890, FIND(",", O890)+2, FIND(",", O890, FIND(",", O890)+1)-FIND(",", O890)-2)), "")</f>
        <v/>
      </c>
      <c r="R890" s="303" t="str">
        <f>IFERROR(RIGHT(O890, LEN(O890)-FIND(",", O890, FIND(",", O890)+1)-1), "")</f>
        <v/>
      </c>
      <c r="S890" s="35" t="str" cm="1">
        <f t="array" ref="S890">_xlfn.TEXTJOIN(", ",TRUE,_xlfn._xlws.FILTER(Tabla29[[#All],[PARTE]],ISNUMBER(SEARCH(Tabla29[[#All],[PCLAVE3]],Tabla8[[#This Row],[DESCRIPCION DE TRABAJO]])),""))</f>
        <v/>
      </c>
      <c r="T890" s="34" t="str">
        <f>IF(AND(Tabla8[[#This Row],[PIEZA]]="",Tabla8[[#This Row],[PARTE]]=""),"VACIO","OK")</f>
        <v>VACIO</v>
      </c>
      <c r="U890" s="303" t="str">
        <f>+CONCATENATE(WEEKNUM(Tabla8[[#This Row],[FECHA]]),"-",YEAR(Tabla8[[#This Row],[FECHA]]))</f>
        <v>16-2026</v>
      </c>
    </row>
    <row r="891" spans="1:21" ht="15" customHeight="1">
      <c r="A891" s="22">
        <v>46126</v>
      </c>
      <c r="B891" s="16" t="s">
        <v>88</v>
      </c>
      <c r="C891" s="10" t="s">
        <v>36</v>
      </c>
      <c r="D891" s="381">
        <v>0.45833333333333331</v>
      </c>
      <c r="E891" s="381">
        <v>0.46875</v>
      </c>
      <c r="F891" s="380">
        <f>+MOD(Tabla8[[#This Row],[HR. FIN]]-Tabla8[[#This Row],[HR. INICIO]],1)</f>
        <v>1.0416666666666685E-2</v>
      </c>
      <c r="G891" s="16" t="s">
        <v>24</v>
      </c>
      <c r="H891" s="343" t="str">
        <f>IFERROR(VLOOKUP(G891,DATOS!$M$2:$N$219,2,FALSE),"")</f>
        <v>Maquinaria</v>
      </c>
      <c r="I891" s="115" t="s">
        <v>54</v>
      </c>
      <c r="J891" s="115" t="str">
        <f>+VLOOKUP($I891,Tabla7[#All],2,FALSE)</f>
        <v>PROGRAMADA</v>
      </c>
      <c r="K891" s="114" t="str">
        <f>IF(VLOOKUP(I891,Tabla7[#All],3,FALSE)=0,"",VLOOKUP(I891,Tabla7[#All],3,FALSE))</f>
        <v/>
      </c>
      <c r="L891" s="35" t="s">
        <v>341</v>
      </c>
      <c r="M891" s="35" t="s">
        <v>1777</v>
      </c>
      <c r="N891" s="35" t="str" cm="1">
        <f t="array" ref="N891">IFERROR(IF(Tabla8[[#This Row],[P/NP]]="NO PROGRAMADA","",_xlfn.TEXTJOIN(", ",TRUE,_xlfn._xlws.FILTER(Tabla4[[#All],[PIEZA]],ISNUMBER(SEARCH(Tabla4[[#All],[PCLAVE]],Tabla8[[#This Row],[DESCRIPCION DE TRABAJO]])),""))),"")</f>
        <v/>
      </c>
      <c r="O891" s="35" t="str" cm="1">
        <f t="array" ref="O891">_xlfn.TEXTJOIN(", ",TRUE,_xlfn._xlws.FILTER(Tabla28[[#All],[PARTE]],ISNUMBER(SEARCH(Tabla28[[#All],[PCLAVE2]],Tabla8[[#This Row],[DESCRIPCION DE TRABAJO]])),""))</f>
        <v/>
      </c>
      <c r="P891" s="303" t="str">
        <f>IFERROR(LEFT(O891, FIND(",", O891)-1), O891)</f>
        <v/>
      </c>
      <c r="Q891" s="303" t="str">
        <f>IFERROR(IF(ISERROR(FIND(",", O891, FIND(",", O891)+1)), RIGHT(O891, LEN(O891)-FIND(",", O891)-1), MID(O891, FIND(",", O891)+2, FIND(",", O891, FIND(",", O891)+1)-FIND(",", O891)-2)), "")</f>
        <v/>
      </c>
      <c r="R891" s="303" t="str">
        <f>IFERROR(RIGHT(O891, LEN(O891)-FIND(",", O891, FIND(",", O891)+1)-1), "")</f>
        <v/>
      </c>
      <c r="S891" s="35" t="str" cm="1">
        <f t="array" ref="S891">_xlfn.TEXTJOIN(", ",TRUE,_xlfn._xlws.FILTER(Tabla29[[#All],[PARTE]],ISNUMBER(SEARCH(Tabla29[[#All],[PCLAVE3]],Tabla8[[#This Row],[DESCRIPCION DE TRABAJO]])),""))</f>
        <v/>
      </c>
      <c r="T891" s="34" t="str">
        <f>IF(AND(Tabla8[[#This Row],[PIEZA]]="",Tabla8[[#This Row],[PARTE]]=""),"VACIO","OK")</f>
        <v>VACIO</v>
      </c>
      <c r="U891" s="303" t="str">
        <f>+CONCATENATE(WEEKNUM(Tabla8[[#This Row],[FECHA]]),"-",YEAR(Tabla8[[#This Row],[FECHA]]))</f>
        <v>16-2026</v>
      </c>
    </row>
    <row r="892" spans="1:21" ht="15" customHeight="1">
      <c r="A892" s="22">
        <v>46126</v>
      </c>
      <c r="B892" s="16" t="s">
        <v>179</v>
      </c>
      <c r="C892" s="10" t="s">
        <v>36</v>
      </c>
      <c r="D892" s="381">
        <v>0.46875</v>
      </c>
      <c r="E892" s="381">
        <v>0.47916666666666669</v>
      </c>
      <c r="F892" s="380">
        <f>+MOD(Tabla8[[#This Row],[HR. FIN]]-Tabla8[[#This Row],[HR. INICIO]],1)</f>
        <v>1.0416666666666685E-2</v>
      </c>
      <c r="G892" s="16" t="s">
        <v>1778</v>
      </c>
      <c r="H892" s="343" t="str">
        <f>IFERROR(VLOOKUP(G892,DATOS!$M$2:$N$219,2,FALSE),"")</f>
        <v>Maquinaria</v>
      </c>
      <c r="I892" s="115" t="s">
        <v>54</v>
      </c>
      <c r="J892" s="115" t="str">
        <f>+VLOOKUP($I892,Tabla7[#All],2,FALSE)</f>
        <v>PROGRAMADA</v>
      </c>
      <c r="K892" s="114" t="str">
        <f>IF(VLOOKUP(I892,Tabla7[#All],3,FALSE)=0,"",VLOOKUP(I892,Tabla7[#All],3,FALSE))</f>
        <v/>
      </c>
      <c r="L892" s="35" t="s">
        <v>1779</v>
      </c>
      <c r="M892" s="35" t="s">
        <v>121</v>
      </c>
      <c r="N892" s="35" t="str" cm="1">
        <f t="array" ref="N892">IFERROR(IF(Tabla8[[#This Row],[P/NP]]="NO PROGRAMADA","",_xlfn.TEXTJOIN(", ",TRUE,_xlfn._xlws.FILTER(Tabla4[[#All],[PIEZA]],ISNUMBER(SEARCH(Tabla4[[#All],[PCLAVE]],Tabla8[[#This Row],[DESCRIPCION DE TRABAJO]])),""))),"")</f>
        <v>Agitador, Resistencia</v>
      </c>
      <c r="O892" s="35" t="str" cm="1">
        <f t="array" ref="O892">_xlfn.TEXTJOIN(", ",TRUE,_xlfn._xlws.FILTER(Tabla28[[#All],[PARTE]],ISNUMBER(SEARCH(Tabla28[[#All],[PCLAVE2]],Tabla8[[#This Row],[DESCRIPCION DE TRABAJO]])),""))</f>
        <v/>
      </c>
      <c r="P892" s="303" t="str">
        <f>IFERROR(LEFT(O892, FIND(",", O892)-1), O892)</f>
        <v/>
      </c>
      <c r="Q892" s="303" t="str">
        <f>IFERROR(IF(ISERROR(FIND(",", O892, FIND(",", O892)+1)), RIGHT(O892, LEN(O892)-FIND(",", O892)-1), MID(O892, FIND(",", O892)+2, FIND(",", O892, FIND(",", O892)+1)-FIND(",", O892)-2)), "")</f>
        <v/>
      </c>
      <c r="R892" s="303" t="str">
        <f>IFERROR(RIGHT(O892, LEN(O892)-FIND(",", O892, FIND(",", O892)+1)-1), "")</f>
        <v/>
      </c>
      <c r="S892" s="35" t="str" cm="1">
        <f t="array" ref="S892">_xlfn.TEXTJOIN(", ",TRUE,_xlfn._xlws.FILTER(Tabla29[[#All],[PARTE]],ISNUMBER(SEARCH(Tabla29[[#All],[PCLAVE3]],Tabla8[[#This Row],[DESCRIPCION DE TRABAJO]])),""))</f>
        <v>Rotura</v>
      </c>
      <c r="T892" s="34" t="str">
        <f>IF(AND(Tabla8[[#This Row],[PIEZA]]="",Tabla8[[#This Row],[PARTE]]=""),"VACIO","OK")</f>
        <v>OK</v>
      </c>
      <c r="U892" s="303" t="str">
        <f>+CONCATENATE(WEEKNUM(Tabla8[[#This Row],[FECHA]]),"-",YEAR(Tabla8[[#This Row],[FECHA]]))</f>
        <v>16-2026</v>
      </c>
    </row>
    <row r="893" spans="1:21" ht="15" customHeight="1">
      <c r="A893" s="22">
        <v>46126</v>
      </c>
      <c r="B893" s="16" t="s">
        <v>191</v>
      </c>
      <c r="C893" s="10" t="s">
        <v>39</v>
      </c>
      <c r="D893" s="381">
        <v>4.1666666666666666E-3</v>
      </c>
      <c r="E893" s="381">
        <v>1.4583333333333334E-2</v>
      </c>
      <c r="F893" s="380">
        <f>+MOD(Tabla8[[#This Row],[HR. FIN]]-Tabla8[[#This Row],[HR. INICIO]],1)</f>
        <v>1.0416666666666668E-2</v>
      </c>
      <c r="G893" s="16" t="s">
        <v>192</v>
      </c>
      <c r="H893" s="343" t="str">
        <f>IFERROR(VLOOKUP(G893,DATOS!$M$2:$N$219,2,FALSE),"")</f>
        <v>Maquinaria</v>
      </c>
      <c r="I893" s="115" t="s">
        <v>57</v>
      </c>
      <c r="J893" s="115" t="str">
        <f>+VLOOKUP($I893,Tabla7[#All],2,FALSE)</f>
        <v>NO PROGRAMADA</v>
      </c>
      <c r="K893" s="114" t="str">
        <f>IF(VLOOKUP(I893,Tabla7[#All],3,FALSE)=0,"",VLOOKUP(I893,Tabla7[#All],3,FALSE))</f>
        <v>MECÁNICA</v>
      </c>
      <c r="L893" s="35" t="s">
        <v>1780</v>
      </c>
      <c r="M893" s="35" t="s">
        <v>1781</v>
      </c>
      <c r="N893" s="35" t="str" cm="1">
        <f t="array" ref="N893">IFERROR(IF(Tabla8[[#This Row],[P/NP]]="NO PROGRAMADA","",_xlfn.TEXTJOIN(", ",TRUE,_xlfn._xlws.FILTER(Tabla4[[#All],[PIEZA]],ISNUMBER(SEARCH(Tabla4[[#All],[PCLAVE]],Tabla8[[#This Row],[DESCRIPCION DE TRABAJO]])),""))),"")</f>
        <v/>
      </c>
      <c r="O893" s="35" t="str" cm="1">
        <f t="array" ref="O893">_xlfn.TEXTJOIN(", ",TRUE,_xlfn._xlws.FILTER(Tabla28[[#All],[PARTE]],ISNUMBER(SEARCH(Tabla28[[#All],[PCLAVE2]],Tabla8[[#This Row],[DESCRIPCION DE TRABAJO]])),""))</f>
        <v/>
      </c>
      <c r="P893" s="303" t="str">
        <f>IFERROR(LEFT(O893, FIND(",", O893)-1), O893)</f>
        <v/>
      </c>
      <c r="Q893" s="303" t="str">
        <f>IFERROR(IF(ISERROR(FIND(",", O893, FIND(",", O893)+1)), RIGHT(O893, LEN(O893)-FIND(",", O893)-1), MID(O893, FIND(",", O893)+2, FIND(",", O893, FIND(",", O893)+1)-FIND(",", O893)-2)), "")</f>
        <v/>
      </c>
      <c r="R893" s="303" t="str">
        <f>IFERROR(RIGHT(O893, LEN(O893)-FIND(",", O893, FIND(",", O893)+1)-1), "")</f>
        <v/>
      </c>
      <c r="S893" s="35" t="str" cm="1">
        <f t="array" ref="S893">_xlfn.TEXTJOIN(", ",TRUE,_xlfn._xlws.FILTER(Tabla29[[#All],[PARTE]],ISNUMBER(SEARCH(Tabla29[[#All],[PCLAVE3]],Tabla8[[#This Row],[DESCRIPCION DE TRABAJO]])),""))</f>
        <v>Mancha Etiquetas</v>
      </c>
      <c r="T893" s="34" t="str">
        <f>IF(AND(Tabla8[[#This Row],[PIEZA]]="",Tabla8[[#This Row],[PARTE]]=""),"VACIO","OK")</f>
        <v>VACIO</v>
      </c>
      <c r="U893" s="303" t="str">
        <f>+CONCATENATE(WEEKNUM(Tabla8[[#This Row],[FECHA]]),"-",YEAR(Tabla8[[#This Row],[FECHA]]))</f>
        <v>16-2026</v>
      </c>
    </row>
    <row r="894" spans="1:21" ht="15" customHeight="1">
      <c r="A894" s="22">
        <v>46126</v>
      </c>
      <c r="B894" s="16" t="s">
        <v>191</v>
      </c>
      <c r="C894" s="10" t="s">
        <v>39</v>
      </c>
      <c r="D894" s="381">
        <v>8.1250000000000003E-2</v>
      </c>
      <c r="E894" s="381">
        <v>9.166666666666666E-2</v>
      </c>
      <c r="F894" s="380">
        <f>+MOD(Tabla8[[#This Row],[HR. FIN]]-Tabla8[[#This Row],[HR. INICIO]],1)</f>
        <v>1.0416666666666657E-2</v>
      </c>
      <c r="G894" s="16" t="s">
        <v>270</v>
      </c>
      <c r="H894" s="343" t="str">
        <f>IFERROR(VLOOKUP(G894,DATOS!$M$2:$N$219,2,FALSE),"")</f>
        <v>Maquinaria</v>
      </c>
      <c r="I894" s="115" t="s">
        <v>57</v>
      </c>
      <c r="J894" s="115" t="str">
        <f>+VLOOKUP($I894,Tabla7[#All],2,FALSE)</f>
        <v>NO PROGRAMADA</v>
      </c>
      <c r="K894" s="114" t="str">
        <f>IF(VLOOKUP(I894,Tabla7[#All],3,FALSE)=0,"",VLOOKUP(I894,Tabla7[#All],3,FALSE))</f>
        <v>MECÁNICA</v>
      </c>
      <c r="L894" s="35" t="s">
        <v>1782</v>
      </c>
      <c r="M894" s="35" t="s">
        <v>1783</v>
      </c>
      <c r="N894" s="35" t="str" cm="1">
        <f t="array" ref="N894">IFERROR(IF(Tabla8[[#This Row],[P/NP]]="NO PROGRAMADA","",_xlfn.TEXTJOIN(", ",TRUE,_xlfn._xlws.FILTER(Tabla4[[#All],[PIEZA]],ISNUMBER(SEARCH(Tabla4[[#All],[PCLAVE]],Tabla8[[#This Row],[DESCRIPCION DE TRABAJO]])),""))),"")</f>
        <v/>
      </c>
      <c r="O894" s="35" t="str" cm="1">
        <f t="array" ref="O894">_xlfn.TEXTJOIN(", ",TRUE,_xlfn._xlws.FILTER(Tabla28[[#All],[PARTE]],ISNUMBER(SEARCH(Tabla28[[#All],[PCLAVE2]],Tabla8[[#This Row],[DESCRIPCION DE TRABAJO]])),""))</f>
        <v/>
      </c>
      <c r="P894" s="303" t="str">
        <f>IFERROR(LEFT(O894, FIND(",", O894)-1), O894)</f>
        <v/>
      </c>
      <c r="Q894" s="303" t="str">
        <f>IFERROR(IF(ISERROR(FIND(",", O894, FIND(",", O894)+1)), RIGHT(O894, LEN(O894)-FIND(",", O894)-1), MID(O894, FIND(",", O894)+2, FIND(",", O894, FIND(",", O894)+1)-FIND(",", O894)-2)), "")</f>
        <v/>
      </c>
      <c r="R894" s="303" t="str">
        <f>IFERROR(RIGHT(O894, LEN(O894)-FIND(",", O894, FIND(",", O894)+1)-1), "")</f>
        <v/>
      </c>
      <c r="S894" s="35" t="str" cm="1">
        <f t="array" ref="S894">_xlfn.TEXTJOIN(", ",TRUE,_xlfn._xlws.FILTER(Tabla29[[#All],[PARTE]],ISNUMBER(SEARCH(Tabla29[[#All],[PCLAVE3]],Tabla8[[#This Row],[DESCRIPCION DE TRABAJO]])),""))</f>
        <v>Desalineado</v>
      </c>
      <c r="T894" s="34" t="str">
        <f>IF(AND(Tabla8[[#This Row],[PIEZA]]="",Tabla8[[#This Row],[PARTE]]=""),"VACIO","OK")</f>
        <v>VACIO</v>
      </c>
      <c r="U894" s="303" t="str">
        <f>+CONCATENATE(WEEKNUM(Tabla8[[#This Row],[FECHA]]),"-",YEAR(Tabla8[[#This Row],[FECHA]]))</f>
        <v>16-2026</v>
      </c>
    </row>
    <row r="895" spans="1:21" ht="15" customHeight="1">
      <c r="A895" s="22">
        <v>46126</v>
      </c>
      <c r="B895" s="16" t="s">
        <v>179</v>
      </c>
      <c r="C895" s="10" t="s">
        <v>36</v>
      </c>
      <c r="D895" s="381">
        <v>0.40277777777777779</v>
      </c>
      <c r="E895" s="381">
        <v>0.41319444444444442</v>
      </c>
      <c r="F895" s="380">
        <f>+MOD(Tabla8[[#This Row],[HR. FIN]]-Tabla8[[#This Row],[HR. INICIO]],1)</f>
        <v>1.041666666666663E-2</v>
      </c>
      <c r="G895" s="16" t="s">
        <v>140</v>
      </c>
      <c r="H895" s="343" t="str">
        <f>IFERROR(VLOOKUP(G895,DATOS!$M$2:$N$219,2,FALSE),"")</f>
        <v>Maquinaria</v>
      </c>
      <c r="I895" s="115" t="s">
        <v>32</v>
      </c>
      <c r="J895" s="115" t="str">
        <f>+VLOOKUP($I895,Tabla7[#All],2,FALSE)</f>
        <v>PROGRAMADA</v>
      </c>
      <c r="K895" s="114" t="str">
        <f>IF(VLOOKUP(I895,Tabla7[#All],3,FALSE)=0,"",VLOOKUP(I895,Tabla7[#All],3,FALSE))</f>
        <v/>
      </c>
      <c r="L895" s="35" t="s">
        <v>1784</v>
      </c>
      <c r="M895" s="35" t="s">
        <v>121</v>
      </c>
      <c r="N895" s="35" t="str" cm="1">
        <f t="array" ref="N895">IFERROR(IF(Tabla8[[#This Row],[P/NP]]="NO PROGRAMADA","",_xlfn.TEXTJOIN(", ",TRUE,_xlfn._xlws.FILTER(Tabla4[[#All],[PIEZA]],ISNUMBER(SEARCH(Tabla4[[#All],[PCLAVE]],Tabla8[[#This Row],[DESCRIPCION DE TRABAJO]])),""))),"")</f>
        <v/>
      </c>
      <c r="O895" s="35" t="str" cm="1">
        <f t="array" ref="O895">_xlfn.TEXTJOIN(", ",TRUE,_xlfn._xlws.FILTER(Tabla28[[#All],[PARTE]],ISNUMBER(SEARCH(Tabla28[[#All],[PCLAVE2]],Tabla8[[#This Row],[DESCRIPCION DE TRABAJO]])),""))</f>
        <v/>
      </c>
      <c r="P895" s="303" t="str">
        <f>IFERROR(LEFT(O895, FIND(",", O895)-1), O895)</f>
        <v/>
      </c>
      <c r="Q895" s="303" t="str">
        <f>IFERROR(IF(ISERROR(FIND(",", O895, FIND(",", O895)+1)), RIGHT(O895, LEN(O895)-FIND(",", O895)-1), MID(O895, FIND(",", O895)+2, FIND(",", O895, FIND(",", O895)+1)-FIND(",", O895)-2)), "")</f>
        <v/>
      </c>
      <c r="R895" s="303" t="str">
        <f>IFERROR(RIGHT(O895, LEN(O895)-FIND(",", O895, FIND(",", O895)+1)-1), "")</f>
        <v/>
      </c>
      <c r="S895" s="35" t="str" cm="1">
        <f t="array" ref="S895">_xlfn.TEXTJOIN(", ",TRUE,_xlfn._xlws.FILTER(Tabla29[[#All],[PARTE]],ISNUMBER(SEARCH(Tabla29[[#All],[PCLAVE3]],Tabla8[[#This Row],[DESCRIPCION DE TRABAJO]])),""))</f>
        <v/>
      </c>
      <c r="T895" s="34" t="str">
        <f>IF(AND(Tabla8[[#This Row],[PIEZA]]="",Tabla8[[#This Row],[PARTE]]=""),"VACIO","OK")</f>
        <v>VACIO</v>
      </c>
      <c r="U895" s="303" t="str">
        <f>+CONCATENATE(WEEKNUM(Tabla8[[#This Row],[FECHA]]),"-",YEAR(Tabla8[[#This Row],[FECHA]]))</f>
        <v>16-2026</v>
      </c>
    </row>
    <row r="896" spans="1:21" ht="15" customHeight="1">
      <c r="A896" s="22">
        <v>46126</v>
      </c>
      <c r="B896" s="16" t="s">
        <v>191</v>
      </c>
      <c r="C896" s="10" t="s">
        <v>39</v>
      </c>
      <c r="D896" s="381">
        <v>0.98055555555555551</v>
      </c>
      <c r="E896" s="381">
        <v>0.98958333333333337</v>
      </c>
      <c r="F896" s="380">
        <f>+MOD(Tabla8[[#This Row],[HR. FIN]]-Tabla8[[#This Row],[HR. INICIO]],1)</f>
        <v>9.0277777777778567E-3</v>
      </c>
      <c r="G896" s="16" t="s">
        <v>192</v>
      </c>
      <c r="H896" s="343" t="str">
        <f>IFERROR(VLOOKUP(G896,DATOS!$M$2:$N$219,2,FALSE),"")</f>
        <v>Maquinaria</v>
      </c>
      <c r="I896" s="115" t="s">
        <v>57</v>
      </c>
      <c r="J896" s="115" t="str">
        <f>+VLOOKUP($I896,Tabla7[#All],2,FALSE)</f>
        <v>NO PROGRAMADA</v>
      </c>
      <c r="K896" s="114" t="str">
        <f>IF(VLOOKUP(I896,Tabla7[#All],3,FALSE)=0,"",VLOOKUP(I896,Tabla7[#All],3,FALSE))</f>
        <v>MECÁNICA</v>
      </c>
      <c r="L896" s="35" t="s">
        <v>1785</v>
      </c>
      <c r="M896" s="35" t="s">
        <v>1786</v>
      </c>
      <c r="N896" s="35" t="str" cm="1">
        <f t="array" ref="N896">IFERROR(IF(Tabla8[[#This Row],[P/NP]]="NO PROGRAMADA","",_xlfn.TEXTJOIN(", ",TRUE,_xlfn._xlws.FILTER(Tabla4[[#All],[PIEZA]],ISNUMBER(SEARCH(Tabla4[[#All],[PCLAVE]],Tabla8[[#This Row],[DESCRIPCION DE TRABAJO]])),""))),"")</f>
        <v/>
      </c>
      <c r="O896" s="35" t="str" cm="1">
        <f t="array" ref="O896">_xlfn.TEXTJOIN(", ",TRUE,_xlfn._xlws.FILTER(Tabla28[[#All],[PARTE]],ISNUMBER(SEARCH(Tabla28[[#All],[PCLAVE2]],Tabla8[[#This Row],[DESCRIPCION DE TRABAJO]])),""))</f>
        <v/>
      </c>
      <c r="P896" s="303" t="str">
        <f>IFERROR(LEFT(O896, FIND(",", O896)-1), O896)</f>
        <v/>
      </c>
      <c r="Q896" s="303" t="str">
        <f>IFERROR(IF(ISERROR(FIND(",", O896, FIND(",", O896)+1)), RIGHT(O896, LEN(O896)-FIND(",", O896)-1), MID(O896, FIND(",", O896)+2, FIND(",", O896, FIND(",", O896)+1)-FIND(",", O896)-2)), "")</f>
        <v/>
      </c>
      <c r="R896" s="303" t="str">
        <f>IFERROR(RIGHT(O896, LEN(O896)-FIND(",", O896, FIND(",", O896)+1)-1), "")</f>
        <v/>
      </c>
      <c r="S896" s="35" t="str" cm="1">
        <f t="array" ref="S896">_xlfn.TEXTJOIN(", ",TRUE,_xlfn._xlws.FILTER(Tabla29[[#All],[PARTE]],ISNUMBER(SEARCH(Tabla29[[#All],[PCLAVE3]],Tabla8[[#This Row],[DESCRIPCION DE TRABAJO]])),""))</f>
        <v>Fuera De Posicion</v>
      </c>
      <c r="T896" s="34" t="str">
        <f>IF(AND(Tabla8[[#This Row],[PIEZA]]="",Tabla8[[#This Row],[PARTE]]=""),"VACIO","OK")</f>
        <v>VACIO</v>
      </c>
      <c r="U896" s="303" t="str">
        <f>+CONCATENATE(WEEKNUM(Tabla8[[#This Row],[FECHA]]),"-",YEAR(Tabla8[[#This Row],[FECHA]]))</f>
        <v>16-2026</v>
      </c>
    </row>
    <row r="897" spans="1:21" ht="15" customHeight="1">
      <c r="A897" s="22">
        <v>46126</v>
      </c>
      <c r="B897" s="16" t="s">
        <v>191</v>
      </c>
      <c r="C897" s="10" t="s">
        <v>39</v>
      </c>
      <c r="D897" s="381">
        <v>0.90486111111111112</v>
      </c>
      <c r="E897" s="381">
        <v>0.91388888888888886</v>
      </c>
      <c r="F897" s="380">
        <f>+MOD(Tabla8[[#This Row],[HR. FIN]]-Tabla8[[#This Row],[HR. INICIO]],1)</f>
        <v>9.0277777777777457E-3</v>
      </c>
      <c r="G897" s="16" t="s">
        <v>256</v>
      </c>
      <c r="H897" s="343" t="str">
        <f>IFERROR(VLOOKUP(G897,DATOS!$M$2:$N$219,2,FALSE),"")</f>
        <v>Maquinaria</v>
      </c>
      <c r="I897" s="115" t="s">
        <v>54</v>
      </c>
      <c r="J897" s="115" t="str">
        <f>+VLOOKUP($I897,Tabla7[#All],2,FALSE)</f>
        <v>PROGRAMADA</v>
      </c>
      <c r="K897" s="114" t="str">
        <f>IF(VLOOKUP(I897,Tabla7[#All],3,FALSE)=0,"",VLOOKUP(I897,Tabla7[#All],3,FALSE))</f>
        <v/>
      </c>
      <c r="L897" s="35" t="s">
        <v>1787</v>
      </c>
      <c r="M897" s="35" t="s">
        <v>121</v>
      </c>
      <c r="N897" s="35" t="str" cm="1">
        <f t="array" ref="N897">IFERROR(IF(Tabla8[[#This Row],[P/NP]]="NO PROGRAMADA","",_xlfn.TEXTJOIN(", ",TRUE,_xlfn._xlws.FILTER(Tabla4[[#All],[PIEZA]],ISNUMBER(SEARCH(Tabla4[[#All],[PCLAVE]],Tabla8[[#This Row],[DESCRIPCION DE TRABAJO]])),""))),"")</f>
        <v>Empaque</v>
      </c>
      <c r="O897" s="35" t="str" cm="1">
        <f t="array" ref="O897">_xlfn.TEXTJOIN(", ",TRUE,_xlfn._xlws.FILTER(Tabla28[[#All],[PARTE]],ISNUMBER(SEARCH(Tabla28[[#All],[PCLAVE2]],Tabla8[[#This Row],[DESCRIPCION DE TRABAJO]])),""))</f>
        <v/>
      </c>
      <c r="P897" s="303" t="str">
        <f>IFERROR(LEFT(O897, FIND(",", O897)-1), O897)</f>
        <v/>
      </c>
      <c r="Q897" s="303" t="str">
        <f>IFERROR(IF(ISERROR(FIND(",", O897, FIND(",", O897)+1)), RIGHT(O897, LEN(O897)-FIND(",", O897)-1), MID(O897, FIND(",", O897)+2, FIND(",", O897, FIND(",", O897)+1)-FIND(",", O897)-2)), "")</f>
        <v/>
      </c>
      <c r="R897" s="303" t="str">
        <f>IFERROR(RIGHT(O897, LEN(O897)-FIND(",", O897, FIND(",", O897)+1)-1), "")</f>
        <v/>
      </c>
      <c r="S897" s="35" t="str" cm="1">
        <f t="array" ref="S897">_xlfn.TEXTJOIN(", ",TRUE,_xlfn._xlws.FILTER(Tabla29[[#All],[PARTE]],ISNUMBER(SEARCH(Tabla29[[#All],[PCLAVE3]],Tabla8[[#This Row],[DESCRIPCION DE TRABAJO]])),""))</f>
        <v/>
      </c>
      <c r="T897" s="34" t="str">
        <f>IF(AND(Tabla8[[#This Row],[PIEZA]]="",Tabla8[[#This Row],[PARTE]]=""),"VACIO","OK")</f>
        <v>OK</v>
      </c>
      <c r="U897" s="303" t="str">
        <f>+CONCATENATE(WEEKNUM(Tabla8[[#This Row],[FECHA]]),"-",YEAR(Tabla8[[#This Row],[FECHA]]))</f>
        <v>16-2026</v>
      </c>
    </row>
    <row r="898" spans="1:21" ht="15" customHeight="1">
      <c r="A898" s="22">
        <v>46126</v>
      </c>
      <c r="B898" s="16" t="s">
        <v>191</v>
      </c>
      <c r="C898" s="10" t="s">
        <v>39</v>
      </c>
      <c r="D898" s="381">
        <v>0.9916666666666667</v>
      </c>
      <c r="E898" s="381">
        <v>0.99930555555555556</v>
      </c>
      <c r="F898" s="380">
        <f>+MOD(Tabla8[[#This Row],[HR. FIN]]-Tabla8[[#This Row],[HR. INICIO]],1)</f>
        <v>7.6388888888888618E-3</v>
      </c>
      <c r="G898" s="16" t="s">
        <v>119</v>
      </c>
      <c r="H898" s="343" t="str">
        <f>IFERROR(VLOOKUP(G898,DATOS!$M$2:$N$219,2,FALSE),"")</f>
        <v>Maquinaria</v>
      </c>
      <c r="I898" s="115" t="s">
        <v>54</v>
      </c>
      <c r="J898" s="115" t="str">
        <f>+VLOOKUP($I898,Tabla7[#All],2,FALSE)</f>
        <v>PROGRAMADA</v>
      </c>
      <c r="K898" s="114" t="str">
        <f>IF(VLOOKUP(I898,Tabla7[#All],3,FALSE)=0,"",VLOOKUP(I898,Tabla7[#All],3,FALSE))</f>
        <v/>
      </c>
      <c r="L898" s="35" t="s">
        <v>1788</v>
      </c>
      <c r="M898" s="35" t="s">
        <v>121</v>
      </c>
      <c r="N898" s="35" t="str" cm="1">
        <f t="array" ref="N898">IFERROR(IF(Tabla8[[#This Row],[P/NP]]="NO PROGRAMADA","",_xlfn.TEXTJOIN(", ",TRUE,_xlfn._xlws.FILTER(Tabla4[[#All],[PIEZA]],ISNUMBER(SEARCH(Tabla4[[#All],[PCLAVE]],Tabla8[[#This Row],[DESCRIPCION DE TRABAJO]])),""))),"")</f>
        <v/>
      </c>
      <c r="O898" s="35" t="str" cm="1">
        <f t="array" ref="O898">_xlfn.TEXTJOIN(", ",TRUE,_xlfn._xlws.FILTER(Tabla28[[#All],[PARTE]],ISNUMBER(SEARCH(Tabla28[[#All],[PCLAVE2]],Tabla8[[#This Row],[DESCRIPCION DE TRABAJO]])),""))</f>
        <v>Tunel De Enfriamiento</v>
      </c>
      <c r="P898" s="303" t="str">
        <f>IFERROR(LEFT(O898, FIND(",", O898)-1), O898)</f>
        <v>Tunel De Enfriamiento</v>
      </c>
      <c r="Q898" s="303" t="str">
        <f>IFERROR(IF(ISERROR(FIND(",", O898, FIND(",", O898)+1)), RIGHT(O898, LEN(O898)-FIND(",", O898)-1), MID(O898, FIND(",", O898)+2, FIND(",", O898, FIND(",", O898)+1)-FIND(",", O898)-2)), "")</f>
        <v/>
      </c>
      <c r="R898" s="303" t="str">
        <f>IFERROR(RIGHT(O898, LEN(O898)-FIND(",", O898, FIND(",", O898)+1)-1), "")</f>
        <v/>
      </c>
      <c r="S898" s="35" t="str" cm="1">
        <f t="array" ref="S898">_xlfn.TEXTJOIN(", ",TRUE,_xlfn._xlws.FILTER(Tabla29[[#All],[PARTE]],ISNUMBER(SEARCH(Tabla29[[#All],[PCLAVE3]],Tabla8[[#This Row],[DESCRIPCION DE TRABAJO]])),""))</f>
        <v/>
      </c>
      <c r="T898" s="34" t="str">
        <f>IF(AND(Tabla8[[#This Row],[PIEZA]]="",Tabla8[[#This Row],[PARTE]]=""),"VACIO","OK")</f>
        <v>OK</v>
      </c>
      <c r="U898" s="303" t="str">
        <f>+CONCATENATE(WEEKNUM(Tabla8[[#This Row],[FECHA]]),"-",YEAR(Tabla8[[#This Row],[FECHA]]))</f>
        <v>16-2026</v>
      </c>
    </row>
    <row r="899" spans="1:21" ht="15" customHeight="1">
      <c r="A899" s="22">
        <v>46126</v>
      </c>
      <c r="B899" s="16" t="s">
        <v>179</v>
      </c>
      <c r="C899" s="10" t="s">
        <v>36</v>
      </c>
      <c r="D899" s="381">
        <v>0.30555555555555558</v>
      </c>
      <c r="E899" s="381">
        <v>0.30902777777777779</v>
      </c>
      <c r="F899" s="380">
        <f>+MOD(Tabla8[[#This Row],[HR. FIN]]-Tabla8[[#This Row],[HR. INICIO]],1)</f>
        <v>3.4722222222222099E-3</v>
      </c>
      <c r="G899" s="16" t="s">
        <v>119</v>
      </c>
      <c r="H899" s="343" t="str">
        <f>IFERROR(VLOOKUP(G899,DATOS!$M$2:$N$219,2,FALSE),"")</f>
        <v>Maquinaria</v>
      </c>
      <c r="I899" s="115" t="s">
        <v>32</v>
      </c>
      <c r="J899" s="115" t="s">
        <v>92</v>
      </c>
      <c r="K899" s="114" t="s">
        <v>148</v>
      </c>
      <c r="L899" s="35" t="s">
        <v>1789</v>
      </c>
      <c r="M899" s="35" t="s">
        <v>1790</v>
      </c>
      <c r="N899" s="35" t="str" cm="1">
        <f t="array" ref="N899">IFERROR(IF(Tabla8[[#This Row],[P/NP]]="NO PROGRAMADA","",_xlfn.TEXTJOIN(", ",TRUE,_xlfn._xlws.FILTER(Tabla4[[#All],[PIEZA]],ISNUMBER(SEARCH(Tabla4[[#All],[PCLAVE]],Tabla8[[#This Row],[DESCRIPCION DE TRABAJO]])),""))),"")</f>
        <v/>
      </c>
      <c r="O899" s="35" t="str" cm="1">
        <f t="array" ref="O899">_xlfn.TEXTJOIN(", ",TRUE,_xlfn._xlws.FILTER(Tabla28[[#All],[PARTE]],ISNUMBER(SEARCH(Tabla28[[#All],[PCLAVE2]],Tabla8[[#This Row],[DESCRIPCION DE TRABAJO]])),""))</f>
        <v>Sammfill</v>
      </c>
      <c r="P899" s="303" t="str">
        <f>IFERROR(LEFT(O899, FIND(",", O899)-1), O899)</f>
        <v>Sammfill</v>
      </c>
      <c r="Q899" s="303" t="str">
        <f>IFERROR(IF(ISERROR(FIND(",", O899, FIND(",", O899)+1)), RIGHT(O899, LEN(O899)-FIND(",", O899)-1), MID(O899, FIND(",", O899)+2, FIND(",", O899, FIND(",", O899)+1)-FIND(",", O899)-2)), "")</f>
        <v/>
      </c>
      <c r="R899" s="303" t="str">
        <f>IFERROR(RIGHT(O899, LEN(O899)-FIND(",", O899, FIND(",", O899)+1)-1), "")</f>
        <v/>
      </c>
      <c r="S899" s="35" t="str" cm="1">
        <f t="array" ref="S899">_xlfn.TEXTJOIN(", ",TRUE,_xlfn._xlws.FILTER(Tabla29[[#All],[PARTE]],ISNUMBER(SEARCH(Tabla29[[#All],[PCLAVE3]],Tabla8[[#This Row],[DESCRIPCION DE TRABAJO]])),""))</f>
        <v/>
      </c>
      <c r="T899" s="34" t="str">
        <f>IF(AND(Tabla8[[#This Row],[PIEZA]]="",Tabla8[[#This Row],[PARTE]]=""),"VACIO","OK")</f>
        <v>OK</v>
      </c>
      <c r="U899" s="303" t="str">
        <f>+CONCATENATE(WEEKNUM(Tabla8[[#This Row],[FECHA]]),"-",YEAR(Tabla8[[#This Row],[FECHA]]))</f>
        <v>16-2026</v>
      </c>
    </row>
    <row r="900" spans="1:21" ht="15" customHeight="1">
      <c r="A900" s="22">
        <v>46128</v>
      </c>
      <c r="B900" s="16" t="s">
        <v>191</v>
      </c>
      <c r="C900" s="10" t="s">
        <v>39</v>
      </c>
      <c r="D900" s="381">
        <v>0.90555555555555556</v>
      </c>
      <c r="E900" s="381">
        <v>0.94374999999999998</v>
      </c>
      <c r="F900" s="380">
        <f>+MOD(Tabla8[[#This Row],[HR. FIN]]-Tabla8[[#This Row],[HR. INICIO]],1)</f>
        <v>3.819444444444442E-2</v>
      </c>
      <c r="G900" s="16" t="s">
        <v>1647</v>
      </c>
      <c r="H900" s="343" t="str">
        <f>IFERROR(VLOOKUP(G900,DATOS!$M$2:$N$219,2,FALSE),"")</f>
        <v>Equipos auxiliares</v>
      </c>
      <c r="I900" s="115" t="s">
        <v>348</v>
      </c>
      <c r="J900" s="115" t="s">
        <v>92</v>
      </c>
      <c r="K900" s="114" t="s">
        <v>148</v>
      </c>
      <c r="L900" s="35" t="s">
        <v>1791</v>
      </c>
      <c r="M900" s="35" t="s">
        <v>1792</v>
      </c>
      <c r="N900" s="35" t="str" cm="1">
        <f t="array" ref="N900">IFERROR(IF(Tabla8[[#This Row],[P/NP]]="NO PROGRAMADA","",_xlfn.TEXTJOIN(", ",TRUE,_xlfn._xlws.FILTER(Tabla4[[#All],[PIEZA]],ISNUMBER(SEARCH(Tabla4[[#All],[PCLAVE]],Tabla8[[#This Row],[DESCRIPCION DE TRABAJO]])),""))),"")</f>
        <v/>
      </c>
      <c r="O900" s="35" t="str" cm="1">
        <f t="array" ref="O900">_xlfn.TEXTJOIN(", ",TRUE,_xlfn._xlws.FILTER(Tabla28[[#All],[PARTE]],ISNUMBER(SEARCH(Tabla28[[#All],[PCLAVE2]],Tabla8[[#This Row],[DESCRIPCION DE TRABAJO]])),""))</f>
        <v/>
      </c>
      <c r="P900" s="303" t="str">
        <f>IFERROR(LEFT(O900, FIND(",", O900)-1), O900)</f>
        <v/>
      </c>
      <c r="Q900" s="303" t="str">
        <f>IFERROR(IF(ISERROR(FIND(",", O900, FIND(",", O900)+1)), RIGHT(O900, LEN(O900)-FIND(",", O900)-1), MID(O900, FIND(",", O900)+2, FIND(",", O900, FIND(",", O900)+1)-FIND(",", O900)-2)), "")</f>
        <v/>
      </c>
      <c r="R900" s="303" t="str">
        <f>IFERROR(RIGHT(O900, LEN(O900)-FIND(",", O900, FIND(",", O900)+1)-1), "")</f>
        <v/>
      </c>
      <c r="S900" s="35" t="str" cm="1">
        <f t="array" ref="S900">_xlfn.TEXTJOIN(", ",TRUE,_xlfn._xlws.FILTER(Tabla29[[#All],[PARTE]],ISNUMBER(SEARCH(Tabla29[[#All],[PCLAVE3]],Tabla8[[#This Row],[DESCRIPCION DE TRABAJO]])),""))</f>
        <v>Atrapado</v>
      </c>
      <c r="T900" s="34" t="str">
        <f>IF(AND(Tabla8[[#This Row],[PIEZA]]="",Tabla8[[#This Row],[PARTE]]=""),"VACIO","OK")</f>
        <v>VACIO</v>
      </c>
      <c r="U900" s="303" t="str">
        <f>+CONCATENATE(WEEKNUM(Tabla8[[#This Row],[FECHA]]),"-",YEAR(Tabla8[[#This Row],[FECHA]]))</f>
        <v>16-2026</v>
      </c>
    </row>
    <row r="901" spans="1:21" ht="15" customHeight="1">
      <c r="A901" s="22">
        <v>46128</v>
      </c>
      <c r="B901" s="16" t="s">
        <v>131</v>
      </c>
      <c r="C901" s="10" t="s">
        <v>23</v>
      </c>
      <c r="D901" s="381">
        <v>0.58680555555555558</v>
      </c>
      <c r="E901" s="381">
        <v>0.60902777777777772</v>
      </c>
      <c r="F901" s="380">
        <f>+MOD(Tabla8[[#This Row],[HR. FIN]]-Tabla8[[#This Row],[HR. INICIO]],1)</f>
        <v>2.2222222222222143E-2</v>
      </c>
      <c r="G901" s="16" t="s">
        <v>119</v>
      </c>
      <c r="H901" s="343" t="str">
        <f>IFERROR(VLOOKUP(G901,DATOS!$M$2:$N$219,2,FALSE),"")</f>
        <v>Maquinaria</v>
      </c>
      <c r="I901" s="115" t="s">
        <v>32</v>
      </c>
      <c r="J901" s="115" t="str">
        <f>+VLOOKUP($I901,Tabla7[#All],2,FALSE)</f>
        <v>PROGRAMADA</v>
      </c>
      <c r="K901" s="114" t="str">
        <f>IF(VLOOKUP(I901,Tabla7[#All],3,FALSE)=0,"",VLOOKUP(I901,Tabla7[#All],3,FALSE))</f>
        <v/>
      </c>
      <c r="L901" s="35" t="s">
        <v>1793</v>
      </c>
      <c r="M901" s="35" t="s">
        <v>121</v>
      </c>
      <c r="N901" s="35" t="str" cm="1">
        <f t="array" ref="N901">IFERROR(IF(Tabla8[[#This Row],[P/NP]]="NO PROGRAMADA","",_xlfn.TEXTJOIN(", ",TRUE,_xlfn._xlws.FILTER(Tabla4[[#All],[PIEZA]],ISNUMBER(SEARCH(Tabla4[[#All],[PCLAVE]],Tabla8[[#This Row],[DESCRIPCION DE TRABAJO]])),""))),"")</f>
        <v/>
      </c>
      <c r="O901" s="35" t="str" cm="1">
        <f t="array" ref="O901">_xlfn.TEXTJOIN(", ",TRUE,_xlfn._xlws.FILTER(Tabla28[[#All],[PARTE]],ISNUMBER(SEARCH(Tabla28[[#All],[PCLAVE2]],Tabla8[[#This Row],[DESCRIPCION DE TRABAJO]])),""))</f>
        <v>Mds</v>
      </c>
      <c r="P901" s="303" t="str">
        <f>IFERROR(LEFT(O901, FIND(",", O901)-1), O901)</f>
        <v>Mds</v>
      </c>
      <c r="Q901" s="303" t="str">
        <f>IFERROR(IF(ISERROR(FIND(",", O901, FIND(",", O901)+1)), RIGHT(O901, LEN(O901)-FIND(",", O901)-1), MID(O901, FIND(",", O901)+2, FIND(",", O901, FIND(",", O901)+1)-FIND(",", O901)-2)), "")</f>
        <v/>
      </c>
      <c r="R901" s="303" t="str">
        <f>IFERROR(RIGHT(O901, LEN(O901)-FIND(",", O901, FIND(",", O901)+1)-1), "")</f>
        <v/>
      </c>
      <c r="S901" s="35" t="str" cm="1">
        <f t="array" ref="S901">_xlfn.TEXTJOIN(", ",TRUE,_xlfn._xlws.FILTER(Tabla29[[#All],[PARTE]],ISNUMBER(SEARCH(Tabla29[[#All],[PCLAVE3]],Tabla8[[#This Row],[DESCRIPCION DE TRABAJO]])),""))</f>
        <v/>
      </c>
      <c r="T901" s="34" t="str">
        <f>IF(AND(Tabla8[[#This Row],[PIEZA]]="",Tabla8[[#This Row],[PARTE]]=""),"VACIO","OK")</f>
        <v>OK</v>
      </c>
      <c r="U901" s="303" t="str">
        <f>+CONCATENATE(WEEKNUM(Tabla8[[#This Row],[FECHA]]),"-",YEAR(Tabla8[[#This Row],[FECHA]]))</f>
        <v>16-2026</v>
      </c>
    </row>
    <row r="902" spans="1:21" ht="15" customHeight="1">
      <c r="A902" s="22">
        <v>46128</v>
      </c>
      <c r="B902" s="16" t="s">
        <v>179</v>
      </c>
      <c r="C902" s="10" t="s">
        <v>36</v>
      </c>
      <c r="D902" s="381">
        <v>0.25</v>
      </c>
      <c r="E902" s="381">
        <v>0.27083333333333331</v>
      </c>
      <c r="F902" s="380">
        <f>+MOD(Tabla8[[#This Row],[HR. FIN]]-Tabla8[[#This Row],[HR. INICIO]],1)</f>
        <v>2.0833333333333315E-2</v>
      </c>
      <c r="G902" s="16" t="s">
        <v>119</v>
      </c>
      <c r="H902" s="343" t="str">
        <f>IFERROR(VLOOKUP(G902,DATOS!$M$2:$N$219,2,FALSE),"")</f>
        <v>Maquinaria</v>
      </c>
      <c r="I902" s="115" t="s">
        <v>32</v>
      </c>
      <c r="J902" s="115" t="str">
        <f>+VLOOKUP($I902,Tabla7[#All],2,FALSE)</f>
        <v>PROGRAMADA</v>
      </c>
      <c r="K902" s="114" t="str">
        <f>IF(VLOOKUP(I902,Tabla7[#All],3,FALSE)=0,"",VLOOKUP(I902,Tabla7[#All],3,FALSE))</f>
        <v/>
      </c>
      <c r="L902" s="35" t="s">
        <v>1794</v>
      </c>
      <c r="M902" s="35" t="s">
        <v>121</v>
      </c>
      <c r="N902" s="35" t="str" cm="1">
        <f t="array" ref="N902">IFERROR(IF(Tabla8[[#This Row],[P/NP]]="NO PROGRAMADA","",_xlfn.TEXTJOIN(", ",TRUE,_xlfn._xlws.FILTER(Tabla4[[#All],[PIEZA]],ISNUMBER(SEARCH(Tabla4[[#All],[PCLAVE]],Tabla8[[#This Row],[DESCRIPCION DE TRABAJO]])),""))),"")</f>
        <v/>
      </c>
      <c r="O902" s="35" t="str" cm="1">
        <f t="array" ref="O902">_xlfn.TEXTJOIN(", ",TRUE,_xlfn._xlws.FILTER(Tabla28[[#All],[PARTE]],ISNUMBER(SEARCH(Tabla28[[#All],[PCLAVE2]],Tabla8[[#This Row],[DESCRIPCION DE TRABAJO]])),""))</f>
        <v>Mds</v>
      </c>
      <c r="P902" s="303" t="str">
        <f>IFERROR(LEFT(O902, FIND(",", O902)-1), O902)</f>
        <v>Mds</v>
      </c>
      <c r="Q902" s="303" t="str">
        <f>IFERROR(IF(ISERROR(FIND(",", O902, FIND(",", O902)+1)), RIGHT(O902, LEN(O902)-FIND(",", O902)-1), MID(O902, FIND(",", O902)+2, FIND(",", O902, FIND(",", O902)+1)-FIND(",", O902)-2)), "")</f>
        <v/>
      </c>
      <c r="R902" s="303" t="str">
        <f>IFERROR(RIGHT(O902, LEN(O902)-FIND(",", O902, FIND(",", O902)+1)-1), "")</f>
        <v/>
      </c>
      <c r="S902" s="35" t="str" cm="1">
        <f t="array" ref="S902">_xlfn.TEXTJOIN(", ",TRUE,_xlfn._xlws.FILTER(Tabla29[[#All],[PARTE]],ISNUMBER(SEARCH(Tabla29[[#All],[PCLAVE3]],Tabla8[[#This Row],[DESCRIPCION DE TRABAJO]])),""))</f>
        <v/>
      </c>
      <c r="T902" s="34" t="str">
        <f>IF(AND(Tabla8[[#This Row],[PIEZA]]="",Tabla8[[#This Row],[PARTE]]=""),"VACIO","OK")</f>
        <v>OK</v>
      </c>
      <c r="U902" s="303" t="str">
        <f>+CONCATENATE(WEEKNUM(Tabla8[[#This Row],[FECHA]]),"-",YEAR(Tabla8[[#This Row],[FECHA]]))</f>
        <v>16-2026</v>
      </c>
    </row>
    <row r="903" spans="1:21" ht="15" customHeight="1">
      <c r="A903" s="22">
        <v>46128</v>
      </c>
      <c r="B903" s="16" t="s">
        <v>179</v>
      </c>
      <c r="C903" s="10" t="s">
        <v>36</v>
      </c>
      <c r="D903" s="381">
        <v>0.27777777777777779</v>
      </c>
      <c r="E903" s="381">
        <v>0.2986111111111111</v>
      </c>
      <c r="F903" s="380">
        <f>+MOD(Tabla8[[#This Row],[HR. FIN]]-Tabla8[[#This Row],[HR. INICIO]],1)</f>
        <v>2.0833333333333315E-2</v>
      </c>
      <c r="G903" s="16" t="s">
        <v>119</v>
      </c>
      <c r="H903" s="343" t="str">
        <f>IFERROR(VLOOKUP(G903,DATOS!$M$2:$N$219,2,FALSE),"")</f>
        <v>Maquinaria</v>
      </c>
      <c r="I903" s="115" t="s">
        <v>32</v>
      </c>
      <c r="J903" s="115" t="str">
        <f>+VLOOKUP($I903,Tabla7[#All],2,FALSE)</f>
        <v>PROGRAMADA</v>
      </c>
      <c r="K903" s="114" t="str">
        <f>IF(VLOOKUP(I903,Tabla7[#All],3,FALSE)=0,"",VLOOKUP(I903,Tabla7[#All],3,FALSE))</f>
        <v/>
      </c>
      <c r="L903" s="35" t="s">
        <v>1795</v>
      </c>
      <c r="M903" s="35" t="s">
        <v>121</v>
      </c>
      <c r="N903" s="35" t="str" cm="1">
        <f t="array" ref="N903">IFERROR(IF(Tabla8[[#This Row],[P/NP]]="NO PROGRAMADA","",_xlfn.TEXTJOIN(", ",TRUE,_xlfn._xlws.FILTER(Tabla4[[#All],[PIEZA]],ISNUMBER(SEARCH(Tabla4[[#All],[PCLAVE]],Tabla8[[#This Row],[DESCRIPCION DE TRABAJO]])),""))),"")</f>
        <v/>
      </c>
      <c r="O903" s="35" t="str" cm="1">
        <f t="array" ref="O903">_xlfn.TEXTJOIN(", ",TRUE,_xlfn._xlws.FILTER(Tabla28[[#All],[PARTE]],ISNUMBER(SEARCH(Tabla28[[#All],[PCLAVE2]],Tabla8[[#This Row],[DESCRIPCION DE TRABAJO]])),""))</f>
        <v>Mds</v>
      </c>
      <c r="P903" s="303" t="str">
        <f>IFERROR(LEFT(O903, FIND(",", O903)-1), O903)</f>
        <v>Mds</v>
      </c>
      <c r="Q903" s="303" t="str">
        <f>IFERROR(IF(ISERROR(FIND(",", O903, FIND(",", O903)+1)), RIGHT(O903, LEN(O903)-FIND(",", O903)-1), MID(O903, FIND(",", O903)+2, FIND(",", O903, FIND(",", O903)+1)-FIND(",", O903)-2)), "")</f>
        <v/>
      </c>
      <c r="R903" s="303" t="str">
        <f>IFERROR(RIGHT(O903, LEN(O903)-FIND(",", O903, FIND(",", O903)+1)-1), "")</f>
        <v/>
      </c>
      <c r="S903" s="35" t="str" cm="1">
        <f t="array" ref="S903">_xlfn.TEXTJOIN(", ",TRUE,_xlfn._xlws.FILTER(Tabla29[[#All],[PARTE]],ISNUMBER(SEARCH(Tabla29[[#All],[PCLAVE3]],Tabla8[[#This Row],[DESCRIPCION DE TRABAJO]])),""))</f>
        <v/>
      </c>
      <c r="T903" s="34" t="str">
        <f>IF(AND(Tabla8[[#This Row],[PIEZA]]="",Tabla8[[#This Row],[PARTE]]=""),"VACIO","OK")</f>
        <v>OK</v>
      </c>
      <c r="U903" s="303" t="str">
        <f>+CONCATENATE(WEEKNUM(Tabla8[[#This Row],[FECHA]]),"-",YEAR(Tabla8[[#This Row],[FECHA]]))</f>
        <v>16-2026</v>
      </c>
    </row>
    <row r="904" spans="1:21" ht="15" customHeight="1">
      <c r="A904" s="22">
        <v>46128</v>
      </c>
      <c r="B904" s="16" t="s">
        <v>131</v>
      </c>
      <c r="C904" s="10" t="s">
        <v>23</v>
      </c>
      <c r="D904" s="381">
        <v>0.56319444444444444</v>
      </c>
      <c r="E904" s="381">
        <v>0.58333333333333337</v>
      </c>
      <c r="F904" s="380">
        <f>+MOD(Tabla8[[#This Row],[HR. FIN]]-Tabla8[[#This Row],[HR. INICIO]],1)</f>
        <v>2.0138888888888928E-2</v>
      </c>
      <c r="G904" s="16" t="s">
        <v>270</v>
      </c>
      <c r="H904" s="343" t="str">
        <f>IFERROR(VLOOKUP(G904,DATOS!$M$2:$N$219,2,FALSE),"")</f>
        <v>Maquinaria</v>
      </c>
      <c r="I904" s="115" t="s">
        <v>54</v>
      </c>
      <c r="J904" s="115" t="str">
        <f>+VLOOKUP($I904,Tabla7[#All],2,FALSE)</f>
        <v>PROGRAMADA</v>
      </c>
      <c r="K904" s="114" t="str">
        <f>IF(VLOOKUP(I904,Tabla7[#All],3,FALSE)=0,"",VLOOKUP(I904,Tabla7[#All],3,FALSE))</f>
        <v/>
      </c>
      <c r="L904" s="35" t="s">
        <v>154</v>
      </c>
      <c r="M904" s="35" t="s">
        <v>121</v>
      </c>
      <c r="N904" s="35" t="str" cm="1">
        <f t="array" ref="N904">IFERROR(IF(Tabla8[[#This Row],[P/NP]]="NO PROGRAMADA","",_xlfn.TEXTJOIN(", ",TRUE,_xlfn._xlws.FILTER(Tabla4[[#All],[PIEZA]],ISNUMBER(SEARCH(Tabla4[[#All],[PCLAVE]],Tabla8[[#This Row],[DESCRIPCION DE TRABAJO]])),""))),"")</f>
        <v/>
      </c>
      <c r="O904" s="35" t="str" cm="1">
        <f t="array" ref="O904">_xlfn.TEXTJOIN(", ",TRUE,_xlfn._xlws.FILTER(Tabla28[[#All],[PARTE]],ISNUMBER(SEARCH(Tabla28[[#All],[PCLAVE2]],Tabla8[[#This Row],[DESCRIPCION DE TRABAJO]])),""))</f>
        <v/>
      </c>
      <c r="P904" s="303" t="str">
        <f>IFERROR(LEFT(O904, FIND(",", O904)-1), O904)</f>
        <v/>
      </c>
      <c r="Q904" s="303" t="str">
        <f>IFERROR(IF(ISERROR(FIND(",", O904, FIND(",", O904)+1)), RIGHT(O904, LEN(O904)-FIND(",", O904)-1), MID(O904, FIND(",", O904)+2, FIND(",", O904, FIND(",", O904)+1)-FIND(",", O904)-2)), "")</f>
        <v/>
      </c>
      <c r="R904" s="303" t="str">
        <f>IFERROR(RIGHT(O904, LEN(O904)-FIND(",", O904, FIND(",", O904)+1)-1), "")</f>
        <v/>
      </c>
      <c r="S904" s="35" t="str" cm="1">
        <f t="array" ref="S904">_xlfn.TEXTJOIN(", ",TRUE,_xlfn._xlws.FILTER(Tabla29[[#All],[PARTE]],ISNUMBER(SEARCH(Tabla29[[#All],[PCLAVE3]],Tabla8[[#This Row],[DESCRIPCION DE TRABAJO]])),""))</f>
        <v/>
      </c>
      <c r="T904" s="34" t="str">
        <f>IF(AND(Tabla8[[#This Row],[PIEZA]]="",Tabla8[[#This Row],[PARTE]]=""),"VACIO","OK")</f>
        <v>VACIO</v>
      </c>
      <c r="U904" s="303" t="str">
        <f>+CONCATENATE(WEEKNUM(Tabla8[[#This Row],[FECHA]]),"-",YEAR(Tabla8[[#This Row],[FECHA]]))</f>
        <v>16-2026</v>
      </c>
    </row>
    <row r="905" spans="1:21" ht="15" customHeight="1">
      <c r="A905" s="22">
        <v>46128</v>
      </c>
      <c r="B905" s="16" t="s">
        <v>191</v>
      </c>
      <c r="C905" s="10" t="s">
        <v>39</v>
      </c>
      <c r="D905" s="381">
        <v>0.9458333333333333</v>
      </c>
      <c r="E905" s="381">
        <v>0.96388888888888891</v>
      </c>
      <c r="F905" s="380">
        <f>+MOD(Tabla8[[#This Row],[HR. FIN]]-Tabla8[[#This Row],[HR. INICIO]],1)</f>
        <v>1.8055555555555602E-2</v>
      </c>
      <c r="G905" s="16" t="s">
        <v>198</v>
      </c>
      <c r="H905" s="343" t="str">
        <f>IFERROR(VLOOKUP(G905,DATOS!$M$2:$N$219,2,FALSE),"")</f>
        <v>Maquinaria</v>
      </c>
      <c r="I905" s="115" t="s">
        <v>57</v>
      </c>
      <c r="J905" s="115" t="str">
        <f>+VLOOKUP($I905,Tabla7[#All],2,FALSE)</f>
        <v>NO PROGRAMADA</v>
      </c>
      <c r="K905" s="114" t="str">
        <f>IF(VLOOKUP(I905,Tabla7[#All],3,FALSE)=0,"",VLOOKUP(I905,Tabla7[#All],3,FALSE))</f>
        <v>MECÁNICA</v>
      </c>
      <c r="L905" s="35" t="s">
        <v>1257</v>
      </c>
      <c r="M905" s="35" t="s">
        <v>1796</v>
      </c>
      <c r="N905" s="35" t="str" cm="1">
        <f t="array" ref="N905">IFERROR(IF(Tabla8[[#This Row],[P/NP]]="NO PROGRAMADA","",_xlfn.TEXTJOIN(", ",TRUE,_xlfn._xlws.FILTER(Tabla4[[#All],[PIEZA]],ISNUMBER(SEARCH(Tabla4[[#All],[PCLAVE]],Tabla8[[#This Row],[DESCRIPCION DE TRABAJO]])),""))),"")</f>
        <v/>
      </c>
      <c r="O905" s="35" t="str" cm="1">
        <f t="array" ref="O905">_xlfn.TEXTJOIN(", ",TRUE,_xlfn._xlws.FILTER(Tabla28[[#All],[PARTE]],ISNUMBER(SEARCH(Tabla28[[#All],[PCLAVE2]],Tabla8[[#This Row],[DESCRIPCION DE TRABAJO]])),""))</f>
        <v/>
      </c>
      <c r="P905" s="303" t="str">
        <f>IFERROR(LEFT(O905, FIND(",", O905)-1), O905)</f>
        <v/>
      </c>
      <c r="Q905" s="303" t="str">
        <f>IFERROR(IF(ISERROR(FIND(",", O905, FIND(",", O905)+1)), RIGHT(O905, LEN(O905)-FIND(",", O905)-1), MID(O905, FIND(",", O905)+2, FIND(",", O905, FIND(",", O905)+1)-FIND(",", O905)-2)), "")</f>
        <v/>
      </c>
      <c r="R905" s="303" t="str">
        <f>IFERROR(RIGHT(O905, LEN(O905)-FIND(",", O905, FIND(",", O905)+1)-1), "")</f>
        <v/>
      </c>
      <c r="S905" s="35" t="str" cm="1">
        <f t="array" ref="S905">_xlfn.TEXTJOIN(", ",TRUE,_xlfn._xlws.FILTER(Tabla29[[#All],[PARTE]],ISNUMBER(SEARCH(Tabla29[[#All],[PCLAVE3]],Tabla8[[#This Row],[DESCRIPCION DE TRABAJO]])),""))</f>
        <v>No Arrastra</v>
      </c>
      <c r="T905" s="34" t="str">
        <f>IF(AND(Tabla8[[#This Row],[PIEZA]]="",Tabla8[[#This Row],[PARTE]]=""),"VACIO","OK")</f>
        <v>VACIO</v>
      </c>
      <c r="U905" s="303" t="str">
        <f>+CONCATENATE(WEEKNUM(Tabla8[[#This Row],[FECHA]]),"-",YEAR(Tabla8[[#This Row],[FECHA]]))</f>
        <v>16-2026</v>
      </c>
    </row>
    <row r="906" spans="1:21" ht="15" customHeight="1">
      <c r="A906" s="22">
        <v>46128</v>
      </c>
      <c r="B906" s="16" t="s">
        <v>191</v>
      </c>
      <c r="C906" s="10" t="s">
        <v>39</v>
      </c>
      <c r="D906" s="381">
        <v>0.98541666666666672</v>
      </c>
      <c r="E906" s="381">
        <v>0.99791666666666667</v>
      </c>
      <c r="F906" s="380">
        <f>+MOD(Tabla8[[#This Row],[HR. FIN]]-Tabla8[[#This Row],[HR. INICIO]],1)</f>
        <v>1.2499999999999956E-2</v>
      </c>
      <c r="G906" s="16" t="s">
        <v>119</v>
      </c>
      <c r="H906" s="343" t="str">
        <f>IFERROR(VLOOKUP(G906,DATOS!$M$2:$N$219,2,FALSE),"")</f>
        <v>Maquinaria</v>
      </c>
      <c r="I906" s="115" t="s">
        <v>32</v>
      </c>
      <c r="J906" s="115" t="s">
        <v>92</v>
      </c>
      <c r="K906" s="114" t="s">
        <v>93</v>
      </c>
      <c r="L906" s="35" t="s">
        <v>1797</v>
      </c>
      <c r="M906" s="35" t="s">
        <v>1798</v>
      </c>
      <c r="N906" s="35" t="str" cm="1">
        <f t="array" ref="N906">IFERROR(IF(Tabla8[[#This Row],[P/NP]]="NO PROGRAMADA","",_xlfn.TEXTJOIN(", ",TRUE,_xlfn._xlws.FILTER(Tabla4[[#All],[PIEZA]],ISNUMBER(SEARCH(Tabla4[[#All],[PCLAVE]],Tabla8[[#This Row],[DESCRIPCION DE TRABAJO]])),""))),"")</f>
        <v/>
      </c>
      <c r="O906" s="35" t="str" cm="1">
        <f t="array" ref="O906">_xlfn.TEXTJOIN(", ",TRUE,_xlfn._xlws.FILTER(Tabla28[[#All],[PARTE]],ISNUMBER(SEARCH(Tabla28[[#All],[PCLAVE2]],Tabla8[[#This Row],[DESCRIPCION DE TRABAJO]])),""))</f>
        <v>Temperadora</v>
      </c>
      <c r="P906" s="303" t="str">
        <f>IFERROR(LEFT(O906, FIND(",", O906)-1), O906)</f>
        <v>Temperadora</v>
      </c>
      <c r="Q906" s="303" t="str">
        <f>IFERROR(IF(ISERROR(FIND(",", O906, FIND(",", O906)+1)), RIGHT(O906, LEN(O906)-FIND(",", O906)-1), MID(O906, FIND(",", O906)+2, FIND(",", O906, FIND(",", O906)+1)-FIND(",", O906)-2)), "")</f>
        <v/>
      </c>
      <c r="R906" s="303" t="str">
        <f>IFERROR(RIGHT(O906, LEN(O906)-FIND(",", O906, FIND(",", O906)+1)-1), "")</f>
        <v/>
      </c>
      <c r="S906" s="35" t="str" cm="1">
        <f t="array" ref="S906">_xlfn.TEXTJOIN(", ",TRUE,_xlfn._xlws.FILTER(Tabla29[[#All],[PARTE]],ISNUMBER(SEARCH(Tabla29[[#All],[PCLAVE3]],Tabla8[[#This Row],[DESCRIPCION DE TRABAJO]])),""))</f>
        <v>Bloqueado</v>
      </c>
      <c r="T906" s="34" t="str">
        <f>IF(AND(Tabla8[[#This Row],[PIEZA]]="",Tabla8[[#This Row],[PARTE]]=""),"VACIO","OK")</f>
        <v>OK</v>
      </c>
      <c r="U906" s="303" t="str">
        <f>+CONCATENATE(WEEKNUM(Tabla8[[#This Row],[FECHA]]),"-",YEAR(Tabla8[[#This Row],[FECHA]]))</f>
        <v>16-2026</v>
      </c>
    </row>
    <row r="907" spans="1:21" ht="15" customHeight="1">
      <c r="A907" s="22">
        <v>46128</v>
      </c>
      <c r="B907" s="16" t="s">
        <v>191</v>
      </c>
      <c r="C907" s="10" t="s">
        <v>39</v>
      </c>
      <c r="D907" s="381">
        <v>0.88402777777777775</v>
      </c>
      <c r="E907" s="381">
        <v>0.89375000000000004</v>
      </c>
      <c r="F907" s="380">
        <f>+MOD(Tabla8[[#This Row],[HR. FIN]]-Tabla8[[#This Row],[HR. INICIO]],1)</f>
        <v>9.7222222222222987E-3</v>
      </c>
      <c r="G907" s="16" t="s">
        <v>215</v>
      </c>
      <c r="H907" s="343" t="str">
        <f>IFERROR(VLOOKUP(G907,DATOS!$M$2:$N$219,2,FALSE),"")</f>
        <v>Equipos auxiliares</v>
      </c>
      <c r="I907" s="115" t="s">
        <v>54</v>
      </c>
      <c r="J907" s="115" t="str">
        <f>+VLOOKUP($I907,Tabla7[#All],2,FALSE)</f>
        <v>PROGRAMADA</v>
      </c>
      <c r="K907" s="114" t="str">
        <f>IF(VLOOKUP(I907,Tabla7[#All],3,FALSE)=0,"",VLOOKUP(I907,Tabla7[#All],3,FALSE))</f>
        <v/>
      </c>
      <c r="L907" s="35" t="s">
        <v>248</v>
      </c>
      <c r="M907" s="35" t="s">
        <v>121</v>
      </c>
      <c r="N907" s="35" t="str" cm="1">
        <f t="array" ref="N907">IFERROR(IF(Tabla8[[#This Row],[P/NP]]="NO PROGRAMADA","",_xlfn.TEXTJOIN(", ",TRUE,_xlfn._xlws.FILTER(Tabla4[[#All],[PIEZA]],ISNUMBER(SEARCH(Tabla4[[#All],[PCLAVE]],Tabla8[[#This Row],[DESCRIPCION DE TRABAJO]])),""))),"")</f>
        <v/>
      </c>
      <c r="O907" s="35" t="str" cm="1">
        <f t="array" ref="O907">_xlfn.TEXTJOIN(", ",TRUE,_xlfn._xlws.FILTER(Tabla28[[#All],[PARTE]],ISNUMBER(SEARCH(Tabla28[[#All],[PCLAVE2]],Tabla8[[#This Row],[DESCRIPCION DE TRABAJO]])),""))</f>
        <v/>
      </c>
      <c r="P907" s="303" t="str">
        <f>IFERROR(LEFT(O907, FIND(",", O907)-1), O907)</f>
        <v/>
      </c>
      <c r="Q907" s="303" t="str">
        <f>IFERROR(IF(ISERROR(FIND(",", O907, FIND(",", O907)+1)), RIGHT(O907, LEN(O907)-FIND(",", O907)-1), MID(O907, FIND(",", O907)+2, FIND(",", O907, FIND(",", O907)+1)-FIND(",", O907)-2)), "")</f>
        <v/>
      </c>
      <c r="R907" s="303" t="str">
        <f>IFERROR(RIGHT(O907, LEN(O907)-FIND(",", O907, FIND(",", O907)+1)-1), "")</f>
        <v/>
      </c>
      <c r="S907" s="35" t="str" cm="1">
        <f t="array" ref="S907">_xlfn.TEXTJOIN(", ",TRUE,_xlfn._xlws.FILTER(Tabla29[[#All],[PARTE]],ISNUMBER(SEARCH(Tabla29[[#All],[PCLAVE3]],Tabla8[[#This Row],[DESCRIPCION DE TRABAJO]])),""))</f>
        <v/>
      </c>
      <c r="T907" s="34" t="str">
        <f>IF(AND(Tabla8[[#This Row],[PIEZA]]="",Tabla8[[#This Row],[PARTE]]=""),"VACIO","OK")</f>
        <v>VACIO</v>
      </c>
      <c r="U907" s="303" t="str">
        <f>+CONCATENATE(WEEKNUM(Tabla8[[#This Row],[FECHA]]),"-",YEAR(Tabla8[[#This Row],[FECHA]]))</f>
        <v>16-2026</v>
      </c>
    </row>
    <row r="908" spans="1:21" ht="15" customHeight="1">
      <c r="A908" s="22">
        <v>46128</v>
      </c>
      <c r="B908" s="16" t="s">
        <v>191</v>
      </c>
      <c r="C908" s="10" t="s">
        <v>39</v>
      </c>
      <c r="D908" s="381">
        <v>0.97013888888888888</v>
      </c>
      <c r="E908" s="381">
        <v>0.97777777777777775</v>
      </c>
      <c r="F908" s="380">
        <f>+MOD(Tabla8[[#This Row],[HR. FIN]]-Tabla8[[#This Row],[HR. INICIO]],1)</f>
        <v>7.6388888888888618E-3</v>
      </c>
      <c r="G908" s="16" t="s">
        <v>438</v>
      </c>
      <c r="H908" s="343" t="str">
        <f>IFERROR(VLOOKUP(G908,DATOS!$M$2:$N$219,2,FALSE),"")</f>
        <v>Maquinaria</v>
      </c>
      <c r="I908" s="115" t="s">
        <v>61</v>
      </c>
      <c r="J908" s="115" t="s">
        <v>92</v>
      </c>
      <c r="K908" s="114" t="s">
        <v>93</v>
      </c>
      <c r="L908" s="35" t="s">
        <v>1799</v>
      </c>
      <c r="M908" s="35" t="s">
        <v>1800</v>
      </c>
      <c r="N908" s="35" t="str" cm="1">
        <f t="array" ref="N908">IFERROR(IF(Tabla8[[#This Row],[P/NP]]="NO PROGRAMADA","",_xlfn.TEXTJOIN(", ",TRUE,_xlfn._xlws.FILTER(Tabla4[[#All],[PIEZA]],ISNUMBER(SEARCH(Tabla4[[#All],[PCLAVE]],Tabla8[[#This Row],[DESCRIPCION DE TRABAJO]])),""))),"")</f>
        <v/>
      </c>
      <c r="O908" s="35" t="str" cm="1">
        <f t="array" ref="O908">_xlfn.TEXTJOIN(", ",TRUE,_xlfn._xlws.FILTER(Tabla28[[#All],[PARTE]],ISNUMBER(SEARCH(Tabla28[[#All],[PCLAVE2]],Tabla8[[#This Row],[DESCRIPCION DE TRABAJO]])),""))</f>
        <v/>
      </c>
      <c r="P908" s="303" t="str">
        <f>IFERROR(LEFT(O908, FIND(",", O908)-1), O908)</f>
        <v/>
      </c>
      <c r="Q908" s="303" t="str">
        <f>IFERROR(IF(ISERROR(FIND(",", O908, FIND(",", O908)+1)), RIGHT(O908, LEN(O908)-FIND(",", O908)-1), MID(O908, FIND(",", O908)+2, FIND(",", O908, FIND(",", O908)+1)-FIND(",", O908)-2)), "")</f>
        <v/>
      </c>
      <c r="R908" s="303" t="str">
        <f>IFERROR(RIGHT(O908, LEN(O908)-FIND(",", O908, FIND(",", O908)+1)-1), "")</f>
        <v/>
      </c>
      <c r="S908" s="35" t="str" cm="1">
        <f t="array" ref="S908">_xlfn.TEXTJOIN(", ",TRUE,_xlfn._xlws.FILTER(Tabla29[[#All],[PARTE]],ISNUMBER(SEARCH(Tabla29[[#All],[PCLAVE3]],Tabla8[[#This Row],[DESCRIPCION DE TRABAJO]])),""))</f>
        <v/>
      </c>
      <c r="T908" s="34" t="str">
        <f>IF(AND(Tabla8[[#This Row],[PIEZA]]="",Tabla8[[#This Row],[PARTE]]=""),"VACIO","OK")</f>
        <v>VACIO</v>
      </c>
      <c r="U908" s="303" t="str">
        <f>+CONCATENATE(WEEKNUM(Tabla8[[#This Row],[FECHA]]),"-",YEAR(Tabla8[[#This Row],[FECHA]]))</f>
        <v>16-2026</v>
      </c>
    </row>
    <row r="909" spans="1:21" ht="15" customHeight="1">
      <c r="A909" s="22">
        <v>46129</v>
      </c>
      <c r="B909" s="16" t="s">
        <v>191</v>
      </c>
      <c r="C909" s="10" t="s">
        <v>39</v>
      </c>
      <c r="D909" s="381">
        <v>2.9166666666666667E-2</v>
      </c>
      <c r="E909" s="381">
        <v>5.4166666666666669E-2</v>
      </c>
      <c r="F909" s="380">
        <f>+MOD(Tabla8[[#This Row],[HR. FIN]]-Tabla8[[#This Row],[HR. INICIO]],1)</f>
        <v>2.5000000000000001E-2</v>
      </c>
      <c r="G909" s="16" t="s">
        <v>165</v>
      </c>
      <c r="H909" s="343" t="str">
        <f>IFERROR(VLOOKUP(G909,DATOS!$M$2:$N$219,2,FALSE),"")</f>
        <v>Maquinaria</v>
      </c>
      <c r="I909" s="115" t="s">
        <v>32</v>
      </c>
      <c r="J909" s="115" t="s">
        <v>92</v>
      </c>
      <c r="K909" s="114" t="s">
        <v>148</v>
      </c>
      <c r="L909" s="35" t="s">
        <v>1801</v>
      </c>
      <c r="M909" s="35" t="s">
        <v>1802</v>
      </c>
      <c r="N909" s="35" t="str" cm="1">
        <f t="array" ref="N909">IFERROR(IF(Tabla8[[#This Row],[P/NP]]="NO PROGRAMADA","",_xlfn.TEXTJOIN(", ",TRUE,_xlfn._xlws.FILTER(Tabla4[[#All],[PIEZA]],ISNUMBER(SEARCH(Tabla4[[#All],[PCLAVE]],Tabla8[[#This Row],[DESCRIPCION DE TRABAJO]])),""))),"")</f>
        <v/>
      </c>
      <c r="O909" s="35" t="str" cm="1">
        <f t="array" ref="O909">_xlfn.TEXTJOIN(", ",TRUE,_xlfn._xlws.FILTER(Tabla28[[#All],[PARTE]],ISNUMBER(SEARCH(Tabla28[[#All],[PCLAVE2]],Tabla8[[#This Row],[DESCRIPCION DE TRABAJO]])),""))</f>
        <v/>
      </c>
      <c r="P909" s="303" t="str">
        <f>IFERROR(LEFT(O909, FIND(",", O909)-1), O909)</f>
        <v/>
      </c>
      <c r="Q909" s="303" t="str">
        <f>IFERROR(IF(ISERROR(FIND(",", O909, FIND(",", O909)+1)), RIGHT(O909, LEN(O909)-FIND(",", O909)-1), MID(O909, FIND(",", O909)+2, FIND(",", O909, FIND(",", O909)+1)-FIND(",", O909)-2)), "")</f>
        <v/>
      </c>
      <c r="R909" s="303" t="str">
        <f>IFERROR(RIGHT(O909, LEN(O909)-FIND(",", O909, FIND(",", O909)+1)-1), "")</f>
        <v/>
      </c>
      <c r="S909" s="35" t="str" cm="1">
        <f t="array" ref="S909">_xlfn.TEXTJOIN(", ",TRUE,_xlfn._xlws.FILTER(Tabla29[[#All],[PARTE]],ISNUMBER(SEARCH(Tabla29[[#All],[PCLAVE3]],Tabla8[[#This Row],[DESCRIPCION DE TRABAJO]])),""))</f>
        <v>No Enciende, Rotura</v>
      </c>
      <c r="T909" s="34" t="str">
        <f>IF(AND(Tabla8[[#This Row],[PIEZA]]="",Tabla8[[#This Row],[PARTE]]=""),"VACIO","OK")</f>
        <v>VACIO</v>
      </c>
      <c r="U909" s="303" t="str">
        <f>+CONCATENATE(WEEKNUM(Tabla8[[#This Row],[FECHA]]),"-",YEAR(Tabla8[[#This Row],[FECHA]]))</f>
        <v>16-2026</v>
      </c>
    </row>
    <row r="910" spans="1:21" ht="15" customHeight="1">
      <c r="A910" s="22">
        <v>46129</v>
      </c>
      <c r="B910" s="16" t="s">
        <v>191</v>
      </c>
      <c r="C910" s="10" t="s">
        <v>39</v>
      </c>
      <c r="D910" s="381">
        <v>2.7777777777777779E-3</v>
      </c>
      <c r="E910" s="381">
        <v>1.8055555555555554E-2</v>
      </c>
      <c r="F910" s="380">
        <f>+MOD(Tabla8[[#This Row],[HR. FIN]]-Tabla8[[#This Row],[HR. INICIO]],1)</f>
        <v>1.5277777777777776E-2</v>
      </c>
      <c r="G910" s="16" t="s">
        <v>815</v>
      </c>
      <c r="H910" s="343" t="str">
        <f>IFERROR(VLOOKUP(G910,DATOS!$M$2:$N$219,2,FALSE),"")</f>
        <v>Maquinaria</v>
      </c>
      <c r="I910" s="115" t="s">
        <v>61</v>
      </c>
      <c r="J910" s="115" t="s">
        <v>92</v>
      </c>
      <c r="K910" s="114" t="s">
        <v>93</v>
      </c>
      <c r="L910" s="35" t="s">
        <v>1803</v>
      </c>
      <c r="M910" s="35" t="s">
        <v>1804</v>
      </c>
      <c r="N910" s="35" t="str" cm="1">
        <f t="array" ref="N910">IFERROR(IF(Tabla8[[#This Row],[P/NP]]="NO PROGRAMADA","",_xlfn.TEXTJOIN(", ",TRUE,_xlfn._xlws.FILTER(Tabla4[[#All],[PIEZA]],ISNUMBER(SEARCH(Tabla4[[#All],[PCLAVE]],Tabla8[[#This Row],[DESCRIPCION DE TRABAJO]])),""))),"")</f>
        <v/>
      </c>
      <c r="O910" s="35" t="str" cm="1">
        <f t="array" ref="O910">_xlfn.TEXTJOIN(", ",TRUE,_xlfn._xlws.FILTER(Tabla28[[#All],[PARTE]],ISNUMBER(SEARCH(Tabla28[[#All],[PCLAVE2]],Tabla8[[#This Row],[DESCRIPCION DE TRABAJO]])),""))</f>
        <v/>
      </c>
      <c r="P910" s="303" t="str">
        <f>IFERROR(LEFT(O910, FIND(",", O910)-1), O910)</f>
        <v/>
      </c>
      <c r="Q910" s="303" t="str">
        <f>IFERROR(IF(ISERROR(FIND(",", O910, FIND(",", O910)+1)), RIGHT(O910, LEN(O910)-FIND(",", O910)-1), MID(O910, FIND(",", O910)+2, FIND(",", O910, FIND(",", O910)+1)-FIND(",", O910)-2)), "")</f>
        <v/>
      </c>
      <c r="R910" s="303" t="str">
        <f>IFERROR(RIGHT(O910, LEN(O910)-FIND(",", O910, FIND(",", O910)+1)-1), "")</f>
        <v/>
      </c>
      <c r="S910" s="35" t="str" cm="1">
        <f t="array" ref="S910">_xlfn.TEXTJOIN(", ",TRUE,_xlfn._xlws.FILTER(Tabla29[[#All],[PARTE]],ISNUMBER(SEARCH(Tabla29[[#All],[PCLAVE3]],Tabla8[[#This Row],[DESCRIPCION DE TRABAJO]])),""))</f>
        <v>No Corta, Sellado</v>
      </c>
      <c r="T910" s="34" t="str">
        <f>IF(AND(Tabla8[[#This Row],[PIEZA]]="",Tabla8[[#This Row],[PARTE]]=""),"VACIO","OK")</f>
        <v>VACIO</v>
      </c>
      <c r="U910" s="303" t="str">
        <f>+CONCATENATE(WEEKNUM(Tabla8[[#This Row],[FECHA]]),"-",YEAR(Tabla8[[#This Row],[FECHA]]))</f>
        <v>16-2026</v>
      </c>
    </row>
    <row r="911" spans="1:21" ht="15" customHeight="1">
      <c r="A911" s="22">
        <v>46132</v>
      </c>
      <c r="B911" s="16" t="s">
        <v>179</v>
      </c>
      <c r="C911" s="10" t="s">
        <v>39</v>
      </c>
      <c r="D911" s="381" t="s">
        <v>546</v>
      </c>
      <c r="E911" s="381" t="s">
        <v>1805</v>
      </c>
      <c r="F911" s="380">
        <f>+MOD(Tabla8[[#This Row],[HR. FIN]]-Tabla8[[#This Row],[HR. INICIO]],1)</f>
        <v>8.4722222222222254E-2</v>
      </c>
      <c r="G911" s="16" t="s">
        <v>153</v>
      </c>
      <c r="H911" s="343" t="str">
        <f>IFERROR(VLOOKUP(G911,DATOS!$M$2:$N$219,2,FALSE),"")</f>
        <v>Maquinaria</v>
      </c>
      <c r="I911" s="115" t="s">
        <v>32</v>
      </c>
      <c r="J911" s="115" t="str">
        <f>+VLOOKUP($I911,Tabla7[#All],2,FALSE)</f>
        <v>PROGRAMADA</v>
      </c>
      <c r="K911" s="114" t="str">
        <f>IF(VLOOKUP(I911,Tabla7[#All],3,FALSE)=0,"",VLOOKUP(I911,Tabla7[#All],3,FALSE))</f>
        <v/>
      </c>
      <c r="L911" s="35" t="s">
        <v>1806</v>
      </c>
      <c r="M911" s="35" t="s">
        <v>121</v>
      </c>
      <c r="N911" s="35" t="str" cm="1">
        <f t="array" ref="N911">IFERROR(IF(Tabla8[[#This Row],[P/NP]]="NO PROGRAMADA","",_xlfn.TEXTJOIN(", ",TRUE,_xlfn._xlws.FILTER(Tabla4[[#All],[PIEZA]],ISNUMBER(SEARCH(Tabla4[[#All],[PCLAVE]],Tabla8[[#This Row],[DESCRIPCION DE TRABAJO]])),""))),"")</f>
        <v>Elevador, Elevador</v>
      </c>
      <c r="O911" s="35" t="str" cm="1">
        <f t="array" ref="O911">_xlfn.TEXTJOIN(", ",TRUE,_xlfn._xlws.FILTER(Tabla28[[#All],[PARTE]],ISNUMBER(SEARCH(Tabla28[[#All],[PCLAVE2]],Tabla8[[#This Row],[DESCRIPCION DE TRABAJO]])),""))</f>
        <v/>
      </c>
      <c r="P911" s="303" t="str">
        <f>IFERROR(LEFT(O911, FIND(",", O911)-1), O911)</f>
        <v/>
      </c>
      <c r="Q911" s="303" t="str">
        <f>IFERROR(IF(ISERROR(FIND(",", O911, FIND(",", O911)+1)), RIGHT(O911, LEN(O911)-FIND(",", O911)-1), MID(O911, FIND(",", O911)+2, FIND(",", O911, FIND(",", O911)+1)-FIND(",", O911)-2)), "")</f>
        <v/>
      </c>
      <c r="R911" s="303" t="str">
        <f>IFERROR(RIGHT(O911, LEN(O911)-FIND(",", O911, FIND(",", O911)+1)-1), "")</f>
        <v/>
      </c>
      <c r="S911" s="35" t="str" cm="1">
        <f t="array" ref="S911">_xlfn.TEXTJOIN(", ",TRUE,_xlfn._xlws.FILTER(Tabla29[[#All],[PARTE]],ISNUMBER(SEARCH(Tabla29[[#All],[PCLAVE3]],Tabla8[[#This Row],[DESCRIPCION DE TRABAJO]])),""))</f>
        <v/>
      </c>
      <c r="T911" s="34" t="str">
        <f>IF(AND(Tabla8[[#This Row],[PIEZA]]="",Tabla8[[#This Row],[PARTE]]=""),"VACIO","OK")</f>
        <v>OK</v>
      </c>
      <c r="U911" s="303" t="str">
        <f>+CONCATENATE(WEEKNUM(Tabla8[[#This Row],[FECHA]]),"-",YEAR(Tabla8[[#This Row],[FECHA]]))</f>
        <v>17-2026</v>
      </c>
    </row>
    <row r="912" spans="1:21" ht="15" customHeight="1">
      <c r="A912" s="22">
        <v>46132</v>
      </c>
      <c r="B912" s="16" t="s">
        <v>179</v>
      </c>
      <c r="C912" s="10" t="s">
        <v>39</v>
      </c>
      <c r="D912" s="381" t="s">
        <v>478</v>
      </c>
      <c r="E912" s="381" t="s">
        <v>1805</v>
      </c>
      <c r="F912" s="380">
        <f>+MOD(Tabla8[[#This Row],[HR. FIN]]-Tabla8[[#This Row],[HR. INICIO]],1)</f>
        <v>7.4999999999999956E-2</v>
      </c>
      <c r="G912" s="16" t="s">
        <v>192</v>
      </c>
      <c r="H912" s="343" t="str">
        <f>IFERROR(VLOOKUP(G912,DATOS!$M$2:$N$219,2,FALSE),"")</f>
        <v>Maquinaria</v>
      </c>
      <c r="I912" s="115" t="s">
        <v>57</v>
      </c>
      <c r="J912" s="115" t="str">
        <f>+VLOOKUP($I912,Tabla7[#All],2,FALSE)</f>
        <v>NO PROGRAMADA</v>
      </c>
      <c r="K912" s="114" t="str">
        <f>IF(VLOOKUP(I912,Tabla7[#All],3,FALSE)=0,"",VLOOKUP(I912,Tabla7[#All],3,FALSE))</f>
        <v>MECÁNICA</v>
      </c>
      <c r="L912" s="35" t="s">
        <v>1807</v>
      </c>
      <c r="M912" s="35" t="s">
        <v>1808</v>
      </c>
      <c r="N912" s="35" t="str" cm="1">
        <f t="array" ref="N912">IFERROR(IF(Tabla8[[#This Row],[P/NP]]="NO PROGRAMADA","",_xlfn.TEXTJOIN(", ",TRUE,_xlfn._xlws.FILTER(Tabla4[[#All],[PIEZA]],ISNUMBER(SEARCH(Tabla4[[#All],[PCLAVE]],Tabla8[[#This Row],[DESCRIPCION DE TRABAJO]])),""))),"")</f>
        <v/>
      </c>
      <c r="O912" s="35" t="str" cm="1">
        <f t="array" ref="O912">_xlfn.TEXTJOIN(", ",TRUE,_xlfn._xlws.FILTER(Tabla28[[#All],[PARTE]],ISNUMBER(SEARCH(Tabla28[[#All],[PCLAVE2]],Tabla8[[#This Row],[DESCRIPCION DE TRABAJO]])),""))</f>
        <v/>
      </c>
      <c r="P912" s="303" t="str">
        <f>IFERROR(LEFT(O912, FIND(",", O912)-1), O912)</f>
        <v/>
      </c>
      <c r="Q912" s="303" t="str">
        <f>IFERROR(IF(ISERROR(FIND(",", O912, FIND(",", O912)+1)), RIGHT(O912, LEN(O912)-FIND(",", O912)-1), MID(O912, FIND(",", O912)+2, FIND(",", O912, FIND(",", O912)+1)-FIND(",", O912)-2)), "")</f>
        <v/>
      </c>
      <c r="R912" s="303" t="str">
        <f>IFERROR(RIGHT(O912, LEN(O912)-FIND(",", O912, FIND(",", O912)+1)-1), "")</f>
        <v/>
      </c>
      <c r="S912" s="35" t="str" cm="1">
        <f t="array" ref="S912">_xlfn.TEXTJOIN(", ",TRUE,_xlfn._xlws.FILTER(Tabla29[[#All],[PARTE]],ISNUMBER(SEARCH(Tabla29[[#All],[PCLAVE3]],Tabla8[[#This Row],[DESCRIPCION DE TRABAJO]])),""))</f>
        <v>Error</v>
      </c>
      <c r="T912" s="34" t="str">
        <f>IF(AND(Tabla8[[#This Row],[PIEZA]]="",Tabla8[[#This Row],[PARTE]]=""),"VACIO","OK")</f>
        <v>VACIO</v>
      </c>
      <c r="U912" s="303" t="str">
        <f>+CONCATENATE(WEEKNUM(Tabla8[[#This Row],[FECHA]]),"-",YEAR(Tabla8[[#This Row],[FECHA]]))</f>
        <v>17-2026</v>
      </c>
    </row>
    <row r="913" spans="1:21" ht="15" customHeight="1">
      <c r="A913" s="22">
        <v>46132</v>
      </c>
      <c r="B913" s="16" t="s">
        <v>88</v>
      </c>
      <c r="C913" s="10" t="s">
        <v>36</v>
      </c>
      <c r="D913" s="381" t="s">
        <v>101</v>
      </c>
      <c r="E913" s="381" t="s">
        <v>122</v>
      </c>
      <c r="F913" s="380">
        <f>+MOD(Tabla8[[#This Row],[HR. FIN]]-Tabla8[[#This Row],[HR. INICIO]],1)</f>
        <v>4.1666666666666657E-2</v>
      </c>
      <c r="G913" s="16" t="s">
        <v>103</v>
      </c>
      <c r="H913" s="343" t="str">
        <f>IFERROR(VLOOKUP(G913,DATOS!$M$2:$N$219,2,FALSE),"")</f>
        <v>Area</v>
      </c>
      <c r="I913" s="115" t="s">
        <v>43</v>
      </c>
      <c r="J913" s="115" t="str">
        <f>+VLOOKUP($I913,Tabla7[#All],2,FALSE)</f>
        <v>PROGRAMADA</v>
      </c>
      <c r="K913" s="114" t="str">
        <f>IF(VLOOKUP(I913,Tabla7[#All],3,FALSE)=0,"",VLOOKUP(I913,Tabla7[#All],3,FALSE))</f>
        <v/>
      </c>
      <c r="L913" s="35" t="s">
        <v>446</v>
      </c>
      <c r="M913" s="35" t="s">
        <v>1403</v>
      </c>
      <c r="N913" s="35" t="str" cm="1">
        <f t="array" ref="N913">IFERROR(IF(Tabla8[[#This Row],[P/NP]]="NO PROGRAMADA","",_xlfn.TEXTJOIN(", ",TRUE,_xlfn._xlws.FILTER(Tabla4[[#All],[PIEZA]],ISNUMBER(SEARCH(Tabla4[[#All],[PCLAVE]],Tabla8[[#This Row],[DESCRIPCION DE TRABAJO]])),""))),"")</f>
        <v/>
      </c>
      <c r="O913" s="35" t="str" cm="1">
        <f t="array" ref="O913">_xlfn.TEXTJOIN(", ",TRUE,_xlfn._xlws.FILTER(Tabla28[[#All],[PARTE]],ISNUMBER(SEARCH(Tabla28[[#All],[PCLAVE2]],Tabla8[[#This Row],[DESCRIPCION DE TRABAJO]])),""))</f>
        <v/>
      </c>
      <c r="P913" s="303" t="str">
        <f>IFERROR(LEFT(O913, FIND(",", O913)-1), O913)</f>
        <v/>
      </c>
      <c r="Q913" s="303" t="str">
        <f>IFERROR(IF(ISERROR(FIND(",", O913, FIND(",", O913)+1)), RIGHT(O913, LEN(O913)-FIND(",", O913)-1), MID(O913, FIND(",", O913)+2, FIND(",", O913, FIND(",", O913)+1)-FIND(",", O913)-2)), "")</f>
        <v/>
      </c>
      <c r="R913" s="303" t="str">
        <f>IFERROR(RIGHT(O913, LEN(O913)-FIND(",", O913, FIND(",", O913)+1)-1), "")</f>
        <v/>
      </c>
      <c r="S913" s="35" t="str" cm="1">
        <f t="array" ref="S913">_xlfn.TEXTJOIN(", ",TRUE,_xlfn._xlws.FILTER(Tabla29[[#All],[PARTE]],ISNUMBER(SEARCH(Tabla29[[#All],[PCLAVE3]],Tabla8[[#This Row],[DESCRIPCION DE TRABAJO]])),""))</f>
        <v/>
      </c>
      <c r="T913" s="34" t="str">
        <f>IF(AND(Tabla8[[#This Row],[PIEZA]]="",Tabla8[[#This Row],[PARTE]]=""),"VACIO","OK")</f>
        <v>VACIO</v>
      </c>
      <c r="U913" s="303" t="str">
        <f>+CONCATENATE(WEEKNUM(Tabla8[[#This Row],[FECHA]]),"-",YEAR(Tabla8[[#This Row],[FECHA]]))</f>
        <v>17-2026</v>
      </c>
    </row>
    <row r="914" spans="1:21" ht="15" customHeight="1">
      <c r="A914" s="22">
        <v>46132</v>
      </c>
      <c r="B914" s="16" t="s">
        <v>88</v>
      </c>
      <c r="C914" s="10" t="s">
        <v>36</v>
      </c>
      <c r="D914" s="381" t="s">
        <v>437</v>
      </c>
      <c r="E914" s="381" t="s">
        <v>127</v>
      </c>
      <c r="F914" s="380">
        <f>+MOD(Tabla8[[#This Row],[HR. FIN]]-Tabla8[[#This Row],[HR. INICIO]],1)</f>
        <v>3.125E-2</v>
      </c>
      <c r="G914" s="16" t="s">
        <v>270</v>
      </c>
      <c r="H914" s="343" t="str">
        <f>IFERROR(VLOOKUP(G914,DATOS!$M$2:$N$219,2,FALSE),"")</f>
        <v>Maquinaria</v>
      </c>
      <c r="I914" s="115" t="s">
        <v>32</v>
      </c>
      <c r="J914" s="115" t="str">
        <f>+VLOOKUP($I914,Tabla7[#All],2,FALSE)</f>
        <v>PROGRAMADA</v>
      </c>
      <c r="K914" s="114" t="str">
        <f>IF(VLOOKUP(I914,Tabla7[#All],3,FALSE)=0,"",VLOOKUP(I914,Tabla7[#All],3,FALSE))</f>
        <v/>
      </c>
      <c r="L914" s="35" t="s">
        <v>1809</v>
      </c>
      <c r="M914" s="35" t="s">
        <v>1810</v>
      </c>
      <c r="N914" s="35" t="str" cm="1">
        <f t="array" ref="N914">IFERROR(IF(Tabla8[[#This Row],[P/NP]]="NO PROGRAMADA","",_xlfn.TEXTJOIN(", ",TRUE,_xlfn._xlws.FILTER(Tabla4[[#All],[PIEZA]],ISNUMBER(SEARCH(Tabla4[[#All],[PCLAVE]],Tabla8[[#This Row],[DESCRIPCION DE TRABAJO]])),""))),"")</f>
        <v/>
      </c>
      <c r="O914" s="35" t="str" cm="1">
        <f t="array" ref="O914">_xlfn.TEXTJOIN(", ",TRUE,_xlfn._xlws.FILTER(Tabla28[[#All],[PARTE]],ISNUMBER(SEARCH(Tabla28[[#All],[PCLAVE2]],Tabla8[[#This Row],[DESCRIPCION DE TRABAJO]])),""))</f>
        <v/>
      </c>
      <c r="P914" s="303" t="str">
        <f>IFERROR(LEFT(O914, FIND(",", O914)-1), O914)</f>
        <v/>
      </c>
      <c r="Q914" s="303" t="str">
        <f>IFERROR(IF(ISERROR(FIND(",", O914, FIND(",", O914)+1)), RIGHT(O914, LEN(O914)-FIND(",", O914)-1), MID(O914, FIND(",", O914)+2, FIND(",", O914, FIND(",", O914)+1)-FIND(",", O914)-2)), "")</f>
        <v/>
      </c>
      <c r="R914" s="303" t="str">
        <f>IFERROR(RIGHT(O914, LEN(O914)-FIND(",", O914, FIND(",", O914)+1)-1), "")</f>
        <v/>
      </c>
      <c r="S914" s="35" t="str" cm="1">
        <f t="array" ref="S914">_xlfn.TEXTJOIN(", ",TRUE,_xlfn._xlws.FILTER(Tabla29[[#All],[PARTE]],ISNUMBER(SEARCH(Tabla29[[#All],[PCLAVE3]],Tabla8[[#This Row],[DESCRIPCION DE TRABAJO]])),""))</f>
        <v/>
      </c>
      <c r="T914" s="34" t="str">
        <f>IF(AND(Tabla8[[#This Row],[PIEZA]]="",Tabla8[[#This Row],[PARTE]]=""),"VACIO","OK")</f>
        <v>VACIO</v>
      </c>
      <c r="U914" s="303" t="str">
        <f>+CONCATENATE(WEEKNUM(Tabla8[[#This Row],[FECHA]]),"-",YEAR(Tabla8[[#This Row],[FECHA]]))</f>
        <v>17-2026</v>
      </c>
    </row>
    <row r="915" spans="1:21" ht="15" customHeight="1">
      <c r="A915" s="22">
        <v>46132</v>
      </c>
      <c r="B915" s="16" t="s">
        <v>88</v>
      </c>
      <c r="C915" s="10" t="s">
        <v>36</v>
      </c>
      <c r="D915" s="381" t="s">
        <v>462</v>
      </c>
      <c r="E915" s="381" t="s">
        <v>556</v>
      </c>
      <c r="F915" s="380">
        <f>+MOD(Tabla8[[#This Row],[HR. FIN]]-Tabla8[[#This Row],[HR. INICIO]],1)</f>
        <v>3.125E-2</v>
      </c>
      <c r="G915" s="16" t="s">
        <v>98</v>
      </c>
      <c r="H915" s="343" t="str">
        <f>IFERROR(VLOOKUP(G915,DATOS!$M$2:$N$219,2,FALSE),"")</f>
        <v>Maquinaria</v>
      </c>
      <c r="I915" s="115" t="s">
        <v>32</v>
      </c>
      <c r="J915" s="115" t="str">
        <f>+VLOOKUP($I915,Tabla7[#All],2,FALSE)</f>
        <v>PROGRAMADA</v>
      </c>
      <c r="K915" s="114" t="str">
        <f>IF(VLOOKUP(I915,Tabla7[#All],3,FALSE)=0,"",VLOOKUP(I915,Tabla7[#All],3,FALSE))</f>
        <v/>
      </c>
      <c r="L915" s="35" t="s">
        <v>1593</v>
      </c>
      <c r="M915" s="35" t="s">
        <v>1811</v>
      </c>
      <c r="N915" s="35" t="str" cm="1">
        <f t="array" ref="N915">IFERROR(IF(Tabla8[[#This Row],[P/NP]]="NO PROGRAMADA","",_xlfn.TEXTJOIN(", ",TRUE,_xlfn._xlws.FILTER(Tabla4[[#All],[PIEZA]],ISNUMBER(SEARCH(Tabla4[[#All],[PCLAVE]],Tabla8[[#This Row],[DESCRIPCION DE TRABAJO]])),""))),"")</f>
        <v/>
      </c>
      <c r="O915" s="35" t="str" cm="1">
        <f t="array" ref="O915">_xlfn.TEXTJOIN(", ",TRUE,_xlfn._xlws.FILTER(Tabla28[[#All],[PARTE]],ISNUMBER(SEARCH(Tabla28[[#All],[PCLAVE2]],Tabla8[[#This Row],[DESCRIPCION DE TRABAJO]])),""))</f>
        <v/>
      </c>
      <c r="P915" s="303" t="str">
        <f>IFERROR(LEFT(O915, FIND(",", O915)-1), O915)</f>
        <v/>
      </c>
      <c r="Q915" s="303" t="str">
        <f>IFERROR(IF(ISERROR(FIND(",", O915, FIND(",", O915)+1)), RIGHT(O915, LEN(O915)-FIND(",", O915)-1), MID(O915, FIND(",", O915)+2, FIND(",", O915, FIND(",", O915)+1)-FIND(",", O915)-2)), "")</f>
        <v/>
      </c>
      <c r="R915" s="303" t="str">
        <f>IFERROR(RIGHT(O915, LEN(O915)-FIND(",", O915, FIND(",", O915)+1)-1), "")</f>
        <v/>
      </c>
      <c r="S915" s="35" t="str" cm="1">
        <f t="array" ref="S915">_xlfn.TEXTJOIN(", ",TRUE,_xlfn._xlws.FILTER(Tabla29[[#All],[PARTE]],ISNUMBER(SEARCH(Tabla29[[#All],[PCLAVE3]],Tabla8[[#This Row],[DESCRIPCION DE TRABAJO]])),""))</f>
        <v/>
      </c>
      <c r="T915" s="34" t="str">
        <f>IF(AND(Tabla8[[#This Row],[PIEZA]]="",Tabla8[[#This Row],[PARTE]]=""),"VACIO","OK")</f>
        <v>VACIO</v>
      </c>
      <c r="U915" s="303" t="str">
        <f>+CONCATENATE(WEEKNUM(Tabla8[[#This Row],[FECHA]]),"-",YEAR(Tabla8[[#This Row],[FECHA]]))</f>
        <v>17-2026</v>
      </c>
    </row>
    <row r="916" spans="1:21" ht="15" customHeight="1">
      <c r="A916" s="22">
        <v>46132</v>
      </c>
      <c r="B916" s="16" t="s">
        <v>131</v>
      </c>
      <c r="C916" s="10" t="s">
        <v>36</v>
      </c>
      <c r="D916" s="381" t="s">
        <v>1812</v>
      </c>
      <c r="E916" s="381" t="s">
        <v>1813</v>
      </c>
      <c r="F916" s="380">
        <f>+MOD(Tabla8[[#This Row],[HR. FIN]]-Tabla8[[#This Row],[HR. INICIO]],1)</f>
        <v>2.7083333333333348E-2</v>
      </c>
      <c r="G916" s="16" t="s">
        <v>153</v>
      </c>
      <c r="H916" s="343" t="str">
        <f>IFERROR(VLOOKUP(G916,DATOS!$M$2:$N$219,2,FALSE),"")</f>
        <v>Maquinaria</v>
      </c>
      <c r="I916" s="115" t="s">
        <v>32</v>
      </c>
      <c r="J916" s="115" t="str">
        <f>+VLOOKUP($I916,Tabla7[#All],2,FALSE)</f>
        <v>PROGRAMADA</v>
      </c>
      <c r="K916" s="114" t="str">
        <f>IF(VLOOKUP(I916,Tabla7[#All],3,FALSE)=0,"",VLOOKUP(I916,Tabla7[#All],3,FALSE))</f>
        <v/>
      </c>
      <c r="L916" s="35" t="s">
        <v>1814</v>
      </c>
      <c r="M916" s="35" t="s">
        <v>121</v>
      </c>
      <c r="N916" s="35" t="str" cm="1">
        <f t="array" ref="N916">IFERROR(IF(Tabla8[[#This Row],[P/NP]]="NO PROGRAMADA","",_xlfn.TEXTJOIN(", ",TRUE,_xlfn._xlws.FILTER(Tabla4[[#All],[PIEZA]],ISNUMBER(SEARCH(Tabla4[[#All],[PCLAVE]],Tabla8[[#This Row],[DESCRIPCION DE TRABAJO]])),""))),"")</f>
        <v>Banda</v>
      </c>
      <c r="O916" s="35" t="str" cm="1">
        <f t="array" ref="O916">_xlfn.TEXTJOIN(", ",TRUE,_xlfn._xlws.FILTER(Tabla28[[#All],[PARTE]],ISNUMBER(SEARCH(Tabla28[[#All],[PCLAVE2]],Tabla8[[#This Row],[DESCRIPCION DE TRABAJO]])),""))</f>
        <v/>
      </c>
      <c r="P916" s="303" t="str">
        <f>IFERROR(LEFT(O916, FIND(",", O916)-1), O916)</f>
        <v/>
      </c>
      <c r="Q916" s="303" t="str">
        <f>IFERROR(IF(ISERROR(FIND(",", O916, FIND(",", O916)+1)), RIGHT(O916, LEN(O916)-FIND(",", O916)-1), MID(O916, FIND(",", O916)+2, FIND(",", O916, FIND(",", O916)+1)-FIND(",", O916)-2)), "")</f>
        <v/>
      </c>
      <c r="R916" s="303" t="str">
        <f>IFERROR(RIGHT(O916, LEN(O916)-FIND(",", O916, FIND(",", O916)+1)-1), "")</f>
        <v/>
      </c>
      <c r="S916" s="35" t="str" cm="1">
        <f t="array" ref="S916">_xlfn.TEXTJOIN(", ",TRUE,_xlfn._xlws.FILTER(Tabla29[[#All],[PARTE]],ISNUMBER(SEARCH(Tabla29[[#All],[PCLAVE3]],Tabla8[[#This Row],[DESCRIPCION DE TRABAJO]])),""))</f>
        <v/>
      </c>
      <c r="T916" s="34" t="str">
        <f>IF(AND(Tabla8[[#This Row],[PIEZA]]="",Tabla8[[#This Row],[PARTE]]=""),"VACIO","OK")</f>
        <v>OK</v>
      </c>
      <c r="U916" s="303" t="str">
        <f>+CONCATENATE(WEEKNUM(Tabla8[[#This Row],[FECHA]]),"-",YEAR(Tabla8[[#This Row],[FECHA]]))</f>
        <v>17-2026</v>
      </c>
    </row>
    <row r="917" spans="1:21" ht="15" customHeight="1">
      <c r="A917" s="22">
        <v>46132</v>
      </c>
      <c r="B917" s="16" t="s">
        <v>191</v>
      </c>
      <c r="C917" s="10" t="s">
        <v>23</v>
      </c>
      <c r="D917" s="381" t="s">
        <v>685</v>
      </c>
      <c r="E917" s="381" t="s">
        <v>1815</v>
      </c>
      <c r="F917" s="380">
        <f>+MOD(Tabla8[[#This Row],[HR. FIN]]-Tabla8[[#This Row],[HR. INICIO]],1)</f>
        <v>2.5694444444444464E-2</v>
      </c>
      <c r="G917" s="16" t="s">
        <v>382</v>
      </c>
      <c r="H917" s="343" t="str">
        <f>IFERROR(VLOOKUP(G917,DATOS!$M$2:$N$219,2,FALSE),"")</f>
        <v>Maquinaria</v>
      </c>
      <c r="I917" s="115" t="s">
        <v>32</v>
      </c>
      <c r="J917" s="115" t="s">
        <v>92</v>
      </c>
      <c r="K917" s="114" t="s">
        <v>148</v>
      </c>
      <c r="L917" s="35" t="s">
        <v>1816</v>
      </c>
      <c r="M917" s="35" t="s">
        <v>1817</v>
      </c>
      <c r="N917" s="35" t="str" cm="1">
        <f t="array" ref="N917">IFERROR(IF(Tabla8[[#This Row],[P/NP]]="NO PROGRAMADA","",_xlfn.TEXTJOIN(", ",TRUE,_xlfn._xlws.FILTER(Tabla4[[#All],[PIEZA]],ISNUMBER(SEARCH(Tabla4[[#All],[PCLAVE]],Tabla8[[#This Row],[DESCRIPCION DE TRABAJO]])),""))),"")</f>
        <v/>
      </c>
      <c r="O917" s="35" t="str" cm="1">
        <f t="array" ref="O917">_xlfn.TEXTJOIN(", ",TRUE,_xlfn._xlws.FILTER(Tabla28[[#All],[PARTE]],ISNUMBER(SEARCH(Tabla28[[#All],[PCLAVE2]],Tabla8[[#This Row],[DESCRIPCION DE TRABAJO]])),""))</f>
        <v/>
      </c>
      <c r="P917" s="303" t="str">
        <f>IFERROR(LEFT(O917, FIND(",", O917)-1), O917)</f>
        <v/>
      </c>
      <c r="Q917" s="303" t="str">
        <f>IFERROR(IF(ISERROR(FIND(",", O917, FIND(",", O917)+1)), RIGHT(O917, LEN(O917)-FIND(",", O917)-1), MID(O917, FIND(",", O917)+2, FIND(",", O917, FIND(",", O917)+1)-FIND(",", O917)-2)), "")</f>
        <v/>
      </c>
      <c r="R917" s="303" t="str">
        <f>IFERROR(RIGHT(O917, LEN(O917)-FIND(",", O917, FIND(",", O917)+1)-1), "")</f>
        <v/>
      </c>
      <c r="S917" s="35" t="str" cm="1">
        <f t="array" ref="S917">_xlfn.TEXTJOIN(", ",TRUE,_xlfn._xlws.FILTER(Tabla29[[#All],[PARTE]],ISNUMBER(SEARCH(Tabla29[[#All],[PCLAVE3]],Tabla8[[#This Row],[DESCRIPCION DE TRABAJO]])),""))</f>
        <v/>
      </c>
      <c r="T917" s="34" t="str">
        <f>IF(AND(Tabla8[[#This Row],[PIEZA]]="",Tabla8[[#This Row],[PARTE]]=""),"VACIO","OK")</f>
        <v>VACIO</v>
      </c>
      <c r="U917" s="303" t="str">
        <f>+CONCATENATE(WEEKNUM(Tabla8[[#This Row],[FECHA]]),"-",YEAR(Tabla8[[#This Row],[FECHA]]))</f>
        <v>17-2026</v>
      </c>
    </row>
    <row r="918" spans="1:21" ht="15" customHeight="1">
      <c r="A918" s="22">
        <v>46132</v>
      </c>
      <c r="B918" s="16" t="s">
        <v>191</v>
      </c>
      <c r="C918" s="10" t="s">
        <v>23</v>
      </c>
      <c r="D918" s="381" t="s">
        <v>1818</v>
      </c>
      <c r="E918" s="381" t="s">
        <v>1819</v>
      </c>
      <c r="F918" s="380">
        <f>+MOD(Tabla8[[#This Row],[HR. FIN]]-Tabla8[[#This Row],[HR. INICIO]],1)</f>
        <v>2.5000000000000022E-2</v>
      </c>
      <c r="G918" s="16" t="s">
        <v>192</v>
      </c>
      <c r="H918" s="343" t="str">
        <f>IFERROR(VLOOKUP(G918,DATOS!$M$2:$N$219,2,FALSE),"")</f>
        <v>Maquinaria</v>
      </c>
      <c r="I918" s="115" t="s">
        <v>57</v>
      </c>
      <c r="J918" s="115" t="str">
        <f>+VLOOKUP($I918,Tabla7[#All],2,FALSE)</f>
        <v>NO PROGRAMADA</v>
      </c>
      <c r="K918" s="114" t="str">
        <f>IF(VLOOKUP(I918,Tabla7[#All],3,FALSE)=0,"",VLOOKUP(I918,Tabla7[#All],3,FALSE))</f>
        <v>MECÁNICA</v>
      </c>
      <c r="L918" s="35" t="s">
        <v>1820</v>
      </c>
      <c r="M918" s="35" t="s">
        <v>1821</v>
      </c>
      <c r="N918" s="35" t="str" cm="1">
        <f t="array" ref="N918">IFERROR(IF(Tabla8[[#This Row],[P/NP]]="NO PROGRAMADA","",_xlfn.TEXTJOIN(", ",TRUE,_xlfn._xlws.FILTER(Tabla4[[#All],[PIEZA]],ISNUMBER(SEARCH(Tabla4[[#All],[PCLAVE]],Tabla8[[#This Row],[DESCRIPCION DE TRABAJO]])),""))),"")</f>
        <v/>
      </c>
      <c r="O918" s="35" t="str" cm="1">
        <f t="array" ref="O918">_xlfn.TEXTJOIN(", ",TRUE,_xlfn._xlws.FILTER(Tabla28[[#All],[PARTE]],ISNUMBER(SEARCH(Tabla28[[#All],[PCLAVE2]],Tabla8[[#This Row],[DESCRIPCION DE TRABAJO]])),""))</f>
        <v/>
      </c>
      <c r="P918" s="303" t="str">
        <f>IFERROR(LEFT(O918, FIND(",", O918)-1), O918)</f>
        <v/>
      </c>
      <c r="Q918" s="303" t="str">
        <f>IFERROR(IF(ISERROR(FIND(",", O918, FIND(",", O918)+1)), RIGHT(O918, LEN(O918)-FIND(",", O918)-1), MID(O918, FIND(",", O918)+2, FIND(",", O918, FIND(",", O918)+1)-FIND(",", O918)-2)), "")</f>
        <v/>
      </c>
      <c r="R918" s="303" t="str">
        <f>IFERROR(RIGHT(O918, LEN(O918)-FIND(",", O918, FIND(",", O918)+1)-1), "")</f>
        <v/>
      </c>
      <c r="S918" s="35" t="str" cm="1">
        <f t="array" ref="S918">_xlfn.TEXTJOIN(", ",TRUE,_xlfn._xlws.FILTER(Tabla29[[#All],[PARTE]],ISNUMBER(SEARCH(Tabla29[[#All],[PCLAVE3]],Tabla8[[#This Row],[DESCRIPCION DE TRABAJO]])),""))</f>
        <v>No Corta</v>
      </c>
      <c r="T918" s="34" t="str">
        <f>IF(AND(Tabla8[[#This Row],[PIEZA]]="",Tabla8[[#This Row],[PARTE]]=""),"VACIO","OK")</f>
        <v>VACIO</v>
      </c>
      <c r="U918" s="303" t="str">
        <f>+CONCATENATE(WEEKNUM(Tabla8[[#This Row],[FECHA]]),"-",YEAR(Tabla8[[#This Row],[FECHA]]))</f>
        <v>17-2026</v>
      </c>
    </row>
    <row r="919" spans="1:21" ht="15" customHeight="1">
      <c r="A919" s="22">
        <v>46132</v>
      </c>
      <c r="B919" s="16" t="s">
        <v>88</v>
      </c>
      <c r="C919" s="10" t="s">
        <v>36</v>
      </c>
      <c r="D919" s="381" t="s">
        <v>106</v>
      </c>
      <c r="E919" s="381" t="s">
        <v>608</v>
      </c>
      <c r="F919" s="380">
        <f>+MOD(Tabla8[[#This Row],[HR. FIN]]-Tabla8[[#This Row],[HR. INICIO]],1)</f>
        <v>2.430555555555558E-2</v>
      </c>
      <c r="G919" s="16" t="s">
        <v>972</v>
      </c>
      <c r="H919" s="343" t="str">
        <f>IFERROR(VLOOKUP(G919,DATOS!$M$2:$N$219,2,FALSE),"")</f>
        <v>Maquinaria</v>
      </c>
      <c r="I919" s="115" t="s">
        <v>28</v>
      </c>
      <c r="J919" s="115" t="str">
        <f>+VLOOKUP($I919,Tabla7[#All],2,FALSE)</f>
        <v>NO PROGRAMADA</v>
      </c>
      <c r="K919" s="114" t="str">
        <f>IF(VLOOKUP(I919,Tabla7[#All],3,FALSE)=0,"",VLOOKUP(I919,Tabla7[#All],3,FALSE))</f>
        <v>ELÉCTRICA</v>
      </c>
      <c r="L919" s="35" t="s">
        <v>1822</v>
      </c>
      <c r="M919" s="35" t="s">
        <v>1823</v>
      </c>
      <c r="N919" s="35" t="str" cm="1">
        <f t="array" ref="N919">IFERROR(IF(Tabla8[[#This Row],[P/NP]]="NO PROGRAMADA","",_xlfn.TEXTJOIN(", ",TRUE,_xlfn._xlws.FILTER(Tabla4[[#All],[PIEZA]],ISNUMBER(SEARCH(Tabla4[[#All],[PCLAVE]],Tabla8[[#This Row],[DESCRIPCION DE TRABAJO]])),""))),"")</f>
        <v/>
      </c>
      <c r="O919" s="35" t="str" cm="1">
        <f t="array" ref="O919">_xlfn.TEXTJOIN(", ",TRUE,_xlfn._xlws.FILTER(Tabla28[[#All],[PARTE]],ISNUMBER(SEARCH(Tabla28[[#All],[PCLAVE2]],Tabla8[[#This Row],[DESCRIPCION DE TRABAJO]])),""))</f>
        <v/>
      </c>
      <c r="P919" s="303" t="str">
        <f>IFERROR(LEFT(O919, FIND(",", O919)-1), O919)</f>
        <v/>
      </c>
      <c r="Q919" s="303" t="str">
        <f>IFERROR(IF(ISERROR(FIND(",", O919, FIND(",", O919)+1)), RIGHT(O919, LEN(O919)-FIND(",", O919)-1), MID(O919, FIND(",", O919)+2, FIND(",", O919, FIND(",", O919)+1)-FIND(",", O919)-2)), "")</f>
        <v/>
      </c>
      <c r="R919" s="303" t="str">
        <f>IFERROR(RIGHT(O919, LEN(O919)-FIND(",", O919, FIND(",", O919)+1)-1), "")</f>
        <v/>
      </c>
      <c r="S919" s="35" t="str" cm="1">
        <f t="array" ref="S919">_xlfn.TEXTJOIN(", ",TRUE,_xlfn._xlws.FILTER(Tabla29[[#All],[PARTE]],ISNUMBER(SEARCH(Tabla29[[#All],[PCLAVE3]],Tabla8[[#This Row],[DESCRIPCION DE TRABAJO]])),""))</f>
        <v>Apagado</v>
      </c>
      <c r="T919" s="34" t="str">
        <f>IF(AND(Tabla8[[#This Row],[PIEZA]]="",Tabla8[[#This Row],[PARTE]]=""),"VACIO","OK")</f>
        <v>VACIO</v>
      </c>
      <c r="U919" s="303" t="str">
        <f>+CONCATENATE(WEEKNUM(Tabla8[[#This Row],[FECHA]]),"-",YEAR(Tabla8[[#This Row],[FECHA]]))</f>
        <v>17-2026</v>
      </c>
    </row>
    <row r="920" spans="1:21" ht="15" customHeight="1">
      <c r="A920" s="22">
        <v>46132</v>
      </c>
      <c r="B920" s="16" t="s">
        <v>191</v>
      </c>
      <c r="C920" s="10" t="s">
        <v>23</v>
      </c>
      <c r="D920" s="381" t="s">
        <v>1824</v>
      </c>
      <c r="E920" s="381" t="s">
        <v>1549</v>
      </c>
      <c r="F920" s="380">
        <f>+MOD(Tabla8[[#This Row],[HR. FIN]]-Tabla8[[#This Row],[HR. INICIO]],1)</f>
        <v>2.3611111111111138E-2</v>
      </c>
      <c r="G920" s="16" t="s">
        <v>31</v>
      </c>
      <c r="H920" s="343" t="str">
        <f>IFERROR(VLOOKUP(G920,DATOS!$M$2:$N$219,2,FALSE),"")</f>
        <v>Maquinaria</v>
      </c>
      <c r="I920" s="115" t="s">
        <v>57</v>
      </c>
      <c r="J920" s="115" t="s">
        <v>157</v>
      </c>
      <c r="K920" s="114"/>
      <c r="L920" s="35" t="s">
        <v>1825</v>
      </c>
      <c r="M920" s="35" t="s">
        <v>121</v>
      </c>
      <c r="N920" s="35" t="str" cm="1">
        <f t="array" ref="N920">IFERROR(IF(Tabla8[[#This Row],[P/NP]]="NO PROGRAMADA","",_xlfn.TEXTJOIN(", ",TRUE,_xlfn._xlws.FILTER(Tabla4[[#All],[PIEZA]],ISNUMBER(SEARCH(Tabla4[[#All],[PCLAVE]],Tabla8[[#This Row],[DESCRIPCION DE TRABAJO]])),""))),"")</f>
        <v>Banda, Guias</v>
      </c>
      <c r="O920" s="35" t="str" cm="1">
        <f t="array" ref="O920">_xlfn.TEXTJOIN(", ",TRUE,_xlfn._xlws.FILTER(Tabla28[[#All],[PARTE]],ISNUMBER(SEARCH(Tabla28[[#All],[PCLAVE2]],Tabla8[[#This Row],[DESCRIPCION DE TRABAJO]])),""))</f>
        <v/>
      </c>
      <c r="P920" s="303" t="str">
        <f>IFERROR(LEFT(O920, FIND(",", O920)-1), O920)</f>
        <v/>
      </c>
      <c r="Q920" s="303" t="str">
        <f>IFERROR(IF(ISERROR(FIND(",", O920, FIND(",", O920)+1)), RIGHT(O920, LEN(O920)-FIND(",", O920)-1), MID(O920, FIND(",", O920)+2, FIND(",", O920, FIND(",", O920)+1)-FIND(",", O920)-2)), "")</f>
        <v/>
      </c>
      <c r="R920" s="303" t="str">
        <f>IFERROR(RIGHT(O920, LEN(O920)-FIND(",", O920, FIND(",", O920)+1)-1), "")</f>
        <v/>
      </c>
      <c r="S920" s="35" t="str" cm="1">
        <f t="array" ref="S920">_xlfn.TEXTJOIN(", ",TRUE,_xlfn._xlws.FILTER(Tabla29[[#All],[PARTE]],ISNUMBER(SEARCH(Tabla29[[#All],[PCLAVE3]],Tabla8[[#This Row],[DESCRIPCION DE TRABAJO]])),""))</f>
        <v>Calibracion, Desalineado</v>
      </c>
      <c r="T920" s="34" t="str">
        <f>IF(AND(Tabla8[[#This Row],[PIEZA]]="",Tabla8[[#This Row],[PARTE]]=""),"VACIO","OK")</f>
        <v>OK</v>
      </c>
      <c r="U920" s="303" t="str">
        <f>+CONCATENATE(WEEKNUM(Tabla8[[#This Row],[FECHA]]),"-",YEAR(Tabla8[[#This Row],[FECHA]]))</f>
        <v>17-2026</v>
      </c>
    </row>
    <row r="921" spans="1:21" ht="15" customHeight="1">
      <c r="A921" s="22">
        <v>46132</v>
      </c>
      <c r="B921" s="16" t="s">
        <v>191</v>
      </c>
      <c r="C921" s="10" t="s">
        <v>23</v>
      </c>
      <c r="D921" s="381" t="s">
        <v>1826</v>
      </c>
      <c r="E921" s="381" t="s">
        <v>1827</v>
      </c>
      <c r="F921" s="380">
        <f>+MOD(Tabla8[[#This Row],[HR. FIN]]-Tabla8[[#This Row],[HR. INICIO]],1)</f>
        <v>2.2222222222222254E-2</v>
      </c>
      <c r="G921" s="16" t="s">
        <v>266</v>
      </c>
      <c r="H921" s="343" t="str">
        <f>IFERROR(VLOOKUP(G921,DATOS!$M$2:$N$219,2,FALSE),"")</f>
        <v>Maquinaria</v>
      </c>
      <c r="I921" s="115" t="s">
        <v>32</v>
      </c>
      <c r="J921" s="115" t="str">
        <f>+VLOOKUP($I921,Tabla7[#All],2,FALSE)</f>
        <v>PROGRAMADA</v>
      </c>
      <c r="K921" s="114" t="str">
        <f>IF(VLOOKUP(I921,Tabla7[#All],3,FALSE)=0,"",VLOOKUP(I921,Tabla7[#All],3,FALSE))</f>
        <v/>
      </c>
      <c r="L921" s="35" t="s">
        <v>1828</v>
      </c>
      <c r="M921" s="35" t="s">
        <v>121</v>
      </c>
      <c r="N921" s="35" t="str" cm="1">
        <f t="array" ref="N921">IFERROR(IF(Tabla8[[#This Row],[P/NP]]="NO PROGRAMADA","",_xlfn.TEXTJOIN(", ",TRUE,_xlfn._xlws.FILTER(Tabla4[[#All],[PIEZA]],ISNUMBER(SEARCH(Tabla4[[#All],[PCLAVE]],Tabla8[[#This Row],[DESCRIPCION DE TRABAJO]])),""))),"")</f>
        <v>Filtro, Polin De Arrastre</v>
      </c>
      <c r="O921" s="35" t="str" cm="1">
        <f t="array" ref="O921">_xlfn.TEXTJOIN(", ",TRUE,_xlfn._xlws.FILTER(Tabla28[[#All],[PARTE]],ISNUMBER(SEARCH(Tabla28[[#All],[PCLAVE2]],Tabla8[[#This Row],[DESCRIPCION DE TRABAJO]])),""))</f>
        <v/>
      </c>
      <c r="P921" s="303" t="str">
        <f>IFERROR(LEFT(O921, FIND(",", O921)-1), O921)</f>
        <v/>
      </c>
      <c r="Q921" s="303" t="str">
        <f>IFERROR(IF(ISERROR(FIND(",", O921, FIND(",", O921)+1)), RIGHT(O921, LEN(O921)-FIND(",", O921)-1), MID(O921, FIND(",", O921)+2, FIND(",", O921, FIND(",", O921)+1)-FIND(",", O921)-2)), "")</f>
        <v/>
      </c>
      <c r="R921" s="303" t="str">
        <f>IFERROR(RIGHT(O921, LEN(O921)-FIND(",", O921, FIND(",", O921)+1)-1), "")</f>
        <v/>
      </c>
      <c r="S921" s="35" t="str" cm="1">
        <f t="array" ref="S921">_xlfn.TEXTJOIN(", ",TRUE,_xlfn._xlws.FILTER(Tabla29[[#All],[PARTE]],ISNUMBER(SEARCH(Tabla29[[#All],[PCLAVE3]],Tabla8[[#This Row],[DESCRIPCION DE TRABAJO]])),""))</f>
        <v>Filtracion, Sustitucion</v>
      </c>
      <c r="T921" s="34" t="str">
        <f>IF(AND(Tabla8[[#This Row],[PIEZA]]="",Tabla8[[#This Row],[PARTE]]=""),"VACIO","OK")</f>
        <v>OK</v>
      </c>
      <c r="U921" s="303" t="str">
        <f>+CONCATENATE(WEEKNUM(Tabla8[[#This Row],[FECHA]]),"-",YEAR(Tabla8[[#This Row],[FECHA]]))</f>
        <v>17-2026</v>
      </c>
    </row>
    <row r="922" spans="1:21" ht="15" customHeight="1">
      <c r="A922" s="22">
        <v>46132</v>
      </c>
      <c r="B922" s="16" t="s">
        <v>88</v>
      </c>
      <c r="C922" s="10" t="s">
        <v>36</v>
      </c>
      <c r="D922" s="381" t="s">
        <v>122</v>
      </c>
      <c r="E922" s="381" t="s">
        <v>123</v>
      </c>
      <c r="F922" s="380">
        <f>+MOD(Tabla8[[#This Row],[HR. FIN]]-Tabla8[[#This Row],[HR. INICIO]],1)</f>
        <v>2.083333333333337E-2</v>
      </c>
      <c r="G922" s="16" t="s">
        <v>114</v>
      </c>
      <c r="H922" s="343" t="str">
        <f>IFERROR(VLOOKUP(G922,DATOS!$M$2:$N$219,2,FALSE),"")</f>
        <v>Maquinaria</v>
      </c>
      <c r="I922" s="115" t="s">
        <v>32</v>
      </c>
      <c r="J922" s="115" t="str">
        <f>+VLOOKUP($I922,Tabla7[#All],2,FALSE)</f>
        <v>PROGRAMADA</v>
      </c>
      <c r="K922" s="114" t="str">
        <f>IF(VLOOKUP(I922,Tabla7[#All],3,FALSE)=0,"",VLOOKUP(I922,Tabla7[#All],3,FALSE))</f>
        <v/>
      </c>
      <c r="L922" s="35" t="s">
        <v>1168</v>
      </c>
      <c r="M922" s="35" t="s">
        <v>1166</v>
      </c>
      <c r="N922" s="35" t="str" cm="1">
        <f t="array" ref="N922">IFERROR(IF(Tabla8[[#This Row],[P/NP]]="NO PROGRAMADA","",_xlfn.TEXTJOIN(", ",TRUE,_xlfn._xlws.FILTER(Tabla4[[#All],[PIEZA]],ISNUMBER(SEARCH(Tabla4[[#All],[PCLAVE]],Tabla8[[#This Row],[DESCRIPCION DE TRABAJO]])),""))),"")</f>
        <v/>
      </c>
      <c r="O922" s="35" t="str" cm="1">
        <f t="array" ref="O922">_xlfn.TEXTJOIN(", ",TRUE,_xlfn._xlws.FILTER(Tabla28[[#All],[PARTE]],ISNUMBER(SEARCH(Tabla28[[#All],[PCLAVE2]],Tabla8[[#This Row],[DESCRIPCION DE TRABAJO]])),""))</f>
        <v/>
      </c>
      <c r="P922" s="303" t="str">
        <f>IFERROR(LEFT(O922, FIND(",", O922)-1), O922)</f>
        <v/>
      </c>
      <c r="Q922" s="303" t="str">
        <f>IFERROR(IF(ISERROR(FIND(",", O922, FIND(",", O922)+1)), RIGHT(O922, LEN(O922)-FIND(",", O922)-1), MID(O922, FIND(",", O922)+2, FIND(",", O922, FIND(",", O922)+1)-FIND(",", O922)-2)), "")</f>
        <v/>
      </c>
      <c r="R922" s="303" t="str">
        <f>IFERROR(RIGHT(O922, LEN(O922)-FIND(",", O922, FIND(",", O922)+1)-1), "")</f>
        <v/>
      </c>
      <c r="S922" s="35" t="str" cm="1">
        <f t="array" ref="S922">_xlfn.TEXTJOIN(", ",TRUE,_xlfn._xlws.FILTER(Tabla29[[#All],[PARTE]],ISNUMBER(SEARCH(Tabla29[[#All],[PCLAVE3]],Tabla8[[#This Row],[DESCRIPCION DE TRABAJO]])),""))</f>
        <v/>
      </c>
      <c r="T922" s="34" t="str">
        <f>IF(AND(Tabla8[[#This Row],[PIEZA]]="",Tabla8[[#This Row],[PARTE]]=""),"VACIO","OK")</f>
        <v>VACIO</v>
      </c>
      <c r="U922" s="303" t="str">
        <f>+CONCATENATE(WEEKNUM(Tabla8[[#This Row],[FECHA]]),"-",YEAR(Tabla8[[#This Row],[FECHA]]))</f>
        <v>17-2026</v>
      </c>
    </row>
    <row r="923" spans="1:21" ht="15" customHeight="1">
      <c r="A923" s="22">
        <v>46132</v>
      </c>
      <c r="B923" s="16" t="s">
        <v>179</v>
      </c>
      <c r="C923" s="10" t="s">
        <v>39</v>
      </c>
      <c r="D923" s="381" t="s">
        <v>1604</v>
      </c>
      <c r="E923" s="381" t="s">
        <v>1805</v>
      </c>
      <c r="F923" s="380">
        <f>+MOD(Tabla8[[#This Row],[HR. FIN]]-Tabla8[[#This Row],[HR. INICIO]],1)</f>
        <v>2.083333333333337E-2</v>
      </c>
      <c r="G923" s="16" t="s">
        <v>42</v>
      </c>
      <c r="H923" s="343" t="str">
        <f>IFERROR(VLOOKUP(G923,DATOS!$M$2:$N$219,2,FALSE),"")</f>
        <v>Maquinaria</v>
      </c>
      <c r="I923" s="115" t="s">
        <v>57</v>
      </c>
      <c r="J923" s="115" t="str">
        <f>+VLOOKUP($I923,Tabla7[#All],2,FALSE)</f>
        <v>NO PROGRAMADA</v>
      </c>
      <c r="K923" s="114" t="str">
        <f>IF(VLOOKUP(I923,Tabla7[#All],3,FALSE)=0,"",VLOOKUP(I923,Tabla7[#All],3,FALSE))</f>
        <v>MECÁNICA</v>
      </c>
      <c r="L923" s="35" t="s">
        <v>1829</v>
      </c>
      <c r="M923" s="35" t="s">
        <v>1830</v>
      </c>
      <c r="N923" s="35" t="str" cm="1">
        <f t="array" ref="N923">IFERROR(IF(Tabla8[[#This Row],[P/NP]]="NO PROGRAMADA","",_xlfn.TEXTJOIN(", ",TRUE,_xlfn._xlws.FILTER(Tabla4[[#All],[PIEZA]],ISNUMBER(SEARCH(Tabla4[[#All],[PCLAVE]],Tabla8[[#This Row],[DESCRIPCION DE TRABAJO]])),""))),"")</f>
        <v/>
      </c>
      <c r="O923" s="35" t="str" cm="1">
        <f t="array" ref="O923">_xlfn.TEXTJOIN(", ",TRUE,_xlfn._xlws.FILTER(Tabla28[[#All],[PARTE]],ISNUMBER(SEARCH(Tabla28[[#All],[PCLAVE2]],Tabla8[[#This Row],[DESCRIPCION DE TRABAJO]])),""))</f>
        <v/>
      </c>
      <c r="P923" s="303" t="str">
        <f>IFERROR(LEFT(O923, FIND(",", O923)-1), O923)</f>
        <v/>
      </c>
      <c r="Q923" s="303" t="str">
        <f>IFERROR(IF(ISERROR(FIND(",", O923, FIND(",", O923)+1)), RIGHT(O923, LEN(O923)-FIND(",", O923)-1), MID(O923, FIND(",", O923)+2, FIND(",", O923, FIND(",", O923)+1)-FIND(",", O923)-2)), "")</f>
        <v/>
      </c>
      <c r="R923" s="303" t="str">
        <f>IFERROR(RIGHT(O923, LEN(O923)-FIND(",", O923, FIND(",", O923)+1)-1), "")</f>
        <v/>
      </c>
      <c r="S923" s="35" t="str" cm="1">
        <f t="array" ref="S923">_xlfn.TEXTJOIN(", ",TRUE,_xlfn._xlws.FILTER(Tabla29[[#All],[PARTE]],ISNUMBER(SEARCH(Tabla29[[#All],[PCLAVE3]],Tabla8[[#This Row],[DESCRIPCION DE TRABAJO]])),""))</f>
        <v>Laminado, No Arrastra</v>
      </c>
      <c r="T923" s="34" t="str">
        <f>IF(AND(Tabla8[[#This Row],[PIEZA]]="",Tabla8[[#This Row],[PARTE]]=""),"VACIO","OK")</f>
        <v>VACIO</v>
      </c>
      <c r="U923" s="303" t="str">
        <f>+CONCATENATE(WEEKNUM(Tabla8[[#This Row],[FECHA]]),"-",YEAR(Tabla8[[#This Row],[FECHA]]))</f>
        <v>17-2026</v>
      </c>
    </row>
    <row r="924" spans="1:21" ht="15" customHeight="1">
      <c r="A924" s="22">
        <v>46132</v>
      </c>
      <c r="B924" s="16" t="s">
        <v>131</v>
      </c>
      <c r="C924" s="10" t="s">
        <v>36</v>
      </c>
      <c r="D924" s="381" t="s">
        <v>557</v>
      </c>
      <c r="E924" s="381" t="s">
        <v>96</v>
      </c>
      <c r="F924" s="380">
        <f>+MOD(Tabla8[[#This Row],[HR. FIN]]-Tabla8[[#This Row],[HR. INICIO]],1)</f>
        <v>2.083333333333337E-2</v>
      </c>
      <c r="G924" s="16" t="s">
        <v>114</v>
      </c>
      <c r="H924" s="343" t="str">
        <f>IFERROR(VLOOKUP(G924,DATOS!$M$2:$N$219,2,FALSE),"")</f>
        <v>Maquinaria</v>
      </c>
      <c r="I924" s="115" t="s">
        <v>32</v>
      </c>
      <c r="J924" s="115" t="str">
        <f>+VLOOKUP($I924,Tabla7[#All],2,FALSE)</f>
        <v>PROGRAMADA</v>
      </c>
      <c r="K924" s="114" t="str">
        <f>IF(VLOOKUP(I924,Tabla7[#All],3,FALSE)=0,"",VLOOKUP(I924,Tabla7[#All],3,FALSE))</f>
        <v/>
      </c>
      <c r="L924" s="35" t="s">
        <v>449</v>
      </c>
      <c r="M924" s="35" t="s">
        <v>121</v>
      </c>
      <c r="N924" s="35" t="str" cm="1">
        <f t="array" ref="N924">IFERROR(IF(Tabla8[[#This Row],[P/NP]]="NO PROGRAMADA","",_xlfn.TEXTJOIN(", ",TRUE,_xlfn._xlws.FILTER(Tabla4[[#All],[PIEZA]],ISNUMBER(SEARCH(Tabla4[[#All],[PCLAVE]],Tabla8[[#This Row],[DESCRIPCION DE TRABAJO]])),""))),"")</f>
        <v/>
      </c>
      <c r="O924" s="35" t="str" cm="1">
        <f t="array" ref="O924">_xlfn.TEXTJOIN(", ",TRUE,_xlfn._xlws.FILTER(Tabla28[[#All],[PARTE]],ISNUMBER(SEARCH(Tabla28[[#All],[PCLAVE2]],Tabla8[[#This Row],[DESCRIPCION DE TRABAJO]])),""))</f>
        <v/>
      </c>
      <c r="P924" s="303" t="str">
        <f>IFERROR(LEFT(O924, FIND(",", O924)-1), O924)</f>
        <v/>
      </c>
      <c r="Q924" s="303" t="str">
        <f>IFERROR(IF(ISERROR(FIND(",", O924, FIND(",", O924)+1)), RIGHT(O924, LEN(O924)-FIND(",", O924)-1), MID(O924, FIND(",", O924)+2, FIND(",", O924, FIND(",", O924)+1)-FIND(",", O924)-2)), "")</f>
        <v/>
      </c>
      <c r="R924" s="303" t="str">
        <f>IFERROR(RIGHT(O924, LEN(O924)-FIND(",", O924, FIND(",", O924)+1)-1), "")</f>
        <v/>
      </c>
      <c r="S924" s="35" t="str" cm="1">
        <f t="array" ref="S924">_xlfn.TEXTJOIN(", ",TRUE,_xlfn._xlws.FILTER(Tabla29[[#All],[PARTE]],ISNUMBER(SEARCH(Tabla29[[#All],[PCLAVE3]],Tabla8[[#This Row],[DESCRIPCION DE TRABAJO]])),""))</f>
        <v/>
      </c>
      <c r="T924" s="34" t="str">
        <f>IF(AND(Tabla8[[#This Row],[PIEZA]]="",Tabla8[[#This Row],[PARTE]]=""),"VACIO","OK")</f>
        <v>VACIO</v>
      </c>
      <c r="U924" s="303" t="str">
        <f>+CONCATENATE(WEEKNUM(Tabla8[[#This Row],[FECHA]]),"-",YEAR(Tabla8[[#This Row],[FECHA]]))</f>
        <v>17-2026</v>
      </c>
    </row>
    <row r="925" spans="1:21" ht="15" customHeight="1">
      <c r="A925" s="22">
        <v>46132</v>
      </c>
      <c r="B925" s="16" t="s">
        <v>179</v>
      </c>
      <c r="C925" s="10" t="s">
        <v>39</v>
      </c>
      <c r="D925" s="381" t="s">
        <v>1662</v>
      </c>
      <c r="E925" s="381" t="s">
        <v>316</v>
      </c>
      <c r="F925" s="380">
        <f>+MOD(Tabla8[[#This Row],[HR. FIN]]-Tabla8[[#This Row],[HR. INICIO]],1)</f>
        <v>2.0833333333333343E-2</v>
      </c>
      <c r="G925" s="16" t="s">
        <v>1305</v>
      </c>
      <c r="H925" s="343" t="str">
        <f>IFERROR(VLOOKUP(G925,DATOS!$M$2:$N$219,2,FALSE),"")</f>
        <v>Area</v>
      </c>
      <c r="I925" s="115" t="s">
        <v>32</v>
      </c>
      <c r="J925" s="115" t="str">
        <f>+VLOOKUP($I925,Tabla7[#All],2,FALSE)</f>
        <v>PROGRAMADA</v>
      </c>
      <c r="K925" s="114" t="str">
        <f>IF(VLOOKUP(I925,Tabla7[#All],3,FALSE)=0,"",VLOOKUP(I925,Tabla7[#All],3,FALSE))</f>
        <v/>
      </c>
      <c r="L925" s="35" t="s">
        <v>1831</v>
      </c>
      <c r="M925" s="35" t="s">
        <v>121</v>
      </c>
      <c r="N925" s="35" t="str" cm="1">
        <f t="array" ref="N925">IFERROR(IF(Tabla8[[#This Row],[P/NP]]="NO PROGRAMADA","",_xlfn.TEXTJOIN(", ",TRUE,_xlfn._xlws.FILTER(Tabla4[[#All],[PIEZA]],ISNUMBER(SEARCH(Tabla4[[#All],[PCLAVE]],Tabla8[[#This Row],[DESCRIPCION DE TRABAJO]])),""))),"")</f>
        <v>Iman</v>
      </c>
      <c r="O925" s="35" t="str" cm="1">
        <f t="array" ref="O925">_xlfn.TEXTJOIN(", ",TRUE,_xlfn._xlws.FILTER(Tabla28[[#All],[PARTE]],ISNUMBER(SEARCH(Tabla28[[#All],[PCLAVE2]],Tabla8[[#This Row],[DESCRIPCION DE TRABAJO]])),""))</f>
        <v/>
      </c>
      <c r="P925" s="303" t="str">
        <f>IFERROR(LEFT(O925, FIND(",", O925)-1), O925)</f>
        <v/>
      </c>
      <c r="Q925" s="303" t="str">
        <f>IFERROR(IF(ISERROR(FIND(",", O925, FIND(",", O925)+1)), RIGHT(O925, LEN(O925)-FIND(",", O925)-1), MID(O925, FIND(",", O925)+2, FIND(",", O925, FIND(",", O925)+1)-FIND(",", O925)-2)), "")</f>
        <v/>
      </c>
      <c r="R925" s="303" t="str">
        <f>IFERROR(RIGHT(O925, LEN(O925)-FIND(",", O925, FIND(",", O925)+1)-1), "")</f>
        <v/>
      </c>
      <c r="S925" s="35" t="str" cm="1">
        <f t="array" ref="S925">_xlfn.TEXTJOIN(", ",TRUE,_xlfn._xlws.FILTER(Tabla29[[#All],[PARTE]],ISNUMBER(SEARCH(Tabla29[[#All],[PCLAVE3]],Tabla8[[#This Row],[DESCRIPCION DE TRABAJO]])),""))</f>
        <v/>
      </c>
      <c r="T925" s="34" t="str">
        <f>IF(AND(Tabla8[[#This Row],[PIEZA]]="",Tabla8[[#This Row],[PARTE]]=""),"VACIO","OK")</f>
        <v>OK</v>
      </c>
      <c r="U925" s="303" t="str">
        <f>+CONCATENATE(WEEKNUM(Tabla8[[#This Row],[FECHA]]),"-",YEAR(Tabla8[[#This Row],[FECHA]]))</f>
        <v>17-2026</v>
      </c>
    </row>
    <row r="926" spans="1:21" ht="15" customHeight="1">
      <c r="A926" s="22">
        <v>46132</v>
      </c>
      <c r="B926" s="16" t="s">
        <v>131</v>
      </c>
      <c r="C926" s="10" t="s">
        <v>36</v>
      </c>
      <c r="D926" s="381" t="s">
        <v>123</v>
      </c>
      <c r="E926" s="381" t="s">
        <v>126</v>
      </c>
      <c r="F926" s="380">
        <f>+MOD(Tabla8[[#This Row],[HR. FIN]]-Tabla8[[#This Row],[HR. INICIO]],1)</f>
        <v>2.0833333333333315E-2</v>
      </c>
      <c r="G926" s="16" t="s">
        <v>31</v>
      </c>
      <c r="H926" s="343" t="str">
        <f>IFERROR(VLOOKUP(G926,DATOS!$M$2:$N$219,2,FALSE),"")</f>
        <v>Maquinaria</v>
      </c>
      <c r="I926" s="115" t="s">
        <v>32</v>
      </c>
      <c r="J926" s="115" t="str">
        <f>+VLOOKUP($I926,Tabla7[#All],2,FALSE)</f>
        <v>PROGRAMADA</v>
      </c>
      <c r="K926" s="114" t="str">
        <f>IF(VLOOKUP(I926,Tabla7[#All],3,FALSE)=0,"",VLOOKUP(I926,Tabla7[#All],3,FALSE))</f>
        <v/>
      </c>
      <c r="L926" s="35" t="s">
        <v>1832</v>
      </c>
      <c r="M926" s="35" t="s">
        <v>121</v>
      </c>
      <c r="N926" s="35" t="str" cm="1">
        <f t="array" ref="N926">IFERROR(IF(Tabla8[[#This Row],[P/NP]]="NO PROGRAMADA","",_xlfn.TEXTJOIN(", ",TRUE,_xlfn._xlws.FILTER(Tabla4[[#All],[PIEZA]],ISNUMBER(SEARCH(Tabla4[[#All],[PCLAVE]],Tabla8[[#This Row],[DESCRIPCION DE TRABAJO]])),""))),"")</f>
        <v>Mordaza</v>
      </c>
      <c r="O926" s="35" t="str" cm="1">
        <f t="array" ref="O926">_xlfn.TEXTJOIN(", ",TRUE,_xlfn._xlws.FILTER(Tabla28[[#All],[PARTE]],ISNUMBER(SEARCH(Tabla28[[#All],[PCLAVE2]],Tabla8[[#This Row],[DESCRIPCION DE TRABAJO]])),""))</f>
        <v/>
      </c>
      <c r="P926" s="303" t="str">
        <f>IFERROR(LEFT(O926, FIND(",", O926)-1), O926)</f>
        <v/>
      </c>
      <c r="Q926" s="303" t="str">
        <f>IFERROR(IF(ISERROR(FIND(",", O926, FIND(",", O926)+1)), RIGHT(O926, LEN(O926)-FIND(",", O926)-1), MID(O926, FIND(",", O926)+2, FIND(",", O926, FIND(",", O926)+1)-FIND(",", O926)-2)), "")</f>
        <v/>
      </c>
      <c r="R926" s="303" t="str">
        <f>IFERROR(RIGHT(O926, LEN(O926)-FIND(",", O926, FIND(",", O926)+1)-1), "")</f>
        <v/>
      </c>
      <c r="S926" s="35" t="str" cm="1">
        <f t="array" ref="S926">_xlfn.TEXTJOIN(", ",TRUE,_xlfn._xlws.FILTER(Tabla29[[#All],[PARTE]],ISNUMBER(SEARCH(Tabla29[[#All],[PCLAVE3]],Tabla8[[#This Row],[DESCRIPCION DE TRABAJO]])),""))</f>
        <v/>
      </c>
      <c r="T926" s="34" t="str">
        <f>IF(AND(Tabla8[[#This Row],[PIEZA]]="",Tabla8[[#This Row],[PARTE]]=""),"VACIO","OK")</f>
        <v>OK</v>
      </c>
      <c r="U926" s="303" t="str">
        <f>+CONCATENATE(WEEKNUM(Tabla8[[#This Row],[FECHA]]),"-",YEAR(Tabla8[[#This Row],[FECHA]]))</f>
        <v>17-2026</v>
      </c>
    </row>
    <row r="927" spans="1:21" ht="15" customHeight="1">
      <c r="A927" s="22">
        <v>46132</v>
      </c>
      <c r="B927" s="16" t="s">
        <v>179</v>
      </c>
      <c r="C927" s="10" t="s">
        <v>36</v>
      </c>
      <c r="D927" s="381">
        <v>1</v>
      </c>
      <c r="E927" s="381">
        <v>1.0208333333333333</v>
      </c>
      <c r="F927" s="380">
        <f>+MOD(Tabla8[[#This Row],[HR. FIN]]-Tabla8[[#This Row],[HR. INICIO]],1)</f>
        <v>2.0833333333333259E-2</v>
      </c>
      <c r="G927" s="16" t="s">
        <v>91</v>
      </c>
      <c r="H927" s="343" t="str">
        <f>IFERROR(VLOOKUP(G927,DATOS!$M$2:$N$219,2,FALSE),"")</f>
        <v>Area</v>
      </c>
      <c r="I927" s="115" t="s">
        <v>32</v>
      </c>
      <c r="J927" s="115" t="s">
        <v>92</v>
      </c>
      <c r="K927" s="114" t="s">
        <v>93</v>
      </c>
      <c r="L927" s="35" t="s">
        <v>1833</v>
      </c>
      <c r="M927" s="35" t="s">
        <v>1834</v>
      </c>
      <c r="N927" s="35" t="str" cm="1">
        <f t="array" ref="N927">IFERROR(IF(Tabla8[[#This Row],[P/NP]]="NO PROGRAMADA","",_xlfn.TEXTJOIN(", ",TRUE,_xlfn._xlws.FILTER(Tabla4[[#All],[PIEZA]],ISNUMBER(SEARCH(Tabla4[[#All],[PCLAVE]],Tabla8[[#This Row],[DESCRIPCION DE TRABAJO]])),""))),"")</f>
        <v/>
      </c>
      <c r="O927" s="35" t="str" cm="1">
        <f t="array" ref="O927">_xlfn.TEXTJOIN(", ",TRUE,_xlfn._xlws.FILTER(Tabla28[[#All],[PARTE]],ISNUMBER(SEARCH(Tabla28[[#All],[PCLAVE2]],Tabla8[[#This Row],[DESCRIPCION DE TRABAJO]])),""))</f>
        <v/>
      </c>
      <c r="P927" s="303" t="str">
        <f>IFERROR(LEFT(O927, FIND(",", O927)-1), O927)</f>
        <v/>
      </c>
      <c r="Q927" s="303" t="str">
        <f>IFERROR(IF(ISERROR(FIND(",", O927, FIND(",", O927)+1)), RIGHT(O927, LEN(O927)-FIND(",", O927)-1), MID(O927, FIND(",", O927)+2, FIND(",", O927, FIND(",", O927)+1)-FIND(",", O927)-2)), "")</f>
        <v/>
      </c>
      <c r="R927" s="303" t="str">
        <f>IFERROR(RIGHT(O927, LEN(O927)-FIND(",", O927, FIND(",", O927)+1)-1), "")</f>
        <v/>
      </c>
      <c r="S927" s="35" t="str" cm="1">
        <f t="array" ref="S927">_xlfn.TEXTJOIN(", ",TRUE,_xlfn._xlws.FILTER(Tabla29[[#All],[PARTE]],ISNUMBER(SEARCH(Tabla29[[#All],[PCLAVE3]],Tabla8[[#This Row],[DESCRIPCION DE TRABAJO]])),""))</f>
        <v>Obstruido, Ruido</v>
      </c>
      <c r="T927" s="34" t="str">
        <f>IF(AND(Tabla8[[#This Row],[PIEZA]]="",Tabla8[[#This Row],[PARTE]]=""),"VACIO","OK")</f>
        <v>VACIO</v>
      </c>
      <c r="U927" s="303" t="str">
        <f>+CONCATENATE(WEEKNUM(Tabla8[[#This Row],[FECHA]]),"-",YEAR(Tabla8[[#This Row],[FECHA]]))</f>
        <v>17-2026</v>
      </c>
    </row>
    <row r="928" spans="1:21" ht="15" customHeight="1">
      <c r="A928" s="22">
        <v>46132</v>
      </c>
      <c r="B928" s="16" t="s">
        <v>191</v>
      </c>
      <c r="C928" s="10" t="s">
        <v>23</v>
      </c>
      <c r="D928" s="381" t="s">
        <v>1238</v>
      </c>
      <c r="E928" s="381" t="s">
        <v>1835</v>
      </c>
      <c r="F928" s="380">
        <f>+MOD(Tabla8[[#This Row],[HR. FIN]]-Tabla8[[#This Row],[HR. INICIO]],1)</f>
        <v>1.9444444444444375E-2</v>
      </c>
      <c r="G928" s="16" t="s">
        <v>312</v>
      </c>
      <c r="H928" s="343" t="str">
        <f>IFERROR(VLOOKUP(G928,DATOS!$M$2:$N$219,2,FALSE),"")</f>
        <v>Maquinaria</v>
      </c>
      <c r="I928" s="115" t="s">
        <v>32</v>
      </c>
      <c r="J928" s="115" t="str">
        <f>+VLOOKUP($I928,Tabla7[#All],2,FALSE)</f>
        <v>PROGRAMADA</v>
      </c>
      <c r="K928" s="114" t="str">
        <f>IF(VLOOKUP(I928,Tabla7[#All],3,FALSE)=0,"",VLOOKUP(I928,Tabla7[#All],3,FALSE))</f>
        <v/>
      </c>
      <c r="L928" s="35" t="s">
        <v>1836</v>
      </c>
      <c r="M928" s="35" t="s">
        <v>121</v>
      </c>
      <c r="N928" s="35" t="str" cm="1">
        <f t="array" ref="N928">IFERROR(IF(Tabla8[[#This Row],[P/NP]]="NO PROGRAMADA","",_xlfn.TEXTJOIN(", ",TRUE,_xlfn._xlws.FILTER(Tabla4[[#All],[PIEZA]],ISNUMBER(SEARCH(Tabla4[[#All],[PCLAVE]],Tabla8[[#This Row],[DESCRIPCION DE TRABAJO]])),""))),"")</f>
        <v>Polin De Arrastre</v>
      </c>
      <c r="O928" s="35" t="str" cm="1">
        <f t="array" ref="O928">_xlfn.TEXTJOIN(", ",TRUE,_xlfn._xlws.FILTER(Tabla28[[#All],[PARTE]],ISNUMBER(SEARCH(Tabla28[[#All],[PCLAVE2]],Tabla8[[#This Row],[DESCRIPCION DE TRABAJO]])),""))</f>
        <v/>
      </c>
      <c r="P928" s="303" t="str">
        <f>IFERROR(LEFT(O928, FIND(",", O928)-1), O928)</f>
        <v/>
      </c>
      <c r="Q928" s="303" t="str">
        <f>IFERROR(IF(ISERROR(FIND(",", O928, FIND(",", O928)+1)), RIGHT(O928, LEN(O928)-FIND(",", O928)-1), MID(O928, FIND(",", O928)+2, FIND(",", O928, FIND(",", O928)+1)-FIND(",", O928)-2)), "")</f>
        <v/>
      </c>
      <c r="R928" s="303" t="str">
        <f>IFERROR(RIGHT(O928, LEN(O928)-FIND(",", O928, FIND(",", O928)+1)-1), "")</f>
        <v/>
      </c>
      <c r="S928" s="35" t="str" cm="1">
        <f t="array" ref="S928">_xlfn.TEXTJOIN(", ",TRUE,_xlfn._xlws.FILTER(Tabla29[[#All],[PARTE]],ISNUMBER(SEARCH(Tabla29[[#All],[PCLAVE3]],Tabla8[[#This Row],[DESCRIPCION DE TRABAJO]])),""))</f>
        <v>Sustitucion</v>
      </c>
      <c r="T928" s="34" t="str">
        <f>IF(AND(Tabla8[[#This Row],[PIEZA]]="",Tabla8[[#This Row],[PARTE]]=""),"VACIO","OK")</f>
        <v>OK</v>
      </c>
      <c r="U928" s="303" t="str">
        <f>+CONCATENATE(WEEKNUM(Tabla8[[#This Row],[FECHA]]),"-",YEAR(Tabla8[[#This Row],[FECHA]]))</f>
        <v>17-2026</v>
      </c>
    </row>
    <row r="929" spans="1:21" ht="15" customHeight="1">
      <c r="A929" s="22">
        <v>46132</v>
      </c>
      <c r="B929" s="16" t="s">
        <v>191</v>
      </c>
      <c r="C929" s="10" t="s">
        <v>23</v>
      </c>
      <c r="D929" s="381" t="s">
        <v>1837</v>
      </c>
      <c r="E929" s="381" t="s">
        <v>1838</v>
      </c>
      <c r="F929" s="380">
        <f>+MOD(Tabla8[[#This Row],[HR. FIN]]-Tabla8[[#This Row],[HR. INICIO]],1)</f>
        <v>1.8055555555555602E-2</v>
      </c>
      <c r="G929" s="16" t="s">
        <v>119</v>
      </c>
      <c r="H929" s="343" t="str">
        <f>IFERROR(VLOOKUP(G929,DATOS!$M$2:$N$219,2,FALSE),"")</f>
        <v>Maquinaria</v>
      </c>
      <c r="I929" s="115" t="s">
        <v>32</v>
      </c>
      <c r="J929" s="115" t="str">
        <f>+VLOOKUP($I929,Tabla7[#All],2,FALSE)</f>
        <v>PROGRAMADA</v>
      </c>
      <c r="K929" s="114" t="str">
        <f>IF(VLOOKUP(I929,Tabla7[#All],3,FALSE)=0,"",VLOOKUP(I929,Tabla7[#All],3,FALSE))</f>
        <v/>
      </c>
      <c r="L929" s="35" t="s">
        <v>1508</v>
      </c>
      <c r="M929" s="35" t="s">
        <v>121</v>
      </c>
      <c r="N929" s="35" t="str" cm="1">
        <f t="array" ref="N929">IFERROR(IF(Tabla8[[#This Row],[P/NP]]="NO PROGRAMADA","",_xlfn.TEXTJOIN(", ",TRUE,_xlfn._xlws.FILTER(Tabla4[[#All],[PIEZA]],ISNUMBER(SEARCH(Tabla4[[#All],[PCLAVE]],Tabla8[[#This Row],[DESCRIPCION DE TRABAJO]])),""))),"")</f>
        <v/>
      </c>
      <c r="O929" s="35" t="str" cm="1">
        <f t="array" ref="O929">_xlfn.TEXTJOIN(", ",TRUE,_xlfn._xlws.FILTER(Tabla28[[#All],[PARTE]],ISNUMBER(SEARCH(Tabla28[[#All],[PCLAVE2]],Tabla8[[#This Row],[DESCRIPCION DE TRABAJO]])),""))</f>
        <v>Mds</v>
      </c>
      <c r="P929" s="303" t="str">
        <f>IFERROR(LEFT(O929, FIND(",", O929)-1), O929)</f>
        <v>Mds</v>
      </c>
      <c r="Q929" s="303" t="str">
        <f>IFERROR(IF(ISERROR(FIND(",", O929, FIND(",", O929)+1)), RIGHT(O929, LEN(O929)-FIND(",", O929)-1), MID(O929, FIND(",", O929)+2, FIND(",", O929, FIND(",", O929)+1)-FIND(",", O929)-2)), "")</f>
        <v/>
      </c>
      <c r="R929" s="303" t="str">
        <f>IFERROR(RIGHT(O929, LEN(O929)-FIND(",", O929, FIND(",", O929)+1)-1), "")</f>
        <v/>
      </c>
      <c r="S929" s="35" t="str" cm="1">
        <f t="array" ref="S929">_xlfn.TEXTJOIN(", ",TRUE,_xlfn._xlws.FILTER(Tabla29[[#All],[PARTE]],ISNUMBER(SEARCH(Tabla29[[#All],[PCLAVE3]],Tabla8[[#This Row],[DESCRIPCION DE TRABAJO]])),""))</f>
        <v>Cambio De Formato</v>
      </c>
      <c r="T929" s="34" t="str">
        <f>IF(AND(Tabla8[[#This Row],[PIEZA]]="",Tabla8[[#This Row],[PARTE]]=""),"VACIO","OK")</f>
        <v>OK</v>
      </c>
      <c r="U929" s="303" t="str">
        <f>+CONCATENATE(WEEKNUM(Tabla8[[#This Row],[FECHA]]),"-",YEAR(Tabla8[[#This Row],[FECHA]]))</f>
        <v>17-2026</v>
      </c>
    </row>
    <row r="930" spans="1:21" ht="15" customHeight="1">
      <c r="A930" s="22">
        <v>46132</v>
      </c>
      <c r="B930" s="16" t="s">
        <v>179</v>
      </c>
      <c r="C930" s="10" t="s">
        <v>39</v>
      </c>
      <c r="D930" s="381" t="s">
        <v>143</v>
      </c>
      <c r="E930" s="381" t="s">
        <v>872</v>
      </c>
      <c r="F930" s="380">
        <f>+MOD(Tabla8[[#This Row],[HR. FIN]]-Tabla8[[#This Row],[HR. INICIO]],1)</f>
        <v>1.7361111111111105E-2</v>
      </c>
      <c r="G930" s="16" t="s">
        <v>1470</v>
      </c>
      <c r="H930" s="343" t="str">
        <f>IFERROR(VLOOKUP(G930,DATOS!$M$2:$N$219,2,FALSE),"")</f>
        <v>Maquinaria</v>
      </c>
      <c r="I930" s="115" t="s">
        <v>57</v>
      </c>
      <c r="J930" s="115" t="str">
        <f>+VLOOKUP($I930,Tabla7[#All],2,FALSE)</f>
        <v>NO PROGRAMADA</v>
      </c>
      <c r="K930" s="114" t="str">
        <f>IF(VLOOKUP(I930,Tabla7[#All],3,FALSE)=0,"",VLOOKUP(I930,Tabla7[#All],3,FALSE))</f>
        <v>MECÁNICA</v>
      </c>
      <c r="L930" s="35" t="s">
        <v>1839</v>
      </c>
      <c r="M930" s="35" t="s">
        <v>1840</v>
      </c>
      <c r="N930" s="35" t="str" cm="1">
        <f t="array" ref="N930">IFERROR(IF(Tabla8[[#This Row],[P/NP]]="NO PROGRAMADA","",_xlfn.TEXTJOIN(", ",TRUE,_xlfn._xlws.FILTER(Tabla4[[#All],[PIEZA]],ISNUMBER(SEARCH(Tabla4[[#All],[PCLAVE]],Tabla8[[#This Row],[DESCRIPCION DE TRABAJO]])),""))),"")</f>
        <v/>
      </c>
      <c r="O930" s="35" t="str" cm="1">
        <f t="array" ref="O930">_xlfn.TEXTJOIN(", ",TRUE,_xlfn._xlws.FILTER(Tabla28[[#All],[PARTE]],ISNUMBER(SEARCH(Tabla28[[#All],[PCLAVE2]],Tabla8[[#This Row],[DESCRIPCION DE TRABAJO]])),""))</f>
        <v/>
      </c>
      <c r="P930" s="303" t="str">
        <f>IFERROR(LEFT(O930, FIND(",", O930)-1), O930)</f>
        <v/>
      </c>
      <c r="Q930" s="303" t="str">
        <f>IFERROR(IF(ISERROR(FIND(",", O930, FIND(",", O930)+1)), RIGHT(O930, LEN(O930)-FIND(",", O930)-1), MID(O930, FIND(",", O930)+2, FIND(",", O930, FIND(",", O930)+1)-FIND(",", O930)-2)), "")</f>
        <v/>
      </c>
      <c r="R930" s="303" t="str">
        <f>IFERROR(RIGHT(O930, LEN(O930)-FIND(",", O930, FIND(",", O930)+1)-1), "")</f>
        <v/>
      </c>
      <c r="S930" s="35" t="str" cm="1">
        <f t="array" ref="S930">_xlfn.TEXTJOIN(", ",TRUE,_xlfn._xlws.FILTER(Tabla29[[#All],[PARTE]],ISNUMBER(SEARCH(Tabla29[[#All],[PCLAVE3]],Tabla8[[#This Row],[DESCRIPCION DE TRABAJO]])),""))</f>
        <v>No Corta</v>
      </c>
      <c r="T930" s="34" t="str">
        <f>IF(AND(Tabla8[[#This Row],[PIEZA]]="",Tabla8[[#This Row],[PARTE]]=""),"VACIO","OK")</f>
        <v>VACIO</v>
      </c>
      <c r="U930" s="303" t="str">
        <f>+CONCATENATE(WEEKNUM(Tabla8[[#This Row],[FECHA]]),"-",YEAR(Tabla8[[#This Row],[FECHA]]))</f>
        <v>17-2026</v>
      </c>
    </row>
    <row r="931" spans="1:21" ht="15" customHeight="1">
      <c r="A931" s="22">
        <v>46132</v>
      </c>
      <c r="B931" s="16" t="s">
        <v>191</v>
      </c>
      <c r="C931" s="10" t="s">
        <v>23</v>
      </c>
      <c r="D931" s="381" t="s">
        <v>1841</v>
      </c>
      <c r="E931" s="381" t="s">
        <v>1842</v>
      </c>
      <c r="F931" s="380">
        <f>+MOD(Tabla8[[#This Row],[HR. FIN]]-Tabla8[[#This Row],[HR. INICIO]],1)</f>
        <v>1.5277777777777724E-2</v>
      </c>
      <c r="G931" s="16" t="s">
        <v>1305</v>
      </c>
      <c r="H931" s="343" t="str">
        <f>IFERROR(VLOOKUP(G931,DATOS!$M$2:$N$219,2,FALSE),"")</f>
        <v>Area</v>
      </c>
      <c r="I931" s="115" t="s">
        <v>32</v>
      </c>
      <c r="J931" s="115" t="str">
        <f>+VLOOKUP($I931,Tabla7[#All],2,FALSE)</f>
        <v>PROGRAMADA</v>
      </c>
      <c r="K931" s="114" t="str">
        <f>IF(VLOOKUP(I931,Tabla7[#All],3,FALSE)=0,"",VLOOKUP(I931,Tabla7[#All],3,FALSE))</f>
        <v/>
      </c>
      <c r="L931" s="35" t="s">
        <v>1843</v>
      </c>
      <c r="M931" s="35" t="s">
        <v>121</v>
      </c>
      <c r="N931" s="35" t="str" cm="1">
        <f t="array" ref="N931">IFERROR(IF(Tabla8[[#This Row],[P/NP]]="NO PROGRAMADA","",_xlfn.TEXTJOIN(", ",TRUE,_xlfn._xlws.FILTER(Tabla4[[#All],[PIEZA]],ISNUMBER(SEARCH(Tabla4[[#All],[PCLAVE]],Tabla8[[#This Row],[DESCRIPCION DE TRABAJO]])),""))),"")</f>
        <v>Iman</v>
      </c>
      <c r="O931" s="35" t="str" cm="1">
        <f t="array" ref="O931">_xlfn.TEXTJOIN(", ",TRUE,_xlfn._xlws.FILTER(Tabla28[[#All],[PARTE]],ISNUMBER(SEARCH(Tabla28[[#All],[PCLAVE2]],Tabla8[[#This Row],[DESCRIPCION DE TRABAJO]])),""))</f>
        <v/>
      </c>
      <c r="P931" s="303" t="str">
        <f>IFERROR(LEFT(O931, FIND(",", O931)-1), O931)</f>
        <v/>
      </c>
      <c r="Q931" s="303" t="str">
        <f>IFERROR(IF(ISERROR(FIND(",", O931, FIND(",", O931)+1)), RIGHT(O931, LEN(O931)-FIND(",", O931)-1), MID(O931, FIND(",", O931)+2, FIND(",", O931, FIND(",", O931)+1)-FIND(",", O931)-2)), "")</f>
        <v/>
      </c>
      <c r="R931" s="303" t="str">
        <f>IFERROR(RIGHT(O931, LEN(O931)-FIND(",", O931, FIND(",", O931)+1)-1), "")</f>
        <v/>
      </c>
      <c r="S931" s="35" t="str" cm="1">
        <f t="array" ref="S931">_xlfn.TEXTJOIN(", ",TRUE,_xlfn._xlws.FILTER(Tabla29[[#All],[PARTE]],ISNUMBER(SEARCH(Tabla29[[#All],[PCLAVE3]],Tabla8[[#This Row],[DESCRIPCION DE TRABAJO]])),""))</f>
        <v/>
      </c>
      <c r="T931" s="34" t="str">
        <f>IF(AND(Tabla8[[#This Row],[PIEZA]]="",Tabla8[[#This Row],[PARTE]]=""),"VACIO","OK")</f>
        <v>OK</v>
      </c>
      <c r="U931" s="303" t="str">
        <f>+CONCATENATE(WEEKNUM(Tabla8[[#This Row],[FECHA]]),"-",YEAR(Tabla8[[#This Row],[FECHA]]))</f>
        <v>17-2026</v>
      </c>
    </row>
    <row r="932" spans="1:21" ht="15" customHeight="1">
      <c r="A932" s="22">
        <v>46132</v>
      </c>
      <c r="B932" s="16" t="s">
        <v>131</v>
      </c>
      <c r="C932" s="10" t="s">
        <v>36</v>
      </c>
      <c r="D932" s="381" t="s">
        <v>127</v>
      </c>
      <c r="E932" s="381" t="s">
        <v>400</v>
      </c>
      <c r="F932" s="380">
        <f>+MOD(Tabla8[[#This Row],[HR. FIN]]-Tabla8[[#This Row],[HR. INICIO]],1)</f>
        <v>1.3888888888888895E-2</v>
      </c>
      <c r="G932" s="16" t="s">
        <v>153</v>
      </c>
      <c r="H932" s="343" t="str">
        <f>IFERROR(VLOOKUP(G932,DATOS!$M$2:$N$219,2,FALSE),"")</f>
        <v>Maquinaria</v>
      </c>
      <c r="I932" s="115" t="s">
        <v>32</v>
      </c>
      <c r="J932" s="115" t="str">
        <f>+VLOOKUP($I932,Tabla7[#All],2,FALSE)</f>
        <v>PROGRAMADA</v>
      </c>
      <c r="K932" s="114" t="str">
        <f>IF(VLOOKUP(I932,Tabla7[#All],3,FALSE)=0,"",VLOOKUP(I932,Tabla7[#All],3,FALSE))</f>
        <v/>
      </c>
      <c r="L932" s="35" t="s">
        <v>1844</v>
      </c>
      <c r="M932" s="35" t="s">
        <v>121</v>
      </c>
      <c r="N932" s="35" t="str" cm="1">
        <f t="array" ref="N932">IFERROR(IF(Tabla8[[#This Row],[P/NP]]="NO PROGRAMADA","",_xlfn.TEXTJOIN(", ",TRUE,_xlfn._xlws.FILTER(Tabla4[[#All],[PIEZA]],ISNUMBER(SEARCH(Tabla4[[#All],[PCLAVE]],Tabla8[[#This Row],[DESCRIPCION DE TRABAJO]])),""))),"")</f>
        <v>Banda</v>
      </c>
      <c r="O932" s="35" t="str" cm="1">
        <f t="array" ref="O932">_xlfn.TEXTJOIN(", ",TRUE,_xlfn._xlws.FILTER(Tabla28[[#All],[PARTE]],ISNUMBER(SEARCH(Tabla28[[#All],[PCLAVE2]],Tabla8[[#This Row],[DESCRIPCION DE TRABAJO]])),""))</f>
        <v/>
      </c>
      <c r="P932" s="303" t="str">
        <f>IFERROR(LEFT(O932, FIND(",", O932)-1), O932)</f>
        <v/>
      </c>
      <c r="Q932" s="303" t="str">
        <f>IFERROR(IF(ISERROR(FIND(",", O932, FIND(",", O932)+1)), RIGHT(O932, LEN(O932)-FIND(",", O932)-1), MID(O932, FIND(",", O932)+2, FIND(",", O932, FIND(",", O932)+1)-FIND(",", O932)-2)), "")</f>
        <v/>
      </c>
      <c r="R932" s="303" t="str">
        <f>IFERROR(RIGHT(O932, LEN(O932)-FIND(",", O932, FIND(",", O932)+1)-1), "")</f>
        <v/>
      </c>
      <c r="S932" s="35" t="str" cm="1">
        <f t="array" ref="S932">_xlfn.TEXTJOIN(", ",TRUE,_xlfn._xlws.FILTER(Tabla29[[#All],[PARTE]],ISNUMBER(SEARCH(Tabla29[[#All],[PCLAVE3]],Tabla8[[#This Row],[DESCRIPCION DE TRABAJO]])),""))</f>
        <v>Sustitucion</v>
      </c>
      <c r="T932" s="34" t="str">
        <f>IF(AND(Tabla8[[#This Row],[PIEZA]]="",Tabla8[[#This Row],[PARTE]]=""),"VACIO","OK")</f>
        <v>OK</v>
      </c>
      <c r="U932" s="303" t="str">
        <f>+CONCATENATE(WEEKNUM(Tabla8[[#This Row],[FECHA]]),"-",YEAR(Tabla8[[#This Row],[FECHA]]))</f>
        <v>17-2026</v>
      </c>
    </row>
    <row r="933" spans="1:21" ht="15" customHeight="1">
      <c r="A933" s="22">
        <v>46132</v>
      </c>
      <c r="B933" s="16" t="s">
        <v>179</v>
      </c>
      <c r="C933" s="10" t="s">
        <v>39</v>
      </c>
      <c r="D933" s="381" t="s">
        <v>112</v>
      </c>
      <c r="E933" s="381" t="s">
        <v>1278</v>
      </c>
      <c r="F933" s="380">
        <f>+MOD(Tabla8[[#This Row],[HR. FIN]]-Tabla8[[#This Row],[HR. INICIO]],1)</f>
        <v>1.3888888888888888E-2</v>
      </c>
      <c r="G933" s="16" t="s">
        <v>312</v>
      </c>
      <c r="H933" s="343" t="str">
        <f>IFERROR(VLOOKUP(G933,DATOS!$M$2:$N$219,2,FALSE),"")</f>
        <v>Maquinaria</v>
      </c>
      <c r="I933" s="115" t="s">
        <v>57</v>
      </c>
      <c r="J933" s="115" t="str">
        <f>+VLOOKUP($I933,Tabla7[#All],2,FALSE)</f>
        <v>NO PROGRAMADA</v>
      </c>
      <c r="K933" s="114" t="str">
        <f>IF(VLOOKUP(I933,Tabla7[#All],3,FALSE)=0,"",VLOOKUP(I933,Tabla7[#All],3,FALSE))</f>
        <v>MECÁNICA</v>
      </c>
      <c r="L933" s="35" t="s">
        <v>1845</v>
      </c>
      <c r="M933" s="35" t="s">
        <v>1846</v>
      </c>
      <c r="N933" s="35" t="str" cm="1">
        <f t="array" ref="N933">IFERROR(IF(Tabla8[[#This Row],[P/NP]]="NO PROGRAMADA","",_xlfn.TEXTJOIN(", ",TRUE,_xlfn._xlws.FILTER(Tabla4[[#All],[PIEZA]],ISNUMBER(SEARCH(Tabla4[[#All],[PCLAVE]],Tabla8[[#This Row],[DESCRIPCION DE TRABAJO]])),""))),"")</f>
        <v/>
      </c>
      <c r="O933" s="35" t="str" cm="1">
        <f t="array" ref="O933">_xlfn.TEXTJOIN(", ",TRUE,_xlfn._xlws.FILTER(Tabla28[[#All],[PARTE]],ISNUMBER(SEARCH(Tabla28[[#All],[PCLAVE2]],Tabla8[[#This Row],[DESCRIPCION DE TRABAJO]])),""))</f>
        <v>Dosificador</v>
      </c>
      <c r="P933" s="303" t="str">
        <f>IFERROR(LEFT(O933, FIND(",", O933)-1), O933)</f>
        <v>Dosificador</v>
      </c>
      <c r="Q933" s="303" t="str">
        <f>IFERROR(IF(ISERROR(FIND(",", O933, FIND(",", O933)+1)), RIGHT(O933, LEN(O933)-FIND(",", O933)-1), MID(O933, FIND(",", O933)+2, FIND(",", O933, FIND(",", O933)+1)-FIND(",", O933)-2)), "")</f>
        <v/>
      </c>
      <c r="R933" s="303" t="str">
        <f>IFERROR(RIGHT(O933, LEN(O933)-FIND(",", O933, FIND(",", O933)+1)-1), "")</f>
        <v/>
      </c>
      <c r="S933" s="35" t="str" cm="1">
        <f t="array" ref="S933">_xlfn.TEXTJOIN(", ",TRUE,_xlfn._xlws.FILTER(Tabla29[[#All],[PARTE]],ISNUMBER(SEARCH(Tabla29[[#All],[PCLAVE3]],Tabla8[[#This Row],[DESCRIPCION DE TRABAJO]])),""))</f>
        <v>No Dosifica</v>
      </c>
      <c r="T933" s="34" t="str">
        <f>IF(AND(Tabla8[[#This Row],[PIEZA]]="",Tabla8[[#This Row],[PARTE]]=""),"VACIO","OK")</f>
        <v>OK</v>
      </c>
      <c r="U933" s="303" t="str">
        <f>+CONCATENATE(WEEKNUM(Tabla8[[#This Row],[FECHA]]),"-",YEAR(Tabla8[[#This Row],[FECHA]]))</f>
        <v>17-2026</v>
      </c>
    </row>
    <row r="934" spans="1:21" ht="15" customHeight="1">
      <c r="A934" s="22">
        <v>46132</v>
      </c>
      <c r="B934" s="16" t="s">
        <v>191</v>
      </c>
      <c r="C934" s="10" t="s">
        <v>23</v>
      </c>
      <c r="D934" s="381" t="s">
        <v>1847</v>
      </c>
      <c r="E934" s="381" t="s">
        <v>1848</v>
      </c>
      <c r="F934" s="380">
        <f>+MOD(Tabla8[[#This Row],[HR. FIN]]-Tabla8[[#This Row],[HR. INICIO]],1)</f>
        <v>1.3194444444444509E-2</v>
      </c>
      <c r="G934" s="16" t="s">
        <v>236</v>
      </c>
      <c r="H934" s="343" t="str">
        <f>IFERROR(VLOOKUP(G934,DATOS!$M$2:$N$219,2,FALSE),"")</f>
        <v>Sistema</v>
      </c>
      <c r="I934" s="115" t="s">
        <v>348</v>
      </c>
      <c r="J934" s="115" t="s">
        <v>157</v>
      </c>
      <c r="K934" s="114" t="str">
        <f>IF(VLOOKUP(I934,Tabla7[#All],3,FALSE)=0,"",VLOOKUP(I934,Tabla7[#All],3,FALSE))</f>
        <v/>
      </c>
      <c r="L934" s="35" t="s">
        <v>1849</v>
      </c>
      <c r="M934" s="35" t="s">
        <v>1850</v>
      </c>
      <c r="N934" s="35" t="str" cm="1">
        <f t="array" ref="N934">IFERROR(IF(Tabla8[[#This Row],[P/NP]]="NO PROGRAMADA","",_xlfn.TEXTJOIN(", ",TRUE,_xlfn._xlws.FILTER(Tabla4[[#All],[PIEZA]],ISNUMBER(SEARCH(Tabla4[[#All],[PCLAVE]],Tabla8[[#This Row],[DESCRIPCION DE TRABAJO]])),""))),"")</f>
        <v/>
      </c>
      <c r="O934" s="35" t="str" cm="1">
        <f t="array" ref="O934">_xlfn.TEXTJOIN(", ",TRUE,_xlfn._xlws.FILTER(Tabla28[[#All],[PARTE]],ISNUMBER(SEARCH(Tabla28[[#All],[PCLAVE2]],Tabla8[[#This Row],[DESCRIPCION DE TRABAJO]])),""))</f>
        <v>Tanque</v>
      </c>
      <c r="P934" s="303" t="str">
        <f>IFERROR(LEFT(O934, FIND(",", O934)-1), O934)</f>
        <v>Tanque</v>
      </c>
      <c r="Q934" s="303" t="str">
        <f>IFERROR(IF(ISERROR(FIND(",", O934, FIND(",", O934)+1)), RIGHT(O934, LEN(O934)-FIND(",", O934)-1), MID(O934, FIND(",", O934)+2, FIND(",", O934, FIND(",", O934)+1)-FIND(",", O934)-2)), "")</f>
        <v/>
      </c>
      <c r="R934" s="303" t="str">
        <f>IFERROR(RIGHT(O934, LEN(O934)-FIND(",", O934, FIND(",", O934)+1)-1), "")</f>
        <v/>
      </c>
      <c r="S934" s="35" t="str" cm="1">
        <f t="array" ref="S934">_xlfn.TEXTJOIN(", ",TRUE,_xlfn._xlws.FILTER(Tabla29[[#All],[PARTE]],ISNUMBER(SEARCH(Tabla29[[#All],[PCLAVE3]],Tabla8[[#This Row],[DESCRIPCION DE TRABAJO]])),""))</f>
        <v/>
      </c>
      <c r="T934" s="34" t="str">
        <f>IF(AND(Tabla8[[#This Row],[PIEZA]]="",Tabla8[[#This Row],[PARTE]]=""),"VACIO","OK")</f>
        <v>OK</v>
      </c>
      <c r="U934" s="303" t="str">
        <f>+CONCATENATE(WEEKNUM(Tabla8[[#This Row],[FECHA]]),"-",YEAR(Tabla8[[#This Row],[FECHA]]))</f>
        <v>17-2026</v>
      </c>
    </row>
    <row r="935" spans="1:21" ht="15" customHeight="1">
      <c r="A935" s="22">
        <v>46132</v>
      </c>
      <c r="B935" s="16" t="s">
        <v>191</v>
      </c>
      <c r="C935" s="10" t="s">
        <v>23</v>
      </c>
      <c r="D935" s="381" t="s">
        <v>1851</v>
      </c>
      <c r="E935" s="381" t="s">
        <v>1852</v>
      </c>
      <c r="F935" s="380">
        <f>+MOD(Tabla8[[#This Row],[HR. FIN]]-Tabla8[[#This Row],[HR. INICIO]],1)</f>
        <v>1.3194444444444398E-2</v>
      </c>
      <c r="G935" s="16" t="s">
        <v>1243</v>
      </c>
      <c r="H935" s="343" t="str">
        <f>IFERROR(VLOOKUP(G935,DATOS!$M$2:$N$219,2,FALSE),"")</f>
        <v>Sistema</v>
      </c>
      <c r="I935" s="115" t="s">
        <v>405</v>
      </c>
      <c r="J935" s="115" t="str">
        <f>+VLOOKUP($I935,Tabla7[#All],2,FALSE)</f>
        <v>PROGRAMADA</v>
      </c>
      <c r="K935" s="114" t="str">
        <f>IF(VLOOKUP(I935,Tabla7[#All],3,FALSE)=0,"",VLOOKUP(I935,Tabla7[#All],3,FALSE))</f>
        <v/>
      </c>
      <c r="L935" s="35" t="s">
        <v>1853</v>
      </c>
      <c r="M935" s="35" t="s">
        <v>1854</v>
      </c>
      <c r="N935" s="35" t="str" cm="1">
        <f t="array" ref="N935">IFERROR(IF(Tabla8[[#This Row],[P/NP]]="NO PROGRAMADA","",_xlfn.TEXTJOIN(", ",TRUE,_xlfn._xlws.FILTER(Tabla4[[#All],[PIEZA]],ISNUMBER(SEARCH(Tabla4[[#All],[PCLAVE]],Tabla8[[#This Row],[DESCRIPCION DE TRABAJO]])),""))),"")</f>
        <v/>
      </c>
      <c r="O935" s="35" t="str" cm="1">
        <f t="array" ref="O935">_xlfn.TEXTJOIN(", ",TRUE,_xlfn._xlws.FILTER(Tabla28[[#All],[PARTE]],ISNUMBER(SEARCH(Tabla28[[#All],[PCLAVE2]],Tabla8[[#This Row],[DESCRIPCION DE TRABAJO]])),""))</f>
        <v/>
      </c>
      <c r="P935" s="303" t="str">
        <f>IFERROR(LEFT(O935, FIND(",", O935)-1), O935)</f>
        <v/>
      </c>
      <c r="Q935" s="303" t="str">
        <f>IFERROR(IF(ISERROR(FIND(",", O935, FIND(",", O935)+1)), RIGHT(O935, LEN(O935)-FIND(",", O935)-1), MID(O935, FIND(",", O935)+2, FIND(",", O935, FIND(",", O935)+1)-FIND(",", O935)-2)), "")</f>
        <v/>
      </c>
      <c r="R935" s="303" t="str">
        <f>IFERROR(RIGHT(O935, LEN(O935)-FIND(",", O935, FIND(",", O935)+1)-1), "")</f>
        <v/>
      </c>
      <c r="S935" s="35" t="str" cm="1">
        <f t="array" ref="S935">_xlfn.TEXTJOIN(", ",TRUE,_xlfn._xlws.FILTER(Tabla29[[#All],[PARTE]],ISNUMBER(SEARCH(Tabla29[[#All],[PCLAVE3]],Tabla8[[#This Row],[DESCRIPCION DE TRABAJO]])),""))</f>
        <v>Bajo Nivel, Nivel</v>
      </c>
      <c r="T935" s="34" t="str">
        <f>IF(AND(Tabla8[[#This Row],[PIEZA]]="",Tabla8[[#This Row],[PARTE]]=""),"VACIO","OK")</f>
        <v>VACIO</v>
      </c>
      <c r="U935" s="303" t="str">
        <f>+CONCATENATE(WEEKNUM(Tabla8[[#This Row],[FECHA]]),"-",YEAR(Tabla8[[#This Row],[FECHA]]))</f>
        <v>17-2026</v>
      </c>
    </row>
    <row r="936" spans="1:21" ht="15" customHeight="1">
      <c r="A936" s="22">
        <v>46132</v>
      </c>
      <c r="B936" s="16" t="s">
        <v>191</v>
      </c>
      <c r="C936" s="10" t="s">
        <v>23</v>
      </c>
      <c r="D936" s="381" t="s">
        <v>770</v>
      </c>
      <c r="E936" s="381" t="s">
        <v>1251</v>
      </c>
      <c r="F936" s="380">
        <f>+MOD(Tabla8[[#This Row],[HR. FIN]]-Tabla8[[#This Row],[HR. INICIO]],1)</f>
        <v>1.1111111111111072E-2</v>
      </c>
      <c r="G936" s="16" t="s">
        <v>98</v>
      </c>
      <c r="H936" s="343" t="str">
        <f>IFERROR(VLOOKUP(G936,DATOS!$M$2:$N$219,2,FALSE),"")</f>
        <v>Maquinaria</v>
      </c>
      <c r="I936" s="115" t="s">
        <v>32</v>
      </c>
      <c r="J936" s="115" t="str">
        <f>+VLOOKUP($I936,Tabla7[#All],2,FALSE)</f>
        <v>PROGRAMADA</v>
      </c>
      <c r="K936" s="114" t="str">
        <f>IF(VLOOKUP(I936,Tabla7[#All],3,FALSE)=0,"",VLOOKUP(I936,Tabla7[#All],3,FALSE))</f>
        <v/>
      </c>
      <c r="L936" s="35" t="s">
        <v>1855</v>
      </c>
      <c r="M936" s="35" t="s">
        <v>1856</v>
      </c>
      <c r="N936" s="35" t="str" cm="1">
        <f t="array" ref="N936">IFERROR(IF(Tabla8[[#This Row],[P/NP]]="NO PROGRAMADA","",_xlfn.TEXTJOIN(", ",TRUE,_xlfn._xlws.FILTER(Tabla4[[#All],[PIEZA]],ISNUMBER(SEARCH(Tabla4[[#All],[PCLAVE]],Tabla8[[#This Row],[DESCRIPCION DE TRABAJO]])),""))),"")</f>
        <v/>
      </c>
      <c r="O936" s="35" t="str" cm="1">
        <f t="array" ref="O936">_xlfn.TEXTJOIN(", ",TRUE,_xlfn._xlws.FILTER(Tabla28[[#All],[PARTE]],ISNUMBER(SEARCH(Tabla28[[#All],[PCLAVE2]],Tabla8[[#This Row],[DESCRIPCION DE TRABAJO]])),""))</f>
        <v/>
      </c>
      <c r="P936" s="303" t="str">
        <f>IFERROR(LEFT(O936, FIND(",", O936)-1), O936)</f>
        <v/>
      </c>
      <c r="Q936" s="303" t="str">
        <f>IFERROR(IF(ISERROR(FIND(",", O936, FIND(",", O936)+1)), RIGHT(O936, LEN(O936)-FIND(",", O936)-1), MID(O936, FIND(",", O936)+2, FIND(",", O936, FIND(",", O936)+1)-FIND(",", O936)-2)), "")</f>
        <v/>
      </c>
      <c r="R936" s="303" t="str">
        <f>IFERROR(RIGHT(O936, LEN(O936)-FIND(",", O936, FIND(",", O936)+1)-1), "")</f>
        <v/>
      </c>
      <c r="S936" s="35" t="str" cm="1">
        <f t="array" ref="S936">_xlfn.TEXTJOIN(", ",TRUE,_xlfn._xlws.FILTER(Tabla29[[#All],[PARTE]],ISNUMBER(SEARCH(Tabla29[[#All],[PCLAVE3]],Tabla8[[#This Row],[DESCRIPCION DE TRABAJO]])),""))</f>
        <v/>
      </c>
      <c r="T936" s="34" t="str">
        <f>IF(AND(Tabla8[[#This Row],[PIEZA]]="",Tabla8[[#This Row],[PARTE]]=""),"VACIO","OK")</f>
        <v>VACIO</v>
      </c>
      <c r="U936" s="303" t="str">
        <f>+CONCATENATE(WEEKNUM(Tabla8[[#This Row],[FECHA]]),"-",YEAR(Tabla8[[#This Row],[FECHA]]))</f>
        <v>17-2026</v>
      </c>
    </row>
    <row r="937" spans="1:21" ht="15" customHeight="1">
      <c r="A937" s="22">
        <v>46132</v>
      </c>
      <c r="B937" s="16" t="s">
        <v>179</v>
      </c>
      <c r="C937" s="10" t="s">
        <v>39</v>
      </c>
      <c r="D937" s="381" t="s">
        <v>1142</v>
      </c>
      <c r="E937" s="381" t="s">
        <v>660</v>
      </c>
      <c r="F937" s="380">
        <f>+MOD(Tabla8[[#This Row],[HR. FIN]]-Tabla8[[#This Row],[HR. INICIO]],1)</f>
        <v>1.1111111111111072E-2</v>
      </c>
      <c r="G937" s="16" t="s">
        <v>27</v>
      </c>
      <c r="H937" s="343" t="str">
        <f>IFERROR(VLOOKUP(G937,DATOS!$M$2:$N$219,2,FALSE),"")</f>
        <v>Maquinaria</v>
      </c>
      <c r="I937" s="115" t="s">
        <v>57</v>
      </c>
      <c r="J937" s="115" t="s">
        <v>157</v>
      </c>
      <c r="K937" s="114"/>
      <c r="L937" s="35" t="s">
        <v>1857</v>
      </c>
      <c r="M937" s="35" t="s">
        <v>121</v>
      </c>
      <c r="N937" s="35" t="str" cm="1">
        <f t="array" ref="N937">IFERROR(IF(Tabla8[[#This Row],[P/NP]]="NO PROGRAMADA","",_xlfn.TEXTJOIN(", ",TRUE,_xlfn._xlws.FILTER(Tabla4[[#All],[PIEZA]],ISNUMBER(SEARCH(Tabla4[[#All],[PCLAVE]],Tabla8[[#This Row],[DESCRIPCION DE TRABAJO]])),""))),"")</f>
        <v/>
      </c>
      <c r="O937" s="35" t="str" cm="1">
        <f t="array" ref="O937">_xlfn.TEXTJOIN(", ",TRUE,_xlfn._xlws.FILTER(Tabla28[[#All],[PARTE]],ISNUMBER(SEARCH(Tabla28[[#All],[PCLAVE2]],Tabla8[[#This Row],[DESCRIPCION DE TRABAJO]])),""))</f>
        <v>Dosificador, Mds</v>
      </c>
      <c r="P937" s="303" t="str">
        <f>IFERROR(LEFT(O937, FIND(",", O937)-1), O937)</f>
        <v>Dosificador</v>
      </c>
      <c r="Q937" s="303" t="str">
        <f>IFERROR(IF(ISERROR(FIND(",", O937, FIND(",", O937)+1)), RIGHT(O937, LEN(O937)-FIND(",", O937)-1), MID(O937, FIND(",", O937)+2, FIND(",", O937, FIND(",", O937)+1)-FIND(",", O937)-2)), "")</f>
        <v>Mds</v>
      </c>
      <c r="R937" s="303" t="str">
        <f>IFERROR(RIGHT(O937, LEN(O937)-FIND(",", O937, FIND(",", O937)+1)-1), "")</f>
        <v/>
      </c>
      <c r="S937" s="35" t="str" cm="1">
        <f t="array" ref="S937">_xlfn.TEXTJOIN(", ",TRUE,_xlfn._xlws.FILTER(Tabla29[[#All],[PARTE]],ISNUMBER(SEARCH(Tabla29[[#All],[PCLAVE3]],Tabla8[[#This Row],[DESCRIPCION DE TRABAJO]])),""))</f>
        <v>Calibracion</v>
      </c>
      <c r="T937" s="34" t="str">
        <f>IF(AND(Tabla8[[#This Row],[PIEZA]]="",Tabla8[[#This Row],[PARTE]]=""),"VACIO","OK")</f>
        <v>OK</v>
      </c>
      <c r="U937" s="303" t="str">
        <f>+CONCATENATE(WEEKNUM(Tabla8[[#This Row],[FECHA]]),"-",YEAR(Tabla8[[#This Row],[FECHA]]))</f>
        <v>17-2026</v>
      </c>
    </row>
    <row r="938" spans="1:21" ht="15" customHeight="1">
      <c r="A938" s="22">
        <v>46132</v>
      </c>
      <c r="B938" s="16" t="s">
        <v>88</v>
      </c>
      <c r="C938" s="10" t="s">
        <v>36</v>
      </c>
      <c r="D938" s="381" t="s">
        <v>96</v>
      </c>
      <c r="E938" s="381" t="s">
        <v>523</v>
      </c>
      <c r="F938" s="380">
        <f>+MOD(Tabla8[[#This Row],[HR. FIN]]-Tabla8[[#This Row],[HR. INICIO]],1)</f>
        <v>1.041666666666663E-2</v>
      </c>
      <c r="G938" s="16" t="s">
        <v>1063</v>
      </c>
      <c r="H938" s="343" t="str">
        <f>IFERROR(VLOOKUP(G938,DATOS!$M$2:$N$219,2,FALSE),"")</f>
        <v>Maquinaria</v>
      </c>
      <c r="I938" s="115" t="s">
        <v>32</v>
      </c>
      <c r="J938" s="115" t="str">
        <f>+VLOOKUP($I938,Tabla7[#All],2,FALSE)</f>
        <v>PROGRAMADA</v>
      </c>
      <c r="K938" s="114" t="str">
        <f>IF(VLOOKUP(I938,Tabla7[#All],3,FALSE)=0,"",VLOOKUP(I938,Tabla7[#All],3,FALSE))</f>
        <v/>
      </c>
      <c r="L938" s="35" t="s">
        <v>1858</v>
      </c>
      <c r="M938" s="35" t="s">
        <v>1859</v>
      </c>
      <c r="N938" s="35" t="str" cm="1">
        <f t="array" ref="N938">IFERROR(IF(Tabla8[[#This Row],[P/NP]]="NO PROGRAMADA","",_xlfn.TEXTJOIN(", ",TRUE,_xlfn._xlws.FILTER(Tabla4[[#All],[PIEZA]],ISNUMBER(SEARCH(Tabla4[[#All],[PCLAVE]],Tabla8[[#This Row],[DESCRIPCION DE TRABAJO]])),""))),"")</f>
        <v>Husillo, Husillo</v>
      </c>
      <c r="O938" s="35" t="str" cm="1">
        <f t="array" ref="O938">_xlfn.TEXTJOIN(", ",TRUE,_xlfn._xlws.FILTER(Tabla28[[#All],[PARTE]],ISNUMBER(SEARCH(Tabla28[[#All],[PCLAVE2]],Tabla8[[#This Row],[DESCRIPCION DE TRABAJO]])),""))</f>
        <v/>
      </c>
      <c r="P938" s="303" t="str">
        <f>IFERROR(LEFT(O938, FIND(",", O938)-1), O938)</f>
        <v/>
      </c>
      <c r="Q938" s="303" t="str">
        <f>IFERROR(IF(ISERROR(FIND(",", O938, FIND(",", O938)+1)), RIGHT(O938, LEN(O938)-FIND(",", O938)-1), MID(O938, FIND(",", O938)+2, FIND(",", O938, FIND(",", O938)+1)-FIND(",", O938)-2)), "")</f>
        <v/>
      </c>
      <c r="R938" s="303" t="str">
        <f>IFERROR(RIGHT(O938, LEN(O938)-FIND(",", O938, FIND(",", O938)+1)-1), "")</f>
        <v/>
      </c>
      <c r="S938" s="35" t="str" cm="1">
        <f t="array" ref="S938">_xlfn.TEXTJOIN(", ",TRUE,_xlfn._xlws.FILTER(Tabla29[[#All],[PARTE]],ISNUMBER(SEARCH(Tabla29[[#All],[PCLAVE3]],Tabla8[[#This Row],[DESCRIPCION DE TRABAJO]])),""))</f>
        <v>Sustitucion</v>
      </c>
      <c r="T938" s="34" t="str">
        <f>IF(AND(Tabla8[[#This Row],[PIEZA]]="",Tabla8[[#This Row],[PARTE]]=""),"VACIO","OK")</f>
        <v>OK</v>
      </c>
      <c r="U938" s="303" t="str">
        <f>+CONCATENATE(WEEKNUM(Tabla8[[#This Row],[FECHA]]),"-",YEAR(Tabla8[[#This Row],[FECHA]]))</f>
        <v>17-2026</v>
      </c>
    </row>
    <row r="939" spans="1:21" ht="15" customHeight="1">
      <c r="A939" s="22">
        <v>46132</v>
      </c>
      <c r="B939" s="16" t="s">
        <v>191</v>
      </c>
      <c r="C939" s="10" t="s">
        <v>23</v>
      </c>
      <c r="D939" s="381" t="s">
        <v>1569</v>
      </c>
      <c r="E939" s="381" t="s">
        <v>1860</v>
      </c>
      <c r="F939" s="380">
        <f>+MOD(Tabla8[[#This Row],[HR. FIN]]-Tabla8[[#This Row],[HR. INICIO]],1)</f>
        <v>1.041666666666663E-2</v>
      </c>
      <c r="G939" s="16" t="s">
        <v>215</v>
      </c>
      <c r="H939" s="343" t="str">
        <f>IFERROR(VLOOKUP(G939,DATOS!$M$2:$N$219,2,FALSE),"")</f>
        <v>Equipos auxiliares</v>
      </c>
      <c r="I939" s="115" t="s">
        <v>54</v>
      </c>
      <c r="J939" s="115" t="str">
        <f>+VLOOKUP($I939,Tabla7[#All],2,FALSE)</f>
        <v>PROGRAMADA</v>
      </c>
      <c r="K939" s="114" t="str">
        <f>IF(VLOOKUP(I939,Tabla7[#All],3,FALSE)=0,"",VLOOKUP(I939,Tabla7[#All],3,FALSE))</f>
        <v/>
      </c>
      <c r="L939" s="35" t="s">
        <v>1751</v>
      </c>
      <c r="M939" s="35" t="s">
        <v>121</v>
      </c>
      <c r="N939" s="35" t="str" cm="1">
        <f t="array" ref="N939">IFERROR(IF(Tabla8[[#This Row],[P/NP]]="NO PROGRAMADA","",_xlfn.TEXTJOIN(", ",TRUE,_xlfn._xlws.FILTER(Tabla4[[#All],[PIEZA]],ISNUMBER(SEARCH(Tabla4[[#All],[PCLAVE]],Tabla8[[#This Row],[DESCRIPCION DE TRABAJO]])),""))),"")</f>
        <v/>
      </c>
      <c r="O939" s="35" t="str" cm="1">
        <f t="array" ref="O939">_xlfn.TEXTJOIN(", ",TRUE,_xlfn._xlws.FILTER(Tabla28[[#All],[PARTE]],ISNUMBER(SEARCH(Tabla28[[#All],[PCLAVE2]],Tabla8[[#This Row],[DESCRIPCION DE TRABAJO]])),""))</f>
        <v/>
      </c>
      <c r="P939" s="303" t="str">
        <f>IFERROR(LEFT(O939, FIND(",", O939)-1), O939)</f>
        <v/>
      </c>
      <c r="Q939" s="303" t="str">
        <f>IFERROR(IF(ISERROR(FIND(",", O939, FIND(",", O939)+1)), RIGHT(O939, LEN(O939)-FIND(",", O939)-1), MID(O939, FIND(",", O939)+2, FIND(",", O939, FIND(",", O939)+1)-FIND(",", O939)-2)), "")</f>
        <v/>
      </c>
      <c r="R939" s="303" t="str">
        <f>IFERROR(RIGHT(O939, LEN(O939)-FIND(",", O939, FIND(",", O939)+1)-1), "")</f>
        <v/>
      </c>
      <c r="S939" s="35" t="str" cm="1">
        <f t="array" ref="S939">_xlfn.TEXTJOIN(", ",TRUE,_xlfn._xlws.FILTER(Tabla29[[#All],[PARTE]],ISNUMBER(SEARCH(Tabla29[[#All],[PCLAVE3]],Tabla8[[#This Row],[DESCRIPCION DE TRABAJO]])),""))</f>
        <v/>
      </c>
      <c r="T939" s="34" t="str">
        <f>IF(AND(Tabla8[[#This Row],[PIEZA]]="",Tabla8[[#This Row],[PARTE]]=""),"VACIO","OK")</f>
        <v>VACIO</v>
      </c>
      <c r="U939" s="303" t="str">
        <f>+CONCATENATE(WEEKNUM(Tabla8[[#This Row],[FECHA]]),"-",YEAR(Tabla8[[#This Row],[FECHA]]))</f>
        <v>17-2026</v>
      </c>
    </row>
    <row r="940" spans="1:21" ht="15" customHeight="1">
      <c r="A940" s="22">
        <v>46132</v>
      </c>
      <c r="B940" s="16" t="s">
        <v>191</v>
      </c>
      <c r="C940" s="10" t="s">
        <v>23</v>
      </c>
      <c r="D940" s="381" t="s">
        <v>261</v>
      </c>
      <c r="E940" s="381" t="s">
        <v>1861</v>
      </c>
      <c r="F940" s="380">
        <f>+MOD(Tabla8[[#This Row],[HR. FIN]]-Tabla8[[#This Row],[HR. INICIO]],1)</f>
        <v>1.041666666666663E-2</v>
      </c>
      <c r="G940" s="16" t="s">
        <v>169</v>
      </c>
      <c r="H940" s="343" t="str">
        <f>IFERROR(VLOOKUP(G940,DATOS!$M$2:$N$219,2,FALSE),"")</f>
        <v>Maquinaria</v>
      </c>
      <c r="I940" s="115" t="s">
        <v>32</v>
      </c>
      <c r="J940" s="115" t="str">
        <f>+VLOOKUP($I940,Tabla7[#All],2,FALSE)</f>
        <v>PROGRAMADA</v>
      </c>
      <c r="K940" s="114" t="str">
        <f>IF(VLOOKUP(I940,Tabla7[#All],3,FALSE)=0,"",VLOOKUP(I940,Tabla7[#All],3,FALSE))</f>
        <v/>
      </c>
      <c r="L940" s="35" t="s">
        <v>76</v>
      </c>
      <c r="M940" s="35" t="s">
        <v>121</v>
      </c>
      <c r="N940" s="35" t="str" cm="1">
        <f t="array" ref="N940">IFERROR(IF(Tabla8[[#This Row],[P/NP]]="NO PROGRAMADA","",_xlfn.TEXTJOIN(", ",TRUE,_xlfn._xlws.FILTER(Tabla4[[#All],[PIEZA]],ISNUMBER(SEARCH(Tabla4[[#All],[PCLAVE]],Tabla8[[#This Row],[DESCRIPCION DE TRABAJO]])),""))),"")</f>
        <v/>
      </c>
      <c r="O940" s="35" t="str" cm="1">
        <f t="array" ref="O940">_xlfn.TEXTJOIN(", ",TRUE,_xlfn._xlws.FILTER(Tabla28[[#All],[PARTE]],ISNUMBER(SEARCH(Tabla28[[#All],[PCLAVE2]],Tabla8[[#This Row],[DESCRIPCION DE TRABAJO]])),""))</f>
        <v/>
      </c>
      <c r="P940" s="303" t="str">
        <f>IFERROR(LEFT(O940, FIND(",", O940)-1), O940)</f>
        <v/>
      </c>
      <c r="Q940" s="303" t="str">
        <f>IFERROR(IF(ISERROR(FIND(",", O940, FIND(",", O940)+1)), RIGHT(O940, LEN(O940)-FIND(",", O940)-1), MID(O940, FIND(",", O940)+2, FIND(",", O940, FIND(",", O940)+1)-FIND(",", O940)-2)), "")</f>
        <v/>
      </c>
      <c r="R940" s="303" t="str">
        <f>IFERROR(RIGHT(O940, LEN(O940)-FIND(",", O940, FIND(",", O940)+1)-1), "")</f>
        <v/>
      </c>
      <c r="S940" s="35" t="str" cm="1">
        <f t="array" ref="S940">_xlfn.TEXTJOIN(", ",TRUE,_xlfn._xlws.FILTER(Tabla29[[#All],[PARTE]],ISNUMBER(SEARCH(Tabla29[[#All],[PCLAVE3]],Tabla8[[#This Row],[DESCRIPCION DE TRABAJO]])),""))</f>
        <v/>
      </c>
      <c r="T940" s="34" t="str">
        <f>IF(AND(Tabla8[[#This Row],[PIEZA]]="",Tabla8[[#This Row],[PARTE]]=""),"VACIO","OK")</f>
        <v>VACIO</v>
      </c>
      <c r="U940" s="303" t="str">
        <f>+CONCATENATE(WEEKNUM(Tabla8[[#This Row],[FECHA]]),"-",YEAR(Tabla8[[#This Row],[FECHA]]))</f>
        <v>17-2026</v>
      </c>
    </row>
    <row r="941" spans="1:21" ht="15" customHeight="1">
      <c r="A941" s="22">
        <v>46132</v>
      </c>
      <c r="B941" s="16" t="s">
        <v>191</v>
      </c>
      <c r="C941" s="10" t="s">
        <v>23</v>
      </c>
      <c r="D941" s="381" t="s">
        <v>510</v>
      </c>
      <c r="E941" s="381" t="s">
        <v>1862</v>
      </c>
      <c r="F941" s="380">
        <f>+MOD(Tabla8[[#This Row],[HR. FIN]]-Tabla8[[#This Row],[HR. INICIO]],1)</f>
        <v>9.0277777777777457E-3</v>
      </c>
      <c r="G941" s="16" t="s">
        <v>651</v>
      </c>
      <c r="H941" s="343" t="str">
        <f>IFERROR(VLOOKUP(G941,DATOS!$M$2:$N$219,2,FALSE),"")</f>
        <v>Maquinaria</v>
      </c>
      <c r="I941" s="115" t="s">
        <v>32</v>
      </c>
      <c r="J941" s="115" t="str">
        <f>+VLOOKUP($I941,Tabla7[#All],2,FALSE)</f>
        <v>PROGRAMADA</v>
      </c>
      <c r="K941" s="114" t="str">
        <f>IF(VLOOKUP(I941,Tabla7[#All],3,FALSE)=0,"",VLOOKUP(I941,Tabla7[#All],3,FALSE))</f>
        <v/>
      </c>
      <c r="L941" s="35" t="s">
        <v>76</v>
      </c>
      <c r="M941" s="35" t="s">
        <v>121</v>
      </c>
      <c r="N941" s="35" t="str" cm="1">
        <f t="array" ref="N941">IFERROR(IF(Tabla8[[#This Row],[P/NP]]="NO PROGRAMADA","",_xlfn.TEXTJOIN(", ",TRUE,_xlfn._xlws.FILTER(Tabla4[[#All],[PIEZA]],ISNUMBER(SEARCH(Tabla4[[#All],[PCLAVE]],Tabla8[[#This Row],[DESCRIPCION DE TRABAJO]])),""))),"")</f>
        <v/>
      </c>
      <c r="O941" s="35" t="str" cm="1">
        <f t="array" ref="O941">_xlfn.TEXTJOIN(", ",TRUE,_xlfn._xlws.FILTER(Tabla28[[#All],[PARTE]],ISNUMBER(SEARCH(Tabla28[[#All],[PCLAVE2]],Tabla8[[#This Row],[DESCRIPCION DE TRABAJO]])),""))</f>
        <v/>
      </c>
      <c r="P941" s="303" t="str">
        <f>IFERROR(LEFT(O941, FIND(",", O941)-1), O941)</f>
        <v/>
      </c>
      <c r="Q941" s="303" t="str">
        <f>IFERROR(IF(ISERROR(FIND(",", O941, FIND(",", O941)+1)), RIGHT(O941, LEN(O941)-FIND(",", O941)-1), MID(O941, FIND(",", O941)+2, FIND(",", O941, FIND(",", O941)+1)-FIND(",", O941)-2)), "")</f>
        <v/>
      </c>
      <c r="R941" s="303" t="str">
        <f>IFERROR(RIGHT(O941, LEN(O941)-FIND(",", O941, FIND(",", O941)+1)-1), "")</f>
        <v/>
      </c>
      <c r="S941" s="35" t="str" cm="1">
        <f t="array" ref="S941">_xlfn.TEXTJOIN(", ",TRUE,_xlfn._xlws.FILTER(Tabla29[[#All],[PARTE]],ISNUMBER(SEARCH(Tabla29[[#All],[PCLAVE3]],Tabla8[[#This Row],[DESCRIPCION DE TRABAJO]])),""))</f>
        <v/>
      </c>
      <c r="T941" s="34" t="str">
        <f>IF(AND(Tabla8[[#This Row],[PIEZA]]="",Tabla8[[#This Row],[PARTE]]=""),"VACIO","OK")</f>
        <v>VACIO</v>
      </c>
      <c r="U941" s="303" t="str">
        <f>+CONCATENATE(WEEKNUM(Tabla8[[#This Row],[FECHA]]),"-",YEAR(Tabla8[[#This Row],[FECHA]]))</f>
        <v>17-2026</v>
      </c>
    </row>
    <row r="942" spans="1:21" ht="15" customHeight="1">
      <c r="A942" s="22">
        <v>46132</v>
      </c>
      <c r="B942" s="16" t="s">
        <v>191</v>
      </c>
      <c r="C942" s="10" t="s">
        <v>23</v>
      </c>
      <c r="D942" s="381" t="s">
        <v>1863</v>
      </c>
      <c r="E942" s="381" t="s">
        <v>1441</v>
      </c>
      <c r="F942" s="380">
        <f>+MOD(Tabla8[[#This Row],[HR. FIN]]-Tabla8[[#This Row],[HR. INICIO]],1)</f>
        <v>9.0277777777777457E-3</v>
      </c>
      <c r="G942" s="16" t="s">
        <v>169</v>
      </c>
      <c r="H942" s="343" t="str">
        <f>IFERROR(VLOOKUP(G942,DATOS!$M$2:$N$219,2,FALSE),"")</f>
        <v>Maquinaria</v>
      </c>
      <c r="I942" s="115" t="s">
        <v>32</v>
      </c>
      <c r="J942" s="115" t="str">
        <f>+VLOOKUP($I942,Tabla7[#All],2,FALSE)</f>
        <v>PROGRAMADA</v>
      </c>
      <c r="K942" s="114" t="str">
        <f>IF(VLOOKUP(I942,Tabla7[#All],3,FALSE)=0,"",VLOOKUP(I942,Tabla7[#All],3,FALSE))</f>
        <v/>
      </c>
      <c r="L942" s="35" t="s">
        <v>1864</v>
      </c>
      <c r="M942" s="35" t="s">
        <v>121</v>
      </c>
      <c r="N942" s="35" t="str" cm="1">
        <f t="array" ref="N942">IFERROR(IF(Tabla8[[#This Row],[P/NP]]="NO PROGRAMADA","",_xlfn.TEXTJOIN(", ",TRUE,_xlfn._xlws.FILTER(Tabla4[[#All],[PIEZA]],ISNUMBER(SEARCH(Tabla4[[#All],[PCLAVE]],Tabla8[[#This Row],[DESCRIPCION DE TRABAJO]])),""))),"")</f>
        <v/>
      </c>
      <c r="O942" s="35" t="str" cm="1">
        <f t="array" ref="O942">_xlfn.TEXTJOIN(", ",TRUE,_xlfn._xlws.FILTER(Tabla28[[#All],[PARTE]],ISNUMBER(SEARCH(Tabla28[[#All],[PCLAVE2]],Tabla8[[#This Row],[DESCRIPCION DE TRABAJO]])),""))</f>
        <v/>
      </c>
      <c r="P942" s="303" t="str">
        <f>IFERROR(LEFT(O942, FIND(",", O942)-1), O942)</f>
        <v/>
      </c>
      <c r="Q942" s="303" t="str">
        <f>IFERROR(IF(ISERROR(FIND(",", O942, FIND(",", O942)+1)), RIGHT(O942, LEN(O942)-FIND(",", O942)-1), MID(O942, FIND(",", O942)+2, FIND(",", O942, FIND(",", O942)+1)-FIND(",", O942)-2)), "")</f>
        <v/>
      </c>
      <c r="R942" s="303" t="str">
        <f>IFERROR(RIGHT(O942, LEN(O942)-FIND(",", O942, FIND(",", O942)+1)-1), "")</f>
        <v/>
      </c>
      <c r="S942" s="35" t="str" cm="1">
        <f t="array" ref="S942">_xlfn.TEXTJOIN(", ",TRUE,_xlfn._xlws.FILTER(Tabla29[[#All],[PARTE]],ISNUMBER(SEARCH(Tabla29[[#All],[PCLAVE3]],Tabla8[[#This Row],[DESCRIPCION DE TRABAJO]])),""))</f>
        <v/>
      </c>
      <c r="T942" s="34" t="str">
        <f>IF(AND(Tabla8[[#This Row],[PIEZA]]="",Tabla8[[#This Row],[PARTE]]=""),"VACIO","OK")</f>
        <v>VACIO</v>
      </c>
      <c r="U942" s="303" t="str">
        <f>+CONCATENATE(WEEKNUM(Tabla8[[#This Row],[FECHA]]),"-",YEAR(Tabla8[[#This Row],[FECHA]]))</f>
        <v>17-2026</v>
      </c>
    </row>
    <row r="943" spans="1:21" ht="15" customHeight="1">
      <c r="A943" s="22">
        <v>46132</v>
      </c>
      <c r="B943" s="16" t="s">
        <v>191</v>
      </c>
      <c r="C943" s="10" t="s">
        <v>23</v>
      </c>
      <c r="D943" s="381" t="s">
        <v>1865</v>
      </c>
      <c r="E943" s="381" t="s">
        <v>1866</v>
      </c>
      <c r="F943" s="380">
        <f>+MOD(Tabla8[[#This Row],[HR. FIN]]-Tabla8[[#This Row],[HR. INICIO]],1)</f>
        <v>8.3333333333333037E-3</v>
      </c>
      <c r="G943" s="16" t="s">
        <v>169</v>
      </c>
      <c r="H943" s="343" t="str">
        <f>IFERROR(VLOOKUP(G943,DATOS!$M$2:$N$219,2,FALSE),"")</f>
        <v>Maquinaria</v>
      </c>
      <c r="I943" s="115" t="s">
        <v>32</v>
      </c>
      <c r="J943" s="115" t="str">
        <f>+VLOOKUP($I943,Tabla7[#All],2,FALSE)</f>
        <v>PROGRAMADA</v>
      </c>
      <c r="K943" s="114" t="str">
        <f>IF(VLOOKUP(I943,Tabla7[#All],3,FALSE)=0,"",VLOOKUP(I943,Tabla7[#All],3,FALSE))</f>
        <v/>
      </c>
      <c r="L943" s="35" t="s">
        <v>76</v>
      </c>
      <c r="M943" s="35" t="s">
        <v>121</v>
      </c>
      <c r="N943" s="35" t="str" cm="1">
        <f t="array" ref="N943">IFERROR(IF(Tabla8[[#This Row],[P/NP]]="NO PROGRAMADA","",_xlfn.TEXTJOIN(", ",TRUE,_xlfn._xlws.FILTER(Tabla4[[#All],[PIEZA]],ISNUMBER(SEARCH(Tabla4[[#All],[PCLAVE]],Tabla8[[#This Row],[DESCRIPCION DE TRABAJO]])),""))),"")</f>
        <v/>
      </c>
      <c r="O943" s="35" t="str" cm="1">
        <f t="array" ref="O943">_xlfn.TEXTJOIN(", ",TRUE,_xlfn._xlws.FILTER(Tabla28[[#All],[PARTE]],ISNUMBER(SEARCH(Tabla28[[#All],[PCLAVE2]],Tabla8[[#This Row],[DESCRIPCION DE TRABAJO]])),""))</f>
        <v/>
      </c>
      <c r="P943" s="303" t="str">
        <f>IFERROR(LEFT(O943, FIND(",", O943)-1), O943)</f>
        <v/>
      </c>
      <c r="Q943" s="303" t="str">
        <f>IFERROR(IF(ISERROR(FIND(",", O943, FIND(",", O943)+1)), RIGHT(O943, LEN(O943)-FIND(",", O943)-1), MID(O943, FIND(",", O943)+2, FIND(",", O943, FIND(",", O943)+1)-FIND(",", O943)-2)), "")</f>
        <v/>
      </c>
      <c r="R943" s="303" t="str">
        <f>IFERROR(RIGHT(O943, LEN(O943)-FIND(",", O943, FIND(",", O943)+1)-1), "")</f>
        <v/>
      </c>
      <c r="S943" s="35" t="str" cm="1">
        <f t="array" ref="S943">_xlfn.TEXTJOIN(", ",TRUE,_xlfn._xlws.FILTER(Tabla29[[#All],[PARTE]],ISNUMBER(SEARCH(Tabla29[[#All],[PCLAVE3]],Tabla8[[#This Row],[DESCRIPCION DE TRABAJO]])),""))</f>
        <v/>
      </c>
      <c r="T943" s="34" t="str">
        <f>IF(AND(Tabla8[[#This Row],[PIEZA]]="",Tabla8[[#This Row],[PARTE]]=""),"VACIO","OK")</f>
        <v>VACIO</v>
      </c>
      <c r="U943" s="303" t="str">
        <f>+CONCATENATE(WEEKNUM(Tabla8[[#This Row],[FECHA]]),"-",YEAR(Tabla8[[#This Row],[FECHA]]))</f>
        <v>17-2026</v>
      </c>
    </row>
    <row r="944" spans="1:21" ht="15" customHeight="1">
      <c r="A944" s="22">
        <v>46132</v>
      </c>
      <c r="B944" s="16" t="s">
        <v>179</v>
      </c>
      <c r="C944" s="10" t="s">
        <v>39</v>
      </c>
      <c r="D944" s="381" t="s">
        <v>134</v>
      </c>
      <c r="E944" s="381" t="s">
        <v>1867</v>
      </c>
      <c r="F944" s="380">
        <f>+MOD(Tabla8[[#This Row],[HR. FIN]]-Tabla8[[#This Row],[HR. INICIO]],1)</f>
        <v>6.9444444444444198E-3</v>
      </c>
      <c r="G944" s="16" t="s">
        <v>793</v>
      </c>
      <c r="H944" s="343" t="str">
        <f>IFERROR(VLOOKUP(G944,DATOS!$M$2:$N$219,2,FALSE),"")</f>
        <v>Maquinaria</v>
      </c>
      <c r="I944" s="115" t="s">
        <v>32</v>
      </c>
      <c r="J944" s="115" t="str">
        <f>+VLOOKUP($I944,Tabla7[#All],2,FALSE)</f>
        <v>PROGRAMADA</v>
      </c>
      <c r="K944" s="114" t="str">
        <f>IF(VLOOKUP(I944,Tabla7[#All],3,FALSE)=0,"",VLOOKUP(I944,Tabla7[#All],3,FALSE))</f>
        <v/>
      </c>
      <c r="L944" s="35" t="s">
        <v>1868</v>
      </c>
      <c r="M944" s="35" t="s">
        <v>121</v>
      </c>
      <c r="N944" s="35" t="str" cm="1">
        <f t="array" ref="N944">IFERROR(IF(Tabla8[[#This Row],[P/NP]]="NO PROGRAMADA","",_xlfn.TEXTJOIN(", ",TRUE,_xlfn._xlws.FILTER(Tabla4[[#All],[PIEZA]],ISNUMBER(SEARCH(Tabla4[[#All],[PCLAVE]],Tabla8[[#This Row],[DESCRIPCION DE TRABAJO]])),""))),"")</f>
        <v>Sensor</v>
      </c>
      <c r="O944" s="35" t="str" cm="1">
        <f t="array" ref="O944">_xlfn.TEXTJOIN(", ",TRUE,_xlfn._xlws.FILTER(Tabla28[[#All],[PARTE]],ISNUMBER(SEARCH(Tabla28[[#All],[PCLAVE2]],Tabla8[[#This Row],[DESCRIPCION DE TRABAJO]])),""))</f>
        <v/>
      </c>
      <c r="P944" s="303" t="str">
        <f>IFERROR(LEFT(O944, FIND(",", O944)-1), O944)</f>
        <v/>
      </c>
      <c r="Q944" s="303" t="str">
        <f>IFERROR(IF(ISERROR(FIND(",", O944, FIND(",", O944)+1)), RIGHT(O944, LEN(O944)-FIND(",", O944)-1), MID(O944, FIND(",", O944)+2, FIND(",", O944, FIND(",", O944)+1)-FIND(",", O944)-2)), "")</f>
        <v/>
      </c>
      <c r="R944" s="303" t="str">
        <f>IFERROR(RIGHT(O944, LEN(O944)-FIND(",", O944, FIND(",", O944)+1)-1), "")</f>
        <v/>
      </c>
      <c r="S944" s="35" t="str" cm="1">
        <f t="array" ref="S944">_xlfn.TEXTJOIN(", ",TRUE,_xlfn._xlws.FILTER(Tabla29[[#All],[PARTE]],ISNUMBER(SEARCH(Tabla29[[#All],[PCLAVE3]],Tabla8[[#This Row],[DESCRIPCION DE TRABAJO]])),""))</f>
        <v/>
      </c>
      <c r="T944" s="34" t="str">
        <f>IF(AND(Tabla8[[#This Row],[PIEZA]]="",Tabla8[[#This Row],[PARTE]]=""),"VACIO","OK")</f>
        <v>OK</v>
      </c>
      <c r="U944" s="303" t="str">
        <f>+CONCATENATE(WEEKNUM(Tabla8[[#This Row],[FECHA]]),"-",YEAR(Tabla8[[#This Row],[FECHA]]))</f>
        <v>17-2026</v>
      </c>
    </row>
    <row r="945" spans="1:21" ht="15" customHeight="1">
      <c r="A945" s="22">
        <v>46133</v>
      </c>
      <c r="B945" s="16" t="s">
        <v>88</v>
      </c>
      <c r="C945" s="10" t="s">
        <v>36</v>
      </c>
      <c r="D945" s="381">
        <v>0.52083333333333337</v>
      </c>
      <c r="E945" s="381">
        <v>0.57291666666666663</v>
      </c>
      <c r="F945" s="380">
        <f>+MOD(Tabla8[[#This Row],[HR. FIN]]-Tabla8[[#This Row],[HR. INICIO]],1)</f>
        <v>5.2083333333333259E-2</v>
      </c>
      <c r="G945" s="16" t="s">
        <v>241</v>
      </c>
      <c r="H945" s="343" t="str">
        <f>IFERROR(VLOOKUP(G945,DATOS!$M$2:$N$219,2,FALSE),"")</f>
        <v>Maquinaria</v>
      </c>
      <c r="I945" s="115" t="s">
        <v>61</v>
      </c>
      <c r="J945" s="115" t="str">
        <f>+VLOOKUP($I945,Tabla7[#All],2,FALSE)</f>
        <v>PROGRAMADA</v>
      </c>
      <c r="K945" s="114" t="str">
        <f>IF(VLOOKUP(I945,Tabla7[#All],3,FALSE)=0,"",VLOOKUP(I945,Tabla7[#All],3,FALSE))</f>
        <v/>
      </c>
      <c r="L945" s="35" t="s">
        <v>1869</v>
      </c>
      <c r="M945" s="35" t="s">
        <v>1870</v>
      </c>
      <c r="N945" s="35" t="str" cm="1">
        <f t="array" ref="N945">IFERROR(IF(Tabla8[[#This Row],[P/NP]]="NO PROGRAMADA","",_xlfn.TEXTJOIN(", ",TRUE,_xlfn._xlws.FILTER(Tabla4[[#All],[PIEZA]],ISNUMBER(SEARCH(Tabla4[[#All],[PCLAVE]],Tabla8[[#This Row],[DESCRIPCION DE TRABAJO]])),""))),"")</f>
        <v>Producto</v>
      </c>
      <c r="O945" s="35" t="str" cm="1">
        <f t="array" ref="O945">_xlfn.TEXTJOIN(", ",TRUE,_xlfn._xlws.FILTER(Tabla28[[#All],[PARTE]],ISNUMBER(SEARCH(Tabla28[[#All],[PCLAVE2]],Tabla8[[#This Row],[DESCRIPCION DE TRABAJO]])),""))</f>
        <v/>
      </c>
      <c r="P945" s="303" t="str">
        <f>IFERROR(LEFT(O945, FIND(",", O945)-1), O945)</f>
        <v/>
      </c>
      <c r="Q945" s="303" t="str">
        <f>IFERROR(IF(ISERROR(FIND(",", O945, FIND(",", O945)+1)), RIGHT(O945, LEN(O945)-FIND(",", O945)-1), MID(O945, FIND(",", O945)+2, FIND(",", O945, FIND(",", O945)+1)-FIND(",", O945)-2)), "")</f>
        <v/>
      </c>
      <c r="R945" s="303" t="str">
        <f>IFERROR(RIGHT(O945, LEN(O945)-FIND(",", O945, FIND(",", O945)+1)-1), "")</f>
        <v/>
      </c>
      <c r="S945" s="35" t="str" cm="1">
        <f t="array" ref="S945">_xlfn.TEXTJOIN(", ",TRUE,_xlfn._xlws.FILTER(Tabla29[[#All],[PARTE]],ISNUMBER(SEARCH(Tabla29[[#All],[PCLAVE3]],Tabla8[[#This Row],[DESCRIPCION DE TRABAJO]])),""))</f>
        <v>Carga/descarga</v>
      </c>
      <c r="T945" s="34" t="str">
        <f>IF(AND(Tabla8[[#This Row],[PIEZA]]="",Tabla8[[#This Row],[PARTE]]=""),"VACIO","OK")</f>
        <v>OK</v>
      </c>
      <c r="U945" s="303" t="str">
        <f>+CONCATENATE(WEEKNUM(Tabla8[[#This Row],[FECHA]]),"-",YEAR(Tabla8[[#This Row],[FECHA]]))</f>
        <v>17-2026</v>
      </c>
    </row>
    <row r="946" spans="1:21" ht="15" customHeight="1">
      <c r="A946" s="22">
        <v>46133</v>
      </c>
      <c r="B946" s="16" t="s">
        <v>88</v>
      </c>
      <c r="C946" s="10" t="s">
        <v>36</v>
      </c>
      <c r="D946" s="381">
        <v>0.25</v>
      </c>
      <c r="E946" s="381">
        <v>0.29166666666666669</v>
      </c>
      <c r="F946" s="380">
        <f>+MOD(Tabla8[[#This Row],[HR. FIN]]-Tabla8[[#This Row],[HR. INICIO]],1)</f>
        <v>4.1666666666666685E-2</v>
      </c>
      <c r="G946" s="16" t="s">
        <v>114</v>
      </c>
      <c r="H946" s="343" t="str">
        <f>IFERROR(VLOOKUP(G946,DATOS!$M$2:$N$219,2,FALSE),"")</f>
        <v>Maquinaria</v>
      </c>
      <c r="I946" s="115" t="s">
        <v>32</v>
      </c>
      <c r="J946" s="115" t="str">
        <f>+VLOOKUP($I946,Tabla7[#All],2,FALSE)</f>
        <v>PROGRAMADA</v>
      </c>
      <c r="K946" s="114" t="str">
        <f>IF(VLOOKUP(I946,Tabla7[#All],3,FALSE)=0,"",VLOOKUP(I946,Tabla7[#All],3,FALSE))</f>
        <v/>
      </c>
      <c r="L946" s="35" t="s">
        <v>1871</v>
      </c>
      <c r="M946" s="35" t="s">
        <v>1872</v>
      </c>
      <c r="N946" s="35" t="str" cm="1">
        <f t="array" ref="N946">IFERROR(IF(Tabla8[[#This Row],[P/NP]]="NO PROGRAMADA","",_xlfn.TEXTJOIN(", ",TRUE,_xlfn._xlws.FILTER(Tabla4[[#All],[PIEZA]],ISNUMBER(SEARCH(Tabla4[[#All],[PCLAVE]],Tabla8[[#This Row],[DESCRIPCION DE TRABAJO]])),""))),"")</f>
        <v/>
      </c>
      <c r="O946" s="35" t="str" cm="1">
        <f t="array" ref="O946">_xlfn.TEXTJOIN(", ",TRUE,_xlfn._xlws.FILTER(Tabla28[[#All],[PARTE]],ISNUMBER(SEARCH(Tabla28[[#All],[PCLAVE2]],Tabla8[[#This Row],[DESCRIPCION DE TRABAJO]])),""))</f>
        <v/>
      </c>
      <c r="P946" s="303" t="str">
        <f>IFERROR(LEFT(O946, FIND(",", O946)-1), O946)</f>
        <v/>
      </c>
      <c r="Q946" s="303" t="str">
        <f>IFERROR(IF(ISERROR(FIND(",", O946, FIND(",", O946)+1)), RIGHT(O946, LEN(O946)-FIND(",", O946)-1), MID(O946, FIND(",", O946)+2, FIND(",", O946, FIND(",", O946)+1)-FIND(",", O946)-2)), "")</f>
        <v/>
      </c>
      <c r="R946" s="303" t="str">
        <f>IFERROR(RIGHT(O946, LEN(O946)-FIND(",", O946, FIND(",", O946)+1)-1), "")</f>
        <v/>
      </c>
      <c r="S946" s="35" t="str" cm="1">
        <f t="array" ref="S946">_xlfn.TEXTJOIN(", ",TRUE,_xlfn._xlws.FILTER(Tabla29[[#All],[PARTE]],ISNUMBER(SEARCH(Tabla29[[#All],[PCLAVE3]],Tabla8[[#This Row],[DESCRIPCION DE TRABAJO]])),""))</f>
        <v>Obstruido, Suciedad</v>
      </c>
      <c r="T946" s="34" t="str">
        <f>IF(AND(Tabla8[[#This Row],[PIEZA]]="",Tabla8[[#This Row],[PARTE]]=""),"VACIO","OK")</f>
        <v>VACIO</v>
      </c>
      <c r="U946" s="303" t="str">
        <f>+CONCATENATE(WEEKNUM(Tabla8[[#This Row],[FECHA]]),"-",YEAR(Tabla8[[#This Row],[FECHA]]))</f>
        <v>17-2026</v>
      </c>
    </row>
    <row r="947" spans="1:21" ht="15" customHeight="1">
      <c r="A947" s="22">
        <v>46133</v>
      </c>
      <c r="B947" s="16" t="s">
        <v>131</v>
      </c>
      <c r="C947" s="10" t="s">
        <v>36</v>
      </c>
      <c r="D947" s="381">
        <v>0.25694444444444442</v>
      </c>
      <c r="E947" s="381">
        <v>0.29166666666666669</v>
      </c>
      <c r="F947" s="380">
        <f>+MOD(Tabla8[[#This Row],[HR. FIN]]-Tabla8[[#This Row],[HR. INICIO]],1)</f>
        <v>3.4722222222222265E-2</v>
      </c>
      <c r="G947" s="16" t="s">
        <v>114</v>
      </c>
      <c r="H947" s="343" t="str">
        <f>IFERROR(VLOOKUP(G947,DATOS!$M$2:$N$219,2,FALSE),"")</f>
        <v>Maquinaria</v>
      </c>
      <c r="I947" s="115" t="s">
        <v>57</v>
      </c>
      <c r="J947" s="115" t="str">
        <f>+VLOOKUP($I947,Tabla7[#All],2,FALSE)</f>
        <v>NO PROGRAMADA</v>
      </c>
      <c r="K947" s="114" t="str">
        <f>IF(VLOOKUP(I947,Tabla7[#All],3,FALSE)=0,"",VLOOKUP(I947,Tabla7[#All],3,FALSE))</f>
        <v>MECÁNICA</v>
      </c>
      <c r="L947" s="35" t="s">
        <v>1873</v>
      </c>
      <c r="M947" s="35" t="s">
        <v>1874</v>
      </c>
      <c r="N947" s="35" t="str" cm="1">
        <f t="array" ref="N947">IFERROR(IF(Tabla8[[#This Row],[P/NP]]="NO PROGRAMADA","",_xlfn.TEXTJOIN(", ",TRUE,_xlfn._xlws.FILTER(Tabla4[[#All],[PIEZA]],ISNUMBER(SEARCH(Tabla4[[#All],[PCLAVE]],Tabla8[[#This Row],[DESCRIPCION DE TRABAJO]])),""))),"")</f>
        <v/>
      </c>
      <c r="O947" s="35" t="str" cm="1">
        <f t="array" ref="O947">_xlfn.TEXTJOIN(", ",TRUE,_xlfn._xlws.FILTER(Tabla28[[#All],[PARTE]],ISNUMBER(SEARCH(Tabla28[[#All],[PCLAVE2]],Tabla8[[#This Row],[DESCRIPCION DE TRABAJO]])),""))</f>
        <v/>
      </c>
      <c r="P947" s="303" t="str">
        <f>IFERROR(LEFT(O947, FIND(",", O947)-1), O947)</f>
        <v/>
      </c>
      <c r="Q947" s="303" t="str">
        <f>IFERROR(IF(ISERROR(FIND(",", O947, FIND(",", O947)+1)), RIGHT(O947, LEN(O947)-FIND(",", O947)-1), MID(O947, FIND(",", O947)+2, FIND(",", O947, FIND(",", O947)+1)-FIND(",", O947)-2)), "")</f>
        <v/>
      </c>
      <c r="R947" s="303" t="str">
        <f>IFERROR(RIGHT(O947, LEN(O947)-FIND(",", O947, FIND(",", O947)+1)-1), "")</f>
        <v/>
      </c>
      <c r="S947" s="35" t="str" cm="1">
        <f t="array" ref="S947">_xlfn.TEXTJOIN(", ",TRUE,_xlfn._xlws.FILTER(Tabla29[[#All],[PARTE]],ISNUMBER(SEARCH(Tabla29[[#All],[PCLAVE3]],Tabla8[[#This Row],[DESCRIPCION DE TRABAJO]])),""))</f>
        <v>Amarrado, Rotura, Se Protege</v>
      </c>
      <c r="T947" s="34" t="str">
        <f>IF(AND(Tabla8[[#This Row],[PIEZA]]="",Tabla8[[#This Row],[PARTE]]=""),"VACIO","OK")</f>
        <v>VACIO</v>
      </c>
      <c r="U947" s="303" t="str">
        <f>+CONCATENATE(WEEKNUM(Tabla8[[#This Row],[FECHA]]),"-",YEAR(Tabla8[[#This Row],[FECHA]]))</f>
        <v>17-2026</v>
      </c>
    </row>
    <row r="948" spans="1:21" ht="15" customHeight="1">
      <c r="A948" s="22">
        <v>46133</v>
      </c>
      <c r="B948" s="16" t="s">
        <v>131</v>
      </c>
      <c r="C948" s="10" t="s">
        <v>36</v>
      </c>
      <c r="D948" s="381">
        <v>0.47638888888888886</v>
      </c>
      <c r="E948" s="381">
        <v>0.50763888888888886</v>
      </c>
      <c r="F948" s="380">
        <f>+MOD(Tabla8[[#This Row],[HR. FIN]]-Tabla8[[#This Row],[HR. INICIO]],1)</f>
        <v>3.125E-2</v>
      </c>
      <c r="G948" s="16" t="s">
        <v>222</v>
      </c>
      <c r="H948" s="343" t="str">
        <f>IFERROR(VLOOKUP(G948,DATOS!$M$2:$N$219,2,FALSE),"")</f>
        <v>Maquinaria</v>
      </c>
      <c r="I948" s="115" t="s">
        <v>390</v>
      </c>
      <c r="J948" s="115" t="str">
        <f>+VLOOKUP($I948,Tabla7[#All],2,FALSE)</f>
        <v>PROGRAMADA</v>
      </c>
      <c r="K948" s="114" t="str">
        <f>IF(VLOOKUP(I948,Tabla7[#All],3,FALSE)=0,"",VLOOKUP(I948,Tabla7[#All],3,FALSE))</f>
        <v/>
      </c>
      <c r="L948" s="35" t="s">
        <v>1875</v>
      </c>
      <c r="M948" s="35" t="s">
        <v>121</v>
      </c>
      <c r="N948" s="35" t="str" cm="1">
        <f t="array" ref="N948">IFERROR(IF(Tabla8[[#This Row],[P/NP]]="NO PROGRAMADA","",_xlfn.TEXTJOIN(", ",TRUE,_xlfn._xlws.FILTER(Tabla4[[#All],[PIEZA]],ISNUMBER(SEARCH(Tabla4[[#All],[PCLAVE]],Tabla8[[#This Row],[DESCRIPCION DE TRABAJO]])),""))),"")</f>
        <v/>
      </c>
      <c r="O948" s="35" t="str" cm="1">
        <f t="array" ref="O948">_xlfn.TEXTJOIN(", ",TRUE,_xlfn._xlws.FILTER(Tabla28[[#All],[PARTE]],ISNUMBER(SEARCH(Tabla28[[#All],[PCLAVE2]],Tabla8[[#This Row],[DESCRIPCION DE TRABAJO]])),""))</f>
        <v/>
      </c>
      <c r="P948" s="303" t="str">
        <f>IFERROR(LEFT(O948, FIND(",", O948)-1), O948)</f>
        <v/>
      </c>
      <c r="Q948" s="303" t="str">
        <f>IFERROR(IF(ISERROR(FIND(",", O948, FIND(",", O948)+1)), RIGHT(O948, LEN(O948)-FIND(",", O948)-1), MID(O948, FIND(",", O948)+2, FIND(",", O948, FIND(",", O948)+1)-FIND(",", O948)-2)), "")</f>
        <v/>
      </c>
      <c r="R948" s="303" t="str">
        <f>IFERROR(RIGHT(O948, LEN(O948)-FIND(",", O948, FIND(",", O948)+1)-1), "")</f>
        <v/>
      </c>
      <c r="S948" s="35" t="str" cm="1">
        <f t="array" ref="S948">_xlfn.TEXTJOIN(", ",TRUE,_xlfn._xlws.FILTER(Tabla29[[#All],[PARTE]],ISNUMBER(SEARCH(Tabla29[[#All],[PCLAVE3]],Tabla8[[#This Row],[DESCRIPCION DE TRABAJO]])),""))</f>
        <v/>
      </c>
      <c r="T948" s="34" t="str">
        <f>IF(AND(Tabla8[[#This Row],[PIEZA]]="",Tabla8[[#This Row],[PARTE]]=""),"VACIO","OK")</f>
        <v>VACIO</v>
      </c>
      <c r="U948" s="303" t="str">
        <f>+CONCATENATE(WEEKNUM(Tabla8[[#This Row],[FECHA]]),"-",YEAR(Tabla8[[#This Row],[FECHA]]))</f>
        <v>17-2026</v>
      </c>
    </row>
    <row r="949" spans="1:21" ht="15" customHeight="1">
      <c r="A949" s="22">
        <v>46133</v>
      </c>
      <c r="B949" s="16" t="s">
        <v>88</v>
      </c>
      <c r="C949" s="10" t="s">
        <v>36</v>
      </c>
      <c r="D949" s="381">
        <v>0.3125</v>
      </c>
      <c r="E949" s="381">
        <v>0.33333333333333331</v>
      </c>
      <c r="F949" s="380">
        <f>+MOD(Tabla8[[#This Row],[HR. FIN]]-Tabla8[[#This Row],[HR. INICIO]],1)</f>
        <v>2.0833333333333315E-2</v>
      </c>
      <c r="G949" s="16" t="s">
        <v>31</v>
      </c>
      <c r="H949" s="343" t="str">
        <f>IFERROR(VLOOKUP(G949,DATOS!$M$2:$N$219,2,FALSE),"")</f>
        <v>Maquinaria</v>
      </c>
      <c r="I949" s="115" t="s">
        <v>54</v>
      </c>
      <c r="J949" s="115" t="str">
        <f>+VLOOKUP($I949,Tabla7[#All],2,FALSE)</f>
        <v>PROGRAMADA</v>
      </c>
      <c r="K949" s="114" t="str">
        <f>IF(VLOOKUP(I949,Tabla7[#All],3,FALSE)=0,"",VLOOKUP(I949,Tabla7[#All],3,FALSE))</f>
        <v/>
      </c>
      <c r="L949" s="35" t="s">
        <v>1288</v>
      </c>
      <c r="M949" s="35" t="s">
        <v>1876</v>
      </c>
      <c r="N949" s="35" t="str" cm="1">
        <f t="array" ref="N949">IFERROR(IF(Tabla8[[#This Row],[P/NP]]="NO PROGRAMADA","",_xlfn.TEXTJOIN(", ",TRUE,_xlfn._xlws.FILTER(Tabla4[[#All],[PIEZA]],ISNUMBER(SEARCH(Tabla4[[#All],[PCLAVE]],Tabla8[[#This Row],[DESCRIPCION DE TRABAJO]])),""))),"")</f>
        <v/>
      </c>
      <c r="O949" s="35" t="str" cm="1">
        <f t="array" ref="O949">_xlfn.TEXTJOIN(", ",TRUE,_xlfn._xlws.FILTER(Tabla28[[#All],[PARTE]],ISNUMBER(SEARCH(Tabla28[[#All],[PCLAVE2]],Tabla8[[#This Row],[DESCRIPCION DE TRABAJO]])),""))</f>
        <v/>
      </c>
      <c r="P949" s="303" t="str">
        <f>IFERROR(LEFT(O949, FIND(",", O949)-1), O949)</f>
        <v/>
      </c>
      <c r="Q949" s="303" t="str">
        <f>IFERROR(IF(ISERROR(FIND(",", O949, FIND(",", O949)+1)), RIGHT(O949, LEN(O949)-FIND(",", O949)-1), MID(O949, FIND(",", O949)+2, FIND(",", O949, FIND(",", O949)+1)-FIND(",", O949)-2)), "")</f>
        <v/>
      </c>
      <c r="R949" s="303" t="str">
        <f>IFERROR(RIGHT(O949, LEN(O949)-FIND(",", O949, FIND(",", O949)+1)-1), "")</f>
        <v/>
      </c>
      <c r="S949" s="35" t="str" cm="1">
        <f t="array" ref="S949">_xlfn.TEXTJOIN(", ",TRUE,_xlfn._xlws.FILTER(Tabla29[[#All],[PARTE]],ISNUMBER(SEARCH(Tabla29[[#All],[PCLAVE3]],Tabla8[[#This Row],[DESCRIPCION DE TRABAJO]])),""))</f>
        <v/>
      </c>
      <c r="T949" s="34" t="str">
        <f>IF(AND(Tabla8[[#This Row],[PIEZA]]="",Tabla8[[#This Row],[PARTE]]=""),"VACIO","OK")</f>
        <v>VACIO</v>
      </c>
      <c r="U949" s="303" t="str">
        <f>+CONCATENATE(WEEKNUM(Tabla8[[#This Row],[FECHA]]),"-",YEAR(Tabla8[[#This Row],[FECHA]]))</f>
        <v>17-2026</v>
      </c>
    </row>
    <row r="950" spans="1:21" ht="15" customHeight="1">
      <c r="A950" s="22">
        <v>46133</v>
      </c>
      <c r="B950" s="16" t="s">
        <v>88</v>
      </c>
      <c r="C950" s="10" t="s">
        <v>36</v>
      </c>
      <c r="D950" s="381">
        <v>0.34375</v>
      </c>
      <c r="E950" s="381">
        <v>0.36458333333333331</v>
      </c>
      <c r="F950" s="380">
        <f>+MOD(Tabla8[[#This Row],[HR. FIN]]-Tabla8[[#This Row],[HR. INICIO]],1)</f>
        <v>2.0833333333333315E-2</v>
      </c>
      <c r="G950" s="16" t="s">
        <v>270</v>
      </c>
      <c r="H950" s="343" t="str">
        <f>IFERROR(VLOOKUP(G950,DATOS!$M$2:$N$219,2,FALSE),"")</f>
        <v>Maquinaria</v>
      </c>
      <c r="I950" s="115" t="s">
        <v>54</v>
      </c>
      <c r="J950" s="115" t="str">
        <f>+VLOOKUP($I950,Tabla7[#All],2,FALSE)</f>
        <v>PROGRAMADA</v>
      </c>
      <c r="K950" s="114" t="str">
        <f>IF(VLOOKUP(I950,Tabla7[#All],3,FALSE)=0,"",VLOOKUP(I950,Tabla7[#All],3,FALSE))</f>
        <v/>
      </c>
      <c r="L950" s="35" t="s">
        <v>1040</v>
      </c>
      <c r="M950" s="35" t="s">
        <v>1877</v>
      </c>
      <c r="N950" s="35" t="str" cm="1">
        <f t="array" ref="N950">IFERROR(IF(Tabla8[[#This Row],[P/NP]]="NO PROGRAMADA","",_xlfn.TEXTJOIN(", ",TRUE,_xlfn._xlws.FILTER(Tabla4[[#All],[PIEZA]],ISNUMBER(SEARCH(Tabla4[[#All],[PCLAVE]],Tabla8[[#This Row],[DESCRIPCION DE TRABAJO]])),""))),"")</f>
        <v/>
      </c>
      <c r="O950" s="35" t="str" cm="1">
        <f t="array" ref="O950">_xlfn.TEXTJOIN(", ",TRUE,_xlfn._xlws.FILTER(Tabla28[[#All],[PARTE]],ISNUMBER(SEARCH(Tabla28[[#All],[PCLAVE2]],Tabla8[[#This Row],[DESCRIPCION DE TRABAJO]])),""))</f>
        <v/>
      </c>
      <c r="P950" s="303" t="str">
        <f>IFERROR(LEFT(O950, FIND(",", O950)-1), O950)</f>
        <v/>
      </c>
      <c r="Q950" s="303" t="str">
        <f>IFERROR(IF(ISERROR(FIND(",", O950, FIND(",", O950)+1)), RIGHT(O950, LEN(O950)-FIND(",", O950)-1), MID(O950, FIND(",", O950)+2, FIND(",", O950, FIND(",", O950)+1)-FIND(",", O950)-2)), "")</f>
        <v/>
      </c>
      <c r="R950" s="303" t="str">
        <f>IFERROR(RIGHT(O950, LEN(O950)-FIND(",", O950, FIND(",", O950)+1)-1), "")</f>
        <v/>
      </c>
      <c r="S950" s="35" t="str" cm="1">
        <f t="array" ref="S950">_xlfn.TEXTJOIN(", ",TRUE,_xlfn._xlws.FILTER(Tabla29[[#All],[PARTE]],ISNUMBER(SEARCH(Tabla29[[#All],[PCLAVE3]],Tabla8[[#This Row],[DESCRIPCION DE TRABAJO]])),""))</f>
        <v/>
      </c>
      <c r="T950" s="34" t="str">
        <f>IF(AND(Tabla8[[#This Row],[PIEZA]]="",Tabla8[[#This Row],[PARTE]]=""),"VACIO","OK")</f>
        <v>VACIO</v>
      </c>
      <c r="U950" s="303" t="str">
        <f>+CONCATENATE(WEEKNUM(Tabla8[[#This Row],[FECHA]]),"-",YEAR(Tabla8[[#This Row],[FECHA]]))</f>
        <v>17-2026</v>
      </c>
    </row>
    <row r="951" spans="1:21" ht="15" customHeight="1">
      <c r="A951" s="22">
        <v>46133</v>
      </c>
      <c r="B951" s="16" t="s">
        <v>88</v>
      </c>
      <c r="C951" s="10" t="s">
        <v>36</v>
      </c>
      <c r="D951" s="381">
        <v>0.47916666666666669</v>
      </c>
      <c r="E951" s="381">
        <v>0.5</v>
      </c>
      <c r="F951" s="380">
        <f>+MOD(Tabla8[[#This Row],[HR. FIN]]-Tabla8[[#This Row],[HR. INICIO]],1)</f>
        <v>2.0833333333333315E-2</v>
      </c>
      <c r="G951" s="16" t="s">
        <v>328</v>
      </c>
      <c r="H951" s="343" t="str">
        <f>IFERROR(VLOOKUP(G951,DATOS!$M$2:$N$219,2,FALSE),"")</f>
        <v>Area</v>
      </c>
      <c r="I951" s="115" t="s">
        <v>61</v>
      </c>
      <c r="J951" s="115" t="str">
        <f>+VLOOKUP($I951,Tabla7[#All],2,FALSE)</f>
        <v>PROGRAMADA</v>
      </c>
      <c r="K951" s="114" t="str">
        <f>IF(VLOOKUP(I951,Tabla7[#All],3,FALSE)=0,"",VLOOKUP(I951,Tabla7[#All],3,FALSE))</f>
        <v/>
      </c>
      <c r="L951" s="35" t="s">
        <v>1878</v>
      </c>
      <c r="M951" s="35" t="s">
        <v>1879</v>
      </c>
      <c r="N951" s="35" t="str" cm="1">
        <f t="array" ref="N951">IFERROR(IF(Tabla8[[#This Row],[P/NP]]="NO PROGRAMADA","",_xlfn.TEXTJOIN(", ",TRUE,_xlfn._xlws.FILTER(Tabla4[[#All],[PIEZA]],ISNUMBER(SEARCH(Tabla4[[#All],[PCLAVE]],Tabla8[[#This Row],[DESCRIPCION DE TRABAJO]])),""))),"")</f>
        <v/>
      </c>
      <c r="O951" s="35" t="str" cm="1">
        <f t="array" ref="O951">_xlfn.TEXTJOIN(", ",TRUE,_xlfn._xlws.FILTER(Tabla28[[#All],[PARTE]],ISNUMBER(SEARCH(Tabla28[[#All],[PCLAVE2]],Tabla8[[#This Row],[DESCRIPCION DE TRABAJO]])),""))</f>
        <v/>
      </c>
      <c r="P951" s="303" t="str">
        <f>IFERROR(LEFT(O951, FIND(",", O951)-1), O951)</f>
        <v/>
      </c>
      <c r="Q951" s="303" t="str">
        <f>IFERROR(IF(ISERROR(FIND(",", O951, FIND(",", O951)+1)), RIGHT(O951, LEN(O951)-FIND(",", O951)-1), MID(O951, FIND(",", O951)+2, FIND(",", O951, FIND(",", O951)+1)-FIND(",", O951)-2)), "")</f>
        <v/>
      </c>
      <c r="R951" s="303" t="str">
        <f>IFERROR(RIGHT(O951, LEN(O951)-FIND(",", O951, FIND(",", O951)+1)-1), "")</f>
        <v/>
      </c>
      <c r="S951" s="35" t="str" cm="1">
        <f t="array" ref="S951">_xlfn.TEXTJOIN(", ",TRUE,_xlfn._xlws.FILTER(Tabla29[[#All],[PARTE]],ISNUMBER(SEARCH(Tabla29[[#All],[PCLAVE3]],Tabla8[[#This Row],[DESCRIPCION DE TRABAJO]])),""))</f>
        <v/>
      </c>
      <c r="T951" s="34" t="str">
        <f>IF(AND(Tabla8[[#This Row],[PIEZA]]="",Tabla8[[#This Row],[PARTE]]=""),"VACIO","OK")</f>
        <v>VACIO</v>
      </c>
      <c r="U951" s="303" t="str">
        <f>+CONCATENATE(WEEKNUM(Tabla8[[#This Row],[FECHA]]),"-",YEAR(Tabla8[[#This Row],[FECHA]]))</f>
        <v>17-2026</v>
      </c>
    </row>
    <row r="952" spans="1:21" ht="15" customHeight="1">
      <c r="A952" s="22">
        <v>46133</v>
      </c>
      <c r="B952" s="16" t="s">
        <v>179</v>
      </c>
      <c r="C952" s="10" t="s">
        <v>23</v>
      </c>
      <c r="D952" s="381">
        <v>0.55555555555555558</v>
      </c>
      <c r="E952" s="381">
        <v>0.57638888888888884</v>
      </c>
      <c r="F952" s="380">
        <f>+MOD(Tabla8[[#This Row],[HR. FIN]]-Tabla8[[#This Row],[HR. INICIO]],1)</f>
        <v>2.0833333333333259E-2</v>
      </c>
      <c r="G952" s="16" t="s">
        <v>119</v>
      </c>
      <c r="H952" s="343" t="str">
        <f>IFERROR(VLOOKUP(G952,DATOS!$M$2:$N$219,2,FALSE),"")</f>
        <v>Maquinaria</v>
      </c>
      <c r="I952" s="115" t="s">
        <v>32</v>
      </c>
      <c r="J952" s="115" t="str">
        <f>+VLOOKUP($I952,Tabla7[#All],2,FALSE)</f>
        <v>PROGRAMADA</v>
      </c>
      <c r="K952" s="114" t="str">
        <f>IF(VLOOKUP(I952,Tabla7[#All],3,FALSE)=0,"",VLOOKUP(I952,Tabla7[#All],3,FALSE))</f>
        <v/>
      </c>
      <c r="L952" s="35" t="s">
        <v>1880</v>
      </c>
      <c r="M952" s="35" t="s">
        <v>121</v>
      </c>
      <c r="N952" s="35" t="str" cm="1">
        <f t="array" ref="N952">IFERROR(IF(Tabla8[[#This Row],[P/NP]]="NO PROGRAMADA","",_xlfn.TEXTJOIN(", ",TRUE,_xlfn._xlws.FILTER(Tabla4[[#All],[PIEZA]],ISNUMBER(SEARCH(Tabla4[[#All],[PCLAVE]],Tabla8[[#This Row],[DESCRIPCION DE TRABAJO]])),""))),"")</f>
        <v/>
      </c>
      <c r="O952" s="35" t="str" cm="1">
        <f t="array" ref="O952">_xlfn.TEXTJOIN(", ",TRUE,_xlfn._xlws.FILTER(Tabla28[[#All],[PARTE]],ISNUMBER(SEARCH(Tabla28[[#All],[PCLAVE2]],Tabla8[[#This Row],[DESCRIPCION DE TRABAJO]])),""))</f>
        <v>Mds</v>
      </c>
      <c r="P952" s="303" t="str">
        <f>IFERROR(LEFT(O952, FIND(",", O952)-1), O952)</f>
        <v>Mds</v>
      </c>
      <c r="Q952" s="303" t="str">
        <f>IFERROR(IF(ISERROR(FIND(",", O952, FIND(",", O952)+1)), RIGHT(O952, LEN(O952)-FIND(",", O952)-1), MID(O952, FIND(",", O952)+2, FIND(",", O952, FIND(",", O952)+1)-FIND(",", O952)-2)), "")</f>
        <v/>
      </c>
      <c r="R952" s="303" t="str">
        <f>IFERROR(RIGHT(O952, LEN(O952)-FIND(",", O952, FIND(",", O952)+1)-1), "")</f>
        <v/>
      </c>
      <c r="S952" s="35" t="str" cm="1">
        <f t="array" ref="S952">_xlfn.TEXTJOIN(", ",TRUE,_xlfn._xlws.FILTER(Tabla29[[#All],[PARTE]],ISNUMBER(SEARCH(Tabla29[[#All],[PCLAVE3]],Tabla8[[#This Row],[DESCRIPCION DE TRABAJO]])),""))</f>
        <v/>
      </c>
      <c r="T952" s="34" t="str">
        <f>IF(AND(Tabla8[[#This Row],[PIEZA]]="",Tabla8[[#This Row],[PARTE]]=""),"VACIO","OK")</f>
        <v>OK</v>
      </c>
      <c r="U952" s="303" t="str">
        <f>+CONCATENATE(WEEKNUM(Tabla8[[#This Row],[FECHA]]),"-",YEAR(Tabla8[[#This Row],[FECHA]]))</f>
        <v>17-2026</v>
      </c>
    </row>
    <row r="953" spans="1:21" ht="15" customHeight="1">
      <c r="A953" s="22">
        <v>46133</v>
      </c>
      <c r="B953" s="16" t="s">
        <v>179</v>
      </c>
      <c r="C953" s="10" t="s">
        <v>36</v>
      </c>
      <c r="D953" s="381">
        <v>0.22291666666666668</v>
      </c>
      <c r="E953" s="381">
        <v>0.24305555555555555</v>
      </c>
      <c r="F953" s="380">
        <f>+MOD(Tabla8[[#This Row],[HR. FIN]]-Tabla8[[#This Row],[HR. INICIO]],1)</f>
        <v>2.0138888888888873E-2</v>
      </c>
      <c r="G953" s="16" t="s">
        <v>91</v>
      </c>
      <c r="H953" s="343" t="str">
        <f>IFERROR(VLOOKUP(G953,DATOS!$M$2:$N$219,2,FALSE),"")</f>
        <v>Area</v>
      </c>
      <c r="I953" s="115" t="s">
        <v>57</v>
      </c>
      <c r="J953" s="115" t="s">
        <v>92</v>
      </c>
      <c r="K953" s="114" t="str">
        <f>IF(VLOOKUP(I953,Tabla7[#All],3,FALSE)=0,"",VLOOKUP(I953,Tabla7[#All],3,FALSE))</f>
        <v>MECÁNICA</v>
      </c>
      <c r="L953" s="35" t="s">
        <v>1833</v>
      </c>
      <c r="M953" s="35" t="s">
        <v>1834</v>
      </c>
      <c r="N953" s="35" t="str" cm="1">
        <f t="array" ref="N953">IFERROR(IF(Tabla8[[#This Row],[P/NP]]="NO PROGRAMADA","",_xlfn.TEXTJOIN(", ",TRUE,_xlfn._xlws.FILTER(Tabla4[[#All],[PIEZA]],ISNUMBER(SEARCH(Tabla4[[#All],[PCLAVE]],Tabla8[[#This Row],[DESCRIPCION DE TRABAJO]])),""))),"")</f>
        <v/>
      </c>
      <c r="O953" s="35" t="str" cm="1">
        <f t="array" ref="O953">_xlfn.TEXTJOIN(", ",TRUE,_xlfn._xlws.FILTER(Tabla28[[#All],[PARTE]],ISNUMBER(SEARCH(Tabla28[[#All],[PCLAVE2]],Tabla8[[#This Row],[DESCRIPCION DE TRABAJO]])),""))</f>
        <v/>
      </c>
      <c r="P953" s="303" t="str">
        <f>IFERROR(LEFT(O953, FIND(",", O953)-1), O953)</f>
        <v/>
      </c>
      <c r="Q953" s="303" t="str">
        <f>IFERROR(IF(ISERROR(FIND(",", O953, FIND(",", O953)+1)), RIGHT(O953, LEN(O953)-FIND(",", O953)-1), MID(O953, FIND(",", O953)+2, FIND(",", O953, FIND(",", O953)+1)-FIND(",", O953)-2)), "")</f>
        <v/>
      </c>
      <c r="R953" s="303" t="str">
        <f>IFERROR(RIGHT(O953, LEN(O953)-FIND(",", O953, FIND(",", O953)+1)-1), "")</f>
        <v/>
      </c>
      <c r="S953" s="35" t="str" cm="1">
        <f t="array" ref="S953">_xlfn.TEXTJOIN(", ",TRUE,_xlfn._xlws.FILTER(Tabla29[[#All],[PARTE]],ISNUMBER(SEARCH(Tabla29[[#All],[PCLAVE3]],Tabla8[[#This Row],[DESCRIPCION DE TRABAJO]])),""))</f>
        <v>Obstruido, Ruido</v>
      </c>
      <c r="T953" s="34" t="str">
        <f>IF(AND(Tabla8[[#This Row],[PIEZA]]="",Tabla8[[#This Row],[PARTE]]=""),"VACIO","OK")</f>
        <v>VACIO</v>
      </c>
      <c r="U953" s="303" t="str">
        <f>+CONCATENATE(WEEKNUM(Tabla8[[#This Row],[FECHA]]),"-",YEAR(Tabla8[[#This Row],[FECHA]]))</f>
        <v>17-2026</v>
      </c>
    </row>
    <row r="954" spans="1:21" ht="15" customHeight="1">
      <c r="A954" s="22">
        <v>46133</v>
      </c>
      <c r="B954" s="16" t="s">
        <v>179</v>
      </c>
      <c r="C954" s="10" t="s">
        <v>23</v>
      </c>
      <c r="D954" s="381">
        <v>0.53472222222222221</v>
      </c>
      <c r="E954" s="381">
        <v>0.54861111111111116</v>
      </c>
      <c r="F954" s="380">
        <f>+MOD(Tabla8[[#This Row],[HR. FIN]]-Tabla8[[#This Row],[HR. INICIO]],1)</f>
        <v>1.3888888888888951E-2</v>
      </c>
      <c r="G954" s="16" t="s">
        <v>140</v>
      </c>
      <c r="H954" s="343" t="str">
        <f>IFERROR(VLOOKUP(G954,DATOS!$M$2:$N$219,2,FALSE),"")</f>
        <v>Maquinaria</v>
      </c>
      <c r="I954" s="115" t="s">
        <v>32</v>
      </c>
      <c r="J954" s="115" t="str">
        <f>+VLOOKUP($I954,Tabla7[#All],2,FALSE)</f>
        <v>PROGRAMADA</v>
      </c>
      <c r="K954" s="114" t="str">
        <f>IF(VLOOKUP(I954,Tabla7[#All],3,FALSE)=0,"",VLOOKUP(I954,Tabla7[#All],3,FALSE))</f>
        <v/>
      </c>
      <c r="L954" s="35" t="s">
        <v>1881</v>
      </c>
      <c r="M954" s="35" t="s">
        <v>1882</v>
      </c>
      <c r="N954" s="35" t="str" cm="1">
        <f t="array" ref="N954">IFERROR(IF(Tabla8[[#This Row],[P/NP]]="NO PROGRAMADA","",_xlfn.TEXTJOIN(", ",TRUE,_xlfn._xlws.FILTER(Tabla4[[#All],[PIEZA]],ISNUMBER(SEARCH(Tabla4[[#All],[PCLAVE]],Tabla8[[#This Row],[DESCRIPCION DE TRABAJO]])),""))),"")</f>
        <v>Gomas</v>
      </c>
      <c r="O954" s="35" t="str" cm="1">
        <f t="array" ref="O954">_xlfn.TEXTJOIN(", ",TRUE,_xlfn._xlws.FILTER(Tabla28[[#All],[PARTE]],ISNUMBER(SEARCH(Tabla28[[#All],[PCLAVE2]],Tabla8[[#This Row],[DESCRIPCION DE TRABAJO]])),""))</f>
        <v/>
      </c>
      <c r="P954" s="303" t="str">
        <f>IFERROR(LEFT(O954, FIND(",", O954)-1), O954)</f>
        <v/>
      </c>
      <c r="Q954" s="303" t="str">
        <f>IFERROR(IF(ISERROR(FIND(",", O954, FIND(",", O954)+1)), RIGHT(O954, LEN(O954)-FIND(",", O954)-1), MID(O954, FIND(",", O954)+2, FIND(",", O954, FIND(",", O954)+1)-FIND(",", O954)-2)), "")</f>
        <v/>
      </c>
      <c r="R954" s="303" t="str">
        <f>IFERROR(RIGHT(O954, LEN(O954)-FIND(",", O954, FIND(",", O954)+1)-1), "")</f>
        <v/>
      </c>
      <c r="S954" s="35" t="str" cm="1">
        <f t="array" ref="S954">_xlfn.TEXTJOIN(", ",TRUE,_xlfn._xlws.FILTER(Tabla29[[#All],[PARTE]],ISNUMBER(SEARCH(Tabla29[[#All],[PCLAVE3]],Tabla8[[#This Row],[DESCRIPCION DE TRABAJO]])),""))</f>
        <v/>
      </c>
      <c r="T954" s="34" t="str">
        <f>IF(AND(Tabla8[[#This Row],[PIEZA]]="",Tabla8[[#This Row],[PARTE]]=""),"VACIO","OK")</f>
        <v>OK</v>
      </c>
      <c r="U954" s="303" t="str">
        <f>+CONCATENATE(WEEKNUM(Tabla8[[#This Row],[FECHA]]),"-",YEAR(Tabla8[[#This Row],[FECHA]]))</f>
        <v>17-2026</v>
      </c>
    </row>
    <row r="955" spans="1:21" ht="15" customHeight="1">
      <c r="A955" s="22">
        <v>46133</v>
      </c>
      <c r="B955" s="16" t="s">
        <v>131</v>
      </c>
      <c r="C955" s="10" t="s">
        <v>36</v>
      </c>
      <c r="D955" s="381">
        <v>0.31944444444444442</v>
      </c>
      <c r="E955" s="381">
        <v>0.33333333333333331</v>
      </c>
      <c r="F955" s="380">
        <f>+MOD(Tabla8[[#This Row],[HR. FIN]]-Tabla8[[#This Row],[HR. INICIO]],1)</f>
        <v>1.3888888888888895E-2</v>
      </c>
      <c r="G955" s="16" t="s">
        <v>222</v>
      </c>
      <c r="H955" s="343" t="str">
        <f>IFERROR(VLOOKUP(G955,DATOS!$M$2:$N$219,2,FALSE),"")</f>
        <v>Maquinaria</v>
      </c>
      <c r="I955" s="115" t="s">
        <v>54</v>
      </c>
      <c r="J955" s="115" t="str">
        <f>+VLOOKUP($I955,Tabla7[#All],2,FALSE)</f>
        <v>PROGRAMADA</v>
      </c>
      <c r="K955" s="114" t="str">
        <f>IF(VLOOKUP(I955,Tabla7[#All],3,FALSE)=0,"",VLOOKUP(I955,Tabla7[#All],3,FALSE))</f>
        <v/>
      </c>
      <c r="L955" s="35" t="s">
        <v>1663</v>
      </c>
      <c r="M955" s="35" t="s">
        <v>121</v>
      </c>
      <c r="N955" s="35" t="str" cm="1">
        <f t="array" ref="N955">IFERROR(IF(Tabla8[[#This Row],[P/NP]]="NO PROGRAMADA","",_xlfn.TEXTJOIN(", ",TRUE,_xlfn._xlws.FILTER(Tabla4[[#All],[PIEZA]],ISNUMBER(SEARCH(Tabla4[[#All],[PCLAVE]],Tabla8[[#This Row],[DESCRIPCION DE TRABAJO]])),""))),"")</f>
        <v/>
      </c>
      <c r="O955" s="35" t="str" cm="1">
        <f t="array" ref="O955">_xlfn.TEXTJOIN(", ",TRUE,_xlfn._xlws.FILTER(Tabla28[[#All],[PARTE]],ISNUMBER(SEARCH(Tabla28[[#All],[PCLAVE2]],Tabla8[[#This Row],[DESCRIPCION DE TRABAJO]])),""))</f>
        <v/>
      </c>
      <c r="P955" s="303" t="str">
        <f>IFERROR(LEFT(O955, FIND(",", O955)-1), O955)</f>
        <v/>
      </c>
      <c r="Q955" s="303" t="str">
        <f>IFERROR(IF(ISERROR(FIND(",", O955, FIND(",", O955)+1)), RIGHT(O955, LEN(O955)-FIND(",", O955)-1), MID(O955, FIND(",", O955)+2, FIND(",", O955, FIND(",", O955)+1)-FIND(",", O955)-2)), "")</f>
        <v/>
      </c>
      <c r="R955" s="303" t="str">
        <f>IFERROR(RIGHT(O955, LEN(O955)-FIND(",", O955, FIND(",", O955)+1)-1), "")</f>
        <v/>
      </c>
      <c r="S955" s="35" t="str" cm="1">
        <f t="array" ref="S955">_xlfn.TEXTJOIN(", ",TRUE,_xlfn._xlws.FILTER(Tabla29[[#All],[PARTE]],ISNUMBER(SEARCH(Tabla29[[#All],[PCLAVE3]],Tabla8[[#This Row],[DESCRIPCION DE TRABAJO]])),""))</f>
        <v/>
      </c>
      <c r="T955" s="34" t="str">
        <f>IF(AND(Tabla8[[#This Row],[PIEZA]]="",Tabla8[[#This Row],[PARTE]]=""),"VACIO","OK")</f>
        <v>VACIO</v>
      </c>
      <c r="U955" s="303" t="str">
        <f>+CONCATENATE(WEEKNUM(Tabla8[[#This Row],[FECHA]]),"-",YEAR(Tabla8[[#This Row],[FECHA]]))</f>
        <v>17-2026</v>
      </c>
    </row>
    <row r="956" spans="1:21" ht="15" customHeight="1">
      <c r="A956" s="22">
        <v>46133</v>
      </c>
      <c r="B956" s="16" t="s">
        <v>131</v>
      </c>
      <c r="C956" s="10" t="s">
        <v>36</v>
      </c>
      <c r="D956" s="381">
        <v>0.3611111111111111</v>
      </c>
      <c r="E956" s="381">
        <v>0.375</v>
      </c>
      <c r="F956" s="380">
        <f>+MOD(Tabla8[[#This Row],[HR. FIN]]-Tabla8[[#This Row],[HR. INICIO]],1)</f>
        <v>1.3888888888888895E-2</v>
      </c>
      <c r="G956" s="16" t="s">
        <v>119</v>
      </c>
      <c r="H956" s="343" t="str">
        <f>IFERROR(VLOOKUP(G956,DATOS!$M$2:$N$219,2,FALSE),"")</f>
        <v>Maquinaria</v>
      </c>
      <c r="I956" s="115" t="s">
        <v>54</v>
      </c>
      <c r="J956" s="115" t="str">
        <f>+VLOOKUP($I956,Tabla7[#All],2,FALSE)</f>
        <v>PROGRAMADA</v>
      </c>
      <c r="K956" s="114" t="str">
        <f>IF(VLOOKUP(I956,Tabla7[#All],3,FALSE)=0,"",VLOOKUP(I956,Tabla7[#All],3,FALSE))</f>
        <v/>
      </c>
      <c r="L956" s="35" t="s">
        <v>1883</v>
      </c>
      <c r="M956" s="35" t="s">
        <v>121</v>
      </c>
      <c r="N956" s="35" t="str" cm="1">
        <f t="array" ref="N956">IFERROR(IF(Tabla8[[#This Row],[P/NP]]="NO PROGRAMADA","",_xlfn.TEXTJOIN(", ",TRUE,_xlfn._xlws.FILTER(Tabla4[[#All],[PIEZA]],ISNUMBER(SEARCH(Tabla4[[#All],[PCLAVE]],Tabla8[[#This Row],[DESCRIPCION DE TRABAJO]])),""))),"")</f>
        <v/>
      </c>
      <c r="O956" s="35" t="str" cm="1">
        <f t="array" ref="O956">_xlfn.TEXTJOIN(", ",TRUE,_xlfn._xlws.FILTER(Tabla28[[#All],[PARTE]],ISNUMBER(SEARCH(Tabla28[[#All],[PCLAVE2]],Tabla8[[#This Row],[DESCRIPCION DE TRABAJO]])),""))</f>
        <v>Temperadora</v>
      </c>
      <c r="P956" s="303" t="str">
        <f>IFERROR(LEFT(O956, FIND(",", O956)-1), O956)</f>
        <v>Temperadora</v>
      </c>
      <c r="Q956" s="303" t="str">
        <f>IFERROR(IF(ISERROR(FIND(",", O956, FIND(",", O956)+1)), RIGHT(O956, LEN(O956)-FIND(",", O956)-1), MID(O956, FIND(",", O956)+2, FIND(",", O956, FIND(",", O956)+1)-FIND(",", O956)-2)), "")</f>
        <v/>
      </c>
      <c r="R956" s="303" t="str">
        <f>IFERROR(RIGHT(O956, LEN(O956)-FIND(",", O956, FIND(",", O956)+1)-1), "")</f>
        <v/>
      </c>
      <c r="S956" s="35" t="str" cm="1">
        <f t="array" ref="S956">_xlfn.TEXTJOIN(", ",TRUE,_xlfn._xlws.FILTER(Tabla29[[#All],[PARTE]],ISNUMBER(SEARCH(Tabla29[[#All],[PCLAVE3]],Tabla8[[#This Row],[DESCRIPCION DE TRABAJO]])),""))</f>
        <v/>
      </c>
      <c r="T956" s="34" t="str">
        <f>IF(AND(Tabla8[[#This Row],[PIEZA]]="",Tabla8[[#This Row],[PARTE]]=""),"VACIO","OK")</f>
        <v>OK</v>
      </c>
      <c r="U956" s="303" t="str">
        <f>+CONCATENATE(WEEKNUM(Tabla8[[#This Row],[FECHA]]),"-",YEAR(Tabla8[[#This Row],[FECHA]]))</f>
        <v>17-2026</v>
      </c>
    </row>
    <row r="957" spans="1:21" ht="15" customHeight="1">
      <c r="A957" s="22">
        <v>46133</v>
      </c>
      <c r="B957" s="16" t="s">
        <v>88</v>
      </c>
      <c r="C957" s="10" t="s">
        <v>36</v>
      </c>
      <c r="D957" s="381">
        <v>0.2986111111111111</v>
      </c>
      <c r="E957" s="381">
        <v>0.30902777777777779</v>
      </c>
      <c r="F957" s="380">
        <f>+MOD(Tabla8[[#This Row],[HR. FIN]]-Tabla8[[#This Row],[HR. INICIO]],1)</f>
        <v>1.0416666666666685E-2</v>
      </c>
      <c r="G957" s="16" t="s">
        <v>651</v>
      </c>
      <c r="H957" s="343" t="str">
        <f>IFERROR(VLOOKUP(G957,DATOS!$M$2:$N$219,2,FALSE),"")</f>
        <v>Maquinaria</v>
      </c>
      <c r="I957" s="115" t="s">
        <v>245</v>
      </c>
      <c r="J957" s="115" t="str">
        <f>+VLOOKUP($I957,Tabla7[#All],2,FALSE)</f>
        <v>PROGRAMADA</v>
      </c>
      <c r="K957" s="114" t="str">
        <f>IF(VLOOKUP(I957,Tabla7[#All],3,FALSE)=0,"",VLOOKUP(I957,Tabla7[#All],3,FALSE))</f>
        <v/>
      </c>
      <c r="L957" s="35" t="s">
        <v>1884</v>
      </c>
      <c r="M957" s="35" t="s">
        <v>1885</v>
      </c>
      <c r="N957" s="35" t="str" cm="1">
        <f t="array" ref="N957">IFERROR(IF(Tabla8[[#This Row],[P/NP]]="NO PROGRAMADA","",_xlfn.TEXTJOIN(", ",TRUE,_xlfn._xlws.FILTER(Tabla4[[#All],[PIEZA]],ISNUMBER(SEARCH(Tabla4[[#All],[PCLAVE]],Tabla8[[#This Row],[DESCRIPCION DE TRABAJO]])),""))),"")</f>
        <v/>
      </c>
      <c r="O957" s="35" t="str" cm="1">
        <f t="array" ref="O957">_xlfn.TEXTJOIN(", ",TRUE,_xlfn._xlws.FILTER(Tabla28[[#All],[PARTE]],ISNUMBER(SEARCH(Tabla28[[#All],[PCLAVE2]],Tabla8[[#This Row],[DESCRIPCION DE TRABAJO]])),""))</f>
        <v/>
      </c>
      <c r="P957" s="303" t="str">
        <f>IFERROR(LEFT(O957, FIND(",", O957)-1), O957)</f>
        <v/>
      </c>
      <c r="Q957" s="303" t="str">
        <f>IFERROR(IF(ISERROR(FIND(",", O957, FIND(",", O957)+1)), RIGHT(O957, LEN(O957)-FIND(",", O957)-1), MID(O957, FIND(",", O957)+2, FIND(",", O957, FIND(",", O957)+1)-FIND(",", O957)-2)), "")</f>
        <v/>
      </c>
      <c r="R957" s="303" t="str">
        <f>IFERROR(RIGHT(O957, LEN(O957)-FIND(",", O957, FIND(",", O957)+1)-1), "")</f>
        <v/>
      </c>
      <c r="S957" s="35" t="str" cm="1">
        <f t="array" ref="S957">_xlfn.TEXTJOIN(", ",TRUE,_xlfn._xlws.FILTER(Tabla29[[#All],[PARTE]],ISNUMBER(SEARCH(Tabla29[[#All],[PCLAVE3]],Tabla8[[#This Row],[DESCRIPCION DE TRABAJO]])),""))</f>
        <v>Lubricacion</v>
      </c>
      <c r="T957" s="34" t="str">
        <f>IF(AND(Tabla8[[#This Row],[PIEZA]]="",Tabla8[[#This Row],[PARTE]]=""),"VACIO","OK")</f>
        <v>VACIO</v>
      </c>
      <c r="U957" s="303" t="str">
        <f>+CONCATENATE(WEEKNUM(Tabla8[[#This Row],[FECHA]]),"-",YEAR(Tabla8[[#This Row],[FECHA]]))</f>
        <v>17-2026</v>
      </c>
    </row>
    <row r="958" spans="1:21" ht="15" customHeight="1">
      <c r="A958" s="22">
        <v>46133</v>
      </c>
      <c r="B958" s="16" t="s">
        <v>179</v>
      </c>
      <c r="C958" s="10" t="s">
        <v>36</v>
      </c>
      <c r="D958" s="381">
        <v>0.58333333333333337</v>
      </c>
      <c r="E958" s="381">
        <v>0.59375</v>
      </c>
      <c r="F958" s="380">
        <f>+MOD(Tabla8[[#This Row],[HR. FIN]]-Tabla8[[#This Row],[HR. INICIO]],1)</f>
        <v>1.041666666666663E-2</v>
      </c>
      <c r="G958" s="16" t="s">
        <v>153</v>
      </c>
      <c r="H958" s="343" t="str">
        <f>IFERROR(VLOOKUP(G958,DATOS!$M$2:$N$219,2,FALSE),"")</f>
        <v>Maquinaria</v>
      </c>
      <c r="I958" s="115" t="s">
        <v>57</v>
      </c>
      <c r="J958" s="115" t="str">
        <f>+VLOOKUP($I958,Tabla7[#All],2,FALSE)</f>
        <v>NO PROGRAMADA</v>
      </c>
      <c r="K958" s="114" t="str">
        <f>IF(VLOOKUP(I958,Tabla7[#All],3,FALSE)=0,"",VLOOKUP(I958,Tabla7[#All],3,FALSE))</f>
        <v>MECÁNICA</v>
      </c>
      <c r="L958" s="35" t="s">
        <v>1886</v>
      </c>
      <c r="M958" s="35" t="s">
        <v>1887</v>
      </c>
      <c r="N958" s="35" t="str" cm="1">
        <f t="array" ref="N958">IFERROR(IF(Tabla8[[#This Row],[P/NP]]="NO PROGRAMADA","",_xlfn.TEXTJOIN(", ",TRUE,_xlfn._xlws.FILTER(Tabla4[[#All],[PIEZA]],ISNUMBER(SEARCH(Tabla4[[#All],[PCLAVE]],Tabla8[[#This Row],[DESCRIPCION DE TRABAJO]])),""))),"")</f>
        <v/>
      </c>
      <c r="O958" s="35" t="str" cm="1">
        <f t="array" ref="O958">_xlfn.TEXTJOIN(", ",TRUE,_xlfn._xlws.FILTER(Tabla28[[#All],[PARTE]],ISNUMBER(SEARCH(Tabla28[[#All],[PCLAVE2]],Tabla8[[#This Row],[DESCRIPCION DE TRABAJO]])),""))</f>
        <v/>
      </c>
      <c r="P958" s="303" t="str">
        <f>IFERROR(LEFT(O958, FIND(",", O958)-1), O958)</f>
        <v/>
      </c>
      <c r="Q958" s="303" t="str">
        <f>IFERROR(IF(ISERROR(FIND(",", O958, FIND(",", O958)+1)), RIGHT(O958, LEN(O958)-FIND(",", O958)-1), MID(O958, FIND(",", O958)+2, FIND(",", O958, FIND(",", O958)+1)-FIND(",", O958)-2)), "")</f>
        <v/>
      </c>
      <c r="R958" s="303" t="str">
        <f>IFERROR(RIGHT(O958, LEN(O958)-FIND(",", O958, FIND(",", O958)+1)-1), "")</f>
        <v/>
      </c>
      <c r="S958" s="35" t="str" cm="1">
        <f t="array" ref="S958">_xlfn.TEXTJOIN(", ",TRUE,_xlfn._xlws.FILTER(Tabla29[[#All],[PARTE]],ISNUMBER(SEARCH(Tabla29[[#All],[PCLAVE3]],Tabla8[[#This Row],[DESCRIPCION DE TRABAJO]])),""))</f>
        <v/>
      </c>
      <c r="T958" s="34" t="str">
        <f>IF(AND(Tabla8[[#This Row],[PIEZA]]="",Tabla8[[#This Row],[PARTE]]=""),"VACIO","OK")</f>
        <v>VACIO</v>
      </c>
      <c r="U958" s="303" t="str">
        <f>+CONCATENATE(WEEKNUM(Tabla8[[#This Row],[FECHA]]),"-",YEAR(Tabla8[[#This Row],[FECHA]]))</f>
        <v>17-2026</v>
      </c>
    </row>
    <row r="959" spans="1:21" ht="15" customHeight="1">
      <c r="A959" s="22">
        <v>46133</v>
      </c>
      <c r="B959" s="16" t="s">
        <v>131</v>
      </c>
      <c r="C959" s="10" t="s">
        <v>36</v>
      </c>
      <c r="D959" s="381">
        <v>0.41666666666666669</v>
      </c>
      <c r="E959" s="381">
        <v>0.42708333333333331</v>
      </c>
      <c r="F959" s="380">
        <f>+MOD(Tabla8[[#This Row],[HR. FIN]]-Tabla8[[#This Row],[HR. INICIO]],1)</f>
        <v>1.041666666666663E-2</v>
      </c>
      <c r="G959" s="16" t="s">
        <v>31</v>
      </c>
      <c r="H959" s="343" t="str">
        <f>IFERROR(VLOOKUP(G959,DATOS!$M$2:$N$219,2,FALSE),"")</f>
        <v>Maquinaria</v>
      </c>
      <c r="I959" s="115" t="s">
        <v>348</v>
      </c>
      <c r="J959" s="115" t="str">
        <f>+VLOOKUP($I959,Tabla7[#All],2,FALSE)</f>
        <v>PROGRAMADA</v>
      </c>
      <c r="K959" s="114" t="str">
        <f>IF(VLOOKUP(I959,Tabla7[#All],3,FALSE)=0,"",VLOOKUP(I959,Tabla7[#All],3,FALSE))</f>
        <v/>
      </c>
      <c r="L959" s="35" t="s">
        <v>1888</v>
      </c>
      <c r="M959" s="35" t="s">
        <v>1889</v>
      </c>
      <c r="N959" s="35" t="str" cm="1">
        <f t="array" ref="N959">IFERROR(IF(Tabla8[[#This Row],[P/NP]]="NO PROGRAMADA","",_xlfn.TEXTJOIN(", ",TRUE,_xlfn._xlws.FILTER(Tabla4[[#All],[PIEZA]],ISNUMBER(SEARCH(Tabla4[[#All],[PCLAVE]],Tabla8[[#This Row],[DESCRIPCION DE TRABAJO]])),""))),"")</f>
        <v/>
      </c>
      <c r="O959" s="35" t="str" cm="1">
        <f t="array" ref="O959">_xlfn.TEXTJOIN(", ",TRUE,_xlfn._xlws.FILTER(Tabla28[[#All],[PARTE]],ISNUMBER(SEARCH(Tabla28[[#All],[PCLAVE2]],Tabla8[[#This Row],[DESCRIPCION DE TRABAJO]])),""))</f>
        <v/>
      </c>
      <c r="P959" s="303" t="str">
        <f>IFERROR(LEFT(O959, FIND(",", O959)-1), O959)</f>
        <v/>
      </c>
      <c r="Q959" s="303" t="str">
        <f>IFERROR(IF(ISERROR(FIND(",", O959, FIND(",", O959)+1)), RIGHT(O959, LEN(O959)-FIND(",", O959)-1), MID(O959, FIND(",", O959)+2, FIND(",", O959, FIND(",", O959)+1)-FIND(",", O959)-2)), "")</f>
        <v/>
      </c>
      <c r="R959" s="303" t="str">
        <f>IFERROR(RIGHT(O959, LEN(O959)-FIND(",", O959, FIND(",", O959)+1)-1), "")</f>
        <v/>
      </c>
      <c r="S959" s="35" t="str" cm="1">
        <f t="array" ref="S959">_xlfn.TEXTJOIN(", ",TRUE,_xlfn._xlws.FILTER(Tabla29[[#All],[PARTE]],ISNUMBER(SEARCH(Tabla29[[#All],[PCLAVE3]],Tabla8[[#This Row],[DESCRIPCION DE TRABAJO]])),""))</f>
        <v/>
      </c>
      <c r="T959" s="34" t="str">
        <f>IF(AND(Tabla8[[#This Row],[PIEZA]]="",Tabla8[[#This Row],[PARTE]]=""),"VACIO","OK")</f>
        <v>VACIO</v>
      </c>
      <c r="U959" s="303" t="str">
        <f>+CONCATENATE(WEEKNUM(Tabla8[[#This Row],[FECHA]]),"-",YEAR(Tabla8[[#This Row],[FECHA]]))</f>
        <v>17-2026</v>
      </c>
    </row>
    <row r="960" spans="1:21" ht="15" customHeight="1">
      <c r="A960" s="22">
        <v>46133</v>
      </c>
      <c r="B960" s="16" t="s">
        <v>131</v>
      </c>
      <c r="C960" s="10" t="s">
        <v>36</v>
      </c>
      <c r="D960" s="381">
        <v>0.43402777777777779</v>
      </c>
      <c r="E960" s="381">
        <v>0.44444444444444442</v>
      </c>
      <c r="F960" s="380">
        <f>+MOD(Tabla8[[#This Row],[HR. FIN]]-Tabla8[[#This Row],[HR. INICIO]],1)</f>
        <v>1.041666666666663E-2</v>
      </c>
      <c r="G960" s="16" t="s">
        <v>222</v>
      </c>
      <c r="H960" s="343" t="str">
        <f>IFERROR(VLOOKUP(G960,DATOS!$M$2:$N$219,2,FALSE),"")</f>
        <v>Maquinaria</v>
      </c>
      <c r="I960" s="115" t="s">
        <v>43</v>
      </c>
      <c r="J960" s="115" t="str">
        <f>+VLOOKUP($I960,Tabla7[#All],2,FALSE)</f>
        <v>PROGRAMADA</v>
      </c>
      <c r="K960" s="114" t="str">
        <f>IF(VLOOKUP(I960,Tabla7[#All],3,FALSE)=0,"",VLOOKUP(I960,Tabla7[#All],3,FALSE))</f>
        <v/>
      </c>
      <c r="L960" s="35" t="s">
        <v>1890</v>
      </c>
      <c r="M960" s="35" t="s">
        <v>121</v>
      </c>
      <c r="N960" s="35" t="str" cm="1">
        <f t="array" ref="N960">IFERROR(IF(Tabla8[[#This Row],[P/NP]]="NO PROGRAMADA","",_xlfn.TEXTJOIN(", ",TRUE,_xlfn._xlws.FILTER(Tabla4[[#All],[PIEZA]],ISNUMBER(SEARCH(Tabla4[[#All],[PCLAVE]],Tabla8[[#This Row],[DESCRIPCION DE TRABAJO]])),""))),"")</f>
        <v/>
      </c>
      <c r="O960" s="35" t="str" cm="1">
        <f t="array" ref="O960">_xlfn.TEXTJOIN(", ",TRUE,_xlfn._xlws.FILTER(Tabla28[[#All],[PARTE]],ISNUMBER(SEARCH(Tabla28[[#All],[PCLAVE2]],Tabla8[[#This Row],[DESCRIPCION DE TRABAJO]])),""))</f>
        <v/>
      </c>
      <c r="P960" s="303" t="str">
        <f>IFERROR(LEFT(O960, FIND(",", O960)-1), O960)</f>
        <v/>
      </c>
      <c r="Q960" s="303" t="str">
        <f>IFERROR(IF(ISERROR(FIND(",", O960, FIND(",", O960)+1)), RIGHT(O960, LEN(O960)-FIND(",", O960)-1), MID(O960, FIND(",", O960)+2, FIND(",", O960, FIND(",", O960)+1)-FIND(",", O960)-2)), "")</f>
        <v/>
      </c>
      <c r="R960" s="303" t="str">
        <f>IFERROR(RIGHT(O960, LEN(O960)-FIND(",", O960, FIND(",", O960)+1)-1), "")</f>
        <v/>
      </c>
      <c r="S960" s="35" t="str" cm="1">
        <f t="array" ref="S960">_xlfn.TEXTJOIN(", ",TRUE,_xlfn._xlws.FILTER(Tabla29[[#All],[PARTE]],ISNUMBER(SEARCH(Tabla29[[#All],[PCLAVE3]],Tabla8[[#This Row],[DESCRIPCION DE TRABAJO]])),""))</f>
        <v/>
      </c>
      <c r="T960" s="34" t="str">
        <f>IF(AND(Tabla8[[#This Row],[PIEZA]]="",Tabla8[[#This Row],[PARTE]]=""),"VACIO","OK")</f>
        <v>VACIO</v>
      </c>
      <c r="U960" s="303" t="str">
        <f>+CONCATENATE(WEEKNUM(Tabla8[[#This Row],[FECHA]]),"-",YEAR(Tabla8[[#This Row],[FECHA]]))</f>
        <v>17-2026</v>
      </c>
    </row>
    <row r="961" spans="1:21" ht="15" customHeight="1">
      <c r="A961" s="22">
        <v>46133</v>
      </c>
      <c r="B961" s="16" t="s">
        <v>131</v>
      </c>
      <c r="C961" s="10" t="s">
        <v>36</v>
      </c>
      <c r="D961" s="381">
        <v>0.2986111111111111</v>
      </c>
      <c r="E961" s="381">
        <v>0.30694444444444446</v>
      </c>
      <c r="F961" s="380">
        <f>+MOD(Tabla8[[#This Row],[HR. FIN]]-Tabla8[[#This Row],[HR. INICIO]],1)</f>
        <v>8.3333333333333592E-3</v>
      </c>
      <c r="G961" s="16" t="s">
        <v>1063</v>
      </c>
      <c r="H961" s="343" t="str">
        <f>IFERROR(VLOOKUP(G961,DATOS!$M$2:$N$219,2,FALSE),"")</f>
        <v>Maquinaria</v>
      </c>
      <c r="I961" s="115" t="s">
        <v>405</v>
      </c>
      <c r="J961" s="115" t="str">
        <f>+VLOOKUP($I961,Tabla7[#All],2,FALSE)</f>
        <v>PROGRAMADA</v>
      </c>
      <c r="K961" s="114" t="str">
        <f>IF(VLOOKUP(I961,Tabla7[#All],3,FALSE)=0,"",VLOOKUP(I961,Tabla7[#All],3,FALSE))</f>
        <v/>
      </c>
      <c r="L961" s="35" t="s">
        <v>1891</v>
      </c>
      <c r="M961" s="35" t="s">
        <v>121</v>
      </c>
      <c r="N961" s="35" t="str" cm="1">
        <f t="array" ref="N961">IFERROR(IF(Tabla8[[#This Row],[P/NP]]="NO PROGRAMADA","",_xlfn.TEXTJOIN(", ",TRUE,_xlfn._xlws.FILTER(Tabla4[[#All],[PIEZA]],ISNUMBER(SEARCH(Tabla4[[#All],[PCLAVE]],Tabla8[[#This Row],[DESCRIPCION DE TRABAJO]])),""))),"")</f>
        <v>Tuerca</v>
      </c>
      <c r="O961" s="35" t="str" cm="1">
        <f t="array" ref="O961">_xlfn.TEXTJOIN(", ",TRUE,_xlfn._xlws.FILTER(Tabla28[[#All],[PARTE]],ISNUMBER(SEARCH(Tabla28[[#All],[PCLAVE2]],Tabla8[[#This Row],[DESCRIPCION DE TRABAJO]])),""))</f>
        <v/>
      </c>
      <c r="P961" s="303" t="str">
        <f>IFERROR(LEFT(O961, FIND(",", O961)-1), O961)</f>
        <v/>
      </c>
      <c r="Q961" s="303" t="str">
        <f>IFERROR(IF(ISERROR(FIND(",", O961, FIND(",", O961)+1)), RIGHT(O961, LEN(O961)-FIND(",", O961)-1), MID(O961, FIND(",", O961)+2, FIND(",", O961, FIND(",", O961)+1)-FIND(",", O961)-2)), "")</f>
        <v/>
      </c>
      <c r="R961" s="303" t="str">
        <f>IFERROR(RIGHT(O961, LEN(O961)-FIND(",", O961, FIND(",", O961)+1)-1), "")</f>
        <v/>
      </c>
      <c r="S961" s="35" t="str" cm="1">
        <f t="array" ref="S961">_xlfn.TEXTJOIN(", ",TRUE,_xlfn._xlws.FILTER(Tabla29[[#All],[PARTE]],ISNUMBER(SEARCH(Tabla29[[#All],[PCLAVE3]],Tabla8[[#This Row],[DESCRIPCION DE TRABAJO]])),""))</f>
        <v/>
      </c>
      <c r="T961" s="34" t="str">
        <f>IF(AND(Tabla8[[#This Row],[PIEZA]]="",Tabla8[[#This Row],[PARTE]]=""),"VACIO","OK")</f>
        <v>OK</v>
      </c>
      <c r="U961" s="303" t="str">
        <f>+CONCATENATE(WEEKNUM(Tabla8[[#This Row],[FECHA]]),"-",YEAR(Tabla8[[#This Row],[FECHA]]))</f>
        <v>17-2026</v>
      </c>
    </row>
    <row r="962" spans="1:21" ht="15" customHeight="1">
      <c r="A962" s="22">
        <v>46133</v>
      </c>
      <c r="B962" s="16" t="s">
        <v>131</v>
      </c>
      <c r="C962" s="10" t="s">
        <v>36</v>
      </c>
      <c r="D962" s="381">
        <v>0.34722222222222221</v>
      </c>
      <c r="E962" s="381">
        <v>0.35416666666666669</v>
      </c>
      <c r="F962" s="380">
        <f>+MOD(Tabla8[[#This Row],[HR. FIN]]-Tabla8[[#This Row],[HR. INICIO]],1)</f>
        <v>6.9444444444444753E-3</v>
      </c>
      <c r="G962" s="16" t="s">
        <v>1892</v>
      </c>
      <c r="H962" s="343" t="str">
        <f>IFERROR(VLOOKUP(G962,DATOS!$M$2:$N$219,2,FALSE),"")</f>
        <v>Maquinaria</v>
      </c>
      <c r="I962" s="115" t="s">
        <v>32</v>
      </c>
      <c r="J962" s="115" t="str">
        <f>+VLOOKUP($I962,Tabla7[#All],2,FALSE)</f>
        <v>PROGRAMADA</v>
      </c>
      <c r="K962" s="114" t="str">
        <f>IF(VLOOKUP(I962,Tabla7[#All],3,FALSE)=0,"",VLOOKUP(I962,Tabla7[#All],3,FALSE))</f>
        <v/>
      </c>
      <c r="L962" s="35" t="s">
        <v>1893</v>
      </c>
      <c r="M962" s="35" t="s">
        <v>121</v>
      </c>
      <c r="N962" s="35" t="str" cm="1">
        <f t="array" ref="N962">IFERROR(IF(Tabla8[[#This Row],[P/NP]]="NO PROGRAMADA","",_xlfn.TEXTJOIN(", ",TRUE,_xlfn._xlws.FILTER(Tabla4[[#All],[PIEZA]],ISNUMBER(SEARCH(Tabla4[[#All],[PCLAVE]],Tabla8[[#This Row],[DESCRIPCION DE TRABAJO]])),""))),"")</f>
        <v>Cuchilla, Tapa</v>
      </c>
      <c r="O962" s="35" t="str" cm="1">
        <f t="array" ref="O962">_xlfn.TEXTJOIN(", ",TRUE,_xlfn._xlws.FILTER(Tabla28[[#All],[PARTE]],ISNUMBER(SEARCH(Tabla28[[#All],[PCLAVE2]],Tabla8[[#This Row],[DESCRIPCION DE TRABAJO]])),""))</f>
        <v/>
      </c>
      <c r="P962" s="303" t="str">
        <f>IFERROR(LEFT(O962, FIND(",", O962)-1), O962)</f>
        <v/>
      </c>
      <c r="Q962" s="303" t="str">
        <f>IFERROR(IF(ISERROR(FIND(",", O962, FIND(",", O962)+1)), RIGHT(O962, LEN(O962)-FIND(",", O962)-1), MID(O962, FIND(",", O962)+2, FIND(",", O962, FIND(",", O962)+1)-FIND(",", O962)-2)), "")</f>
        <v/>
      </c>
      <c r="R962" s="303" t="str">
        <f>IFERROR(RIGHT(O962, LEN(O962)-FIND(",", O962, FIND(",", O962)+1)-1), "")</f>
        <v/>
      </c>
      <c r="S962" s="35" t="str" cm="1">
        <f t="array" ref="S962">_xlfn.TEXTJOIN(", ",TRUE,_xlfn._xlws.FILTER(Tabla29[[#All],[PARTE]],ISNUMBER(SEARCH(Tabla29[[#All],[PCLAVE3]],Tabla8[[#This Row],[DESCRIPCION DE TRABAJO]])),""))</f>
        <v/>
      </c>
      <c r="T962" s="34" t="str">
        <f>IF(AND(Tabla8[[#This Row],[PIEZA]]="",Tabla8[[#This Row],[PARTE]]=""),"VACIO","OK")</f>
        <v>OK</v>
      </c>
      <c r="U962" s="303" t="str">
        <f>+CONCATENATE(WEEKNUM(Tabla8[[#This Row],[FECHA]]),"-",YEAR(Tabla8[[#This Row],[FECHA]]))</f>
        <v>17-2026</v>
      </c>
    </row>
    <row r="963" spans="1:21" ht="15" customHeight="1">
      <c r="A963" s="22">
        <v>46133</v>
      </c>
      <c r="B963" s="16" t="s">
        <v>131</v>
      </c>
      <c r="C963" s="10" t="s">
        <v>36</v>
      </c>
      <c r="D963" s="381">
        <v>0.24305555555555555</v>
      </c>
      <c r="E963" s="381">
        <v>0.25</v>
      </c>
      <c r="F963" s="380">
        <f>+MOD(Tabla8[[#This Row],[HR. FIN]]-Tabla8[[#This Row],[HR. INICIO]],1)</f>
        <v>6.9444444444444475E-3</v>
      </c>
      <c r="G963" s="16" t="s">
        <v>241</v>
      </c>
      <c r="H963" s="343" t="str">
        <f>IFERROR(VLOOKUP(G963,DATOS!$M$2:$N$219,2,FALSE),"")</f>
        <v>Maquinaria</v>
      </c>
      <c r="I963" s="115" t="s">
        <v>32</v>
      </c>
      <c r="J963" s="115" t="s">
        <v>92</v>
      </c>
      <c r="K963" s="114" t="s">
        <v>148</v>
      </c>
      <c r="L963" s="35" t="s">
        <v>1894</v>
      </c>
      <c r="M963" s="35" t="s">
        <v>1895</v>
      </c>
      <c r="N963" s="35" t="str" cm="1">
        <f t="array" ref="N963">IFERROR(IF(Tabla8[[#This Row],[P/NP]]="NO PROGRAMADA","",_xlfn.TEXTJOIN(", ",TRUE,_xlfn._xlws.FILTER(Tabla4[[#All],[PIEZA]],ISNUMBER(SEARCH(Tabla4[[#All],[PCLAVE]],Tabla8[[#This Row],[DESCRIPCION DE TRABAJO]])),""))),"")</f>
        <v/>
      </c>
      <c r="O963" s="35" t="str" cm="1">
        <f t="array" ref="O963">_xlfn.TEXTJOIN(", ",TRUE,_xlfn._xlws.FILTER(Tabla28[[#All],[PARTE]],ISNUMBER(SEARCH(Tabla28[[#All],[PCLAVE2]],Tabla8[[#This Row],[DESCRIPCION DE TRABAJO]])),""))</f>
        <v/>
      </c>
      <c r="P963" s="303" t="str">
        <f>IFERROR(LEFT(O963, FIND(",", O963)-1), O963)</f>
        <v/>
      </c>
      <c r="Q963" s="303" t="str">
        <f>IFERROR(IF(ISERROR(FIND(",", O963, FIND(",", O963)+1)), RIGHT(O963, LEN(O963)-FIND(",", O963)-1), MID(O963, FIND(",", O963)+2, FIND(",", O963, FIND(",", O963)+1)-FIND(",", O963)-2)), "")</f>
        <v/>
      </c>
      <c r="R963" s="303" t="str">
        <f>IFERROR(RIGHT(O963, LEN(O963)-FIND(",", O963, FIND(",", O963)+1)-1), "")</f>
        <v/>
      </c>
      <c r="S963" s="35" t="str" cm="1">
        <f t="array" ref="S963">_xlfn.TEXTJOIN(", ",TRUE,_xlfn._xlws.FILTER(Tabla29[[#All],[PARTE]],ISNUMBER(SEARCH(Tabla29[[#All],[PCLAVE3]],Tabla8[[#This Row],[DESCRIPCION DE TRABAJO]])),""))</f>
        <v>No Inicia, Carga/descarga</v>
      </c>
      <c r="T963" s="34" t="str">
        <f>IF(AND(Tabla8[[#This Row],[PIEZA]]="",Tabla8[[#This Row],[PARTE]]=""),"VACIO","OK")</f>
        <v>VACIO</v>
      </c>
      <c r="U963" s="303" t="str">
        <f>+CONCATENATE(WEEKNUM(Tabla8[[#This Row],[FECHA]]),"-",YEAR(Tabla8[[#This Row],[FECHA]]))</f>
        <v>17-2026</v>
      </c>
    </row>
    <row r="964" spans="1:21" ht="15" customHeight="1">
      <c r="A964" s="22">
        <v>46133</v>
      </c>
      <c r="B964" s="16" t="s">
        <v>131</v>
      </c>
      <c r="C964" s="10" t="s">
        <v>36</v>
      </c>
      <c r="D964" s="381">
        <v>0.44861111111111113</v>
      </c>
      <c r="E964" s="381">
        <v>0.45555555555555555</v>
      </c>
      <c r="F964" s="380">
        <f>+MOD(Tabla8[[#This Row],[HR. FIN]]-Tabla8[[#This Row],[HR. INICIO]],1)</f>
        <v>6.9444444444444198E-3</v>
      </c>
      <c r="G964" s="16" t="s">
        <v>81</v>
      </c>
      <c r="H964" s="343" t="str">
        <f>IFERROR(VLOOKUP(G964,DATOS!$M$2:$N$219,2,FALSE),"")</f>
        <v>Maquinaria</v>
      </c>
      <c r="I964" s="115" t="s">
        <v>32</v>
      </c>
      <c r="J964" s="115" t="s">
        <v>92</v>
      </c>
      <c r="K964" s="114" t="s">
        <v>148</v>
      </c>
      <c r="L964" s="35" t="s">
        <v>1896</v>
      </c>
      <c r="M964" s="35" t="s">
        <v>1897</v>
      </c>
      <c r="N964" s="35" t="str" cm="1">
        <f t="array" ref="N964">IFERROR(IF(Tabla8[[#This Row],[P/NP]]="NO PROGRAMADA","",_xlfn.TEXTJOIN(", ",TRUE,_xlfn._xlws.FILTER(Tabla4[[#All],[PIEZA]],ISNUMBER(SEARCH(Tabla4[[#All],[PCLAVE]],Tabla8[[#This Row],[DESCRIPCION DE TRABAJO]])),""))),"")</f>
        <v/>
      </c>
      <c r="O964" s="35" t="str" cm="1">
        <f t="array" ref="O964">_xlfn.TEXTJOIN(", ",TRUE,_xlfn._xlws.FILTER(Tabla28[[#All],[PARTE]],ISNUMBER(SEARCH(Tabla28[[#All],[PCLAVE2]],Tabla8[[#This Row],[DESCRIPCION DE TRABAJO]])),""))</f>
        <v/>
      </c>
      <c r="P964" s="303" t="str">
        <f>IFERROR(LEFT(O964, FIND(",", O964)-1), O964)</f>
        <v/>
      </c>
      <c r="Q964" s="303" t="str">
        <f>IFERROR(IF(ISERROR(FIND(",", O964, FIND(",", O964)+1)), RIGHT(O964, LEN(O964)-FIND(",", O964)-1), MID(O964, FIND(",", O964)+2, FIND(",", O964, FIND(",", O964)+1)-FIND(",", O964)-2)), "")</f>
        <v/>
      </c>
      <c r="R964" s="303" t="str">
        <f>IFERROR(RIGHT(O964, LEN(O964)-FIND(",", O964, FIND(",", O964)+1)-1), "")</f>
        <v/>
      </c>
      <c r="S964" s="35" t="str" cm="1">
        <f t="array" ref="S964">_xlfn.TEXTJOIN(", ",TRUE,_xlfn._xlws.FILTER(Tabla29[[#All],[PARTE]],ISNUMBER(SEARCH(Tabla29[[#All],[PCLAVE3]],Tabla8[[#This Row],[DESCRIPCION DE TRABAJO]])),""))</f>
        <v>Con Restos</v>
      </c>
      <c r="T964" s="34" t="str">
        <f>IF(AND(Tabla8[[#This Row],[PIEZA]]="",Tabla8[[#This Row],[PARTE]]=""),"VACIO","OK")</f>
        <v>VACIO</v>
      </c>
      <c r="U964" s="303" t="str">
        <f>+CONCATENATE(WEEKNUM(Tabla8[[#This Row],[FECHA]]),"-",YEAR(Tabla8[[#This Row],[FECHA]]))</f>
        <v>17-2026</v>
      </c>
    </row>
    <row r="965" spans="1:21" ht="15" customHeight="1">
      <c r="A965" s="22">
        <v>46134</v>
      </c>
      <c r="B965" s="16" t="s">
        <v>88</v>
      </c>
      <c r="C965" s="10" t="s">
        <v>36</v>
      </c>
      <c r="D965" s="381">
        <v>0.27083333333333331</v>
      </c>
      <c r="E965" s="381">
        <v>0.3125</v>
      </c>
      <c r="F965" s="380">
        <f>+MOD(Tabla8[[#This Row],[HR. FIN]]-Tabla8[[#This Row],[HR. INICIO]],1)</f>
        <v>4.1666666666666685E-2</v>
      </c>
      <c r="G965" s="16" t="s">
        <v>98</v>
      </c>
      <c r="H965" s="343" t="str">
        <f>IFERROR(VLOOKUP(G965,DATOS!$M$2:$N$219,2,FALSE),"")</f>
        <v>Maquinaria</v>
      </c>
      <c r="I965" s="115" t="s">
        <v>32</v>
      </c>
      <c r="J965" s="115" t="str">
        <f>+VLOOKUP($I965,Tabla7[#All],2,FALSE)</f>
        <v>PROGRAMADA</v>
      </c>
      <c r="K965" s="114" t="str">
        <f>IF(VLOOKUP(I965,Tabla7[#All],3,FALSE)=0,"",VLOOKUP(I965,Tabla7[#All],3,FALSE))</f>
        <v/>
      </c>
      <c r="L965" s="35" t="s">
        <v>1168</v>
      </c>
      <c r="M965" s="35" t="s">
        <v>1898</v>
      </c>
      <c r="N965" s="35" t="str" cm="1">
        <f t="array" ref="N965">IFERROR(IF(Tabla8[[#This Row],[P/NP]]="NO PROGRAMADA","",_xlfn.TEXTJOIN(", ",TRUE,_xlfn._xlws.FILTER(Tabla4[[#All],[PIEZA]],ISNUMBER(SEARCH(Tabla4[[#All],[PCLAVE]],Tabla8[[#This Row],[DESCRIPCION DE TRABAJO]])),""))),"")</f>
        <v/>
      </c>
      <c r="O965" s="35" t="str" cm="1">
        <f t="array" ref="O965">_xlfn.TEXTJOIN(", ",TRUE,_xlfn._xlws.FILTER(Tabla28[[#All],[PARTE]],ISNUMBER(SEARCH(Tabla28[[#All],[PCLAVE2]],Tabla8[[#This Row],[DESCRIPCION DE TRABAJO]])),""))</f>
        <v/>
      </c>
      <c r="P965" s="303" t="str">
        <f>IFERROR(LEFT(O965, FIND(",", O965)-1), O965)</f>
        <v/>
      </c>
      <c r="Q965" s="303" t="str">
        <f>IFERROR(IF(ISERROR(FIND(",", O965, FIND(",", O965)+1)), RIGHT(O965, LEN(O965)-FIND(",", O965)-1), MID(O965, FIND(",", O965)+2, FIND(",", O965, FIND(",", O965)+1)-FIND(",", O965)-2)), "")</f>
        <v/>
      </c>
      <c r="R965" s="303" t="str">
        <f>IFERROR(RIGHT(O965, LEN(O965)-FIND(",", O965, FIND(",", O965)+1)-1), "")</f>
        <v/>
      </c>
      <c r="S965" s="35" t="str" cm="1">
        <f t="array" ref="S965">_xlfn.TEXTJOIN(", ",TRUE,_xlfn._xlws.FILTER(Tabla29[[#All],[PARTE]],ISNUMBER(SEARCH(Tabla29[[#All],[PCLAVE3]],Tabla8[[#This Row],[DESCRIPCION DE TRABAJO]])),""))</f>
        <v/>
      </c>
      <c r="T965" s="34" t="str">
        <f>IF(AND(Tabla8[[#This Row],[PIEZA]]="",Tabla8[[#This Row],[PARTE]]=""),"VACIO","OK")</f>
        <v>VACIO</v>
      </c>
      <c r="U965" s="303" t="str">
        <f>+CONCATENATE(WEEKNUM(Tabla8[[#This Row],[FECHA]]),"-",YEAR(Tabla8[[#This Row],[FECHA]]))</f>
        <v>17-2026</v>
      </c>
    </row>
    <row r="966" spans="1:21" ht="15" customHeight="1">
      <c r="A966" s="22">
        <v>46134</v>
      </c>
      <c r="B966" s="16" t="s">
        <v>191</v>
      </c>
      <c r="C966" s="10" t="s">
        <v>23</v>
      </c>
      <c r="D966" s="381">
        <v>0.62847222222222221</v>
      </c>
      <c r="E966" s="381">
        <v>0.65277777777777779</v>
      </c>
      <c r="F966" s="380">
        <f>+MOD(Tabla8[[#This Row],[HR. FIN]]-Tabla8[[#This Row],[HR. INICIO]],1)</f>
        <v>2.430555555555558E-2</v>
      </c>
      <c r="G966" s="16" t="s">
        <v>31</v>
      </c>
      <c r="H966" s="343" t="str">
        <f>IFERROR(VLOOKUP(G966,DATOS!$M$2:$N$219,2,FALSE),"")</f>
        <v>Maquinaria</v>
      </c>
      <c r="I966" s="115" t="s">
        <v>32</v>
      </c>
      <c r="J966" s="115" t="str">
        <f>+VLOOKUP($I966,Tabla7[#All],2,FALSE)</f>
        <v>PROGRAMADA</v>
      </c>
      <c r="K966" s="114" t="str">
        <f>IF(VLOOKUP(I966,Tabla7[#All],3,FALSE)=0,"",VLOOKUP(I966,Tabla7[#All],3,FALSE))</f>
        <v/>
      </c>
      <c r="L966" s="35" t="s">
        <v>1899</v>
      </c>
      <c r="M966" s="35" t="s">
        <v>121</v>
      </c>
      <c r="N966" s="35" t="str" cm="1">
        <f t="array" ref="N966">IFERROR(IF(Tabla8[[#This Row],[P/NP]]="NO PROGRAMADA","",_xlfn.TEXTJOIN(", ",TRUE,_xlfn._xlws.FILTER(Tabla4[[#All],[PIEZA]],ISNUMBER(SEARCH(Tabla4[[#All],[PCLAVE]],Tabla8[[#This Row],[DESCRIPCION DE TRABAJO]])),""))),"")</f>
        <v/>
      </c>
      <c r="O966" s="35" t="str" cm="1">
        <f t="array" ref="O966">_xlfn.TEXTJOIN(", ",TRUE,_xlfn._xlws.FILTER(Tabla28[[#All],[PARTE]],ISNUMBER(SEARCH(Tabla28[[#All],[PCLAVE2]],Tabla8[[#This Row],[DESCRIPCION DE TRABAJO]])),""))</f>
        <v/>
      </c>
      <c r="P966" s="303" t="str">
        <f>IFERROR(LEFT(O966, FIND(",", O966)-1), O966)</f>
        <v/>
      </c>
      <c r="Q966" s="303" t="str">
        <f>IFERROR(IF(ISERROR(FIND(",", O966, FIND(",", O966)+1)), RIGHT(O966, LEN(O966)-FIND(",", O966)-1), MID(O966, FIND(",", O966)+2, FIND(",", O966, FIND(",", O966)+1)-FIND(",", O966)-2)), "")</f>
        <v/>
      </c>
      <c r="R966" s="303" t="str">
        <f>IFERROR(RIGHT(O966, LEN(O966)-FIND(",", O966, FIND(",", O966)+1)-1), "")</f>
        <v/>
      </c>
      <c r="S966" s="35" t="str" cm="1">
        <f t="array" ref="S966">_xlfn.TEXTJOIN(", ",TRUE,_xlfn._xlws.FILTER(Tabla29[[#All],[PARTE]],ISNUMBER(SEARCH(Tabla29[[#All],[PCLAVE3]],Tabla8[[#This Row],[DESCRIPCION DE TRABAJO]])),""))</f>
        <v>Cambio De Formato</v>
      </c>
      <c r="T966" s="34" t="str">
        <f>IF(AND(Tabla8[[#This Row],[PIEZA]]="",Tabla8[[#This Row],[PARTE]]=""),"VACIO","OK")</f>
        <v>VACIO</v>
      </c>
      <c r="U966" s="303" t="str">
        <f>+CONCATENATE(WEEKNUM(Tabla8[[#This Row],[FECHA]]),"-",YEAR(Tabla8[[#This Row],[FECHA]]))</f>
        <v>17-2026</v>
      </c>
    </row>
    <row r="967" spans="1:21" ht="15" customHeight="1">
      <c r="A967" s="22">
        <v>46134</v>
      </c>
      <c r="B967" s="16" t="s">
        <v>88</v>
      </c>
      <c r="C967" s="10" t="s">
        <v>36</v>
      </c>
      <c r="D967" s="381">
        <v>0.23958333333333334</v>
      </c>
      <c r="E967" s="381">
        <v>0.26041666666666669</v>
      </c>
      <c r="F967" s="380">
        <f>+MOD(Tabla8[[#This Row],[HR. FIN]]-Tabla8[[#This Row],[HR. INICIO]],1)</f>
        <v>2.0833333333333343E-2</v>
      </c>
      <c r="G967" s="16" t="s">
        <v>119</v>
      </c>
      <c r="H967" s="343" t="str">
        <f>IFERROR(VLOOKUP(G967,DATOS!$M$2:$N$219,2,FALSE),"")</f>
        <v>Maquinaria</v>
      </c>
      <c r="I967" s="115" t="s">
        <v>32</v>
      </c>
      <c r="J967" s="115" t="str">
        <f>+VLOOKUP($I967,Tabla7[#All],2,FALSE)</f>
        <v>PROGRAMADA</v>
      </c>
      <c r="K967" s="114" t="str">
        <f>IF(VLOOKUP(I967,Tabla7[#All],3,FALSE)=0,"",VLOOKUP(I967,Tabla7[#All],3,FALSE))</f>
        <v/>
      </c>
      <c r="L967" s="35" t="s">
        <v>1900</v>
      </c>
      <c r="M967" s="35" t="s">
        <v>1166</v>
      </c>
      <c r="N967" s="35" t="str" cm="1">
        <f t="array" ref="N967">IFERROR(IF(Tabla8[[#This Row],[P/NP]]="NO PROGRAMADA","",_xlfn.TEXTJOIN(", ",TRUE,_xlfn._xlws.FILTER(Tabla4[[#All],[PIEZA]],ISNUMBER(SEARCH(Tabla4[[#All],[PCLAVE]],Tabla8[[#This Row],[DESCRIPCION DE TRABAJO]])),""))),"")</f>
        <v/>
      </c>
      <c r="O967" s="35" t="str" cm="1">
        <f t="array" ref="O967">_xlfn.TEXTJOIN(", ",TRUE,_xlfn._xlws.FILTER(Tabla28[[#All],[PARTE]],ISNUMBER(SEARCH(Tabla28[[#All],[PCLAVE2]],Tabla8[[#This Row],[DESCRIPCION DE TRABAJO]])),""))</f>
        <v>Mds</v>
      </c>
      <c r="P967" s="303" t="str">
        <f>IFERROR(LEFT(O967, FIND(",", O967)-1), O967)</f>
        <v>Mds</v>
      </c>
      <c r="Q967" s="303" t="str">
        <f>IFERROR(IF(ISERROR(FIND(",", O967, FIND(",", O967)+1)), RIGHT(O967, LEN(O967)-FIND(",", O967)-1), MID(O967, FIND(",", O967)+2, FIND(",", O967, FIND(",", O967)+1)-FIND(",", O967)-2)), "")</f>
        <v/>
      </c>
      <c r="R967" s="303" t="str">
        <f>IFERROR(RIGHT(O967, LEN(O967)-FIND(",", O967, FIND(",", O967)+1)-1), "")</f>
        <v/>
      </c>
      <c r="S967" s="35" t="str" cm="1">
        <f t="array" ref="S967">_xlfn.TEXTJOIN(", ",TRUE,_xlfn._xlws.FILTER(Tabla29[[#All],[PARTE]],ISNUMBER(SEARCH(Tabla29[[#All],[PCLAVE3]],Tabla8[[#This Row],[DESCRIPCION DE TRABAJO]])),""))</f>
        <v/>
      </c>
      <c r="T967" s="34" t="str">
        <f>IF(AND(Tabla8[[#This Row],[PIEZA]]="",Tabla8[[#This Row],[PARTE]]=""),"VACIO","OK")</f>
        <v>OK</v>
      </c>
      <c r="U967" s="303" t="str">
        <f>+CONCATENATE(WEEKNUM(Tabla8[[#This Row],[FECHA]]),"-",YEAR(Tabla8[[#This Row],[FECHA]]))</f>
        <v>17-2026</v>
      </c>
    </row>
    <row r="968" spans="1:21" ht="15" customHeight="1">
      <c r="A968" s="22">
        <v>46134</v>
      </c>
      <c r="B968" s="16" t="s">
        <v>191</v>
      </c>
      <c r="C968" s="10" t="s">
        <v>23</v>
      </c>
      <c r="D968" s="381">
        <v>0.65555555555555556</v>
      </c>
      <c r="E968" s="381">
        <v>0.6743055555555556</v>
      </c>
      <c r="F968" s="380">
        <f>+MOD(Tabla8[[#This Row],[HR. FIN]]-Tabla8[[#This Row],[HR. INICIO]],1)</f>
        <v>1.8750000000000044E-2</v>
      </c>
      <c r="G968" s="16" t="s">
        <v>31</v>
      </c>
      <c r="H968" s="343" t="str">
        <f>IFERROR(VLOOKUP(G968,DATOS!$M$2:$N$219,2,FALSE),"")</f>
        <v>Maquinaria</v>
      </c>
      <c r="I968" s="115" t="s">
        <v>57</v>
      </c>
      <c r="J968" s="115" t="s">
        <v>157</v>
      </c>
      <c r="K968" s="114"/>
      <c r="L968" s="35" t="s">
        <v>1901</v>
      </c>
      <c r="M968" s="35" t="s">
        <v>121</v>
      </c>
      <c r="N968" s="35" t="str" cm="1">
        <f t="array" ref="N968">IFERROR(IF(Tabla8[[#This Row],[P/NP]]="NO PROGRAMADA","",_xlfn.TEXTJOIN(", ",TRUE,_xlfn._xlws.FILTER(Tabla4[[#All],[PIEZA]],ISNUMBER(SEARCH(Tabla4[[#All],[PCLAVE]],Tabla8[[#This Row],[DESCRIPCION DE TRABAJO]])),""))),"")</f>
        <v>Banda, Guias</v>
      </c>
      <c r="O968" s="35" t="str" cm="1">
        <f t="array" ref="O968">_xlfn.TEXTJOIN(", ",TRUE,_xlfn._xlws.FILTER(Tabla28[[#All],[PARTE]],ISNUMBER(SEARCH(Tabla28[[#All],[PCLAVE2]],Tabla8[[#This Row],[DESCRIPCION DE TRABAJO]])),""))</f>
        <v/>
      </c>
      <c r="P968" s="303" t="str">
        <f>IFERROR(LEFT(O968, FIND(",", O968)-1), O968)</f>
        <v/>
      </c>
      <c r="Q968" s="303" t="str">
        <f>IFERROR(IF(ISERROR(FIND(",", O968, FIND(",", O968)+1)), RIGHT(O968, LEN(O968)-FIND(",", O968)-1), MID(O968, FIND(",", O968)+2, FIND(",", O968, FIND(",", O968)+1)-FIND(",", O968)-2)), "")</f>
        <v/>
      </c>
      <c r="R968" s="303" t="str">
        <f>IFERROR(RIGHT(O968, LEN(O968)-FIND(",", O968, FIND(",", O968)+1)-1), "")</f>
        <v/>
      </c>
      <c r="S968" s="35" t="str" cm="1">
        <f t="array" ref="S968">_xlfn.TEXTJOIN(", ",TRUE,_xlfn._xlws.FILTER(Tabla29[[#All],[PARTE]],ISNUMBER(SEARCH(Tabla29[[#All],[PCLAVE3]],Tabla8[[#This Row],[DESCRIPCION DE TRABAJO]])),""))</f>
        <v/>
      </c>
      <c r="T968" s="34" t="str">
        <f>IF(AND(Tabla8[[#This Row],[PIEZA]]="",Tabla8[[#This Row],[PARTE]]=""),"VACIO","OK")</f>
        <v>OK</v>
      </c>
      <c r="U968" s="303" t="str">
        <f>+CONCATENATE(WEEKNUM(Tabla8[[#This Row],[FECHA]]),"-",YEAR(Tabla8[[#This Row],[FECHA]]))</f>
        <v>17-2026</v>
      </c>
    </row>
    <row r="969" spans="1:21" ht="15" customHeight="1">
      <c r="A969" s="22">
        <v>46134</v>
      </c>
      <c r="B969" s="16" t="s">
        <v>88</v>
      </c>
      <c r="C969" s="10" t="s">
        <v>36</v>
      </c>
      <c r="D969" s="381">
        <v>0.52083333333333337</v>
      </c>
      <c r="E969" s="381">
        <v>0.53819444444444442</v>
      </c>
      <c r="F969" s="380">
        <f>+MOD(Tabla8[[#This Row],[HR. FIN]]-Tabla8[[#This Row],[HR. INICIO]],1)</f>
        <v>1.7361111111111049E-2</v>
      </c>
      <c r="G969" s="16" t="s">
        <v>1410</v>
      </c>
      <c r="H969" s="343" t="str">
        <f>IFERROR(VLOOKUP(G969,DATOS!$M$2:$N$219,2,FALSE),"")</f>
        <v>Maquinaria</v>
      </c>
      <c r="I969" s="115" t="s">
        <v>57</v>
      </c>
      <c r="J969" s="115" t="str">
        <f>+VLOOKUP($I969,Tabla7[#All],2,FALSE)</f>
        <v>NO PROGRAMADA</v>
      </c>
      <c r="K969" s="114" t="str">
        <f>IF(VLOOKUP(I969,Tabla7[#All],3,FALSE)=0,"",VLOOKUP(I969,Tabla7[#All],3,FALSE))</f>
        <v>MECÁNICA</v>
      </c>
      <c r="L969" s="35" t="s">
        <v>1902</v>
      </c>
      <c r="M969" s="35" t="s">
        <v>1903</v>
      </c>
      <c r="N969" s="35" t="str" cm="1">
        <f t="array" ref="N969">IFERROR(IF(Tabla8[[#This Row],[P/NP]]="NO PROGRAMADA","",_xlfn.TEXTJOIN(", ",TRUE,_xlfn._xlws.FILTER(Tabla4[[#All],[PIEZA]],ISNUMBER(SEARCH(Tabla4[[#All],[PCLAVE]],Tabla8[[#This Row],[DESCRIPCION DE TRABAJO]])),""))),"")</f>
        <v/>
      </c>
      <c r="O969" s="35" t="str" cm="1">
        <f t="array" ref="O969">_xlfn.TEXTJOIN(", ",TRUE,_xlfn._xlws.FILTER(Tabla28[[#All],[PARTE]],ISNUMBER(SEARCH(Tabla28[[#All],[PCLAVE2]],Tabla8[[#This Row],[DESCRIPCION DE TRABAJO]])),""))</f>
        <v/>
      </c>
      <c r="P969" s="303" t="str">
        <f>IFERROR(LEFT(O969, FIND(",", O969)-1), O969)</f>
        <v/>
      </c>
      <c r="Q969" s="303" t="str">
        <f>IFERROR(IF(ISERROR(FIND(",", O969, FIND(",", O969)+1)), RIGHT(O969, LEN(O969)-FIND(",", O969)-1), MID(O969, FIND(",", O969)+2, FIND(",", O969, FIND(",", O969)+1)-FIND(",", O969)-2)), "")</f>
        <v/>
      </c>
      <c r="R969" s="303" t="str">
        <f>IFERROR(RIGHT(O969, LEN(O969)-FIND(",", O969, FIND(",", O969)+1)-1), "")</f>
        <v/>
      </c>
      <c r="S969" s="35" t="str" cm="1">
        <f t="array" ref="S969">_xlfn.TEXTJOIN(", ",TRUE,_xlfn._xlws.FILTER(Tabla29[[#All],[PARTE]],ISNUMBER(SEARCH(Tabla29[[#All],[PCLAVE3]],Tabla8[[#This Row],[DESCRIPCION DE TRABAJO]])),""))</f>
        <v/>
      </c>
      <c r="T969" s="34" t="str">
        <f>IF(AND(Tabla8[[#This Row],[PIEZA]]="",Tabla8[[#This Row],[PARTE]]=""),"VACIO","OK")</f>
        <v>VACIO</v>
      </c>
      <c r="U969" s="303" t="str">
        <f>+CONCATENATE(WEEKNUM(Tabla8[[#This Row],[FECHA]]),"-",YEAR(Tabla8[[#This Row],[FECHA]]))</f>
        <v>17-2026</v>
      </c>
    </row>
    <row r="970" spans="1:21" ht="15" customHeight="1">
      <c r="A970" s="22">
        <v>46134</v>
      </c>
      <c r="B970" s="16" t="s">
        <v>191</v>
      </c>
      <c r="C970" s="10" t="s">
        <v>23</v>
      </c>
      <c r="D970" s="381">
        <v>0.6</v>
      </c>
      <c r="E970" s="381">
        <v>0.61597222222222225</v>
      </c>
      <c r="F970" s="380">
        <f>+MOD(Tabla8[[#This Row],[HR. FIN]]-Tabla8[[#This Row],[HR. INICIO]],1)</f>
        <v>1.5972222222222276E-2</v>
      </c>
      <c r="G970" s="16" t="s">
        <v>119</v>
      </c>
      <c r="H970" s="343" t="str">
        <f>IFERROR(VLOOKUP(G970,DATOS!$M$2:$N$219,2,FALSE),"")</f>
        <v>Maquinaria</v>
      </c>
      <c r="I970" s="115" t="s">
        <v>32</v>
      </c>
      <c r="J970" s="115" t="str">
        <f>+VLOOKUP($I970,Tabla7[#All],2,FALSE)</f>
        <v>PROGRAMADA</v>
      </c>
      <c r="K970" s="114" t="str">
        <f>IF(VLOOKUP(I970,Tabla7[#All],3,FALSE)=0,"",VLOOKUP(I970,Tabla7[#All],3,FALSE))</f>
        <v/>
      </c>
      <c r="L970" s="35" t="s">
        <v>1904</v>
      </c>
      <c r="M970" s="35" t="s">
        <v>121</v>
      </c>
      <c r="N970" s="35" t="str" cm="1">
        <f t="array" ref="N970">IFERROR(IF(Tabla8[[#This Row],[P/NP]]="NO PROGRAMADA","",_xlfn.TEXTJOIN(", ",TRUE,_xlfn._xlws.FILTER(Tabla4[[#All],[PIEZA]],ISNUMBER(SEARCH(Tabla4[[#All],[PCLAVE]],Tabla8[[#This Row],[DESCRIPCION DE TRABAJO]])),""))),"")</f>
        <v/>
      </c>
      <c r="O970" s="35" t="str" cm="1">
        <f t="array" ref="O970">_xlfn.TEXTJOIN(", ",TRUE,_xlfn._xlws.FILTER(Tabla28[[#All],[PARTE]],ISNUMBER(SEARCH(Tabla28[[#All],[PCLAVE2]],Tabla8[[#This Row],[DESCRIPCION DE TRABAJO]])),""))</f>
        <v>Mds</v>
      </c>
      <c r="P970" s="303" t="str">
        <f>IFERROR(LEFT(O970, FIND(",", O970)-1), O970)</f>
        <v>Mds</v>
      </c>
      <c r="Q970" s="303" t="str">
        <f>IFERROR(IF(ISERROR(FIND(",", O970, FIND(",", O970)+1)), RIGHT(O970, LEN(O970)-FIND(",", O970)-1), MID(O970, FIND(",", O970)+2, FIND(",", O970, FIND(",", O970)+1)-FIND(",", O970)-2)), "")</f>
        <v/>
      </c>
      <c r="R970" s="303" t="str">
        <f>IFERROR(RIGHT(O970, LEN(O970)-FIND(",", O970, FIND(",", O970)+1)-1), "")</f>
        <v/>
      </c>
      <c r="S970" s="35" t="str" cm="1">
        <f t="array" ref="S970">_xlfn.TEXTJOIN(", ",TRUE,_xlfn._xlws.FILTER(Tabla29[[#All],[PARTE]],ISNUMBER(SEARCH(Tabla29[[#All],[PCLAVE3]],Tabla8[[#This Row],[DESCRIPCION DE TRABAJO]])),""))</f>
        <v>Cambio De Formato</v>
      </c>
      <c r="T970" s="34" t="str">
        <f>IF(AND(Tabla8[[#This Row],[PIEZA]]="",Tabla8[[#This Row],[PARTE]]=""),"VACIO","OK")</f>
        <v>OK</v>
      </c>
      <c r="U970" s="303" t="str">
        <f>+CONCATENATE(WEEKNUM(Tabla8[[#This Row],[FECHA]]),"-",YEAR(Tabla8[[#This Row],[FECHA]]))</f>
        <v>17-2026</v>
      </c>
    </row>
    <row r="971" spans="1:21" ht="15" customHeight="1">
      <c r="A971" s="22">
        <v>46134</v>
      </c>
      <c r="B971" s="16" t="s">
        <v>88</v>
      </c>
      <c r="C971" s="10" t="s">
        <v>36</v>
      </c>
      <c r="D971" s="381">
        <v>0.33333333333333331</v>
      </c>
      <c r="E971" s="381">
        <v>0.34722222222222221</v>
      </c>
      <c r="F971" s="380">
        <f>+MOD(Tabla8[[#This Row],[HR. FIN]]-Tabla8[[#This Row],[HR. INICIO]],1)</f>
        <v>1.3888888888888895E-2</v>
      </c>
      <c r="G971" s="16" t="s">
        <v>192</v>
      </c>
      <c r="H971" s="343" t="str">
        <f>IFERROR(VLOOKUP(G971,DATOS!$M$2:$N$219,2,FALSE),"")</f>
        <v>Maquinaria</v>
      </c>
      <c r="I971" s="115" t="s">
        <v>32</v>
      </c>
      <c r="J971" s="115" t="str">
        <f>+VLOOKUP($I971,Tabla7[#All],2,FALSE)</f>
        <v>PROGRAMADA</v>
      </c>
      <c r="K971" s="114" t="str">
        <f>IF(VLOOKUP(I971,Tabla7[#All],3,FALSE)=0,"",VLOOKUP(I971,Tabla7[#All],3,FALSE))</f>
        <v/>
      </c>
      <c r="L971" s="35" t="s">
        <v>257</v>
      </c>
      <c r="M971" s="35" t="s">
        <v>1905</v>
      </c>
      <c r="N971" s="35" t="str" cm="1">
        <f t="array" ref="N971">IFERROR(IF(Tabla8[[#This Row],[P/NP]]="NO PROGRAMADA","",_xlfn.TEXTJOIN(", ",TRUE,_xlfn._xlws.FILTER(Tabla4[[#All],[PIEZA]],ISNUMBER(SEARCH(Tabla4[[#All],[PCLAVE]],Tabla8[[#This Row],[DESCRIPCION DE TRABAJO]])),""))),"")</f>
        <v/>
      </c>
      <c r="O971" s="35" t="str" cm="1">
        <f t="array" ref="O971">_xlfn.TEXTJOIN(", ",TRUE,_xlfn._xlws.FILTER(Tabla28[[#All],[PARTE]],ISNUMBER(SEARCH(Tabla28[[#All],[PCLAVE2]],Tabla8[[#This Row],[DESCRIPCION DE TRABAJO]])),""))</f>
        <v/>
      </c>
      <c r="P971" s="303" t="str">
        <f>IFERROR(LEFT(O971, FIND(",", O971)-1), O971)</f>
        <v/>
      </c>
      <c r="Q971" s="303" t="str">
        <f>IFERROR(IF(ISERROR(FIND(",", O971, FIND(",", O971)+1)), RIGHT(O971, LEN(O971)-FIND(",", O971)-1), MID(O971, FIND(",", O971)+2, FIND(",", O971, FIND(",", O971)+1)-FIND(",", O971)-2)), "")</f>
        <v/>
      </c>
      <c r="R971" s="303" t="str">
        <f>IFERROR(RIGHT(O971, LEN(O971)-FIND(",", O971, FIND(",", O971)+1)-1), "")</f>
        <v/>
      </c>
      <c r="S971" s="35" t="str" cm="1">
        <f t="array" ref="S971">_xlfn.TEXTJOIN(", ",TRUE,_xlfn._xlws.FILTER(Tabla29[[#All],[PARTE]],ISNUMBER(SEARCH(Tabla29[[#All],[PCLAVE3]],Tabla8[[#This Row],[DESCRIPCION DE TRABAJO]])),""))</f>
        <v/>
      </c>
      <c r="T971" s="34" t="str">
        <f>IF(AND(Tabla8[[#This Row],[PIEZA]]="",Tabla8[[#This Row],[PARTE]]=""),"VACIO","OK")</f>
        <v>VACIO</v>
      </c>
      <c r="U971" s="303" t="str">
        <f>+CONCATENATE(WEEKNUM(Tabla8[[#This Row],[FECHA]]),"-",YEAR(Tabla8[[#This Row],[FECHA]]))</f>
        <v>17-2026</v>
      </c>
    </row>
    <row r="972" spans="1:21" ht="15" customHeight="1">
      <c r="A972" s="22">
        <v>46134</v>
      </c>
      <c r="B972" s="16" t="s">
        <v>88</v>
      </c>
      <c r="C972" s="10" t="s">
        <v>36</v>
      </c>
      <c r="D972" s="381">
        <v>0.3611111111111111</v>
      </c>
      <c r="E972" s="381">
        <v>0.375</v>
      </c>
      <c r="F972" s="380">
        <f>+MOD(Tabla8[[#This Row],[HR. FIN]]-Tabla8[[#This Row],[HR. INICIO]],1)</f>
        <v>1.3888888888888895E-2</v>
      </c>
      <c r="G972" s="16" t="s">
        <v>438</v>
      </c>
      <c r="H972" s="343" t="str">
        <f>IFERROR(VLOOKUP(G972,DATOS!$M$2:$N$219,2,FALSE),"")</f>
        <v>Maquinaria</v>
      </c>
      <c r="I972" s="115" t="s">
        <v>28</v>
      </c>
      <c r="J972" s="115" t="str">
        <f>+VLOOKUP($I972,Tabla7[#All],2,FALSE)</f>
        <v>NO PROGRAMADA</v>
      </c>
      <c r="K972" s="114" t="s">
        <v>93</v>
      </c>
      <c r="L972" s="35" t="s">
        <v>1906</v>
      </c>
      <c r="M972" s="35" t="s">
        <v>1907</v>
      </c>
      <c r="N972" s="35" t="str" cm="1">
        <f t="array" ref="N972">IFERROR(IF(Tabla8[[#This Row],[P/NP]]="NO PROGRAMADA","",_xlfn.TEXTJOIN(", ",TRUE,_xlfn._xlws.FILTER(Tabla4[[#All],[PIEZA]],ISNUMBER(SEARCH(Tabla4[[#All],[PCLAVE]],Tabla8[[#This Row],[DESCRIPCION DE TRABAJO]])),""))),"")</f>
        <v/>
      </c>
      <c r="O972" s="35" t="str" cm="1">
        <f t="array" ref="O972">_xlfn.TEXTJOIN(", ",TRUE,_xlfn._xlws.FILTER(Tabla28[[#All],[PARTE]],ISNUMBER(SEARCH(Tabla28[[#All],[PCLAVE2]],Tabla8[[#This Row],[DESCRIPCION DE TRABAJO]])),""))</f>
        <v/>
      </c>
      <c r="P972" s="303" t="str">
        <f>IFERROR(LEFT(O972, FIND(",", O972)-1), O972)</f>
        <v/>
      </c>
      <c r="Q972" s="303" t="str">
        <f>IFERROR(IF(ISERROR(FIND(",", O972, FIND(",", O972)+1)), RIGHT(O972, LEN(O972)-FIND(",", O972)-1), MID(O972, FIND(",", O972)+2, FIND(",", O972, FIND(",", O972)+1)-FIND(",", O972)-2)), "")</f>
        <v/>
      </c>
      <c r="R972" s="303" t="str">
        <f>IFERROR(RIGHT(O972, LEN(O972)-FIND(",", O972, FIND(",", O972)+1)-1), "")</f>
        <v/>
      </c>
      <c r="S972" s="35" t="str" cm="1">
        <f t="array" ref="S972">_xlfn.TEXTJOIN(", ",TRUE,_xlfn._xlws.FILTER(Tabla29[[#All],[PARTE]],ISNUMBER(SEARCH(Tabla29[[#All],[PCLAVE3]],Tabla8[[#This Row],[DESCRIPCION DE TRABAJO]])),""))</f>
        <v>Dañado</v>
      </c>
      <c r="T972" s="34" t="str">
        <f>IF(AND(Tabla8[[#This Row],[PIEZA]]="",Tabla8[[#This Row],[PARTE]]=""),"VACIO","OK")</f>
        <v>VACIO</v>
      </c>
      <c r="U972" s="303" t="str">
        <f>+CONCATENATE(WEEKNUM(Tabla8[[#This Row],[FECHA]]),"-",YEAR(Tabla8[[#This Row],[FECHA]]))</f>
        <v>17-2026</v>
      </c>
    </row>
    <row r="973" spans="1:21" ht="15" customHeight="1">
      <c r="A973" s="22">
        <v>46134</v>
      </c>
      <c r="B973" s="16" t="s">
        <v>191</v>
      </c>
      <c r="C973" s="10" t="s">
        <v>23</v>
      </c>
      <c r="D973" s="381">
        <v>0.57986111111111116</v>
      </c>
      <c r="E973" s="381">
        <v>0.59375</v>
      </c>
      <c r="F973" s="380">
        <f>+MOD(Tabla8[[#This Row],[HR. FIN]]-Tabla8[[#This Row],[HR. INICIO]],1)</f>
        <v>1.388888888888884E-2</v>
      </c>
      <c r="G973" s="16" t="s">
        <v>119</v>
      </c>
      <c r="H973" s="343" t="str">
        <f>IFERROR(VLOOKUP(G973,DATOS!$M$2:$N$219,2,FALSE),"")</f>
        <v>Maquinaria</v>
      </c>
      <c r="I973" s="115" t="s">
        <v>28</v>
      </c>
      <c r="J973" s="115" t="str">
        <f>+VLOOKUP($I973,Tabla7[#All],2,FALSE)</f>
        <v>NO PROGRAMADA</v>
      </c>
      <c r="K973" s="114" t="str">
        <f>IF(VLOOKUP(I973,Tabla7[#All],3,FALSE)=0,"",VLOOKUP(I973,Tabla7[#All],3,FALSE))</f>
        <v>ELÉCTRICA</v>
      </c>
      <c r="L973" s="35" t="s">
        <v>1908</v>
      </c>
      <c r="M973" s="35" t="s">
        <v>1909</v>
      </c>
      <c r="N973" s="35" t="str" cm="1">
        <f t="array" ref="N973">IFERROR(IF(Tabla8[[#This Row],[P/NP]]="NO PROGRAMADA","",_xlfn.TEXTJOIN(", ",TRUE,_xlfn._xlws.FILTER(Tabla4[[#All],[PIEZA]],ISNUMBER(SEARCH(Tabla4[[#All],[PCLAVE]],Tabla8[[#This Row],[DESCRIPCION DE TRABAJO]])),""))),"")</f>
        <v/>
      </c>
      <c r="O973" s="35" t="str" cm="1">
        <f t="array" ref="O973">_xlfn.TEXTJOIN(", ",TRUE,_xlfn._xlws.FILTER(Tabla28[[#All],[PARTE]],ISNUMBER(SEARCH(Tabla28[[#All],[PCLAVE2]],Tabla8[[#This Row],[DESCRIPCION DE TRABAJO]])),""))</f>
        <v/>
      </c>
      <c r="P973" s="303" t="str">
        <f>IFERROR(LEFT(O973, FIND(",", O973)-1), O973)</f>
        <v/>
      </c>
      <c r="Q973" s="303" t="str">
        <f>IFERROR(IF(ISERROR(FIND(",", O973, FIND(",", O973)+1)), RIGHT(O973, LEN(O973)-FIND(",", O973)-1), MID(O973, FIND(",", O973)+2, FIND(",", O973, FIND(",", O973)+1)-FIND(",", O973)-2)), "")</f>
        <v/>
      </c>
      <c r="R973" s="303" t="str">
        <f>IFERROR(RIGHT(O973, LEN(O973)-FIND(",", O973, FIND(",", O973)+1)-1), "")</f>
        <v/>
      </c>
      <c r="S973" s="35" t="str" cm="1">
        <f t="array" ref="S973">_xlfn.TEXTJOIN(", ",TRUE,_xlfn._xlws.FILTER(Tabla29[[#All],[PARTE]],ISNUMBER(SEARCH(Tabla29[[#All],[PCLAVE3]],Tabla8[[#This Row],[DESCRIPCION DE TRABAJO]])),""))</f>
        <v>Dañado</v>
      </c>
      <c r="T973" s="34" t="str">
        <f>IF(AND(Tabla8[[#This Row],[PIEZA]]="",Tabla8[[#This Row],[PARTE]]=""),"VACIO","OK")</f>
        <v>VACIO</v>
      </c>
      <c r="U973" s="303" t="str">
        <f>+CONCATENATE(WEEKNUM(Tabla8[[#This Row],[FECHA]]),"-",YEAR(Tabla8[[#This Row],[FECHA]]))</f>
        <v>17-2026</v>
      </c>
    </row>
    <row r="974" spans="1:21" ht="15" customHeight="1">
      <c r="A974" s="22">
        <v>46134</v>
      </c>
      <c r="B974" s="16" t="s">
        <v>191</v>
      </c>
      <c r="C974" s="10" t="s">
        <v>23</v>
      </c>
      <c r="D974" s="381">
        <v>0.54513888888888884</v>
      </c>
      <c r="E974" s="381">
        <v>0.55763888888888891</v>
      </c>
      <c r="F974" s="380">
        <f>+MOD(Tabla8[[#This Row],[HR. FIN]]-Tabla8[[#This Row],[HR. INICIO]],1)</f>
        <v>1.2500000000000067E-2</v>
      </c>
      <c r="G974" s="16" t="s">
        <v>1410</v>
      </c>
      <c r="H974" s="343" t="str">
        <f>IFERROR(VLOOKUP(G974,DATOS!$M$2:$N$219,2,FALSE),"")</f>
        <v>Maquinaria</v>
      </c>
      <c r="I974" s="115" t="s">
        <v>32</v>
      </c>
      <c r="J974" s="115" t="str">
        <f>+VLOOKUP($I974,Tabla7[#All],2,FALSE)</f>
        <v>PROGRAMADA</v>
      </c>
      <c r="K974" s="114" t="str">
        <f>IF(VLOOKUP(I974,Tabla7[#All],3,FALSE)=0,"",VLOOKUP(I974,Tabla7[#All],3,FALSE))</f>
        <v/>
      </c>
      <c r="L974" s="35" t="s">
        <v>1910</v>
      </c>
      <c r="M974" s="35" t="s">
        <v>121</v>
      </c>
      <c r="N974" s="35" t="str" cm="1">
        <f t="array" ref="N974">IFERROR(IF(Tabla8[[#This Row],[P/NP]]="NO PROGRAMADA","",_xlfn.TEXTJOIN(", ",TRUE,_xlfn._xlws.FILTER(Tabla4[[#All],[PIEZA]],ISNUMBER(SEARCH(Tabla4[[#All],[PCLAVE]],Tabla8[[#This Row],[DESCRIPCION DE TRABAJO]])),""))),"")</f>
        <v/>
      </c>
      <c r="O974" s="35" t="str" cm="1">
        <f t="array" ref="O974">_xlfn.TEXTJOIN(", ",TRUE,_xlfn._xlws.FILTER(Tabla28[[#All],[PARTE]],ISNUMBER(SEARCH(Tabla28[[#All],[PCLAVE2]],Tabla8[[#This Row],[DESCRIPCION DE TRABAJO]])),""))</f>
        <v/>
      </c>
      <c r="P974" s="303" t="str">
        <f>IFERROR(LEFT(O974, FIND(",", O974)-1), O974)</f>
        <v/>
      </c>
      <c r="Q974" s="303" t="str">
        <f>IFERROR(IF(ISERROR(FIND(",", O974, FIND(",", O974)+1)), RIGHT(O974, LEN(O974)-FIND(",", O974)-1), MID(O974, FIND(",", O974)+2, FIND(",", O974, FIND(",", O974)+1)-FIND(",", O974)-2)), "")</f>
        <v/>
      </c>
      <c r="R974" s="303" t="str">
        <f>IFERROR(RIGHT(O974, LEN(O974)-FIND(",", O974, FIND(",", O974)+1)-1), "")</f>
        <v/>
      </c>
      <c r="S974" s="35" t="str" cm="1">
        <f t="array" ref="S974">_xlfn.TEXTJOIN(", ",TRUE,_xlfn._xlws.FILTER(Tabla29[[#All],[PARTE]],ISNUMBER(SEARCH(Tabla29[[#All],[PCLAVE3]],Tabla8[[#This Row],[DESCRIPCION DE TRABAJO]])),""))</f>
        <v/>
      </c>
      <c r="T974" s="34" t="str">
        <f>IF(AND(Tabla8[[#This Row],[PIEZA]]="",Tabla8[[#This Row],[PARTE]]=""),"VACIO","OK")</f>
        <v>VACIO</v>
      </c>
      <c r="U974" s="303" t="str">
        <f>+CONCATENATE(WEEKNUM(Tabla8[[#This Row],[FECHA]]),"-",YEAR(Tabla8[[#This Row],[FECHA]]))</f>
        <v>17-2026</v>
      </c>
    </row>
    <row r="975" spans="1:21" ht="15" customHeight="1">
      <c r="A975" s="22">
        <v>46134</v>
      </c>
      <c r="B975" s="16" t="s">
        <v>191</v>
      </c>
      <c r="C975" s="10" t="s">
        <v>23</v>
      </c>
      <c r="D975" s="381">
        <v>0.6166666666666667</v>
      </c>
      <c r="E975" s="381">
        <v>0.62777777777777777</v>
      </c>
      <c r="F975" s="380">
        <f>+MOD(Tabla8[[#This Row],[HR. FIN]]-Tabla8[[#This Row],[HR. INICIO]],1)</f>
        <v>1.1111111111111072E-2</v>
      </c>
      <c r="G975" s="16" t="s">
        <v>119</v>
      </c>
      <c r="H975" s="343" t="str">
        <f>IFERROR(VLOOKUP(G975,DATOS!$M$2:$N$219,2,FALSE),"")</f>
        <v>Maquinaria</v>
      </c>
      <c r="I975" s="115" t="s">
        <v>32</v>
      </c>
      <c r="J975" s="115" t="str">
        <f>+VLOOKUP($I975,Tabla7[#All],2,FALSE)</f>
        <v>PROGRAMADA</v>
      </c>
      <c r="K975" s="114" t="str">
        <f>IF(VLOOKUP(I975,Tabla7[#All],3,FALSE)=0,"",VLOOKUP(I975,Tabla7[#All],3,FALSE))</f>
        <v/>
      </c>
      <c r="L975" s="35" t="s">
        <v>1911</v>
      </c>
      <c r="M975" s="35" t="s">
        <v>121</v>
      </c>
      <c r="N975" s="35" t="str" cm="1">
        <f t="array" ref="N975">IFERROR(IF(Tabla8[[#This Row],[P/NP]]="NO PROGRAMADA","",_xlfn.TEXTJOIN(", ",TRUE,_xlfn._xlws.FILTER(Tabla4[[#All],[PIEZA]],ISNUMBER(SEARCH(Tabla4[[#All],[PCLAVE]],Tabla8[[#This Row],[DESCRIPCION DE TRABAJO]])),""))),"")</f>
        <v/>
      </c>
      <c r="O975" s="35" t="str" cm="1">
        <f t="array" ref="O975">_xlfn.TEXTJOIN(", ",TRUE,_xlfn._xlws.FILTER(Tabla28[[#All],[PARTE]],ISNUMBER(SEARCH(Tabla28[[#All],[PCLAVE2]],Tabla8[[#This Row],[DESCRIPCION DE TRABAJO]])),""))</f>
        <v>Mds</v>
      </c>
      <c r="P975" s="303" t="str">
        <f>IFERROR(LEFT(O975, FIND(",", O975)-1), O975)</f>
        <v>Mds</v>
      </c>
      <c r="Q975" s="303" t="str">
        <f>IFERROR(IF(ISERROR(FIND(",", O975, FIND(",", O975)+1)), RIGHT(O975, LEN(O975)-FIND(",", O975)-1), MID(O975, FIND(",", O975)+2, FIND(",", O975, FIND(",", O975)+1)-FIND(",", O975)-2)), "")</f>
        <v/>
      </c>
      <c r="R975" s="303" t="str">
        <f>IFERROR(RIGHT(O975, LEN(O975)-FIND(",", O975, FIND(",", O975)+1)-1), "")</f>
        <v/>
      </c>
      <c r="S975" s="35" t="str" cm="1">
        <f t="array" ref="S975">_xlfn.TEXTJOIN(", ",TRUE,_xlfn._xlws.FILTER(Tabla29[[#All],[PARTE]],ISNUMBER(SEARCH(Tabla29[[#All],[PCLAVE3]],Tabla8[[#This Row],[DESCRIPCION DE TRABAJO]])),""))</f>
        <v>Cambio De Formato</v>
      </c>
      <c r="T975" s="34" t="str">
        <f>IF(AND(Tabla8[[#This Row],[PIEZA]]="",Tabla8[[#This Row],[PARTE]]=""),"VACIO","OK")</f>
        <v>OK</v>
      </c>
      <c r="U975" s="303" t="str">
        <f>+CONCATENATE(WEEKNUM(Tabla8[[#This Row],[FECHA]]),"-",YEAR(Tabla8[[#This Row],[FECHA]]))</f>
        <v>17-2026</v>
      </c>
    </row>
    <row r="976" spans="1:21" ht="15" customHeight="1">
      <c r="A976" s="22">
        <v>46134</v>
      </c>
      <c r="B976" s="16" t="s">
        <v>88</v>
      </c>
      <c r="C976" s="10" t="s">
        <v>36</v>
      </c>
      <c r="D976" s="381">
        <v>0.40625</v>
      </c>
      <c r="E976" s="381">
        <v>0.41666666666666669</v>
      </c>
      <c r="F976" s="380">
        <f>+MOD(Tabla8[[#This Row],[HR. FIN]]-Tabla8[[#This Row],[HR. INICIO]],1)</f>
        <v>1.0416666666666685E-2</v>
      </c>
      <c r="G976" s="16" t="s">
        <v>1912</v>
      </c>
      <c r="H976" s="343" t="str">
        <f>IFERROR(VLOOKUP(G976,DATOS!$M$2:$N$219,2,FALSE),"")</f>
        <v>Maquinaria</v>
      </c>
      <c r="I976" s="115" t="s">
        <v>245</v>
      </c>
      <c r="J976" s="115" t="s">
        <v>92</v>
      </c>
      <c r="K976" s="114" t="s">
        <v>93</v>
      </c>
      <c r="L976" s="35" t="s">
        <v>1913</v>
      </c>
      <c r="M976" s="35" t="s">
        <v>1914</v>
      </c>
      <c r="N976" s="35" t="str" cm="1">
        <f t="array" ref="N976">IFERROR(IF(Tabla8[[#This Row],[P/NP]]="NO PROGRAMADA","",_xlfn.TEXTJOIN(", ",TRUE,_xlfn._xlws.FILTER(Tabla4[[#All],[PIEZA]],ISNUMBER(SEARCH(Tabla4[[#All],[PCLAVE]],Tabla8[[#This Row],[DESCRIPCION DE TRABAJO]])),""))),"")</f>
        <v/>
      </c>
      <c r="O976" s="35" t="str" cm="1">
        <f t="array" ref="O976">_xlfn.TEXTJOIN(", ",TRUE,_xlfn._xlws.FILTER(Tabla28[[#All],[PARTE]],ISNUMBER(SEARCH(Tabla28[[#All],[PCLAVE2]],Tabla8[[#This Row],[DESCRIPCION DE TRABAJO]])),""))</f>
        <v/>
      </c>
      <c r="P976" s="303" t="str">
        <f>IFERROR(LEFT(O976, FIND(",", O976)-1), O976)</f>
        <v/>
      </c>
      <c r="Q976" s="303" t="str">
        <f>IFERROR(IF(ISERROR(FIND(",", O976, FIND(",", O976)+1)), RIGHT(O976, LEN(O976)-FIND(",", O976)-1), MID(O976, FIND(",", O976)+2, FIND(",", O976, FIND(",", O976)+1)-FIND(",", O976)-2)), "")</f>
        <v/>
      </c>
      <c r="R976" s="303" t="str">
        <f>IFERROR(RIGHT(O976, LEN(O976)-FIND(",", O976, FIND(",", O976)+1)-1), "")</f>
        <v/>
      </c>
      <c r="S976" s="35" t="str" cm="1">
        <f t="array" ref="S976">_xlfn.TEXTJOIN(", ",TRUE,_xlfn._xlws.FILTER(Tabla29[[#All],[PARTE]],ISNUMBER(SEARCH(Tabla29[[#All],[PCLAVE3]],Tabla8[[#This Row],[DESCRIPCION DE TRABAJO]])),""))</f>
        <v>Ruido</v>
      </c>
      <c r="T976" s="34" t="str">
        <f>IF(AND(Tabla8[[#This Row],[PIEZA]]="",Tabla8[[#This Row],[PARTE]]=""),"VACIO","OK")</f>
        <v>VACIO</v>
      </c>
      <c r="U976" s="303" t="str">
        <f>+CONCATENATE(WEEKNUM(Tabla8[[#This Row],[FECHA]]),"-",YEAR(Tabla8[[#This Row],[FECHA]]))</f>
        <v>17-2026</v>
      </c>
    </row>
    <row r="977" spans="1:21" ht="15" customHeight="1">
      <c r="A977" s="22">
        <v>46134</v>
      </c>
      <c r="B977" s="16" t="s">
        <v>191</v>
      </c>
      <c r="C977" s="10" t="s">
        <v>23</v>
      </c>
      <c r="D977" s="381">
        <v>0.53263888888888888</v>
      </c>
      <c r="E977" s="381">
        <v>0.54236111111111107</v>
      </c>
      <c r="F977" s="380">
        <f>+MOD(Tabla8[[#This Row],[HR. FIN]]-Tabla8[[#This Row],[HR. INICIO]],1)</f>
        <v>9.7222222222221877E-3</v>
      </c>
      <c r="G977" s="16" t="s">
        <v>215</v>
      </c>
      <c r="H977" s="343" t="str">
        <f>IFERROR(VLOOKUP(G977,DATOS!$M$2:$N$219,2,FALSE),"")</f>
        <v>Equipos auxiliares</v>
      </c>
      <c r="I977" s="115" t="s">
        <v>54</v>
      </c>
      <c r="J977" s="115" t="str">
        <f>+VLOOKUP($I977,Tabla7[#All],2,FALSE)</f>
        <v>PROGRAMADA</v>
      </c>
      <c r="K977" s="114" t="str">
        <f>IF(VLOOKUP(I977,Tabla7[#All],3,FALSE)=0,"",VLOOKUP(I977,Tabla7[#All],3,FALSE))</f>
        <v/>
      </c>
      <c r="L977" s="35" t="s">
        <v>1751</v>
      </c>
      <c r="M977" s="35" t="s">
        <v>121</v>
      </c>
      <c r="N977" s="35" t="str" cm="1">
        <f t="array" ref="N977">IFERROR(IF(Tabla8[[#This Row],[P/NP]]="NO PROGRAMADA","",_xlfn.TEXTJOIN(", ",TRUE,_xlfn._xlws.FILTER(Tabla4[[#All],[PIEZA]],ISNUMBER(SEARCH(Tabla4[[#All],[PCLAVE]],Tabla8[[#This Row],[DESCRIPCION DE TRABAJO]])),""))),"")</f>
        <v/>
      </c>
      <c r="O977" s="35" t="str" cm="1">
        <f t="array" ref="O977">_xlfn.TEXTJOIN(", ",TRUE,_xlfn._xlws.FILTER(Tabla28[[#All],[PARTE]],ISNUMBER(SEARCH(Tabla28[[#All],[PCLAVE2]],Tabla8[[#This Row],[DESCRIPCION DE TRABAJO]])),""))</f>
        <v/>
      </c>
      <c r="P977" s="303" t="str">
        <f>IFERROR(LEFT(O977, FIND(",", O977)-1), O977)</f>
        <v/>
      </c>
      <c r="Q977" s="303" t="str">
        <f>IFERROR(IF(ISERROR(FIND(",", O977, FIND(",", O977)+1)), RIGHT(O977, LEN(O977)-FIND(",", O977)-1), MID(O977, FIND(",", O977)+2, FIND(",", O977, FIND(",", O977)+1)-FIND(",", O977)-2)), "")</f>
        <v/>
      </c>
      <c r="R977" s="303" t="str">
        <f>IFERROR(RIGHT(O977, LEN(O977)-FIND(",", O977, FIND(",", O977)+1)-1), "")</f>
        <v/>
      </c>
      <c r="S977" s="35" t="str" cm="1">
        <f t="array" ref="S977">_xlfn.TEXTJOIN(", ",TRUE,_xlfn._xlws.FILTER(Tabla29[[#All],[PARTE]],ISNUMBER(SEARCH(Tabla29[[#All],[PCLAVE3]],Tabla8[[#This Row],[DESCRIPCION DE TRABAJO]])),""))</f>
        <v/>
      </c>
      <c r="T977" s="34" t="str">
        <f>IF(AND(Tabla8[[#This Row],[PIEZA]]="",Tabla8[[#This Row],[PARTE]]=""),"VACIO","OK")</f>
        <v>VACIO</v>
      </c>
      <c r="U977" s="303" t="str">
        <f>+CONCATENATE(WEEKNUM(Tabla8[[#This Row],[FECHA]]),"-",YEAR(Tabla8[[#This Row],[FECHA]]))</f>
        <v>17-2026</v>
      </c>
    </row>
    <row r="978" spans="1:21" ht="15" customHeight="1">
      <c r="A978" s="22">
        <v>46134</v>
      </c>
      <c r="B978" s="16" t="s">
        <v>191</v>
      </c>
      <c r="C978" s="10" t="s">
        <v>23</v>
      </c>
      <c r="D978" s="381">
        <v>0.56041666666666667</v>
      </c>
      <c r="E978" s="381">
        <v>0.57013888888888886</v>
      </c>
      <c r="F978" s="380">
        <f>+MOD(Tabla8[[#This Row],[HR. FIN]]-Tabla8[[#This Row],[HR. INICIO]],1)</f>
        <v>9.7222222222221877E-3</v>
      </c>
      <c r="G978" s="16" t="s">
        <v>1915</v>
      </c>
      <c r="H978" s="343" t="str">
        <f>IFERROR(VLOOKUP(G978,DATOS!$M$2:$N$219,2,FALSE),"")</f>
        <v>Maquinaria</v>
      </c>
      <c r="I978" s="115" t="s">
        <v>32</v>
      </c>
      <c r="J978" s="115" t="s">
        <v>92</v>
      </c>
      <c r="K978" s="114" t="s">
        <v>148</v>
      </c>
      <c r="L978" s="35" t="s">
        <v>1916</v>
      </c>
      <c r="M978" s="35" t="s">
        <v>1917</v>
      </c>
      <c r="N978" s="35" t="str" cm="1">
        <f t="array" ref="N978">IFERROR(IF(Tabla8[[#This Row],[P/NP]]="NO PROGRAMADA","",_xlfn.TEXTJOIN(", ",TRUE,_xlfn._xlws.FILTER(Tabla4[[#All],[PIEZA]],ISNUMBER(SEARCH(Tabla4[[#All],[PCLAVE]],Tabla8[[#This Row],[DESCRIPCION DE TRABAJO]])),""))),"")</f>
        <v/>
      </c>
      <c r="O978" s="35" t="str" cm="1">
        <f t="array" ref="O978">_xlfn.TEXTJOIN(", ",TRUE,_xlfn._xlws.FILTER(Tabla28[[#All],[PARTE]],ISNUMBER(SEARCH(Tabla28[[#All],[PCLAVE2]],Tabla8[[#This Row],[DESCRIPCION DE TRABAJO]])),""))</f>
        <v/>
      </c>
      <c r="P978" s="303" t="str">
        <f>IFERROR(LEFT(O978, FIND(",", O978)-1), O978)</f>
        <v/>
      </c>
      <c r="Q978" s="303" t="str">
        <f>IFERROR(IF(ISERROR(FIND(",", O978, FIND(",", O978)+1)), RIGHT(O978, LEN(O978)-FIND(",", O978)-1), MID(O978, FIND(",", O978)+2, FIND(",", O978, FIND(",", O978)+1)-FIND(",", O978)-2)), "")</f>
        <v/>
      </c>
      <c r="R978" s="303" t="str">
        <f>IFERROR(RIGHT(O978, LEN(O978)-FIND(",", O978, FIND(",", O978)+1)-1), "")</f>
        <v/>
      </c>
      <c r="S978" s="35" t="str" cm="1">
        <f t="array" ref="S978">_xlfn.TEXTJOIN(", ",TRUE,_xlfn._xlws.FILTER(Tabla29[[#All],[PARTE]],ISNUMBER(SEARCH(Tabla29[[#All],[PCLAVE3]],Tabla8[[#This Row],[DESCRIPCION DE TRABAJO]])),""))</f>
        <v/>
      </c>
      <c r="T978" s="34" t="str">
        <f>IF(AND(Tabla8[[#This Row],[PIEZA]]="",Tabla8[[#This Row],[PARTE]]=""),"VACIO","OK")</f>
        <v>VACIO</v>
      </c>
      <c r="U978" s="303" t="str">
        <f>+CONCATENATE(WEEKNUM(Tabla8[[#This Row],[FECHA]]),"-",YEAR(Tabla8[[#This Row],[FECHA]]))</f>
        <v>17-2026</v>
      </c>
    </row>
    <row r="979" spans="1:21" ht="15" customHeight="1">
      <c r="A979" s="22">
        <v>46135</v>
      </c>
      <c r="B979" s="16" t="s">
        <v>88</v>
      </c>
      <c r="C979" s="10" t="s">
        <v>36</v>
      </c>
      <c r="D979" s="381" t="s">
        <v>123</v>
      </c>
      <c r="E979" s="381" t="s">
        <v>97</v>
      </c>
      <c r="F979" s="380">
        <f>+MOD(Tabla8[[#This Row],[HR. FIN]]-Tabla8[[#This Row],[HR. INICIO]],1)</f>
        <v>0.16666666666666663</v>
      </c>
      <c r="G979" s="16" t="s">
        <v>690</v>
      </c>
      <c r="H979" s="343" t="str">
        <f>IFERROR(VLOOKUP(G979,DATOS!$M$2:$N$219,2,FALSE),"")</f>
        <v>Equipos auxiliares</v>
      </c>
      <c r="I979" s="115" t="s">
        <v>57</v>
      </c>
      <c r="J979" s="115" t="str">
        <f>+VLOOKUP($I979,Tabla7[#All],2,FALSE)</f>
        <v>NO PROGRAMADA</v>
      </c>
      <c r="K979" s="114" t="str">
        <f>IF(VLOOKUP(I979,Tabla7[#All],3,FALSE)=0,"",VLOOKUP(I979,Tabla7[#All],3,FALSE))</f>
        <v>MECÁNICA</v>
      </c>
      <c r="L979" s="35" t="s">
        <v>1918</v>
      </c>
      <c r="M979" s="35" t="s">
        <v>1919</v>
      </c>
      <c r="N979" s="35" t="str" cm="1">
        <f t="array" ref="N979">IFERROR(IF(Tabla8[[#This Row],[P/NP]]="NO PROGRAMADA","",_xlfn.TEXTJOIN(", ",TRUE,_xlfn._xlws.FILTER(Tabla4[[#All],[PIEZA]],ISNUMBER(SEARCH(Tabla4[[#All],[PCLAVE]],Tabla8[[#This Row],[DESCRIPCION DE TRABAJO]])),""))),"")</f>
        <v/>
      </c>
      <c r="O979" s="35" t="str" cm="1">
        <f t="array" ref="O979">_xlfn.TEXTJOIN(", ",TRUE,_xlfn._xlws.FILTER(Tabla28[[#All],[PARTE]],ISNUMBER(SEARCH(Tabla28[[#All],[PCLAVE2]],Tabla8[[#This Row],[DESCRIPCION DE TRABAJO]])),""))</f>
        <v>Tanque</v>
      </c>
      <c r="P979" s="303" t="str">
        <f>IFERROR(LEFT(O979, FIND(",", O979)-1), O979)</f>
        <v>Tanque</v>
      </c>
      <c r="Q979" s="303" t="str">
        <f>IFERROR(IF(ISERROR(FIND(",", O979, FIND(",", O979)+1)), RIGHT(O979, LEN(O979)-FIND(",", O979)-1), MID(O979, FIND(",", O979)+2, FIND(",", O979, FIND(",", O979)+1)-FIND(",", O979)-2)), "")</f>
        <v/>
      </c>
      <c r="R979" s="303" t="str">
        <f>IFERROR(RIGHT(O979, LEN(O979)-FIND(",", O979, FIND(",", O979)+1)-1), "")</f>
        <v/>
      </c>
      <c r="S979" s="35" t="str" cm="1">
        <f t="array" ref="S979">_xlfn.TEXTJOIN(", ",TRUE,_xlfn._xlws.FILTER(Tabla29[[#All],[PARTE]],ISNUMBER(SEARCH(Tabla29[[#All],[PCLAVE3]],Tabla8[[#This Row],[DESCRIPCION DE TRABAJO]])),""))</f>
        <v/>
      </c>
      <c r="T979" s="34" t="str">
        <f>IF(AND(Tabla8[[#This Row],[PIEZA]]="",Tabla8[[#This Row],[PARTE]]=""),"VACIO","OK")</f>
        <v>OK</v>
      </c>
      <c r="U979" s="303" t="str">
        <f>+CONCATENATE(WEEKNUM(Tabla8[[#This Row],[FECHA]]),"-",YEAR(Tabla8[[#This Row],[FECHA]]))</f>
        <v>17-2026</v>
      </c>
    </row>
    <row r="980" spans="1:21" ht="15" customHeight="1">
      <c r="A980" s="22">
        <v>46135</v>
      </c>
      <c r="B980" s="16" t="s">
        <v>111</v>
      </c>
      <c r="C980" s="10" t="s">
        <v>39</v>
      </c>
      <c r="D980" s="381" t="s">
        <v>733</v>
      </c>
      <c r="E980" s="381" t="s">
        <v>1920</v>
      </c>
      <c r="F980" s="380">
        <f>+MOD(Tabla8[[#This Row],[HR. FIN]]-Tabla8[[#This Row],[HR. INICIO]],1)</f>
        <v>9.0277777777777776E-2</v>
      </c>
      <c r="G980" s="16" t="s">
        <v>1921</v>
      </c>
      <c r="H980" s="343" t="str">
        <f>IFERROR(VLOOKUP(G980,DATOS!$M$2:$N$219,2,FALSE),"")</f>
        <v>Sistema</v>
      </c>
      <c r="I980" s="115" t="s">
        <v>54</v>
      </c>
      <c r="J980" s="115" t="str">
        <f>+VLOOKUP($I980,Tabla7[#All],2,FALSE)</f>
        <v>PROGRAMADA</v>
      </c>
      <c r="K980" s="114" t="str">
        <f>IF(VLOOKUP(I980,Tabla7[#All],3,FALSE)=0,"",VLOOKUP(I980,Tabla7[#All],3,FALSE))</f>
        <v/>
      </c>
      <c r="L980" s="35" t="s">
        <v>1922</v>
      </c>
      <c r="M980" s="35" t="s">
        <v>121</v>
      </c>
      <c r="N980" s="35" t="str" cm="1">
        <f t="array" ref="N980">IFERROR(IF(Tabla8[[#This Row],[P/NP]]="NO PROGRAMADA","",_xlfn.TEXTJOIN(", ",TRUE,_xlfn._xlws.FILTER(Tabla4[[#All],[PIEZA]],ISNUMBER(SEARCH(Tabla4[[#All],[PCLAVE]],Tabla8[[#This Row],[DESCRIPCION DE TRABAJO]])),""))),"")</f>
        <v>Tuberias</v>
      </c>
      <c r="O980" s="35" t="str" cm="1">
        <f t="array" ref="O980">_xlfn.TEXTJOIN(", ",TRUE,_xlfn._xlws.FILTER(Tabla28[[#All],[PARTE]],ISNUMBER(SEARCH(Tabla28[[#All],[PCLAVE2]],Tabla8[[#This Row],[DESCRIPCION DE TRABAJO]])),""))</f>
        <v/>
      </c>
      <c r="P980" s="303" t="str">
        <f>IFERROR(LEFT(O980, FIND(",", O980)-1), O980)</f>
        <v/>
      </c>
      <c r="Q980" s="303" t="str">
        <f>IFERROR(IF(ISERROR(FIND(",", O980, FIND(",", O980)+1)), RIGHT(O980, LEN(O980)-FIND(",", O980)-1), MID(O980, FIND(",", O980)+2, FIND(",", O980, FIND(",", O980)+1)-FIND(",", O980)-2)), "")</f>
        <v/>
      </c>
      <c r="R980" s="303" t="str">
        <f>IFERROR(RIGHT(O980, LEN(O980)-FIND(",", O980, FIND(",", O980)+1)-1), "")</f>
        <v/>
      </c>
      <c r="S980" s="35" t="str" cm="1">
        <f t="array" ref="S980">_xlfn.TEXTJOIN(", ",TRUE,_xlfn._xlws.FILTER(Tabla29[[#All],[PARTE]],ISNUMBER(SEARCH(Tabla29[[#All],[PCLAVE3]],Tabla8[[#This Row],[DESCRIPCION DE TRABAJO]])),""))</f>
        <v/>
      </c>
      <c r="T980" s="34" t="str">
        <f>IF(AND(Tabla8[[#This Row],[PIEZA]]="",Tabla8[[#This Row],[PARTE]]=""),"VACIO","OK")</f>
        <v>OK</v>
      </c>
      <c r="U980" s="303" t="str">
        <f>+CONCATENATE(WEEKNUM(Tabla8[[#This Row],[FECHA]]),"-",YEAR(Tabla8[[#This Row],[FECHA]]))</f>
        <v>17-2026</v>
      </c>
    </row>
    <row r="981" spans="1:21" ht="15" customHeight="1">
      <c r="A981" s="22">
        <v>46135</v>
      </c>
      <c r="B981" s="16" t="s">
        <v>179</v>
      </c>
      <c r="C981" s="10" t="s">
        <v>36</v>
      </c>
      <c r="D981" s="381" t="s">
        <v>493</v>
      </c>
      <c r="E981" s="381" t="s">
        <v>450</v>
      </c>
      <c r="F981" s="380">
        <f>+MOD(Tabla8[[#This Row],[HR. FIN]]-Tabla8[[#This Row],[HR. INICIO]],1)</f>
        <v>6.25E-2</v>
      </c>
      <c r="G981" s="16" t="s">
        <v>965</v>
      </c>
      <c r="H981" s="343" t="str">
        <f>IFERROR(VLOOKUP(G981,DATOS!$M$2:$N$219,2,FALSE),"")</f>
        <v>Maquinaria</v>
      </c>
      <c r="I981" s="115" t="s">
        <v>57</v>
      </c>
      <c r="J981" s="115" t="str">
        <f>+VLOOKUP($I981,Tabla7[#All],2,FALSE)</f>
        <v>NO PROGRAMADA</v>
      </c>
      <c r="K981" s="114" t="str">
        <f>IF(VLOOKUP(I981,Tabla7[#All],3,FALSE)=0,"",VLOOKUP(I981,Tabla7[#All],3,FALSE))</f>
        <v>MECÁNICA</v>
      </c>
      <c r="L981" s="35" t="s">
        <v>1923</v>
      </c>
      <c r="M981" s="35" t="s">
        <v>1924</v>
      </c>
      <c r="N981" s="35" t="str" cm="1">
        <f t="array" ref="N981">IFERROR(IF(Tabla8[[#This Row],[P/NP]]="NO PROGRAMADA","",_xlfn.TEXTJOIN(", ",TRUE,_xlfn._xlws.FILTER(Tabla4[[#All],[PIEZA]],ISNUMBER(SEARCH(Tabla4[[#All],[PCLAVE]],Tabla8[[#This Row],[DESCRIPCION DE TRABAJO]])),""))),"")</f>
        <v/>
      </c>
      <c r="O981" s="35" t="str" cm="1">
        <f t="array" ref="O981">_xlfn.TEXTJOIN(", ",TRUE,_xlfn._xlws.FILTER(Tabla28[[#All],[PARTE]],ISNUMBER(SEARCH(Tabla28[[#All],[PCLAVE2]],Tabla8[[#This Row],[DESCRIPCION DE TRABAJO]])),""))</f>
        <v>Codificador</v>
      </c>
      <c r="P981" s="303" t="str">
        <f>IFERROR(LEFT(O981, FIND(",", O981)-1), O981)</f>
        <v>Codificador</v>
      </c>
      <c r="Q981" s="303" t="str">
        <f>IFERROR(IF(ISERROR(FIND(",", O981, FIND(",", O981)+1)), RIGHT(O981, LEN(O981)-FIND(",", O981)-1), MID(O981, FIND(",", O981)+2, FIND(",", O981, FIND(",", O981)+1)-FIND(",", O981)-2)), "")</f>
        <v/>
      </c>
      <c r="R981" s="303" t="str">
        <f>IFERROR(RIGHT(O981, LEN(O981)-FIND(",", O981, FIND(",", O981)+1)-1), "")</f>
        <v/>
      </c>
      <c r="S981" s="35" t="str" cm="1">
        <f t="array" ref="S981">_xlfn.TEXTJOIN(", ",TRUE,_xlfn._xlws.FILTER(Tabla29[[#All],[PARTE]],ISNUMBER(SEARCH(Tabla29[[#All],[PCLAVE3]],Tabla8[[#This Row],[DESCRIPCION DE TRABAJO]])),""))</f>
        <v>Rotura</v>
      </c>
      <c r="T981" s="34" t="str">
        <f>IF(AND(Tabla8[[#This Row],[PIEZA]]="",Tabla8[[#This Row],[PARTE]]=""),"VACIO","OK")</f>
        <v>OK</v>
      </c>
      <c r="U981" s="303" t="str">
        <f>+CONCATENATE(WEEKNUM(Tabla8[[#This Row],[FECHA]]),"-",YEAR(Tabla8[[#This Row],[FECHA]]))</f>
        <v>17-2026</v>
      </c>
    </row>
    <row r="982" spans="1:21" ht="15" customHeight="1">
      <c r="A982" s="22">
        <v>46135</v>
      </c>
      <c r="B982" s="16" t="s">
        <v>111</v>
      </c>
      <c r="C982" s="10" t="s">
        <v>39</v>
      </c>
      <c r="D982" s="381" t="s">
        <v>872</v>
      </c>
      <c r="E982" s="381" t="s">
        <v>316</v>
      </c>
      <c r="F982" s="380">
        <f>+MOD(Tabla8[[#This Row],[HR. FIN]]-Tabla8[[#This Row],[HR. INICIO]],1)</f>
        <v>3.8194444444444448E-2</v>
      </c>
      <c r="G982" s="16" t="s">
        <v>31</v>
      </c>
      <c r="H982" s="343" t="str">
        <f>IFERROR(VLOOKUP(G982,DATOS!$M$2:$N$219,2,FALSE),"")</f>
        <v>Maquinaria</v>
      </c>
      <c r="I982" s="115" t="s">
        <v>32</v>
      </c>
      <c r="J982" s="115" t="str">
        <f>+VLOOKUP($I982,Tabla7[#All],2,FALSE)</f>
        <v>PROGRAMADA</v>
      </c>
      <c r="K982" s="114" t="str">
        <f>IF(VLOOKUP(I982,Tabla7[#All],3,FALSE)=0,"",VLOOKUP(I982,Tabla7[#All],3,FALSE))</f>
        <v/>
      </c>
      <c r="L982" s="35" t="s">
        <v>1925</v>
      </c>
      <c r="M982" s="35" t="s">
        <v>121</v>
      </c>
      <c r="N982" s="35" t="str" cm="1">
        <f t="array" ref="N982">IFERROR(IF(Tabla8[[#This Row],[P/NP]]="NO PROGRAMADA","",_xlfn.TEXTJOIN(", ",TRUE,_xlfn._xlws.FILTER(Tabla4[[#All],[PIEZA]],ISNUMBER(SEARCH(Tabla4[[#All],[PCLAVE]],Tabla8[[#This Row],[DESCRIPCION DE TRABAJO]])),""))),"")</f>
        <v>Banda, Producto</v>
      </c>
      <c r="O982" s="35" t="str" cm="1">
        <f t="array" ref="O982">_xlfn.TEXTJOIN(", ",TRUE,_xlfn._xlws.FILTER(Tabla28[[#All],[PARTE]],ISNUMBER(SEARCH(Tabla28[[#All],[PCLAVE2]],Tabla8[[#This Row],[DESCRIPCION DE TRABAJO]])),""))</f>
        <v/>
      </c>
      <c r="P982" s="303" t="str">
        <f>IFERROR(LEFT(O982, FIND(",", O982)-1), O982)</f>
        <v/>
      </c>
      <c r="Q982" s="303" t="str">
        <f>IFERROR(IF(ISERROR(FIND(",", O982, FIND(",", O982)+1)), RIGHT(O982, LEN(O982)-FIND(",", O982)-1), MID(O982, FIND(",", O982)+2, FIND(",", O982, FIND(",", O982)+1)-FIND(",", O982)-2)), "")</f>
        <v/>
      </c>
      <c r="R982" s="303" t="str">
        <f>IFERROR(RIGHT(O982, LEN(O982)-FIND(",", O982, FIND(",", O982)+1)-1), "")</f>
        <v/>
      </c>
      <c r="S982" s="35" t="str" cm="1">
        <f t="array" ref="S982">_xlfn.TEXTJOIN(", ",TRUE,_xlfn._xlws.FILTER(Tabla29[[#All],[PARTE]],ISNUMBER(SEARCH(Tabla29[[#All],[PCLAVE3]],Tabla8[[#This Row],[DESCRIPCION DE TRABAJO]])),""))</f>
        <v>Altura, Cambio De Formato, Falla En Velocid*, Velocidad</v>
      </c>
      <c r="T982" s="34" t="str">
        <f>IF(AND(Tabla8[[#This Row],[PIEZA]]="",Tabla8[[#This Row],[PARTE]]=""),"VACIO","OK")</f>
        <v>OK</v>
      </c>
      <c r="U982" s="303" t="str">
        <f>+CONCATENATE(WEEKNUM(Tabla8[[#This Row],[FECHA]]),"-",YEAR(Tabla8[[#This Row],[FECHA]]))</f>
        <v>17-2026</v>
      </c>
    </row>
    <row r="983" spans="1:21" ht="15" customHeight="1">
      <c r="A983" s="22">
        <v>46135</v>
      </c>
      <c r="B983" s="16" t="s">
        <v>131</v>
      </c>
      <c r="C983" s="10" t="s">
        <v>36</v>
      </c>
      <c r="D983" s="381" t="s">
        <v>1528</v>
      </c>
      <c r="E983" s="381" t="s">
        <v>1592</v>
      </c>
      <c r="F983" s="380">
        <f>+MOD(Tabla8[[#This Row],[HR. FIN]]-Tabla8[[#This Row],[HR. INICIO]],1)</f>
        <v>3.125E-2</v>
      </c>
      <c r="G983" s="16" t="s">
        <v>24</v>
      </c>
      <c r="H983" s="343" t="str">
        <f>IFERROR(VLOOKUP(G983,DATOS!$M$2:$N$219,2,FALSE),"")</f>
        <v>Maquinaria</v>
      </c>
      <c r="I983" s="115" t="s">
        <v>32</v>
      </c>
      <c r="J983" s="115" t="str">
        <f>+VLOOKUP($I983,Tabla7[#All],2,FALSE)</f>
        <v>PROGRAMADA</v>
      </c>
      <c r="K983" s="114" t="str">
        <f>IF(VLOOKUP(I983,Tabla7[#All],3,FALSE)=0,"",VLOOKUP(I983,Tabla7[#All],3,FALSE))</f>
        <v/>
      </c>
      <c r="L983" s="35" t="s">
        <v>449</v>
      </c>
      <c r="M983" s="35" t="s">
        <v>1926</v>
      </c>
      <c r="N983" s="35" t="str" cm="1">
        <f t="array" ref="N983">IFERROR(IF(Tabla8[[#This Row],[P/NP]]="NO PROGRAMADA","",_xlfn.TEXTJOIN(", ",TRUE,_xlfn._xlws.FILTER(Tabla4[[#All],[PIEZA]],ISNUMBER(SEARCH(Tabla4[[#All],[PCLAVE]],Tabla8[[#This Row],[DESCRIPCION DE TRABAJO]])),""))),"")</f>
        <v/>
      </c>
      <c r="O983" s="35" t="str" cm="1">
        <f t="array" ref="O983">_xlfn.TEXTJOIN(", ",TRUE,_xlfn._xlws.FILTER(Tabla28[[#All],[PARTE]],ISNUMBER(SEARCH(Tabla28[[#All],[PCLAVE2]],Tabla8[[#This Row],[DESCRIPCION DE TRABAJO]])),""))</f>
        <v/>
      </c>
      <c r="P983" s="303" t="str">
        <f>IFERROR(LEFT(O983, FIND(",", O983)-1), O983)</f>
        <v/>
      </c>
      <c r="Q983" s="303" t="str">
        <f>IFERROR(IF(ISERROR(FIND(",", O983, FIND(",", O983)+1)), RIGHT(O983, LEN(O983)-FIND(",", O983)-1), MID(O983, FIND(",", O983)+2, FIND(",", O983, FIND(",", O983)+1)-FIND(",", O983)-2)), "")</f>
        <v/>
      </c>
      <c r="R983" s="303" t="str">
        <f>IFERROR(RIGHT(O983, LEN(O983)-FIND(",", O983, FIND(",", O983)+1)-1), "")</f>
        <v/>
      </c>
      <c r="S983" s="35" t="str" cm="1">
        <f t="array" ref="S983">_xlfn.TEXTJOIN(", ",TRUE,_xlfn._xlws.FILTER(Tabla29[[#All],[PARTE]],ISNUMBER(SEARCH(Tabla29[[#All],[PCLAVE3]],Tabla8[[#This Row],[DESCRIPCION DE TRABAJO]])),""))</f>
        <v/>
      </c>
      <c r="T983" s="34" t="str">
        <f>IF(AND(Tabla8[[#This Row],[PIEZA]]="",Tabla8[[#This Row],[PARTE]]=""),"VACIO","OK")</f>
        <v>VACIO</v>
      </c>
      <c r="U983" s="303" t="str">
        <f>+CONCATENATE(WEEKNUM(Tabla8[[#This Row],[FECHA]]),"-",YEAR(Tabla8[[#This Row],[FECHA]]))</f>
        <v>17-2026</v>
      </c>
    </row>
    <row r="984" spans="1:21" ht="15" customHeight="1">
      <c r="A984" s="22">
        <v>46135</v>
      </c>
      <c r="B984" s="16" t="s">
        <v>131</v>
      </c>
      <c r="C984" s="10" t="s">
        <v>36</v>
      </c>
      <c r="D984" s="381" t="s">
        <v>531</v>
      </c>
      <c r="E984" s="381" t="s">
        <v>468</v>
      </c>
      <c r="F984" s="380">
        <f>+MOD(Tabla8[[#This Row],[HR. FIN]]-Tabla8[[#This Row],[HR. INICIO]],1)</f>
        <v>3.125E-2</v>
      </c>
      <c r="G984" s="16" t="s">
        <v>119</v>
      </c>
      <c r="H984" s="343" t="str">
        <f>IFERROR(VLOOKUP(G984,DATOS!$M$2:$N$219,2,FALSE),"")</f>
        <v>Maquinaria</v>
      </c>
      <c r="I984" s="115" t="s">
        <v>57</v>
      </c>
      <c r="J984" s="115" t="str">
        <f>+VLOOKUP($I984,Tabla7[#All],2,FALSE)</f>
        <v>NO PROGRAMADA</v>
      </c>
      <c r="K984" s="114" t="str">
        <f>IF(VLOOKUP(I984,Tabla7[#All],3,FALSE)=0,"",VLOOKUP(I984,Tabla7[#All],3,FALSE))</f>
        <v>MECÁNICA</v>
      </c>
      <c r="L984" s="35" t="s">
        <v>1927</v>
      </c>
      <c r="M984" s="35" t="s">
        <v>1928</v>
      </c>
      <c r="N984" s="35" t="str" cm="1">
        <f t="array" ref="N984">IFERROR(IF(Tabla8[[#This Row],[P/NP]]="NO PROGRAMADA","",_xlfn.TEXTJOIN(", ",TRUE,_xlfn._xlws.FILTER(Tabla4[[#All],[PIEZA]],ISNUMBER(SEARCH(Tabla4[[#All],[PCLAVE]],Tabla8[[#This Row],[DESCRIPCION DE TRABAJO]])),""))),"")</f>
        <v/>
      </c>
      <c r="O984" s="35" t="str" cm="1">
        <f t="array" ref="O984">_xlfn.TEXTJOIN(", ",TRUE,_xlfn._xlws.FILTER(Tabla28[[#All],[PARTE]],ISNUMBER(SEARCH(Tabla28[[#All],[PCLAVE2]],Tabla8[[#This Row],[DESCRIPCION DE TRABAJO]])),""))</f>
        <v>Robot</v>
      </c>
      <c r="P984" s="303" t="str">
        <f>IFERROR(LEFT(O984, FIND(",", O984)-1), O984)</f>
        <v>Robot</v>
      </c>
      <c r="Q984" s="303" t="str">
        <f>IFERROR(IF(ISERROR(FIND(",", O984, FIND(",", O984)+1)), RIGHT(O984, LEN(O984)-FIND(",", O984)-1), MID(O984, FIND(",", O984)+2, FIND(",", O984, FIND(",", O984)+1)-FIND(",", O984)-2)), "")</f>
        <v/>
      </c>
      <c r="R984" s="303" t="str">
        <f>IFERROR(RIGHT(O984, LEN(O984)-FIND(",", O984, FIND(",", O984)+1)-1), "")</f>
        <v/>
      </c>
      <c r="S984" s="35" t="str" cm="1">
        <f t="array" ref="S984">_xlfn.TEXTJOIN(", ",TRUE,_xlfn._xlws.FILTER(Tabla29[[#All],[PARTE]],ISNUMBER(SEARCH(Tabla29[[#All],[PCLAVE3]],Tabla8[[#This Row],[DESCRIPCION DE TRABAJO]])),""))</f>
        <v>Desmolde, Rotura</v>
      </c>
      <c r="T984" s="34" t="str">
        <f>IF(AND(Tabla8[[#This Row],[PIEZA]]="",Tabla8[[#This Row],[PARTE]]=""),"VACIO","OK")</f>
        <v>OK</v>
      </c>
      <c r="U984" s="303" t="str">
        <f>+CONCATENATE(WEEKNUM(Tabla8[[#This Row],[FECHA]]),"-",YEAR(Tabla8[[#This Row],[FECHA]]))</f>
        <v>17-2026</v>
      </c>
    </row>
    <row r="985" spans="1:21" ht="15" customHeight="1">
      <c r="A985" s="22">
        <v>46135</v>
      </c>
      <c r="B985" s="16" t="s">
        <v>131</v>
      </c>
      <c r="C985" s="10" t="s">
        <v>36</v>
      </c>
      <c r="D985" s="381" t="s">
        <v>471</v>
      </c>
      <c r="E985" s="381" t="s">
        <v>462</v>
      </c>
      <c r="F985" s="380">
        <f>+MOD(Tabla8[[#This Row],[HR. FIN]]-Tabla8[[#This Row],[HR. INICIO]],1)</f>
        <v>2.777777777777779E-2</v>
      </c>
      <c r="G985" s="16" t="s">
        <v>98</v>
      </c>
      <c r="H985" s="343" t="str">
        <f>IFERROR(VLOOKUP(G985,DATOS!$M$2:$N$219,2,FALSE),"")</f>
        <v>Maquinaria</v>
      </c>
      <c r="I985" s="115" t="s">
        <v>32</v>
      </c>
      <c r="J985" s="115" t="str">
        <f>+VLOOKUP($I985,Tabla7[#All],2,FALSE)</f>
        <v>PROGRAMADA</v>
      </c>
      <c r="K985" s="114" t="str">
        <f>IF(VLOOKUP(I985,Tabla7[#All],3,FALSE)=0,"",VLOOKUP(I985,Tabla7[#All],3,FALSE))</f>
        <v/>
      </c>
      <c r="L985" s="35" t="s">
        <v>449</v>
      </c>
      <c r="M985" s="35" t="s">
        <v>121</v>
      </c>
      <c r="N985" s="35" t="str" cm="1">
        <f t="array" ref="N985">IFERROR(IF(Tabla8[[#This Row],[P/NP]]="NO PROGRAMADA","",_xlfn.TEXTJOIN(", ",TRUE,_xlfn._xlws.FILTER(Tabla4[[#All],[PIEZA]],ISNUMBER(SEARCH(Tabla4[[#All],[PCLAVE]],Tabla8[[#This Row],[DESCRIPCION DE TRABAJO]])),""))),"")</f>
        <v/>
      </c>
      <c r="O985" s="35" t="str" cm="1">
        <f t="array" ref="O985">_xlfn.TEXTJOIN(", ",TRUE,_xlfn._xlws.FILTER(Tabla28[[#All],[PARTE]],ISNUMBER(SEARCH(Tabla28[[#All],[PCLAVE2]],Tabla8[[#This Row],[DESCRIPCION DE TRABAJO]])),""))</f>
        <v/>
      </c>
      <c r="P985" s="303" t="str">
        <f>IFERROR(LEFT(O985, FIND(",", O985)-1), O985)</f>
        <v/>
      </c>
      <c r="Q985" s="303" t="str">
        <f>IFERROR(IF(ISERROR(FIND(",", O985, FIND(",", O985)+1)), RIGHT(O985, LEN(O985)-FIND(",", O985)-1), MID(O985, FIND(",", O985)+2, FIND(",", O985, FIND(",", O985)+1)-FIND(",", O985)-2)), "")</f>
        <v/>
      </c>
      <c r="R985" s="303" t="str">
        <f>IFERROR(RIGHT(O985, LEN(O985)-FIND(",", O985, FIND(",", O985)+1)-1), "")</f>
        <v/>
      </c>
      <c r="S985" s="35" t="str" cm="1">
        <f t="array" ref="S985">_xlfn.TEXTJOIN(", ",TRUE,_xlfn._xlws.FILTER(Tabla29[[#All],[PARTE]],ISNUMBER(SEARCH(Tabla29[[#All],[PCLAVE3]],Tabla8[[#This Row],[DESCRIPCION DE TRABAJO]])),""))</f>
        <v/>
      </c>
      <c r="T985" s="34" t="str">
        <f>IF(AND(Tabla8[[#This Row],[PIEZA]]="",Tabla8[[#This Row],[PARTE]]=""),"VACIO","OK")</f>
        <v>VACIO</v>
      </c>
      <c r="U985" s="303" t="str">
        <f>+CONCATENATE(WEEKNUM(Tabla8[[#This Row],[FECHA]]),"-",YEAR(Tabla8[[#This Row],[FECHA]]))</f>
        <v>17-2026</v>
      </c>
    </row>
    <row r="986" spans="1:21" ht="15" customHeight="1">
      <c r="A986" s="22">
        <v>46135</v>
      </c>
      <c r="B986" s="16" t="s">
        <v>111</v>
      </c>
      <c r="C986" s="10" t="s">
        <v>39</v>
      </c>
      <c r="D986" s="381" t="s">
        <v>1805</v>
      </c>
      <c r="E986" s="381" t="s">
        <v>1264</v>
      </c>
      <c r="F986" s="380">
        <f>+MOD(Tabla8[[#This Row],[HR. FIN]]-Tabla8[[#This Row],[HR. INICIO]],1)</f>
        <v>2.7777777777777776E-2</v>
      </c>
      <c r="G986" s="16" t="s">
        <v>31</v>
      </c>
      <c r="H986" s="343" t="str">
        <f>IFERROR(VLOOKUP(G986,DATOS!$M$2:$N$219,2,FALSE),"")</f>
        <v>Maquinaria</v>
      </c>
      <c r="I986" s="115" t="s">
        <v>57</v>
      </c>
      <c r="J986" s="115" t="str">
        <f>+VLOOKUP($I986,Tabla7[#All],2,FALSE)</f>
        <v>NO PROGRAMADA</v>
      </c>
      <c r="K986" s="114" t="str">
        <f>IF(VLOOKUP(I986,Tabla7[#All],3,FALSE)=0,"",VLOOKUP(I986,Tabla7[#All],3,FALSE))</f>
        <v>MECÁNICA</v>
      </c>
      <c r="L986" s="35" t="s">
        <v>1929</v>
      </c>
      <c r="M986" s="35" t="s">
        <v>1930</v>
      </c>
      <c r="N986" s="35" t="str" cm="1">
        <f t="array" ref="N986">IFERROR(IF(Tabla8[[#This Row],[P/NP]]="NO PROGRAMADA","",_xlfn.TEXTJOIN(", ",TRUE,_xlfn._xlws.FILTER(Tabla4[[#All],[PIEZA]],ISNUMBER(SEARCH(Tabla4[[#All],[PCLAVE]],Tabla8[[#This Row],[DESCRIPCION DE TRABAJO]])),""))),"")</f>
        <v/>
      </c>
      <c r="O986" s="35" t="str" cm="1">
        <f t="array" ref="O986">_xlfn.TEXTJOIN(", ",TRUE,_xlfn._xlws.FILTER(Tabla28[[#All],[PARTE]],ISNUMBER(SEARCH(Tabla28[[#All],[PCLAVE2]],Tabla8[[#This Row],[DESCRIPCION DE TRABAJO]])),""))</f>
        <v/>
      </c>
      <c r="P986" s="303" t="str">
        <f>IFERROR(LEFT(O986, FIND(",", O986)-1), O986)</f>
        <v/>
      </c>
      <c r="Q986" s="303" t="str">
        <f>IFERROR(IF(ISERROR(FIND(",", O986, FIND(",", O986)+1)), RIGHT(O986, LEN(O986)-FIND(",", O986)-1), MID(O986, FIND(",", O986)+2, FIND(",", O986, FIND(",", O986)+1)-FIND(",", O986)-2)), "")</f>
        <v/>
      </c>
      <c r="R986" s="303" t="str">
        <f>IFERROR(RIGHT(O986, LEN(O986)-FIND(",", O986, FIND(",", O986)+1)-1), "")</f>
        <v/>
      </c>
      <c r="S986" s="35" t="str" cm="1">
        <f t="array" ref="S986">_xlfn.TEXTJOIN(", ",TRUE,_xlfn._xlws.FILTER(Tabla29[[#All],[PARTE]],ISNUMBER(SEARCH(Tabla29[[#All],[PCLAVE3]],Tabla8[[#This Row],[DESCRIPCION DE TRABAJO]])),""))</f>
        <v/>
      </c>
      <c r="T986" s="34" t="str">
        <f>IF(AND(Tabla8[[#This Row],[PIEZA]]="",Tabla8[[#This Row],[PARTE]]=""),"VACIO","OK")</f>
        <v>VACIO</v>
      </c>
      <c r="U986" s="303" t="str">
        <f>+CONCATENATE(WEEKNUM(Tabla8[[#This Row],[FECHA]]),"-",YEAR(Tabla8[[#This Row],[FECHA]]))</f>
        <v>17-2026</v>
      </c>
    </row>
    <row r="987" spans="1:21" ht="15" customHeight="1">
      <c r="A987" s="22">
        <v>46135</v>
      </c>
      <c r="B987" s="16" t="s">
        <v>179</v>
      </c>
      <c r="C987" s="10" t="s">
        <v>23</v>
      </c>
      <c r="D987" s="381" t="s">
        <v>946</v>
      </c>
      <c r="E987" s="381" t="s">
        <v>393</v>
      </c>
      <c r="F987" s="380">
        <f>+MOD(Tabla8[[#This Row],[HR. FIN]]-Tabla8[[#This Row],[HR. INICIO]],1)</f>
        <v>2.7777777777777679E-2</v>
      </c>
      <c r="G987" s="16" t="s">
        <v>49</v>
      </c>
      <c r="H987" s="343" t="str">
        <f>IFERROR(VLOOKUP(G987,DATOS!$M$2:$N$219,2,FALSE),"")</f>
        <v>Area</v>
      </c>
      <c r="I987" s="115" t="s">
        <v>54</v>
      </c>
      <c r="J987" s="115" t="str">
        <f>+VLOOKUP($I987,Tabla7[#All],2,FALSE)</f>
        <v>PROGRAMADA</v>
      </c>
      <c r="K987" s="114" t="str">
        <f>IF(VLOOKUP(I987,Tabla7[#All],3,FALSE)=0,"",VLOOKUP(I987,Tabla7[#All],3,FALSE))</f>
        <v/>
      </c>
      <c r="L987" s="35" t="s">
        <v>1931</v>
      </c>
      <c r="M987" s="35" t="s">
        <v>121</v>
      </c>
      <c r="N987" s="35" t="str" cm="1">
        <f t="array" ref="N987">IFERROR(IF(Tabla8[[#This Row],[P/NP]]="NO PROGRAMADA","",_xlfn.TEXTJOIN(", ",TRUE,_xlfn._xlws.FILTER(Tabla4[[#All],[PIEZA]],ISNUMBER(SEARCH(Tabla4[[#All],[PCLAVE]],Tabla8[[#This Row],[DESCRIPCION DE TRABAJO]])),""))),"")</f>
        <v>Elevador, Elevador</v>
      </c>
      <c r="O987" s="35" t="str" cm="1">
        <f t="array" ref="O987">_xlfn.TEXTJOIN(", ",TRUE,_xlfn._xlws.FILTER(Tabla28[[#All],[PARTE]],ISNUMBER(SEARCH(Tabla28[[#All],[PCLAVE2]],Tabla8[[#This Row],[DESCRIPCION DE TRABAJO]])),""))</f>
        <v/>
      </c>
      <c r="P987" s="303" t="str">
        <f>IFERROR(LEFT(O987, FIND(",", O987)-1), O987)</f>
        <v/>
      </c>
      <c r="Q987" s="303" t="str">
        <f>IFERROR(IF(ISERROR(FIND(",", O987, FIND(",", O987)+1)), RIGHT(O987, LEN(O987)-FIND(",", O987)-1), MID(O987, FIND(",", O987)+2, FIND(",", O987, FIND(",", O987)+1)-FIND(",", O987)-2)), "")</f>
        <v/>
      </c>
      <c r="R987" s="303" t="str">
        <f>IFERROR(RIGHT(O987, LEN(O987)-FIND(",", O987, FIND(",", O987)+1)-1), "")</f>
        <v/>
      </c>
      <c r="S987" s="35" t="str" cm="1">
        <f t="array" ref="S987">_xlfn.TEXTJOIN(", ",TRUE,_xlfn._xlws.FILTER(Tabla29[[#All],[PARTE]],ISNUMBER(SEARCH(Tabla29[[#All],[PCLAVE3]],Tabla8[[#This Row],[DESCRIPCION DE TRABAJO]])),""))</f>
        <v/>
      </c>
      <c r="T987" s="34" t="str">
        <f>IF(AND(Tabla8[[#This Row],[PIEZA]]="",Tabla8[[#This Row],[PARTE]]=""),"VACIO","OK")</f>
        <v>OK</v>
      </c>
      <c r="U987" s="303" t="str">
        <f>+CONCATENATE(WEEKNUM(Tabla8[[#This Row],[FECHA]]),"-",YEAR(Tabla8[[#This Row],[FECHA]]))</f>
        <v>17-2026</v>
      </c>
    </row>
    <row r="988" spans="1:21" ht="15" customHeight="1">
      <c r="A988" s="22">
        <v>46135</v>
      </c>
      <c r="B988" s="16" t="s">
        <v>131</v>
      </c>
      <c r="C988" s="10" t="s">
        <v>36</v>
      </c>
      <c r="D988" s="381" t="s">
        <v>505</v>
      </c>
      <c r="E988" s="381" t="s">
        <v>90</v>
      </c>
      <c r="F988" s="380">
        <f>+MOD(Tabla8[[#This Row],[HR. FIN]]-Tabla8[[#This Row],[HR. INICIO]],1)</f>
        <v>2.2222222222222199E-2</v>
      </c>
      <c r="G988" s="16" t="s">
        <v>153</v>
      </c>
      <c r="H988" s="343" t="str">
        <f>IFERROR(VLOOKUP(G988,DATOS!$M$2:$N$219,2,FALSE),"")</f>
        <v>Maquinaria</v>
      </c>
      <c r="I988" s="115" t="s">
        <v>186</v>
      </c>
      <c r="J988" s="115" t="str">
        <f>+VLOOKUP($I988,Tabla7[#All],2,FALSE)</f>
        <v>NO PROGRAMADA</v>
      </c>
      <c r="K988" s="114" t="str">
        <f>IF(VLOOKUP(I988,Tabla7[#All],3,FALSE)=0,"",VLOOKUP(I988,Tabla7[#All],3,FALSE))</f>
        <v>ELÉCTRICA</v>
      </c>
      <c r="L988" s="35" t="s">
        <v>1932</v>
      </c>
      <c r="M988" s="35" t="s">
        <v>1933</v>
      </c>
      <c r="N988" s="35" t="str" cm="1">
        <f t="array" ref="N988">IFERROR(IF(Tabla8[[#This Row],[P/NP]]="NO PROGRAMADA","",_xlfn.TEXTJOIN(", ",TRUE,_xlfn._xlws.FILTER(Tabla4[[#All],[PIEZA]],ISNUMBER(SEARCH(Tabla4[[#All],[PCLAVE]],Tabla8[[#This Row],[DESCRIPCION DE TRABAJO]])),""))),"")</f>
        <v/>
      </c>
      <c r="O988" s="35" t="str" cm="1">
        <f t="array" ref="O988">_xlfn.TEXTJOIN(", ",TRUE,_xlfn._xlws.FILTER(Tabla28[[#All],[PARTE]],ISNUMBER(SEARCH(Tabla28[[#All],[PCLAVE2]],Tabla8[[#This Row],[DESCRIPCION DE TRABAJO]])),""))</f>
        <v>Contraelevador</v>
      </c>
      <c r="P988" s="303" t="str">
        <f>IFERROR(LEFT(O988, FIND(",", O988)-1), O988)</f>
        <v>Contraelevador</v>
      </c>
      <c r="Q988" s="303" t="str">
        <f>IFERROR(IF(ISERROR(FIND(",", O988, FIND(",", O988)+1)), RIGHT(O988, LEN(O988)-FIND(",", O988)-1), MID(O988, FIND(",", O988)+2, FIND(",", O988, FIND(",", O988)+1)-FIND(",", O988)-2)), "")</f>
        <v/>
      </c>
      <c r="R988" s="303" t="str">
        <f>IFERROR(RIGHT(O988, LEN(O988)-FIND(",", O988, FIND(",", O988)+1)-1), "")</f>
        <v/>
      </c>
      <c r="S988" s="35" t="str" cm="1">
        <f t="array" ref="S988">_xlfn.TEXTJOIN(", ",TRUE,_xlfn._xlws.FILTER(Tabla29[[#All],[PARTE]],ISNUMBER(SEARCH(Tabla29[[#All],[PCLAVE3]],Tabla8[[#This Row],[DESCRIPCION DE TRABAJO]])),""))</f>
        <v>Colision, Doblada</v>
      </c>
      <c r="T988" s="34" t="str">
        <f>IF(AND(Tabla8[[#This Row],[PIEZA]]="",Tabla8[[#This Row],[PARTE]]=""),"VACIO","OK")</f>
        <v>OK</v>
      </c>
      <c r="U988" s="303" t="str">
        <f>+CONCATENATE(WEEKNUM(Tabla8[[#This Row],[FECHA]]),"-",YEAR(Tabla8[[#This Row],[FECHA]]))</f>
        <v>17-2026</v>
      </c>
    </row>
    <row r="989" spans="1:21" ht="15" customHeight="1">
      <c r="A989" s="22">
        <v>46135</v>
      </c>
      <c r="B989" s="16" t="s">
        <v>179</v>
      </c>
      <c r="C989" s="10" t="s">
        <v>36</v>
      </c>
      <c r="D989" s="381" t="s">
        <v>265</v>
      </c>
      <c r="E989" s="381" t="s">
        <v>620</v>
      </c>
      <c r="F989" s="380">
        <f>+MOD(Tabla8[[#This Row],[HR. FIN]]-Tabla8[[#This Row],[HR. INICIO]],1)</f>
        <v>2.083333333333337E-2</v>
      </c>
      <c r="G989" s="16" t="s">
        <v>119</v>
      </c>
      <c r="H989" s="343" t="str">
        <f>IFERROR(VLOOKUP(G989,DATOS!$M$2:$N$219,2,FALSE),"")</f>
        <v>Maquinaria</v>
      </c>
      <c r="I989" s="115" t="s">
        <v>32</v>
      </c>
      <c r="J989" s="115" t="str">
        <f>+VLOOKUP($I989,Tabla7[#All],2,FALSE)</f>
        <v>PROGRAMADA</v>
      </c>
      <c r="K989" s="114" t="str">
        <f>IF(VLOOKUP(I989,Tabla7[#All],3,FALSE)=0,"",VLOOKUP(I989,Tabla7[#All],3,FALSE))</f>
        <v/>
      </c>
      <c r="L989" s="35" t="s">
        <v>1934</v>
      </c>
      <c r="M989" s="35" t="s">
        <v>121</v>
      </c>
      <c r="N989" s="35" t="str" cm="1">
        <f t="array" ref="N989">IFERROR(IF(Tabla8[[#This Row],[P/NP]]="NO PROGRAMADA","",_xlfn.TEXTJOIN(", ",TRUE,_xlfn._xlws.FILTER(Tabla4[[#All],[PIEZA]],ISNUMBER(SEARCH(Tabla4[[#All],[PCLAVE]],Tabla8[[#This Row],[DESCRIPCION DE TRABAJO]])),""))),"")</f>
        <v/>
      </c>
      <c r="O989" s="35" t="str" cm="1">
        <f t="array" ref="O989">_xlfn.TEXTJOIN(", ",TRUE,_xlfn._xlws.FILTER(Tabla28[[#All],[PARTE]],ISNUMBER(SEARCH(Tabla28[[#All],[PCLAVE2]],Tabla8[[#This Row],[DESCRIPCION DE TRABAJO]])),""))</f>
        <v>Mds</v>
      </c>
      <c r="P989" s="303" t="str">
        <f>IFERROR(LEFT(O989, FIND(",", O989)-1), O989)</f>
        <v>Mds</v>
      </c>
      <c r="Q989" s="303" t="str">
        <f>IFERROR(IF(ISERROR(FIND(",", O989, FIND(",", O989)+1)), RIGHT(O989, LEN(O989)-FIND(",", O989)-1), MID(O989, FIND(",", O989)+2, FIND(",", O989, FIND(",", O989)+1)-FIND(",", O989)-2)), "")</f>
        <v/>
      </c>
      <c r="R989" s="303" t="str">
        <f>IFERROR(RIGHT(O989, LEN(O989)-FIND(",", O989, FIND(",", O989)+1)-1), "")</f>
        <v/>
      </c>
      <c r="S989" s="35" t="str" cm="1">
        <f t="array" ref="S989">_xlfn.TEXTJOIN(", ",TRUE,_xlfn._xlws.FILTER(Tabla29[[#All],[PARTE]],ISNUMBER(SEARCH(Tabla29[[#All],[PCLAVE3]],Tabla8[[#This Row],[DESCRIPCION DE TRABAJO]])),""))</f>
        <v>Cambio De Formato</v>
      </c>
      <c r="T989" s="34" t="str">
        <f>IF(AND(Tabla8[[#This Row],[PIEZA]]="",Tabla8[[#This Row],[PARTE]]=""),"VACIO","OK")</f>
        <v>OK</v>
      </c>
      <c r="U989" s="303" t="str">
        <f>+CONCATENATE(WEEKNUM(Tabla8[[#This Row],[FECHA]]),"-",YEAR(Tabla8[[#This Row],[FECHA]]))</f>
        <v>17-2026</v>
      </c>
    </row>
    <row r="990" spans="1:21" ht="15" customHeight="1">
      <c r="A990" s="22">
        <v>46135</v>
      </c>
      <c r="B990" s="16" t="s">
        <v>179</v>
      </c>
      <c r="C990" s="10" t="s">
        <v>23</v>
      </c>
      <c r="D990" s="381" t="s">
        <v>453</v>
      </c>
      <c r="E990" s="381" t="s">
        <v>957</v>
      </c>
      <c r="F990" s="380">
        <f>+MOD(Tabla8[[#This Row],[HR. FIN]]-Tabla8[[#This Row],[HR. INICIO]],1)</f>
        <v>2.083333333333337E-2</v>
      </c>
      <c r="G990" s="16" t="s">
        <v>169</v>
      </c>
      <c r="H990" s="343" t="str">
        <f>IFERROR(VLOOKUP(G990,DATOS!$M$2:$N$219,2,FALSE),"")</f>
        <v>Maquinaria</v>
      </c>
      <c r="I990" s="115" t="s">
        <v>186</v>
      </c>
      <c r="J990" s="115" t="str">
        <f>+VLOOKUP($I990,Tabla7[#All],2,FALSE)</f>
        <v>NO PROGRAMADA</v>
      </c>
      <c r="K990" s="114" t="s">
        <v>93</v>
      </c>
      <c r="L990" s="35" t="s">
        <v>1935</v>
      </c>
      <c r="M990" s="35" t="s">
        <v>1936</v>
      </c>
      <c r="N990" s="35" t="str" cm="1">
        <f t="array" ref="N990">IFERROR(IF(Tabla8[[#This Row],[P/NP]]="NO PROGRAMADA","",_xlfn.TEXTJOIN(", ",TRUE,_xlfn._xlws.FILTER(Tabla4[[#All],[PIEZA]],ISNUMBER(SEARCH(Tabla4[[#All],[PCLAVE]],Tabla8[[#This Row],[DESCRIPCION DE TRABAJO]])),""))),"")</f>
        <v/>
      </c>
      <c r="O990" s="35" t="str" cm="1">
        <f t="array" ref="O990">_xlfn.TEXTJOIN(", ",TRUE,_xlfn._xlws.FILTER(Tabla28[[#All],[PARTE]],ISNUMBER(SEARCH(Tabla28[[#All],[PCLAVE2]],Tabla8[[#This Row],[DESCRIPCION DE TRABAJO]])),""))</f>
        <v/>
      </c>
      <c r="P990" s="303" t="str">
        <f>IFERROR(LEFT(O990, FIND(",", O990)-1), O990)</f>
        <v/>
      </c>
      <c r="Q990" s="303" t="str">
        <f>IFERROR(IF(ISERROR(FIND(",", O990, FIND(",", O990)+1)), RIGHT(O990, LEN(O990)-FIND(",", O990)-1), MID(O990, FIND(",", O990)+2, FIND(",", O990, FIND(",", O990)+1)-FIND(",", O990)-2)), "")</f>
        <v/>
      </c>
      <c r="R990" s="303" t="str">
        <f>IFERROR(RIGHT(O990, LEN(O990)-FIND(",", O990, FIND(",", O990)+1)-1), "")</f>
        <v/>
      </c>
      <c r="S990" s="35" t="str" cm="1">
        <f t="array" ref="S990">_xlfn.TEXTJOIN(", ",TRUE,_xlfn._xlws.FILTER(Tabla29[[#All],[PARTE]],ISNUMBER(SEARCH(Tabla29[[#All],[PCLAVE3]],Tabla8[[#This Row],[DESCRIPCION DE TRABAJO]])),""))</f>
        <v>Fuga</v>
      </c>
      <c r="T990" s="34" t="str">
        <f>IF(AND(Tabla8[[#This Row],[PIEZA]]="",Tabla8[[#This Row],[PARTE]]=""),"VACIO","OK")</f>
        <v>VACIO</v>
      </c>
      <c r="U990" s="303" t="str">
        <f>+CONCATENATE(WEEKNUM(Tabla8[[#This Row],[FECHA]]),"-",YEAR(Tabla8[[#This Row],[FECHA]]))</f>
        <v>17-2026</v>
      </c>
    </row>
    <row r="991" spans="1:21" ht="15" customHeight="1">
      <c r="A991" s="22">
        <v>46135</v>
      </c>
      <c r="B991" s="16" t="s">
        <v>179</v>
      </c>
      <c r="C991" s="10" t="s">
        <v>23</v>
      </c>
      <c r="D991" s="381" t="s">
        <v>1452</v>
      </c>
      <c r="E991" s="381" t="s">
        <v>1686</v>
      </c>
      <c r="F991" s="380">
        <f>+MOD(Tabla8[[#This Row],[HR. FIN]]-Tabla8[[#This Row],[HR. INICIO]],1)</f>
        <v>2.083333333333337E-2</v>
      </c>
      <c r="G991" s="16" t="s">
        <v>98</v>
      </c>
      <c r="H991" s="343" t="str">
        <f>IFERROR(VLOOKUP(G991,DATOS!$M$2:$N$219,2,FALSE),"")</f>
        <v>Maquinaria</v>
      </c>
      <c r="I991" s="115" t="s">
        <v>32</v>
      </c>
      <c r="J991" s="115" t="str">
        <f>+VLOOKUP($I991,Tabla7[#All],2,FALSE)</f>
        <v>PROGRAMADA</v>
      </c>
      <c r="K991" s="114" t="str">
        <f>IF(VLOOKUP(I991,Tabla7[#All],3,FALSE)=0,"",VLOOKUP(I991,Tabla7[#All],3,FALSE))</f>
        <v/>
      </c>
      <c r="L991" s="35" t="s">
        <v>1937</v>
      </c>
      <c r="M991" s="35" t="s">
        <v>121</v>
      </c>
      <c r="N991" s="35" t="str" cm="1">
        <f t="array" ref="N991">IFERROR(IF(Tabla8[[#This Row],[P/NP]]="NO PROGRAMADA","",_xlfn.TEXTJOIN(", ",TRUE,_xlfn._xlws.FILTER(Tabla4[[#All],[PIEZA]],ISNUMBER(SEARCH(Tabla4[[#All],[PCLAVE]],Tabla8[[#This Row],[DESCRIPCION DE TRABAJO]])),""))),"")</f>
        <v/>
      </c>
      <c r="O991" s="35" t="str" cm="1">
        <f t="array" ref="O991">_xlfn.TEXTJOIN(", ",TRUE,_xlfn._xlws.FILTER(Tabla28[[#All],[PARTE]],ISNUMBER(SEARCH(Tabla28[[#All],[PCLAVE2]],Tabla8[[#This Row],[DESCRIPCION DE TRABAJO]])),""))</f>
        <v/>
      </c>
      <c r="P991" s="303" t="str">
        <f>IFERROR(LEFT(O991, FIND(",", O991)-1), O991)</f>
        <v/>
      </c>
      <c r="Q991" s="303" t="str">
        <f>IFERROR(IF(ISERROR(FIND(",", O991, FIND(",", O991)+1)), RIGHT(O991, LEN(O991)-FIND(",", O991)-1), MID(O991, FIND(",", O991)+2, FIND(",", O991, FIND(",", O991)+1)-FIND(",", O991)-2)), "")</f>
        <v/>
      </c>
      <c r="R991" s="303" t="str">
        <f>IFERROR(RIGHT(O991, LEN(O991)-FIND(",", O991, FIND(",", O991)+1)-1), "")</f>
        <v/>
      </c>
      <c r="S991" s="35" t="str" cm="1">
        <f t="array" ref="S991">_xlfn.TEXTJOIN(", ",TRUE,_xlfn._xlws.FILTER(Tabla29[[#All],[PARTE]],ISNUMBER(SEARCH(Tabla29[[#All],[PCLAVE3]],Tabla8[[#This Row],[DESCRIPCION DE TRABAJO]])),""))</f>
        <v/>
      </c>
      <c r="T991" s="34" t="str">
        <f>IF(AND(Tabla8[[#This Row],[PIEZA]]="",Tabla8[[#This Row],[PARTE]]=""),"VACIO","OK")</f>
        <v>VACIO</v>
      </c>
      <c r="U991" s="303" t="str">
        <f>+CONCATENATE(WEEKNUM(Tabla8[[#This Row],[FECHA]]),"-",YEAR(Tabla8[[#This Row],[FECHA]]))</f>
        <v>17-2026</v>
      </c>
    </row>
    <row r="992" spans="1:21" ht="15" customHeight="1">
      <c r="A992" s="22">
        <v>46135</v>
      </c>
      <c r="B992" s="16" t="s">
        <v>131</v>
      </c>
      <c r="C992" s="10" t="s">
        <v>36</v>
      </c>
      <c r="D992" s="381" t="s">
        <v>123</v>
      </c>
      <c r="E992" s="381" t="s">
        <v>126</v>
      </c>
      <c r="F992" s="380">
        <f>+MOD(Tabla8[[#This Row],[HR. FIN]]-Tabla8[[#This Row],[HR. INICIO]],1)</f>
        <v>2.0833333333333315E-2</v>
      </c>
      <c r="G992" s="16" t="s">
        <v>222</v>
      </c>
      <c r="H992" s="343" t="str">
        <f>IFERROR(VLOOKUP(G992,DATOS!$M$2:$N$219,2,FALSE),"")</f>
        <v>Maquinaria</v>
      </c>
      <c r="I992" s="115" t="s">
        <v>32</v>
      </c>
      <c r="J992" s="115" t="str">
        <f>+VLOOKUP($I992,Tabla7[#All],2,FALSE)</f>
        <v>PROGRAMADA</v>
      </c>
      <c r="K992" s="114" t="str">
        <f>IF(VLOOKUP(I992,Tabla7[#All],3,FALSE)=0,"",VLOOKUP(I992,Tabla7[#All],3,FALSE))</f>
        <v/>
      </c>
      <c r="L992" s="35" t="s">
        <v>1938</v>
      </c>
      <c r="M992" s="35" t="s">
        <v>121</v>
      </c>
      <c r="N992" s="35" t="str" cm="1">
        <f t="array" ref="N992">IFERROR(IF(Tabla8[[#This Row],[P/NP]]="NO PROGRAMADA","",_xlfn.TEXTJOIN(", ",TRUE,_xlfn._xlws.FILTER(Tabla4[[#All],[PIEZA]],ISNUMBER(SEARCH(Tabla4[[#All],[PCLAVE]],Tabla8[[#This Row],[DESCRIPCION DE TRABAJO]])),""))),"")</f>
        <v>Producto</v>
      </c>
      <c r="O992" s="35" t="str" cm="1">
        <f t="array" ref="O992">_xlfn.TEXTJOIN(", ",TRUE,_xlfn._xlws.FILTER(Tabla28[[#All],[PARTE]],ISNUMBER(SEARCH(Tabla28[[#All],[PCLAVE2]],Tabla8[[#This Row],[DESCRIPCION DE TRABAJO]])),""))</f>
        <v/>
      </c>
      <c r="P992" s="303" t="str">
        <f>IFERROR(LEFT(O992, FIND(",", O992)-1), O992)</f>
        <v/>
      </c>
      <c r="Q992" s="303" t="str">
        <f>IFERROR(IF(ISERROR(FIND(",", O992, FIND(",", O992)+1)), RIGHT(O992, LEN(O992)-FIND(",", O992)-1), MID(O992, FIND(",", O992)+2, FIND(",", O992, FIND(",", O992)+1)-FIND(",", O992)-2)), "")</f>
        <v/>
      </c>
      <c r="R992" s="303" t="str">
        <f>IFERROR(RIGHT(O992, LEN(O992)-FIND(",", O992, FIND(",", O992)+1)-1), "")</f>
        <v/>
      </c>
      <c r="S992" s="35" t="str" cm="1">
        <f t="array" ref="S992">_xlfn.TEXTJOIN(", ",TRUE,_xlfn._xlws.FILTER(Tabla29[[#All],[PARTE]],ISNUMBER(SEARCH(Tabla29[[#All],[PCLAVE3]],Tabla8[[#This Row],[DESCRIPCION DE TRABAJO]])),""))</f>
        <v/>
      </c>
      <c r="T992" s="34" t="str">
        <f>IF(AND(Tabla8[[#This Row],[PIEZA]]="",Tabla8[[#This Row],[PARTE]]=""),"VACIO","OK")</f>
        <v>OK</v>
      </c>
      <c r="U992" s="303" t="str">
        <f>+CONCATENATE(WEEKNUM(Tabla8[[#This Row],[FECHA]]),"-",YEAR(Tabla8[[#This Row],[FECHA]]))</f>
        <v>17-2026</v>
      </c>
    </row>
    <row r="993" spans="1:21" ht="15" customHeight="1">
      <c r="A993" s="22">
        <v>46135</v>
      </c>
      <c r="B993" s="16" t="s">
        <v>131</v>
      </c>
      <c r="C993" s="10" t="s">
        <v>36</v>
      </c>
      <c r="D993" s="381" t="s">
        <v>122</v>
      </c>
      <c r="E993" s="381" t="s">
        <v>1939</v>
      </c>
      <c r="F993" s="380">
        <f>+MOD(Tabla8[[#This Row],[HR. FIN]]-Tabla8[[#This Row],[HR. INICIO]],1)</f>
        <v>1.9444444444444486E-2</v>
      </c>
      <c r="G993" s="16" t="s">
        <v>119</v>
      </c>
      <c r="H993" s="343" t="str">
        <f>IFERROR(VLOOKUP(G993,DATOS!$M$2:$N$219,2,FALSE),"")</f>
        <v>Maquinaria</v>
      </c>
      <c r="I993" s="115" t="s">
        <v>32</v>
      </c>
      <c r="J993" s="115" t="str">
        <f>+VLOOKUP($I993,Tabla7[#All],2,FALSE)</f>
        <v>PROGRAMADA</v>
      </c>
      <c r="K993" s="114" t="str">
        <f>IF(VLOOKUP(I993,Tabla7[#All],3,FALSE)=0,"",VLOOKUP(I993,Tabla7[#All],3,FALSE))</f>
        <v/>
      </c>
      <c r="L993" s="35" t="s">
        <v>1940</v>
      </c>
      <c r="M993" s="35" t="s">
        <v>121</v>
      </c>
      <c r="N993" s="35" t="str" cm="1">
        <f t="array" ref="N993">IFERROR(IF(Tabla8[[#This Row],[P/NP]]="NO PROGRAMADA","",_xlfn.TEXTJOIN(", ",TRUE,_xlfn._xlws.FILTER(Tabla4[[#All],[PIEZA]],ISNUMBER(SEARCH(Tabla4[[#All],[PCLAVE]],Tabla8[[#This Row],[DESCRIPCION DE TRABAJO]])),""))),"")</f>
        <v>Husillo, Husillo, Piston(es), Planchas</v>
      </c>
      <c r="O993" s="35" t="str" cm="1">
        <f t="array" ref="O993">_xlfn.TEXTJOIN(", ",TRUE,_xlfn._xlws.FILTER(Tabla28[[#All],[PARTE]],ISNUMBER(SEARCH(Tabla28[[#All],[PCLAVE2]],Tabla8[[#This Row],[DESCRIPCION DE TRABAJO]])),""))</f>
        <v/>
      </c>
      <c r="P993" s="303" t="str">
        <f>IFERROR(LEFT(O993, FIND(",", O993)-1), O993)</f>
        <v/>
      </c>
      <c r="Q993" s="303" t="str">
        <f>IFERROR(IF(ISERROR(FIND(",", O993, FIND(",", O993)+1)), RIGHT(O993, LEN(O993)-FIND(",", O993)-1), MID(O993, FIND(",", O993)+2, FIND(",", O993, FIND(",", O993)+1)-FIND(",", O993)-2)), "")</f>
        <v/>
      </c>
      <c r="R993" s="303" t="str">
        <f>IFERROR(RIGHT(O993, LEN(O993)-FIND(",", O993, FIND(",", O993)+1)-1), "")</f>
        <v/>
      </c>
      <c r="S993" s="35" t="str" cm="1">
        <f t="array" ref="S993">_xlfn.TEXTJOIN(", ",TRUE,_xlfn._xlws.FILTER(Tabla29[[#All],[PARTE]],ISNUMBER(SEARCH(Tabla29[[#All],[PCLAVE3]],Tabla8[[#This Row],[DESCRIPCION DE TRABAJO]])),""))</f>
        <v/>
      </c>
      <c r="T993" s="34" t="str">
        <f>IF(AND(Tabla8[[#This Row],[PIEZA]]="",Tabla8[[#This Row],[PARTE]]=""),"VACIO","OK")</f>
        <v>OK</v>
      </c>
      <c r="U993" s="303" t="str">
        <f>+CONCATENATE(WEEKNUM(Tabla8[[#This Row],[FECHA]]),"-",YEAR(Tabla8[[#This Row],[FECHA]]))</f>
        <v>17-2026</v>
      </c>
    </row>
    <row r="994" spans="1:21" ht="15" customHeight="1">
      <c r="A994" s="22">
        <v>46135</v>
      </c>
      <c r="B994" s="16" t="s">
        <v>111</v>
      </c>
      <c r="C994" s="10" t="s">
        <v>39</v>
      </c>
      <c r="D994" s="381" t="s">
        <v>1520</v>
      </c>
      <c r="E994" s="381" t="s">
        <v>1941</v>
      </c>
      <c r="F994" s="380">
        <f>+MOD(Tabla8[[#This Row],[HR. FIN]]-Tabla8[[#This Row],[HR. INICIO]],1)</f>
        <v>1.7361111111111133E-2</v>
      </c>
      <c r="G994" s="16" t="s">
        <v>721</v>
      </c>
      <c r="H994" s="343" t="str">
        <f>IFERROR(VLOOKUP(G994,DATOS!$M$2:$N$219,2,FALSE),"")</f>
        <v>Maquinaria</v>
      </c>
      <c r="I994" s="115" t="s">
        <v>57</v>
      </c>
      <c r="J994" s="115" t="str">
        <f>+VLOOKUP($I994,Tabla7[#All],2,FALSE)</f>
        <v>NO PROGRAMADA</v>
      </c>
      <c r="K994" s="114" t="str">
        <f>IF(VLOOKUP(I994,Tabla7[#All],3,FALSE)=0,"",VLOOKUP(I994,Tabla7[#All],3,FALSE))</f>
        <v>MECÁNICA</v>
      </c>
      <c r="L994" s="35" t="s">
        <v>1942</v>
      </c>
      <c r="M994" s="35" t="s">
        <v>1943</v>
      </c>
      <c r="N994" s="35" t="str" cm="1">
        <f t="array" ref="N994">IFERROR(IF(Tabla8[[#This Row],[P/NP]]="NO PROGRAMADA","",_xlfn.TEXTJOIN(", ",TRUE,_xlfn._xlws.FILTER(Tabla4[[#All],[PIEZA]],ISNUMBER(SEARCH(Tabla4[[#All],[PCLAVE]],Tabla8[[#This Row],[DESCRIPCION DE TRABAJO]])),""))),"")</f>
        <v/>
      </c>
      <c r="O994" s="35" t="str" cm="1">
        <f t="array" ref="O994">_xlfn.TEXTJOIN(", ",TRUE,_xlfn._xlws.FILTER(Tabla28[[#All],[PARTE]],ISNUMBER(SEARCH(Tabla28[[#All],[PCLAVE2]],Tabla8[[#This Row],[DESCRIPCION DE TRABAJO]])),""))</f>
        <v/>
      </c>
      <c r="P994" s="303" t="str">
        <f>IFERROR(LEFT(O994, FIND(",", O994)-1), O994)</f>
        <v/>
      </c>
      <c r="Q994" s="303" t="str">
        <f>IFERROR(IF(ISERROR(FIND(",", O994, FIND(",", O994)+1)), RIGHT(O994, LEN(O994)-FIND(",", O994)-1), MID(O994, FIND(",", O994)+2, FIND(",", O994, FIND(",", O994)+1)-FIND(",", O994)-2)), "")</f>
        <v/>
      </c>
      <c r="R994" s="303" t="str">
        <f>IFERROR(RIGHT(O994, LEN(O994)-FIND(",", O994, FIND(",", O994)+1)-1), "")</f>
        <v/>
      </c>
      <c r="S994" s="35" t="str" cm="1">
        <f t="array" ref="S994">_xlfn.TEXTJOIN(", ",TRUE,_xlfn._xlws.FILTER(Tabla29[[#All],[PARTE]],ISNUMBER(SEARCH(Tabla29[[#All],[PCLAVE3]],Tabla8[[#This Row],[DESCRIPCION DE TRABAJO]])),""))</f>
        <v>Alarma, Nivel, Nivel Alto</v>
      </c>
      <c r="T994" s="34" t="str">
        <f>IF(AND(Tabla8[[#This Row],[PIEZA]]="",Tabla8[[#This Row],[PARTE]]=""),"VACIO","OK")</f>
        <v>VACIO</v>
      </c>
      <c r="U994" s="303" t="str">
        <f>+CONCATENATE(WEEKNUM(Tabla8[[#This Row],[FECHA]]),"-",YEAR(Tabla8[[#This Row],[FECHA]]))</f>
        <v>17-2026</v>
      </c>
    </row>
    <row r="995" spans="1:21" ht="15" customHeight="1">
      <c r="A995" s="22">
        <v>46135</v>
      </c>
      <c r="B995" s="16" t="s">
        <v>131</v>
      </c>
      <c r="C995" s="10" t="s">
        <v>36</v>
      </c>
      <c r="D995" s="381" t="s">
        <v>1944</v>
      </c>
      <c r="E995" s="381" t="s">
        <v>1945</v>
      </c>
      <c r="F995" s="380">
        <f>+MOD(Tabla8[[#This Row],[HR. FIN]]-Tabla8[[#This Row],[HR. INICIO]],1)</f>
        <v>1.5277777777777779E-2</v>
      </c>
      <c r="G995" s="16" t="s">
        <v>31</v>
      </c>
      <c r="H995" s="343" t="str">
        <f>IFERROR(VLOOKUP(G995,DATOS!$M$2:$N$219,2,FALSE),"")</f>
        <v>Maquinaria</v>
      </c>
      <c r="I995" s="115" t="s">
        <v>57</v>
      </c>
      <c r="J995" s="115" t="str">
        <f>+VLOOKUP($I995,Tabla7[#All],2,FALSE)</f>
        <v>NO PROGRAMADA</v>
      </c>
      <c r="K995" s="114" t="str">
        <f>IF(VLOOKUP(I995,Tabla7[#All],3,FALSE)=0,"",VLOOKUP(I995,Tabla7[#All],3,FALSE))</f>
        <v>MECÁNICA</v>
      </c>
      <c r="L995" s="35" t="s">
        <v>1946</v>
      </c>
      <c r="M995" s="35" t="s">
        <v>1947</v>
      </c>
      <c r="N995" s="35" t="str" cm="1">
        <f t="array" ref="N995">IFERROR(IF(Tabla8[[#This Row],[P/NP]]="NO PROGRAMADA","",_xlfn.TEXTJOIN(", ",TRUE,_xlfn._xlws.FILTER(Tabla4[[#All],[PIEZA]],ISNUMBER(SEARCH(Tabla4[[#All],[PCLAVE]],Tabla8[[#This Row],[DESCRIPCION DE TRABAJO]])),""))),"")</f>
        <v/>
      </c>
      <c r="O995" s="35" t="str" cm="1">
        <f t="array" ref="O995">_xlfn.TEXTJOIN(", ",TRUE,_xlfn._xlws.FILTER(Tabla28[[#All],[PARTE]],ISNUMBER(SEARCH(Tabla28[[#All],[PCLAVE2]],Tabla8[[#This Row],[DESCRIPCION DE TRABAJO]])),""))</f>
        <v/>
      </c>
      <c r="P995" s="303" t="str">
        <f>IFERROR(LEFT(O995, FIND(",", O995)-1), O995)</f>
        <v/>
      </c>
      <c r="Q995" s="303" t="str">
        <f>IFERROR(IF(ISERROR(FIND(",", O995, FIND(",", O995)+1)), RIGHT(O995, LEN(O995)-FIND(",", O995)-1), MID(O995, FIND(",", O995)+2, FIND(",", O995, FIND(",", O995)+1)-FIND(",", O995)-2)), "")</f>
        <v/>
      </c>
      <c r="R995" s="303" t="str">
        <f>IFERROR(RIGHT(O995, LEN(O995)-FIND(",", O995, FIND(",", O995)+1)-1), "")</f>
        <v/>
      </c>
      <c r="S995" s="35" t="str" cm="1">
        <f t="array" ref="S995">_xlfn.TEXTJOIN(", ",TRUE,_xlfn._xlws.FILTER(Tabla29[[#All],[PARTE]],ISNUMBER(SEARCH(Tabla29[[#All],[PCLAVE3]],Tabla8[[#This Row],[DESCRIPCION DE TRABAJO]])),""))</f>
        <v>Alimentacion Obstruida, Laminado, No Corta</v>
      </c>
      <c r="T995" s="34" t="str">
        <f>IF(AND(Tabla8[[#This Row],[PIEZA]]="",Tabla8[[#This Row],[PARTE]]=""),"VACIO","OK")</f>
        <v>VACIO</v>
      </c>
      <c r="U995" s="303" t="str">
        <f>+CONCATENATE(WEEKNUM(Tabla8[[#This Row],[FECHA]]),"-",YEAR(Tabla8[[#This Row],[FECHA]]))</f>
        <v>17-2026</v>
      </c>
    </row>
    <row r="996" spans="1:21" ht="15" customHeight="1">
      <c r="A996" s="22">
        <v>46135</v>
      </c>
      <c r="B996" s="16" t="s">
        <v>131</v>
      </c>
      <c r="C996" s="10" t="s">
        <v>36</v>
      </c>
      <c r="D996" s="381" t="s">
        <v>152</v>
      </c>
      <c r="E996" s="381" t="s">
        <v>448</v>
      </c>
      <c r="F996" s="380">
        <f>+MOD(Tabla8[[#This Row],[HR. FIN]]-Tabla8[[#This Row],[HR. INICIO]],1)</f>
        <v>1.3888888888888895E-2</v>
      </c>
      <c r="G996" s="16" t="s">
        <v>942</v>
      </c>
      <c r="H996" s="343" t="str">
        <f>IFERROR(VLOOKUP(G996,DATOS!$M$2:$N$219,2,FALSE),"")</f>
        <v>Maquinaria</v>
      </c>
      <c r="I996" s="115" t="s">
        <v>61</v>
      </c>
      <c r="J996" s="115" t="str">
        <f>+VLOOKUP($I996,Tabla7[#All],2,FALSE)</f>
        <v>PROGRAMADA</v>
      </c>
      <c r="K996" s="114" t="str">
        <f>IF(VLOOKUP(I996,Tabla7[#All],3,FALSE)=0,"",VLOOKUP(I996,Tabla7[#All],3,FALSE))</f>
        <v/>
      </c>
      <c r="L996" s="35" t="s">
        <v>1948</v>
      </c>
      <c r="M996" s="35" t="s">
        <v>121</v>
      </c>
      <c r="N996" s="35" t="str" cm="1">
        <f t="array" ref="N996">IFERROR(IF(Tabla8[[#This Row],[P/NP]]="NO PROGRAMADA","",_xlfn.TEXTJOIN(", ",TRUE,_xlfn._xlws.FILTER(Tabla4[[#All],[PIEZA]],ISNUMBER(SEARCH(Tabla4[[#All],[PCLAVE]],Tabla8[[#This Row],[DESCRIPCION DE TRABAJO]])),""))),"")</f>
        <v>Banda, Polin De Arrastre</v>
      </c>
      <c r="O996" s="35" t="str" cm="1">
        <f t="array" ref="O996">_xlfn.TEXTJOIN(", ",TRUE,_xlfn._xlws.FILTER(Tabla28[[#All],[PARTE]],ISNUMBER(SEARCH(Tabla28[[#All],[PCLAVE2]],Tabla8[[#This Row],[DESCRIPCION DE TRABAJO]])),""))</f>
        <v/>
      </c>
      <c r="P996" s="303" t="str">
        <f>IFERROR(LEFT(O996, FIND(",", O996)-1), O996)</f>
        <v/>
      </c>
      <c r="Q996" s="303" t="str">
        <f>IFERROR(IF(ISERROR(FIND(",", O996, FIND(",", O996)+1)), RIGHT(O996, LEN(O996)-FIND(",", O996)-1), MID(O996, FIND(",", O996)+2, FIND(",", O996, FIND(",", O996)+1)-FIND(",", O996)-2)), "")</f>
        <v/>
      </c>
      <c r="R996" s="303" t="str">
        <f>IFERROR(RIGHT(O996, LEN(O996)-FIND(",", O996, FIND(",", O996)+1)-1), "")</f>
        <v/>
      </c>
      <c r="S996" s="35" t="str" cm="1">
        <f t="array" ref="S996">_xlfn.TEXTJOIN(", ",TRUE,_xlfn._xlws.FILTER(Tabla29[[#All],[PARTE]],ISNUMBER(SEARCH(Tabla29[[#All],[PCLAVE3]],Tabla8[[#This Row],[DESCRIPCION DE TRABAJO]])),""))</f>
        <v/>
      </c>
      <c r="T996" s="34" t="str">
        <f>IF(AND(Tabla8[[#This Row],[PIEZA]]="",Tabla8[[#This Row],[PARTE]]=""),"VACIO","OK")</f>
        <v>OK</v>
      </c>
      <c r="U996" s="303" t="str">
        <f>+CONCATENATE(WEEKNUM(Tabla8[[#This Row],[FECHA]]),"-",YEAR(Tabla8[[#This Row],[FECHA]]))</f>
        <v>17-2026</v>
      </c>
    </row>
    <row r="997" spans="1:21" ht="15" customHeight="1">
      <c r="A997" s="22">
        <v>46135</v>
      </c>
      <c r="B997" s="16" t="s">
        <v>179</v>
      </c>
      <c r="C997" s="10" t="s">
        <v>23</v>
      </c>
      <c r="D997" s="381" t="s">
        <v>106</v>
      </c>
      <c r="E997" s="381" t="s">
        <v>468</v>
      </c>
      <c r="F997" s="380">
        <f>+MOD(Tabla8[[#This Row],[HR. FIN]]-Tabla8[[#This Row],[HR. INICIO]],1)</f>
        <v>1.388888888888884E-2</v>
      </c>
      <c r="G997" s="16" t="s">
        <v>153</v>
      </c>
      <c r="H997" s="343" t="str">
        <f>IFERROR(VLOOKUP(G997,DATOS!$M$2:$N$219,2,FALSE),"")</f>
        <v>Maquinaria</v>
      </c>
      <c r="I997" s="115" t="s">
        <v>54</v>
      </c>
      <c r="J997" s="115" t="str">
        <f>+VLOOKUP($I997,Tabla7[#All],2,FALSE)</f>
        <v>PROGRAMADA</v>
      </c>
      <c r="K997" s="114" t="str">
        <f>IF(VLOOKUP(I997,Tabla7[#All],3,FALSE)=0,"",VLOOKUP(I997,Tabla7[#All],3,FALSE))</f>
        <v/>
      </c>
      <c r="L997" s="35" t="s">
        <v>1949</v>
      </c>
      <c r="M997" s="35" t="s">
        <v>121</v>
      </c>
      <c r="N997" s="35" t="str" cm="1">
        <f t="array" ref="N997">IFERROR(IF(Tabla8[[#This Row],[P/NP]]="NO PROGRAMADA","",_xlfn.TEXTJOIN(", ",TRUE,_xlfn._xlws.FILTER(Tabla4[[#All],[PIEZA]],ISNUMBER(SEARCH(Tabla4[[#All],[PCLAVE]],Tabla8[[#This Row],[DESCRIPCION DE TRABAJO]])),""))),"")</f>
        <v>Elevador, Elevador</v>
      </c>
      <c r="O997" s="35" t="str" cm="1">
        <f t="array" ref="O997">_xlfn.TEXTJOIN(", ",TRUE,_xlfn._xlws.FILTER(Tabla28[[#All],[PARTE]],ISNUMBER(SEARCH(Tabla28[[#All],[PCLAVE2]],Tabla8[[#This Row],[DESCRIPCION DE TRABAJO]])),""))</f>
        <v/>
      </c>
      <c r="P997" s="303" t="str">
        <f>IFERROR(LEFT(O997, FIND(",", O997)-1), O997)</f>
        <v/>
      </c>
      <c r="Q997" s="303" t="str">
        <f>IFERROR(IF(ISERROR(FIND(",", O997, FIND(",", O997)+1)), RIGHT(O997, LEN(O997)-FIND(",", O997)-1), MID(O997, FIND(",", O997)+2, FIND(",", O997, FIND(",", O997)+1)-FIND(",", O997)-2)), "")</f>
        <v/>
      </c>
      <c r="R997" s="303" t="str">
        <f>IFERROR(RIGHT(O997, LEN(O997)-FIND(",", O997, FIND(",", O997)+1)-1), "")</f>
        <v/>
      </c>
      <c r="S997" s="35" t="str" cm="1">
        <f t="array" ref="S997">_xlfn.TEXTJOIN(", ",TRUE,_xlfn._xlws.FILTER(Tabla29[[#All],[PARTE]],ISNUMBER(SEARCH(Tabla29[[#All],[PCLAVE3]],Tabla8[[#This Row],[DESCRIPCION DE TRABAJO]])),""))</f>
        <v/>
      </c>
      <c r="T997" s="34" t="str">
        <f>IF(AND(Tabla8[[#This Row],[PIEZA]]="",Tabla8[[#This Row],[PARTE]]=""),"VACIO","OK")</f>
        <v>OK</v>
      </c>
      <c r="U997" s="303" t="str">
        <f>+CONCATENATE(WEEKNUM(Tabla8[[#This Row],[FECHA]]),"-",YEAR(Tabla8[[#This Row],[FECHA]]))</f>
        <v>17-2026</v>
      </c>
    </row>
    <row r="998" spans="1:21" ht="15" customHeight="1">
      <c r="A998" s="22">
        <v>46135</v>
      </c>
      <c r="B998" s="16" t="s">
        <v>191</v>
      </c>
      <c r="C998" s="10" t="s">
        <v>23</v>
      </c>
      <c r="D998" s="381" t="s">
        <v>1569</v>
      </c>
      <c r="E998" s="381" t="s">
        <v>1950</v>
      </c>
      <c r="F998" s="380">
        <f>+MOD(Tabla8[[#This Row],[HR. FIN]]-Tabla8[[#This Row],[HR. INICIO]],1)</f>
        <v>1.1111111111111072E-2</v>
      </c>
      <c r="G998" s="16" t="s">
        <v>215</v>
      </c>
      <c r="H998" s="343" t="str">
        <f>IFERROR(VLOOKUP(G998,DATOS!$M$2:$N$219,2,FALSE),"")</f>
        <v>Equipos auxiliares</v>
      </c>
      <c r="I998" s="115" t="s">
        <v>54</v>
      </c>
      <c r="J998" s="115" t="str">
        <f>+VLOOKUP($I998,Tabla7[#All],2,FALSE)</f>
        <v>PROGRAMADA</v>
      </c>
      <c r="K998" s="114" t="str">
        <f>IF(VLOOKUP(I998,Tabla7[#All],3,FALSE)=0,"",VLOOKUP(I998,Tabla7[#All],3,FALSE))</f>
        <v/>
      </c>
      <c r="L998" s="35" t="s">
        <v>1751</v>
      </c>
      <c r="M998" s="35" t="s">
        <v>121</v>
      </c>
      <c r="N998" s="35" t="str" cm="1">
        <f t="array" ref="N998">IFERROR(IF(Tabla8[[#This Row],[P/NP]]="NO PROGRAMADA","",_xlfn.TEXTJOIN(", ",TRUE,_xlfn._xlws.FILTER(Tabla4[[#All],[PIEZA]],ISNUMBER(SEARCH(Tabla4[[#All],[PCLAVE]],Tabla8[[#This Row],[DESCRIPCION DE TRABAJO]])),""))),"")</f>
        <v/>
      </c>
      <c r="O998" s="35" t="str" cm="1">
        <f t="array" ref="O998">_xlfn.TEXTJOIN(", ",TRUE,_xlfn._xlws.FILTER(Tabla28[[#All],[PARTE]],ISNUMBER(SEARCH(Tabla28[[#All],[PCLAVE2]],Tabla8[[#This Row],[DESCRIPCION DE TRABAJO]])),""))</f>
        <v/>
      </c>
      <c r="P998" s="303" t="str">
        <f>IFERROR(LEFT(O998, FIND(",", O998)-1), O998)</f>
        <v/>
      </c>
      <c r="Q998" s="303" t="str">
        <f>IFERROR(IF(ISERROR(FIND(",", O998, FIND(",", O998)+1)), RIGHT(O998, LEN(O998)-FIND(",", O998)-1), MID(O998, FIND(",", O998)+2, FIND(",", O998, FIND(",", O998)+1)-FIND(",", O998)-2)), "")</f>
        <v/>
      </c>
      <c r="R998" s="303" t="str">
        <f>IFERROR(RIGHT(O998, LEN(O998)-FIND(",", O998, FIND(",", O998)+1)-1), "")</f>
        <v/>
      </c>
      <c r="S998" s="35" t="str" cm="1">
        <f t="array" ref="S998">_xlfn.TEXTJOIN(", ",TRUE,_xlfn._xlws.FILTER(Tabla29[[#All],[PARTE]],ISNUMBER(SEARCH(Tabla29[[#All],[PCLAVE3]],Tabla8[[#This Row],[DESCRIPCION DE TRABAJO]])),""))</f>
        <v/>
      </c>
      <c r="T998" s="34" t="str">
        <f>IF(AND(Tabla8[[#This Row],[PIEZA]]="",Tabla8[[#This Row],[PARTE]]=""),"VACIO","OK")</f>
        <v>VACIO</v>
      </c>
      <c r="U998" s="303" t="str">
        <f>+CONCATENATE(WEEKNUM(Tabla8[[#This Row],[FECHA]]),"-",YEAR(Tabla8[[#This Row],[FECHA]]))</f>
        <v>17-2026</v>
      </c>
    </row>
    <row r="999" spans="1:21" ht="15" customHeight="1">
      <c r="A999" s="22">
        <v>46135</v>
      </c>
      <c r="B999" s="16" t="s">
        <v>88</v>
      </c>
      <c r="C999" s="10" t="s">
        <v>36</v>
      </c>
      <c r="D999" s="381" t="s">
        <v>1951</v>
      </c>
      <c r="E999" s="381" t="s">
        <v>430</v>
      </c>
      <c r="F999" s="380">
        <f>+MOD(Tabla8[[#This Row],[HR. FIN]]-Tabla8[[#This Row],[HR. INICIO]],1)</f>
        <v>1.0416666666666657E-2</v>
      </c>
      <c r="G999" s="16" t="s">
        <v>690</v>
      </c>
      <c r="H999" s="343" t="str">
        <f>IFERROR(VLOOKUP(G999,DATOS!$M$2:$N$219,2,FALSE),"")</f>
        <v>Equipos auxiliares</v>
      </c>
      <c r="I999" s="115" t="s">
        <v>54</v>
      </c>
      <c r="J999" s="115" t="str">
        <f>+VLOOKUP($I999,Tabla7[#All],2,FALSE)</f>
        <v>PROGRAMADA</v>
      </c>
      <c r="K999" s="114" t="str">
        <f>IF(VLOOKUP(I999,Tabla7[#All],3,FALSE)=0,"",VLOOKUP(I999,Tabla7[#All],3,FALSE))</f>
        <v/>
      </c>
      <c r="L999" s="35" t="s">
        <v>1658</v>
      </c>
      <c r="M999" s="35" t="s">
        <v>1952</v>
      </c>
      <c r="N999" s="35" t="str" cm="1">
        <f t="array" ref="N999">IFERROR(IF(Tabla8[[#This Row],[P/NP]]="NO PROGRAMADA","",_xlfn.TEXTJOIN(", ",TRUE,_xlfn._xlws.FILTER(Tabla4[[#All],[PIEZA]],ISNUMBER(SEARCH(Tabla4[[#All],[PCLAVE]],Tabla8[[#This Row],[DESCRIPCION DE TRABAJO]])),""))),"")</f>
        <v/>
      </c>
      <c r="O999" s="35" t="str" cm="1">
        <f t="array" ref="O999">_xlfn.TEXTJOIN(", ",TRUE,_xlfn._xlws.FILTER(Tabla28[[#All],[PARTE]],ISNUMBER(SEARCH(Tabla28[[#All],[PCLAVE2]],Tabla8[[#This Row],[DESCRIPCION DE TRABAJO]])),""))</f>
        <v/>
      </c>
      <c r="P999" s="303" t="str">
        <f>IFERROR(LEFT(O999, FIND(",", O999)-1), O999)</f>
        <v/>
      </c>
      <c r="Q999" s="303" t="str">
        <f>IFERROR(IF(ISERROR(FIND(",", O999, FIND(",", O999)+1)), RIGHT(O999, LEN(O999)-FIND(",", O999)-1), MID(O999, FIND(",", O999)+2, FIND(",", O999, FIND(",", O999)+1)-FIND(",", O999)-2)), "")</f>
        <v/>
      </c>
      <c r="R999" s="303" t="str">
        <f>IFERROR(RIGHT(O999, LEN(O999)-FIND(",", O999, FIND(",", O999)+1)-1), "")</f>
        <v/>
      </c>
      <c r="S999" s="35" t="str" cm="1">
        <f t="array" ref="S999">_xlfn.TEXTJOIN(", ",TRUE,_xlfn._xlws.FILTER(Tabla29[[#All],[PARTE]],ISNUMBER(SEARCH(Tabla29[[#All],[PCLAVE3]],Tabla8[[#This Row],[DESCRIPCION DE TRABAJO]])),""))</f>
        <v/>
      </c>
      <c r="T999" s="34" t="str">
        <f>IF(AND(Tabla8[[#This Row],[PIEZA]]="",Tabla8[[#This Row],[PARTE]]=""),"VACIO","OK")</f>
        <v>VACIO</v>
      </c>
      <c r="U999" s="303" t="str">
        <f>+CONCATENATE(WEEKNUM(Tabla8[[#This Row],[FECHA]]),"-",YEAR(Tabla8[[#This Row],[FECHA]]))</f>
        <v>17-2026</v>
      </c>
    </row>
    <row r="1000" spans="1:21" ht="15" customHeight="1">
      <c r="A1000" s="22">
        <v>46135</v>
      </c>
      <c r="B1000" s="16" t="s">
        <v>131</v>
      </c>
      <c r="C1000" s="10" t="s">
        <v>36</v>
      </c>
      <c r="D1000" s="381" t="s">
        <v>96</v>
      </c>
      <c r="E1000" s="381" t="s">
        <v>523</v>
      </c>
      <c r="F1000" s="380">
        <f>+MOD(Tabla8[[#This Row],[HR. FIN]]-Tabla8[[#This Row],[HR. INICIO]],1)</f>
        <v>1.041666666666663E-2</v>
      </c>
      <c r="G1000" s="16" t="s">
        <v>119</v>
      </c>
      <c r="H1000" s="343" t="str">
        <f>IFERROR(VLOOKUP(G1000,DATOS!$M$2:$N$219,2,FALSE),"")</f>
        <v>Maquinaria</v>
      </c>
      <c r="I1000" s="115" t="s">
        <v>54</v>
      </c>
      <c r="J1000" s="115" t="str">
        <f>+VLOOKUP($I1000,Tabla7[#All],2,FALSE)</f>
        <v>PROGRAMADA</v>
      </c>
      <c r="K1000" s="114" t="str">
        <f>IF(VLOOKUP(I1000,Tabla7[#All],3,FALSE)=0,"",VLOOKUP(I1000,Tabla7[#All],3,FALSE))</f>
        <v/>
      </c>
      <c r="L1000" s="35" t="s">
        <v>1953</v>
      </c>
      <c r="M1000" s="35" t="s">
        <v>121</v>
      </c>
      <c r="N1000" s="35" t="str" cm="1">
        <f t="array" ref="N1000">IFERROR(IF(Tabla8[[#This Row],[P/NP]]="NO PROGRAMADA","",_xlfn.TEXTJOIN(", ",TRUE,_xlfn._xlws.FILTER(Tabla4[[#All],[PIEZA]],ISNUMBER(SEARCH(Tabla4[[#All],[PCLAVE]],Tabla8[[#This Row],[DESCRIPCION DE TRABAJO]])),""))),"")</f>
        <v/>
      </c>
      <c r="O1000" s="35" t="str" cm="1">
        <f t="array" ref="O1000">_xlfn.TEXTJOIN(", ",TRUE,_xlfn._xlws.FILTER(Tabla28[[#All],[PARTE]],ISNUMBER(SEARCH(Tabla28[[#All],[PCLAVE2]],Tabla8[[#This Row],[DESCRIPCION DE TRABAJO]])),""))</f>
        <v>Temperadora</v>
      </c>
      <c r="P1000" s="303" t="str">
        <f>IFERROR(LEFT(O1000, FIND(",", O1000)-1), O1000)</f>
        <v>Temperadora</v>
      </c>
      <c r="Q1000" s="303" t="str">
        <f>IFERROR(IF(ISERROR(FIND(",", O1000, FIND(",", O1000)+1)), RIGHT(O1000, LEN(O1000)-FIND(",", O1000)-1), MID(O1000, FIND(",", O1000)+2, FIND(",", O1000, FIND(",", O1000)+1)-FIND(",", O1000)-2)), "")</f>
        <v/>
      </c>
      <c r="R1000" s="303" t="str">
        <f>IFERROR(RIGHT(O1000, LEN(O1000)-FIND(",", O1000, FIND(",", O1000)+1)-1), "")</f>
        <v/>
      </c>
      <c r="S1000" s="35" t="str" cm="1">
        <f t="array" ref="S1000">_xlfn.TEXTJOIN(", ",TRUE,_xlfn._xlws.FILTER(Tabla29[[#All],[PARTE]],ISNUMBER(SEARCH(Tabla29[[#All],[PCLAVE3]],Tabla8[[#This Row],[DESCRIPCION DE TRABAJO]])),""))</f>
        <v/>
      </c>
      <c r="T1000" s="34" t="str">
        <f>IF(AND(Tabla8[[#This Row],[PIEZA]]="",Tabla8[[#This Row],[PARTE]]=""),"VACIO","OK")</f>
        <v>OK</v>
      </c>
      <c r="U1000" s="303" t="str">
        <f>+CONCATENATE(WEEKNUM(Tabla8[[#This Row],[FECHA]]),"-",YEAR(Tabla8[[#This Row],[FECHA]]))</f>
        <v>17-2026</v>
      </c>
    </row>
    <row r="1001" spans="1:21" ht="15" customHeight="1">
      <c r="A1001" s="22">
        <v>46135</v>
      </c>
      <c r="B1001" s="16" t="s">
        <v>131</v>
      </c>
      <c r="C1001" s="10" t="s">
        <v>36</v>
      </c>
      <c r="D1001" s="381" t="s">
        <v>1246</v>
      </c>
      <c r="E1001" s="381" t="s">
        <v>934</v>
      </c>
      <c r="F1001" s="380">
        <f>+MOD(Tabla8[[#This Row],[HR. FIN]]-Tabla8[[#This Row],[HR. INICIO]],1)</f>
        <v>9.7222222222222154E-3</v>
      </c>
      <c r="G1001" s="16" t="s">
        <v>119</v>
      </c>
      <c r="H1001" s="343" t="str">
        <f>IFERROR(VLOOKUP(G1001,DATOS!$M$2:$N$219,2,FALSE),"")</f>
        <v>Maquinaria</v>
      </c>
      <c r="I1001" s="115" t="s">
        <v>32</v>
      </c>
      <c r="J1001" s="115" t="str">
        <f>+VLOOKUP($I1001,Tabla7[#All],2,FALSE)</f>
        <v>PROGRAMADA</v>
      </c>
      <c r="K1001" s="114" t="str">
        <f>IF(VLOOKUP(I1001,Tabla7[#All],3,FALSE)=0,"",VLOOKUP(I1001,Tabla7[#All],3,FALSE))</f>
        <v/>
      </c>
      <c r="L1001" s="35" t="s">
        <v>1954</v>
      </c>
      <c r="M1001" s="35" t="s">
        <v>121</v>
      </c>
      <c r="N1001" s="35" t="str" cm="1">
        <f t="array" ref="N1001">IFERROR(IF(Tabla8[[#This Row],[P/NP]]="NO PROGRAMADA","",_xlfn.TEXTJOIN(", ",TRUE,_xlfn._xlws.FILTER(Tabla4[[#All],[PIEZA]],ISNUMBER(SEARCH(Tabla4[[#All],[PCLAVE]],Tabla8[[#This Row],[DESCRIPCION DE TRABAJO]])),""))),"")</f>
        <v>Husillo, Husillo, Piston(es), Planchas</v>
      </c>
      <c r="O1001" s="35" t="str" cm="1">
        <f t="array" ref="O1001">_xlfn.TEXTJOIN(", ",TRUE,_xlfn._xlws.FILTER(Tabla28[[#All],[PARTE]],ISNUMBER(SEARCH(Tabla28[[#All],[PCLAVE2]],Tabla8[[#This Row],[DESCRIPCION DE TRABAJO]])),""))</f>
        <v/>
      </c>
      <c r="P1001" s="303" t="str">
        <f>IFERROR(LEFT(O1001, FIND(",", O1001)-1), O1001)</f>
        <v/>
      </c>
      <c r="Q1001" s="303" t="str">
        <f>IFERROR(IF(ISERROR(FIND(",", O1001, FIND(",", O1001)+1)), RIGHT(O1001, LEN(O1001)-FIND(",", O1001)-1), MID(O1001, FIND(",", O1001)+2, FIND(",", O1001, FIND(",", O1001)+1)-FIND(",", O1001)-2)), "")</f>
        <v/>
      </c>
      <c r="R1001" s="303" t="str">
        <f>IFERROR(RIGHT(O1001, LEN(O1001)-FIND(",", O1001, FIND(",", O1001)+1)-1), "")</f>
        <v/>
      </c>
      <c r="S1001" s="35" t="str" cm="1">
        <f t="array" ref="S1001">_xlfn.TEXTJOIN(", ",TRUE,_xlfn._xlws.FILTER(Tabla29[[#All],[PARTE]],ISNUMBER(SEARCH(Tabla29[[#All],[PCLAVE3]],Tabla8[[#This Row],[DESCRIPCION DE TRABAJO]])),""))</f>
        <v>Sustitucion</v>
      </c>
      <c r="T1001" s="34" t="str">
        <f>IF(AND(Tabla8[[#This Row],[PIEZA]]="",Tabla8[[#This Row],[PARTE]]=""),"VACIO","OK")</f>
        <v>OK</v>
      </c>
      <c r="U1001" s="303" t="str">
        <f>+CONCATENATE(WEEKNUM(Tabla8[[#This Row],[FECHA]]),"-",YEAR(Tabla8[[#This Row],[FECHA]]))</f>
        <v>17-2026</v>
      </c>
    </row>
    <row r="1002" spans="1:21" ht="15" customHeight="1">
      <c r="A1002" s="22">
        <v>46135</v>
      </c>
      <c r="B1002" s="16" t="s">
        <v>88</v>
      </c>
      <c r="C1002" s="10" t="s">
        <v>36</v>
      </c>
      <c r="D1002" s="381" t="s">
        <v>1580</v>
      </c>
      <c r="E1002" s="381" t="s">
        <v>672</v>
      </c>
      <c r="F1002" s="380">
        <f>+MOD(Tabla8[[#This Row],[HR. FIN]]-Tabla8[[#This Row],[HR. INICIO]],1)</f>
        <v>6.9444444444444198E-3</v>
      </c>
      <c r="G1002" s="16" t="s">
        <v>1205</v>
      </c>
      <c r="H1002" s="343" t="str">
        <f>IFERROR(VLOOKUP(G1002,DATOS!$M$2:$N$219,2,FALSE),"")</f>
        <v>Maquinaria</v>
      </c>
      <c r="I1002" s="115" t="s">
        <v>32</v>
      </c>
      <c r="J1002" s="115" t="str">
        <f>+VLOOKUP($I1002,Tabla7[#All],2,FALSE)</f>
        <v>PROGRAMADA</v>
      </c>
      <c r="K1002" s="114" t="str">
        <f>IF(VLOOKUP(I1002,Tabla7[#All],3,FALSE)=0,"",VLOOKUP(I1002,Tabla7[#All],3,FALSE))</f>
        <v/>
      </c>
      <c r="L1002" s="35" t="s">
        <v>1955</v>
      </c>
      <c r="M1002" s="35" t="s">
        <v>1956</v>
      </c>
      <c r="N1002" s="35" t="str" cm="1">
        <f t="array" ref="N1002">IFERROR(IF(Tabla8[[#This Row],[P/NP]]="NO PROGRAMADA","",_xlfn.TEXTJOIN(", ",TRUE,_xlfn._xlws.FILTER(Tabla4[[#All],[PIEZA]],ISNUMBER(SEARCH(Tabla4[[#All],[PCLAVE]],Tabla8[[#This Row],[DESCRIPCION DE TRABAJO]])),""))),"")</f>
        <v xml:space="preserve">Bomba </v>
      </c>
      <c r="O1002" s="35" t="str" cm="1">
        <f t="array" ref="O1002">_xlfn.TEXTJOIN(", ",TRUE,_xlfn._xlws.FILTER(Tabla28[[#All],[PARTE]],ISNUMBER(SEARCH(Tabla28[[#All],[PCLAVE2]],Tabla8[[#This Row],[DESCRIPCION DE TRABAJO]])),""))</f>
        <v/>
      </c>
      <c r="P1002" s="303" t="str">
        <f>IFERROR(LEFT(O1002, FIND(",", O1002)-1), O1002)</f>
        <v/>
      </c>
      <c r="Q1002" s="303" t="str">
        <f>IFERROR(IF(ISERROR(FIND(",", O1002, FIND(",", O1002)+1)), RIGHT(O1002, LEN(O1002)-FIND(",", O1002)-1), MID(O1002, FIND(",", O1002)+2, FIND(",", O1002, FIND(",", O1002)+1)-FIND(",", O1002)-2)), "")</f>
        <v/>
      </c>
      <c r="R1002" s="303" t="str">
        <f>IFERROR(RIGHT(O1002, LEN(O1002)-FIND(",", O1002, FIND(",", O1002)+1)-1), "")</f>
        <v/>
      </c>
      <c r="S1002" s="35" t="str" cm="1">
        <f t="array" ref="S1002">_xlfn.TEXTJOIN(", ",TRUE,_xlfn._xlws.FILTER(Tabla29[[#All],[PARTE]],ISNUMBER(SEARCH(Tabla29[[#All],[PCLAVE3]],Tabla8[[#This Row],[DESCRIPCION DE TRABAJO]])),""))</f>
        <v>Sustitucion</v>
      </c>
      <c r="T1002" s="34" t="str">
        <f>IF(AND(Tabla8[[#This Row],[PIEZA]]="",Tabla8[[#This Row],[PARTE]]=""),"VACIO","OK")</f>
        <v>OK</v>
      </c>
      <c r="U1002" s="303" t="str">
        <f>+CONCATENATE(WEEKNUM(Tabla8[[#This Row],[FECHA]]),"-",YEAR(Tabla8[[#This Row],[FECHA]]))</f>
        <v>17-2026</v>
      </c>
    </row>
    <row r="1003" spans="1:21" ht="15" customHeight="1">
      <c r="A1003" s="22">
        <v>46139</v>
      </c>
      <c r="B1003" s="16" t="s">
        <v>88</v>
      </c>
      <c r="C1003" s="10" t="s">
        <v>36</v>
      </c>
      <c r="D1003" s="381" t="s">
        <v>670</v>
      </c>
      <c r="E1003" s="381" t="s">
        <v>392</v>
      </c>
      <c r="F1003" s="380">
        <f>+MOD(Tabla8[[#This Row],[HR. FIN]]-Tabla8[[#This Row],[HR. INICIO]],1)</f>
        <v>5.555555555555558E-2</v>
      </c>
      <c r="G1003" s="16" t="s">
        <v>98</v>
      </c>
      <c r="H1003" s="343" t="str">
        <f>IFERROR(VLOOKUP(G1003,DATOS!$M$2:$N$219,2,FALSE),"")</f>
        <v>Maquinaria</v>
      </c>
      <c r="I1003" s="115" t="s">
        <v>32</v>
      </c>
      <c r="J1003" s="115" t="str">
        <f>+VLOOKUP($I1003,Tabla7[#All],2,FALSE)</f>
        <v>PROGRAMADA</v>
      </c>
      <c r="K1003" s="114" t="str">
        <f>IF(VLOOKUP(I1003,Tabla7[#All],3,FALSE)=0,"",VLOOKUP(I1003,Tabla7[#All],3,FALSE))</f>
        <v/>
      </c>
      <c r="L1003" s="35" t="s">
        <v>1957</v>
      </c>
      <c r="M1003" s="35" t="s">
        <v>1958</v>
      </c>
      <c r="N1003" s="35" t="str" cm="1">
        <f t="array" ref="N1003">IFERROR(IF(Tabla8[[#This Row],[P/NP]]="NO PROGRAMADA","",_xlfn.TEXTJOIN(", ",TRUE,_xlfn._xlws.FILTER(Tabla4[[#All],[PIEZA]],ISNUMBER(SEARCH(Tabla4[[#All],[PCLAVE]],Tabla8[[#This Row],[DESCRIPCION DE TRABAJO]])),""))),"")</f>
        <v/>
      </c>
      <c r="O1003" s="35" t="str" cm="1">
        <f t="array" ref="O1003">_xlfn.TEXTJOIN(", ",TRUE,_xlfn._xlws.FILTER(Tabla28[[#All],[PARTE]],ISNUMBER(SEARCH(Tabla28[[#All],[PCLAVE2]],Tabla8[[#This Row],[DESCRIPCION DE TRABAJO]])),""))</f>
        <v/>
      </c>
      <c r="P1003" s="303" t="str">
        <f>IFERROR(LEFT(O1003, FIND(",", O1003)-1), O1003)</f>
        <v/>
      </c>
      <c r="Q1003" s="303" t="str">
        <f>IFERROR(IF(ISERROR(FIND(",", O1003, FIND(",", O1003)+1)), RIGHT(O1003, LEN(O1003)-FIND(",", O1003)-1), MID(O1003, FIND(",", O1003)+2, FIND(",", O1003, FIND(",", O1003)+1)-FIND(",", O1003)-2)), "")</f>
        <v/>
      </c>
      <c r="R1003" s="303" t="str">
        <f>IFERROR(RIGHT(O1003, LEN(O1003)-FIND(",", O1003, FIND(",", O1003)+1)-1), "")</f>
        <v/>
      </c>
      <c r="S1003" s="35" t="str" cm="1">
        <f t="array" ref="S1003">_xlfn.TEXTJOIN(", ",TRUE,_xlfn._xlws.FILTER(Tabla29[[#All],[PARTE]],ISNUMBER(SEARCH(Tabla29[[#All],[PCLAVE3]],Tabla8[[#This Row],[DESCRIPCION DE TRABAJO]])),""))</f>
        <v/>
      </c>
      <c r="T1003" s="34" t="str">
        <f>IF(AND(Tabla8[[#This Row],[PIEZA]]="",Tabla8[[#This Row],[PARTE]]=""),"VACIO","OK")</f>
        <v>VACIO</v>
      </c>
      <c r="U1003" s="303" t="str">
        <f>+CONCATENATE(WEEKNUM(Tabla8[[#This Row],[FECHA]]),"-",YEAR(Tabla8[[#This Row],[FECHA]]))</f>
        <v>18-2026</v>
      </c>
    </row>
    <row r="1004" spans="1:21" ht="15" customHeight="1">
      <c r="A1004" s="22">
        <v>46139</v>
      </c>
      <c r="B1004" s="16" t="s">
        <v>179</v>
      </c>
      <c r="C1004" s="10" t="s">
        <v>36</v>
      </c>
      <c r="D1004" s="381">
        <v>0.86597222222222225</v>
      </c>
      <c r="E1004" s="381">
        <v>0.90972222222222221</v>
      </c>
      <c r="F1004" s="380">
        <f>+MOD(Tabla8[[#This Row],[HR. FIN]]-Tabla8[[#This Row],[HR. INICIO]],1)</f>
        <v>4.3749999999999956E-2</v>
      </c>
      <c r="G1004" s="16" t="s">
        <v>169</v>
      </c>
      <c r="H1004" s="343" t="str">
        <f>IFERROR(VLOOKUP(G1004,DATOS!$M$2:$N$219,2,FALSE),"")</f>
        <v>Maquinaria</v>
      </c>
      <c r="I1004" s="115" t="s">
        <v>32</v>
      </c>
      <c r="J1004" s="115" t="str">
        <f>+VLOOKUP($I1004,Tabla7[#All],2,FALSE)</f>
        <v>PROGRAMADA</v>
      </c>
      <c r="K1004" s="114" t="str">
        <f>IF(VLOOKUP(I1004,Tabla7[#All],3,FALSE)=0,"",VLOOKUP(I1004,Tabla7[#All],3,FALSE))</f>
        <v/>
      </c>
      <c r="L1004" s="35" t="s">
        <v>1959</v>
      </c>
      <c r="M1004" s="35" t="s">
        <v>121</v>
      </c>
      <c r="N1004" s="35" t="str" cm="1">
        <f t="array" ref="N1004">IFERROR(IF(Tabla8[[#This Row],[P/NP]]="NO PROGRAMADA","",_xlfn.TEXTJOIN(", ",TRUE,_xlfn._xlws.FILTER(Tabla4[[#All],[PIEZA]],ISNUMBER(SEARCH(Tabla4[[#All],[PCLAVE]],Tabla8[[#This Row],[DESCRIPCION DE TRABAJO]])),""))),"")</f>
        <v/>
      </c>
      <c r="O1004" s="35" t="str" cm="1">
        <f t="array" ref="O1004">_xlfn.TEXTJOIN(", ",TRUE,_xlfn._xlws.FILTER(Tabla28[[#All],[PARTE]],ISNUMBER(SEARCH(Tabla28[[#All],[PCLAVE2]],Tabla8[[#This Row],[DESCRIPCION DE TRABAJO]])),""))</f>
        <v/>
      </c>
      <c r="P1004" s="303" t="str">
        <f>IFERROR(LEFT(O1004, FIND(",", O1004)-1), O1004)</f>
        <v/>
      </c>
      <c r="Q1004" s="303" t="str">
        <f>IFERROR(IF(ISERROR(FIND(",", O1004, FIND(",", O1004)+1)), RIGHT(O1004, LEN(O1004)-FIND(",", O1004)-1), MID(O1004, FIND(",", O1004)+2, FIND(",", O1004, FIND(",", O1004)+1)-FIND(",", O1004)-2)), "")</f>
        <v/>
      </c>
      <c r="R1004" s="303" t="str">
        <f>IFERROR(RIGHT(O1004, LEN(O1004)-FIND(",", O1004, FIND(",", O1004)+1)-1), "")</f>
        <v/>
      </c>
      <c r="S1004" s="35" t="str" cm="1">
        <f t="array" ref="S1004">_xlfn.TEXTJOIN(", ",TRUE,_xlfn._xlws.FILTER(Tabla29[[#All],[PARTE]],ISNUMBER(SEARCH(Tabla29[[#All],[PCLAVE3]],Tabla8[[#This Row],[DESCRIPCION DE TRABAJO]])),""))</f>
        <v/>
      </c>
      <c r="T1004" s="34" t="str">
        <f>IF(AND(Tabla8[[#This Row],[PIEZA]]="",Tabla8[[#This Row],[PARTE]]=""),"VACIO","OK")</f>
        <v>VACIO</v>
      </c>
      <c r="U1004" s="303" t="str">
        <f>+CONCATENATE(WEEKNUM(Tabla8[[#This Row],[FECHA]]),"-",YEAR(Tabla8[[#This Row],[FECHA]]))</f>
        <v>18-2026</v>
      </c>
    </row>
    <row r="1005" spans="1:21" ht="15" customHeight="1">
      <c r="A1005" s="22">
        <v>46139</v>
      </c>
      <c r="B1005" s="16" t="s">
        <v>88</v>
      </c>
      <c r="C1005" s="10" t="s">
        <v>36</v>
      </c>
      <c r="D1005" s="381" t="s">
        <v>101</v>
      </c>
      <c r="E1005" s="381" t="s">
        <v>122</v>
      </c>
      <c r="F1005" s="380">
        <f>+MOD(Tabla8[[#This Row],[HR. FIN]]-Tabla8[[#This Row],[HR. INICIO]],1)</f>
        <v>4.1666666666666657E-2</v>
      </c>
      <c r="G1005" s="16" t="s">
        <v>103</v>
      </c>
      <c r="H1005" s="343" t="str">
        <f>IFERROR(VLOOKUP(G1005,DATOS!$M$2:$N$219,2,FALSE),"")</f>
        <v>Area</v>
      </c>
      <c r="I1005" s="115" t="s">
        <v>43</v>
      </c>
      <c r="J1005" s="115" t="str">
        <f>+VLOOKUP($I1005,Tabla7[#All],2,FALSE)</f>
        <v>PROGRAMADA</v>
      </c>
      <c r="K1005" s="114" t="str">
        <f>IF(VLOOKUP(I1005,Tabla7[#All],3,FALSE)=0,"",VLOOKUP(I1005,Tabla7[#All],3,FALSE))</f>
        <v/>
      </c>
      <c r="L1005" s="35" t="s">
        <v>446</v>
      </c>
      <c r="M1005" s="35" t="s">
        <v>1403</v>
      </c>
      <c r="N1005" s="35" t="str" cm="1">
        <f t="array" ref="N1005">IFERROR(IF(Tabla8[[#This Row],[P/NP]]="NO PROGRAMADA","",_xlfn.TEXTJOIN(", ",TRUE,_xlfn._xlws.FILTER(Tabla4[[#All],[PIEZA]],ISNUMBER(SEARCH(Tabla4[[#All],[PCLAVE]],Tabla8[[#This Row],[DESCRIPCION DE TRABAJO]])),""))),"")</f>
        <v/>
      </c>
      <c r="O1005" s="35" t="str" cm="1">
        <f t="array" ref="O1005">_xlfn.TEXTJOIN(", ",TRUE,_xlfn._xlws.FILTER(Tabla28[[#All],[PARTE]],ISNUMBER(SEARCH(Tabla28[[#All],[PCLAVE2]],Tabla8[[#This Row],[DESCRIPCION DE TRABAJO]])),""))</f>
        <v/>
      </c>
      <c r="P1005" s="303" t="str">
        <f>IFERROR(LEFT(O1005, FIND(",", O1005)-1), O1005)</f>
        <v/>
      </c>
      <c r="Q1005" s="303" t="str">
        <f>IFERROR(IF(ISERROR(FIND(",", O1005, FIND(",", O1005)+1)), RIGHT(O1005, LEN(O1005)-FIND(",", O1005)-1), MID(O1005, FIND(",", O1005)+2, FIND(",", O1005, FIND(",", O1005)+1)-FIND(",", O1005)-2)), "")</f>
        <v/>
      </c>
      <c r="R1005" s="303" t="str">
        <f>IFERROR(RIGHT(O1005, LEN(O1005)-FIND(",", O1005, FIND(",", O1005)+1)-1), "")</f>
        <v/>
      </c>
      <c r="S1005" s="35" t="str" cm="1">
        <f t="array" ref="S1005">_xlfn.TEXTJOIN(", ",TRUE,_xlfn._xlws.FILTER(Tabla29[[#All],[PARTE]],ISNUMBER(SEARCH(Tabla29[[#All],[PCLAVE3]],Tabla8[[#This Row],[DESCRIPCION DE TRABAJO]])),""))</f>
        <v/>
      </c>
      <c r="T1005" s="34" t="str">
        <f>IF(AND(Tabla8[[#This Row],[PIEZA]]="",Tabla8[[#This Row],[PARTE]]=""),"VACIO","OK")</f>
        <v>VACIO</v>
      </c>
      <c r="U1005" s="303" t="str">
        <f>+CONCATENATE(WEEKNUM(Tabla8[[#This Row],[FECHA]]),"-",YEAR(Tabla8[[#This Row],[FECHA]]))</f>
        <v>18-2026</v>
      </c>
    </row>
    <row r="1006" spans="1:21" ht="15" customHeight="1">
      <c r="A1006" s="22">
        <v>46139</v>
      </c>
      <c r="B1006" s="16" t="s">
        <v>111</v>
      </c>
      <c r="C1006" s="10" t="s">
        <v>23</v>
      </c>
      <c r="D1006" s="381" t="s">
        <v>525</v>
      </c>
      <c r="E1006" s="381" t="s">
        <v>1960</v>
      </c>
      <c r="F1006" s="380">
        <f>+MOD(Tabla8[[#This Row],[HR. FIN]]-Tabla8[[#This Row],[HR. INICIO]],1)</f>
        <v>4.166666666666663E-2</v>
      </c>
      <c r="G1006" s="16" t="s">
        <v>119</v>
      </c>
      <c r="H1006" s="343" t="str">
        <f>IFERROR(VLOOKUP(G1006,DATOS!$M$2:$N$219,2,FALSE),"")</f>
        <v>Maquinaria</v>
      </c>
      <c r="I1006" s="115" t="s">
        <v>54</v>
      </c>
      <c r="J1006" s="115" t="s">
        <v>92</v>
      </c>
      <c r="K1006" s="114" t="s">
        <v>93</v>
      </c>
      <c r="L1006" s="35" t="s">
        <v>1961</v>
      </c>
      <c r="M1006" s="35" t="s">
        <v>1962</v>
      </c>
      <c r="N1006" s="35" t="str" cm="1">
        <f t="array" ref="N1006">IFERROR(IF(Tabla8[[#This Row],[P/NP]]="NO PROGRAMADA","",_xlfn.TEXTJOIN(", ",TRUE,_xlfn._xlws.FILTER(Tabla4[[#All],[PIEZA]],ISNUMBER(SEARCH(Tabla4[[#All],[PCLAVE]],Tabla8[[#This Row],[DESCRIPCION DE TRABAJO]])),""))),"")</f>
        <v/>
      </c>
      <c r="O1006" s="35" t="str" cm="1">
        <f t="array" ref="O1006">_xlfn.TEXTJOIN(", ",TRUE,_xlfn._xlws.FILTER(Tabla28[[#All],[PARTE]],ISNUMBER(SEARCH(Tabla28[[#All],[PCLAVE2]],Tabla8[[#This Row],[DESCRIPCION DE TRABAJO]])),""))</f>
        <v/>
      </c>
      <c r="P1006" s="303" t="str">
        <f>IFERROR(LEFT(O1006, FIND(",", O1006)-1), O1006)</f>
        <v/>
      </c>
      <c r="Q1006" s="303" t="str">
        <f>IFERROR(IF(ISERROR(FIND(",", O1006, FIND(",", O1006)+1)), RIGHT(O1006, LEN(O1006)-FIND(",", O1006)-1), MID(O1006, FIND(",", O1006)+2, FIND(",", O1006, FIND(",", O1006)+1)-FIND(",", O1006)-2)), "")</f>
        <v/>
      </c>
      <c r="R1006" s="303" t="str">
        <f>IFERROR(RIGHT(O1006, LEN(O1006)-FIND(",", O1006, FIND(",", O1006)+1)-1), "")</f>
        <v/>
      </c>
      <c r="S1006" s="35" t="str" cm="1">
        <f t="array" ref="S1006">_xlfn.TEXTJOIN(", ",TRUE,_xlfn._xlws.FILTER(Tabla29[[#All],[PARTE]],ISNUMBER(SEARCH(Tabla29[[#All],[PCLAVE3]],Tabla8[[#This Row],[DESCRIPCION DE TRABAJO]])),""))</f>
        <v/>
      </c>
      <c r="T1006" s="34" t="str">
        <f>IF(AND(Tabla8[[#This Row],[PIEZA]]="",Tabla8[[#This Row],[PARTE]]=""),"VACIO","OK")</f>
        <v>VACIO</v>
      </c>
      <c r="U1006" s="303" t="str">
        <f>+CONCATENATE(WEEKNUM(Tabla8[[#This Row],[FECHA]]),"-",YEAR(Tabla8[[#This Row],[FECHA]]))</f>
        <v>18-2026</v>
      </c>
    </row>
    <row r="1007" spans="1:21" ht="15" customHeight="1">
      <c r="A1007" s="22">
        <v>46139</v>
      </c>
      <c r="B1007" s="16" t="s">
        <v>111</v>
      </c>
      <c r="C1007" s="10" t="s">
        <v>23</v>
      </c>
      <c r="D1007" s="381" t="s">
        <v>656</v>
      </c>
      <c r="E1007" s="381" t="s">
        <v>453</v>
      </c>
      <c r="F1007" s="380">
        <f>+MOD(Tabla8[[#This Row],[HR. FIN]]-Tabla8[[#This Row],[HR. INICIO]],1)</f>
        <v>3.819444444444442E-2</v>
      </c>
      <c r="G1007" s="16" t="s">
        <v>182</v>
      </c>
      <c r="H1007" s="343" t="str">
        <f>IFERROR(VLOOKUP(G1007,DATOS!$M$2:$N$219,2,FALSE),"")</f>
        <v>Maquinaria</v>
      </c>
      <c r="I1007" s="115" t="s">
        <v>32</v>
      </c>
      <c r="J1007" s="115" t="str">
        <f>+VLOOKUP($I1007,Tabla7[#All],2,FALSE)</f>
        <v>PROGRAMADA</v>
      </c>
      <c r="K1007" s="114" t="str">
        <f>IF(VLOOKUP(I1007,Tabla7[#All],3,FALSE)=0,"",VLOOKUP(I1007,Tabla7[#All],3,FALSE))</f>
        <v/>
      </c>
      <c r="L1007" s="35" t="s">
        <v>1963</v>
      </c>
      <c r="M1007" s="35" t="s">
        <v>1964</v>
      </c>
      <c r="N1007" s="35" t="str" cm="1">
        <f t="array" ref="N1007">IFERROR(IF(Tabla8[[#This Row],[P/NP]]="NO PROGRAMADA","",_xlfn.TEXTJOIN(", ",TRUE,_xlfn._xlws.FILTER(Tabla4[[#All],[PIEZA]],ISNUMBER(SEARCH(Tabla4[[#All],[PCLAVE]],Tabla8[[#This Row],[DESCRIPCION DE TRABAJO]])),""))),"")</f>
        <v/>
      </c>
      <c r="O1007" s="35" t="str" cm="1">
        <f t="array" ref="O1007">_xlfn.TEXTJOIN(", ",TRUE,_xlfn._xlws.FILTER(Tabla28[[#All],[PARTE]],ISNUMBER(SEARCH(Tabla28[[#All],[PCLAVE2]],Tabla8[[#This Row],[DESCRIPCION DE TRABAJO]])),""))</f>
        <v/>
      </c>
      <c r="P1007" s="303" t="str">
        <f>IFERROR(LEFT(O1007, FIND(",", O1007)-1), O1007)</f>
        <v/>
      </c>
      <c r="Q1007" s="303" t="str">
        <f>IFERROR(IF(ISERROR(FIND(",", O1007, FIND(",", O1007)+1)), RIGHT(O1007, LEN(O1007)-FIND(",", O1007)-1), MID(O1007, FIND(",", O1007)+2, FIND(",", O1007, FIND(",", O1007)+1)-FIND(",", O1007)-2)), "")</f>
        <v/>
      </c>
      <c r="R1007" s="303" t="str">
        <f>IFERROR(RIGHT(O1007, LEN(O1007)-FIND(",", O1007, FIND(",", O1007)+1)-1), "")</f>
        <v/>
      </c>
      <c r="S1007" s="35" t="str" cm="1">
        <f t="array" ref="S1007">_xlfn.TEXTJOIN(", ",TRUE,_xlfn._xlws.FILTER(Tabla29[[#All],[PARTE]],ISNUMBER(SEARCH(Tabla29[[#All],[PCLAVE3]],Tabla8[[#This Row],[DESCRIPCION DE TRABAJO]])),""))</f>
        <v>Cambio De Formato</v>
      </c>
      <c r="T1007" s="34" t="str">
        <f>IF(AND(Tabla8[[#This Row],[PIEZA]]="",Tabla8[[#This Row],[PARTE]]=""),"VACIO","OK")</f>
        <v>VACIO</v>
      </c>
      <c r="U1007" s="303" t="str">
        <f>+CONCATENATE(WEEKNUM(Tabla8[[#This Row],[FECHA]]),"-",YEAR(Tabla8[[#This Row],[FECHA]]))</f>
        <v>18-2026</v>
      </c>
    </row>
    <row r="1008" spans="1:21" ht="15" customHeight="1">
      <c r="A1008" s="22">
        <v>46139</v>
      </c>
      <c r="B1008" s="16" t="s">
        <v>179</v>
      </c>
      <c r="C1008" s="10" t="s">
        <v>23</v>
      </c>
      <c r="D1008" s="381">
        <v>0.52777777777777779</v>
      </c>
      <c r="E1008" s="381">
        <v>0.5625</v>
      </c>
      <c r="F1008" s="380">
        <f>+MOD(Tabla8[[#This Row],[HR. FIN]]-Tabla8[[#This Row],[HR. INICIO]],1)</f>
        <v>3.472222222222221E-2</v>
      </c>
      <c r="G1008" s="16" t="s">
        <v>153</v>
      </c>
      <c r="H1008" s="343" t="str">
        <f>IFERROR(VLOOKUP(G1008,DATOS!$M$2:$N$219,2,FALSE),"")</f>
        <v>Maquinaria</v>
      </c>
      <c r="I1008" s="115" t="s">
        <v>57</v>
      </c>
      <c r="J1008" s="115" t="str">
        <f>+VLOOKUP($I1008,Tabla7[#All],2,FALSE)</f>
        <v>NO PROGRAMADA</v>
      </c>
      <c r="K1008" s="114" t="str">
        <f>IF(VLOOKUP(I1008,Tabla7[#All],3,FALSE)=0,"",VLOOKUP(I1008,Tabla7[#All],3,FALSE))</f>
        <v>MECÁNICA</v>
      </c>
      <c r="L1008" s="35" t="s">
        <v>1965</v>
      </c>
      <c r="M1008" s="35" t="s">
        <v>1966</v>
      </c>
      <c r="N1008" s="35" t="str" cm="1">
        <f t="array" ref="N1008">IFERROR(IF(Tabla8[[#This Row],[P/NP]]="NO PROGRAMADA","",_xlfn.TEXTJOIN(", ",TRUE,_xlfn._xlws.FILTER(Tabla4[[#All],[PIEZA]],ISNUMBER(SEARCH(Tabla4[[#All],[PCLAVE]],Tabla8[[#This Row],[DESCRIPCION DE TRABAJO]])),""))),"")</f>
        <v/>
      </c>
      <c r="O1008" s="35" t="str" cm="1">
        <f t="array" ref="O1008">_xlfn.TEXTJOIN(", ",TRUE,_xlfn._xlws.FILTER(Tabla28[[#All],[PARTE]],ISNUMBER(SEARCH(Tabla28[[#All],[PCLAVE2]],Tabla8[[#This Row],[DESCRIPCION DE TRABAJO]])),""))</f>
        <v/>
      </c>
      <c r="P1008" s="303" t="str">
        <f>IFERROR(LEFT(O1008, FIND(",", O1008)-1), O1008)</f>
        <v/>
      </c>
      <c r="Q1008" s="303" t="str">
        <f>IFERROR(IF(ISERROR(FIND(",", O1008, FIND(",", O1008)+1)), RIGHT(O1008, LEN(O1008)-FIND(",", O1008)-1), MID(O1008, FIND(",", O1008)+2, FIND(",", O1008, FIND(",", O1008)+1)-FIND(",", O1008)-2)), "")</f>
        <v/>
      </c>
      <c r="R1008" s="303" t="str">
        <f>IFERROR(RIGHT(O1008, LEN(O1008)-FIND(",", O1008, FIND(",", O1008)+1)-1), "")</f>
        <v/>
      </c>
      <c r="S1008" s="35" t="str" cm="1">
        <f t="array" ref="S1008">_xlfn.TEXTJOIN(", ",TRUE,_xlfn._xlws.FILTER(Tabla29[[#All],[PARTE]],ISNUMBER(SEARCH(Tabla29[[#All],[PCLAVE3]],Tabla8[[#This Row],[DESCRIPCION DE TRABAJO]])),""))</f>
        <v/>
      </c>
      <c r="T1008" s="34" t="str">
        <f>IF(AND(Tabla8[[#This Row],[PIEZA]]="",Tabla8[[#This Row],[PARTE]]=""),"VACIO","OK")</f>
        <v>VACIO</v>
      </c>
      <c r="U1008" s="303" t="str">
        <f>+CONCATENATE(WEEKNUM(Tabla8[[#This Row],[FECHA]]),"-",YEAR(Tabla8[[#This Row],[FECHA]]))</f>
        <v>18-2026</v>
      </c>
    </row>
    <row r="1009" spans="1:21" ht="15" customHeight="1">
      <c r="A1009" s="22">
        <v>46139</v>
      </c>
      <c r="B1009" s="16" t="s">
        <v>88</v>
      </c>
      <c r="C1009" s="10" t="s">
        <v>36</v>
      </c>
      <c r="D1009" s="381" t="s">
        <v>482</v>
      </c>
      <c r="E1009" s="381" t="s">
        <v>1167</v>
      </c>
      <c r="F1009" s="380">
        <f>+MOD(Tabla8[[#This Row],[HR. FIN]]-Tabla8[[#This Row],[HR. INICIO]],1)</f>
        <v>2.430555555555558E-2</v>
      </c>
      <c r="G1009" s="16" t="s">
        <v>328</v>
      </c>
      <c r="H1009" s="343" t="str">
        <f>IFERROR(VLOOKUP(G1009,DATOS!$M$2:$N$219,2,FALSE),"")</f>
        <v>Area</v>
      </c>
      <c r="I1009" s="115" t="s">
        <v>186</v>
      </c>
      <c r="J1009" s="115" t="str">
        <f>+VLOOKUP($I1009,Tabla7[#All],2,FALSE)</f>
        <v>NO PROGRAMADA</v>
      </c>
      <c r="K1009" s="114" t="str">
        <f>IF(VLOOKUP(I1009,Tabla7[#All],3,FALSE)=0,"",VLOOKUP(I1009,Tabla7[#All],3,FALSE))</f>
        <v>ELÉCTRICA</v>
      </c>
      <c r="L1009" s="35" t="s">
        <v>1967</v>
      </c>
      <c r="M1009" s="35" t="s">
        <v>1968</v>
      </c>
      <c r="N1009" s="35" t="str" cm="1">
        <f t="array" ref="N1009">IFERROR(IF(Tabla8[[#This Row],[P/NP]]="NO PROGRAMADA","",_xlfn.TEXTJOIN(", ",TRUE,_xlfn._xlws.FILTER(Tabla4[[#All],[PIEZA]],ISNUMBER(SEARCH(Tabla4[[#All],[PCLAVE]],Tabla8[[#This Row],[DESCRIPCION DE TRABAJO]])),""))),"")</f>
        <v/>
      </c>
      <c r="O1009" s="35" t="str" cm="1">
        <f t="array" ref="O1009">_xlfn.TEXTJOIN(", ",TRUE,_xlfn._xlws.FILTER(Tabla28[[#All],[PARTE]],ISNUMBER(SEARCH(Tabla28[[#All],[PCLAVE2]],Tabla8[[#This Row],[DESCRIPCION DE TRABAJO]])),""))</f>
        <v/>
      </c>
      <c r="P1009" s="303" t="str">
        <f>IFERROR(LEFT(O1009, FIND(",", O1009)-1), O1009)</f>
        <v/>
      </c>
      <c r="Q1009" s="303" t="str">
        <f>IFERROR(IF(ISERROR(FIND(",", O1009, FIND(",", O1009)+1)), RIGHT(O1009, LEN(O1009)-FIND(",", O1009)-1), MID(O1009, FIND(",", O1009)+2, FIND(",", O1009, FIND(",", O1009)+1)-FIND(",", O1009)-2)), "")</f>
        <v/>
      </c>
      <c r="R1009" s="303" t="str">
        <f>IFERROR(RIGHT(O1009, LEN(O1009)-FIND(",", O1009, FIND(",", O1009)+1)-1), "")</f>
        <v/>
      </c>
      <c r="S1009" s="35" t="str" cm="1">
        <f t="array" ref="S1009">_xlfn.TEXTJOIN(", ",TRUE,_xlfn._xlws.FILTER(Tabla29[[#All],[PARTE]],ISNUMBER(SEARCH(Tabla29[[#All],[PCLAVE3]],Tabla8[[#This Row],[DESCRIPCION DE TRABAJO]])),""))</f>
        <v>Rotura</v>
      </c>
      <c r="T1009" s="34" t="str">
        <f>IF(AND(Tabla8[[#This Row],[PIEZA]]="",Tabla8[[#This Row],[PARTE]]=""),"VACIO","OK")</f>
        <v>VACIO</v>
      </c>
      <c r="U1009" s="303" t="str">
        <f>+CONCATENATE(WEEKNUM(Tabla8[[#This Row],[FECHA]]),"-",YEAR(Tabla8[[#This Row],[FECHA]]))</f>
        <v>18-2026</v>
      </c>
    </row>
    <row r="1010" spans="1:21" ht="15" customHeight="1">
      <c r="A1010" s="22">
        <v>46139</v>
      </c>
      <c r="B1010" s="16" t="s">
        <v>191</v>
      </c>
      <c r="C1010" s="10" t="s">
        <v>36</v>
      </c>
      <c r="D1010" s="381" t="s">
        <v>1969</v>
      </c>
      <c r="E1010" s="381" t="s">
        <v>1970</v>
      </c>
      <c r="F1010" s="380">
        <f>+MOD(Tabla8[[#This Row],[HR. FIN]]-Tabla8[[#This Row],[HR. INICIO]],1)</f>
        <v>2.4305555555555525E-2</v>
      </c>
      <c r="G1010" s="16" t="s">
        <v>119</v>
      </c>
      <c r="H1010" s="343" t="str">
        <f>IFERROR(VLOOKUP(G1010,DATOS!$M$2:$N$219,2,FALSE),"")</f>
        <v>Maquinaria</v>
      </c>
      <c r="I1010" s="115" t="s">
        <v>32</v>
      </c>
      <c r="J1010" s="115" t="s">
        <v>92</v>
      </c>
      <c r="K1010" s="114" t="s">
        <v>148</v>
      </c>
      <c r="L1010" s="35" t="s">
        <v>1971</v>
      </c>
      <c r="M1010" s="35" t="s">
        <v>1972</v>
      </c>
      <c r="N1010" s="35" t="str" cm="1">
        <f t="array" ref="N1010">IFERROR(IF(Tabla8[[#This Row],[P/NP]]="NO PROGRAMADA","",_xlfn.TEXTJOIN(", ",TRUE,_xlfn._xlws.FILTER(Tabla4[[#All],[PIEZA]],ISNUMBER(SEARCH(Tabla4[[#All],[PCLAVE]],Tabla8[[#This Row],[DESCRIPCION DE TRABAJO]])),""))),"")</f>
        <v/>
      </c>
      <c r="O1010" s="35" t="str" cm="1">
        <f t="array" ref="O1010">_xlfn.TEXTJOIN(", ",TRUE,_xlfn._xlws.FILTER(Tabla28[[#All],[PARTE]],ISNUMBER(SEARCH(Tabla28[[#All],[PCLAVE2]],Tabla8[[#This Row],[DESCRIPCION DE TRABAJO]])),""))</f>
        <v/>
      </c>
      <c r="P1010" s="303" t="str">
        <f>IFERROR(LEFT(O1010, FIND(",", O1010)-1), O1010)</f>
        <v/>
      </c>
      <c r="Q1010" s="303" t="str">
        <f>IFERROR(IF(ISERROR(FIND(",", O1010, FIND(",", O1010)+1)), RIGHT(O1010, LEN(O1010)-FIND(",", O1010)-1), MID(O1010, FIND(",", O1010)+2, FIND(",", O1010, FIND(",", O1010)+1)-FIND(",", O1010)-2)), "")</f>
        <v/>
      </c>
      <c r="R1010" s="303" t="str">
        <f>IFERROR(RIGHT(O1010, LEN(O1010)-FIND(",", O1010, FIND(",", O1010)+1)-1), "")</f>
        <v/>
      </c>
      <c r="S1010" s="35" t="str" cm="1">
        <f t="array" ref="S1010">_xlfn.TEXTJOIN(", ",TRUE,_xlfn._xlws.FILTER(Tabla29[[#All],[PARTE]],ISNUMBER(SEARCH(Tabla29[[#All],[PCLAVE3]],Tabla8[[#This Row],[DESCRIPCION DE TRABAJO]])),""))</f>
        <v>No Enciende</v>
      </c>
      <c r="T1010" s="34" t="str">
        <f>IF(AND(Tabla8[[#This Row],[PIEZA]]="",Tabla8[[#This Row],[PARTE]]=""),"VACIO","OK")</f>
        <v>VACIO</v>
      </c>
      <c r="U1010" s="303" t="str">
        <f>+CONCATENATE(WEEKNUM(Tabla8[[#This Row],[FECHA]]),"-",YEAR(Tabla8[[#This Row],[FECHA]]))</f>
        <v>18-2026</v>
      </c>
    </row>
    <row r="1011" spans="1:21" ht="15" customHeight="1">
      <c r="A1011" s="22">
        <v>46139</v>
      </c>
      <c r="B1011" s="16" t="s">
        <v>111</v>
      </c>
      <c r="C1011" s="10" t="s">
        <v>23</v>
      </c>
      <c r="D1011" s="381" t="s">
        <v>1841</v>
      </c>
      <c r="E1011" s="381" t="s">
        <v>277</v>
      </c>
      <c r="F1011" s="380">
        <f>+MOD(Tabla8[[#This Row],[HR. FIN]]-Tabla8[[#This Row],[HR. INICIO]],1)</f>
        <v>2.4305555555555469E-2</v>
      </c>
      <c r="G1011" s="16" t="s">
        <v>119</v>
      </c>
      <c r="H1011" s="343" t="str">
        <f>IFERROR(VLOOKUP(G1011,DATOS!$M$2:$N$219,2,FALSE),"")</f>
        <v>Maquinaria</v>
      </c>
      <c r="I1011" s="115" t="s">
        <v>32</v>
      </c>
      <c r="J1011" s="115" t="str">
        <f>+VLOOKUP($I1011,Tabla7[#All],2,FALSE)</f>
        <v>PROGRAMADA</v>
      </c>
      <c r="K1011" s="114" t="str">
        <f>IF(VLOOKUP(I1011,Tabla7[#All],3,FALSE)=0,"",VLOOKUP(I1011,Tabla7[#All],3,FALSE))</f>
        <v/>
      </c>
      <c r="L1011" s="35" t="s">
        <v>1973</v>
      </c>
      <c r="M1011" s="35" t="s">
        <v>121</v>
      </c>
      <c r="N1011" s="35" t="str" cm="1">
        <f t="array" ref="N1011">IFERROR(IF(Tabla8[[#This Row],[P/NP]]="NO PROGRAMADA","",_xlfn.TEXTJOIN(", ",TRUE,_xlfn._xlws.FILTER(Tabla4[[#All],[PIEZA]],ISNUMBER(SEARCH(Tabla4[[#All],[PCLAVE]],Tabla8[[#This Row],[DESCRIPCION DE TRABAJO]])),""))),"")</f>
        <v/>
      </c>
      <c r="O1011" s="35" t="str" cm="1">
        <f t="array" ref="O1011">_xlfn.TEXTJOIN(", ",TRUE,_xlfn._xlws.FILTER(Tabla28[[#All],[PARTE]],ISNUMBER(SEARCH(Tabla28[[#All],[PCLAVE2]],Tabla8[[#This Row],[DESCRIPCION DE TRABAJO]])),""))</f>
        <v>Mds</v>
      </c>
      <c r="P1011" s="303" t="str">
        <f>IFERROR(LEFT(O1011, FIND(",", O1011)-1), O1011)</f>
        <v>Mds</v>
      </c>
      <c r="Q1011" s="303" t="str">
        <f>IFERROR(IF(ISERROR(FIND(",", O1011, FIND(",", O1011)+1)), RIGHT(O1011, LEN(O1011)-FIND(",", O1011)-1), MID(O1011, FIND(",", O1011)+2, FIND(",", O1011, FIND(",", O1011)+1)-FIND(",", O1011)-2)), "")</f>
        <v/>
      </c>
      <c r="R1011" s="303" t="str">
        <f>IFERROR(RIGHT(O1011, LEN(O1011)-FIND(",", O1011, FIND(",", O1011)+1)-1), "")</f>
        <v/>
      </c>
      <c r="S1011" s="35" t="str" cm="1">
        <f t="array" ref="S1011">_xlfn.TEXTJOIN(", ",TRUE,_xlfn._xlws.FILTER(Tabla29[[#All],[PARTE]],ISNUMBER(SEARCH(Tabla29[[#All],[PCLAVE3]],Tabla8[[#This Row],[DESCRIPCION DE TRABAJO]])),""))</f>
        <v>Cambio De Formato</v>
      </c>
      <c r="T1011" s="34" t="str">
        <f>IF(AND(Tabla8[[#This Row],[PIEZA]]="",Tabla8[[#This Row],[PARTE]]=""),"VACIO","OK")</f>
        <v>OK</v>
      </c>
      <c r="U1011" s="303" t="str">
        <f>+CONCATENATE(WEEKNUM(Tabla8[[#This Row],[FECHA]]),"-",YEAR(Tabla8[[#This Row],[FECHA]]))</f>
        <v>18-2026</v>
      </c>
    </row>
    <row r="1012" spans="1:21" ht="15" customHeight="1">
      <c r="A1012" s="22">
        <v>46139</v>
      </c>
      <c r="B1012" s="16" t="s">
        <v>131</v>
      </c>
      <c r="C1012" s="10" t="s">
        <v>39</v>
      </c>
      <c r="D1012" s="381">
        <v>3.4722222222222224E-2</v>
      </c>
      <c r="E1012" s="381">
        <v>5.6250000000000001E-2</v>
      </c>
      <c r="F1012" s="380">
        <f>+MOD(Tabla8[[#This Row],[HR. FIN]]-Tabla8[[#This Row],[HR. INICIO]],1)</f>
        <v>2.1527777777777778E-2</v>
      </c>
      <c r="G1012" s="16" t="s">
        <v>91</v>
      </c>
      <c r="H1012" s="343" t="str">
        <f>IFERROR(VLOOKUP(G1012,DATOS!$M$2:$N$219,2,FALSE),"")</f>
        <v>Area</v>
      </c>
      <c r="I1012" s="115" t="s">
        <v>57</v>
      </c>
      <c r="J1012" s="115" t="str">
        <f>+VLOOKUP($I1012,Tabla7[#All],2,FALSE)</f>
        <v>NO PROGRAMADA</v>
      </c>
      <c r="K1012" s="114" t="str">
        <f>IF(VLOOKUP(I1012,Tabla7[#All],3,FALSE)=0,"",VLOOKUP(I1012,Tabla7[#All],3,FALSE))</f>
        <v>MECÁNICA</v>
      </c>
      <c r="L1012" s="35" t="s">
        <v>1974</v>
      </c>
      <c r="M1012" s="35" t="s">
        <v>1975</v>
      </c>
      <c r="N1012" s="35" t="str" cm="1">
        <f t="array" ref="N1012">IFERROR(IF(Tabla8[[#This Row],[P/NP]]="NO PROGRAMADA","",_xlfn.TEXTJOIN(", ",TRUE,_xlfn._xlws.FILTER(Tabla4[[#All],[PIEZA]],ISNUMBER(SEARCH(Tabla4[[#All],[PCLAVE]],Tabla8[[#This Row],[DESCRIPCION DE TRABAJO]])),""))),"")</f>
        <v/>
      </c>
      <c r="O1012" s="35" t="str" cm="1">
        <f t="array" ref="O1012">_xlfn.TEXTJOIN(", ",TRUE,_xlfn._xlws.FILTER(Tabla28[[#All],[PARTE]],ISNUMBER(SEARCH(Tabla28[[#All],[PCLAVE2]],Tabla8[[#This Row],[DESCRIPCION DE TRABAJO]])),""))</f>
        <v/>
      </c>
      <c r="P1012" s="303" t="str">
        <f>IFERROR(LEFT(O1012, FIND(",", O1012)-1), O1012)</f>
        <v/>
      </c>
      <c r="Q1012" s="303" t="str">
        <f>IFERROR(IF(ISERROR(FIND(",", O1012, FIND(",", O1012)+1)), RIGHT(O1012, LEN(O1012)-FIND(",", O1012)-1), MID(O1012, FIND(",", O1012)+2, FIND(",", O1012, FIND(",", O1012)+1)-FIND(",", O1012)-2)), "")</f>
        <v/>
      </c>
      <c r="R1012" s="303" t="str">
        <f>IFERROR(RIGHT(O1012, LEN(O1012)-FIND(",", O1012, FIND(",", O1012)+1)-1), "")</f>
        <v/>
      </c>
      <c r="S1012" s="35" t="str" cm="1">
        <f t="array" ref="S1012">_xlfn.TEXTJOIN(", ",TRUE,_xlfn._xlws.FILTER(Tabla29[[#All],[PARTE]],ISNUMBER(SEARCH(Tabla29[[#All],[PCLAVE3]],Tabla8[[#This Row],[DESCRIPCION DE TRABAJO]])),""))</f>
        <v>Temperatura</v>
      </c>
      <c r="T1012" s="34" t="str">
        <f>IF(AND(Tabla8[[#This Row],[PIEZA]]="",Tabla8[[#This Row],[PARTE]]=""),"VACIO","OK")</f>
        <v>VACIO</v>
      </c>
      <c r="U1012" s="303" t="str">
        <f>+CONCATENATE(WEEKNUM(Tabla8[[#This Row],[FECHA]]),"-",YEAR(Tabla8[[#This Row],[FECHA]]))</f>
        <v>18-2026</v>
      </c>
    </row>
    <row r="1013" spans="1:21" ht="15" customHeight="1">
      <c r="A1013" s="22">
        <v>46139</v>
      </c>
      <c r="B1013" s="16" t="s">
        <v>191</v>
      </c>
      <c r="C1013" s="10" t="s">
        <v>36</v>
      </c>
      <c r="D1013" s="381" t="s">
        <v>160</v>
      </c>
      <c r="E1013" s="381" t="s">
        <v>1976</v>
      </c>
      <c r="F1013" s="380">
        <f>+MOD(Tabla8[[#This Row],[HR. FIN]]-Tabla8[[#This Row],[HR. INICIO]],1)</f>
        <v>2.1527777777777757E-2</v>
      </c>
      <c r="G1013" s="16" t="s">
        <v>182</v>
      </c>
      <c r="H1013" s="343" t="str">
        <f>IFERROR(VLOOKUP(G1013,DATOS!$M$2:$N$219,2,FALSE),"")</f>
        <v>Maquinaria</v>
      </c>
      <c r="I1013" s="115" t="s">
        <v>32</v>
      </c>
      <c r="J1013" s="115" t="str">
        <f>+VLOOKUP($I1013,Tabla7[#All],2,FALSE)</f>
        <v>PROGRAMADA</v>
      </c>
      <c r="K1013" s="114" t="str">
        <f>IF(VLOOKUP(I1013,Tabla7[#All],3,FALSE)=0,"",VLOOKUP(I1013,Tabla7[#All],3,FALSE))</f>
        <v/>
      </c>
      <c r="L1013" s="35" t="s">
        <v>1977</v>
      </c>
      <c r="M1013" s="35" t="s">
        <v>121</v>
      </c>
      <c r="N1013" s="35" t="str" cm="1">
        <f t="array" ref="N1013">IFERROR(IF(Tabla8[[#This Row],[P/NP]]="NO PROGRAMADA","",_xlfn.TEXTJOIN(", ",TRUE,_xlfn._xlws.FILTER(Tabla4[[#All],[PIEZA]],ISNUMBER(SEARCH(Tabla4[[#All],[PCLAVE]],Tabla8[[#This Row],[DESCRIPCION DE TRABAJO]])),""))),"")</f>
        <v/>
      </c>
      <c r="O1013" s="35" t="str" cm="1">
        <f t="array" ref="O1013">_xlfn.TEXTJOIN(", ",TRUE,_xlfn._xlws.FILTER(Tabla28[[#All],[PARTE]],ISNUMBER(SEARCH(Tabla28[[#All],[PCLAVE2]],Tabla8[[#This Row],[DESCRIPCION DE TRABAJO]])),""))</f>
        <v/>
      </c>
      <c r="P1013" s="303" t="str">
        <f>IFERROR(LEFT(O1013, FIND(",", O1013)-1), O1013)</f>
        <v/>
      </c>
      <c r="Q1013" s="303" t="str">
        <f>IFERROR(IF(ISERROR(FIND(",", O1013, FIND(",", O1013)+1)), RIGHT(O1013, LEN(O1013)-FIND(",", O1013)-1), MID(O1013, FIND(",", O1013)+2, FIND(",", O1013, FIND(",", O1013)+1)-FIND(",", O1013)-2)), "")</f>
        <v/>
      </c>
      <c r="R1013" s="303" t="str">
        <f>IFERROR(RIGHT(O1013, LEN(O1013)-FIND(",", O1013, FIND(",", O1013)+1)-1), "")</f>
        <v/>
      </c>
      <c r="S1013" s="35" t="str" cm="1">
        <f t="array" ref="S1013">_xlfn.TEXTJOIN(", ",TRUE,_xlfn._xlws.FILTER(Tabla29[[#All],[PARTE]],ISNUMBER(SEARCH(Tabla29[[#All],[PCLAVE3]],Tabla8[[#This Row],[DESCRIPCION DE TRABAJO]])),""))</f>
        <v>Cambio De Formato</v>
      </c>
      <c r="T1013" s="34" t="str">
        <f>IF(AND(Tabla8[[#This Row],[PIEZA]]="",Tabla8[[#This Row],[PARTE]]=""),"VACIO","OK")</f>
        <v>VACIO</v>
      </c>
      <c r="U1013" s="303" t="str">
        <f>+CONCATENATE(WEEKNUM(Tabla8[[#This Row],[FECHA]]),"-",YEAR(Tabla8[[#This Row],[FECHA]]))</f>
        <v>18-2026</v>
      </c>
    </row>
    <row r="1014" spans="1:21" ht="15" customHeight="1">
      <c r="A1014" s="22">
        <v>46139</v>
      </c>
      <c r="B1014" s="16" t="s">
        <v>111</v>
      </c>
      <c r="C1014" s="10" t="s">
        <v>23</v>
      </c>
      <c r="D1014" s="381" t="s">
        <v>939</v>
      </c>
      <c r="E1014" s="381" t="s">
        <v>1256</v>
      </c>
      <c r="F1014" s="380">
        <f>+MOD(Tabla8[[#This Row],[HR. FIN]]-Tabla8[[#This Row],[HR. INICIO]],1)</f>
        <v>2.083333333333337E-2</v>
      </c>
      <c r="G1014" s="16" t="s">
        <v>114</v>
      </c>
      <c r="H1014" s="343" t="str">
        <f>IFERROR(VLOOKUP(G1014,DATOS!$M$2:$N$219,2,FALSE),"")</f>
        <v>Maquinaria</v>
      </c>
      <c r="I1014" s="115" t="s">
        <v>32</v>
      </c>
      <c r="J1014" s="115" t="str">
        <f>+VLOOKUP($I1014,Tabla7[#All],2,FALSE)</f>
        <v>PROGRAMADA</v>
      </c>
      <c r="K1014" s="114" t="str">
        <f>IF(VLOOKUP(I1014,Tabla7[#All],3,FALSE)=0,"",VLOOKUP(I1014,Tabla7[#All],3,FALSE))</f>
        <v/>
      </c>
      <c r="L1014" s="35" t="s">
        <v>449</v>
      </c>
      <c r="M1014" s="35" t="s">
        <v>121</v>
      </c>
      <c r="N1014" s="35" t="str" cm="1">
        <f t="array" ref="N1014">IFERROR(IF(Tabla8[[#This Row],[P/NP]]="NO PROGRAMADA","",_xlfn.TEXTJOIN(", ",TRUE,_xlfn._xlws.FILTER(Tabla4[[#All],[PIEZA]],ISNUMBER(SEARCH(Tabla4[[#All],[PCLAVE]],Tabla8[[#This Row],[DESCRIPCION DE TRABAJO]])),""))),"")</f>
        <v/>
      </c>
      <c r="O1014" s="35" t="str" cm="1">
        <f t="array" ref="O1014">_xlfn.TEXTJOIN(", ",TRUE,_xlfn._xlws.FILTER(Tabla28[[#All],[PARTE]],ISNUMBER(SEARCH(Tabla28[[#All],[PCLAVE2]],Tabla8[[#This Row],[DESCRIPCION DE TRABAJO]])),""))</f>
        <v/>
      </c>
      <c r="P1014" s="303" t="str">
        <f>IFERROR(LEFT(O1014, FIND(",", O1014)-1), O1014)</f>
        <v/>
      </c>
      <c r="Q1014" s="303" t="str">
        <f>IFERROR(IF(ISERROR(FIND(",", O1014, FIND(",", O1014)+1)), RIGHT(O1014, LEN(O1014)-FIND(",", O1014)-1), MID(O1014, FIND(",", O1014)+2, FIND(",", O1014, FIND(",", O1014)+1)-FIND(",", O1014)-2)), "")</f>
        <v/>
      </c>
      <c r="R1014" s="303" t="str">
        <f>IFERROR(RIGHT(O1014, LEN(O1014)-FIND(",", O1014, FIND(",", O1014)+1)-1), "")</f>
        <v/>
      </c>
      <c r="S1014" s="35" t="str" cm="1">
        <f t="array" ref="S1014">_xlfn.TEXTJOIN(", ",TRUE,_xlfn._xlws.FILTER(Tabla29[[#All],[PARTE]],ISNUMBER(SEARCH(Tabla29[[#All],[PCLAVE3]],Tabla8[[#This Row],[DESCRIPCION DE TRABAJO]])),""))</f>
        <v/>
      </c>
      <c r="T1014" s="34" t="str">
        <f>IF(AND(Tabla8[[#This Row],[PIEZA]]="",Tabla8[[#This Row],[PARTE]]=""),"VACIO","OK")</f>
        <v>VACIO</v>
      </c>
      <c r="U1014" s="303" t="str">
        <f>+CONCATENATE(WEEKNUM(Tabla8[[#This Row],[FECHA]]),"-",YEAR(Tabla8[[#This Row],[FECHA]]))</f>
        <v>18-2026</v>
      </c>
    </row>
    <row r="1015" spans="1:21" ht="15" customHeight="1">
      <c r="A1015" s="22">
        <v>46139</v>
      </c>
      <c r="B1015" s="16" t="s">
        <v>111</v>
      </c>
      <c r="C1015" s="10" t="s">
        <v>23</v>
      </c>
      <c r="D1015" s="381" t="s">
        <v>457</v>
      </c>
      <c r="E1015" s="381" t="s">
        <v>1978</v>
      </c>
      <c r="F1015" s="380">
        <f>+MOD(Tabla8[[#This Row],[HR. FIN]]-Tabla8[[#This Row],[HR. INICIO]],1)</f>
        <v>2.083333333333337E-2</v>
      </c>
      <c r="G1015" s="16" t="s">
        <v>42</v>
      </c>
      <c r="H1015" s="343" t="str">
        <f>IFERROR(VLOOKUP(G1015,DATOS!$M$2:$N$219,2,FALSE),"")</f>
        <v>Maquinaria</v>
      </c>
      <c r="I1015" s="115" t="s">
        <v>54</v>
      </c>
      <c r="J1015" s="115" t="str">
        <f>+VLOOKUP($I1015,Tabla7[#All],2,FALSE)</f>
        <v>PROGRAMADA</v>
      </c>
      <c r="K1015" s="114" t="str">
        <f>IF(VLOOKUP(I1015,Tabla7[#All],3,FALSE)=0,"",VLOOKUP(I1015,Tabla7[#All],3,FALSE))</f>
        <v/>
      </c>
      <c r="L1015" s="35" t="s">
        <v>1191</v>
      </c>
      <c r="M1015" s="35" t="s">
        <v>121</v>
      </c>
      <c r="N1015" s="35" t="str" cm="1">
        <f t="array" ref="N1015">IFERROR(IF(Tabla8[[#This Row],[P/NP]]="NO PROGRAMADA","",_xlfn.TEXTJOIN(", ",TRUE,_xlfn._xlws.FILTER(Tabla4[[#All],[PIEZA]],ISNUMBER(SEARCH(Tabla4[[#All],[PCLAVE]],Tabla8[[#This Row],[DESCRIPCION DE TRABAJO]])),""))),"")</f>
        <v/>
      </c>
      <c r="O1015" s="35" t="str" cm="1">
        <f t="array" ref="O1015">_xlfn.TEXTJOIN(", ",TRUE,_xlfn._xlws.FILTER(Tabla28[[#All],[PARTE]],ISNUMBER(SEARCH(Tabla28[[#All],[PCLAVE2]],Tabla8[[#This Row],[DESCRIPCION DE TRABAJO]])),""))</f>
        <v/>
      </c>
      <c r="P1015" s="303" t="str">
        <f>IFERROR(LEFT(O1015, FIND(",", O1015)-1), O1015)</f>
        <v/>
      </c>
      <c r="Q1015" s="303" t="str">
        <f>IFERROR(IF(ISERROR(FIND(",", O1015, FIND(",", O1015)+1)), RIGHT(O1015, LEN(O1015)-FIND(",", O1015)-1), MID(O1015, FIND(",", O1015)+2, FIND(",", O1015, FIND(",", O1015)+1)-FIND(",", O1015)-2)), "")</f>
        <v/>
      </c>
      <c r="R1015" s="303" t="str">
        <f>IFERROR(RIGHT(O1015, LEN(O1015)-FIND(",", O1015, FIND(",", O1015)+1)-1), "")</f>
        <v/>
      </c>
      <c r="S1015" s="35" t="str" cm="1">
        <f t="array" ref="S1015">_xlfn.TEXTJOIN(", ",TRUE,_xlfn._xlws.FILTER(Tabla29[[#All],[PARTE]],ISNUMBER(SEARCH(Tabla29[[#All],[PCLAVE3]],Tabla8[[#This Row],[DESCRIPCION DE TRABAJO]])),""))</f>
        <v/>
      </c>
      <c r="T1015" s="34" t="str">
        <f>IF(AND(Tabla8[[#This Row],[PIEZA]]="",Tabla8[[#This Row],[PARTE]]=""),"VACIO","OK")</f>
        <v>VACIO</v>
      </c>
      <c r="U1015" s="303" t="str">
        <f>+CONCATENATE(WEEKNUM(Tabla8[[#This Row],[FECHA]]),"-",YEAR(Tabla8[[#This Row],[FECHA]]))</f>
        <v>18-2026</v>
      </c>
    </row>
    <row r="1016" spans="1:21" ht="15" customHeight="1">
      <c r="A1016" s="22">
        <v>46139</v>
      </c>
      <c r="B1016" s="16" t="s">
        <v>88</v>
      </c>
      <c r="C1016" s="10" t="s">
        <v>36</v>
      </c>
      <c r="D1016" s="381" t="s">
        <v>122</v>
      </c>
      <c r="E1016" s="381" t="s">
        <v>123</v>
      </c>
      <c r="F1016" s="380">
        <f>+MOD(Tabla8[[#This Row],[HR. FIN]]-Tabla8[[#This Row],[HR. INICIO]],1)</f>
        <v>2.083333333333337E-2</v>
      </c>
      <c r="G1016" s="16" t="s">
        <v>114</v>
      </c>
      <c r="H1016" s="343" t="str">
        <f>IFERROR(VLOOKUP(G1016,DATOS!$M$2:$N$219,2,FALSE),"")</f>
        <v>Maquinaria</v>
      </c>
      <c r="I1016" s="115" t="s">
        <v>32</v>
      </c>
      <c r="J1016" s="115" t="str">
        <f>+VLOOKUP($I1016,Tabla7[#All],2,FALSE)</f>
        <v>PROGRAMADA</v>
      </c>
      <c r="K1016" s="114" t="str">
        <f>IF(VLOOKUP(I1016,Tabla7[#All],3,FALSE)=0,"",VLOOKUP(I1016,Tabla7[#All],3,FALSE))</f>
        <v/>
      </c>
      <c r="L1016" s="35" t="s">
        <v>1168</v>
      </c>
      <c r="M1016" s="35" t="s">
        <v>1166</v>
      </c>
      <c r="N1016" s="35" t="str" cm="1">
        <f t="array" ref="N1016">IFERROR(IF(Tabla8[[#This Row],[P/NP]]="NO PROGRAMADA","",_xlfn.TEXTJOIN(", ",TRUE,_xlfn._xlws.FILTER(Tabla4[[#All],[PIEZA]],ISNUMBER(SEARCH(Tabla4[[#All],[PCLAVE]],Tabla8[[#This Row],[DESCRIPCION DE TRABAJO]])),""))),"")</f>
        <v/>
      </c>
      <c r="O1016" s="35" t="str" cm="1">
        <f t="array" ref="O1016">_xlfn.TEXTJOIN(", ",TRUE,_xlfn._xlws.FILTER(Tabla28[[#All],[PARTE]],ISNUMBER(SEARCH(Tabla28[[#All],[PCLAVE2]],Tabla8[[#This Row],[DESCRIPCION DE TRABAJO]])),""))</f>
        <v/>
      </c>
      <c r="P1016" s="303" t="str">
        <f>IFERROR(LEFT(O1016, FIND(",", O1016)-1), O1016)</f>
        <v/>
      </c>
      <c r="Q1016" s="303" t="str">
        <f>IFERROR(IF(ISERROR(FIND(",", O1016, FIND(",", O1016)+1)), RIGHT(O1016, LEN(O1016)-FIND(",", O1016)-1), MID(O1016, FIND(",", O1016)+2, FIND(",", O1016, FIND(",", O1016)+1)-FIND(",", O1016)-2)), "")</f>
        <v/>
      </c>
      <c r="R1016" s="303" t="str">
        <f>IFERROR(RIGHT(O1016, LEN(O1016)-FIND(",", O1016, FIND(",", O1016)+1)-1), "")</f>
        <v/>
      </c>
      <c r="S1016" s="35" t="str" cm="1">
        <f t="array" ref="S1016">_xlfn.TEXTJOIN(", ",TRUE,_xlfn._xlws.FILTER(Tabla29[[#All],[PARTE]],ISNUMBER(SEARCH(Tabla29[[#All],[PCLAVE3]],Tabla8[[#This Row],[DESCRIPCION DE TRABAJO]])),""))</f>
        <v/>
      </c>
      <c r="T1016" s="34" t="str">
        <f>IF(AND(Tabla8[[#This Row],[PIEZA]]="",Tabla8[[#This Row],[PARTE]]=""),"VACIO","OK")</f>
        <v>VACIO</v>
      </c>
      <c r="U1016" s="303" t="str">
        <f>+CONCATENATE(WEEKNUM(Tabla8[[#This Row],[FECHA]]),"-",YEAR(Tabla8[[#This Row],[FECHA]]))</f>
        <v>18-2026</v>
      </c>
    </row>
    <row r="1017" spans="1:21" ht="15" customHeight="1">
      <c r="A1017" s="22">
        <v>46139</v>
      </c>
      <c r="B1017" s="16" t="s">
        <v>131</v>
      </c>
      <c r="C1017" s="10" t="s">
        <v>39</v>
      </c>
      <c r="D1017" s="381">
        <v>0.97222222222222221</v>
      </c>
      <c r="E1017" s="381">
        <v>0.99305555555555558</v>
      </c>
      <c r="F1017" s="380">
        <f>+MOD(Tabla8[[#This Row],[HR. FIN]]-Tabla8[[#This Row],[HR. INICIO]],1)</f>
        <v>2.083333333333337E-2</v>
      </c>
      <c r="G1017" s="16" t="s">
        <v>119</v>
      </c>
      <c r="H1017" s="343" t="str">
        <f>IFERROR(VLOOKUP(G1017,DATOS!$M$2:$N$219,2,FALSE),"")</f>
        <v>Maquinaria</v>
      </c>
      <c r="I1017" s="115" t="s">
        <v>54</v>
      </c>
      <c r="J1017" s="115" t="str">
        <f>+VLOOKUP($I1017,Tabla7[#All],2,FALSE)</f>
        <v>PROGRAMADA</v>
      </c>
      <c r="K1017" s="114" t="str">
        <f>IF(VLOOKUP(I1017,Tabla7[#All],3,FALSE)=0,"",VLOOKUP(I1017,Tabla7[#All],3,FALSE))</f>
        <v/>
      </c>
      <c r="L1017" s="35" t="s">
        <v>1979</v>
      </c>
      <c r="M1017" s="35" t="s">
        <v>121</v>
      </c>
      <c r="N1017" s="35" t="str" cm="1">
        <f t="array" ref="N1017">IFERROR(IF(Tabla8[[#This Row],[P/NP]]="NO PROGRAMADA","",_xlfn.TEXTJOIN(", ",TRUE,_xlfn._xlws.FILTER(Tabla4[[#All],[PIEZA]],ISNUMBER(SEARCH(Tabla4[[#All],[PCLAVE]],Tabla8[[#This Row],[DESCRIPCION DE TRABAJO]])),""))),"")</f>
        <v/>
      </c>
      <c r="O1017" s="35" t="str" cm="1">
        <f t="array" ref="O1017">_xlfn.TEXTJOIN(", ",TRUE,_xlfn._xlws.FILTER(Tabla28[[#All],[PARTE]],ISNUMBER(SEARCH(Tabla28[[#All],[PCLAVE2]],Tabla8[[#This Row],[DESCRIPCION DE TRABAJO]])),""))</f>
        <v>Temperadora</v>
      </c>
      <c r="P1017" s="303" t="str">
        <f>IFERROR(LEFT(O1017, FIND(",", O1017)-1), O1017)</f>
        <v>Temperadora</v>
      </c>
      <c r="Q1017" s="303" t="str">
        <f>IFERROR(IF(ISERROR(FIND(",", O1017, FIND(",", O1017)+1)), RIGHT(O1017, LEN(O1017)-FIND(",", O1017)-1), MID(O1017, FIND(",", O1017)+2, FIND(",", O1017, FIND(",", O1017)+1)-FIND(",", O1017)-2)), "")</f>
        <v/>
      </c>
      <c r="R1017" s="303" t="str">
        <f>IFERROR(RIGHT(O1017, LEN(O1017)-FIND(",", O1017, FIND(",", O1017)+1)-1), "")</f>
        <v/>
      </c>
      <c r="S1017" s="35" t="str" cm="1">
        <f t="array" ref="S1017">_xlfn.TEXTJOIN(", ",TRUE,_xlfn._xlws.FILTER(Tabla29[[#All],[PARTE]],ISNUMBER(SEARCH(Tabla29[[#All],[PCLAVE3]],Tabla8[[#This Row],[DESCRIPCION DE TRABAJO]])),""))</f>
        <v/>
      </c>
      <c r="T1017" s="34" t="str">
        <f>IF(AND(Tabla8[[#This Row],[PIEZA]]="",Tabla8[[#This Row],[PARTE]]=""),"VACIO","OK")</f>
        <v>OK</v>
      </c>
      <c r="U1017" s="303" t="str">
        <f>+CONCATENATE(WEEKNUM(Tabla8[[#This Row],[FECHA]]),"-",YEAR(Tabla8[[#This Row],[FECHA]]))</f>
        <v>18-2026</v>
      </c>
    </row>
    <row r="1018" spans="1:21" ht="15" customHeight="1">
      <c r="A1018" s="22">
        <v>46139</v>
      </c>
      <c r="B1018" s="16" t="s">
        <v>88</v>
      </c>
      <c r="C1018" s="10" t="s">
        <v>36</v>
      </c>
      <c r="D1018" s="381" t="s">
        <v>126</v>
      </c>
      <c r="E1018" s="381" t="s">
        <v>127</v>
      </c>
      <c r="F1018" s="380">
        <f>+MOD(Tabla8[[#This Row],[HR. FIN]]-Tabla8[[#This Row],[HR. INICIO]],1)</f>
        <v>2.0833333333333315E-2</v>
      </c>
      <c r="G1018" s="16" t="s">
        <v>312</v>
      </c>
      <c r="H1018" s="343" t="str">
        <f>IFERROR(VLOOKUP(G1018,DATOS!$M$2:$N$219,2,FALSE),"")</f>
        <v>Maquinaria</v>
      </c>
      <c r="I1018" s="115" t="s">
        <v>32</v>
      </c>
      <c r="J1018" s="115" t="str">
        <f>+VLOOKUP($I1018,Tabla7[#All],2,FALSE)</f>
        <v>PROGRAMADA</v>
      </c>
      <c r="K1018" s="114" t="str">
        <f>IF(VLOOKUP(I1018,Tabla7[#All],3,FALSE)=0,"",VLOOKUP(I1018,Tabla7[#All],3,FALSE))</f>
        <v/>
      </c>
      <c r="L1018" s="35" t="s">
        <v>1168</v>
      </c>
      <c r="M1018" s="35" t="s">
        <v>1980</v>
      </c>
      <c r="N1018" s="35" t="str" cm="1">
        <f t="array" ref="N1018">IFERROR(IF(Tabla8[[#This Row],[P/NP]]="NO PROGRAMADA","",_xlfn.TEXTJOIN(", ",TRUE,_xlfn._xlws.FILTER(Tabla4[[#All],[PIEZA]],ISNUMBER(SEARCH(Tabla4[[#All],[PCLAVE]],Tabla8[[#This Row],[DESCRIPCION DE TRABAJO]])),""))),"")</f>
        <v/>
      </c>
      <c r="O1018" s="35" t="str" cm="1">
        <f t="array" ref="O1018">_xlfn.TEXTJOIN(", ",TRUE,_xlfn._xlws.FILTER(Tabla28[[#All],[PARTE]],ISNUMBER(SEARCH(Tabla28[[#All],[PCLAVE2]],Tabla8[[#This Row],[DESCRIPCION DE TRABAJO]])),""))</f>
        <v/>
      </c>
      <c r="P1018" s="303" t="str">
        <f>IFERROR(LEFT(O1018, FIND(",", O1018)-1), O1018)</f>
        <v/>
      </c>
      <c r="Q1018" s="303" t="str">
        <f>IFERROR(IF(ISERROR(FIND(",", O1018, FIND(",", O1018)+1)), RIGHT(O1018, LEN(O1018)-FIND(",", O1018)-1), MID(O1018, FIND(",", O1018)+2, FIND(",", O1018, FIND(",", O1018)+1)-FIND(",", O1018)-2)), "")</f>
        <v/>
      </c>
      <c r="R1018" s="303" t="str">
        <f>IFERROR(RIGHT(O1018, LEN(O1018)-FIND(",", O1018, FIND(",", O1018)+1)-1), "")</f>
        <v/>
      </c>
      <c r="S1018" s="35" t="str" cm="1">
        <f t="array" ref="S1018">_xlfn.TEXTJOIN(", ",TRUE,_xlfn._xlws.FILTER(Tabla29[[#All],[PARTE]],ISNUMBER(SEARCH(Tabla29[[#All],[PCLAVE3]],Tabla8[[#This Row],[DESCRIPCION DE TRABAJO]])),""))</f>
        <v/>
      </c>
      <c r="T1018" s="34" t="str">
        <f>IF(AND(Tabla8[[#This Row],[PIEZA]]="",Tabla8[[#This Row],[PARTE]]=""),"VACIO","OK")</f>
        <v>VACIO</v>
      </c>
      <c r="U1018" s="303" t="str">
        <f>+CONCATENATE(WEEKNUM(Tabla8[[#This Row],[FECHA]]),"-",YEAR(Tabla8[[#This Row],[FECHA]]))</f>
        <v>18-2026</v>
      </c>
    </row>
    <row r="1019" spans="1:21" ht="15" customHeight="1">
      <c r="A1019" s="22">
        <v>46139</v>
      </c>
      <c r="B1019" s="16" t="s">
        <v>88</v>
      </c>
      <c r="C1019" s="10" t="s">
        <v>36</v>
      </c>
      <c r="D1019" s="381" t="s">
        <v>556</v>
      </c>
      <c r="E1019" s="381" t="s">
        <v>557</v>
      </c>
      <c r="F1019" s="380">
        <f>+MOD(Tabla8[[#This Row],[HR. FIN]]-Tabla8[[#This Row],[HR. INICIO]],1)</f>
        <v>2.0833333333333315E-2</v>
      </c>
      <c r="G1019" s="16" t="s">
        <v>153</v>
      </c>
      <c r="H1019" s="343" t="str">
        <f>IFERROR(VLOOKUP(G1019,DATOS!$M$2:$N$219,2,FALSE),"")</f>
        <v>Maquinaria</v>
      </c>
      <c r="I1019" s="115" t="s">
        <v>32</v>
      </c>
      <c r="J1019" s="115" t="str">
        <f>+VLOOKUP($I1019,Tabla7[#All],2,FALSE)</f>
        <v>PROGRAMADA</v>
      </c>
      <c r="K1019" s="114" t="str">
        <f>IF(VLOOKUP(I1019,Tabla7[#All],3,FALSE)=0,"",VLOOKUP(I1019,Tabla7[#All],3,FALSE))</f>
        <v/>
      </c>
      <c r="L1019" s="35" t="s">
        <v>1168</v>
      </c>
      <c r="M1019" s="35" t="s">
        <v>1166</v>
      </c>
      <c r="N1019" s="35" t="str" cm="1">
        <f t="array" ref="N1019">IFERROR(IF(Tabla8[[#This Row],[P/NP]]="NO PROGRAMADA","",_xlfn.TEXTJOIN(", ",TRUE,_xlfn._xlws.FILTER(Tabla4[[#All],[PIEZA]],ISNUMBER(SEARCH(Tabla4[[#All],[PCLAVE]],Tabla8[[#This Row],[DESCRIPCION DE TRABAJO]])),""))),"")</f>
        <v/>
      </c>
      <c r="O1019" s="35" t="str" cm="1">
        <f t="array" ref="O1019">_xlfn.TEXTJOIN(", ",TRUE,_xlfn._xlws.FILTER(Tabla28[[#All],[PARTE]],ISNUMBER(SEARCH(Tabla28[[#All],[PCLAVE2]],Tabla8[[#This Row],[DESCRIPCION DE TRABAJO]])),""))</f>
        <v/>
      </c>
      <c r="P1019" s="303" t="str">
        <f>IFERROR(LEFT(O1019, FIND(",", O1019)-1), O1019)</f>
        <v/>
      </c>
      <c r="Q1019" s="303" t="str">
        <f>IFERROR(IF(ISERROR(FIND(",", O1019, FIND(",", O1019)+1)), RIGHT(O1019, LEN(O1019)-FIND(",", O1019)-1), MID(O1019, FIND(",", O1019)+2, FIND(",", O1019, FIND(",", O1019)+1)-FIND(",", O1019)-2)), "")</f>
        <v/>
      </c>
      <c r="R1019" s="303" t="str">
        <f>IFERROR(RIGHT(O1019, LEN(O1019)-FIND(",", O1019, FIND(",", O1019)+1)-1), "")</f>
        <v/>
      </c>
      <c r="S1019" s="35" t="str" cm="1">
        <f t="array" ref="S1019">_xlfn.TEXTJOIN(", ",TRUE,_xlfn._xlws.FILTER(Tabla29[[#All],[PARTE]],ISNUMBER(SEARCH(Tabla29[[#All],[PCLAVE3]],Tabla8[[#This Row],[DESCRIPCION DE TRABAJO]])),""))</f>
        <v/>
      </c>
      <c r="T1019" s="34" t="str">
        <f>IF(AND(Tabla8[[#This Row],[PIEZA]]="",Tabla8[[#This Row],[PARTE]]=""),"VACIO","OK")</f>
        <v>VACIO</v>
      </c>
      <c r="U1019" s="303" t="str">
        <f>+CONCATENATE(WEEKNUM(Tabla8[[#This Row],[FECHA]]),"-",YEAR(Tabla8[[#This Row],[FECHA]]))</f>
        <v>18-2026</v>
      </c>
    </row>
    <row r="1020" spans="1:21" ht="15" customHeight="1">
      <c r="A1020" s="22">
        <v>46139</v>
      </c>
      <c r="B1020" s="16" t="s">
        <v>179</v>
      </c>
      <c r="C1020" s="10" t="s">
        <v>23</v>
      </c>
      <c r="D1020" s="381">
        <v>0.58333333333333337</v>
      </c>
      <c r="E1020" s="381">
        <v>0.60416666666666663</v>
      </c>
      <c r="F1020" s="380">
        <f>+MOD(Tabla8[[#This Row],[HR. FIN]]-Tabla8[[#This Row],[HR. INICIO]],1)</f>
        <v>2.0833333333333259E-2</v>
      </c>
      <c r="G1020" s="16" t="s">
        <v>81</v>
      </c>
      <c r="H1020" s="343" t="str">
        <f>IFERROR(VLOOKUP(G1020,DATOS!$M$2:$N$219,2,FALSE),"")</f>
        <v>Maquinaria</v>
      </c>
      <c r="I1020" s="115" t="s">
        <v>28</v>
      </c>
      <c r="J1020" s="115" t="str">
        <f>+VLOOKUP($I1020,Tabla7[#All],2,FALSE)</f>
        <v>NO PROGRAMADA</v>
      </c>
      <c r="K1020" s="114" t="s">
        <v>93</v>
      </c>
      <c r="L1020" s="35" t="s">
        <v>1981</v>
      </c>
      <c r="M1020" s="35" t="s">
        <v>1982</v>
      </c>
      <c r="N1020" s="35" t="str" cm="1">
        <f t="array" ref="N1020">IFERROR(IF(Tabla8[[#This Row],[P/NP]]="NO PROGRAMADA","",_xlfn.TEXTJOIN(", ",TRUE,_xlfn._xlws.FILTER(Tabla4[[#All],[PIEZA]],ISNUMBER(SEARCH(Tabla4[[#All],[PCLAVE]],Tabla8[[#This Row],[DESCRIPCION DE TRABAJO]])),""))),"")</f>
        <v/>
      </c>
      <c r="O1020" s="35" t="str" cm="1">
        <f t="array" ref="O1020">_xlfn.TEXTJOIN(", ",TRUE,_xlfn._xlws.FILTER(Tabla28[[#All],[PARTE]],ISNUMBER(SEARCH(Tabla28[[#All],[PCLAVE2]],Tabla8[[#This Row],[DESCRIPCION DE TRABAJO]])),""))</f>
        <v/>
      </c>
      <c r="P1020" s="303" t="str">
        <f>IFERROR(LEFT(O1020, FIND(",", O1020)-1), O1020)</f>
        <v/>
      </c>
      <c r="Q1020" s="303" t="str">
        <f>IFERROR(IF(ISERROR(FIND(",", O1020, FIND(",", O1020)+1)), RIGHT(O1020, LEN(O1020)-FIND(",", O1020)-1), MID(O1020, FIND(",", O1020)+2, FIND(",", O1020, FIND(",", O1020)+1)-FIND(",", O1020)-2)), "")</f>
        <v/>
      </c>
      <c r="R1020" s="303" t="str">
        <f>IFERROR(RIGHT(O1020, LEN(O1020)-FIND(",", O1020, FIND(",", O1020)+1)-1), "")</f>
        <v/>
      </c>
      <c r="S1020" s="35" t="str" cm="1">
        <f t="array" ref="S1020">_xlfn.TEXTJOIN(", ",TRUE,_xlfn._xlws.FILTER(Tabla29[[#All],[PARTE]],ISNUMBER(SEARCH(Tabla29[[#All],[PCLAVE3]],Tabla8[[#This Row],[DESCRIPCION DE TRABAJO]])),""))</f>
        <v/>
      </c>
      <c r="T1020" s="34" t="str">
        <f>IF(AND(Tabla8[[#This Row],[PIEZA]]="",Tabla8[[#This Row],[PARTE]]=""),"VACIO","OK")</f>
        <v>VACIO</v>
      </c>
      <c r="U1020" s="303" t="str">
        <f>+CONCATENATE(WEEKNUM(Tabla8[[#This Row],[FECHA]]),"-",YEAR(Tabla8[[#This Row],[FECHA]]))</f>
        <v>18-2026</v>
      </c>
    </row>
    <row r="1021" spans="1:21" ht="15" customHeight="1">
      <c r="A1021" s="22">
        <v>46139</v>
      </c>
      <c r="B1021" s="16" t="s">
        <v>191</v>
      </c>
      <c r="C1021" s="10" t="s">
        <v>36</v>
      </c>
      <c r="D1021" s="381" t="s">
        <v>667</v>
      </c>
      <c r="E1021" s="381" t="s">
        <v>1983</v>
      </c>
      <c r="F1021" s="380">
        <f>+MOD(Tabla8[[#This Row],[HR. FIN]]-Tabla8[[#This Row],[HR. INICIO]],1)</f>
        <v>2.0138888888888873E-2</v>
      </c>
      <c r="G1021" s="16" t="s">
        <v>312</v>
      </c>
      <c r="H1021" s="343" t="str">
        <f>IFERROR(VLOOKUP(G1021,DATOS!$M$2:$N$219,2,FALSE),"")</f>
        <v>Maquinaria</v>
      </c>
      <c r="I1021" s="115" t="s">
        <v>32</v>
      </c>
      <c r="J1021" s="115" t="str">
        <f>+VLOOKUP($I1021,Tabla7[#All],2,FALSE)</f>
        <v>PROGRAMADA</v>
      </c>
      <c r="K1021" s="114" t="str">
        <f>IF(VLOOKUP(I1021,Tabla7[#All],3,FALSE)=0,"",VLOOKUP(I1021,Tabla7[#All],3,FALSE))</f>
        <v/>
      </c>
      <c r="L1021" s="35" t="s">
        <v>1984</v>
      </c>
      <c r="M1021" s="35" t="s">
        <v>121</v>
      </c>
      <c r="N1021" s="35" t="str" cm="1">
        <f t="array" ref="N1021">IFERROR(IF(Tabla8[[#This Row],[P/NP]]="NO PROGRAMADA","",_xlfn.TEXTJOIN(", ",TRUE,_xlfn._xlws.FILTER(Tabla4[[#All],[PIEZA]],ISNUMBER(SEARCH(Tabla4[[#All],[PCLAVE]],Tabla8[[#This Row],[DESCRIPCION DE TRABAJO]])),""))),"")</f>
        <v>Filtro, Polin De Arrastre</v>
      </c>
      <c r="O1021" s="35" t="str" cm="1">
        <f t="array" ref="O1021">_xlfn.TEXTJOIN(", ",TRUE,_xlfn._xlws.FILTER(Tabla28[[#All],[PARTE]],ISNUMBER(SEARCH(Tabla28[[#All],[PCLAVE2]],Tabla8[[#This Row],[DESCRIPCION DE TRABAJO]])),""))</f>
        <v/>
      </c>
      <c r="P1021" s="303" t="str">
        <f>IFERROR(LEFT(O1021, FIND(",", O1021)-1), O1021)</f>
        <v/>
      </c>
      <c r="Q1021" s="303" t="str">
        <f>IFERROR(IF(ISERROR(FIND(",", O1021, FIND(",", O1021)+1)), RIGHT(O1021, LEN(O1021)-FIND(",", O1021)-1), MID(O1021, FIND(",", O1021)+2, FIND(",", O1021, FIND(",", O1021)+1)-FIND(",", O1021)-2)), "")</f>
        <v/>
      </c>
      <c r="R1021" s="303" t="str">
        <f>IFERROR(RIGHT(O1021, LEN(O1021)-FIND(",", O1021, FIND(",", O1021)+1)-1), "")</f>
        <v/>
      </c>
      <c r="S1021" s="35" t="str" cm="1">
        <f t="array" ref="S1021">_xlfn.TEXTJOIN(", ",TRUE,_xlfn._xlws.FILTER(Tabla29[[#All],[PARTE]],ISNUMBER(SEARCH(Tabla29[[#All],[PCLAVE3]],Tabla8[[#This Row],[DESCRIPCION DE TRABAJO]])),""))</f>
        <v>Filtracion</v>
      </c>
      <c r="T1021" s="34" t="str">
        <f>IF(AND(Tabla8[[#This Row],[PIEZA]]="",Tabla8[[#This Row],[PARTE]]=""),"VACIO","OK")</f>
        <v>OK</v>
      </c>
      <c r="U1021" s="303" t="str">
        <f>+CONCATENATE(WEEKNUM(Tabla8[[#This Row],[FECHA]]),"-",YEAR(Tabla8[[#This Row],[FECHA]]))</f>
        <v>18-2026</v>
      </c>
    </row>
    <row r="1022" spans="1:21" ht="15" customHeight="1">
      <c r="A1022" s="22">
        <v>46139</v>
      </c>
      <c r="B1022" s="16" t="s">
        <v>131</v>
      </c>
      <c r="C1022" s="10" t="s">
        <v>39</v>
      </c>
      <c r="D1022" s="381">
        <v>0.91527777777777775</v>
      </c>
      <c r="E1022" s="381">
        <v>0.93402777777777779</v>
      </c>
      <c r="F1022" s="380">
        <f>+MOD(Tabla8[[#This Row],[HR. FIN]]-Tabla8[[#This Row],[HR. INICIO]],1)</f>
        <v>1.8750000000000044E-2</v>
      </c>
      <c r="G1022" s="16" t="s">
        <v>241</v>
      </c>
      <c r="H1022" s="343" t="str">
        <f>IFERROR(VLOOKUP(G1022,DATOS!$M$2:$N$219,2,FALSE),"")</f>
        <v>Maquinaria</v>
      </c>
      <c r="I1022" s="115" t="s">
        <v>54</v>
      </c>
      <c r="J1022" s="115" t="str">
        <f>+VLOOKUP($I1022,Tabla7[#All],2,FALSE)</f>
        <v>PROGRAMADA</v>
      </c>
      <c r="K1022" s="114" t="str">
        <f>IF(VLOOKUP(I1022,Tabla7[#All],3,FALSE)=0,"",VLOOKUP(I1022,Tabla7[#All],3,FALSE))</f>
        <v/>
      </c>
      <c r="L1022" s="35" t="s">
        <v>1985</v>
      </c>
      <c r="M1022" s="35" t="s">
        <v>121</v>
      </c>
      <c r="N1022" s="35" t="str" cm="1">
        <f t="array" ref="N1022">IFERROR(IF(Tabla8[[#This Row],[P/NP]]="NO PROGRAMADA","",_xlfn.TEXTJOIN(", ",TRUE,_xlfn._xlws.FILTER(Tabla4[[#All],[PIEZA]],ISNUMBER(SEARCH(Tabla4[[#All],[PCLAVE]],Tabla8[[#This Row],[DESCRIPCION DE TRABAJO]])),""))),"")</f>
        <v>Banda</v>
      </c>
      <c r="O1022" s="35" t="str" cm="1">
        <f t="array" ref="O1022">_xlfn.TEXTJOIN(", ",TRUE,_xlfn._xlws.FILTER(Tabla28[[#All],[PARTE]],ISNUMBER(SEARCH(Tabla28[[#All],[PCLAVE2]],Tabla8[[#This Row],[DESCRIPCION DE TRABAJO]])),""))</f>
        <v/>
      </c>
      <c r="P1022" s="303" t="str">
        <f>IFERROR(LEFT(O1022, FIND(",", O1022)-1), O1022)</f>
        <v/>
      </c>
      <c r="Q1022" s="303" t="str">
        <f>IFERROR(IF(ISERROR(FIND(",", O1022, FIND(",", O1022)+1)), RIGHT(O1022, LEN(O1022)-FIND(",", O1022)-1), MID(O1022, FIND(",", O1022)+2, FIND(",", O1022, FIND(",", O1022)+1)-FIND(",", O1022)-2)), "")</f>
        <v/>
      </c>
      <c r="R1022" s="303" t="str">
        <f>IFERROR(RIGHT(O1022, LEN(O1022)-FIND(",", O1022, FIND(",", O1022)+1)-1), "")</f>
        <v/>
      </c>
      <c r="S1022" s="35" t="str" cm="1">
        <f t="array" ref="S1022">_xlfn.TEXTJOIN(", ",TRUE,_xlfn._xlws.FILTER(Tabla29[[#All],[PARTE]],ISNUMBER(SEARCH(Tabla29[[#All],[PCLAVE3]],Tabla8[[#This Row],[DESCRIPCION DE TRABAJO]])),""))</f>
        <v/>
      </c>
      <c r="T1022" s="34" t="str">
        <f>IF(AND(Tabla8[[#This Row],[PIEZA]]="",Tabla8[[#This Row],[PARTE]]=""),"VACIO","OK")</f>
        <v>OK</v>
      </c>
      <c r="U1022" s="303" t="str">
        <f>+CONCATENATE(WEEKNUM(Tabla8[[#This Row],[FECHA]]),"-",YEAR(Tabla8[[#This Row],[FECHA]]))</f>
        <v>18-2026</v>
      </c>
    </row>
    <row r="1023" spans="1:21" ht="15" customHeight="1">
      <c r="A1023" s="22">
        <v>46139</v>
      </c>
      <c r="B1023" s="16" t="s">
        <v>131</v>
      </c>
      <c r="C1023" s="10" t="s">
        <v>39</v>
      </c>
      <c r="D1023" s="381">
        <v>6.9444444444444441E-3</v>
      </c>
      <c r="E1023" s="381">
        <v>2.4305555555555556E-2</v>
      </c>
      <c r="F1023" s="380">
        <f>+MOD(Tabla8[[#This Row],[HR. FIN]]-Tabla8[[#This Row],[HR. INICIO]],1)</f>
        <v>1.7361111111111112E-2</v>
      </c>
      <c r="G1023" s="16" t="s">
        <v>24</v>
      </c>
      <c r="H1023" s="343" t="str">
        <f>IFERROR(VLOOKUP(G1023,DATOS!$M$2:$N$219,2,FALSE),"")</f>
        <v>Maquinaria</v>
      </c>
      <c r="I1023" s="115" t="s">
        <v>54</v>
      </c>
      <c r="J1023" s="115" t="str">
        <f>+VLOOKUP($I1023,Tabla7[#All],2,FALSE)</f>
        <v>PROGRAMADA</v>
      </c>
      <c r="K1023" s="114" t="str">
        <f>IF(VLOOKUP(I1023,Tabla7[#All],3,FALSE)=0,"",VLOOKUP(I1023,Tabla7[#All],3,FALSE))</f>
        <v/>
      </c>
      <c r="L1023" s="35" t="s">
        <v>1986</v>
      </c>
      <c r="M1023" s="35" t="s">
        <v>121</v>
      </c>
      <c r="N1023" s="35" t="str" cm="1">
        <f t="array" ref="N1023">IFERROR(IF(Tabla8[[#This Row],[P/NP]]="NO PROGRAMADA","",_xlfn.TEXTJOIN(", ",TRUE,_xlfn._xlws.FILTER(Tabla4[[#All],[PIEZA]],ISNUMBER(SEARCH(Tabla4[[#All],[PCLAVE]],Tabla8[[#This Row],[DESCRIPCION DE TRABAJO]])),""))),"")</f>
        <v/>
      </c>
      <c r="O1023" s="35" t="str" cm="1">
        <f t="array" ref="O1023">_xlfn.TEXTJOIN(", ",TRUE,_xlfn._xlws.FILTER(Tabla28[[#All],[PARTE]],ISNUMBER(SEARCH(Tabla28[[#All],[PCLAVE2]],Tabla8[[#This Row],[DESCRIPCION DE TRABAJO]])),""))</f>
        <v/>
      </c>
      <c r="P1023" s="303" t="str">
        <f>IFERROR(LEFT(O1023, FIND(",", O1023)-1), O1023)</f>
        <v/>
      </c>
      <c r="Q1023" s="303" t="str">
        <f>IFERROR(IF(ISERROR(FIND(",", O1023, FIND(",", O1023)+1)), RIGHT(O1023, LEN(O1023)-FIND(",", O1023)-1), MID(O1023, FIND(",", O1023)+2, FIND(",", O1023, FIND(",", O1023)+1)-FIND(",", O1023)-2)), "")</f>
        <v/>
      </c>
      <c r="R1023" s="303" t="str">
        <f>IFERROR(RIGHT(O1023, LEN(O1023)-FIND(",", O1023, FIND(",", O1023)+1)-1), "")</f>
        <v/>
      </c>
      <c r="S1023" s="35" t="str" cm="1">
        <f t="array" ref="S1023">_xlfn.TEXTJOIN(", ",TRUE,_xlfn._xlws.FILTER(Tabla29[[#All],[PARTE]],ISNUMBER(SEARCH(Tabla29[[#All],[PCLAVE3]],Tabla8[[#This Row],[DESCRIPCION DE TRABAJO]])),""))</f>
        <v/>
      </c>
      <c r="T1023" s="34" t="str">
        <f>IF(AND(Tabla8[[#This Row],[PIEZA]]="",Tabla8[[#This Row],[PARTE]]=""),"VACIO","OK")</f>
        <v>VACIO</v>
      </c>
      <c r="U1023" s="303" t="str">
        <f>+CONCATENATE(WEEKNUM(Tabla8[[#This Row],[FECHA]]),"-",YEAR(Tabla8[[#This Row],[FECHA]]))</f>
        <v>18-2026</v>
      </c>
    </row>
    <row r="1024" spans="1:21" ht="15" customHeight="1">
      <c r="A1024" s="22">
        <v>46139</v>
      </c>
      <c r="B1024" s="16" t="s">
        <v>191</v>
      </c>
      <c r="C1024" s="10" t="s">
        <v>36</v>
      </c>
      <c r="D1024" s="381" t="s">
        <v>1987</v>
      </c>
      <c r="E1024" s="381" t="s">
        <v>1988</v>
      </c>
      <c r="F1024" s="380">
        <f>+MOD(Tabla8[[#This Row],[HR. FIN]]-Tabla8[[#This Row],[HR. INICIO]],1)</f>
        <v>1.7361111111111105E-2</v>
      </c>
      <c r="G1024" s="16" t="s">
        <v>119</v>
      </c>
      <c r="H1024" s="343" t="str">
        <f>IFERROR(VLOOKUP(G1024,DATOS!$M$2:$N$219,2,FALSE),"")</f>
        <v>Maquinaria</v>
      </c>
      <c r="I1024" s="115" t="s">
        <v>390</v>
      </c>
      <c r="J1024" s="115" t="str">
        <f>+VLOOKUP($I1024,Tabla7[#All],2,FALSE)</f>
        <v>PROGRAMADA</v>
      </c>
      <c r="K1024" s="114" t="str">
        <f>IF(VLOOKUP(I1024,Tabla7[#All],3,FALSE)=0,"",VLOOKUP(I1024,Tabla7[#All],3,FALSE))</f>
        <v/>
      </c>
      <c r="L1024" s="35" t="s">
        <v>1989</v>
      </c>
      <c r="M1024" s="35" t="s">
        <v>121</v>
      </c>
      <c r="N1024" s="35" t="str" cm="1">
        <f t="array" ref="N1024">IFERROR(IF(Tabla8[[#This Row],[P/NP]]="NO PROGRAMADA","",_xlfn.TEXTJOIN(", ",TRUE,_xlfn._xlws.FILTER(Tabla4[[#All],[PIEZA]],ISNUMBER(SEARCH(Tabla4[[#All],[PCLAVE]],Tabla8[[#This Row],[DESCRIPCION DE TRABAJO]])),""))),"")</f>
        <v/>
      </c>
      <c r="O1024" s="35" t="str" cm="1">
        <f t="array" ref="O1024">_xlfn.TEXTJOIN(", ",TRUE,_xlfn._xlws.FILTER(Tabla28[[#All],[PARTE]],ISNUMBER(SEARCH(Tabla28[[#All],[PCLAVE2]],Tabla8[[#This Row],[DESCRIPCION DE TRABAJO]])),""))</f>
        <v/>
      </c>
      <c r="P1024" s="303" t="str">
        <f>IFERROR(LEFT(O1024, FIND(",", O1024)-1), O1024)</f>
        <v/>
      </c>
      <c r="Q1024" s="303" t="str">
        <f>IFERROR(IF(ISERROR(FIND(",", O1024, FIND(",", O1024)+1)), RIGHT(O1024, LEN(O1024)-FIND(",", O1024)-1), MID(O1024, FIND(",", O1024)+2, FIND(",", O1024, FIND(",", O1024)+1)-FIND(",", O1024)-2)), "")</f>
        <v/>
      </c>
      <c r="R1024" s="303" t="str">
        <f>IFERROR(RIGHT(O1024, LEN(O1024)-FIND(",", O1024, FIND(",", O1024)+1)-1), "")</f>
        <v/>
      </c>
      <c r="S1024" s="35" t="str" cm="1">
        <f t="array" ref="S1024">_xlfn.TEXTJOIN(", ",TRUE,_xlfn._xlws.FILTER(Tabla29[[#All],[PARTE]],ISNUMBER(SEARCH(Tabla29[[#All],[PCLAVE3]],Tabla8[[#This Row],[DESCRIPCION DE TRABAJO]])),""))</f>
        <v>Juntos</v>
      </c>
      <c r="T1024" s="34" t="str">
        <f>IF(AND(Tabla8[[#This Row],[PIEZA]]="",Tabla8[[#This Row],[PARTE]]=""),"VACIO","OK")</f>
        <v>VACIO</v>
      </c>
      <c r="U1024" s="303" t="str">
        <f>+CONCATENATE(WEEKNUM(Tabla8[[#This Row],[FECHA]]),"-",YEAR(Tabla8[[#This Row],[FECHA]]))</f>
        <v>18-2026</v>
      </c>
    </row>
    <row r="1025" spans="1:21" ht="15" customHeight="1">
      <c r="A1025" s="22">
        <v>46139</v>
      </c>
      <c r="B1025" s="16" t="s">
        <v>131</v>
      </c>
      <c r="C1025" s="10" t="s">
        <v>39</v>
      </c>
      <c r="D1025" s="381">
        <v>0.18055555555555555</v>
      </c>
      <c r="E1025" s="381">
        <v>0.19791666666666666</v>
      </c>
      <c r="F1025" s="380">
        <f>+MOD(Tabla8[[#This Row],[HR. FIN]]-Tabla8[[#This Row],[HR. INICIO]],1)</f>
        <v>1.7361111111111105E-2</v>
      </c>
      <c r="G1025" s="16" t="s">
        <v>222</v>
      </c>
      <c r="H1025" s="343" t="str">
        <f>IFERROR(VLOOKUP(G1025,DATOS!$M$2:$N$219,2,FALSE),"")</f>
        <v>Maquinaria</v>
      </c>
      <c r="I1025" s="115" t="s">
        <v>54</v>
      </c>
      <c r="J1025" s="115" t="str">
        <f>+VLOOKUP($I1025,Tabla7[#All],2,FALSE)</f>
        <v>PROGRAMADA</v>
      </c>
      <c r="K1025" s="114" t="str">
        <f>IF(VLOOKUP(I1025,Tabla7[#All],3,FALSE)=0,"",VLOOKUP(I1025,Tabla7[#All],3,FALSE))</f>
        <v/>
      </c>
      <c r="L1025" s="35" t="s">
        <v>1990</v>
      </c>
      <c r="M1025" s="35" t="s">
        <v>121</v>
      </c>
      <c r="N1025" s="35" t="str" cm="1">
        <f t="array" ref="N1025">IFERROR(IF(Tabla8[[#This Row],[P/NP]]="NO PROGRAMADA","",_xlfn.TEXTJOIN(", ",TRUE,_xlfn._xlws.FILTER(Tabla4[[#All],[PIEZA]],ISNUMBER(SEARCH(Tabla4[[#All],[PCLAVE]],Tabla8[[#This Row],[DESCRIPCION DE TRABAJO]])),""))),"")</f>
        <v/>
      </c>
      <c r="O1025" s="35" t="str" cm="1">
        <f t="array" ref="O1025">_xlfn.TEXTJOIN(", ",TRUE,_xlfn._xlws.FILTER(Tabla28[[#All],[PARTE]],ISNUMBER(SEARCH(Tabla28[[#All],[PCLAVE2]],Tabla8[[#This Row],[DESCRIPCION DE TRABAJO]])),""))</f>
        <v/>
      </c>
      <c r="P1025" s="303" t="str">
        <f>IFERROR(LEFT(O1025, FIND(",", O1025)-1), O1025)</f>
        <v/>
      </c>
      <c r="Q1025" s="303" t="str">
        <f>IFERROR(IF(ISERROR(FIND(",", O1025, FIND(",", O1025)+1)), RIGHT(O1025, LEN(O1025)-FIND(",", O1025)-1), MID(O1025, FIND(",", O1025)+2, FIND(",", O1025, FIND(",", O1025)+1)-FIND(",", O1025)-2)), "")</f>
        <v/>
      </c>
      <c r="R1025" s="303" t="str">
        <f>IFERROR(RIGHT(O1025, LEN(O1025)-FIND(",", O1025, FIND(",", O1025)+1)-1), "")</f>
        <v/>
      </c>
      <c r="S1025" s="35" t="str" cm="1">
        <f t="array" ref="S1025">_xlfn.TEXTJOIN(", ",TRUE,_xlfn._xlws.FILTER(Tabla29[[#All],[PARTE]],ISNUMBER(SEARCH(Tabla29[[#All],[PCLAVE3]],Tabla8[[#This Row],[DESCRIPCION DE TRABAJO]])),""))</f>
        <v/>
      </c>
      <c r="T1025" s="34" t="str">
        <f>IF(AND(Tabla8[[#This Row],[PIEZA]]="",Tabla8[[#This Row],[PARTE]]=""),"VACIO","OK")</f>
        <v>VACIO</v>
      </c>
      <c r="U1025" s="303" t="str">
        <f>+CONCATENATE(WEEKNUM(Tabla8[[#This Row],[FECHA]]),"-",YEAR(Tabla8[[#This Row],[FECHA]]))</f>
        <v>18-2026</v>
      </c>
    </row>
    <row r="1026" spans="1:21" ht="15" customHeight="1">
      <c r="A1026" s="22">
        <v>46139</v>
      </c>
      <c r="B1026" s="16" t="s">
        <v>191</v>
      </c>
      <c r="C1026" s="10" t="s">
        <v>36</v>
      </c>
      <c r="D1026" s="381" t="s">
        <v>400</v>
      </c>
      <c r="E1026" s="381" t="s">
        <v>1991</v>
      </c>
      <c r="F1026" s="380">
        <f>+MOD(Tabla8[[#This Row],[HR. FIN]]-Tabla8[[#This Row],[HR. INICIO]],1)</f>
        <v>1.5277777777777779E-2</v>
      </c>
      <c r="G1026" s="16" t="s">
        <v>24</v>
      </c>
      <c r="H1026" s="343" t="str">
        <f>IFERROR(VLOOKUP(G1026,DATOS!$M$2:$N$219,2,FALSE),"")</f>
        <v>Maquinaria</v>
      </c>
      <c r="I1026" s="115" t="s">
        <v>32</v>
      </c>
      <c r="J1026" s="115" t="str">
        <f>+VLOOKUP($I1026,Tabla7[#All],2,FALSE)</f>
        <v>PROGRAMADA</v>
      </c>
      <c r="K1026" s="114" t="str">
        <f>IF(VLOOKUP(I1026,Tabla7[#All],3,FALSE)=0,"",VLOOKUP(I1026,Tabla7[#All],3,FALSE))</f>
        <v/>
      </c>
      <c r="L1026" s="35" t="s">
        <v>1992</v>
      </c>
      <c r="M1026" s="35" t="s">
        <v>121</v>
      </c>
      <c r="N1026" s="35" t="str" cm="1">
        <f t="array" ref="N1026">IFERROR(IF(Tabla8[[#This Row],[P/NP]]="NO PROGRAMADA","",_xlfn.TEXTJOIN(", ",TRUE,_xlfn._xlws.FILTER(Tabla4[[#All],[PIEZA]],ISNUMBER(SEARCH(Tabla4[[#All],[PCLAVE]],Tabla8[[#This Row],[DESCRIPCION DE TRABAJO]])),""))),"")</f>
        <v>Banda</v>
      </c>
      <c r="O1026" s="35" t="str" cm="1">
        <f t="array" ref="O1026">_xlfn.TEXTJOIN(", ",TRUE,_xlfn._xlws.FILTER(Tabla28[[#All],[PARTE]],ISNUMBER(SEARCH(Tabla28[[#All],[PCLAVE2]],Tabla8[[#This Row],[DESCRIPCION DE TRABAJO]])),""))</f>
        <v/>
      </c>
      <c r="P1026" s="303" t="str">
        <f>IFERROR(LEFT(O1026, FIND(",", O1026)-1), O1026)</f>
        <v/>
      </c>
      <c r="Q1026" s="303" t="str">
        <f>IFERROR(IF(ISERROR(FIND(",", O1026, FIND(",", O1026)+1)), RIGHT(O1026, LEN(O1026)-FIND(",", O1026)-1), MID(O1026, FIND(",", O1026)+2, FIND(",", O1026, FIND(",", O1026)+1)-FIND(",", O1026)-2)), "")</f>
        <v/>
      </c>
      <c r="R1026" s="303" t="str">
        <f>IFERROR(RIGHT(O1026, LEN(O1026)-FIND(",", O1026, FIND(",", O1026)+1)-1), "")</f>
        <v/>
      </c>
      <c r="S1026" s="35" t="str" cm="1">
        <f t="array" ref="S1026">_xlfn.TEXTJOIN(", ",TRUE,_xlfn._xlws.FILTER(Tabla29[[#All],[PARTE]],ISNUMBER(SEARCH(Tabla29[[#All],[PCLAVE3]],Tabla8[[#This Row],[DESCRIPCION DE TRABAJO]])),""))</f>
        <v/>
      </c>
      <c r="T1026" s="34" t="str">
        <f>IF(AND(Tabla8[[#This Row],[PIEZA]]="",Tabla8[[#This Row],[PARTE]]=""),"VACIO","OK")</f>
        <v>OK</v>
      </c>
      <c r="U1026" s="303" t="str">
        <f>+CONCATENATE(WEEKNUM(Tabla8[[#This Row],[FECHA]]),"-",YEAR(Tabla8[[#This Row],[FECHA]]))</f>
        <v>18-2026</v>
      </c>
    </row>
    <row r="1027" spans="1:21" ht="15" customHeight="1">
      <c r="A1027" s="22">
        <v>46139</v>
      </c>
      <c r="B1027" s="16" t="s">
        <v>131</v>
      </c>
      <c r="C1027" s="10" t="s">
        <v>39</v>
      </c>
      <c r="D1027" s="381">
        <v>0.88888888888888884</v>
      </c>
      <c r="E1027" s="381">
        <v>0.90277777777777779</v>
      </c>
      <c r="F1027" s="380">
        <f>+MOD(Tabla8[[#This Row],[HR. FIN]]-Tabla8[[#This Row],[HR. INICIO]],1)</f>
        <v>1.3888888888888951E-2</v>
      </c>
      <c r="G1027" s="16" t="s">
        <v>293</v>
      </c>
      <c r="H1027" s="343" t="str">
        <f>IFERROR(VLOOKUP(G1027,DATOS!$M$2:$N$219,2,FALSE),"")</f>
        <v>Equipos auxiliares</v>
      </c>
      <c r="I1027" s="115" t="s">
        <v>54</v>
      </c>
      <c r="J1027" s="115" t="str">
        <f>+VLOOKUP($I1027,Tabla7[#All],2,FALSE)</f>
        <v>PROGRAMADA</v>
      </c>
      <c r="K1027" s="114" t="str">
        <f>IF(VLOOKUP(I1027,Tabla7[#All],3,FALSE)=0,"",VLOOKUP(I1027,Tabla7[#All],3,FALSE))</f>
        <v/>
      </c>
      <c r="L1027" s="35" t="s">
        <v>1993</v>
      </c>
      <c r="M1027" s="35" t="s">
        <v>121</v>
      </c>
      <c r="N1027" s="35" t="str" cm="1">
        <f t="array" ref="N1027">IFERROR(IF(Tabla8[[#This Row],[P/NP]]="NO PROGRAMADA","",_xlfn.TEXTJOIN(", ",TRUE,_xlfn._xlws.FILTER(Tabla4[[#All],[PIEZA]],ISNUMBER(SEARCH(Tabla4[[#All],[PCLAVE]],Tabla8[[#This Row],[DESCRIPCION DE TRABAJO]])),""))),"")</f>
        <v/>
      </c>
      <c r="O1027" s="35" t="str" cm="1">
        <f t="array" ref="O1027">_xlfn.TEXTJOIN(", ",TRUE,_xlfn._xlws.FILTER(Tabla28[[#All],[PARTE]],ISNUMBER(SEARCH(Tabla28[[#All],[PCLAVE2]],Tabla8[[#This Row],[DESCRIPCION DE TRABAJO]])),""))</f>
        <v/>
      </c>
      <c r="P1027" s="303" t="str">
        <f>IFERROR(LEFT(O1027, FIND(",", O1027)-1), O1027)</f>
        <v/>
      </c>
      <c r="Q1027" s="303" t="str">
        <f>IFERROR(IF(ISERROR(FIND(",", O1027, FIND(",", O1027)+1)), RIGHT(O1027, LEN(O1027)-FIND(",", O1027)-1), MID(O1027, FIND(",", O1027)+2, FIND(",", O1027, FIND(",", O1027)+1)-FIND(",", O1027)-2)), "")</f>
        <v/>
      </c>
      <c r="R1027" s="303" t="str">
        <f>IFERROR(RIGHT(O1027, LEN(O1027)-FIND(",", O1027, FIND(",", O1027)+1)-1), "")</f>
        <v/>
      </c>
      <c r="S1027" s="35" t="str" cm="1">
        <f t="array" ref="S1027">_xlfn.TEXTJOIN(", ",TRUE,_xlfn._xlws.FILTER(Tabla29[[#All],[PARTE]],ISNUMBER(SEARCH(Tabla29[[#All],[PCLAVE3]],Tabla8[[#This Row],[DESCRIPCION DE TRABAJO]])),""))</f>
        <v/>
      </c>
      <c r="T1027" s="34" t="str">
        <f>IF(AND(Tabla8[[#This Row],[PIEZA]]="",Tabla8[[#This Row],[PARTE]]=""),"VACIO","OK")</f>
        <v>VACIO</v>
      </c>
      <c r="U1027" s="303" t="str">
        <f>+CONCATENATE(WEEKNUM(Tabla8[[#This Row],[FECHA]]),"-",YEAR(Tabla8[[#This Row],[FECHA]]))</f>
        <v>18-2026</v>
      </c>
    </row>
    <row r="1028" spans="1:21" ht="15" customHeight="1">
      <c r="A1028" s="22">
        <v>46139</v>
      </c>
      <c r="B1028" s="16" t="s">
        <v>88</v>
      </c>
      <c r="C1028" s="10" t="s">
        <v>36</v>
      </c>
      <c r="D1028" s="381" t="s">
        <v>1510</v>
      </c>
      <c r="E1028" s="381" t="s">
        <v>89</v>
      </c>
      <c r="F1028" s="380">
        <f>+MOD(Tabla8[[#This Row],[HR. FIN]]-Tabla8[[#This Row],[HR. INICIO]],1)</f>
        <v>1.3888888888888895E-2</v>
      </c>
      <c r="G1028" s="16" t="s">
        <v>1063</v>
      </c>
      <c r="H1028" s="343" t="str">
        <f>IFERROR(VLOOKUP(G1028,DATOS!$M$2:$N$219,2,FALSE),"")</f>
        <v>Maquinaria</v>
      </c>
      <c r="I1028" s="115" t="s">
        <v>32</v>
      </c>
      <c r="J1028" s="115" t="str">
        <f>+VLOOKUP($I1028,Tabla7[#All],2,FALSE)</f>
        <v>PROGRAMADA</v>
      </c>
      <c r="K1028" s="114" t="str">
        <f>IF(VLOOKUP(I1028,Tabla7[#All],3,FALSE)=0,"",VLOOKUP(I1028,Tabla7[#All],3,FALSE))</f>
        <v/>
      </c>
      <c r="L1028" s="35" t="s">
        <v>1593</v>
      </c>
      <c r="M1028" s="35" t="s">
        <v>1994</v>
      </c>
      <c r="N1028" s="35" t="str" cm="1">
        <f t="array" ref="N1028">IFERROR(IF(Tabla8[[#This Row],[P/NP]]="NO PROGRAMADA","",_xlfn.TEXTJOIN(", ",TRUE,_xlfn._xlws.FILTER(Tabla4[[#All],[PIEZA]],ISNUMBER(SEARCH(Tabla4[[#All],[PCLAVE]],Tabla8[[#This Row],[DESCRIPCION DE TRABAJO]])),""))),"")</f>
        <v/>
      </c>
      <c r="O1028" s="35" t="str" cm="1">
        <f t="array" ref="O1028">_xlfn.TEXTJOIN(", ",TRUE,_xlfn._xlws.FILTER(Tabla28[[#All],[PARTE]],ISNUMBER(SEARCH(Tabla28[[#All],[PCLAVE2]],Tabla8[[#This Row],[DESCRIPCION DE TRABAJO]])),""))</f>
        <v/>
      </c>
      <c r="P1028" s="303" t="str">
        <f>IFERROR(LEFT(O1028, FIND(",", O1028)-1), O1028)</f>
        <v/>
      </c>
      <c r="Q1028" s="303" t="str">
        <f>IFERROR(IF(ISERROR(FIND(",", O1028, FIND(",", O1028)+1)), RIGHT(O1028, LEN(O1028)-FIND(",", O1028)-1), MID(O1028, FIND(",", O1028)+2, FIND(",", O1028, FIND(",", O1028)+1)-FIND(",", O1028)-2)), "")</f>
        <v/>
      </c>
      <c r="R1028" s="303" t="str">
        <f>IFERROR(RIGHT(O1028, LEN(O1028)-FIND(",", O1028, FIND(",", O1028)+1)-1), "")</f>
        <v/>
      </c>
      <c r="S1028" s="35" t="str" cm="1">
        <f t="array" ref="S1028">_xlfn.TEXTJOIN(", ",TRUE,_xlfn._xlws.FILTER(Tabla29[[#All],[PARTE]],ISNUMBER(SEARCH(Tabla29[[#All],[PCLAVE3]],Tabla8[[#This Row],[DESCRIPCION DE TRABAJO]])),""))</f>
        <v/>
      </c>
      <c r="T1028" s="34" t="str">
        <f>IF(AND(Tabla8[[#This Row],[PIEZA]]="",Tabla8[[#This Row],[PARTE]]=""),"VACIO","OK")</f>
        <v>VACIO</v>
      </c>
      <c r="U1028" s="303" t="str">
        <f>+CONCATENATE(WEEKNUM(Tabla8[[#This Row],[FECHA]]),"-",YEAR(Tabla8[[#This Row],[FECHA]]))</f>
        <v>18-2026</v>
      </c>
    </row>
    <row r="1029" spans="1:21" ht="15" customHeight="1">
      <c r="A1029" s="22">
        <v>46139</v>
      </c>
      <c r="B1029" s="16" t="s">
        <v>131</v>
      </c>
      <c r="C1029" s="10" t="s">
        <v>39</v>
      </c>
      <c r="D1029" s="381">
        <v>6.25E-2</v>
      </c>
      <c r="E1029" s="381">
        <v>7.6388888888888895E-2</v>
      </c>
      <c r="F1029" s="380">
        <f>+MOD(Tabla8[[#This Row],[HR. FIN]]-Tabla8[[#This Row],[HR. INICIO]],1)</f>
        <v>1.3888888888888895E-2</v>
      </c>
      <c r="G1029" s="16" t="s">
        <v>1465</v>
      </c>
      <c r="H1029" s="343" t="str">
        <f>IFERROR(VLOOKUP(G1029,DATOS!$M$2:$N$219,2,FALSE),"")</f>
        <v>Maquinaria</v>
      </c>
      <c r="I1029" s="115" t="s">
        <v>54</v>
      </c>
      <c r="J1029" s="115" t="str">
        <f>+VLOOKUP($I1029,Tabla7[#All],2,FALSE)</f>
        <v>PROGRAMADA</v>
      </c>
      <c r="K1029" s="114" t="str">
        <f>IF(VLOOKUP(I1029,Tabla7[#All],3,FALSE)=0,"",VLOOKUP(I1029,Tabla7[#All],3,FALSE))</f>
        <v/>
      </c>
      <c r="L1029" s="35" t="s">
        <v>154</v>
      </c>
      <c r="M1029" s="35" t="s">
        <v>121</v>
      </c>
      <c r="N1029" s="35" t="str" cm="1">
        <f t="array" ref="N1029">IFERROR(IF(Tabla8[[#This Row],[P/NP]]="NO PROGRAMADA","",_xlfn.TEXTJOIN(", ",TRUE,_xlfn._xlws.FILTER(Tabla4[[#All],[PIEZA]],ISNUMBER(SEARCH(Tabla4[[#All],[PCLAVE]],Tabla8[[#This Row],[DESCRIPCION DE TRABAJO]])),""))),"")</f>
        <v/>
      </c>
      <c r="O1029" s="35" t="str" cm="1">
        <f t="array" ref="O1029">_xlfn.TEXTJOIN(", ",TRUE,_xlfn._xlws.FILTER(Tabla28[[#All],[PARTE]],ISNUMBER(SEARCH(Tabla28[[#All],[PCLAVE2]],Tabla8[[#This Row],[DESCRIPCION DE TRABAJO]])),""))</f>
        <v/>
      </c>
      <c r="P1029" s="303" t="str">
        <f>IFERROR(LEFT(O1029, FIND(",", O1029)-1), O1029)</f>
        <v/>
      </c>
      <c r="Q1029" s="303" t="str">
        <f>IFERROR(IF(ISERROR(FIND(",", O1029, FIND(",", O1029)+1)), RIGHT(O1029, LEN(O1029)-FIND(",", O1029)-1), MID(O1029, FIND(",", O1029)+2, FIND(",", O1029, FIND(",", O1029)+1)-FIND(",", O1029)-2)), "")</f>
        <v/>
      </c>
      <c r="R1029" s="303" t="str">
        <f>IFERROR(RIGHT(O1029, LEN(O1029)-FIND(",", O1029, FIND(",", O1029)+1)-1), "")</f>
        <v/>
      </c>
      <c r="S1029" s="35" t="str" cm="1">
        <f t="array" ref="S1029">_xlfn.TEXTJOIN(", ",TRUE,_xlfn._xlws.FILTER(Tabla29[[#All],[PARTE]],ISNUMBER(SEARCH(Tabla29[[#All],[PCLAVE3]],Tabla8[[#This Row],[DESCRIPCION DE TRABAJO]])),""))</f>
        <v/>
      </c>
      <c r="T1029" s="34" t="str">
        <f>IF(AND(Tabla8[[#This Row],[PIEZA]]="",Tabla8[[#This Row],[PARTE]]=""),"VACIO","OK")</f>
        <v>VACIO</v>
      </c>
      <c r="U1029" s="303" t="str">
        <f>+CONCATENATE(WEEKNUM(Tabla8[[#This Row],[FECHA]]),"-",YEAR(Tabla8[[#This Row],[FECHA]]))</f>
        <v>18-2026</v>
      </c>
    </row>
    <row r="1030" spans="1:21" ht="15" customHeight="1">
      <c r="A1030" s="22">
        <v>46139</v>
      </c>
      <c r="B1030" s="16" t="s">
        <v>131</v>
      </c>
      <c r="C1030" s="10" t="s">
        <v>39</v>
      </c>
      <c r="D1030" s="381">
        <v>0.15972222222222221</v>
      </c>
      <c r="E1030" s="381">
        <v>0.1736111111111111</v>
      </c>
      <c r="F1030" s="380">
        <f>+MOD(Tabla8[[#This Row],[HR. FIN]]-Tabla8[[#This Row],[HR. INICIO]],1)</f>
        <v>1.3888888888888895E-2</v>
      </c>
      <c r="G1030" s="16" t="s">
        <v>815</v>
      </c>
      <c r="H1030" s="343" t="str">
        <f>IFERROR(VLOOKUP(G1030,DATOS!$M$2:$N$219,2,FALSE),"")</f>
        <v>Maquinaria</v>
      </c>
      <c r="I1030" s="115" t="s">
        <v>32</v>
      </c>
      <c r="J1030" s="115" t="str">
        <f>+VLOOKUP($I1030,Tabla7[#All],2,FALSE)</f>
        <v>PROGRAMADA</v>
      </c>
      <c r="K1030" s="114" t="str">
        <f>IF(VLOOKUP(I1030,Tabla7[#All],3,FALSE)=0,"",VLOOKUP(I1030,Tabla7[#All],3,FALSE))</f>
        <v/>
      </c>
      <c r="L1030" s="35" t="s">
        <v>1995</v>
      </c>
      <c r="M1030" s="35" t="s">
        <v>1996</v>
      </c>
      <c r="N1030" s="35" t="str" cm="1">
        <f t="array" ref="N1030">IFERROR(IF(Tabla8[[#This Row],[P/NP]]="NO PROGRAMADA","",_xlfn.TEXTJOIN(", ",TRUE,_xlfn._xlws.FILTER(Tabla4[[#All],[PIEZA]],ISNUMBER(SEARCH(Tabla4[[#All],[PCLAVE]],Tabla8[[#This Row],[DESCRIPCION DE TRABAJO]])),""))),"")</f>
        <v>Cajas, Cuchilla, Producto</v>
      </c>
      <c r="O1030" s="35" t="str" cm="1">
        <f t="array" ref="O1030">_xlfn.TEXTJOIN(", ",TRUE,_xlfn._xlws.FILTER(Tabla28[[#All],[PARTE]],ISNUMBER(SEARCH(Tabla28[[#All],[PCLAVE2]],Tabla8[[#This Row],[DESCRIPCION DE TRABAJO]])),""))</f>
        <v/>
      </c>
      <c r="P1030" s="303" t="str">
        <f>IFERROR(LEFT(O1030, FIND(",", O1030)-1), O1030)</f>
        <v/>
      </c>
      <c r="Q1030" s="303" t="str">
        <f>IFERROR(IF(ISERROR(FIND(",", O1030, FIND(",", O1030)+1)), RIGHT(O1030, LEN(O1030)-FIND(",", O1030)-1), MID(O1030, FIND(",", O1030)+2, FIND(",", O1030, FIND(",", O1030)+1)-FIND(",", O1030)-2)), "")</f>
        <v/>
      </c>
      <c r="R1030" s="303" t="str">
        <f>IFERROR(RIGHT(O1030, LEN(O1030)-FIND(",", O1030, FIND(",", O1030)+1)-1), "")</f>
        <v/>
      </c>
      <c r="S1030" s="35" t="str" cm="1">
        <f t="array" ref="S1030">_xlfn.TEXTJOIN(", ",TRUE,_xlfn._xlws.FILTER(Tabla29[[#All],[PARTE]],ISNUMBER(SEARCH(Tabla29[[#All],[PCLAVE3]],Tabla8[[#This Row],[DESCRIPCION DE TRABAJO]])),""))</f>
        <v/>
      </c>
      <c r="T1030" s="34" t="str">
        <f>IF(AND(Tabla8[[#This Row],[PIEZA]]="",Tabla8[[#This Row],[PARTE]]=""),"VACIO","OK")</f>
        <v>OK</v>
      </c>
      <c r="U1030" s="303" t="str">
        <f>+CONCATENATE(WEEKNUM(Tabla8[[#This Row],[FECHA]]),"-",YEAR(Tabla8[[#This Row],[FECHA]]))</f>
        <v>18-2026</v>
      </c>
    </row>
    <row r="1031" spans="1:21" ht="15" customHeight="1">
      <c r="A1031" s="22">
        <v>46139</v>
      </c>
      <c r="B1031" s="16" t="s">
        <v>111</v>
      </c>
      <c r="C1031" s="10" t="s">
        <v>23</v>
      </c>
      <c r="D1031" s="381" t="s">
        <v>949</v>
      </c>
      <c r="E1031" s="381" t="s">
        <v>450</v>
      </c>
      <c r="F1031" s="380">
        <f>+MOD(Tabla8[[#This Row],[HR. FIN]]-Tabla8[[#This Row],[HR. INICIO]],1)</f>
        <v>1.388888888888884E-2</v>
      </c>
      <c r="G1031" s="16" t="s">
        <v>942</v>
      </c>
      <c r="H1031" s="343" t="str">
        <f>IFERROR(VLOOKUP(G1031,DATOS!$M$2:$N$219,2,FALSE),"")</f>
        <v>Maquinaria</v>
      </c>
      <c r="I1031" s="115" t="s">
        <v>54</v>
      </c>
      <c r="J1031" s="115" t="str">
        <f>+VLOOKUP($I1031,Tabla7[#All],2,FALSE)</f>
        <v>PROGRAMADA</v>
      </c>
      <c r="K1031" s="114" t="str">
        <f>IF(VLOOKUP(I1031,Tabla7[#All],3,FALSE)=0,"",VLOOKUP(I1031,Tabla7[#All],3,FALSE))</f>
        <v/>
      </c>
      <c r="L1031" s="35" t="s">
        <v>225</v>
      </c>
      <c r="M1031" s="35" t="s">
        <v>1997</v>
      </c>
      <c r="N1031" s="35" t="str" cm="1">
        <f t="array" ref="N1031">IFERROR(IF(Tabla8[[#This Row],[P/NP]]="NO PROGRAMADA","",_xlfn.TEXTJOIN(", ",TRUE,_xlfn._xlws.FILTER(Tabla4[[#All],[PIEZA]],ISNUMBER(SEARCH(Tabla4[[#All],[PCLAVE]],Tabla8[[#This Row],[DESCRIPCION DE TRABAJO]])),""))),"")</f>
        <v/>
      </c>
      <c r="O1031" s="35" t="str" cm="1">
        <f t="array" ref="O1031">_xlfn.TEXTJOIN(", ",TRUE,_xlfn._xlws.FILTER(Tabla28[[#All],[PARTE]],ISNUMBER(SEARCH(Tabla28[[#All],[PCLAVE2]],Tabla8[[#This Row],[DESCRIPCION DE TRABAJO]])),""))</f>
        <v/>
      </c>
      <c r="P1031" s="303" t="str">
        <f>IFERROR(LEFT(O1031, FIND(",", O1031)-1), O1031)</f>
        <v/>
      </c>
      <c r="Q1031" s="303" t="str">
        <f>IFERROR(IF(ISERROR(FIND(",", O1031, FIND(",", O1031)+1)), RIGHT(O1031, LEN(O1031)-FIND(",", O1031)-1), MID(O1031, FIND(",", O1031)+2, FIND(",", O1031, FIND(",", O1031)+1)-FIND(",", O1031)-2)), "")</f>
        <v/>
      </c>
      <c r="R1031" s="303" t="str">
        <f>IFERROR(RIGHT(O1031, LEN(O1031)-FIND(",", O1031, FIND(",", O1031)+1)-1), "")</f>
        <v/>
      </c>
      <c r="S1031" s="35" t="str" cm="1">
        <f t="array" ref="S1031">_xlfn.TEXTJOIN(", ",TRUE,_xlfn._xlws.FILTER(Tabla29[[#All],[PARTE]],ISNUMBER(SEARCH(Tabla29[[#All],[PCLAVE3]],Tabla8[[#This Row],[DESCRIPCION DE TRABAJO]])),""))</f>
        <v/>
      </c>
      <c r="T1031" s="34" t="str">
        <f>IF(AND(Tabla8[[#This Row],[PIEZA]]="",Tabla8[[#This Row],[PARTE]]=""),"VACIO","OK")</f>
        <v>VACIO</v>
      </c>
      <c r="U1031" s="303" t="str">
        <f>+CONCATENATE(WEEKNUM(Tabla8[[#This Row],[FECHA]]),"-",YEAR(Tabla8[[#This Row],[FECHA]]))</f>
        <v>18-2026</v>
      </c>
    </row>
    <row r="1032" spans="1:21" ht="15" customHeight="1">
      <c r="A1032" s="22">
        <v>46139</v>
      </c>
      <c r="B1032" s="16" t="s">
        <v>179</v>
      </c>
      <c r="C1032" s="10" t="s">
        <v>36</v>
      </c>
      <c r="D1032" s="381">
        <v>0.65277777777777779</v>
      </c>
      <c r="E1032" s="381">
        <v>0.66666666666666663</v>
      </c>
      <c r="F1032" s="380">
        <f>+MOD(Tabla8[[#This Row],[HR. FIN]]-Tabla8[[#This Row],[HR. INICIO]],1)</f>
        <v>1.388888888888884E-2</v>
      </c>
      <c r="G1032" s="16" t="s">
        <v>169</v>
      </c>
      <c r="H1032" s="343" t="str">
        <f>IFERROR(VLOOKUP(G1032,DATOS!$M$2:$N$219,2,FALSE),"")</f>
        <v>Maquinaria</v>
      </c>
      <c r="I1032" s="115" t="s">
        <v>32</v>
      </c>
      <c r="J1032" s="115" t="str">
        <f>+VLOOKUP($I1032,Tabla7[#All],2,FALSE)</f>
        <v>PROGRAMADA</v>
      </c>
      <c r="K1032" s="114" t="str">
        <f>IF(VLOOKUP(I1032,Tabla7[#All],3,FALSE)=0,"",VLOOKUP(I1032,Tabla7[#All],3,FALSE))</f>
        <v/>
      </c>
      <c r="L1032" s="35" t="s">
        <v>1959</v>
      </c>
      <c r="M1032" s="35" t="s">
        <v>121</v>
      </c>
      <c r="N1032" s="35" t="str" cm="1">
        <f t="array" ref="N1032">IFERROR(IF(Tabla8[[#This Row],[P/NP]]="NO PROGRAMADA","",_xlfn.TEXTJOIN(", ",TRUE,_xlfn._xlws.FILTER(Tabla4[[#All],[PIEZA]],ISNUMBER(SEARCH(Tabla4[[#All],[PCLAVE]],Tabla8[[#This Row],[DESCRIPCION DE TRABAJO]])),""))),"")</f>
        <v/>
      </c>
      <c r="O1032" s="35" t="str" cm="1">
        <f t="array" ref="O1032">_xlfn.TEXTJOIN(", ",TRUE,_xlfn._xlws.FILTER(Tabla28[[#All],[PARTE]],ISNUMBER(SEARCH(Tabla28[[#All],[PCLAVE2]],Tabla8[[#This Row],[DESCRIPCION DE TRABAJO]])),""))</f>
        <v/>
      </c>
      <c r="P1032" s="303" t="str">
        <f>IFERROR(LEFT(O1032, FIND(",", O1032)-1), O1032)</f>
        <v/>
      </c>
      <c r="Q1032" s="303" t="str">
        <f>IFERROR(IF(ISERROR(FIND(",", O1032, FIND(",", O1032)+1)), RIGHT(O1032, LEN(O1032)-FIND(",", O1032)-1), MID(O1032, FIND(",", O1032)+2, FIND(",", O1032, FIND(",", O1032)+1)-FIND(",", O1032)-2)), "")</f>
        <v/>
      </c>
      <c r="R1032" s="303" t="str">
        <f>IFERROR(RIGHT(O1032, LEN(O1032)-FIND(",", O1032, FIND(",", O1032)+1)-1), "")</f>
        <v/>
      </c>
      <c r="S1032" s="35" t="str" cm="1">
        <f t="array" ref="S1032">_xlfn.TEXTJOIN(", ",TRUE,_xlfn._xlws.FILTER(Tabla29[[#All],[PARTE]],ISNUMBER(SEARCH(Tabla29[[#All],[PCLAVE3]],Tabla8[[#This Row],[DESCRIPCION DE TRABAJO]])),""))</f>
        <v/>
      </c>
      <c r="T1032" s="34" t="str">
        <f>IF(AND(Tabla8[[#This Row],[PIEZA]]="",Tabla8[[#This Row],[PARTE]]=""),"VACIO","OK")</f>
        <v>VACIO</v>
      </c>
      <c r="U1032" s="303" t="str">
        <f>+CONCATENATE(WEEKNUM(Tabla8[[#This Row],[FECHA]]),"-",YEAR(Tabla8[[#This Row],[FECHA]]))</f>
        <v>18-2026</v>
      </c>
    </row>
    <row r="1033" spans="1:21" ht="15" customHeight="1">
      <c r="A1033" s="22">
        <v>46139</v>
      </c>
      <c r="B1033" s="16" t="s">
        <v>131</v>
      </c>
      <c r="C1033" s="10" t="s">
        <v>39</v>
      </c>
      <c r="D1033" s="381">
        <v>0.95486111111111116</v>
      </c>
      <c r="E1033" s="381">
        <v>0.96875</v>
      </c>
      <c r="F1033" s="380">
        <f>+MOD(Tabla8[[#This Row],[HR. FIN]]-Tabla8[[#This Row],[HR. INICIO]],1)</f>
        <v>1.388888888888884E-2</v>
      </c>
      <c r="G1033" s="16" t="s">
        <v>205</v>
      </c>
      <c r="H1033" s="343" t="str">
        <f>IFERROR(VLOOKUP(G1033,DATOS!$M$2:$N$219,2,FALSE),"")</f>
        <v>Maquinaria</v>
      </c>
      <c r="I1033" s="115" t="s">
        <v>54</v>
      </c>
      <c r="J1033" s="115" t="str">
        <f>+VLOOKUP($I1033,Tabla7[#All],2,FALSE)</f>
        <v>PROGRAMADA</v>
      </c>
      <c r="K1033" s="114" t="str">
        <f>IF(VLOOKUP(I1033,Tabla7[#All],3,FALSE)=0,"",VLOOKUP(I1033,Tabla7[#All],3,FALSE))</f>
        <v/>
      </c>
      <c r="L1033" s="35" t="s">
        <v>1998</v>
      </c>
      <c r="M1033" s="35" t="s">
        <v>121</v>
      </c>
      <c r="N1033" s="35" t="str" cm="1">
        <f t="array" ref="N1033">IFERROR(IF(Tabla8[[#This Row],[P/NP]]="NO PROGRAMADA","",_xlfn.TEXTJOIN(", ",TRUE,_xlfn._xlws.FILTER(Tabla4[[#All],[PIEZA]],ISNUMBER(SEARCH(Tabla4[[#All],[PCLAVE]],Tabla8[[#This Row],[DESCRIPCION DE TRABAJO]])),""))),"")</f>
        <v/>
      </c>
      <c r="O1033" s="35" t="str" cm="1">
        <f t="array" ref="O1033">_xlfn.TEXTJOIN(", ",TRUE,_xlfn._xlws.FILTER(Tabla28[[#All],[PARTE]],ISNUMBER(SEARCH(Tabla28[[#All],[PCLAVE2]],Tabla8[[#This Row],[DESCRIPCION DE TRABAJO]])),""))</f>
        <v/>
      </c>
      <c r="P1033" s="303" t="str">
        <f>IFERROR(LEFT(O1033, FIND(",", O1033)-1), O1033)</f>
        <v/>
      </c>
      <c r="Q1033" s="303" t="str">
        <f>IFERROR(IF(ISERROR(FIND(",", O1033, FIND(",", O1033)+1)), RIGHT(O1033, LEN(O1033)-FIND(",", O1033)-1), MID(O1033, FIND(",", O1033)+2, FIND(",", O1033, FIND(",", O1033)+1)-FIND(",", O1033)-2)), "")</f>
        <v/>
      </c>
      <c r="R1033" s="303" t="str">
        <f>IFERROR(RIGHT(O1033, LEN(O1033)-FIND(",", O1033, FIND(",", O1033)+1)-1), "")</f>
        <v/>
      </c>
      <c r="S1033" s="35" t="str" cm="1">
        <f t="array" ref="S1033">_xlfn.TEXTJOIN(", ",TRUE,_xlfn._xlws.FILTER(Tabla29[[#All],[PARTE]],ISNUMBER(SEARCH(Tabla29[[#All],[PCLAVE3]],Tabla8[[#This Row],[DESCRIPCION DE TRABAJO]])),""))</f>
        <v/>
      </c>
      <c r="T1033" s="34" t="str">
        <f>IF(AND(Tabla8[[#This Row],[PIEZA]]="",Tabla8[[#This Row],[PARTE]]=""),"VACIO","OK")</f>
        <v>VACIO</v>
      </c>
      <c r="U1033" s="303" t="str">
        <f>+CONCATENATE(WEEKNUM(Tabla8[[#This Row],[FECHA]]),"-",YEAR(Tabla8[[#This Row],[FECHA]]))</f>
        <v>18-2026</v>
      </c>
    </row>
    <row r="1034" spans="1:21" ht="15" customHeight="1">
      <c r="A1034" s="22">
        <v>46139</v>
      </c>
      <c r="B1034" s="16" t="s">
        <v>131</v>
      </c>
      <c r="C1034" s="10" t="s">
        <v>39</v>
      </c>
      <c r="D1034" s="381">
        <v>0.13750000000000001</v>
      </c>
      <c r="E1034" s="381">
        <v>0.14861111111111111</v>
      </c>
      <c r="F1034" s="380">
        <f>+MOD(Tabla8[[#This Row],[HR. FIN]]-Tabla8[[#This Row],[HR. INICIO]],1)</f>
        <v>1.1111111111111099E-2</v>
      </c>
      <c r="G1034" s="16" t="s">
        <v>81</v>
      </c>
      <c r="H1034" s="343" t="str">
        <f>IFERROR(VLOOKUP(G1034,DATOS!$M$2:$N$219,2,FALSE),"")</f>
        <v>Maquinaria</v>
      </c>
      <c r="I1034" s="115" t="s">
        <v>32</v>
      </c>
      <c r="J1034" s="115" t="str">
        <f>+VLOOKUP($I1034,Tabla7[#All],2,FALSE)</f>
        <v>PROGRAMADA</v>
      </c>
      <c r="K1034" s="114" t="str">
        <f>IF(VLOOKUP(I1034,Tabla7[#All],3,FALSE)=0,"",VLOOKUP(I1034,Tabla7[#All],3,FALSE))</f>
        <v/>
      </c>
      <c r="L1034" s="35" t="s">
        <v>1999</v>
      </c>
      <c r="M1034" s="35" t="s">
        <v>121</v>
      </c>
      <c r="N1034" s="35" t="str" cm="1">
        <f t="array" ref="N1034">IFERROR(IF(Tabla8[[#This Row],[P/NP]]="NO PROGRAMADA","",_xlfn.TEXTJOIN(", ",TRUE,_xlfn._xlws.FILTER(Tabla4[[#All],[PIEZA]],ISNUMBER(SEARCH(Tabla4[[#All],[PCLAVE]],Tabla8[[#This Row],[DESCRIPCION DE TRABAJO]])),""))),"")</f>
        <v>Cuchilla, Laminado</v>
      </c>
      <c r="O1034" s="35" t="str" cm="1">
        <f t="array" ref="O1034">_xlfn.TEXTJOIN(", ",TRUE,_xlfn._xlws.FILTER(Tabla28[[#All],[PARTE]],ISNUMBER(SEARCH(Tabla28[[#All],[PCLAVE2]],Tabla8[[#This Row],[DESCRIPCION DE TRABAJO]])),""))</f>
        <v/>
      </c>
      <c r="P1034" s="303" t="str">
        <f>IFERROR(LEFT(O1034, FIND(",", O1034)-1), O1034)</f>
        <v/>
      </c>
      <c r="Q1034" s="303" t="str">
        <f>IFERROR(IF(ISERROR(FIND(",", O1034, FIND(",", O1034)+1)), RIGHT(O1034, LEN(O1034)-FIND(",", O1034)-1), MID(O1034, FIND(",", O1034)+2, FIND(",", O1034, FIND(",", O1034)+1)-FIND(",", O1034)-2)), "")</f>
        <v/>
      </c>
      <c r="R1034" s="303" t="str">
        <f>IFERROR(RIGHT(O1034, LEN(O1034)-FIND(",", O1034, FIND(",", O1034)+1)-1), "")</f>
        <v/>
      </c>
      <c r="S1034" s="35" t="str" cm="1">
        <f t="array" ref="S1034">_xlfn.TEXTJOIN(", ",TRUE,_xlfn._xlws.FILTER(Tabla29[[#All],[PARTE]],ISNUMBER(SEARCH(Tabla29[[#All],[PCLAVE3]],Tabla8[[#This Row],[DESCRIPCION DE TRABAJO]])),""))</f>
        <v>Laminado</v>
      </c>
      <c r="T1034" s="34" t="str">
        <f>IF(AND(Tabla8[[#This Row],[PIEZA]]="",Tabla8[[#This Row],[PARTE]]=""),"VACIO","OK")</f>
        <v>OK</v>
      </c>
      <c r="U1034" s="303" t="str">
        <f>+CONCATENATE(WEEKNUM(Tabla8[[#This Row],[FECHA]]),"-",YEAR(Tabla8[[#This Row],[FECHA]]))</f>
        <v>18-2026</v>
      </c>
    </row>
    <row r="1035" spans="1:21" ht="15" customHeight="1">
      <c r="A1035" s="22">
        <v>46139</v>
      </c>
      <c r="B1035" s="16" t="s">
        <v>191</v>
      </c>
      <c r="C1035" s="10" t="s">
        <v>36</v>
      </c>
      <c r="D1035" s="381" t="s">
        <v>2000</v>
      </c>
      <c r="E1035" s="381" t="s">
        <v>400</v>
      </c>
      <c r="F1035" s="380">
        <f>+MOD(Tabla8[[#This Row],[HR. FIN]]-Tabla8[[#This Row],[HR. INICIO]],1)</f>
        <v>1.1111111111111072E-2</v>
      </c>
      <c r="G1035" s="16" t="s">
        <v>119</v>
      </c>
      <c r="H1035" s="343" t="str">
        <f>IFERROR(VLOOKUP(G1035,DATOS!$M$2:$N$219,2,FALSE),"")</f>
        <v>Maquinaria</v>
      </c>
      <c r="I1035" s="115" t="s">
        <v>32</v>
      </c>
      <c r="J1035" s="115" t="s">
        <v>92</v>
      </c>
      <c r="K1035" s="114" t="s">
        <v>148</v>
      </c>
      <c r="L1035" s="35" t="s">
        <v>2001</v>
      </c>
      <c r="M1035" s="35" t="s">
        <v>2002</v>
      </c>
      <c r="N1035" s="35" t="str" cm="1">
        <f t="array" ref="N1035">IFERROR(IF(Tabla8[[#This Row],[P/NP]]="NO PROGRAMADA","",_xlfn.TEXTJOIN(", ",TRUE,_xlfn._xlws.FILTER(Tabla4[[#All],[PIEZA]],ISNUMBER(SEARCH(Tabla4[[#All],[PCLAVE]],Tabla8[[#This Row],[DESCRIPCION DE TRABAJO]])),""))),"")</f>
        <v/>
      </c>
      <c r="O1035" s="35" t="str" cm="1">
        <f t="array" ref="O1035">_xlfn.TEXTJOIN(", ",TRUE,_xlfn._xlws.FILTER(Tabla28[[#All],[PARTE]],ISNUMBER(SEARCH(Tabla28[[#All],[PCLAVE2]],Tabla8[[#This Row],[DESCRIPCION DE TRABAJO]])),""))</f>
        <v/>
      </c>
      <c r="P1035" s="303" t="str">
        <f>IFERROR(LEFT(O1035, FIND(",", O1035)-1), O1035)</f>
        <v/>
      </c>
      <c r="Q1035" s="303" t="str">
        <f>IFERROR(IF(ISERROR(FIND(",", O1035, FIND(",", O1035)+1)), RIGHT(O1035, LEN(O1035)-FIND(",", O1035)-1), MID(O1035, FIND(",", O1035)+2, FIND(",", O1035, FIND(",", O1035)+1)-FIND(",", O1035)-2)), "")</f>
        <v/>
      </c>
      <c r="R1035" s="303" t="str">
        <f>IFERROR(RIGHT(O1035, LEN(O1035)-FIND(",", O1035, FIND(",", O1035)+1)-1), "")</f>
        <v/>
      </c>
      <c r="S1035" s="35" t="str" cm="1">
        <f t="array" ref="S1035">_xlfn.TEXTJOIN(", ",TRUE,_xlfn._xlws.FILTER(Tabla29[[#All],[PARTE]],ISNUMBER(SEARCH(Tabla29[[#All],[PCLAVE3]],Tabla8[[#This Row],[DESCRIPCION DE TRABAJO]])),""))</f>
        <v>No Inicia</v>
      </c>
      <c r="T1035" s="34" t="str">
        <f>IF(AND(Tabla8[[#This Row],[PIEZA]]="",Tabla8[[#This Row],[PARTE]]=""),"VACIO","OK")</f>
        <v>VACIO</v>
      </c>
      <c r="U1035" s="303" t="str">
        <f>+CONCATENATE(WEEKNUM(Tabla8[[#This Row],[FECHA]]),"-",YEAR(Tabla8[[#This Row],[FECHA]]))</f>
        <v>18-2026</v>
      </c>
    </row>
    <row r="1036" spans="1:21" ht="15" customHeight="1">
      <c r="A1036" s="22">
        <v>46139</v>
      </c>
      <c r="B1036" s="16" t="s">
        <v>191</v>
      </c>
      <c r="C1036" s="10" t="s">
        <v>36</v>
      </c>
      <c r="D1036" s="381" t="s">
        <v>694</v>
      </c>
      <c r="E1036" s="381" t="s">
        <v>2003</v>
      </c>
      <c r="F1036" s="380">
        <f>+MOD(Tabla8[[#This Row],[HR. FIN]]-Tabla8[[#This Row],[HR. INICIO]],1)</f>
        <v>1.0416666666666741E-2</v>
      </c>
      <c r="G1036" s="16" t="s">
        <v>438</v>
      </c>
      <c r="H1036" s="343" t="str">
        <f>IFERROR(VLOOKUP(G1036,DATOS!$M$2:$N$219,2,FALSE),"")</f>
        <v>Maquinaria</v>
      </c>
      <c r="I1036" s="115" t="s">
        <v>245</v>
      </c>
      <c r="J1036" s="115" t="str">
        <f>+VLOOKUP($I1036,Tabla7[#All],2,FALSE)</f>
        <v>PROGRAMADA</v>
      </c>
      <c r="K1036" s="114" t="str">
        <f>IF(VLOOKUP(I1036,Tabla7[#All],3,FALSE)=0,"",VLOOKUP(I1036,Tabla7[#All],3,FALSE))</f>
        <v/>
      </c>
      <c r="L1036" s="35" t="s">
        <v>2004</v>
      </c>
      <c r="M1036" s="35" t="s">
        <v>121</v>
      </c>
      <c r="N1036" s="35" t="str" cm="1">
        <f t="array" ref="N1036">IFERROR(IF(Tabla8[[#This Row],[P/NP]]="NO PROGRAMADA","",_xlfn.TEXTJOIN(", ",TRUE,_xlfn._xlws.FILTER(Tabla4[[#All],[PIEZA]],ISNUMBER(SEARCH(Tabla4[[#All],[PCLAVE]],Tabla8[[#This Row],[DESCRIPCION DE TRABAJO]])),""))),"")</f>
        <v>Cadena</v>
      </c>
      <c r="O1036" s="35" t="str" cm="1">
        <f t="array" ref="O1036">_xlfn.TEXTJOIN(", ",TRUE,_xlfn._xlws.FILTER(Tabla28[[#All],[PARTE]],ISNUMBER(SEARCH(Tabla28[[#All],[PCLAVE2]],Tabla8[[#This Row],[DESCRIPCION DE TRABAJO]])),""))</f>
        <v/>
      </c>
      <c r="P1036" s="303" t="str">
        <f>IFERROR(LEFT(O1036, FIND(",", O1036)-1), O1036)</f>
        <v/>
      </c>
      <c r="Q1036" s="303" t="str">
        <f>IFERROR(IF(ISERROR(FIND(",", O1036, FIND(",", O1036)+1)), RIGHT(O1036, LEN(O1036)-FIND(",", O1036)-1), MID(O1036, FIND(",", O1036)+2, FIND(",", O1036, FIND(",", O1036)+1)-FIND(",", O1036)-2)), "")</f>
        <v/>
      </c>
      <c r="R1036" s="303" t="str">
        <f>IFERROR(RIGHT(O1036, LEN(O1036)-FIND(",", O1036, FIND(",", O1036)+1)-1), "")</f>
        <v/>
      </c>
      <c r="S1036" s="35" t="str" cm="1">
        <f t="array" ref="S1036">_xlfn.TEXTJOIN(", ",TRUE,_xlfn._xlws.FILTER(Tabla29[[#All],[PARTE]],ISNUMBER(SEARCH(Tabla29[[#All],[PCLAVE3]],Tabla8[[#This Row],[DESCRIPCION DE TRABAJO]])),""))</f>
        <v>Calibracion, Lubricacion</v>
      </c>
      <c r="T1036" s="34" t="str">
        <f>IF(AND(Tabla8[[#This Row],[PIEZA]]="",Tabla8[[#This Row],[PARTE]]=""),"VACIO","OK")</f>
        <v>OK</v>
      </c>
      <c r="U1036" s="303" t="str">
        <f>+CONCATENATE(WEEKNUM(Tabla8[[#This Row],[FECHA]]),"-",YEAR(Tabla8[[#This Row],[FECHA]]))</f>
        <v>18-2026</v>
      </c>
    </row>
    <row r="1037" spans="1:21" ht="15" customHeight="1">
      <c r="A1037" s="22">
        <v>46139</v>
      </c>
      <c r="B1037" s="16" t="s">
        <v>191</v>
      </c>
      <c r="C1037" s="10" t="s">
        <v>36</v>
      </c>
      <c r="D1037" s="381" t="s">
        <v>1632</v>
      </c>
      <c r="E1037" s="381" t="s">
        <v>2005</v>
      </c>
      <c r="F1037" s="380">
        <f>+MOD(Tabla8[[#This Row],[HR. FIN]]-Tabla8[[#This Row],[HR. INICIO]],1)</f>
        <v>1.0416666666666685E-2</v>
      </c>
      <c r="G1037" s="16" t="s">
        <v>24</v>
      </c>
      <c r="H1037" s="343" t="str">
        <f>IFERROR(VLOOKUP(G1037,DATOS!$M$2:$N$219,2,FALSE),"")</f>
        <v>Maquinaria</v>
      </c>
      <c r="I1037" s="115" t="s">
        <v>32</v>
      </c>
      <c r="J1037" s="115" t="str">
        <f>+VLOOKUP($I1037,Tabla7[#All],2,FALSE)</f>
        <v>PROGRAMADA</v>
      </c>
      <c r="K1037" s="114" t="str">
        <f>IF(VLOOKUP(I1037,Tabla7[#All],3,FALSE)=0,"",VLOOKUP(I1037,Tabla7[#All],3,FALSE))</f>
        <v/>
      </c>
      <c r="L1037" s="35" t="s">
        <v>76</v>
      </c>
      <c r="M1037" s="35" t="s">
        <v>121</v>
      </c>
      <c r="N1037" s="35" t="str" cm="1">
        <f t="array" ref="N1037">IFERROR(IF(Tabla8[[#This Row],[P/NP]]="NO PROGRAMADA","",_xlfn.TEXTJOIN(", ",TRUE,_xlfn._xlws.FILTER(Tabla4[[#All],[PIEZA]],ISNUMBER(SEARCH(Tabla4[[#All],[PCLAVE]],Tabla8[[#This Row],[DESCRIPCION DE TRABAJO]])),""))),"")</f>
        <v/>
      </c>
      <c r="O1037" s="35" t="str" cm="1">
        <f t="array" ref="O1037">_xlfn.TEXTJOIN(", ",TRUE,_xlfn._xlws.FILTER(Tabla28[[#All],[PARTE]],ISNUMBER(SEARCH(Tabla28[[#All],[PCLAVE2]],Tabla8[[#This Row],[DESCRIPCION DE TRABAJO]])),""))</f>
        <v/>
      </c>
      <c r="P1037" s="303" t="str">
        <f>IFERROR(LEFT(O1037, FIND(",", O1037)-1), O1037)</f>
        <v/>
      </c>
      <c r="Q1037" s="303" t="str">
        <f>IFERROR(IF(ISERROR(FIND(",", O1037, FIND(",", O1037)+1)), RIGHT(O1037, LEN(O1037)-FIND(",", O1037)-1), MID(O1037, FIND(",", O1037)+2, FIND(",", O1037, FIND(",", O1037)+1)-FIND(",", O1037)-2)), "")</f>
        <v/>
      </c>
      <c r="R1037" s="303" t="str">
        <f>IFERROR(RIGHT(O1037, LEN(O1037)-FIND(",", O1037, FIND(",", O1037)+1)-1), "")</f>
        <v/>
      </c>
      <c r="S1037" s="35" t="str" cm="1">
        <f t="array" ref="S1037">_xlfn.TEXTJOIN(", ",TRUE,_xlfn._xlws.FILTER(Tabla29[[#All],[PARTE]],ISNUMBER(SEARCH(Tabla29[[#All],[PCLAVE3]],Tabla8[[#This Row],[DESCRIPCION DE TRABAJO]])),""))</f>
        <v/>
      </c>
      <c r="T1037" s="34" t="str">
        <f>IF(AND(Tabla8[[#This Row],[PIEZA]]="",Tabla8[[#This Row],[PARTE]]=""),"VACIO","OK")</f>
        <v>VACIO</v>
      </c>
      <c r="U1037" s="303" t="str">
        <f>+CONCATENATE(WEEKNUM(Tabla8[[#This Row],[FECHA]]),"-",YEAR(Tabla8[[#This Row],[FECHA]]))</f>
        <v>18-2026</v>
      </c>
    </row>
    <row r="1038" spans="1:21" ht="15" customHeight="1">
      <c r="A1038" s="22">
        <v>46139</v>
      </c>
      <c r="B1038" s="16" t="s">
        <v>111</v>
      </c>
      <c r="C1038" s="10" t="s">
        <v>23</v>
      </c>
      <c r="D1038" s="381" t="s">
        <v>608</v>
      </c>
      <c r="E1038" s="381" t="s">
        <v>107</v>
      </c>
      <c r="F1038" s="380">
        <f>+MOD(Tabla8[[#This Row],[HR. FIN]]-Tabla8[[#This Row],[HR. INICIO]],1)</f>
        <v>1.041666666666663E-2</v>
      </c>
      <c r="G1038" s="16" t="s">
        <v>1643</v>
      </c>
      <c r="H1038" s="343" t="str">
        <f>IFERROR(VLOOKUP(G1038,DATOS!$M$2:$N$219,2,FALSE),"")</f>
        <v>Maquinaria</v>
      </c>
      <c r="I1038" s="115" t="s">
        <v>54</v>
      </c>
      <c r="J1038" s="115" t="str">
        <f>+VLOOKUP($I1038,Tabla7[#All],2,FALSE)</f>
        <v>PROGRAMADA</v>
      </c>
      <c r="K1038" s="114" t="str">
        <f>IF(VLOOKUP(I1038,Tabla7[#All],3,FALSE)=0,"",VLOOKUP(I1038,Tabla7[#All],3,FALSE))</f>
        <v/>
      </c>
      <c r="L1038" s="35" t="s">
        <v>225</v>
      </c>
      <c r="M1038" s="35" t="s">
        <v>2006</v>
      </c>
      <c r="N1038" s="35" t="str" cm="1">
        <f t="array" ref="N1038">IFERROR(IF(Tabla8[[#This Row],[P/NP]]="NO PROGRAMADA","",_xlfn.TEXTJOIN(", ",TRUE,_xlfn._xlws.FILTER(Tabla4[[#All],[PIEZA]],ISNUMBER(SEARCH(Tabla4[[#All],[PCLAVE]],Tabla8[[#This Row],[DESCRIPCION DE TRABAJO]])),""))),"")</f>
        <v/>
      </c>
      <c r="O1038" s="35" t="str" cm="1">
        <f t="array" ref="O1038">_xlfn.TEXTJOIN(", ",TRUE,_xlfn._xlws.FILTER(Tabla28[[#All],[PARTE]],ISNUMBER(SEARCH(Tabla28[[#All],[PCLAVE2]],Tabla8[[#This Row],[DESCRIPCION DE TRABAJO]])),""))</f>
        <v/>
      </c>
      <c r="P1038" s="303" t="str">
        <f>IFERROR(LEFT(O1038, FIND(",", O1038)-1), O1038)</f>
        <v/>
      </c>
      <c r="Q1038" s="303" t="str">
        <f>IFERROR(IF(ISERROR(FIND(",", O1038, FIND(",", O1038)+1)), RIGHT(O1038, LEN(O1038)-FIND(",", O1038)-1), MID(O1038, FIND(",", O1038)+2, FIND(",", O1038, FIND(",", O1038)+1)-FIND(",", O1038)-2)), "")</f>
        <v/>
      </c>
      <c r="R1038" s="303" t="str">
        <f>IFERROR(RIGHT(O1038, LEN(O1038)-FIND(",", O1038, FIND(",", O1038)+1)-1), "")</f>
        <v/>
      </c>
      <c r="S1038" s="35" t="str" cm="1">
        <f t="array" ref="S1038">_xlfn.TEXTJOIN(", ",TRUE,_xlfn._xlws.FILTER(Tabla29[[#All],[PARTE]],ISNUMBER(SEARCH(Tabla29[[#All],[PCLAVE3]],Tabla8[[#This Row],[DESCRIPCION DE TRABAJO]])),""))</f>
        <v/>
      </c>
      <c r="T1038" s="34" t="str">
        <f>IF(AND(Tabla8[[#This Row],[PIEZA]]="",Tabla8[[#This Row],[PARTE]]=""),"VACIO","OK")</f>
        <v>VACIO</v>
      </c>
      <c r="U1038" s="303" t="str">
        <f>+CONCATENATE(WEEKNUM(Tabla8[[#This Row],[FECHA]]),"-",YEAR(Tabla8[[#This Row],[FECHA]]))</f>
        <v>18-2026</v>
      </c>
    </row>
    <row r="1039" spans="1:21" ht="15" customHeight="1">
      <c r="A1039" s="22">
        <v>46139</v>
      </c>
      <c r="B1039" s="16" t="s">
        <v>111</v>
      </c>
      <c r="C1039" s="10" t="s">
        <v>23</v>
      </c>
      <c r="D1039" s="381" t="s">
        <v>590</v>
      </c>
      <c r="E1039" s="381" t="s">
        <v>2007</v>
      </c>
      <c r="F1039" s="380">
        <f>+MOD(Tabla8[[#This Row],[HR. FIN]]-Tabla8[[#This Row],[HR. INICIO]],1)</f>
        <v>1.041666666666663E-2</v>
      </c>
      <c r="G1039" s="16" t="s">
        <v>119</v>
      </c>
      <c r="H1039" s="343" t="str">
        <f>IFERROR(VLOOKUP(G1039,DATOS!$M$2:$N$219,2,FALSE),"")</f>
        <v>Maquinaria</v>
      </c>
      <c r="I1039" s="115" t="s">
        <v>54</v>
      </c>
      <c r="J1039" s="115" t="str">
        <f>+VLOOKUP($I1039,Tabla7[#All],2,FALSE)</f>
        <v>PROGRAMADA</v>
      </c>
      <c r="K1039" s="114" t="str">
        <f>IF(VLOOKUP(I1039,Tabla7[#All],3,FALSE)=0,"",VLOOKUP(I1039,Tabla7[#All],3,FALSE))</f>
        <v/>
      </c>
      <c r="L1039" s="35" t="s">
        <v>2008</v>
      </c>
      <c r="M1039" s="35" t="s">
        <v>2009</v>
      </c>
      <c r="N1039" s="35" t="str" cm="1">
        <f t="array" ref="N1039">IFERROR(IF(Tabla8[[#This Row],[P/NP]]="NO PROGRAMADA","",_xlfn.TEXTJOIN(", ",TRUE,_xlfn._xlws.FILTER(Tabla4[[#All],[PIEZA]],ISNUMBER(SEARCH(Tabla4[[#All],[PCLAVE]],Tabla8[[#This Row],[DESCRIPCION DE TRABAJO]])),""))),"")</f>
        <v/>
      </c>
      <c r="O1039" s="35" t="str" cm="1">
        <f t="array" ref="O1039">_xlfn.TEXTJOIN(", ",TRUE,_xlfn._xlws.FILTER(Tabla28[[#All],[PARTE]],ISNUMBER(SEARCH(Tabla28[[#All],[PCLAVE2]],Tabla8[[#This Row],[DESCRIPCION DE TRABAJO]])),""))</f>
        <v/>
      </c>
      <c r="P1039" s="303" t="str">
        <f>IFERROR(LEFT(O1039, FIND(",", O1039)-1), O1039)</f>
        <v/>
      </c>
      <c r="Q1039" s="303" t="str">
        <f>IFERROR(IF(ISERROR(FIND(",", O1039, FIND(",", O1039)+1)), RIGHT(O1039, LEN(O1039)-FIND(",", O1039)-1), MID(O1039, FIND(",", O1039)+2, FIND(",", O1039, FIND(",", O1039)+1)-FIND(",", O1039)-2)), "")</f>
        <v/>
      </c>
      <c r="R1039" s="303" t="str">
        <f>IFERROR(RIGHT(O1039, LEN(O1039)-FIND(",", O1039, FIND(",", O1039)+1)-1), "")</f>
        <v/>
      </c>
      <c r="S1039" s="35" t="str" cm="1">
        <f t="array" ref="S1039">_xlfn.TEXTJOIN(", ",TRUE,_xlfn._xlws.FILTER(Tabla29[[#All],[PARTE]],ISNUMBER(SEARCH(Tabla29[[#All],[PCLAVE3]],Tabla8[[#This Row],[DESCRIPCION DE TRABAJO]])),""))</f>
        <v/>
      </c>
      <c r="T1039" s="34" t="str">
        <f>IF(AND(Tabla8[[#This Row],[PIEZA]]="",Tabla8[[#This Row],[PARTE]]=""),"VACIO","OK")</f>
        <v>VACIO</v>
      </c>
      <c r="U1039" s="303" t="str">
        <f>+CONCATENATE(WEEKNUM(Tabla8[[#This Row],[FECHA]]),"-",YEAR(Tabla8[[#This Row],[FECHA]]))</f>
        <v>18-2026</v>
      </c>
    </row>
    <row r="1040" spans="1:21" ht="15" customHeight="1">
      <c r="A1040" s="22">
        <v>46139</v>
      </c>
      <c r="B1040" s="16" t="s">
        <v>179</v>
      </c>
      <c r="C1040" s="10" t="s">
        <v>23</v>
      </c>
      <c r="D1040" s="381">
        <v>0.61458333333333337</v>
      </c>
      <c r="E1040" s="381">
        <v>0.625</v>
      </c>
      <c r="F1040" s="380">
        <f>+MOD(Tabla8[[#This Row],[HR. FIN]]-Tabla8[[#This Row],[HR. INICIO]],1)</f>
        <v>1.041666666666663E-2</v>
      </c>
      <c r="G1040" s="16" t="s">
        <v>793</v>
      </c>
      <c r="H1040" s="343" t="str">
        <f>IFERROR(VLOOKUP(G1040,DATOS!$M$2:$N$219,2,FALSE),"")</f>
        <v>Maquinaria</v>
      </c>
      <c r="I1040" s="115" t="s">
        <v>57</v>
      </c>
      <c r="J1040" s="115" t="str">
        <f>+VLOOKUP($I1040,Tabla7[#All],2,FALSE)</f>
        <v>NO PROGRAMADA</v>
      </c>
      <c r="K1040" s="114" t="str">
        <f>IF(VLOOKUP(I1040,Tabla7[#All],3,FALSE)=0,"",VLOOKUP(I1040,Tabla7[#All],3,FALSE))</f>
        <v>MECÁNICA</v>
      </c>
      <c r="L1040" s="35" t="s">
        <v>2010</v>
      </c>
      <c r="M1040" s="35" t="s">
        <v>2011</v>
      </c>
      <c r="N1040" s="35" t="str" cm="1">
        <f t="array" ref="N1040">IFERROR(IF(Tabla8[[#This Row],[P/NP]]="NO PROGRAMADA","",_xlfn.TEXTJOIN(", ",TRUE,_xlfn._xlws.FILTER(Tabla4[[#All],[PIEZA]],ISNUMBER(SEARCH(Tabla4[[#All],[PCLAVE]],Tabla8[[#This Row],[DESCRIPCION DE TRABAJO]])),""))),"")</f>
        <v/>
      </c>
      <c r="O1040" s="35" t="str" cm="1">
        <f t="array" ref="O1040">_xlfn.TEXTJOIN(", ",TRUE,_xlfn._xlws.FILTER(Tabla28[[#All],[PARTE]],ISNUMBER(SEARCH(Tabla28[[#All],[PCLAVE2]],Tabla8[[#This Row],[DESCRIPCION DE TRABAJO]])),""))</f>
        <v/>
      </c>
      <c r="P1040" s="303" t="str">
        <f>IFERROR(LEFT(O1040, FIND(",", O1040)-1), O1040)</f>
        <v/>
      </c>
      <c r="Q1040" s="303" t="str">
        <f>IFERROR(IF(ISERROR(FIND(",", O1040, FIND(",", O1040)+1)), RIGHT(O1040, LEN(O1040)-FIND(",", O1040)-1), MID(O1040, FIND(",", O1040)+2, FIND(",", O1040, FIND(",", O1040)+1)-FIND(",", O1040)-2)), "")</f>
        <v/>
      </c>
      <c r="R1040" s="303" t="str">
        <f>IFERROR(RIGHT(O1040, LEN(O1040)-FIND(",", O1040, FIND(",", O1040)+1)-1), "")</f>
        <v/>
      </c>
      <c r="S1040" s="35" t="str" cm="1">
        <f t="array" ref="S1040">_xlfn.TEXTJOIN(", ",TRUE,_xlfn._xlws.FILTER(Tabla29[[#All],[PARTE]],ISNUMBER(SEARCH(Tabla29[[#All],[PCLAVE3]],Tabla8[[#This Row],[DESCRIPCION DE TRABAJO]])),""))</f>
        <v/>
      </c>
      <c r="T1040" s="34" t="str">
        <f>IF(AND(Tabla8[[#This Row],[PIEZA]]="",Tabla8[[#This Row],[PARTE]]=""),"VACIO","OK")</f>
        <v>VACIO</v>
      </c>
      <c r="U1040" s="303" t="str">
        <f>+CONCATENATE(WEEKNUM(Tabla8[[#This Row],[FECHA]]),"-",YEAR(Tabla8[[#This Row],[FECHA]]))</f>
        <v>18-2026</v>
      </c>
    </row>
    <row r="1041" spans="1:21" ht="15" customHeight="1">
      <c r="A1041" s="22">
        <v>46139</v>
      </c>
      <c r="B1041" s="16" t="s">
        <v>131</v>
      </c>
      <c r="C1041" s="10" t="s">
        <v>39</v>
      </c>
      <c r="D1041" s="381">
        <v>0.9375</v>
      </c>
      <c r="E1041" s="381">
        <v>0.94791666666666663</v>
      </c>
      <c r="F1041" s="380">
        <f>+MOD(Tabla8[[#This Row],[HR. FIN]]-Tabla8[[#This Row],[HR. INICIO]],1)</f>
        <v>1.041666666666663E-2</v>
      </c>
      <c r="G1041" s="16" t="s">
        <v>815</v>
      </c>
      <c r="H1041" s="343" t="str">
        <f>IFERROR(VLOOKUP(G1041,DATOS!$M$2:$N$219,2,FALSE),"")</f>
        <v>Maquinaria</v>
      </c>
      <c r="I1041" s="115" t="s">
        <v>57</v>
      </c>
      <c r="J1041" s="115" t="str">
        <f>+VLOOKUP($I1041,Tabla7[#All],2,FALSE)</f>
        <v>NO PROGRAMADA</v>
      </c>
      <c r="K1041" s="114" t="str">
        <f>IF(VLOOKUP(I1041,Tabla7[#All],3,FALSE)=0,"",VLOOKUP(I1041,Tabla7[#All],3,FALSE))</f>
        <v>MECÁNICA</v>
      </c>
      <c r="L1041" s="35" t="s">
        <v>2012</v>
      </c>
      <c r="M1041" s="35" t="s">
        <v>2013</v>
      </c>
      <c r="N1041" s="35" t="str" cm="1">
        <f t="array" ref="N1041">IFERROR(IF(Tabla8[[#This Row],[P/NP]]="NO PROGRAMADA","",_xlfn.TEXTJOIN(", ",TRUE,_xlfn._xlws.FILTER(Tabla4[[#All],[PIEZA]],ISNUMBER(SEARCH(Tabla4[[#All],[PCLAVE]],Tabla8[[#This Row],[DESCRIPCION DE TRABAJO]])),""))),"")</f>
        <v/>
      </c>
      <c r="O1041" s="35" t="str" cm="1">
        <f t="array" ref="O1041">_xlfn.TEXTJOIN(", ",TRUE,_xlfn._xlws.FILTER(Tabla28[[#All],[PARTE]],ISNUMBER(SEARCH(Tabla28[[#All],[PCLAVE2]],Tabla8[[#This Row],[DESCRIPCION DE TRABAJO]])),""))</f>
        <v/>
      </c>
      <c r="P1041" s="303" t="str">
        <f>IFERROR(LEFT(O1041, FIND(",", O1041)-1), O1041)</f>
        <v/>
      </c>
      <c r="Q1041" s="303" t="str">
        <f>IFERROR(IF(ISERROR(FIND(",", O1041, FIND(",", O1041)+1)), RIGHT(O1041, LEN(O1041)-FIND(",", O1041)-1), MID(O1041, FIND(",", O1041)+2, FIND(",", O1041, FIND(",", O1041)+1)-FIND(",", O1041)-2)), "")</f>
        <v/>
      </c>
      <c r="R1041" s="303" t="str">
        <f>IFERROR(RIGHT(O1041, LEN(O1041)-FIND(",", O1041, FIND(",", O1041)+1)-1), "")</f>
        <v/>
      </c>
      <c r="S1041" s="35" t="str" cm="1">
        <f t="array" ref="S1041">_xlfn.TEXTJOIN(", ",TRUE,_xlfn._xlws.FILTER(Tabla29[[#All],[PARTE]],ISNUMBER(SEARCH(Tabla29[[#All],[PCLAVE3]],Tabla8[[#This Row],[DESCRIPCION DE TRABAJO]])),""))</f>
        <v/>
      </c>
      <c r="T1041" s="34" t="str">
        <f>IF(AND(Tabla8[[#This Row],[PIEZA]]="",Tabla8[[#This Row],[PARTE]]=""),"VACIO","OK")</f>
        <v>VACIO</v>
      </c>
      <c r="U1041" s="303" t="str">
        <f>+CONCATENATE(WEEKNUM(Tabla8[[#This Row],[FECHA]]),"-",YEAR(Tabla8[[#This Row],[FECHA]]))</f>
        <v>18-2026</v>
      </c>
    </row>
    <row r="1042" spans="1:21" ht="15" customHeight="1">
      <c r="A1042" s="22">
        <v>46139</v>
      </c>
      <c r="B1042" s="16" t="s">
        <v>191</v>
      </c>
      <c r="C1042" s="10" t="s">
        <v>36</v>
      </c>
      <c r="D1042" s="381">
        <v>0.51875000000000004</v>
      </c>
      <c r="E1042" s="381">
        <v>0.52847222222222223</v>
      </c>
      <c r="F1042" s="380">
        <f>+MOD(Tabla8[[#This Row],[HR. FIN]]-Tabla8[[#This Row],[HR. INICIO]],1)</f>
        <v>9.7222222222221877E-3</v>
      </c>
      <c r="G1042" s="16" t="s">
        <v>119</v>
      </c>
      <c r="H1042" s="343" t="str">
        <f>IFERROR(VLOOKUP(G1042,DATOS!$M$2:$N$219,2,FALSE),"")</f>
        <v>Maquinaria</v>
      </c>
      <c r="I1042" s="115" t="s">
        <v>57</v>
      </c>
      <c r="J1042" s="115" t="str">
        <f>+VLOOKUP($I1042,Tabla7[#All],2,FALSE)</f>
        <v>NO PROGRAMADA</v>
      </c>
      <c r="K1042" s="114" t="str">
        <f>IF(VLOOKUP(I1042,Tabla7[#All],3,FALSE)=0,"",VLOOKUP(I1042,Tabla7[#All],3,FALSE))</f>
        <v>MECÁNICA</v>
      </c>
      <c r="L1042" s="35" t="s">
        <v>2014</v>
      </c>
      <c r="M1042" s="35" t="s">
        <v>2015</v>
      </c>
      <c r="N1042" s="35" t="str" cm="1">
        <f t="array" ref="N1042">IFERROR(IF(Tabla8[[#This Row],[P/NP]]="NO PROGRAMADA","",_xlfn.TEXTJOIN(", ",TRUE,_xlfn._xlws.FILTER(Tabla4[[#All],[PIEZA]],ISNUMBER(SEARCH(Tabla4[[#All],[PCLAVE]],Tabla8[[#This Row],[DESCRIPCION DE TRABAJO]])),""))),"")</f>
        <v/>
      </c>
      <c r="O1042" s="35" t="str" cm="1">
        <f t="array" ref="O1042">_xlfn.TEXTJOIN(", ",TRUE,_xlfn._xlws.FILTER(Tabla28[[#All],[PARTE]],ISNUMBER(SEARCH(Tabla28[[#All],[PCLAVE2]],Tabla8[[#This Row],[DESCRIPCION DE TRABAJO]])),""))</f>
        <v/>
      </c>
      <c r="P1042" s="303" t="str">
        <f>IFERROR(LEFT(O1042, FIND(",", O1042)-1), O1042)</f>
        <v/>
      </c>
      <c r="Q1042" s="303" t="str">
        <f>IFERROR(IF(ISERROR(FIND(",", O1042, FIND(",", O1042)+1)), RIGHT(O1042, LEN(O1042)-FIND(",", O1042)-1), MID(O1042, FIND(",", O1042)+2, FIND(",", O1042, FIND(",", O1042)+1)-FIND(",", O1042)-2)), "")</f>
        <v/>
      </c>
      <c r="R1042" s="303" t="str">
        <f>IFERROR(RIGHT(O1042, LEN(O1042)-FIND(",", O1042, FIND(",", O1042)+1)-1), "")</f>
        <v/>
      </c>
      <c r="S1042" s="35" t="str" cm="1">
        <f t="array" ref="S1042">_xlfn.TEXTJOIN(", ",TRUE,_xlfn._xlws.FILTER(Tabla29[[#All],[PARTE]],ISNUMBER(SEARCH(Tabla29[[#All],[PCLAVE3]],Tabla8[[#This Row],[DESCRIPCION DE TRABAJO]])),""))</f>
        <v>Lento, Muy Lento, Muy Lento</v>
      </c>
      <c r="T1042" s="34" t="str">
        <f>IF(AND(Tabla8[[#This Row],[PIEZA]]="",Tabla8[[#This Row],[PARTE]]=""),"VACIO","OK")</f>
        <v>VACIO</v>
      </c>
      <c r="U1042" s="303" t="str">
        <f>+CONCATENATE(WEEKNUM(Tabla8[[#This Row],[FECHA]]),"-",YEAR(Tabla8[[#This Row],[FECHA]]))</f>
        <v>18-2026</v>
      </c>
    </row>
    <row r="1043" spans="1:21" ht="15" customHeight="1">
      <c r="A1043" s="22">
        <v>46139</v>
      </c>
      <c r="B1043" s="16" t="s">
        <v>131</v>
      </c>
      <c r="C1043" s="10" t="s">
        <v>39</v>
      </c>
      <c r="D1043" s="381">
        <v>9.0277777777777776E-2</v>
      </c>
      <c r="E1043" s="381">
        <v>9.8611111111111108E-2</v>
      </c>
      <c r="F1043" s="380">
        <f>+MOD(Tabla8[[#This Row],[HR. FIN]]-Tabla8[[#This Row],[HR. INICIO]],1)</f>
        <v>8.3333333333333315E-3</v>
      </c>
      <c r="G1043" s="16" t="s">
        <v>651</v>
      </c>
      <c r="H1043" s="343" t="str">
        <f>IFERROR(VLOOKUP(G1043,DATOS!$M$2:$N$219,2,FALSE),"")</f>
        <v>Maquinaria</v>
      </c>
      <c r="I1043" s="115" t="s">
        <v>32</v>
      </c>
      <c r="J1043" s="115" t="str">
        <f>+VLOOKUP($I1043,Tabla7[#All],2,FALSE)</f>
        <v>PROGRAMADA</v>
      </c>
      <c r="K1043" s="114" t="str">
        <f>IF(VLOOKUP(I1043,Tabla7[#All],3,FALSE)=0,"",VLOOKUP(I1043,Tabla7[#All],3,FALSE))</f>
        <v/>
      </c>
      <c r="L1043" s="35" t="s">
        <v>2016</v>
      </c>
      <c r="M1043" s="35" t="s">
        <v>121</v>
      </c>
      <c r="N1043" s="35" t="str" cm="1">
        <f t="array" ref="N1043">IFERROR(IF(Tabla8[[#This Row],[P/NP]]="NO PROGRAMADA","",_xlfn.TEXTJOIN(", ",TRUE,_xlfn._xlws.FILTER(Tabla4[[#All],[PIEZA]],ISNUMBER(SEARCH(Tabla4[[#All],[PCLAVE]],Tabla8[[#This Row],[DESCRIPCION DE TRABAJO]])),""))),"")</f>
        <v>Polin De Arrastre</v>
      </c>
      <c r="O1043" s="35" t="str" cm="1">
        <f t="array" ref="O1043">_xlfn.TEXTJOIN(", ",TRUE,_xlfn._xlws.FILTER(Tabla28[[#All],[PARTE]],ISNUMBER(SEARCH(Tabla28[[#All],[PCLAVE2]],Tabla8[[#This Row],[DESCRIPCION DE TRABAJO]])),""))</f>
        <v/>
      </c>
      <c r="P1043" s="303" t="str">
        <f>IFERROR(LEFT(O1043, FIND(",", O1043)-1), O1043)</f>
        <v/>
      </c>
      <c r="Q1043" s="303" t="str">
        <f>IFERROR(IF(ISERROR(FIND(",", O1043, FIND(",", O1043)+1)), RIGHT(O1043, LEN(O1043)-FIND(",", O1043)-1), MID(O1043, FIND(",", O1043)+2, FIND(",", O1043, FIND(",", O1043)+1)-FIND(",", O1043)-2)), "")</f>
        <v/>
      </c>
      <c r="R1043" s="303" t="str">
        <f>IFERROR(RIGHT(O1043, LEN(O1043)-FIND(",", O1043, FIND(",", O1043)+1)-1), "")</f>
        <v/>
      </c>
      <c r="S1043" s="35" t="str" cm="1">
        <f t="array" ref="S1043">_xlfn.TEXTJOIN(", ",TRUE,_xlfn._xlws.FILTER(Tabla29[[#All],[PARTE]],ISNUMBER(SEARCH(Tabla29[[#All],[PCLAVE3]],Tabla8[[#This Row],[DESCRIPCION DE TRABAJO]])),""))</f>
        <v/>
      </c>
      <c r="T1043" s="34" t="str">
        <f>IF(AND(Tabla8[[#This Row],[PIEZA]]="",Tabla8[[#This Row],[PARTE]]=""),"VACIO","OK")</f>
        <v>OK</v>
      </c>
      <c r="U1043" s="303" t="str">
        <f>+CONCATENATE(WEEKNUM(Tabla8[[#This Row],[FECHA]]),"-",YEAR(Tabla8[[#This Row],[FECHA]]))</f>
        <v>18-2026</v>
      </c>
    </row>
    <row r="1044" spans="1:21" ht="15" customHeight="1">
      <c r="A1044" s="22">
        <v>46140</v>
      </c>
      <c r="B1044" s="16" t="s">
        <v>111</v>
      </c>
      <c r="C1044" s="10" t="s">
        <v>23</v>
      </c>
      <c r="D1044" s="381" t="s">
        <v>1580</v>
      </c>
      <c r="E1044" s="381" t="s">
        <v>282</v>
      </c>
      <c r="F1044" s="380">
        <f>+MOD(Tabla8[[#This Row],[HR. FIN]]-Tabla8[[#This Row],[HR. INICIO]],1)</f>
        <v>0.13888888888888884</v>
      </c>
      <c r="G1044" s="16" t="s">
        <v>293</v>
      </c>
      <c r="H1044" s="343" t="str">
        <f>IFERROR(VLOOKUP(G1044,DATOS!$M$2:$N$219,2,FALSE),"")</f>
        <v>Equipos auxiliares</v>
      </c>
      <c r="I1044" s="115" t="s">
        <v>1426</v>
      </c>
      <c r="J1044" s="115" t="str">
        <f>+VLOOKUP($I1044,Tabla7[#All],2,FALSE)</f>
        <v>PROGRAMADA</v>
      </c>
      <c r="K1044" s="114" t="str">
        <f>IF(VLOOKUP(I1044,Tabla7[#All],3,FALSE)=0,"",VLOOKUP(I1044,Tabla7[#All],3,FALSE))</f>
        <v/>
      </c>
      <c r="L1044" s="35" t="s">
        <v>2017</v>
      </c>
      <c r="M1044" s="35" t="s">
        <v>121</v>
      </c>
      <c r="N1044" s="35" t="str" cm="1">
        <f t="array" ref="N1044">IFERROR(IF(Tabla8[[#This Row],[P/NP]]="NO PROGRAMADA","",_xlfn.TEXTJOIN(", ",TRUE,_xlfn._xlws.FILTER(Tabla4[[#All],[PIEZA]],ISNUMBER(SEARCH(Tabla4[[#All],[PCLAVE]],Tabla8[[#This Row],[DESCRIPCION DE TRABAJO]])),""))),"")</f>
        <v/>
      </c>
      <c r="O1044" s="35" t="str" cm="1">
        <f t="array" ref="O1044">_xlfn.TEXTJOIN(", ",TRUE,_xlfn._xlws.FILTER(Tabla28[[#All],[PARTE]],ISNUMBER(SEARCH(Tabla28[[#All],[PCLAVE2]],Tabla8[[#This Row],[DESCRIPCION DE TRABAJO]])),""))</f>
        <v/>
      </c>
      <c r="P1044" s="303" t="str">
        <f>IFERROR(LEFT(O1044, FIND(",", O1044)-1), O1044)</f>
        <v/>
      </c>
      <c r="Q1044" s="303" t="str">
        <f>IFERROR(IF(ISERROR(FIND(",", O1044, FIND(",", O1044)+1)), RIGHT(O1044, LEN(O1044)-FIND(",", O1044)-1), MID(O1044, FIND(",", O1044)+2, FIND(",", O1044, FIND(",", O1044)+1)-FIND(",", O1044)-2)), "")</f>
        <v/>
      </c>
      <c r="R1044" s="303" t="str">
        <f>IFERROR(RIGHT(O1044, LEN(O1044)-FIND(",", O1044, FIND(",", O1044)+1)-1), "")</f>
        <v/>
      </c>
      <c r="S1044" s="35" t="str" cm="1">
        <f t="array" ref="S1044">_xlfn.TEXTJOIN(", ",TRUE,_xlfn._xlws.FILTER(Tabla29[[#All],[PARTE]],ISNUMBER(SEARCH(Tabla29[[#All],[PCLAVE3]],Tabla8[[#This Row],[DESCRIPCION DE TRABAJO]])),""))</f>
        <v/>
      </c>
      <c r="T1044" s="34" t="str">
        <f>IF(AND(Tabla8[[#This Row],[PIEZA]]="",Tabla8[[#This Row],[PARTE]]=""),"VACIO","OK")</f>
        <v>VACIO</v>
      </c>
      <c r="U1044" s="303" t="str">
        <f>+CONCATENATE(WEEKNUM(Tabla8[[#This Row],[FECHA]]),"-",YEAR(Tabla8[[#This Row],[FECHA]]))</f>
        <v>18-2026</v>
      </c>
    </row>
    <row r="1045" spans="1:21" ht="15" customHeight="1">
      <c r="A1045" s="22">
        <v>46140</v>
      </c>
      <c r="B1045" s="16" t="s">
        <v>179</v>
      </c>
      <c r="C1045" s="10" t="s">
        <v>23</v>
      </c>
      <c r="D1045" s="381" t="s">
        <v>491</v>
      </c>
      <c r="E1045" s="381" t="s">
        <v>282</v>
      </c>
      <c r="F1045" s="380">
        <f>+MOD(Tabla8[[#This Row],[HR. FIN]]-Tabla8[[#This Row],[HR. INICIO]],1)</f>
        <v>9.722222222222221E-2</v>
      </c>
      <c r="G1045" s="16" t="s">
        <v>103</v>
      </c>
      <c r="H1045" s="343" t="str">
        <f>IFERROR(VLOOKUP(G1045,DATOS!$M$2:$N$219,2,FALSE),"")</f>
        <v>Area</v>
      </c>
      <c r="I1045" s="115" t="s">
        <v>1426</v>
      </c>
      <c r="J1045" s="115" t="str">
        <f>+VLOOKUP($I1045,Tabla7[#All],2,FALSE)</f>
        <v>PROGRAMADA</v>
      </c>
      <c r="K1045" s="114" t="str">
        <f>IF(VLOOKUP(I1045,Tabla7[#All],3,FALSE)=0,"",VLOOKUP(I1045,Tabla7[#All],3,FALSE))</f>
        <v/>
      </c>
      <c r="L1045" s="35" t="s">
        <v>2018</v>
      </c>
      <c r="M1045" s="35" t="s">
        <v>121</v>
      </c>
      <c r="N1045" s="35" t="str" cm="1">
        <f t="array" ref="N1045">IFERROR(IF(Tabla8[[#This Row],[P/NP]]="NO PROGRAMADA","",_xlfn.TEXTJOIN(", ",TRUE,_xlfn._xlws.FILTER(Tabla4[[#All],[PIEZA]],ISNUMBER(SEARCH(Tabla4[[#All],[PCLAVE]],Tabla8[[#This Row],[DESCRIPCION DE TRABAJO]])),""))),"")</f>
        <v/>
      </c>
      <c r="O1045" s="35" t="str" cm="1">
        <f t="array" ref="O1045">_xlfn.TEXTJOIN(", ",TRUE,_xlfn._xlws.FILTER(Tabla28[[#All],[PARTE]],ISNUMBER(SEARCH(Tabla28[[#All],[PCLAVE2]],Tabla8[[#This Row],[DESCRIPCION DE TRABAJO]])),""))</f>
        <v/>
      </c>
      <c r="P1045" s="303" t="str">
        <f>IFERROR(LEFT(O1045, FIND(",", O1045)-1), O1045)</f>
        <v/>
      </c>
      <c r="Q1045" s="303" t="str">
        <f>IFERROR(IF(ISERROR(FIND(",", O1045, FIND(",", O1045)+1)), RIGHT(O1045, LEN(O1045)-FIND(",", O1045)-1), MID(O1045, FIND(",", O1045)+2, FIND(",", O1045, FIND(",", O1045)+1)-FIND(",", O1045)-2)), "")</f>
        <v/>
      </c>
      <c r="R1045" s="303" t="str">
        <f>IFERROR(RIGHT(O1045, LEN(O1045)-FIND(",", O1045, FIND(",", O1045)+1)-1), "")</f>
        <v/>
      </c>
      <c r="S1045" s="35" t="str" cm="1">
        <f t="array" ref="S1045">_xlfn.TEXTJOIN(", ",TRUE,_xlfn._xlws.FILTER(Tabla29[[#All],[PARTE]],ISNUMBER(SEARCH(Tabla29[[#All],[PCLAVE3]],Tabla8[[#This Row],[DESCRIPCION DE TRABAJO]])),""))</f>
        <v/>
      </c>
      <c r="T1045" s="34" t="str">
        <f>IF(AND(Tabla8[[#This Row],[PIEZA]]="",Tabla8[[#This Row],[PARTE]]=""),"VACIO","OK")</f>
        <v>VACIO</v>
      </c>
      <c r="U1045" s="303" t="str">
        <f>+CONCATENATE(WEEKNUM(Tabla8[[#This Row],[FECHA]]),"-",YEAR(Tabla8[[#This Row],[FECHA]]))</f>
        <v>18-2026</v>
      </c>
    </row>
    <row r="1046" spans="1:21" ht="15" customHeight="1">
      <c r="A1046" s="22">
        <v>46140</v>
      </c>
      <c r="B1046" s="16" t="s">
        <v>88</v>
      </c>
      <c r="C1046" s="10" t="s">
        <v>36</v>
      </c>
      <c r="D1046" s="381">
        <v>0.5</v>
      </c>
      <c r="E1046" s="381">
        <v>0.58680555555555558</v>
      </c>
      <c r="F1046" s="380">
        <f>+MOD(Tabla8[[#This Row],[HR. FIN]]-Tabla8[[#This Row],[HR. INICIO]],1)</f>
        <v>8.680555555555558E-2</v>
      </c>
      <c r="G1046" s="16" t="s">
        <v>328</v>
      </c>
      <c r="H1046" s="343" t="str">
        <f>IFERROR(VLOOKUP(G1046,DATOS!$M$2:$N$219,2,FALSE),"")</f>
        <v>Area</v>
      </c>
      <c r="I1046" s="115" t="s">
        <v>1426</v>
      </c>
      <c r="J1046" s="115" t="str">
        <f>+VLOOKUP($I1046,Tabla7[#All],2,FALSE)</f>
        <v>PROGRAMADA</v>
      </c>
      <c r="K1046" s="114" t="str">
        <f>IF(VLOOKUP(I1046,Tabla7[#All],3,FALSE)=0,"",VLOOKUP(I1046,Tabla7[#All],3,FALSE))</f>
        <v/>
      </c>
      <c r="L1046" s="35" t="s">
        <v>2019</v>
      </c>
      <c r="M1046" s="35" t="s">
        <v>2020</v>
      </c>
      <c r="N1046" s="35" t="str" cm="1">
        <f t="array" ref="N1046">IFERROR(IF(Tabla8[[#This Row],[P/NP]]="NO PROGRAMADA","",_xlfn.TEXTJOIN(", ",TRUE,_xlfn._xlws.FILTER(Tabla4[[#All],[PIEZA]],ISNUMBER(SEARCH(Tabla4[[#All],[PCLAVE]],Tabla8[[#This Row],[DESCRIPCION DE TRABAJO]])),""))),"")</f>
        <v/>
      </c>
      <c r="O1046" s="35" t="str" cm="1">
        <f t="array" ref="O1046">_xlfn.TEXTJOIN(", ",TRUE,_xlfn._xlws.FILTER(Tabla28[[#All],[PARTE]],ISNUMBER(SEARCH(Tabla28[[#All],[PCLAVE2]],Tabla8[[#This Row],[DESCRIPCION DE TRABAJO]])),""))</f>
        <v/>
      </c>
      <c r="P1046" s="303" t="str">
        <f>IFERROR(LEFT(O1046, FIND(",", O1046)-1), O1046)</f>
        <v/>
      </c>
      <c r="Q1046" s="303" t="str">
        <f>IFERROR(IF(ISERROR(FIND(",", O1046, FIND(",", O1046)+1)), RIGHT(O1046, LEN(O1046)-FIND(",", O1046)-1), MID(O1046, FIND(",", O1046)+2, FIND(",", O1046, FIND(",", O1046)+1)-FIND(",", O1046)-2)), "")</f>
        <v/>
      </c>
      <c r="R1046" s="303" t="str">
        <f>IFERROR(RIGHT(O1046, LEN(O1046)-FIND(",", O1046, FIND(",", O1046)+1)-1), "")</f>
        <v/>
      </c>
      <c r="S1046" s="35" t="str" cm="1">
        <f t="array" ref="S1046">_xlfn.TEXTJOIN(", ",TRUE,_xlfn._xlws.FILTER(Tabla29[[#All],[PARTE]],ISNUMBER(SEARCH(Tabla29[[#All],[PCLAVE3]],Tabla8[[#This Row],[DESCRIPCION DE TRABAJO]])),""))</f>
        <v/>
      </c>
      <c r="T1046" s="34" t="str">
        <f>IF(AND(Tabla8[[#This Row],[PIEZA]]="",Tabla8[[#This Row],[PARTE]]=""),"VACIO","OK")</f>
        <v>VACIO</v>
      </c>
      <c r="U1046" s="303" t="str">
        <f>+CONCATENATE(WEEKNUM(Tabla8[[#This Row],[FECHA]]),"-",YEAR(Tabla8[[#This Row],[FECHA]]))</f>
        <v>18-2026</v>
      </c>
    </row>
    <row r="1047" spans="1:21" ht="15" customHeight="1">
      <c r="A1047" s="22">
        <v>46140</v>
      </c>
      <c r="B1047" s="16" t="s">
        <v>111</v>
      </c>
      <c r="C1047" s="10" t="s">
        <v>23</v>
      </c>
      <c r="D1047" s="381" t="s">
        <v>2021</v>
      </c>
      <c r="E1047" s="381" t="s">
        <v>758</v>
      </c>
      <c r="F1047" s="380">
        <f>+MOD(Tabla8[[#This Row],[HR. FIN]]-Tabla8[[#This Row],[HR. INICIO]],1)</f>
        <v>5.555555555555558E-2</v>
      </c>
      <c r="G1047" s="16" t="s">
        <v>119</v>
      </c>
      <c r="H1047" s="343" t="str">
        <f>IFERROR(VLOOKUP(G1047,DATOS!$M$2:$N$219,2,FALSE),"")</f>
        <v>Maquinaria</v>
      </c>
      <c r="I1047" s="115" t="s">
        <v>57</v>
      </c>
      <c r="J1047" s="115" t="str">
        <f>+VLOOKUP($I1047,Tabla7[#All],2,FALSE)</f>
        <v>NO PROGRAMADA</v>
      </c>
      <c r="K1047" s="114" t="str">
        <f>IF(VLOOKUP(I1047,Tabla7[#All],3,FALSE)=0,"",VLOOKUP(I1047,Tabla7[#All],3,FALSE))</f>
        <v>MECÁNICA</v>
      </c>
      <c r="L1047" s="35" t="s">
        <v>2022</v>
      </c>
      <c r="M1047" s="35" t="s">
        <v>2023</v>
      </c>
      <c r="N1047" s="35" t="str" cm="1">
        <f t="array" ref="N1047">IFERROR(IF(Tabla8[[#This Row],[P/NP]]="NO PROGRAMADA","",_xlfn.TEXTJOIN(", ",TRUE,_xlfn._xlws.FILTER(Tabla4[[#All],[PIEZA]],ISNUMBER(SEARCH(Tabla4[[#All],[PCLAVE]],Tabla8[[#This Row],[DESCRIPCION DE TRABAJO]])),""))),"")</f>
        <v/>
      </c>
      <c r="O1047" s="35" t="str" cm="1">
        <f t="array" ref="O1047">_xlfn.TEXTJOIN(", ",TRUE,_xlfn._xlws.FILTER(Tabla28[[#All],[PARTE]],ISNUMBER(SEARCH(Tabla28[[#All],[PCLAVE2]],Tabla8[[#This Row],[DESCRIPCION DE TRABAJO]])),""))</f>
        <v>Temperadora</v>
      </c>
      <c r="P1047" s="303" t="str">
        <f>IFERROR(LEFT(O1047, FIND(",", O1047)-1), O1047)</f>
        <v>Temperadora</v>
      </c>
      <c r="Q1047" s="303" t="str">
        <f>IFERROR(IF(ISERROR(FIND(",", O1047, FIND(",", O1047)+1)), RIGHT(O1047, LEN(O1047)-FIND(",", O1047)-1), MID(O1047, FIND(",", O1047)+2, FIND(",", O1047, FIND(",", O1047)+1)-FIND(",", O1047)-2)), "")</f>
        <v/>
      </c>
      <c r="R1047" s="303" t="str">
        <f>IFERROR(RIGHT(O1047, LEN(O1047)-FIND(",", O1047, FIND(",", O1047)+1)-1), "")</f>
        <v/>
      </c>
      <c r="S1047" s="35" t="str" cm="1">
        <f t="array" ref="S1047">_xlfn.TEXTJOIN(", ",TRUE,_xlfn._xlws.FILTER(Tabla29[[#All],[PARTE]],ISNUMBER(SEARCH(Tabla29[[#All],[PCLAVE3]],Tabla8[[#This Row],[DESCRIPCION DE TRABAJO]])),""))</f>
        <v>Baja Temperatura, Temperatura</v>
      </c>
      <c r="T1047" s="34" t="str">
        <f>IF(AND(Tabla8[[#This Row],[PIEZA]]="",Tabla8[[#This Row],[PARTE]]=""),"VACIO","OK")</f>
        <v>OK</v>
      </c>
      <c r="U1047" s="303" t="str">
        <f>+CONCATENATE(WEEKNUM(Tabla8[[#This Row],[FECHA]]),"-",YEAR(Tabla8[[#This Row],[FECHA]]))</f>
        <v>18-2026</v>
      </c>
    </row>
    <row r="1048" spans="1:21" ht="15" customHeight="1">
      <c r="A1048" s="22">
        <v>46140</v>
      </c>
      <c r="B1048" s="16" t="s">
        <v>131</v>
      </c>
      <c r="C1048" s="10" t="s">
        <v>39</v>
      </c>
      <c r="D1048" s="381">
        <v>1.0416666666666666E-2</v>
      </c>
      <c r="E1048" s="381">
        <v>6.5972222222222224E-2</v>
      </c>
      <c r="F1048" s="380">
        <f>+MOD(Tabla8[[#This Row],[HR. FIN]]-Tabla8[[#This Row],[HR. INICIO]],1)</f>
        <v>5.5555555555555559E-2</v>
      </c>
      <c r="G1048" s="16" t="s">
        <v>98</v>
      </c>
      <c r="H1048" s="343" t="str">
        <f>IFERROR(VLOOKUP(G1048,DATOS!$M$2:$N$219,2,FALSE),"")</f>
        <v>Maquinaria</v>
      </c>
      <c r="I1048" s="115" t="s">
        <v>32</v>
      </c>
      <c r="J1048" s="115" t="str">
        <f>+VLOOKUP($I1048,Tabla7[#All],2,FALSE)</f>
        <v>PROGRAMADA</v>
      </c>
      <c r="K1048" s="114" t="str">
        <f>IF(VLOOKUP(I1048,Tabla7[#All],3,FALSE)=0,"",VLOOKUP(I1048,Tabla7[#All],3,FALSE))</f>
        <v/>
      </c>
      <c r="L1048" s="35" t="s">
        <v>2024</v>
      </c>
      <c r="M1048" s="35" t="s">
        <v>2025</v>
      </c>
      <c r="N1048" s="35" t="str" cm="1">
        <f t="array" ref="N1048">IFERROR(IF(Tabla8[[#This Row],[P/NP]]="NO PROGRAMADA","",_xlfn.TEXTJOIN(", ",TRUE,_xlfn._xlws.FILTER(Tabla4[[#All],[PIEZA]],ISNUMBER(SEARCH(Tabla4[[#All],[PCLAVE]],Tabla8[[#This Row],[DESCRIPCION DE TRABAJO]])),""))),"")</f>
        <v/>
      </c>
      <c r="O1048" s="35" t="str" cm="1">
        <f t="array" ref="O1048">_xlfn.TEXTJOIN(", ",TRUE,_xlfn._xlws.FILTER(Tabla28[[#All],[PARTE]],ISNUMBER(SEARCH(Tabla28[[#All],[PCLAVE2]],Tabla8[[#This Row],[DESCRIPCION DE TRABAJO]])),""))</f>
        <v/>
      </c>
      <c r="P1048" s="303" t="str">
        <f>IFERROR(LEFT(O1048, FIND(",", O1048)-1), O1048)</f>
        <v/>
      </c>
      <c r="Q1048" s="303" t="str">
        <f>IFERROR(IF(ISERROR(FIND(",", O1048, FIND(",", O1048)+1)), RIGHT(O1048, LEN(O1048)-FIND(",", O1048)-1), MID(O1048, FIND(",", O1048)+2, FIND(",", O1048, FIND(",", O1048)+1)-FIND(",", O1048)-2)), "")</f>
        <v/>
      </c>
      <c r="R1048" s="303" t="str">
        <f>IFERROR(RIGHT(O1048, LEN(O1048)-FIND(",", O1048, FIND(",", O1048)+1)-1), "")</f>
        <v/>
      </c>
      <c r="S1048" s="35" t="str" cm="1">
        <f t="array" ref="S1048">_xlfn.TEXTJOIN(", ",TRUE,_xlfn._xlws.FILTER(Tabla29[[#All],[PARTE]],ISNUMBER(SEARCH(Tabla29[[#All],[PCLAVE3]],Tabla8[[#This Row],[DESCRIPCION DE TRABAJO]])),""))</f>
        <v>Lubricacion, Setup</v>
      </c>
      <c r="T1048" s="34" t="str">
        <f>IF(AND(Tabla8[[#This Row],[PIEZA]]="",Tabla8[[#This Row],[PARTE]]=""),"VACIO","OK")</f>
        <v>VACIO</v>
      </c>
      <c r="U1048" s="303" t="str">
        <f>+CONCATENATE(WEEKNUM(Tabla8[[#This Row],[FECHA]]),"-",YEAR(Tabla8[[#This Row],[FECHA]]))</f>
        <v>18-2026</v>
      </c>
    </row>
    <row r="1049" spans="1:21" ht="15" customHeight="1">
      <c r="A1049" s="22">
        <v>46140</v>
      </c>
      <c r="B1049" s="16" t="s">
        <v>111</v>
      </c>
      <c r="C1049" s="10" t="s">
        <v>23</v>
      </c>
      <c r="D1049" s="381" t="s">
        <v>2026</v>
      </c>
      <c r="E1049" s="381" t="s">
        <v>2027</v>
      </c>
      <c r="F1049" s="380">
        <f>+MOD(Tabla8[[#This Row],[HR. FIN]]-Tabla8[[#This Row],[HR. INICIO]],1)</f>
        <v>4.8611111111111049E-2</v>
      </c>
      <c r="G1049" s="16" t="s">
        <v>182</v>
      </c>
      <c r="H1049" s="343" t="str">
        <f>IFERROR(VLOOKUP(G1049,DATOS!$M$2:$N$219,2,FALSE),"")</f>
        <v>Maquinaria</v>
      </c>
      <c r="I1049" s="115" t="s">
        <v>32</v>
      </c>
      <c r="J1049" s="115" t="str">
        <f>+VLOOKUP($I1049,Tabla7[#All],2,FALSE)</f>
        <v>PROGRAMADA</v>
      </c>
      <c r="K1049" s="114" t="str">
        <f>IF(VLOOKUP(I1049,Tabla7[#All],3,FALSE)=0,"",VLOOKUP(I1049,Tabla7[#All],3,FALSE))</f>
        <v/>
      </c>
      <c r="L1049" s="35" t="s">
        <v>2028</v>
      </c>
      <c r="M1049" s="35" t="s">
        <v>121</v>
      </c>
      <c r="N1049" s="35" t="str" cm="1">
        <f t="array" ref="N1049">IFERROR(IF(Tabla8[[#This Row],[P/NP]]="NO PROGRAMADA","",_xlfn.TEXTJOIN(", ",TRUE,_xlfn._xlws.FILTER(Tabla4[[#All],[PIEZA]],ISNUMBER(SEARCH(Tabla4[[#All],[PCLAVE]],Tabla8[[#This Row],[DESCRIPCION DE TRABAJO]])),""))),"")</f>
        <v/>
      </c>
      <c r="O1049" s="35" t="str" cm="1">
        <f t="array" ref="O1049">_xlfn.TEXTJOIN(", ",TRUE,_xlfn._xlws.FILTER(Tabla28[[#All],[PARTE]],ISNUMBER(SEARCH(Tabla28[[#All],[PCLAVE2]],Tabla8[[#This Row],[DESCRIPCION DE TRABAJO]])),""))</f>
        <v/>
      </c>
      <c r="P1049" s="303" t="str">
        <f>IFERROR(LEFT(O1049, FIND(",", O1049)-1), O1049)</f>
        <v/>
      </c>
      <c r="Q1049" s="303" t="str">
        <f>IFERROR(IF(ISERROR(FIND(",", O1049, FIND(",", O1049)+1)), RIGHT(O1049, LEN(O1049)-FIND(",", O1049)-1), MID(O1049, FIND(",", O1049)+2, FIND(",", O1049, FIND(",", O1049)+1)-FIND(",", O1049)-2)), "")</f>
        <v/>
      </c>
      <c r="R1049" s="303" t="str">
        <f>IFERROR(RIGHT(O1049, LEN(O1049)-FIND(",", O1049, FIND(",", O1049)+1)-1), "")</f>
        <v/>
      </c>
      <c r="S1049" s="35" t="str" cm="1">
        <f t="array" ref="S1049">_xlfn.TEXTJOIN(", ",TRUE,_xlfn._xlws.FILTER(Tabla29[[#All],[PARTE]],ISNUMBER(SEARCH(Tabla29[[#All],[PCLAVE3]],Tabla8[[#This Row],[DESCRIPCION DE TRABAJO]])),""))</f>
        <v>Cambio De Formato</v>
      </c>
      <c r="T1049" s="34" t="str">
        <f>IF(AND(Tabla8[[#This Row],[PIEZA]]="",Tabla8[[#This Row],[PARTE]]=""),"VACIO","OK")</f>
        <v>VACIO</v>
      </c>
      <c r="U1049" s="303" t="str">
        <f>+CONCATENATE(WEEKNUM(Tabla8[[#This Row],[FECHA]]),"-",YEAR(Tabla8[[#This Row],[FECHA]]))</f>
        <v>18-2026</v>
      </c>
    </row>
    <row r="1050" spans="1:21" ht="15" customHeight="1">
      <c r="A1050" s="22">
        <v>46140</v>
      </c>
      <c r="B1050" s="16" t="s">
        <v>191</v>
      </c>
      <c r="C1050" s="10" t="s">
        <v>36</v>
      </c>
      <c r="D1050" s="381">
        <v>0.2722222222222222</v>
      </c>
      <c r="E1050" s="381">
        <v>0.31805555555555554</v>
      </c>
      <c r="F1050" s="380">
        <f>+MOD(Tabla8[[#This Row],[HR. FIN]]-Tabla8[[#This Row],[HR. INICIO]],1)</f>
        <v>4.5833333333333337E-2</v>
      </c>
      <c r="G1050" s="16" t="s">
        <v>31</v>
      </c>
      <c r="H1050" s="343" t="str">
        <f>IFERROR(VLOOKUP(G1050,DATOS!$M$2:$N$219,2,FALSE),"")</f>
        <v>Maquinaria</v>
      </c>
      <c r="I1050" s="115" t="s">
        <v>32</v>
      </c>
      <c r="J1050" s="115" t="str">
        <f>+VLOOKUP($I1050,Tabla7[#All],2,FALSE)</f>
        <v>PROGRAMADA</v>
      </c>
      <c r="K1050" s="114" t="str">
        <f>IF(VLOOKUP(I1050,Tabla7[#All],3,FALSE)=0,"",VLOOKUP(I1050,Tabla7[#All],3,FALSE))</f>
        <v/>
      </c>
      <c r="L1050" s="35" t="s">
        <v>2029</v>
      </c>
      <c r="M1050" s="35" t="s">
        <v>121</v>
      </c>
      <c r="N1050" s="35" t="str" cm="1">
        <f t="array" ref="N1050">IFERROR(IF(Tabla8[[#This Row],[P/NP]]="NO PROGRAMADA","",_xlfn.TEXTJOIN(", ",TRUE,_xlfn._xlws.FILTER(Tabla4[[#All],[PIEZA]],ISNUMBER(SEARCH(Tabla4[[#All],[PCLAVE]],Tabla8[[#This Row],[DESCRIPCION DE TRABAJO]])),""))),"")</f>
        <v/>
      </c>
      <c r="O1050" s="35" t="str" cm="1">
        <f t="array" ref="O1050">_xlfn.TEXTJOIN(", ",TRUE,_xlfn._xlws.FILTER(Tabla28[[#All],[PARTE]],ISNUMBER(SEARCH(Tabla28[[#All],[PCLAVE2]],Tabla8[[#This Row],[DESCRIPCION DE TRABAJO]])),""))</f>
        <v/>
      </c>
      <c r="P1050" s="303" t="str">
        <f>IFERROR(LEFT(O1050, FIND(",", O1050)-1), O1050)</f>
        <v/>
      </c>
      <c r="Q1050" s="303" t="str">
        <f>IFERROR(IF(ISERROR(FIND(",", O1050, FIND(",", O1050)+1)), RIGHT(O1050, LEN(O1050)-FIND(",", O1050)-1), MID(O1050, FIND(",", O1050)+2, FIND(",", O1050, FIND(",", O1050)+1)-FIND(",", O1050)-2)), "")</f>
        <v/>
      </c>
      <c r="R1050" s="303" t="str">
        <f>IFERROR(RIGHT(O1050, LEN(O1050)-FIND(",", O1050, FIND(",", O1050)+1)-1), "")</f>
        <v/>
      </c>
      <c r="S1050" s="35" t="str" cm="1">
        <f t="array" ref="S1050">_xlfn.TEXTJOIN(", ",TRUE,_xlfn._xlws.FILTER(Tabla29[[#All],[PARTE]],ISNUMBER(SEARCH(Tabla29[[#All],[PCLAVE3]],Tabla8[[#This Row],[DESCRIPCION DE TRABAJO]])),""))</f>
        <v>Cambio De Formato</v>
      </c>
      <c r="T1050" s="34" t="str">
        <f>IF(AND(Tabla8[[#This Row],[PIEZA]]="",Tabla8[[#This Row],[PARTE]]=""),"VACIO","OK")</f>
        <v>VACIO</v>
      </c>
      <c r="U1050" s="303" t="str">
        <f>+CONCATENATE(WEEKNUM(Tabla8[[#This Row],[FECHA]]),"-",YEAR(Tabla8[[#This Row],[FECHA]]))</f>
        <v>18-2026</v>
      </c>
    </row>
    <row r="1051" spans="1:21" ht="15" customHeight="1">
      <c r="A1051" s="22">
        <v>46140</v>
      </c>
      <c r="B1051" s="16" t="s">
        <v>191</v>
      </c>
      <c r="C1051" s="10" t="s">
        <v>36</v>
      </c>
      <c r="D1051" s="381">
        <v>0.36666666666666664</v>
      </c>
      <c r="E1051" s="381">
        <v>0.40347222222222223</v>
      </c>
      <c r="F1051" s="380">
        <f>+MOD(Tabla8[[#This Row],[HR. FIN]]-Tabla8[[#This Row],[HR. INICIO]],1)</f>
        <v>3.6805555555555591E-2</v>
      </c>
      <c r="G1051" s="16" t="s">
        <v>182</v>
      </c>
      <c r="H1051" s="343" t="str">
        <f>IFERROR(VLOOKUP(G1051,DATOS!$M$2:$N$219,2,FALSE),"")</f>
        <v>Maquinaria</v>
      </c>
      <c r="I1051" s="115" t="s">
        <v>32</v>
      </c>
      <c r="J1051" s="115" t="str">
        <f>+VLOOKUP($I1051,Tabla7[#All],2,FALSE)</f>
        <v>PROGRAMADA</v>
      </c>
      <c r="K1051" s="114" t="str">
        <f>IF(VLOOKUP(I1051,Tabla7[#All],3,FALSE)=0,"",VLOOKUP(I1051,Tabla7[#All],3,FALSE))</f>
        <v/>
      </c>
      <c r="L1051" s="35" t="s">
        <v>2030</v>
      </c>
      <c r="M1051" s="35" t="s">
        <v>2031</v>
      </c>
      <c r="N1051" s="35" t="str" cm="1">
        <f t="array" ref="N1051">IFERROR(IF(Tabla8[[#This Row],[P/NP]]="NO PROGRAMADA","",_xlfn.TEXTJOIN(", ",TRUE,_xlfn._xlws.FILTER(Tabla4[[#All],[PIEZA]],ISNUMBER(SEARCH(Tabla4[[#All],[PCLAVE]],Tabla8[[#This Row],[DESCRIPCION DE TRABAJO]])),""))),"")</f>
        <v/>
      </c>
      <c r="O1051" s="35" t="str" cm="1">
        <f t="array" ref="O1051">_xlfn.TEXTJOIN(", ",TRUE,_xlfn._xlws.FILTER(Tabla28[[#All],[PARTE]],ISNUMBER(SEARCH(Tabla28[[#All],[PCLAVE2]],Tabla8[[#This Row],[DESCRIPCION DE TRABAJO]])),""))</f>
        <v/>
      </c>
      <c r="P1051" s="303" t="str">
        <f>IFERROR(LEFT(O1051, FIND(",", O1051)-1), O1051)</f>
        <v/>
      </c>
      <c r="Q1051" s="303" t="str">
        <f>IFERROR(IF(ISERROR(FIND(",", O1051, FIND(",", O1051)+1)), RIGHT(O1051, LEN(O1051)-FIND(",", O1051)-1), MID(O1051, FIND(",", O1051)+2, FIND(",", O1051, FIND(",", O1051)+1)-FIND(",", O1051)-2)), "")</f>
        <v/>
      </c>
      <c r="R1051" s="303" t="str">
        <f>IFERROR(RIGHT(O1051, LEN(O1051)-FIND(",", O1051, FIND(",", O1051)+1)-1), "")</f>
        <v/>
      </c>
      <c r="S1051" s="35" t="str" cm="1">
        <f t="array" ref="S1051">_xlfn.TEXTJOIN(", ",TRUE,_xlfn._xlws.FILTER(Tabla29[[#All],[PARTE]],ISNUMBER(SEARCH(Tabla29[[#All],[PCLAVE3]],Tabla8[[#This Row],[DESCRIPCION DE TRABAJO]])),""))</f>
        <v>Cambio De Formato</v>
      </c>
      <c r="T1051" s="34" t="str">
        <f>IF(AND(Tabla8[[#This Row],[PIEZA]]="",Tabla8[[#This Row],[PARTE]]=""),"VACIO","OK")</f>
        <v>VACIO</v>
      </c>
      <c r="U1051" s="303" t="str">
        <f>+CONCATENATE(WEEKNUM(Tabla8[[#This Row],[FECHA]]),"-",YEAR(Tabla8[[#This Row],[FECHA]]))</f>
        <v>18-2026</v>
      </c>
    </row>
    <row r="1052" spans="1:21" ht="15" customHeight="1">
      <c r="A1052" s="22">
        <v>46140</v>
      </c>
      <c r="B1052" s="16" t="s">
        <v>131</v>
      </c>
      <c r="C1052" s="10" t="s">
        <v>39</v>
      </c>
      <c r="D1052" s="381">
        <v>7.4999999999999997E-2</v>
      </c>
      <c r="E1052" s="381">
        <v>0.10625</v>
      </c>
      <c r="F1052" s="380">
        <f>+MOD(Tabla8[[#This Row],[HR. FIN]]-Tabla8[[#This Row],[HR. INICIO]],1)</f>
        <v>3.125E-2</v>
      </c>
      <c r="G1052" s="16" t="s">
        <v>140</v>
      </c>
      <c r="H1052" s="343" t="str">
        <f>IFERROR(VLOOKUP(G1052,DATOS!$M$2:$N$219,2,FALSE),"")</f>
        <v>Maquinaria</v>
      </c>
      <c r="I1052" s="115" t="s">
        <v>57</v>
      </c>
      <c r="J1052" s="115" t="str">
        <f>+VLOOKUP($I1052,Tabla7[#All],2,FALSE)</f>
        <v>NO PROGRAMADA</v>
      </c>
      <c r="K1052" s="114" t="str">
        <f>IF(VLOOKUP(I1052,Tabla7[#All],3,FALSE)=0,"",VLOOKUP(I1052,Tabla7[#All],3,FALSE))</f>
        <v>MECÁNICA</v>
      </c>
      <c r="L1052" s="35" t="s">
        <v>2032</v>
      </c>
      <c r="M1052" s="35" t="s">
        <v>2033</v>
      </c>
      <c r="N1052" s="35" t="str" cm="1">
        <f t="array" ref="N1052">IFERROR(IF(Tabla8[[#This Row],[P/NP]]="NO PROGRAMADA","",_xlfn.TEXTJOIN(", ",TRUE,_xlfn._xlws.FILTER(Tabla4[[#All],[PIEZA]],ISNUMBER(SEARCH(Tabla4[[#All],[PCLAVE]],Tabla8[[#This Row],[DESCRIPCION DE TRABAJO]])),""))),"")</f>
        <v/>
      </c>
      <c r="O1052" s="35" t="str" cm="1">
        <f t="array" ref="O1052">_xlfn.TEXTJOIN(", ",TRUE,_xlfn._xlws.FILTER(Tabla28[[#All],[PARTE]],ISNUMBER(SEARCH(Tabla28[[#All],[PCLAVE2]],Tabla8[[#This Row],[DESCRIPCION DE TRABAJO]])),""))</f>
        <v/>
      </c>
      <c r="P1052" s="303" t="str">
        <f>IFERROR(LEFT(O1052, FIND(",", O1052)-1), O1052)</f>
        <v/>
      </c>
      <c r="Q1052" s="303" t="str">
        <f>IFERROR(IF(ISERROR(FIND(",", O1052, FIND(",", O1052)+1)), RIGHT(O1052, LEN(O1052)-FIND(",", O1052)-1), MID(O1052, FIND(",", O1052)+2, FIND(",", O1052, FIND(",", O1052)+1)-FIND(",", O1052)-2)), "")</f>
        <v/>
      </c>
      <c r="R1052" s="303" t="str">
        <f>IFERROR(RIGHT(O1052, LEN(O1052)-FIND(",", O1052, FIND(",", O1052)+1)-1), "")</f>
        <v/>
      </c>
      <c r="S1052" s="35" t="str" cm="1">
        <f t="array" ref="S1052">_xlfn.TEXTJOIN(", ",TRUE,_xlfn._xlws.FILTER(Tabla29[[#All],[PARTE]],ISNUMBER(SEARCH(Tabla29[[#All],[PCLAVE3]],Tabla8[[#This Row],[DESCRIPCION DE TRABAJO]])),""))</f>
        <v>Rotura, Rotura</v>
      </c>
      <c r="T1052" s="34" t="str">
        <f>IF(AND(Tabla8[[#This Row],[PIEZA]]="",Tabla8[[#This Row],[PARTE]]=""),"VACIO","OK")</f>
        <v>VACIO</v>
      </c>
      <c r="U1052" s="303" t="str">
        <f>+CONCATENATE(WEEKNUM(Tabla8[[#This Row],[FECHA]]),"-",YEAR(Tabla8[[#This Row],[FECHA]]))</f>
        <v>18-2026</v>
      </c>
    </row>
    <row r="1053" spans="1:21" ht="15" customHeight="1">
      <c r="A1053" s="22">
        <v>46140</v>
      </c>
      <c r="B1053" s="16" t="s">
        <v>111</v>
      </c>
      <c r="C1053" s="10" t="s">
        <v>23</v>
      </c>
      <c r="D1053" s="381" t="s">
        <v>494</v>
      </c>
      <c r="E1053" s="381" t="s">
        <v>264</v>
      </c>
      <c r="F1053" s="380">
        <f>+MOD(Tabla8[[#This Row],[HR. FIN]]-Tabla8[[#This Row],[HR. INICIO]],1)</f>
        <v>2.777777777777779E-2</v>
      </c>
      <c r="G1053" s="16" t="s">
        <v>119</v>
      </c>
      <c r="H1053" s="343" t="str">
        <f>IFERROR(VLOOKUP(G1053,DATOS!$M$2:$N$219,2,FALSE),"")</f>
        <v>Maquinaria</v>
      </c>
      <c r="I1053" s="115" t="s">
        <v>32</v>
      </c>
      <c r="J1053" s="115" t="str">
        <f>+VLOOKUP($I1053,Tabla7[#All],2,FALSE)</f>
        <v>PROGRAMADA</v>
      </c>
      <c r="K1053" s="114" t="str">
        <f>IF(VLOOKUP(I1053,Tabla7[#All],3,FALSE)=0,"",VLOOKUP(I1053,Tabla7[#All],3,FALSE))</f>
        <v/>
      </c>
      <c r="L1053" s="35" t="s">
        <v>2034</v>
      </c>
      <c r="M1053" s="35" t="s">
        <v>121</v>
      </c>
      <c r="N1053" s="35" t="str" cm="1">
        <f t="array" ref="N1053">IFERROR(IF(Tabla8[[#This Row],[P/NP]]="NO PROGRAMADA","",_xlfn.TEXTJOIN(", ",TRUE,_xlfn._xlws.FILTER(Tabla4[[#All],[PIEZA]],ISNUMBER(SEARCH(Tabla4[[#All],[PCLAVE]],Tabla8[[#This Row],[DESCRIPCION DE TRABAJO]])),""))),"")</f>
        <v/>
      </c>
      <c r="O1053" s="35" t="str" cm="1">
        <f t="array" ref="O1053">_xlfn.TEXTJOIN(", ",TRUE,_xlfn._xlws.FILTER(Tabla28[[#All],[PARTE]],ISNUMBER(SEARCH(Tabla28[[#All],[PCLAVE2]],Tabla8[[#This Row],[DESCRIPCION DE TRABAJO]])),""))</f>
        <v>Mds</v>
      </c>
      <c r="P1053" s="303" t="str">
        <f>IFERROR(LEFT(O1053, FIND(",", O1053)-1), O1053)</f>
        <v>Mds</v>
      </c>
      <c r="Q1053" s="303" t="str">
        <f>IFERROR(IF(ISERROR(FIND(",", O1053, FIND(",", O1053)+1)), RIGHT(O1053, LEN(O1053)-FIND(",", O1053)-1), MID(O1053, FIND(",", O1053)+2, FIND(",", O1053, FIND(",", O1053)+1)-FIND(",", O1053)-2)), "")</f>
        <v/>
      </c>
      <c r="R1053" s="303" t="str">
        <f>IFERROR(RIGHT(O1053, LEN(O1053)-FIND(",", O1053, FIND(",", O1053)+1)-1), "")</f>
        <v/>
      </c>
      <c r="S1053" s="35" t="str" cm="1">
        <f t="array" ref="S1053">_xlfn.TEXTJOIN(", ",TRUE,_xlfn._xlws.FILTER(Tabla29[[#All],[PARTE]],ISNUMBER(SEARCH(Tabla29[[#All],[PCLAVE3]],Tabla8[[#This Row],[DESCRIPCION DE TRABAJO]])),""))</f>
        <v>Cambio De Formato</v>
      </c>
      <c r="T1053" s="34" t="str">
        <f>IF(AND(Tabla8[[#This Row],[PIEZA]]="",Tabla8[[#This Row],[PARTE]]=""),"VACIO","OK")</f>
        <v>OK</v>
      </c>
      <c r="U1053" s="303" t="str">
        <f>+CONCATENATE(WEEKNUM(Tabla8[[#This Row],[FECHA]]),"-",YEAR(Tabla8[[#This Row],[FECHA]]))</f>
        <v>18-2026</v>
      </c>
    </row>
    <row r="1054" spans="1:21" ht="15" customHeight="1">
      <c r="A1054" s="22">
        <v>46140</v>
      </c>
      <c r="B1054" s="16" t="s">
        <v>131</v>
      </c>
      <c r="C1054" s="10" t="s">
        <v>39</v>
      </c>
      <c r="D1054" s="381">
        <v>0.92500000000000004</v>
      </c>
      <c r="E1054" s="381">
        <v>0.95138888888888884</v>
      </c>
      <c r="F1054" s="380">
        <f>+MOD(Tabla8[[#This Row],[HR. FIN]]-Tabla8[[#This Row],[HR. INICIO]],1)</f>
        <v>2.6388888888888795E-2</v>
      </c>
      <c r="G1054" s="16" t="s">
        <v>140</v>
      </c>
      <c r="H1054" s="343" t="str">
        <f>IFERROR(VLOOKUP(G1054,DATOS!$M$2:$N$219,2,FALSE),"")</f>
        <v>Maquinaria</v>
      </c>
      <c r="I1054" s="115" t="s">
        <v>57</v>
      </c>
      <c r="J1054" s="115" t="str">
        <f>+VLOOKUP($I1054,Tabla7[#All],2,FALSE)</f>
        <v>NO PROGRAMADA</v>
      </c>
      <c r="K1054" s="114" t="str">
        <f>IF(VLOOKUP(I1054,Tabla7[#All],3,FALSE)=0,"",VLOOKUP(I1054,Tabla7[#All],3,FALSE))</f>
        <v>MECÁNICA</v>
      </c>
      <c r="L1054" s="35" t="s">
        <v>2035</v>
      </c>
      <c r="M1054" s="35" t="s">
        <v>2036</v>
      </c>
      <c r="N1054" s="35" t="str" cm="1">
        <f t="array" ref="N1054">IFERROR(IF(Tabla8[[#This Row],[P/NP]]="NO PROGRAMADA","",_xlfn.TEXTJOIN(", ",TRUE,_xlfn._xlws.FILTER(Tabla4[[#All],[PIEZA]],ISNUMBER(SEARCH(Tabla4[[#All],[PCLAVE]],Tabla8[[#This Row],[DESCRIPCION DE TRABAJO]])),""))),"")</f>
        <v/>
      </c>
      <c r="O1054" s="35" t="str" cm="1">
        <f t="array" ref="O1054">_xlfn.TEXTJOIN(", ",TRUE,_xlfn._xlws.FILTER(Tabla28[[#All],[PARTE]],ISNUMBER(SEARCH(Tabla28[[#All],[PCLAVE2]],Tabla8[[#This Row],[DESCRIPCION DE TRABAJO]])),""))</f>
        <v/>
      </c>
      <c r="P1054" s="303" t="str">
        <f>IFERROR(LEFT(O1054, FIND(",", O1054)-1), O1054)</f>
        <v/>
      </c>
      <c r="Q1054" s="303" t="str">
        <f>IFERROR(IF(ISERROR(FIND(",", O1054, FIND(",", O1054)+1)), RIGHT(O1054, LEN(O1054)-FIND(",", O1054)-1), MID(O1054, FIND(",", O1054)+2, FIND(",", O1054, FIND(",", O1054)+1)-FIND(",", O1054)-2)), "")</f>
        <v/>
      </c>
      <c r="R1054" s="303" t="str">
        <f>IFERROR(RIGHT(O1054, LEN(O1054)-FIND(",", O1054, FIND(",", O1054)+1)-1), "")</f>
        <v/>
      </c>
      <c r="S1054" s="35" t="str" cm="1">
        <f t="array" ref="S1054">_xlfn.TEXTJOIN(", ",TRUE,_xlfn._xlws.FILTER(Tabla29[[#All],[PARTE]],ISNUMBER(SEARCH(Tabla29[[#All],[PCLAVE3]],Tabla8[[#This Row],[DESCRIPCION DE TRABAJO]])),""))</f>
        <v>Rotura</v>
      </c>
      <c r="T1054" s="34" t="str">
        <f>IF(AND(Tabla8[[#This Row],[PIEZA]]="",Tabla8[[#This Row],[PARTE]]=""),"VACIO","OK")</f>
        <v>VACIO</v>
      </c>
      <c r="U1054" s="303" t="str">
        <f>+CONCATENATE(WEEKNUM(Tabla8[[#This Row],[FECHA]]),"-",YEAR(Tabla8[[#This Row],[FECHA]]))</f>
        <v>18-2026</v>
      </c>
    </row>
    <row r="1055" spans="1:21" ht="15" customHeight="1">
      <c r="A1055" s="22">
        <v>46140</v>
      </c>
      <c r="B1055" s="16" t="s">
        <v>88</v>
      </c>
      <c r="C1055" s="10" t="s">
        <v>36</v>
      </c>
      <c r="D1055" s="381">
        <v>0.23958333333333334</v>
      </c>
      <c r="E1055" s="381">
        <v>0.26041666666666669</v>
      </c>
      <c r="F1055" s="380">
        <f>+MOD(Tabla8[[#This Row],[HR. FIN]]-Tabla8[[#This Row],[HR. INICIO]],1)</f>
        <v>2.0833333333333343E-2</v>
      </c>
      <c r="G1055" s="16" t="s">
        <v>236</v>
      </c>
      <c r="H1055" s="343" t="str">
        <f>IFERROR(VLOOKUP(G1055,DATOS!$M$2:$N$219,2,FALSE),"")</f>
        <v>Sistema</v>
      </c>
      <c r="I1055" s="115" t="s">
        <v>405</v>
      </c>
      <c r="J1055" s="115" t="str">
        <f>+VLOOKUP($I1055,Tabla7[#All],2,FALSE)</f>
        <v>PROGRAMADA</v>
      </c>
      <c r="K1055" s="114" t="str">
        <f>IF(VLOOKUP(I1055,Tabla7[#All],3,FALSE)=0,"",VLOOKUP(I1055,Tabla7[#All],3,FALSE))</f>
        <v/>
      </c>
      <c r="L1055" s="35" t="s">
        <v>2037</v>
      </c>
      <c r="M1055" s="35" t="s">
        <v>2038</v>
      </c>
      <c r="N1055" s="35" t="str" cm="1">
        <f t="array" ref="N1055">IFERROR(IF(Tabla8[[#This Row],[P/NP]]="NO PROGRAMADA","",_xlfn.TEXTJOIN(", ",TRUE,_xlfn._xlws.FILTER(Tabla4[[#All],[PIEZA]],ISNUMBER(SEARCH(Tabla4[[#All],[PCLAVE]],Tabla8[[#This Row],[DESCRIPCION DE TRABAJO]])),""))),"")</f>
        <v/>
      </c>
      <c r="O1055" s="35" t="str" cm="1">
        <f t="array" ref="O1055">_xlfn.TEXTJOIN(", ",TRUE,_xlfn._xlws.FILTER(Tabla28[[#All],[PARTE]],ISNUMBER(SEARCH(Tabla28[[#All],[PCLAVE2]],Tabla8[[#This Row],[DESCRIPCION DE TRABAJO]])),""))</f>
        <v/>
      </c>
      <c r="P1055" s="303" t="str">
        <f>IFERROR(LEFT(O1055, FIND(",", O1055)-1), O1055)</f>
        <v/>
      </c>
      <c r="Q1055" s="303" t="str">
        <f>IFERROR(IF(ISERROR(FIND(",", O1055, FIND(",", O1055)+1)), RIGHT(O1055, LEN(O1055)-FIND(",", O1055)-1), MID(O1055, FIND(",", O1055)+2, FIND(",", O1055, FIND(",", O1055)+1)-FIND(",", O1055)-2)), "")</f>
        <v/>
      </c>
      <c r="R1055" s="303" t="str">
        <f>IFERROR(RIGHT(O1055, LEN(O1055)-FIND(",", O1055, FIND(",", O1055)+1)-1), "")</f>
        <v/>
      </c>
      <c r="S1055" s="35" t="str" cm="1">
        <f t="array" ref="S1055">_xlfn.TEXTJOIN(", ",TRUE,_xlfn._xlws.FILTER(Tabla29[[#All],[PARTE]],ISNUMBER(SEARCH(Tabla29[[#All],[PCLAVE3]],Tabla8[[#This Row],[DESCRIPCION DE TRABAJO]])),""))</f>
        <v>Nivel</v>
      </c>
      <c r="T1055" s="34" t="str">
        <f>IF(AND(Tabla8[[#This Row],[PIEZA]]="",Tabla8[[#This Row],[PARTE]]=""),"VACIO","OK")</f>
        <v>VACIO</v>
      </c>
      <c r="U1055" s="303" t="str">
        <f>+CONCATENATE(WEEKNUM(Tabla8[[#This Row],[FECHA]]),"-",YEAR(Tabla8[[#This Row],[FECHA]]))</f>
        <v>18-2026</v>
      </c>
    </row>
    <row r="1056" spans="1:21" ht="15" customHeight="1">
      <c r="A1056" s="22">
        <v>46140</v>
      </c>
      <c r="B1056" s="16" t="s">
        <v>111</v>
      </c>
      <c r="C1056" s="10" t="s">
        <v>23</v>
      </c>
      <c r="D1056" s="381" t="s">
        <v>502</v>
      </c>
      <c r="E1056" s="381" t="s">
        <v>274</v>
      </c>
      <c r="F1056" s="380">
        <f>+MOD(Tabla8[[#This Row],[HR. FIN]]-Tabla8[[#This Row],[HR. INICIO]],1)</f>
        <v>2.0833333333333259E-2</v>
      </c>
      <c r="G1056" s="16" t="s">
        <v>140</v>
      </c>
      <c r="H1056" s="343" t="str">
        <f>IFERROR(VLOOKUP(G1056,DATOS!$M$2:$N$219,2,FALSE),"")</f>
        <v>Maquinaria</v>
      </c>
      <c r="I1056" s="115" t="s">
        <v>32</v>
      </c>
      <c r="J1056" s="115" t="str">
        <f>+VLOOKUP($I1056,Tabla7[#All],2,FALSE)</f>
        <v>PROGRAMADA</v>
      </c>
      <c r="K1056" s="114" t="str">
        <f>IF(VLOOKUP(I1056,Tabla7[#All],3,FALSE)=0,"",VLOOKUP(I1056,Tabla7[#All],3,FALSE))</f>
        <v/>
      </c>
      <c r="L1056" s="35" t="s">
        <v>2039</v>
      </c>
      <c r="M1056" s="35" t="s">
        <v>121</v>
      </c>
      <c r="N1056" s="35" t="str" cm="1">
        <f t="array" ref="N1056">IFERROR(IF(Tabla8[[#This Row],[P/NP]]="NO PROGRAMADA","",_xlfn.TEXTJOIN(", ",TRUE,_xlfn._xlws.FILTER(Tabla4[[#All],[PIEZA]],ISNUMBER(SEARCH(Tabla4[[#All],[PCLAVE]],Tabla8[[#This Row],[DESCRIPCION DE TRABAJO]])),""))),"")</f>
        <v>Gomas</v>
      </c>
      <c r="O1056" s="35" t="str" cm="1">
        <f t="array" ref="O1056">_xlfn.TEXTJOIN(", ",TRUE,_xlfn._xlws.FILTER(Tabla28[[#All],[PARTE]],ISNUMBER(SEARCH(Tabla28[[#All],[PCLAVE2]],Tabla8[[#This Row],[DESCRIPCION DE TRABAJO]])),""))</f>
        <v>Dosificador</v>
      </c>
      <c r="P1056" s="303" t="str">
        <f>IFERROR(LEFT(O1056, FIND(",", O1056)-1), O1056)</f>
        <v>Dosificador</v>
      </c>
      <c r="Q1056" s="303" t="str">
        <f>IFERROR(IF(ISERROR(FIND(",", O1056, FIND(",", O1056)+1)), RIGHT(O1056, LEN(O1056)-FIND(",", O1056)-1), MID(O1056, FIND(",", O1056)+2, FIND(",", O1056, FIND(",", O1056)+1)-FIND(",", O1056)-2)), "")</f>
        <v/>
      </c>
      <c r="R1056" s="303" t="str">
        <f>IFERROR(RIGHT(O1056, LEN(O1056)-FIND(",", O1056, FIND(",", O1056)+1)-1), "")</f>
        <v/>
      </c>
      <c r="S1056" s="35" t="str" cm="1">
        <f t="array" ref="S1056">_xlfn.TEXTJOIN(", ",TRUE,_xlfn._xlws.FILTER(Tabla29[[#All],[PARTE]],ISNUMBER(SEARCH(Tabla29[[#All],[PCLAVE3]],Tabla8[[#This Row],[DESCRIPCION DE TRABAJO]])),""))</f>
        <v/>
      </c>
      <c r="T1056" s="34" t="str">
        <f>IF(AND(Tabla8[[#This Row],[PIEZA]]="",Tabla8[[#This Row],[PARTE]]=""),"VACIO","OK")</f>
        <v>OK</v>
      </c>
      <c r="U1056" s="303" t="str">
        <f>+CONCATENATE(WEEKNUM(Tabla8[[#This Row],[FECHA]]),"-",YEAR(Tabla8[[#This Row],[FECHA]]))</f>
        <v>18-2026</v>
      </c>
    </row>
    <row r="1057" spans="1:21" ht="15" customHeight="1">
      <c r="A1057" s="22">
        <v>46140</v>
      </c>
      <c r="B1057" s="16" t="s">
        <v>131</v>
      </c>
      <c r="C1057" s="10" t="s">
        <v>39</v>
      </c>
      <c r="D1057" s="381">
        <v>0.97222222222222221</v>
      </c>
      <c r="E1057" s="381">
        <v>0.98958333333333337</v>
      </c>
      <c r="F1057" s="380">
        <f>+MOD(Tabla8[[#This Row],[HR. FIN]]-Tabla8[[#This Row],[HR. INICIO]],1)</f>
        <v>1.736111111111116E-2</v>
      </c>
      <c r="G1057" s="16" t="s">
        <v>98</v>
      </c>
      <c r="H1057" s="343" t="str">
        <f>IFERROR(VLOOKUP(G1057,DATOS!$M$2:$N$219,2,FALSE),"")</f>
        <v>Maquinaria</v>
      </c>
      <c r="I1057" s="115" t="s">
        <v>57</v>
      </c>
      <c r="J1057" s="115" t="str">
        <f>+VLOOKUP($I1057,Tabla7[#All],2,FALSE)</f>
        <v>NO PROGRAMADA</v>
      </c>
      <c r="K1057" s="114" t="str">
        <f>IF(VLOOKUP(I1057,Tabla7[#All],3,FALSE)=0,"",VLOOKUP(I1057,Tabla7[#All],3,FALSE))</f>
        <v>MECÁNICA</v>
      </c>
      <c r="L1057" s="35" t="s">
        <v>2040</v>
      </c>
      <c r="M1057" s="35" t="s">
        <v>2041</v>
      </c>
      <c r="N1057" s="35" t="str" cm="1">
        <f t="array" ref="N1057">IFERROR(IF(Tabla8[[#This Row],[P/NP]]="NO PROGRAMADA","",_xlfn.TEXTJOIN(", ",TRUE,_xlfn._xlws.FILTER(Tabla4[[#All],[PIEZA]],ISNUMBER(SEARCH(Tabla4[[#All],[PCLAVE]],Tabla8[[#This Row],[DESCRIPCION DE TRABAJO]])),""))),"")</f>
        <v/>
      </c>
      <c r="O1057" s="35" t="str" cm="1">
        <f t="array" ref="O1057">_xlfn.TEXTJOIN(", ",TRUE,_xlfn._xlws.FILTER(Tabla28[[#All],[PARTE]],ISNUMBER(SEARCH(Tabla28[[#All],[PCLAVE2]],Tabla8[[#This Row],[DESCRIPCION DE TRABAJO]])),""))</f>
        <v/>
      </c>
      <c r="P1057" s="303" t="str">
        <f>IFERROR(LEFT(O1057, FIND(",", O1057)-1), O1057)</f>
        <v/>
      </c>
      <c r="Q1057" s="303" t="str">
        <f>IFERROR(IF(ISERROR(FIND(",", O1057, FIND(",", O1057)+1)), RIGHT(O1057, LEN(O1057)-FIND(",", O1057)-1), MID(O1057, FIND(",", O1057)+2, FIND(",", O1057, FIND(",", O1057)+1)-FIND(",", O1057)-2)), "")</f>
        <v/>
      </c>
      <c r="R1057" s="303" t="str">
        <f>IFERROR(RIGHT(O1057, LEN(O1057)-FIND(",", O1057, FIND(",", O1057)+1)-1), "")</f>
        <v/>
      </c>
      <c r="S1057" s="35" t="str" cm="1">
        <f t="array" ref="S1057">_xlfn.TEXTJOIN(", ",TRUE,_xlfn._xlws.FILTER(Tabla29[[#All],[PARTE]],ISNUMBER(SEARCH(Tabla29[[#All],[PCLAVE3]],Tabla8[[#This Row],[DESCRIPCION DE TRABAJO]])),""))</f>
        <v>Error</v>
      </c>
      <c r="T1057" s="34" t="str">
        <f>IF(AND(Tabla8[[#This Row],[PIEZA]]="",Tabla8[[#This Row],[PARTE]]=""),"VACIO","OK")</f>
        <v>VACIO</v>
      </c>
      <c r="U1057" s="303" t="str">
        <f>+CONCATENATE(WEEKNUM(Tabla8[[#This Row],[FECHA]]),"-",YEAR(Tabla8[[#This Row],[FECHA]]))</f>
        <v>18-2026</v>
      </c>
    </row>
    <row r="1058" spans="1:21" ht="15" customHeight="1">
      <c r="A1058" s="22">
        <v>46140</v>
      </c>
      <c r="B1058" s="16" t="s">
        <v>179</v>
      </c>
      <c r="C1058" s="10" t="s">
        <v>23</v>
      </c>
      <c r="D1058" s="381" t="s">
        <v>502</v>
      </c>
      <c r="E1058" s="381" t="s">
        <v>655</v>
      </c>
      <c r="F1058" s="380">
        <f>+MOD(Tabla8[[#This Row],[HR. FIN]]-Tabla8[[#This Row],[HR. INICIO]],1)</f>
        <v>1.7361111111111049E-2</v>
      </c>
      <c r="G1058" s="16" t="s">
        <v>140</v>
      </c>
      <c r="H1058" s="343" t="str">
        <f>IFERROR(VLOOKUP(G1058,DATOS!$M$2:$N$219,2,FALSE),"")</f>
        <v>Maquinaria</v>
      </c>
      <c r="I1058" s="115" t="s">
        <v>32</v>
      </c>
      <c r="J1058" s="115" t="str">
        <f>+VLOOKUP($I1058,Tabla7[#All],2,FALSE)</f>
        <v>PROGRAMADA</v>
      </c>
      <c r="K1058" s="114" t="str">
        <f>IF(VLOOKUP(I1058,Tabla7[#All],3,FALSE)=0,"",VLOOKUP(I1058,Tabla7[#All],3,FALSE))</f>
        <v/>
      </c>
      <c r="L1058" s="35" t="s">
        <v>2042</v>
      </c>
      <c r="M1058" s="35" t="s">
        <v>121</v>
      </c>
      <c r="N1058" s="35" t="str" cm="1">
        <f t="array" ref="N1058">IFERROR(IF(Tabla8[[#This Row],[P/NP]]="NO PROGRAMADA","",_xlfn.TEXTJOIN(", ",TRUE,_xlfn._xlws.FILTER(Tabla4[[#All],[PIEZA]],ISNUMBER(SEARCH(Tabla4[[#All],[PCLAVE]],Tabla8[[#This Row],[DESCRIPCION DE TRABAJO]])),""))),"")</f>
        <v>Gomas</v>
      </c>
      <c r="O1058" s="35" t="str" cm="1">
        <f t="array" ref="O1058">_xlfn.TEXTJOIN(", ",TRUE,_xlfn._xlws.FILTER(Tabla28[[#All],[PARTE]],ISNUMBER(SEARCH(Tabla28[[#All],[PCLAVE2]],Tabla8[[#This Row],[DESCRIPCION DE TRABAJO]])),""))</f>
        <v>Dosificador</v>
      </c>
      <c r="P1058" s="303" t="str">
        <f>IFERROR(LEFT(O1058, FIND(",", O1058)-1), O1058)</f>
        <v>Dosificador</v>
      </c>
      <c r="Q1058" s="303" t="str">
        <f>IFERROR(IF(ISERROR(FIND(",", O1058, FIND(",", O1058)+1)), RIGHT(O1058, LEN(O1058)-FIND(",", O1058)-1), MID(O1058, FIND(",", O1058)+2, FIND(",", O1058, FIND(",", O1058)+1)-FIND(",", O1058)-2)), "")</f>
        <v/>
      </c>
      <c r="R1058" s="303" t="str">
        <f>IFERROR(RIGHT(O1058, LEN(O1058)-FIND(",", O1058, FIND(",", O1058)+1)-1), "")</f>
        <v/>
      </c>
      <c r="S1058" s="35" t="str" cm="1">
        <f t="array" ref="S1058">_xlfn.TEXTJOIN(", ",TRUE,_xlfn._xlws.FILTER(Tabla29[[#All],[PARTE]],ISNUMBER(SEARCH(Tabla29[[#All],[PCLAVE3]],Tabla8[[#This Row],[DESCRIPCION DE TRABAJO]])),""))</f>
        <v/>
      </c>
      <c r="T1058" s="34" t="str">
        <f>IF(AND(Tabla8[[#This Row],[PIEZA]]="",Tabla8[[#This Row],[PARTE]]=""),"VACIO","OK")</f>
        <v>OK</v>
      </c>
      <c r="U1058" s="303" t="str">
        <f>+CONCATENATE(WEEKNUM(Tabla8[[#This Row],[FECHA]]),"-",YEAR(Tabla8[[#This Row],[FECHA]]))</f>
        <v>18-2026</v>
      </c>
    </row>
    <row r="1059" spans="1:21" ht="15" customHeight="1">
      <c r="A1059" s="22">
        <v>46140</v>
      </c>
      <c r="B1059" s="16" t="s">
        <v>191</v>
      </c>
      <c r="C1059" s="10" t="s">
        <v>36</v>
      </c>
      <c r="D1059" s="381">
        <v>0.34305555555555556</v>
      </c>
      <c r="E1059" s="381">
        <v>0.35902777777777778</v>
      </c>
      <c r="F1059" s="380">
        <f>+MOD(Tabla8[[#This Row],[HR. FIN]]-Tabla8[[#This Row],[HR. INICIO]],1)</f>
        <v>1.5972222222222221E-2</v>
      </c>
      <c r="G1059" s="16" t="s">
        <v>119</v>
      </c>
      <c r="H1059" s="343" t="str">
        <f>IFERROR(VLOOKUP(G1059,DATOS!$M$2:$N$219,2,FALSE),"")</f>
        <v>Maquinaria</v>
      </c>
      <c r="I1059" s="115" t="s">
        <v>54</v>
      </c>
      <c r="J1059" s="115" t="str">
        <f>+VLOOKUP($I1059,Tabla7[#All],2,FALSE)</f>
        <v>PROGRAMADA</v>
      </c>
      <c r="K1059" s="114" t="str">
        <f>IF(VLOOKUP(I1059,Tabla7[#All],3,FALSE)=0,"",VLOOKUP(I1059,Tabla7[#All],3,FALSE))</f>
        <v/>
      </c>
      <c r="L1059" s="35" t="s">
        <v>2043</v>
      </c>
      <c r="M1059" s="35" t="s">
        <v>121</v>
      </c>
      <c r="N1059" s="35" t="str" cm="1">
        <f t="array" ref="N1059">IFERROR(IF(Tabla8[[#This Row],[P/NP]]="NO PROGRAMADA","",_xlfn.TEXTJOIN(", ",TRUE,_xlfn._xlws.FILTER(Tabla4[[#All],[PIEZA]],ISNUMBER(SEARCH(Tabla4[[#All],[PCLAVE]],Tabla8[[#This Row],[DESCRIPCION DE TRABAJO]])),""))),"")</f>
        <v>Actuadores, B6</v>
      </c>
      <c r="O1059" s="35" t="str" cm="1">
        <f t="array" ref="O1059">_xlfn.TEXTJOIN(", ",TRUE,_xlfn._xlws.FILTER(Tabla28[[#All],[PARTE]],ISNUMBER(SEARCH(Tabla28[[#All],[PCLAVE2]],Tabla8[[#This Row],[DESCRIPCION DE TRABAJO]])),""))</f>
        <v/>
      </c>
      <c r="P1059" s="303" t="str">
        <f>IFERROR(LEFT(O1059, FIND(",", O1059)-1), O1059)</f>
        <v/>
      </c>
      <c r="Q1059" s="303" t="str">
        <f>IFERROR(IF(ISERROR(FIND(",", O1059, FIND(",", O1059)+1)), RIGHT(O1059, LEN(O1059)-FIND(",", O1059)-1), MID(O1059, FIND(",", O1059)+2, FIND(",", O1059, FIND(",", O1059)+1)-FIND(",", O1059)-2)), "")</f>
        <v/>
      </c>
      <c r="R1059" s="303" t="str">
        <f>IFERROR(RIGHT(O1059, LEN(O1059)-FIND(",", O1059, FIND(",", O1059)+1)-1), "")</f>
        <v/>
      </c>
      <c r="S1059" s="35" t="str" cm="1">
        <f t="array" ref="S1059">_xlfn.TEXTJOIN(", ",TRUE,_xlfn._xlws.FILTER(Tabla29[[#All],[PARTE]],ISNUMBER(SEARCH(Tabla29[[#All],[PCLAVE3]],Tabla8[[#This Row],[DESCRIPCION DE TRABAJO]])),""))</f>
        <v>Calibracion</v>
      </c>
      <c r="T1059" s="34" t="str">
        <f>IF(AND(Tabla8[[#This Row],[PIEZA]]="",Tabla8[[#This Row],[PARTE]]=""),"VACIO","OK")</f>
        <v>OK</v>
      </c>
      <c r="U1059" s="303" t="str">
        <f>+CONCATENATE(WEEKNUM(Tabla8[[#This Row],[FECHA]]),"-",YEAR(Tabla8[[#This Row],[FECHA]]))</f>
        <v>18-2026</v>
      </c>
    </row>
    <row r="1060" spans="1:21" ht="15" customHeight="1">
      <c r="A1060" s="22">
        <v>46140</v>
      </c>
      <c r="B1060" s="16" t="s">
        <v>111</v>
      </c>
      <c r="C1060" s="10" t="s">
        <v>23</v>
      </c>
      <c r="D1060" s="381" t="s">
        <v>563</v>
      </c>
      <c r="E1060" s="381" t="s">
        <v>2044</v>
      </c>
      <c r="F1060" s="380">
        <f>+MOD(Tabla8[[#This Row],[HR. FIN]]-Tabla8[[#This Row],[HR. INICIO]],1)</f>
        <v>1.3888888888888951E-2</v>
      </c>
      <c r="G1060" s="16" t="s">
        <v>165</v>
      </c>
      <c r="H1060" s="343" t="str">
        <f>IFERROR(VLOOKUP(G1060,DATOS!$M$2:$N$219,2,FALSE),"")</f>
        <v>Maquinaria</v>
      </c>
      <c r="I1060" s="115" t="s">
        <v>390</v>
      </c>
      <c r="J1060" s="115" t="str">
        <f>+VLOOKUP($I1060,Tabla7[#All],2,FALSE)</f>
        <v>PROGRAMADA</v>
      </c>
      <c r="K1060" s="114" t="str">
        <f>IF(VLOOKUP(I1060,Tabla7[#All],3,FALSE)=0,"",VLOOKUP(I1060,Tabla7[#All],3,FALSE))</f>
        <v/>
      </c>
      <c r="L1060" s="35" t="s">
        <v>2045</v>
      </c>
      <c r="M1060" s="35" t="s">
        <v>121</v>
      </c>
      <c r="N1060" s="35" t="str" cm="1">
        <f t="array" ref="N1060">IFERROR(IF(Tabla8[[#This Row],[P/NP]]="NO PROGRAMADA","",_xlfn.TEXTJOIN(", ",TRUE,_xlfn._xlws.FILTER(Tabla4[[#All],[PIEZA]],ISNUMBER(SEARCH(Tabla4[[#All],[PCLAVE]],Tabla8[[#This Row],[DESCRIPCION DE TRABAJO]])),""))),"")</f>
        <v/>
      </c>
      <c r="O1060" s="35" t="str" cm="1">
        <f t="array" ref="O1060">_xlfn.TEXTJOIN(", ",TRUE,_xlfn._xlws.FILTER(Tabla28[[#All],[PARTE]],ISNUMBER(SEARCH(Tabla28[[#All],[PCLAVE2]],Tabla8[[#This Row],[DESCRIPCION DE TRABAJO]])),""))</f>
        <v/>
      </c>
      <c r="P1060" s="303" t="str">
        <f>IFERROR(LEFT(O1060, FIND(",", O1060)-1), O1060)</f>
        <v/>
      </c>
      <c r="Q1060" s="303" t="str">
        <f>IFERROR(IF(ISERROR(FIND(",", O1060, FIND(",", O1060)+1)), RIGHT(O1060, LEN(O1060)-FIND(",", O1060)-1), MID(O1060, FIND(",", O1060)+2, FIND(",", O1060, FIND(",", O1060)+1)-FIND(",", O1060)-2)), "")</f>
        <v/>
      </c>
      <c r="R1060" s="303" t="str">
        <f>IFERROR(RIGHT(O1060, LEN(O1060)-FIND(",", O1060, FIND(",", O1060)+1)-1), "")</f>
        <v/>
      </c>
      <c r="S1060" s="35" t="str" cm="1">
        <f t="array" ref="S1060">_xlfn.TEXTJOIN(", ",TRUE,_xlfn._xlws.FILTER(Tabla29[[#All],[PARTE]],ISNUMBER(SEARCH(Tabla29[[#All],[PCLAVE3]],Tabla8[[#This Row],[DESCRIPCION DE TRABAJO]])),""))</f>
        <v/>
      </c>
      <c r="T1060" s="34" t="str">
        <f>IF(AND(Tabla8[[#This Row],[PIEZA]]="",Tabla8[[#This Row],[PARTE]]=""),"VACIO","OK")</f>
        <v>VACIO</v>
      </c>
      <c r="U1060" s="303" t="str">
        <f>+CONCATENATE(WEEKNUM(Tabla8[[#This Row],[FECHA]]),"-",YEAR(Tabla8[[#This Row],[FECHA]]))</f>
        <v>18-2026</v>
      </c>
    </row>
    <row r="1061" spans="1:21" ht="15" customHeight="1">
      <c r="A1061" s="22">
        <v>46140</v>
      </c>
      <c r="B1061" s="16" t="s">
        <v>131</v>
      </c>
      <c r="C1061" s="10" t="s">
        <v>39</v>
      </c>
      <c r="D1061" s="381">
        <v>0.18055555555555555</v>
      </c>
      <c r="E1061" s="381">
        <v>0.19444444444444445</v>
      </c>
      <c r="F1061" s="380">
        <f>+MOD(Tabla8[[#This Row],[HR. FIN]]-Tabla8[[#This Row],[HR. INICIO]],1)</f>
        <v>1.3888888888888895E-2</v>
      </c>
      <c r="G1061" s="16" t="s">
        <v>31</v>
      </c>
      <c r="H1061" s="343" t="str">
        <f>IFERROR(VLOOKUP(G1061,DATOS!$M$2:$N$219,2,FALSE),"")</f>
        <v>Maquinaria</v>
      </c>
      <c r="I1061" s="115" t="s">
        <v>54</v>
      </c>
      <c r="J1061" s="115" t="str">
        <f>+VLOOKUP($I1061,Tabla7[#All],2,FALSE)</f>
        <v>PROGRAMADA</v>
      </c>
      <c r="K1061" s="114" t="str">
        <f>IF(VLOOKUP(I1061,Tabla7[#All],3,FALSE)=0,"",VLOOKUP(I1061,Tabla7[#All],3,FALSE))</f>
        <v/>
      </c>
      <c r="L1061" s="35" t="s">
        <v>225</v>
      </c>
      <c r="M1061" s="35" t="s">
        <v>121</v>
      </c>
      <c r="N1061" s="35" t="str" cm="1">
        <f t="array" ref="N1061">IFERROR(IF(Tabla8[[#This Row],[P/NP]]="NO PROGRAMADA","",_xlfn.TEXTJOIN(", ",TRUE,_xlfn._xlws.FILTER(Tabla4[[#All],[PIEZA]],ISNUMBER(SEARCH(Tabla4[[#All],[PCLAVE]],Tabla8[[#This Row],[DESCRIPCION DE TRABAJO]])),""))),"")</f>
        <v/>
      </c>
      <c r="O1061" s="35" t="str" cm="1">
        <f t="array" ref="O1061">_xlfn.TEXTJOIN(", ",TRUE,_xlfn._xlws.FILTER(Tabla28[[#All],[PARTE]],ISNUMBER(SEARCH(Tabla28[[#All],[PCLAVE2]],Tabla8[[#This Row],[DESCRIPCION DE TRABAJO]])),""))</f>
        <v/>
      </c>
      <c r="P1061" s="303" t="str">
        <f>IFERROR(LEFT(O1061, FIND(",", O1061)-1), O1061)</f>
        <v/>
      </c>
      <c r="Q1061" s="303" t="str">
        <f>IFERROR(IF(ISERROR(FIND(",", O1061, FIND(",", O1061)+1)), RIGHT(O1061, LEN(O1061)-FIND(",", O1061)-1), MID(O1061, FIND(",", O1061)+2, FIND(",", O1061, FIND(",", O1061)+1)-FIND(",", O1061)-2)), "")</f>
        <v/>
      </c>
      <c r="R1061" s="303" t="str">
        <f>IFERROR(RIGHT(O1061, LEN(O1061)-FIND(",", O1061, FIND(",", O1061)+1)-1), "")</f>
        <v/>
      </c>
      <c r="S1061" s="35" t="str" cm="1">
        <f t="array" ref="S1061">_xlfn.TEXTJOIN(", ",TRUE,_xlfn._xlws.FILTER(Tabla29[[#All],[PARTE]],ISNUMBER(SEARCH(Tabla29[[#All],[PCLAVE3]],Tabla8[[#This Row],[DESCRIPCION DE TRABAJO]])),""))</f>
        <v/>
      </c>
      <c r="T1061" s="34" t="str">
        <f>IF(AND(Tabla8[[#This Row],[PIEZA]]="",Tabla8[[#This Row],[PARTE]]=""),"VACIO","OK")</f>
        <v>VACIO</v>
      </c>
      <c r="U1061" s="303" t="str">
        <f>+CONCATENATE(WEEKNUM(Tabla8[[#This Row],[FECHA]]),"-",YEAR(Tabla8[[#This Row],[FECHA]]))</f>
        <v>18-2026</v>
      </c>
    </row>
    <row r="1062" spans="1:21" ht="15" customHeight="1">
      <c r="A1062" s="22">
        <v>46140</v>
      </c>
      <c r="B1062" s="16" t="s">
        <v>111</v>
      </c>
      <c r="C1062" s="10" t="s">
        <v>23</v>
      </c>
      <c r="D1062" s="381" t="s">
        <v>2046</v>
      </c>
      <c r="E1062" s="381" t="s">
        <v>268</v>
      </c>
      <c r="F1062" s="380">
        <f>+MOD(Tabla8[[#This Row],[HR. FIN]]-Tabla8[[#This Row],[HR. INICIO]],1)</f>
        <v>1.388888888888884E-2</v>
      </c>
      <c r="G1062" s="16" t="s">
        <v>140</v>
      </c>
      <c r="H1062" s="343" t="str">
        <f>IFERROR(VLOOKUP(G1062,DATOS!$M$2:$N$219,2,FALSE),"")</f>
        <v>Maquinaria</v>
      </c>
      <c r="I1062" s="115" t="s">
        <v>32</v>
      </c>
      <c r="J1062" s="115" t="str">
        <f>+VLOOKUP($I1062,Tabla7[#All],2,FALSE)</f>
        <v>PROGRAMADA</v>
      </c>
      <c r="K1062" s="114" t="str">
        <f>IF(VLOOKUP(I1062,Tabla7[#All],3,FALSE)=0,"",VLOOKUP(I1062,Tabla7[#All],3,FALSE))</f>
        <v/>
      </c>
      <c r="L1062" s="35" t="s">
        <v>449</v>
      </c>
      <c r="M1062" s="35" t="s">
        <v>121</v>
      </c>
      <c r="N1062" s="35" t="str" cm="1">
        <f t="array" ref="N1062">IFERROR(IF(Tabla8[[#This Row],[P/NP]]="NO PROGRAMADA","",_xlfn.TEXTJOIN(", ",TRUE,_xlfn._xlws.FILTER(Tabla4[[#All],[PIEZA]],ISNUMBER(SEARCH(Tabla4[[#All],[PCLAVE]],Tabla8[[#This Row],[DESCRIPCION DE TRABAJO]])),""))),"")</f>
        <v/>
      </c>
      <c r="O1062" s="35" t="str" cm="1">
        <f t="array" ref="O1062">_xlfn.TEXTJOIN(", ",TRUE,_xlfn._xlws.FILTER(Tabla28[[#All],[PARTE]],ISNUMBER(SEARCH(Tabla28[[#All],[PCLAVE2]],Tabla8[[#This Row],[DESCRIPCION DE TRABAJO]])),""))</f>
        <v/>
      </c>
      <c r="P1062" s="303" t="str">
        <f>IFERROR(LEFT(O1062, FIND(",", O1062)-1), O1062)</f>
        <v/>
      </c>
      <c r="Q1062" s="303" t="str">
        <f>IFERROR(IF(ISERROR(FIND(",", O1062, FIND(",", O1062)+1)), RIGHT(O1062, LEN(O1062)-FIND(",", O1062)-1), MID(O1062, FIND(",", O1062)+2, FIND(",", O1062, FIND(",", O1062)+1)-FIND(",", O1062)-2)), "")</f>
        <v/>
      </c>
      <c r="R1062" s="303" t="str">
        <f>IFERROR(RIGHT(O1062, LEN(O1062)-FIND(",", O1062, FIND(",", O1062)+1)-1), "")</f>
        <v/>
      </c>
      <c r="S1062" s="35" t="str" cm="1">
        <f t="array" ref="S1062">_xlfn.TEXTJOIN(", ",TRUE,_xlfn._xlws.FILTER(Tabla29[[#All],[PARTE]],ISNUMBER(SEARCH(Tabla29[[#All],[PCLAVE3]],Tabla8[[#This Row],[DESCRIPCION DE TRABAJO]])),""))</f>
        <v/>
      </c>
      <c r="T1062" s="34" t="str">
        <f>IF(AND(Tabla8[[#This Row],[PIEZA]]="",Tabla8[[#This Row],[PARTE]]=""),"VACIO","OK")</f>
        <v>VACIO</v>
      </c>
      <c r="U1062" s="303" t="str">
        <f>+CONCATENATE(WEEKNUM(Tabla8[[#This Row],[FECHA]]),"-",YEAR(Tabla8[[#This Row],[FECHA]]))</f>
        <v>18-2026</v>
      </c>
    </row>
    <row r="1063" spans="1:21" ht="15" customHeight="1">
      <c r="A1063" s="22">
        <v>46140</v>
      </c>
      <c r="B1063" s="16" t="s">
        <v>111</v>
      </c>
      <c r="C1063" s="10" t="s">
        <v>23</v>
      </c>
      <c r="D1063" s="381" t="s">
        <v>526</v>
      </c>
      <c r="E1063" s="381" t="s">
        <v>2047</v>
      </c>
      <c r="F1063" s="380">
        <f>+MOD(Tabla8[[#This Row],[HR. FIN]]-Tabla8[[#This Row],[HR. INICIO]],1)</f>
        <v>1.388888888888884E-2</v>
      </c>
      <c r="G1063" s="16" t="s">
        <v>169</v>
      </c>
      <c r="H1063" s="343" t="str">
        <f>IFERROR(VLOOKUP(G1063,DATOS!$M$2:$N$219,2,FALSE),"")</f>
        <v>Maquinaria</v>
      </c>
      <c r="I1063" s="115" t="s">
        <v>186</v>
      </c>
      <c r="J1063" s="115" t="str">
        <f>+VLOOKUP($I1063,Tabla7[#All],2,FALSE)</f>
        <v>NO PROGRAMADA</v>
      </c>
      <c r="K1063" s="114" t="s">
        <v>93</v>
      </c>
      <c r="L1063" s="35" t="s">
        <v>2048</v>
      </c>
      <c r="M1063" s="35" t="s">
        <v>2049</v>
      </c>
      <c r="N1063" s="35" t="str" cm="1">
        <f t="array" ref="N1063">IFERROR(IF(Tabla8[[#This Row],[P/NP]]="NO PROGRAMADA","",_xlfn.TEXTJOIN(", ",TRUE,_xlfn._xlws.FILTER(Tabla4[[#All],[PIEZA]],ISNUMBER(SEARCH(Tabla4[[#All],[PCLAVE]],Tabla8[[#This Row],[DESCRIPCION DE TRABAJO]])),""))),"")</f>
        <v/>
      </c>
      <c r="O1063" s="35" t="str" cm="1">
        <f t="array" ref="O1063">_xlfn.TEXTJOIN(", ",TRUE,_xlfn._xlws.FILTER(Tabla28[[#All],[PARTE]],ISNUMBER(SEARCH(Tabla28[[#All],[PCLAVE2]],Tabla8[[#This Row],[DESCRIPCION DE TRABAJO]])),""))</f>
        <v/>
      </c>
      <c r="P1063" s="303" t="str">
        <f>IFERROR(LEFT(O1063, FIND(",", O1063)-1), O1063)</f>
        <v/>
      </c>
      <c r="Q1063" s="303" t="str">
        <f>IFERROR(IF(ISERROR(FIND(",", O1063, FIND(",", O1063)+1)), RIGHT(O1063, LEN(O1063)-FIND(",", O1063)-1), MID(O1063, FIND(",", O1063)+2, FIND(",", O1063, FIND(",", O1063)+1)-FIND(",", O1063)-2)), "")</f>
        <v/>
      </c>
      <c r="R1063" s="303" t="str">
        <f>IFERROR(RIGHT(O1063, LEN(O1063)-FIND(",", O1063, FIND(",", O1063)+1)-1), "")</f>
        <v/>
      </c>
      <c r="S1063" s="35" t="str" cm="1">
        <f t="array" ref="S1063">_xlfn.TEXTJOIN(", ",TRUE,_xlfn._xlws.FILTER(Tabla29[[#All],[PARTE]],ISNUMBER(SEARCH(Tabla29[[#All],[PCLAVE3]],Tabla8[[#This Row],[DESCRIPCION DE TRABAJO]])),""))</f>
        <v/>
      </c>
      <c r="T1063" s="34" t="str">
        <f>IF(AND(Tabla8[[#This Row],[PIEZA]]="",Tabla8[[#This Row],[PARTE]]=""),"VACIO","OK")</f>
        <v>VACIO</v>
      </c>
      <c r="U1063" s="303" t="str">
        <f>+CONCATENATE(WEEKNUM(Tabla8[[#This Row],[FECHA]]),"-",YEAR(Tabla8[[#This Row],[FECHA]]))</f>
        <v>18-2026</v>
      </c>
    </row>
    <row r="1064" spans="1:21" ht="15" customHeight="1">
      <c r="A1064" s="22">
        <v>46140</v>
      </c>
      <c r="B1064" s="16" t="s">
        <v>131</v>
      </c>
      <c r="C1064" s="10" t="s">
        <v>39</v>
      </c>
      <c r="D1064" s="381">
        <v>0.90277777777777779</v>
      </c>
      <c r="E1064" s="381">
        <v>0.91666666666666663</v>
      </c>
      <c r="F1064" s="380">
        <f>+MOD(Tabla8[[#This Row],[HR. FIN]]-Tabla8[[#This Row],[HR. INICIO]],1)</f>
        <v>1.388888888888884E-2</v>
      </c>
      <c r="G1064" s="16" t="s">
        <v>236</v>
      </c>
      <c r="H1064" s="343" t="str">
        <f>IFERROR(VLOOKUP(G1064,DATOS!$M$2:$N$219,2,FALSE),"")</f>
        <v>Sistema</v>
      </c>
      <c r="I1064" s="115" t="s">
        <v>54</v>
      </c>
      <c r="J1064" s="115" t="str">
        <f>+VLOOKUP($I1064,Tabla7[#All],2,FALSE)</f>
        <v>PROGRAMADA</v>
      </c>
      <c r="K1064" s="114" t="str">
        <f>IF(VLOOKUP(I1064,Tabla7[#All],3,FALSE)=0,"",VLOOKUP(I1064,Tabla7[#All],3,FALSE))</f>
        <v/>
      </c>
      <c r="L1064" s="35" t="s">
        <v>2050</v>
      </c>
      <c r="M1064" s="35" t="s">
        <v>2051</v>
      </c>
      <c r="N1064" s="35" t="str" cm="1">
        <f t="array" ref="N1064">IFERROR(IF(Tabla8[[#This Row],[P/NP]]="NO PROGRAMADA","",_xlfn.TEXTJOIN(", ",TRUE,_xlfn._xlws.FILTER(Tabla4[[#All],[PIEZA]],ISNUMBER(SEARCH(Tabla4[[#All],[PCLAVE]],Tabla8[[#This Row],[DESCRIPCION DE TRABAJO]])),""))),"")</f>
        <v/>
      </c>
      <c r="O1064" s="35" t="str" cm="1">
        <f t="array" ref="O1064">_xlfn.TEXTJOIN(", ",TRUE,_xlfn._xlws.FILTER(Tabla28[[#All],[PARTE]],ISNUMBER(SEARCH(Tabla28[[#All],[PCLAVE2]],Tabla8[[#This Row],[DESCRIPCION DE TRABAJO]])),""))</f>
        <v/>
      </c>
      <c r="P1064" s="303" t="str">
        <f>IFERROR(LEFT(O1064, FIND(",", O1064)-1), O1064)</f>
        <v/>
      </c>
      <c r="Q1064" s="303" t="str">
        <f>IFERROR(IF(ISERROR(FIND(",", O1064, FIND(",", O1064)+1)), RIGHT(O1064, LEN(O1064)-FIND(",", O1064)-1), MID(O1064, FIND(",", O1064)+2, FIND(",", O1064, FIND(",", O1064)+1)-FIND(",", O1064)-2)), "")</f>
        <v/>
      </c>
      <c r="R1064" s="303" t="str">
        <f>IFERROR(RIGHT(O1064, LEN(O1064)-FIND(",", O1064, FIND(",", O1064)+1)-1), "")</f>
        <v/>
      </c>
      <c r="S1064" s="35" t="str" cm="1">
        <f t="array" ref="S1064">_xlfn.TEXTJOIN(", ",TRUE,_xlfn._xlws.FILTER(Tabla29[[#All],[PARTE]],ISNUMBER(SEARCH(Tabla29[[#All],[PCLAVE3]],Tabla8[[#This Row],[DESCRIPCION DE TRABAJO]])),""))</f>
        <v/>
      </c>
      <c r="T1064" s="34" t="str">
        <f>IF(AND(Tabla8[[#This Row],[PIEZA]]="",Tabla8[[#This Row],[PARTE]]=""),"VACIO","OK")</f>
        <v>VACIO</v>
      </c>
      <c r="U1064" s="303" t="str">
        <f>+CONCATENATE(WEEKNUM(Tabla8[[#This Row],[FECHA]]),"-",YEAR(Tabla8[[#This Row],[FECHA]]))</f>
        <v>18-2026</v>
      </c>
    </row>
    <row r="1065" spans="1:21" ht="15" customHeight="1">
      <c r="A1065" s="22">
        <v>46140</v>
      </c>
      <c r="B1065" s="16" t="s">
        <v>131</v>
      </c>
      <c r="C1065" s="10" t="s">
        <v>39</v>
      </c>
      <c r="D1065" s="381">
        <v>0.99305555555555558</v>
      </c>
      <c r="E1065" s="381">
        <v>6.9444444444444441E-3</v>
      </c>
      <c r="F1065" s="380">
        <f>+MOD(Tabla8[[#This Row],[HR. FIN]]-Tabla8[[#This Row],[HR. INICIO]],1)</f>
        <v>1.388888888888884E-2</v>
      </c>
      <c r="G1065" s="16" t="s">
        <v>236</v>
      </c>
      <c r="H1065" s="343" t="str">
        <f>IFERROR(VLOOKUP(G1065,DATOS!$M$2:$N$219,2,FALSE),"")</f>
        <v>Sistema</v>
      </c>
      <c r="I1065" s="115" t="s">
        <v>405</v>
      </c>
      <c r="J1065" s="115" t="str">
        <f>+VLOOKUP($I1065,Tabla7[#All],2,FALSE)</f>
        <v>PROGRAMADA</v>
      </c>
      <c r="K1065" s="114" t="str">
        <f>IF(VLOOKUP(I1065,Tabla7[#All],3,FALSE)=0,"",VLOOKUP(I1065,Tabla7[#All],3,FALSE))</f>
        <v/>
      </c>
      <c r="L1065" s="35" t="s">
        <v>2052</v>
      </c>
      <c r="M1065" s="35" t="s">
        <v>2053</v>
      </c>
      <c r="N1065" s="35" t="str" cm="1">
        <f t="array" ref="N1065">IFERROR(IF(Tabla8[[#This Row],[P/NP]]="NO PROGRAMADA","",_xlfn.TEXTJOIN(", ",TRUE,_xlfn._xlws.FILTER(Tabla4[[#All],[PIEZA]],ISNUMBER(SEARCH(Tabla4[[#All],[PCLAVE]],Tabla8[[#This Row],[DESCRIPCION DE TRABAJO]])),""))),"")</f>
        <v/>
      </c>
      <c r="O1065" s="35" t="str" cm="1">
        <f t="array" ref="O1065">_xlfn.TEXTJOIN(", ",TRUE,_xlfn._xlws.FILTER(Tabla28[[#All],[PARTE]],ISNUMBER(SEARCH(Tabla28[[#All],[PCLAVE2]],Tabla8[[#This Row],[DESCRIPCION DE TRABAJO]])),""))</f>
        <v/>
      </c>
      <c r="P1065" s="303" t="str">
        <f>IFERROR(LEFT(O1065, FIND(",", O1065)-1), O1065)</f>
        <v/>
      </c>
      <c r="Q1065" s="303" t="str">
        <f>IFERROR(IF(ISERROR(FIND(",", O1065, FIND(",", O1065)+1)), RIGHT(O1065, LEN(O1065)-FIND(",", O1065)-1), MID(O1065, FIND(",", O1065)+2, FIND(",", O1065, FIND(",", O1065)+1)-FIND(",", O1065)-2)), "")</f>
        <v/>
      </c>
      <c r="R1065" s="303" t="str">
        <f>IFERROR(RIGHT(O1065, LEN(O1065)-FIND(",", O1065, FIND(",", O1065)+1)-1), "")</f>
        <v/>
      </c>
      <c r="S1065" s="35" t="str" cm="1">
        <f t="array" ref="S1065">_xlfn.TEXTJOIN(", ",TRUE,_xlfn._xlws.FILTER(Tabla29[[#All],[PARTE]],ISNUMBER(SEARCH(Tabla29[[#All],[PCLAVE3]],Tabla8[[#This Row],[DESCRIPCION DE TRABAJO]])),""))</f>
        <v>Bajo Nivel, Nivel</v>
      </c>
      <c r="T1065" s="34" t="str">
        <f>IF(AND(Tabla8[[#This Row],[PIEZA]]="",Tabla8[[#This Row],[PARTE]]=""),"VACIO","OK")</f>
        <v>VACIO</v>
      </c>
      <c r="U1065" s="303" t="str">
        <f>+CONCATENATE(WEEKNUM(Tabla8[[#This Row],[FECHA]]),"-",YEAR(Tabla8[[#This Row],[FECHA]]))</f>
        <v>18-2026</v>
      </c>
    </row>
    <row r="1066" spans="1:21" ht="15" customHeight="1">
      <c r="A1066" s="22">
        <v>46140</v>
      </c>
      <c r="B1066" s="16" t="s">
        <v>191</v>
      </c>
      <c r="C1066" s="10" t="s">
        <v>36</v>
      </c>
      <c r="D1066" s="381">
        <v>0.31874999999999998</v>
      </c>
      <c r="E1066" s="381">
        <v>0.33194444444444443</v>
      </c>
      <c r="F1066" s="380">
        <f>+MOD(Tabla8[[#This Row],[HR. FIN]]-Tabla8[[#This Row],[HR. INICIO]],1)</f>
        <v>1.3194444444444453E-2</v>
      </c>
      <c r="G1066" s="16" t="s">
        <v>153</v>
      </c>
      <c r="H1066" s="343" t="str">
        <f>IFERROR(VLOOKUP(G1066,DATOS!$M$2:$N$219,2,FALSE),"")</f>
        <v>Maquinaria</v>
      </c>
      <c r="I1066" s="115" t="s">
        <v>57</v>
      </c>
      <c r="J1066" s="115" t="str">
        <f>+VLOOKUP($I1066,Tabla7[#All],2,FALSE)</f>
        <v>NO PROGRAMADA</v>
      </c>
      <c r="K1066" s="114" t="str">
        <f>IF(VLOOKUP(I1066,Tabla7[#All],3,FALSE)=0,"",VLOOKUP(I1066,Tabla7[#All],3,FALSE))</f>
        <v>MECÁNICA</v>
      </c>
      <c r="L1066" s="35" t="s">
        <v>2054</v>
      </c>
      <c r="M1066" s="35" t="s">
        <v>2055</v>
      </c>
      <c r="N1066" s="35" t="str" cm="1">
        <f t="array" ref="N1066">IFERROR(IF(Tabla8[[#This Row],[P/NP]]="NO PROGRAMADA","",_xlfn.TEXTJOIN(", ",TRUE,_xlfn._xlws.FILTER(Tabla4[[#All],[PIEZA]],ISNUMBER(SEARCH(Tabla4[[#All],[PCLAVE]],Tabla8[[#This Row],[DESCRIPCION DE TRABAJO]])),""))),"")</f>
        <v/>
      </c>
      <c r="O1066" s="35" t="str" cm="1">
        <f t="array" ref="O1066">_xlfn.TEXTJOIN(", ",TRUE,_xlfn._xlws.FILTER(Tabla28[[#All],[PARTE]],ISNUMBER(SEARCH(Tabla28[[#All],[PCLAVE2]],Tabla8[[#This Row],[DESCRIPCION DE TRABAJO]])),""))</f>
        <v/>
      </c>
      <c r="P1066" s="303" t="str">
        <f>IFERROR(LEFT(O1066, FIND(",", O1066)-1), O1066)</f>
        <v/>
      </c>
      <c r="Q1066" s="303" t="str">
        <f>IFERROR(IF(ISERROR(FIND(",", O1066, FIND(",", O1066)+1)), RIGHT(O1066, LEN(O1066)-FIND(",", O1066)-1), MID(O1066, FIND(",", O1066)+2, FIND(",", O1066, FIND(",", O1066)+1)-FIND(",", O1066)-2)), "")</f>
        <v/>
      </c>
      <c r="R1066" s="303" t="str">
        <f>IFERROR(RIGHT(O1066, LEN(O1066)-FIND(",", O1066, FIND(",", O1066)+1)-1), "")</f>
        <v/>
      </c>
      <c r="S1066" s="35" t="str" cm="1">
        <f t="array" ref="S1066">_xlfn.TEXTJOIN(", ",TRUE,_xlfn._xlws.FILTER(Tabla29[[#All],[PARTE]],ISNUMBER(SEARCH(Tabla29[[#All],[PCLAVE3]],Tabla8[[#This Row],[DESCRIPCION DE TRABAJO]])),""))</f>
        <v>Ruido</v>
      </c>
      <c r="T1066" s="34" t="str">
        <f>IF(AND(Tabla8[[#This Row],[PIEZA]]="",Tabla8[[#This Row],[PARTE]]=""),"VACIO","OK")</f>
        <v>VACIO</v>
      </c>
      <c r="U1066" s="303" t="str">
        <f>+CONCATENATE(WEEKNUM(Tabla8[[#This Row],[FECHA]]),"-",YEAR(Tabla8[[#This Row],[FECHA]]))</f>
        <v>18-2026</v>
      </c>
    </row>
    <row r="1067" spans="1:21" ht="15" customHeight="1">
      <c r="A1067" s="22">
        <v>46140</v>
      </c>
      <c r="B1067" s="16" t="s">
        <v>131</v>
      </c>
      <c r="C1067" s="10" t="s">
        <v>39</v>
      </c>
      <c r="D1067" s="381">
        <v>0.16527777777777777</v>
      </c>
      <c r="E1067" s="381">
        <v>0.17708333333333334</v>
      </c>
      <c r="F1067" s="380">
        <f>+MOD(Tabla8[[#This Row],[HR. FIN]]-Tabla8[[#This Row],[HR. INICIO]],1)</f>
        <v>1.1805555555555569E-2</v>
      </c>
      <c r="G1067" s="16" t="s">
        <v>815</v>
      </c>
      <c r="H1067" s="343" t="str">
        <f>IFERROR(VLOOKUP(G1067,DATOS!$M$2:$N$219,2,FALSE),"")</f>
        <v>Maquinaria</v>
      </c>
      <c r="I1067" s="115" t="s">
        <v>54</v>
      </c>
      <c r="J1067" s="115" t="str">
        <f>+VLOOKUP($I1067,Tabla7[#All],2,FALSE)</f>
        <v>PROGRAMADA</v>
      </c>
      <c r="K1067" s="114" t="str">
        <f>IF(VLOOKUP(I1067,Tabla7[#All],3,FALSE)=0,"",VLOOKUP(I1067,Tabla7[#All],3,FALSE))</f>
        <v/>
      </c>
      <c r="L1067" s="35" t="s">
        <v>154</v>
      </c>
      <c r="M1067" s="35" t="s">
        <v>121</v>
      </c>
      <c r="N1067" s="35" t="str" cm="1">
        <f t="array" ref="N1067">IFERROR(IF(Tabla8[[#This Row],[P/NP]]="NO PROGRAMADA","",_xlfn.TEXTJOIN(", ",TRUE,_xlfn._xlws.FILTER(Tabla4[[#All],[PIEZA]],ISNUMBER(SEARCH(Tabla4[[#All],[PCLAVE]],Tabla8[[#This Row],[DESCRIPCION DE TRABAJO]])),""))),"")</f>
        <v/>
      </c>
      <c r="O1067" s="35" t="str" cm="1">
        <f t="array" ref="O1067">_xlfn.TEXTJOIN(", ",TRUE,_xlfn._xlws.FILTER(Tabla28[[#All],[PARTE]],ISNUMBER(SEARCH(Tabla28[[#All],[PCLAVE2]],Tabla8[[#This Row],[DESCRIPCION DE TRABAJO]])),""))</f>
        <v/>
      </c>
      <c r="P1067" s="303" t="str">
        <f>IFERROR(LEFT(O1067, FIND(",", O1067)-1), O1067)</f>
        <v/>
      </c>
      <c r="Q1067" s="303" t="str">
        <f>IFERROR(IF(ISERROR(FIND(",", O1067, FIND(",", O1067)+1)), RIGHT(O1067, LEN(O1067)-FIND(",", O1067)-1), MID(O1067, FIND(",", O1067)+2, FIND(",", O1067, FIND(",", O1067)+1)-FIND(",", O1067)-2)), "")</f>
        <v/>
      </c>
      <c r="R1067" s="303" t="str">
        <f>IFERROR(RIGHT(O1067, LEN(O1067)-FIND(",", O1067, FIND(",", O1067)+1)-1), "")</f>
        <v/>
      </c>
      <c r="S1067" s="35" t="str" cm="1">
        <f t="array" ref="S1067">_xlfn.TEXTJOIN(", ",TRUE,_xlfn._xlws.FILTER(Tabla29[[#All],[PARTE]],ISNUMBER(SEARCH(Tabla29[[#All],[PCLAVE3]],Tabla8[[#This Row],[DESCRIPCION DE TRABAJO]])),""))</f>
        <v/>
      </c>
      <c r="T1067" s="34" t="str">
        <f>IF(AND(Tabla8[[#This Row],[PIEZA]]="",Tabla8[[#This Row],[PARTE]]=""),"VACIO","OK")</f>
        <v>VACIO</v>
      </c>
      <c r="U1067" s="303" t="str">
        <f>+CONCATENATE(WEEKNUM(Tabla8[[#This Row],[FECHA]]),"-",YEAR(Tabla8[[#This Row],[FECHA]]))</f>
        <v>18-2026</v>
      </c>
    </row>
    <row r="1068" spans="1:21" ht="15" customHeight="1">
      <c r="A1068" s="22">
        <v>46140</v>
      </c>
      <c r="B1068" s="16" t="s">
        <v>131</v>
      </c>
      <c r="C1068" s="10" t="s">
        <v>39</v>
      </c>
      <c r="D1068" s="381">
        <v>0.14930555555555555</v>
      </c>
      <c r="E1068" s="381">
        <v>0.16041666666666668</v>
      </c>
      <c r="F1068" s="380">
        <f>+MOD(Tabla8[[#This Row],[HR. FIN]]-Tabla8[[#This Row],[HR. INICIO]],1)</f>
        <v>1.1111111111111127E-2</v>
      </c>
      <c r="G1068" s="16" t="s">
        <v>222</v>
      </c>
      <c r="H1068" s="343" t="str">
        <f>IFERROR(VLOOKUP(G1068,DATOS!$M$2:$N$219,2,FALSE),"")</f>
        <v>Maquinaria</v>
      </c>
      <c r="I1068" s="115" t="s">
        <v>54</v>
      </c>
      <c r="J1068" s="115" t="str">
        <f>+VLOOKUP($I1068,Tabla7[#All],2,FALSE)</f>
        <v>PROGRAMADA</v>
      </c>
      <c r="K1068" s="114" t="str">
        <f>IF(VLOOKUP(I1068,Tabla7[#All],3,FALSE)=0,"",VLOOKUP(I1068,Tabla7[#All],3,FALSE))</f>
        <v/>
      </c>
      <c r="L1068" s="35" t="s">
        <v>821</v>
      </c>
      <c r="M1068" s="35" t="s">
        <v>121</v>
      </c>
      <c r="N1068" s="35" t="str" cm="1">
        <f t="array" ref="N1068">IFERROR(IF(Tabla8[[#This Row],[P/NP]]="NO PROGRAMADA","",_xlfn.TEXTJOIN(", ",TRUE,_xlfn._xlws.FILTER(Tabla4[[#All],[PIEZA]],ISNUMBER(SEARCH(Tabla4[[#All],[PCLAVE]],Tabla8[[#This Row],[DESCRIPCION DE TRABAJO]])),""))),"")</f>
        <v/>
      </c>
      <c r="O1068" s="35" t="str" cm="1">
        <f t="array" ref="O1068">_xlfn.TEXTJOIN(", ",TRUE,_xlfn._xlws.FILTER(Tabla28[[#All],[PARTE]],ISNUMBER(SEARCH(Tabla28[[#All],[PCLAVE2]],Tabla8[[#This Row],[DESCRIPCION DE TRABAJO]])),""))</f>
        <v/>
      </c>
      <c r="P1068" s="303" t="str">
        <f>IFERROR(LEFT(O1068, FIND(",", O1068)-1), O1068)</f>
        <v/>
      </c>
      <c r="Q1068" s="303" t="str">
        <f>IFERROR(IF(ISERROR(FIND(",", O1068, FIND(",", O1068)+1)), RIGHT(O1068, LEN(O1068)-FIND(",", O1068)-1), MID(O1068, FIND(",", O1068)+2, FIND(",", O1068, FIND(",", O1068)+1)-FIND(",", O1068)-2)), "")</f>
        <v/>
      </c>
      <c r="R1068" s="303" t="str">
        <f>IFERROR(RIGHT(O1068, LEN(O1068)-FIND(",", O1068, FIND(",", O1068)+1)-1), "")</f>
        <v/>
      </c>
      <c r="S1068" s="35" t="str" cm="1">
        <f t="array" ref="S1068">_xlfn.TEXTJOIN(", ",TRUE,_xlfn._xlws.FILTER(Tabla29[[#All],[PARTE]],ISNUMBER(SEARCH(Tabla29[[#All],[PCLAVE3]],Tabla8[[#This Row],[DESCRIPCION DE TRABAJO]])),""))</f>
        <v/>
      </c>
      <c r="T1068" s="34" t="str">
        <f>IF(AND(Tabla8[[#This Row],[PIEZA]]="",Tabla8[[#This Row],[PARTE]]=""),"VACIO","OK")</f>
        <v>VACIO</v>
      </c>
      <c r="U1068" s="303" t="str">
        <f>+CONCATENATE(WEEKNUM(Tabla8[[#This Row],[FECHA]]),"-",YEAR(Tabla8[[#This Row],[FECHA]]))</f>
        <v>18-2026</v>
      </c>
    </row>
    <row r="1069" spans="1:21" ht="15" customHeight="1">
      <c r="A1069" s="22">
        <v>46140</v>
      </c>
      <c r="B1069" s="16" t="s">
        <v>191</v>
      </c>
      <c r="C1069" s="10" t="s">
        <v>36</v>
      </c>
      <c r="D1069" s="381">
        <v>0.23472222222222222</v>
      </c>
      <c r="E1069" s="381">
        <v>0.24444444444444444</v>
      </c>
      <c r="F1069" s="380">
        <f>+MOD(Tabla8[[#This Row],[HR. FIN]]-Tabla8[[#This Row],[HR. INICIO]],1)</f>
        <v>9.7222222222222154E-3</v>
      </c>
      <c r="G1069" s="16" t="s">
        <v>215</v>
      </c>
      <c r="H1069" s="343" t="str">
        <f>IFERROR(VLOOKUP(G1069,DATOS!$M$2:$N$219,2,FALSE),"")</f>
        <v>Equipos auxiliares</v>
      </c>
      <c r="I1069" s="115" t="s">
        <v>54</v>
      </c>
      <c r="J1069" s="115" t="str">
        <f>+VLOOKUP($I1069,Tabla7[#All],2,FALSE)</f>
        <v>PROGRAMADA</v>
      </c>
      <c r="K1069" s="114" t="str">
        <f>IF(VLOOKUP(I1069,Tabla7[#All],3,FALSE)=0,"",VLOOKUP(I1069,Tabla7[#All],3,FALSE))</f>
        <v/>
      </c>
      <c r="L1069" s="35" t="s">
        <v>248</v>
      </c>
      <c r="M1069" s="35" t="s">
        <v>121</v>
      </c>
      <c r="N1069" s="35" t="str" cm="1">
        <f t="array" ref="N1069">IFERROR(IF(Tabla8[[#This Row],[P/NP]]="NO PROGRAMADA","",_xlfn.TEXTJOIN(", ",TRUE,_xlfn._xlws.FILTER(Tabla4[[#All],[PIEZA]],ISNUMBER(SEARCH(Tabla4[[#All],[PCLAVE]],Tabla8[[#This Row],[DESCRIPCION DE TRABAJO]])),""))),"")</f>
        <v/>
      </c>
      <c r="O1069" s="35" t="str" cm="1">
        <f t="array" ref="O1069">_xlfn.TEXTJOIN(", ",TRUE,_xlfn._xlws.FILTER(Tabla28[[#All],[PARTE]],ISNUMBER(SEARCH(Tabla28[[#All],[PCLAVE2]],Tabla8[[#This Row],[DESCRIPCION DE TRABAJO]])),""))</f>
        <v/>
      </c>
      <c r="P1069" s="303" t="str">
        <f>IFERROR(LEFT(O1069, FIND(",", O1069)-1), O1069)</f>
        <v/>
      </c>
      <c r="Q1069" s="303" t="str">
        <f>IFERROR(IF(ISERROR(FIND(",", O1069, FIND(",", O1069)+1)), RIGHT(O1069, LEN(O1069)-FIND(",", O1069)-1), MID(O1069, FIND(",", O1069)+2, FIND(",", O1069, FIND(",", O1069)+1)-FIND(",", O1069)-2)), "")</f>
        <v/>
      </c>
      <c r="R1069" s="303" t="str">
        <f>IFERROR(RIGHT(O1069, LEN(O1069)-FIND(",", O1069, FIND(",", O1069)+1)-1), "")</f>
        <v/>
      </c>
      <c r="S1069" s="35" t="str" cm="1">
        <f t="array" ref="S1069">_xlfn.TEXTJOIN(", ",TRUE,_xlfn._xlws.FILTER(Tabla29[[#All],[PARTE]],ISNUMBER(SEARCH(Tabla29[[#All],[PCLAVE3]],Tabla8[[#This Row],[DESCRIPCION DE TRABAJO]])),""))</f>
        <v/>
      </c>
      <c r="T1069" s="34" t="str">
        <f>IF(AND(Tabla8[[#This Row],[PIEZA]]="",Tabla8[[#This Row],[PARTE]]=""),"VACIO","OK")</f>
        <v>VACIO</v>
      </c>
      <c r="U1069" s="303" t="str">
        <f>+CONCATENATE(WEEKNUM(Tabla8[[#This Row],[FECHA]]),"-",YEAR(Tabla8[[#This Row],[FECHA]]))</f>
        <v>18-2026</v>
      </c>
    </row>
    <row r="1070" spans="1:21" ht="15" customHeight="1">
      <c r="A1070" s="22">
        <v>46141</v>
      </c>
      <c r="B1070" s="16" t="s">
        <v>179</v>
      </c>
      <c r="C1070" s="10" t="s">
        <v>23</v>
      </c>
      <c r="D1070" s="381" t="s">
        <v>493</v>
      </c>
      <c r="E1070" s="381" t="s">
        <v>515</v>
      </c>
      <c r="F1070" s="380">
        <f>+MOD(Tabla8[[#This Row],[HR. FIN]]-Tabla8[[#This Row],[HR. INICIO]],1)</f>
        <v>5.555555555555558E-2</v>
      </c>
      <c r="G1070" s="16" t="s">
        <v>182</v>
      </c>
      <c r="H1070" s="343" t="str">
        <f>IFERROR(VLOOKUP(G1070,DATOS!$M$2:$N$219,2,FALSE),"")</f>
        <v>Maquinaria</v>
      </c>
      <c r="I1070" s="115" t="s">
        <v>32</v>
      </c>
      <c r="J1070" s="115" t="str">
        <f>+VLOOKUP($I1070,Tabla7[#All],2,FALSE)</f>
        <v>PROGRAMADA</v>
      </c>
      <c r="K1070" s="114" t="str">
        <f>IF(VLOOKUP(I1070,Tabla7[#All],3,FALSE)=0,"",VLOOKUP(I1070,Tabla7[#All],3,FALSE))</f>
        <v/>
      </c>
      <c r="L1070" s="35" t="s">
        <v>2056</v>
      </c>
      <c r="M1070" s="35" t="s">
        <v>121</v>
      </c>
      <c r="N1070" s="35" t="str" cm="1">
        <f t="array" ref="N1070">IFERROR(IF(Tabla8[[#This Row],[P/NP]]="NO PROGRAMADA","",_xlfn.TEXTJOIN(", ",TRUE,_xlfn._xlws.FILTER(Tabla4[[#All],[PIEZA]],ISNUMBER(SEARCH(Tabla4[[#All],[PCLAVE]],Tabla8[[#This Row],[DESCRIPCION DE TRABAJO]])),""))),"")</f>
        <v/>
      </c>
      <c r="O1070" s="35" t="str" cm="1">
        <f t="array" ref="O1070">_xlfn.TEXTJOIN(", ",TRUE,_xlfn._xlws.FILTER(Tabla28[[#All],[PARTE]],ISNUMBER(SEARCH(Tabla28[[#All],[PCLAVE2]],Tabla8[[#This Row],[DESCRIPCION DE TRABAJO]])),""))</f>
        <v/>
      </c>
      <c r="P1070" s="303" t="str">
        <f>IFERROR(LEFT(O1070, FIND(",", O1070)-1), O1070)</f>
        <v/>
      </c>
      <c r="Q1070" s="303" t="str">
        <f>IFERROR(IF(ISERROR(FIND(",", O1070, FIND(",", O1070)+1)), RIGHT(O1070, LEN(O1070)-FIND(",", O1070)-1), MID(O1070, FIND(",", O1070)+2, FIND(",", O1070, FIND(",", O1070)+1)-FIND(",", O1070)-2)), "")</f>
        <v/>
      </c>
      <c r="R1070" s="303" t="str">
        <f>IFERROR(RIGHT(O1070, LEN(O1070)-FIND(",", O1070, FIND(",", O1070)+1)-1), "")</f>
        <v/>
      </c>
      <c r="S1070" s="35" t="str" cm="1">
        <f t="array" ref="S1070">_xlfn.TEXTJOIN(", ",TRUE,_xlfn._xlws.FILTER(Tabla29[[#All],[PARTE]],ISNUMBER(SEARCH(Tabla29[[#All],[PCLAVE3]],Tabla8[[#This Row],[DESCRIPCION DE TRABAJO]])),""))</f>
        <v>Cambio De Formato</v>
      </c>
      <c r="T1070" s="34" t="str">
        <f>IF(AND(Tabla8[[#This Row],[PIEZA]]="",Tabla8[[#This Row],[PARTE]]=""),"VACIO","OK")</f>
        <v>VACIO</v>
      </c>
      <c r="U1070" s="303" t="str">
        <f>+CONCATENATE(WEEKNUM(Tabla8[[#This Row],[FECHA]]),"-",YEAR(Tabla8[[#This Row],[FECHA]]))</f>
        <v>18-2026</v>
      </c>
    </row>
    <row r="1071" spans="1:21" ht="15" customHeight="1">
      <c r="A1071" s="22">
        <v>46141</v>
      </c>
      <c r="B1071" s="16" t="s">
        <v>88</v>
      </c>
      <c r="C1071" s="10" t="s">
        <v>36</v>
      </c>
      <c r="D1071" s="381" t="s">
        <v>403</v>
      </c>
      <c r="E1071" s="381" t="s">
        <v>404</v>
      </c>
      <c r="F1071" s="380">
        <f>+MOD(Tabla8[[#This Row],[HR. FIN]]-Tabla8[[#This Row],[HR. INICIO]],1)</f>
        <v>4.166666666666663E-2</v>
      </c>
      <c r="G1071" s="16" t="s">
        <v>328</v>
      </c>
      <c r="H1071" s="343" t="str">
        <f>IFERROR(VLOOKUP(G1071,DATOS!$M$2:$N$219,2,FALSE),"")</f>
        <v>Area</v>
      </c>
      <c r="I1071" s="115" t="s">
        <v>32</v>
      </c>
      <c r="J1071" s="115" t="str">
        <f>+VLOOKUP($I1071,Tabla7[#All],2,FALSE)</f>
        <v>PROGRAMADA</v>
      </c>
      <c r="K1071" s="114" t="str">
        <f>IF(VLOOKUP(I1071,Tabla7[#All],3,FALSE)=0,"",VLOOKUP(I1071,Tabla7[#All],3,FALSE))</f>
        <v/>
      </c>
      <c r="L1071" s="35" t="s">
        <v>2057</v>
      </c>
      <c r="M1071" s="35" t="s">
        <v>2058</v>
      </c>
      <c r="N1071" s="35" t="str" cm="1">
        <f t="array" ref="N1071">IFERROR(IF(Tabla8[[#This Row],[P/NP]]="NO PROGRAMADA","",_xlfn.TEXTJOIN(", ",TRUE,_xlfn._xlws.FILTER(Tabla4[[#All],[PIEZA]],ISNUMBER(SEARCH(Tabla4[[#All],[PCLAVE]],Tabla8[[#This Row],[DESCRIPCION DE TRABAJO]])),""))),"")</f>
        <v>Husillo, Husillo</v>
      </c>
      <c r="O1071" s="35" t="str" cm="1">
        <f t="array" ref="O1071">_xlfn.TEXTJOIN(", ",TRUE,_xlfn._xlws.FILTER(Tabla28[[#All],[PARTE]],ISNUMBER(SEARCH(Tabla28[[#All],[PCLAVE2]],Tabla8[[#This Row],[DESCRIPCION DE TRABAJO]])),""))</f>
        <v>Mds</v>
      </c>
      <c r="P1071" s="303" t="str">
        <f>IFERROR(LEFT(O1071, FIND(",", O1071)-1), O1071)</f>
        <v>Mds</v>
      </c>
      <c r="Q1071" s="303" t="str">
        <f>IFERROR(IF(ISERROR(FIND(",", O1071, FIND(",", O1071)+1)), RIGHT(O1071, LEN(O1071)-FIND(",", O1071)-1), MID(O1071, FIND(",", O1071)+2, FIND(",", O1071, FIND(",", O1071)+1)-FIND(",", O1071)-2)), "")</f>
        <v/>
      </c>
      <c r="R1071" s="303" t="str">
        <f>IFERROR(RIGHT(O1071, LEN(O1071)-FIND(",", O1071, FIND(",", O1071)+1)-1), "")</f>
        <v/>
      </c>
      <c r="S1071" s="35" t="str" cm="1">
        <f t="array" ref="S1071">_xlfn.TEXTJOIN(", ",TRUE,_xlfn._xlws.FILTER(Tabla29[[#All],[PARTE]],ISNUMBER(SEARCH(Tabla29[[#All],[PCLAVE3]],Tabla8[[#This Row],[DESCRIPCION DE TRABAJO]])),""))</f>
        <v>Amarrado, Obstruido</v>
      </c>
      <c r="T1071" s="34" t="str">
        <f>IF(AND(Tabla8[[#This Row],[PIEZA]]="",Tabla8[[#This Row],[PARTE]]=""),"VACIO","OK")</f>
        <v>OK</v>
      </c>
      <c r="U1071" s="303" t="str">
        <f>+CONCATENATE(WEEKNUM(Tabla8[[#This Row],[FECHA]]),"-",YEAR(Tabla8[[#This Row],[FECHA]]))</f>
        <v>18-2026</v>
      </c>
    </row>
    <row r="1072" spans="1:21" ht="15" customHeight="1">
      <c r="A1072" s="22">
        <v>46141</v>
      </c>
      <c r="B1072" s="16" t="s">
        <v>88</v>
      </c>
      <c r="C1072" s="10" t="s">
        <v>36</v>
      </c>
      <c r="D1072" s="381" t="s">
        <v>127</v>
      </c>
      <c r="E1072" s="381" t="s">
        <v>1529</v>
      </c>
      <c r="F1072" s="380">
        <f>+MOD(Tabla8[[#This Row],[HR. FIN]]-Tabla8[[#This Row],[HR. INICIO]],1)</f>
        <v>3.125E-2</v>
      </c>
      <c r="G1072" s="16" t="s">
        <v>328</v>
      </c>
      <c r="H1072" s="343" t="str">
        <f>IFERROR(VLOOKUP(G1072,DATOS!$M$2:$N$219,2,FALSE),"")</f>
        <v>Area</v>
      </c>
      <c r="I1072" s="115" t="s">
        <v>61</v>
      </c>
      <c r="J1072" s="115" t="str">
        <f>+VLOOKUP($I1072,Tabla7[#All],2,FALSE)</f>
        <v>PROGRAMADA</v>
      </c>
      <c r="K1072" s="114" t="str">
        <f>IF(VLOOKUP(I1072,Tabla7[#All],3,FALSE)=0,"",VLOOKUP(I1072,Tabla7[#All],3,FALSE))</f>
        <v/>
      </c>
      <c r="L1072" s="35" t="s">
        <v>2059</v>
      </c>
      <c r="M1072" s="35" t="s">
        <v>2060</v>
      </c>
      <c r="N1072" s="35" t="str" cm="1">
        <f t="array" ref="N1072">IFERROR(IF(Tabla8[[#This Row],[P/NP]]="NO PROGRAMADA","",_xlfn.TEXTJOIN(", ",TRUE,_xlfn._xlws.FILTER(Tabla4[[#All],[PIEZA]],ISNUMBER(SEARCH(Tabla4[[#All],[PCLAVE]],Tabla8[[#This Row],[DESCRIPCION DE TRABAJO]])),""))),"")</f>
        <v/>
      </c>
      <c r="O1072" s="35" t="str" cm="1">
        <f t="array" ref="O1072">_xlfn.TEXTJOIN(", ",TRUE,_xlfn._xlws.FILTER(Tabla28[[#All],[PARTE]],ISNUMBER(SEARCH(Tabla28[[#All],[PCLAVE2]],Tabla8[[#This Row],[DESCRIPCION DE TRABAJO]])),""))</f>
        <v/>
      </c>
      <c r="P1072" s="303" t="str">
        <f>IFERROR(LEFT(O1072, FIND(",", O1072)-1), O1072)</f>
        <v/>
      </c>
      <c r="Q1072" s="303" t="str">
        <f>IFERROR(IF(ISERROR(FIND(",", O1072, FIND(",", O1072)+1)), RIGHT(O1072, LEN(O1072)-FIND(",", O1072)-1), MID(O1072, FIND(",", O1072)+2, FIND(",", O1072, FIND(",", O1072)+1)-FIND(",", O1072)-2)), "")</f>
        <v/>
      </c>
      <c r="R1072" s="303" t="str">
        <f>IFERROR(RIGHT(O1072, LEN(O1072)-FIND(",", O1072, FIND(",", O1072)+1)-1), "")</f>
        <v/>
      </c>
      <c r="S1072" s="35" t="str" cm="1">
        <f t="array" ref="S1072">_xlfn.TEXTJOIN(", ",TRUE,_xlfn._xlws.FILTER(Tabla29[[#All],[PARTE]],ISNUMBER(SEARCH(Tabla29[[#All],[PCLAVE3]],Tabla8[[#This Row],[DESCRIPCION DE TRABAJO]])),""))</f>
        <v/>
      </c>
      <c r="T1072" s="34" t="str">
        <f>IF(AND(Tabla8[[#This Row],[PIEZA]]="",Tabla8[[#This Row],[PARTE]]=""),"VACIO","OK")</f>
        <v>VACIO</v>
      </c>
      <c r="U1072" s="303" t="str">
        <f>+CONCATENATE(WEEKNUM(Tabla8[[#This Row],[FECHA]]),"-",YEAR(Tabla8[[#This Row],[FECHA]]))</f>
        <v>18-2026</v>
      </c>
    </row>
    <row r="1073" spans="1:21" ht="15" customHeight="1">
      <c r="A1073" s="22">
        <v>46141</v>
      </c>
      <c r="B1073" s="16" t="s">
        <v>179</v>
      </c>
      <c r="C1073" s="10" t="s">
        <v>23</v>
      </c>
      <c r="D1073" s="381" t="s">
        <v>2061</v>
      </c>
      <c r="E1073" s="381" t="s">
        <v>107</v>
      </c>
      <c r="F1073" s="380">
        <f>+MOD(Tabla8[[#This Row],[HR. FIN]]-Tabla8[[#This Row],[HR. INICIO]],1)</f>
        <v>2.777777777777779E-2</v>
      </c>
      <c r="G1073" s="16" t="s">
        <v>119</v>
      </c>
      <c r="H1073" s="343" t="str">
        <f>IFERROR(VLOOKUP(G1073,DATOS!$M$2:$N$219,2,FALSE),"")</f>
        <v>Maquinaria</v>
      </c>
      <c r="I1073" s="115" t="s">
        <v>32</v>
      </c>
      <c r="J1073" s="115" t="str">
        <f>+VLOOKUP($I1073,Tabla7[#All],2,FALSE)</f>
        <v>PROGRAMADA</v>
      </c>
      <c r="K1073" s="114" t="str">
        <f>IF(VLOOKUP(I1073,Tabla7[#All],3,FALSE)=0,"",VLOOKUP(I1073,Tabla7[#All],3,FALSE))</f>
        <v/>
      </c>
      <c r="L1073" s="35" t="s">
        <v>2062</v>
      </c>
      <c r="M1073" s="35" t="s">
        <v>121</v>
      </c>
      <c r="N1073" s="35" t="str" cm="1">
        <f t="array" ref="N1073">IFERROR(IF(Tabla8[[#This Row],[P/NP]]="NO PROGRAMADA","",_xlfn.TEXTJOIN(", ",TRUE,_xlfn._xlws.FILTER(Tabla4[[#All],[PIEZA]],ISNUMBER(SEARCH(Tabla4[[#All],[PCLAVE]],Tabla8[[#This Row],[DESCRIPCION DE TRABAJO]])),""))),"")</f>
        <v/>
      </c>
      <c r="O1073" s="35" t="str" cm="1">
        <f t="array" ref="O1073">_xlfn.TEXTJOIN(", ",TRUE,_xlfn._xlws.FILTER(Tabla28[[#All],[PARTE]],ISNUMBER(SEARCH(Tabla28[[#All],[PCLAVE2]],Tabla8[[#This Row],[DESCRIPCION DE TRABAJO]])),""))</f>
        <v>Mds</v>
      </c>
      <c r="P1073" s="303" t="str">
        <f>IFERROR(LEFT(O1073, FIND(",", O1073)-1), O1073)</f>
        <v>Mds</v>
      </c>
      <c r="Q1073" s="303" t="str">
        <f>IFERROR(IF(ISERROR(FIND(",", O1073, FIND(",", O1073)+1)), RIGHT(O1073, LEN(O1073)-FIND(",", O1073)-1), MID(O1073, FIND(",", O1073)+2, FIND(",", O1073, FIND(",", O1073)+1)-FIND(",", O1073)-2)), "")</f>
        <v/>
      </c>
      <c r="R1073" s="303" t="str">
        <f>IFERROR(RIGHT(O1073, LEN(O1073)-FIND(",", O1073, FIND(",", O1073)+1)-1), "")</f>
        <v/>
      </c>
      <c r="S1073" s="35" t="str" cm="1">
        <f t="array" ref="S1073">_xlfn.TEXTJOIN(", ",TRUE,_xlfn._xlws.FILTER(Tabla29[[#All],[PARTE]],ISNUMBER(SEARCH(Tabla29[[#All],[PCLAVE3]],Tabla8[[#This Row],[DESCRIPCION DE TRABAJO]])),""))</f>
        <v/>
      </c>
      <c r="T1073" s="34" t="str">
        <f>IF(AND(Tabla8[[#This Row],[PIEZA]]="",Tabla8[[#This Row],[PARTE]]=""),"VACIO","OK")</f>
        <v>OK</v>
      </c>
      <c r="U1073" s="303" t="str">
        <f>+CONCATENATE(WEEKNUM(Tabla8[[#This Row],[FECHA]]),"-",YEAR(Tabla8[[#This Row],[FECHA]]))</f>
        <v>18-2026</v>
      </c>
    </row>
    <row r="1074" spans="1:21" ht="15" customHeight="1">
      <c r="A1074" s="22">
        <v>46141</v>
      </c>
      <c r="B1074" s="16" t="s">
        <v>131</v>
      </c>
      <c r="C1074" s="10" t="s">
        <v>39</v>
      </c>
      <c r="D1074" s="381" t="s">
        <v>1492</v>
      </c>
      <c r="E1074" s="381" t="s">
        <v>1264</v>
      </c>
      <c r="F1074" s="380">
        <f>+MOD(Tabla8[[#This Row],[HR. FIN]]-Tabla8[[#This Row],[HR. INICIO]],1)</f>
        <v>2.2916666666666665E-2</v>
      </c>
      <c r="G1074" s="16" t="s">
        <v>128</v>
      </c>
      <c r="H1074" s="343" t="str">
        <f>IFERROR(VLOOKUP(G1074,DATOS!$M$2:$N$219,2,FALSE),"")</f>
        <v>Maquinaria</v>
      </c>
      <c r="I1074" s="115" t="s">
        <v>57</v>
      </c>
      <c r="J1074" s="115" t="str">
        <f>+VLOOKUP($I1074,Tabla7[#All],2,FALSE)</f>
        <v>NO PROGRAMADA</v>
      </c>
      <c r="K1074" s="114" t="str">
        <f>IF(VLOOKUP(I1074,Tabla7[#All],3,FALSE)=0,"",VLOOKUP(I1074,Tabla7[#All],3,FALSE))</f>
        <v>MECÁNICA</v>
      </c>
      <c r="L1074" s="35" t="s">
        <v>2063</v>
      </c>
      <c r="M1074" s="35" t="s">
        <v>2064</v>
      </c>
      <c r="N1074" s="35" t="str" cm="1">
        <f t="array" ref="N1074">IFERROR(IF(Tabla8[[#This Row],[P/NP]]="NO PROGRAMADA","",_xlfn.TEXTJOIN(", ",TRUE,_xlfn._xlws.FILTER(Tabla4[[#All],[PIEZA]],ISNUMBER(SEARCH(Tabla4[[#All],[PCLAVE]],Tabla8[[#This Row],[DESCRIPCION DE TRABAJO]])),""))),"")</f>
        <v/>
      </c>
      <c r="O1074" s="35" t="str" cm="1">
        <f t="array" ref="O1074">_xlfn.TEXTJOIN(", ",TRUE,_xlfn._xlws.FILTER(Tabla28[[#All],[PARTE]],ISNUMBER(SEARCH(Tabla28[[#All],[PCLAVE2]],Tabla8[[#This Row],[DESCRIPCION DE TRABAJO]])),""))</f>
        <v/>
      </c>
      <c r="P1074" s="303" t="str">
        <f>IFERROR(LEFT(O1074, FIND(",", O1074)-1), O1074)</f>
        <v/>
      </c>
      <c r="Q1074" s="303" t="str">
        <f>IFERROR(IF(ISERROR(FIND(",", O1074, FIND(",", O1074)+1)), RIGHT(O1074, LEN(O1074)-FIND(",", O1074)-1), MID(O1074, FIND(",", O1074)+2, FIND(",", O1074, FIND(",", O1074)+1)-FIND(",", O1074)-2)), "")</f>
        <v/>
      </c>
      <c r="R1074" s="303" t="str">
        <f>IFERROR(RIGHT(O1074, LEN(O1074)-FIND(",", O1074, FIND(",", O1074)+1)-1), "")</f>
        <v/>
      </c>
      <c r="S1074" s="35" t="str" cm="1">
        <f t="array" ref="S1074">_xlfn.TEXTJOIN(", ",TRUE,_xlfn._xlws.FILTER(Tabla29[[#All],[PARTE]],ISNUMBER(SEARCH(Tabla29[[#All],[PCLAVE3]],Tabla8[[#This Row],[DESCRIPCION DE TRABAJO]])),""))</f>
        <v>Rotura, Sellado</v>
      </c>
      <c r="T1074" s="34" t="str">
        <f>IF(AND(Tabla8[[#This Row],[PIEZA]]="",Tabla8[[#This Row],[PARTE]]=""),"VACIO","OK")</f>
        <v>VACIO</v>
      </c>
      <c r="U1074" s="303" t="str">
        <f>+CONCATENATE(WEEKNUM(Tabla8[[#This Row],[FECHA]]),"-",YEAR(Tabla8[[#This Row],[FECHA]]))</f>
        <v>18-2026</v>
      </c>
    </row>
    <row r="1075" spans="1:21" ht="15" customHeight="1">
      <c r="A1075" s="22">
        <v>46141</v>
      </c>
      <c r="B1075" s="16" t="s">
        <v>88</v>
      </c>
      <c r="C1075" s="10" t="s">
        <v>36</v>
      </c>
      <c r="D1075" s="381" t="s">
        <v>1529</v>
      </c>
      <c r="E1075" s="381" t="s">
        <v>408</v>
      </c>
      <c r="F1075" s="380">
        <f>+MOD(Tabla8[[#This Row],[HR. FIN]]-Tabla8[[#This Row],[HR. INICIO]],1)</f>
        <v>2.083333333333337E-2</v>
      </c>
      <c r="G1075" s="16" t="s">
        <v>1305</v>
      </c>
      <c r="H1075" s="343" t="str">
        <f>IFERROR(VLOOKUP(G1075,DATOS!$M$2:$N$219,2,FALSE),"")</f>
        <v>Area</v>
      </c>
      <c r="I1075" s="115" t="s">
        <v>25</v>
      </c>
      <c r="J1075" s="115" t="str">
        <f>+VLOOKUP($I1075,Tabla7[#All],2,FALSE)</f>
        <v>PROGRAMADA</v>
      </c>
      <c r="K1075" s="114" t="str">
        <f>IF(VLOOKUP(I1075,Tabla7[#All],3,FALSE)=0,"",VLOOKUP(I1075,Tabla7[#All],3,FALSE))</f>
        <v/>
      </c>
      <c r="L1075" s="35" t="s">
        <v>2065</v>
      </c>
      <c r="M1075" s="35" t="s">
        <v>2066</v>
      </c>
      <c r="N1075" s="35" t="str" cm="1">
        <f t="array" ref="N1075">IFERROR(IF(Tabla8[[#This Row],[P/NP]]="NO PROGRAMADA","",_xlfn.TEXTJOIN(", ",TRUE,_xlfn._xlws.FILTER(Tabla4[[#All],[PIEZA]],ISNUMBER(SEARCH(Tabla4[[#All],[PCLAVE]],Tabla8[[#This Row],[DESCRIPCION DE TRABAJO]])),""))),"")</f>
        <v/>
      </c>
      <c r="O1075" s="35" t="str" cm="1">
        <f t="array" ref="O1075">_xlfn.TEXTJOIN(", ",TRUE,_xlfn._xlws.FILTER(Tabla28[[#All],[PARTE]],ISNUMBER(SEARCH(Tabla28[[#All],[PCLAVE2]],Tabla8[[#This Row],[DESCRIPCION DE TRABAJO]])),""))</f>
        <v/>
      </c>
      <c r="P1075" s="303" t="str">
        <f>IFERROR(LEFT(O1075, FIND(",", O1075)-1), O1075)</f>
        <v/>
      </c>
      <c r="Q1075" s="303" t="str">
        <f>IFERROR(IF(ISERROR(FIND(",", O1075, FIND(",", O1075)+1)), RIGHT(O1075, LEN(O1075)-FIND(",", O1075)-1), MID(O1075, FIND(",", O1075)+2, FIND(",", O1075, FIND(",", O1075)+1)-FIND(",", O1075)-2)), "")</f>
        <v/>
      </c>
      <c r="R1075" s="303" t="str">
        <f>IFERROR(RIGHT(O1075, LEN(O1075)-FIND(",", O1075, FIND(",", O1075)+1)-1), "")</f>
        <v/>
      </c>
      <c r="S1075" s="35" t="str" cm="1">
        <f t="array" ref="S1075">_xlfn.TEXTJOIN(", ",TRUE,_xlfn._xlws.FILTER(Tabla29[[#All],[PARTE]],ISNUMBER(SEARCH(Tabla29[[#All],[PCLAVE3]],Tabla8[[#This Row],[DESCRIPCION DE TRABAJO]])),""))</f>
        <v>Calibracion</v>
      </c>
      <c r="T1075" s="34" t="str">
        <f>IF(AND(Tabla8[[#This Row],[PIEZA]]="",Tabla8[[#This Row],[PARTE]]=""),"VACIO","OK")</f>
        <v>VACIO</v>
      </c>
      <c r="U1075" s="303" t="str">
        <f>+CONCATENATE(WEEKNUM(Tabla8[[#This Row],[FECHA]]),"-",YEAR(Tabla8[[#This Row],[FECHA]]))</f>
        <v>18-2026</v>
      </c>
    </row>
    <row r="1076" spans="1:21" ht="15" customHeight="1">
      <c r="A1076" s="22">
        <v>46141</v>
      </c>
      <c r="B1076" s="16" t="s">
        <v>179</v>
      </c>
      <c r="C1076" s="10" t="s">
        <v>36</v>
      </c>
      <c r="D1076" s="381" t="s">
        <v>139</v>
      </c>
      <c r="E1076" s="381" t="s">
        <v>686</v>
      </c>
      <c r="F1076" s="380">
        <f>+MOD(Tabla8[[#This Row],[HR. FIN]]-Tabla8[[#This Row],[HR. INICIO]],1)</f>
        <v>2.083333333333337E-2</v>
      </c>
      <c r="G1076" s="16" t="s">
        <v>996</v>
      </c>
      <c r="H1076" s="343" t="str">
        <f>IFERROR(VLOOKUP(G1076,DATOS!$M$2:$N$219,2,FALSE),"")</f>
        <v>Area</v>
      </c>
      <c r="I1076" s="115" t="s">
        <v>186</v>
      </c>
      <c r="J1076" s="115" t="str">
        <f>+VLOOKUP($I1076,Tabla7[#All],2,FALSE)</f>
        <v>NO PROGRAMADA</v>
      </c>
      <c r="K1076" s="114" t="s">
        <v>93</v>
      </c>
      <c r="L1076" s="35" t="s">
        <v>2067</v>
      </c>
      <c r="M1076" s="35" t="s">
        <v>2068</v>
      </c>
      <c r="N1076" s="35" t="str" cm="1">
        <f t="array" ref="N1076">IFERROR(IF(Tabla8[[#This Row],[P/NP]]="NO PROGRAMADA","",_xlfn.TEXTJOIN(", ",TRUE,_xlfn._xlws.FILTER(Tabla4[[#All],[PIEZA]],ISNUMBER(SEARCH(Tabla4[[#All],[PCLAVE]],Tabla8[[#This Row],[DESCRIPCION DE TRABAJO]])),""))),"")</f>
        <v/>
      </c>
      <c r="O1076" s="35" t="str" cm="1">
        <f t="array" ref="O1076">_xlfn.TEXTJOIN(", ",TRUE,_xlfn._xlws.FILTER(Tabla28[[#All],[PARTE]],ISNUMBER(SEARCH(Tabla28[[#All],[PCLAVE2]],Tabla8[[#This Row],[DESCRIPCION DE TRABAJO]])),""))</f>
        <v/>
      </c>
      <c r="P1076" s="303" t="str">
        <f>IFERROR(LEFT(O1076, FIND(",", O1076)-1), O1076)</f>
        <v/>
      </c>
      <c r="Q1076" s="303" t="str">
        <f>IFERROR(IF(ISERROR(FIND(",", O1076, FIND(",", O1076)+1)), RIGHT(O1076, LEN(O1076)-FIND(",", O1076)-1), MID(O1076, FIND(",", O1076)+2, FIND(",", O1076, FIND(",", O1076)+1)-FIND(",", O1076)-2)), "")</f>
        <v/>
      </c>
      <c r="R1076" s="303" t="str">
        <f>IFERROR(RIGHT(O1076, LEN(O1076)-FIND(",", O1076, FIND(",", O1076)+1)-1), "")</f>
        <v/>
      </c>
      <c r="S1076" s="35" t="str" cm="1">
        <f t="array" ref="S1076">_xlfn.TEXTJOIN(", ",TRUE,_xlfn._xlws.FILTER(Tabla29[[#All],[PARTE]],ISNUMBER(SEARCH(Tabla29[[#All],[PCLAVE3]],Tabla8[[#This Row],[DESCRIPCION DE TRABAJO]])),""))</f>
        <v>Rotura</v>
      </c>
      <c r="T1076" s="34" t="str">
        <f>IF(AND(Tabla8[[#This Row],[PIEZA]]="",Tabla8[[#This Row],[PARTE]]=""),"VACIO","OK")</f>
        <v>VACIO</v>
      </c>
      <c r="U1076" s="303" t="str">
        <f>+CONCATENATE(WEEKNUM(Tabla8[[#This Row],[FECHA]]),"-",YEAR(Tabla8[[#This Row],[FECHA]]))</f>
        <v>18-2026</v>
      </c>
    </row>
    <row r="1077" spans="1:21" ht="15" customHeight="1">
      <c r="A1077" s="22">
        <v>46141</v>
      </c>
      <c r="B1077" s="16" t="s">
        <v>131</v>
      </c>
      <c r="C1077" s="10" t="s">
        <v>39</v>
      </c>
      <c r="D1077" s="381" t="s">
        <v>1662</v>
      </c>
      <c r="E1077" s="381" t="s">
        <v>316</v>
      </c>
      <c r="F1077" s="380">
        <f>+MOD(Tabla8[[#This Row],[HR. FIN]]-Tabla8[[#This Row],[HR. INICIO]],1)</f>
        <v>2.0833333333333343E-2</v>
      </c>
      <c r="G1077" s="16" t="s">
        <v>31</v>
      </c>
      <c r="H1077" s="343" t="str">
        <f>IFERROR(VLOOKUP(G1077,DATOS!$M$2:$N$219,2,FALSE),"")</f>
        <v>Maquinaria</v>
      </c>
      <c r="I1077" s="115" t="s">
        <v>54</v>
      </c>
      <c r="J1077" s="115" t="str">
        <f>+VLOOKUP($I1077,Tabla7[#All],2,FALSE)</f>
        <v>PROGRAMADA</v>
      </c>
      <c r="K1077" s="114" t="str">
        <f>IF(VLOOKUP(I1077,Tabla7[#All],3,FALSE)=0,"",VLOOKUP(I1077,Tabla7[#All],3,FALSE))</f>
        <v/>
      </c>
      <c r="L1077" s="35" t="s">
        <v>821</v>
      </c>
      <c r="M1077" s="35" t="s">
        <v>121</v>
      </c>
      <c r="N1077" s="35" t="str" cm="1">
        <f t="array" ref="N1077">IFERROR(IF(Tabla8[[#This Row],[P/NP]]="NO PROGRAMADA","",_xlfn.TEXTJOIN(", ",TRUE,_xlfn._xlws.FILTER(Tabla4[[#All],[PIEZA]],ISNUMBER(SEARCH(Tabla4[[#All],[PCLAVE]],Tabla8[[#This Row],[DESCRIPCION DE TRABAJO]])),""))),"")</f>
        <v/>
      </c>
      <c r="O1077" s="35" t="str" cm="1">
        <f t="array" ref="O1077">_xlfn.TEXTJOIN(", ",TRUE,_xlfn._xlws.FILTER(Tabla28[[#All],[PARTE]],ISNUMBER(SEARCH(Tabla28[[#All],[PCLAVE2]],Tabla8[[#This Row],[DESCRIPCION DE TRABAJO]])),""))</f>
        <v/>
      </c>
      <c r="P1077" s="303" t="str">
        <f>IFERROR(LEFT(O1077, FIND(",", O1077)-1), O1077)</f>
        <v/>
      </c>
      <c r="Q1077" s="303" t="str">
        <f>IFERROR(IF(ISERROR(FIND(",", O1077, FIND(",", O1077)+1)), RIGHT(O1077, LEN(O1077)-FIND(",", O1077)-1), MID(O1077, FIND(",", O1077)+2, FIND(",", O1077, FIND(",", O1077)+1)-FIND(",", O1077)-2)), "")</f>
        <v/>
      </c>
      <c r="R1077" s="303" t="str">
        <f>IFERROR(RIGHT(O1077, LEN(O1077)-FIND(",", O1077, FIND(",", O1077)+1)-1), "")</f>
        <v/>
      </c>
      <c r="S1077" s="35" t="str" cm="1">
        <f t="array" ref="S1077">_xlfn.TEXTJOIN(", ",TRUE,_xlfn._xlws.FILTER(Tabla29[[#All],[PARTE]],ISNUMBER(SEARCH(Tabla29[[#All],[PCLAVE3]],Tabla8[[#This Row],[DESCRIPCION DE TRABAJO]])),""))</f>
        <v/>
      </c>
      <c r="T1077" s="34" t="str">
        <f>IF(AND(Tabla8[[#This Row],[PIEZA]]="",Tabla8[[#This Row],[PARTE]]=""),"VACIO","OK")</f>
        <v>VACIO</v>
      </c>
      <c r="U1077" s="303" t="str">
        <f>+CONCATENATE(WEEKNUM(Tabla8[[#This Row],[FECHA]]),"-",YEAR(Tabla8[[#This Row],[FECHA]]))</f>
        <v>18-2026</v>
      </c>
    </row>
    <row r="1078" spans="1:21" ht="15" customHeight="1">
      <c r="A1078" s="22">
        <v>46141</v>
      </c>
      <c r="B1078" s="16" t="s">
        <v>88</v>
      </c>
      <c r="C1078" s="10" t="s">
        <v>36</v>
      </c>
      <c r="D1078" s="381" t="s">
        <v>430</v>
      </c>
      <c r="E1078" s="381" t="s">
        <v>122</v>
      </c>
      <c r="F1078" s="380">
        <f>+MOD(Tabla8[[#This Row],[HR. FIN]]-Tabla8[[#This Row],[HR. INICIO]],1)</f>
        <v>2.0833333333333315E-2</v>
      </c>
      <c r="G1078" s="16" t="s">
        <v>202</v>
      </c>
      <c r="H1078" s="343" t="str">
        <f>IFERROR(VLOOKUP(G1078,DATOS!$M$2:$N$219,2,FALSE),"")</f>
        <v>Maquinaria</v>
      </c>
      <c r="I1078" s="115" t="s">
        <v>61</v>
      </c>
      <c r="J1078" s="115" t="str">
        <f>+VLOOKUP($I1078,Tabla7[#All],2,FALSE)</f>
        <v>PROGRAMADA</v>
      </c>
      <c r="K1078" s="114" t="str">
        <f>IF(VLOOKUP(I1078,Tabla7[#All],3,FALSE)=0,"",VLOOKUP(I1078,Tabla7[#All],3,FALSE))</f>
        <v/>
      </c>
      <c r="L1078" s="35" t="s">
        <v>2069</v>
      </c>
      <c r="M1078" s="35" t="s">
        <v>2070</v>
      </c>
      <c r="N1078" s="35" t="str" cm="1">
        <f t="array" ref="N1078">IFERROR(IF(Tabla8[[#This Row],[P/NP]]="NO PROGRAMADA","",_xlfn.TEXTJOIN(", ",TRUE,_xlfn._xlws.FILTER(Tabla4[[#All],[PIEZA]],ISNUMBER(SEARCH(Tabla4[[#All],[PCLAVE]],Tabla8[[#This Row],[DESCRIPCION DE TRABAJO]])),""))),"")</f>
        <v>Producto, Tuberias</v>
      </c>
      <c r="O1078" s="35" t="str" cm="1">
        <f t="array" ref="O1078">_xlfn.TEXTJOIN(", ",TRUE,_xlfn._xlws.FILTER(Tabla28[[#All],[PARTE]],ISNUMBER(SEARCH(Tabla28[[#All],[PCLAVE2]],Tabla8[[#This Row],[DESCRIPCION DE TRABAJO]])),""))</f>
        <v/>
      </c>
      <c r="P1078" s="303" t="str">
        <f>IFERROR(LEFT(O1078, FIND(",", O1078)-1), O1078)</f>
        <v/>
      </c>
      <c r="Q1078" s="303" t="str">
        <f>IFERROR(IF(ISERROR(FIND(",", O1078, FIND(",", O1078)+1)), RIGHT(O1078, LEN(O1078)-FIND(",", O1078)-1), MID(O1078, FIND(",", O1078)+2, FIND(",", O1078, FIND(",", O1078)+1)-FIND(",", O1078)-2)), "")</f>
        <v/>
      </c>
      <c r="R1078" s="303" t="str">
        <f>IFERROR(RIGHT(O1078, LEN(O1078)-FIND(",", O1078, FIND(",", O1078)+1)-1), "")</f>
        <v/>
      </c>
      <c r="S1078" s="35" t="str" cm="1">
        <f t="array" ref="S1078">_xlfn.TEXTJOIN(", ",TRUE,_xlfn._xlws.FILTER(Tabla29[[#All],[PARTE]],ISNUMBER(SEARCH(Tabla29[[#All],[PCLAVE3]],Tabla8[[#This Row],[DESCRIPCION DE TRABAJO]])),""))</f>
        <v>Seco</v>
      </c>
      <c r="T1078" s="34" t="str">
        <f>IF(AND(Tabla8[[#This Row],[PIEZA]]="",Tabla8[[#This Row],[PARTE]]=""),"VACIO","OK")</f>
        <v>OK</v>
      </c>
      <c r="U1078" s="303" t="str">
        <f>+CONCATENATE(WEEKNUM(Tabla8[[#This Row],[FECHA]]),"-",YEAR(Tabla8[[#This Row],[FECHA]]))</f>
        <v>18-2026</v>
      </c>
    </row>
    <row r="1079" spans="1:21" ht="15" customHeight="1">
      <c r="A1079" s="22">
        <v>46141</v>
      </c>
      <c r="B1079" s="16" t="s">
        <v>131</v>
      </c>
      <c r="C1079" s="10" t="s">
        <v>39</v>
      </c>
      <c r="D1079" s="381" t="s">
        <v>415</v>
      </c>
      <c r="E1079" s="381" t="s">
        <v>1604</v>
      </c>
      <c r="F1079" s="380">
        <f>+MOD(Tabla8[[#This Row],[HR. FIN]]-Tabla8[[#This Row],[HR. INICIO]],1)</f>
        <v>2.0833333333333259E-2</v>
      </c>
      <c r="G1079" s="16" t="s">
        <v>31</v>
      </c>
      <c r="H1079" s="343" t="str">
        <f>IFERROR(VLOOKUP(G1079,DATOS!$M$2:$N$219,2,FALSE),"")</f>
        <v>Maquinaria</v>
      </c>
      <c r="I1079" s="115" t="s">
        <v>54</v>
      </c>
      <c r="J1079" s="115" t="str">
        <f>+VLOOKUP($I1079,Tabla7[#All],2,FALSE)</f>
        <v>PROGRAMADA</v>
      </c>
      <c r="K1079" s="114" t="str">
        <f>IF(VLOOKUP(I1079,Tabla7[#All],3,FALSE)=0,"",VLOOKUP(I1079,Tabla7[#All],3,FALSE))</f>
        <v/>
      </c>
      <c r="L1079" s="35" t="s">
        <v>240</v>
      </c>
      <c r="M1079" s="35" t="s">
        <v>121</v>
      </c>
      <c r="N1079" s="35" t="str" cm="1">
        <f t="array" ref="N1079">IFERROR(IF(Tabla8[[#This Row],[P/NP]]="NO PROGRAMADA","",_xlfn.TEXTJOIN(", ",TRUE,_xlfn._xlws.FILTER(Tabla4[[#All],[PIEZA]],ISNUMBER(SEARCH(Tabla4[[#All],[PCLAVE]],Tabla8[[#This Row],[DESCRIPCION DE TRABAJO]])),""))),"")</f>
        <v/>
      </c>
      <c r="O1079" s="35" t="str" cm="1">
        <f t="array" ref="O1079">_xlfn.TEXTJOIN(", ",TRUE,_xlfn._xlws.FILTER(Tabla28[[#All],[PARTE]],ISNUMBER(SEARCH(Tabla28[[#All],[PCLAVE2]],Tabla8[[#This Row],[DESCRIPCION DE TRABAJO]])),""))</f>
        <v/>
      </c>
      <c r="P1079" s="303" t="str">
        <f>IFERROR(LEFT(O1079, FIND(",", O1079)-1), O1079)</f>
        <v/>
      </c>
      <c r="Q1079" s="303" t="str">
        <f>IFERROR(IF(ISERROR(FIND(",", O1079, FIND(",", O1079)+1)), RIGHT(O1079, LEN(O1079)-FIND(",", O1079)-1), MID(O1079, FIND(",", O1079)+2, FIND(",", O1079, FIND(",", O1079)+1)-FIND(",", O1079)-2)), "")</f>
        <v/>
      </c>
      <c r="R1079" s="303" t="str">
        <f>IFERROR(RIGHT(O1079, LEN(O1079)-FIND(",", O1079, FIND(",", O1079)+1)-1), "")</f>
        <v/>
      </c>
      <c r="S1079" s="35" t="str" cm="1">
        <f t="array" ref="S1079">_xlfn.TEXTJOIN(", ",TRUE,_xlfn._xlws.FILTER(Tabla29[[#All],[PARTE]],ISNUMBER(SEARCH(Tabla29[[#All],[PCLAVE3]],Tabla8[[#This Row],[DESCRIPCION DE TRABAJO]])),""))</f>
        <v/>
      </c>
      <c r="T1079" s="34" t="str">
        <f>IF(AND(Tabla8[[#This Row],[PIEZA]]="",Tabla8[[#This Row],[PARTE]]=""),"VACIO","OK")</f>
        <v>VACIO</v>
      </c>
      <c r="U1079" s="303" t="str">
        <f>+CONCATENATE(WEEKNUM(Tabla8[[#This Row],[FECHA]]),"-",YEAR(Tabla8[[#This Row],[FECHA]]))</f>
        <v>18-2026</v>
      </c>
    </row>
    <row r="1080" spans="1:21" ht="15" customHeight="1">
      <c r="A1080" s="22">
        <v>46141</v>
      </c>
      <c r="B1080" s="16" t="s">
        <v>131</v>
      </c>
      <c r="C1080" s="10" t="s">
        <v>39</v>
      </c>
      <c r="D1080" s="381" t="s">
        <v>411</v>
      </c>
      <c r="E1080" s="381" t="s">
        <v>145</v>
      </c>
      <c r="F1080" s="380">
        <f>+MOD(Tabla8[[#This Row],[HR. FIN]]-Tabla8[[#This Row],[HR. INICIO]],1)</f>
        <v>1.7361111111111105E-2</v>
      </c>
      <c r="G1080" s="16" t="s">
        <v>119</v>
      </c>
      <c r="H1080" s="343" t="str">
        <f>IFERROR(VLOOKUP(G1080,DATOS!$M$2:$N$219,2,FALSE),"")</f>
        <v>Maquinaria</v>
      </c>
      <c r="I1080" s="115" t="s">
        <v>32</v>
      </c>
      <c r="J1080" s="115" t="str">
        <f>+VLOOKUP($I1080,Tabla7[#All],2,FALSE)</f>
        <v>PROGRAMADA</v>
      </c>
      <c r="K1080" s="114" t="str">
        <f>IF(VLOOKUP(I1080,Tabla7[#All],3,FALSE)=0,"",VLOOKUP(I1080,Tabla7[#All],3,FALSE))</f>
        <v/>
      </c>
      <c r="L1080" s="35" t="s">
        <v>2071</v>
      </c>
      <c r="M1080" s="35" t="s">
        <v>121</v>
      </c>
      <c r="N1080" s="35" t="str" cm="1">
        <f t="array" ref="N1080">IFERROR(IF(Tabla8[[#This Row],[P/NP]]="NO PROGRAMADA","",_xlfn.TEXTJOIN(", ",TRUE,_xlfn._xlws.FILTER(Tabla4[[#All],[PIEZA]],ISNUMBER(SEARCH(Tabla4[[#All],[PCLAVE]],Tabla8[[#This Row],[DESCRIPCION DE TRABAJO]])),""))),"")</f>
        <v/>
      </c>
      <c r="O1080" s="35" t="str" cm="1">
        <f t="array" ref="O1080">_xlfn.TEXTJOIN(", ",TRUE,_xlfn._xlws.FILTER(Tabla28[[#All],[PARTE]],ISNUMBER(SEARCH(Tabla28[[#All],[PCLAVE2]],Tabla8[[#This Row],[DESCRIPCION DE TRABAJO]])),""))</f>
        <v>Mds</v>
      </c>
      <c r="P1080" s="303" t="str">
        <f>IFERROR(LEFT(O1080, FIND(",", O1080)-1), O1080)</f>
        <v>Mds</v>
      </c>
      <c r="Q1080" s="303" t="str">
        <f>IFERROR(IF(ISERROR(FIND(",", O1080, FIND(",", O1080)+1)), RIGHT(O1080, LEN(O1080)-FIND(",", O1080)-1), MID(O1080, FIND(",", O1080)+2, FIND(",", O1080, FIND(",", O1080)+1)-FIND(",", O1080)-2)), "")</f>
        <v/>
      </c>
      <c r="R1080" s="303" t="str">
        <f>IFERROR(RIGHT(O1080, LEN(O1080)-FIND(",", O1080, FIND(",", O1080)+1)-1), "")</f>
        <v/>
      </c>
      <c r="S1080" s="35" t="str" cm="1">
        <f t="array" ref="S1080">_xlfn.TEXTJOIN(", ",TRUE,_xlfn._xlws.FILTER(Tabla29[[#All],[PARTE]],ISNUMBER(SEARCH(Tabla29[[#All],[PCLAVE3]],Tabla8[[#This Row],[DESCRIPCION DE TRABAJO]])),""))</f>
        <v/>
      </c>
      <c r="T1080" s="34" t="str">
        <f>IF(AND(Tabla8[[#This Row],[PIEZA]]="",Tabla8[[#This Row],[PARTE]]=""),"VACIO","OK")</f>
        <v>OK</v>
      </c>
      <c r="U1080" s="303" t="str">
        <f>+CONCATENATE(WEEKNUM(Tabla8[[#This Row],[FECHA]]),"-",YEAR(Tabla8[[#This Row],[FECHA]]))</f>
        <v>18-2026</v>
      </c>
    </row>
    <row r="1081" spans="1:21" ht="15" customHeight="1">
      <c r="A1081" s="22">
        <v>46141</v>
      </c>
      <c r="B1081" s="16" t="s">
        <v>131</v>
      </c>
      <c r="C1081" s="10" t="s">
        <v>39</v>
      </c>
      <c r="D1081" s="381" t="s">
        <v>733</v>
      </c>
      <c r="E1081" s="381" t="s">
        <v>734</v>
      </c>
      <c r="F1081" s="380">
        <f>+MOD(Tabla8[[#This Row],[HR. FIN]]-Tabla8[[#This Row],[HR. INICIO]],1)</f>
        <v>1.458333333333333E-2</v>
      </c>
      <c r="G1081" s="16" t="s">
        <v>119</v>
      </c>
      <c r="H1081" s="343" t="str">
        <f>IFERROR(VLOOKUP(G1081,DATOS!$M$2:$N$219,2,FALSE),"")</f>
        <v>Maquinaria</v>
      </c>
      <c r="I1081" s="115" t="s">
        <v>32</v>
      </c>
      <c r="J1081" s="115" t="str">
        <f>+VLOOKUP($I1081,Tabla7[#All],2,FALSE)</f>
        <v>PROGRAMADA</v>
      </c>
      <c r="K1081" s="114" t="str">
        <f>IF(VLOOKUP(I1081,Tabla7[#All],3,FALSE)=0,"",VLOOKUP(I1081,Tabla7[#All],3,FALSE))</f>
        <v/>
      </c>
      <c r="L1081" s="35" t="s">
        <v>1679</v>
      </c>
      <c r="M1081" s="35" t="s">
        <v>121</v>
      </c>
      <c r="N1081" s="35" t="str" cm="1">
        <f t="array" ref="N1081">IFERROR(IF(Tabla8[[#This Row],[P/NP]]="NO PROGRAMADA","",_xlfn.TEXTJOIN(", ",TRUE,_xlfn._xlws.FILTER(Tabla4[[#All],[PIEZA]],ISNUMBER(SEARCH(Tabla4[[#All],[PCLAVE]],Tabla8[[#This Row],[DESCRIPCION DE TRABAJO]])),""))),"")</f>
        <v/>
      </c>
      <c r="O1081" s="35" t="str" cm="1">
        <f t="array" ref="O1081">_xlfn.TEXTJOIN(", ",TRUE,_xlfn._xlws.FILTER(Tabla28[[#All],[PARTE]],ISNUMBER(SEARCH(Tabla28[[#All],[PCLAVE2]],Tabla8[[#This Row],[DESCRIPCION DE TRABAJO]])),""))</f>
        <v>Mds</v>
      </c>
      <c r="P1081" s="303" t="str">
        <f>IFERROR(LEFT(O1081, FIND(",", O1081)-1), O1081)</f>
        <v>Mds</v>
      </c>
      <c r="Q1081" s="303" t="str">
        <f>IFERROR(IF(ISERROR(FIND(",", O1081, FIND(",", O1081)+1)), RIGHT(O1081, LEN(O1081)-FIND(",", O1081)-1), MID(O1081, FIND(",", O1081)+2, FIND(",", O1081, FIND(",", O1081)+1)-FIND(",", O1081)-2)), "")</f>
        <v/>
      </c>
      <c r="R1081" s="303" t="str">
        <f>IFERROR(RIGHT(O1081, LEN(O1081)-FIND(",", O1081, FIND(",", O1081)+1)-1), "")</f>
        <v/>
      </c>
      <c r="S1081" s="35" t="str" cm="1">
        <f t="array" ref="S1081">_xlfn.TEXTJOIN(", ",TRUE,_xlfn._xlws.FILTER(Tabla29[[#All],[PARTE]],ISNUMBER(SEARCH(Tabla29[[#All],[PCLAVE3]],Tabla8[[#This Row],[DESCRIPCION DE TRABAJO]])),""))</f>
        <v/>
      </c>
      <c r="T1081" s="34" t="str">
        <f>IF(AND(Tabla8[[#This Row],[PIEZA]]="",Tabla8[[#This Row],[PARTE]]=""),"VACIO","OK")</f>
        <v>OK</v>
      </c>
      <c r="U1081" s="303" t="str">
        <f>+CONCATENATE(WEEKNUM(Tabla8[[#This Row],[FECHA]]),"-",YEAR(Tabla8[[#This Row],[FECHA]]))</f>
        <v>18-2026</v>
      </c>
    </row>
    <row r="1082" spans="1:21" ht="15" customHeight="1">
      <c r="A1082" s="22">
        <v>46141</v>
      </c>
      <c r="B1082" s="16" t="s">
        <v>179</v>
      </c>
      <c r="C1082" s="10" t="s">
        <v>23</v>
      </c>
      <c r="D1082" s="381" t="s">
        <v>265</v>
      </c>
      <c r="E1082" s="381" t="s">
        <v>311</v>
      </c>
      <c r="F1082" s="380">
        <f>+MOD(Tabla8[[#This Row],[HR. FIN]]-Tabla8[[#This Row],[HR. INICIO]],1)</f>
        <v>1.3888888888888951E-2</v>
      </c>
      <c r="G1082" s="16" t="s">
        <v>1205</v>
      </c>
      <c r="H1082" s="343" t="str">
        <f>IFERROR(VLOOKUP(G1082,DATOS!$M$2:$N$219,2,FALSE),"")</f>
        <v>Maquinaria</v>
      </c>
      <c r="I1082" s="115" t="s">
        <v>32</v>
      </c>
      <c r="J1082" s="115" t="s">
        <v>92</v>
      </c>
      <c r="K1082" s="114" t="s">
        <v>148</v>
      </c>
      <c r="L1082" s="35" t="s">
        <v>2072</v>
      </c>
      <c r="M1082" s="35" t="s">
        <v>2073</v>
      </c>
      <c r="N1082" s="35" t="str" cm="1">
        <f t="array" ref="N1082">IFERROR(IF(Tabla8[[#This Row],[P/NP]]="NO PROGRAMADA","",_xlfn.TEXTJOIN(", ",TRUE,_xlfn._xlws.FILTER(Tabla4[[#All],[PIEZA]],ISNUMBER(SEARCH(Tabla4[[#All],[PCLAVE]],Tabla8[[#This Row],[DESCRIPCION DE TRABAJO]])),""))),"")</f>
        <v/>
      </c>
      <c r="O1082" s="35" t="str" cm="1">
        <f t="array" ref="O1082">_xlfn.TEXTJOIN(", ",TRUE,_xlfn._xlws.FILTER(Tabla28[[#All],[PARTE]],ISNUMBER(SEARCH(Tabla28[[#All],[PCLAVE2]],Tabla8[[#This Row],[DESCRIPCION DE TRABAJO]])),""))</f>
        <v/>
      </c>
      <c r="P1082" s="303" t="str">
        <f>IFERROR(LEFT(O1082, FIND(",", O1082)-1), O1082)</f>
        <v/>
      </c>
      <c r="Q1082" s="303" t="str">
        <f>IFERROR(IF(ISERROR(FIND(",", O1082, FIND(",", O1082)+1)), RIGHT(O1082, LEN(O1082)-FIND(",", O1082)-1), MID(O1082, FIND(",", O1082)+2, FIND(",", O1082, FIND(",", O1082)+1)-FIND(",", O1082)-2)), "")</f>
        <v/>
      </c>
      <c r="R1082" s="303" t="str">
        <f>IFERROR(RIGHT(O1082, LEN(O1082)-FIND(",", O1082, FIND(",", O1082)+1)-1), "")</f>
        <v/>
      </c>
      <c r="S1082" s="35" t="str" cm="1">
        <f t="array" ref="S1082">_xlfn.TEXTJOIN(", ",TRUE,_xlfn._xlws.FILTER(Tabla29[[#All],[PARTE]],ISNUMBER(SEARCH(Tabla29[[#All],[PCLAVE3]],Tabla8[[#This Row],[DESCRIPCION DE TRABAJO]])),""))</f>
        <v/>
      </c>
      <c r="T1082" s="34" t="str">
        <f>IF(AND(Tabla8[[#This Row],[PIEZA]]="",Tabla8[[#This Row],[PARTE]]=""),"VACIO","OK")</f>
        <v>VACIO</v>
      </c>
      <c r="U1082" s="303" t="str">
        <f>+CONCATENATE(WEEKNUM(Tabla8[[#This Row],[FECHA]]),"-",YEAR(Tabla8[[#This Row],[FECHA]]))</f>
        <v>18-2026</v>
      </c>
    </row>
    <row r="1083" spans="1:21" ht="15" customHeight="1">
      <c r="A1083" s="22">
        <v>46141</v>
      </c>
      <c r="B1083" s="16" t="s">
        <v>131</v>
      </c>
      <c r="C1083" s="10" t="s">
        <v>39</v>
      </c>
      <c r="D1083" s="381" t="s">
        <v>426</v>
      </c>
      <c r="E1083" s="381" t="s">
        <v>414</v>
      </c>
      <c r="F1083" s="380">
        <f>+MOD(Tabla8[[#This Row],[HR. FIN]]-Tabla8[[#This Row],[HR. INICIO]],1)</f>
        <v>1.3888888888888951E-2</v>
      </c>
      <c r="G1083" s="16" t="s">
        <v>2074</v>
      </c>
      <c r="H1083" s="343" t="str">
        <f>IFERROR(VLOOKUP(G1083,DATOS!$M$2:$N$219,2,FALSE),"")</f>
        <v>Maquinaria</v>
      </c>
      <c r="I1083" s="115" t="s">
        <v>405</v>
      </c>
      <c r="J1083" s="115" t="str">
        <f>+VLOOKUP($I1083,Tabla7[#All],2,FALSE)</f>
        <v>PROGRAMADA</v>
      </c>
      <c r="K1083" s="114" t="str">
        <f>IF(VLOOKUP(I1083,Tabla7[#All],3,FALSE)=0,"",VLOOKUP(I1083,Tabla7[#All],3,FALSE))</f>
        <v/>
      </c>
      <c r="L1083" s="35" t="s">
        <v>2075</v>
      </c>
      <c r="M1083" s="35" t="s">
        <v>2076</v>
      </c>
      <c r="N1083" s="35" t="str" cm="1">
        <f t="array" ref="N1083">IFERROR(IF(Tabla8[[#This Row],[P/NP]]="NO PROGRAMADA","",_xlfn.TEXTJOIN(", ",TRUE,_xlfn._xlws.FILTER(Tabla4[[#All],[PIEZA]],ISNUMBER(SEARCH(Tabla4[[#All],[PCLAVE]],Tabla8[[#This Row],[DESCRIPCION DE TRABAJO]])),""))),"")</f>
        <v>Mesa</v>
      </c>
      <c r="O1083" s="35" t="str" cm="1">
        <f t="array" ref="O1083">_xlfn.TEXTJOIN(", ",TRUE,_xlfn._xlws.FILTER(Tabla28[[#All],[PARTE]],ISNUMBER(SEARCH(Tabla28[[#All],[PCLAVE2]],Tabla8[[#This Row],[DESCRIPCION DE TRABAJO]])),""))</f>
        <v/>
      </c>
      <c r="P1083" s="303" t="str">
        <f>IFERROR(LEFT(O1083, FIND(",", O1083)-1), O1083)</f>
        <v/>
      </c>
      <c r="Q1083" s="303" t="str">
        <f>IFERROR(IF(ISERROR(FIND(",", O1083, FIND(",", O1083)+1)), RIGHT(O1083, LEN(O1083)-FIND(",", O1083)-1), MID(O1083, FIND(",", O1083)+2, FIND(",", O1083, FIND(",", O1083)+1)-FIND(",", O1083)-2)), "")</f>
        <v/>
      </c>
      <c r="R1083" s="303" t="str">
        <f>IFERROR(RIGHT(O1083, LEN(O1083)-FIND(",", O1083, FIND(",", O1083)+1)-1), "")</f>
        <v/>
      </c>
      <c r="S1083" s="35" t="str" cm="1">
        <f t="array" ref="S1083">_xlfn.TEXTJOIN(", ",TRUE,_xlfn._xlws.FILTER(Tabla29[[#All],[PARTE]],ISNUMBER(SEARCH(Tabla29[[#All],[PCLAVE3]],Tabla8[[#This Row],[DESCRIPCION DE TRABAJO]])),""))</f>
        <v/>
      </c>
      <c r="T1083" s="34" t="str">
        <f>IF(AND(Tabla8[[#This Row],[PIEZA]]="",Tabla8[[#This Row],[PARTE]]=""),"VACIO","OK")</f>
        <v>OK</v>
      </c>
      <c r="U1083" s="303" t="str">
        <f>+CONCATENATE(WEEKNUM(Tabla8[[#This Row],[FECHA]]),"-",YEAR(Tabla8[[#This Row],[FECHA]]))</f>
        <v>18-2026</v>
      </c>
    </row>
    <row r="1084" spans="1:21" ht="15" customHeight="1">
      <c r="A1084" s="22">
        <v>46141</v>
      </c>
      <c r="B1084" s="16" t="s">
        <v>88</v>
      </c>
      <c r="C1084" s="10" t="s">
        <v>36</v>
      </c>
      <c r="D1084" s="381" t="s">
        <v>123</v>
      </c>
      <c r="E1084" s="381" t="s">
        <v>399</v>
      </c>
      <c r="F1084" s="380">
        <f>+MOD(Tabla8[[#This Row],[HR. FIN]]-Tabla8[[#This Row],[HR. INICIO]],1)</f>
        <v>1.3888888888888895E-2</v>
      </c>
      <c r="G1084" s="16" t="s">
        <v>1465</v>
      </c>
      <c r="H1084" s="343" t="str">
        <f>IFERROR(VLOOKUP(G1084,DATOS!$M$2:$N$219,2,FALSE),"")</f>
        <v>Maquinaria</v>
      </c>
      <c r="I1084" s="115" t="s">
        <v>245</v>
      </c>
      <c r="J1084" s="115" t="str">
        <f>+VLOOKUP($I1084,Tabla7[#All],2,FALSE)</f>
        <v>PROGRAMADA</v>
      </c>
      <c r="K1084" s="114" t="str">
        <f>IF(VLOOKUP(I1084,Tabla7[#All],3,FALSE)=0,"",VLOOKUP(I1084,Tabla7[#All],3,FALSE))</f>
        <v/>
      </c>
      <c r="L1084" s="35" t="s">
        <v>2077</v>
      </c>
      <c r="M1084" s="35" t="s">
        <v>2078</v>
      </c>
      <c r="N1084" s="35" t="str" cm="1">
        <f t="array" ref="N1084">IFERROR(IF(Tabla8[[#This Row],[P/NP]]="NO PROGRAMADA","",_xlfn.TEXTJOIN(", ",TRUE,_xlfn._xlws.FILTER(Tabla4[[#All],[PIEZA]],ISNUMBER(SEARCH(Tabla4[[#All],[PCLAVE]],Tabla8[[#This Row],[DESCRIPCION DE TRABAJO]])),""))),"")</f>
        <v/>
      </c>
      <c r="O1084" s="35" t="str" cm="1">
        <f t="array" ref="O1084">_xlfn.TEXTJOIN(", ",TRUE,_xlfn._xlws.FILTER(Tabla28[[#All],[PARTE]],ISNUMBER(SEARCH(Tabla28[[#All],[PCLAVE2]],Tabla8[[#This Row],[DESCRIPCION DE TRABAJO]])),""))</f>
        <v/>
      </c>
      <c r="P1084" s="303" t="str">
        <f>IFERROR(LEFT(O1084, FIND(",", O1084)-1), O1084)</f>
        <v/>
      </c>
      <c r="Q1084" s="303" t="str">
        <f>IFERROR(IF(ISERROR(FIND(",", O1084, FIND(",", O1084)+1)), RIGHT(O1084, LEN(O1084)-FIND(",", O1084)-1), MID(O1084, FIND(",", O1084)+2, FIND(",", O1084, FIND(",", O1084)+1)-FIND(",", O1084)-2)), "")</f>
        <v/>
      </c>
      <c r="R1084" s="303" t="str">
        <f>IFERROR(RIGHT(O1084, LEN(O1084)-FIND(",", O1084, FIND(",", O1084)+1)-1), "")</f>
        <v/>
      </c>
      <c r="S1084" s="35" t="str" cm="1">
        <f t="array" ref="S1084">_xlfn.TEXTJOIN(", ",TRUE,_xlfn._xlws.FILTER(Tabla29[[#All],[PARTE]],ISNUMBER(SEARCH(Tabla29[[#All],[PCLAVE3]],Tabla8[[#This Row],[DESCRIPCION DE TRABAJO]])),""))</f>
        <v>Ruido</v>
      </c>
      <c r="T1084" s="34" t="str">
        <f>IF(AND(Tabla8[[#This Row],[PIEZA]]="",Tabla8[[#This Row],[PARTE]]=""),"VACIO","OK")</f>
        <v>VACIO</v>
      </c>
      <c r="U1084" s="303" t="str">
        <f>+CONCATENATE(WEEKNUM(Tabla8[[#This Row],[FECHA]]),"-",YEAR(Tabla8[[#This Row],[FECHA]]))</f>
        <v>18-2026</v>
      </c>
    </row>
    <row r="1085" spans="1:21" ht="15" customHeight="1">
      <c r="A1085" s="22">
        <v>46141</v>
      </c>
      <c r="B1085" s="16" t="s">
        <v>131</v>
      </c>
      <c r="C1085" s="10" t="s">
        <v>39</v>
      </c>
      <c r="D1085" s="381" t="s">
        <v>2079</v>
      </c>
      <c r="E1085" s="381" t="s">
        <v>434</v>
      </c>
      <c r="F1085" s="380">
        <f>+MOD(Tabla8[[#This Row],[HR. FIN]]-Tabla8[[#This Row],[HR. INICIO]],1)</f>
        <v>1.3888888888888895E-2</v>
      </c>
      <c r="G1085" s="16" t="s">
        <v>270</v>
      </c>
      <c r="H1085" s="343" t="str">
        <f>IFERROR(VLOOKUP(G1085,DATOS!$M$2:$N$219,2,FALSE),"")</f>
        <v>Maquinaria</v>
      </c>
      <c r="I1085" s="115" t="s">
        <v>54</v>
      </c>
      <c r="J1085" s="115" t="str">
        <f>+VLOOKUP($I1085,Tabla7[#All],2,FALSE)</f>
        <v>PROGRAMADA</v>
      </c>
      <c r="K1085" s="114" t="str">
        <f>IF(VLOOKUP(I1085,Tabla7[#All],3,FALSE)=0,"",VLOOKUP(I1085,Tabla7[#All],3,FALSE))</f>
        <v/>
      </c>
      <c r="L1085" s="35" t="s">
        <v>2080</v>
      </c>
      <c r="M1085" s="35" t="s">
        <v>2081</v>
      </c>
      <c r="N1085" s="35" t="str" cm="1">
        <f t="array" ref="N1085">IFERROR(IF(Tabla8[[#This Row],[P/NP]]="NO PROGRAMADA","",_xlfn.TEXTJOIN(", ",TRUE,_xlfn._xlws.FILTER(Tabla4[[#All],[PIEZA]],ISNUMBER(SEARCH(Tabla4[[#All],[PCLAVE]],Tabla8[[#This Row],[DESCRIPCION DE TRABAJO]])),""))),"")</f>
        <v/>
      </c>
      <c r="O1085" s="35" t="str" cm="1">
        <f t="array" ref="O1085">_xlfn.TEXTJOIN(", ",TRUE,_xlfn._xlws.FILTER(Tabla28[[#All],[PARTE]],ISNUMBER(SEARCH(Tabla28[[#All],[PCLAVE2]],Tabla8[[#This Row],[DESCRIPCION DE TRABAJO]])),""))</f>
        <v>Temperadora</v>
      </c>
      <c r="P1085" s="303" t="str">
        <f>IFERROR(LEFT(O1085, FIND(",", O1085)-1), O1085)</f>
        <v>Temperadora</v>
      </c>
      <c r="Q1085" s="303" t="str">
        <f>IFERROR(IF(ISERROR(FIND(",", O1085, FIND(",", O1085)+1)), RIGHT(O1085, LEN(O1085)-FIND(",", O1085)-1), MID(O1085, FIND(",", O1085)+2, FIND(",", O1085, FIND(",", O1085)+1)-FIND(",", O1085)-2)), "")</f>
        <v/>
      </c>
      <c r="R1085" s="303" t="str">
        <f>IFERROR(RIGHT(O1085, LEN(O1085)-FIND(",", O1085, FIND(",", O1085)+1)-1), "")</f>
        <v/>
      </c>
      <c r="S1085" s="35" t="str" cm="1">
        <f t="array" ref="S1085">_xlfn.TEXTJOIN(", ",TRUE,_xlfn._xlws.FILTER(Tabla29[[#All],[PARTE]],ISNUMBER(SEARCH(Tabla29[[#All],[PCLAVE3]],Tabla8[[#This Row],[DESCRIPCION DE TRABAJO]])),""))</f>
        <v>Ruido</v>
      </c>
      <c r="T1085" s="34" t="str">
        <f>IF(AND(Tabla8[[#This Row],[PIEZA]]="",Tabla8[[#This Row],[PARTE]]=""),"VACIO","OK")</f>
        <v>OK</v>
      </c>
      <c r="U1085" s="303" t="str">
        <f>+CONCATENATE(WEEKNUM(Tabla8[[#This Row],[FECHA]]),"-",YEAR(Tabla8[[#This Row],[FECHA]]))</f>
        <v>18-2026</v>
      </c>
    </row>
    <row r="1086" spans="1:21" ht="15" customHeight="1">
      <c r="A1086" s="22">
        <v>46141</v>
      </c>
      <c r="B1086" s="16" t="s">
        <v>131</v>
      </c>
      <c r="C1086" s="10" t="s">
        <v>39</v>
      </c>
      <c r="D1086" s="381" t="s">
        <v>422</v>
      </c>
      <c r="E1086" s="381" t="s">
        <v>1271</v>
      </c>
      <c r="F1086" s="380">
        <f>+MOD(Tabla8[[#This Row],[HR. FIN]]-Tabla8[[#This Row],[HR. INICIO]],1)</f>
        <v>1.3194444444444398E-2</v>
      </c>
      <c r="G1086" s="16" t="s">
        <v>965</v>
      </c>
      <c r="H1086" s="343" t="str">
        <f>IFERROR(VLOOKUP(G1086,DATOS!$M$2:$N$219,2,FALSE),"")</f>
        <v>Maquinaria</v>
      </c>
      <c r="I1086" s="115" t="s">
        <v>54</v>
      </c>
      <c r="J1086" s="115" t="str">
        <f>+VLOOKUP($I1086,Tabla7[#All],2,FALSE)</f>
        <v>PROGRAMADA</v>
      </c>
      <c r="K1086" s="114" t="str">
        <f>IF(VLOOKUP(I1086,Tabla7[#All],3,FALSE)=0,"",VLOOKUP(I1086,Tabla7[#All],3,FALSE))</f>
        <v/>
      </c>
      <c r="L1086" s="35" t="s">
        <v>1998</v>
      </c>
      <c r="M1086" s="35" t="s">
        <v>121</v>
      </c>
      <c r="N1086" s="35" t="str" cm="1">
        <f t="array" ref="N1086">IFERROR(IF(Tabla8[[#This Row],[P/NP]]="NO PROGRAMADA","",_xlfn.TEXTJOIN(", ",TRUE,_xlfn._xlws.FILTER(Tabla4[[#All],[PIEZA]],ISNUMBER(SEARCH(Tabla4[[#All],[PCLAVE]],Tabla8[[#This Row],[DESCRIPCION DE TRABAJO]])),""))),"")</f>
        <v/>
      </c>
      <c r="O1086" s="35" t="str" cm="1">
        <f t="array" ref="O1086">_xlfn.TEXTJOIN(", ",TRUE,_xlfn._xlws.FILTER(Tabla28[[#All],[PARTE]],ISNUMBER(SEARCH(Tabla28[[#All],[PCLAVE2]],Tabla8[[#This Row],[DESCRIPCION DE TRABAJO]])),""))</f>
        <v/>
      </c>
      <c r="P1086" s="303" t="str">
        <f>IFERROR(LEFT(O1086, FIND(",", O1086)-1), O1086)</f>
        <v/>
      </c>
      <c r="Q1086" s="303" t="str">
        <f>IFERROR(IF(ISERROR(FIND(",", O1086, FIND(",", O1086)+1)), RIGHT(O1086, LEN(O1086)-FIND(",", O1086)-1), MID(O1086, FIND(",", O1086)+2, FIND(",", O1086, FIND(",", O1086)+1)-FIND(",", O1086)-2)), "")</f>
        <v/>
      </c>
      <c r="R1086" s="303" t="str">
        <f>IFERROR(RIGHT(O1086, LEN(O1086)-FIND(",", O1086, FIND(",", O1086)+1)-1), "")</f>
        <v/>
      </c>
      <c r="S1086" s="35" t="str" cm="1">
        <f t="array" ref="S1086">_xlfn.TEXTJOIN(", ",TRUE,_xlfn._xlws.FILTER(Tabla29[[#All],[PARTE]],ISNUMBER(SEARCH(Tabla29[[#All],[PCLAVE3]],Tabla8[[#This Row],[DESCRIPCION DE TRABAJO]])),""))</f>
        <v/>
      </c>
      <c r="T1086" s="34" t="str">
        <f>IF(AND(Tabla8[[#This Row],[PIEZA]]="",Tabla8[[#This Row],[PARTE]]=""),"VACIO","OK")</f>
        <v>VACIO</v>
      </c>
      <c r="U1086" s="303" t="str">
        <f>+CONCATENATE(WEEKNUM(Tabla8[[#This Row],[FECHA]]),"-",YEAR(Tabla8[[#This Row],[FECHA]]))</f>
        <v>18-2026</v>
      </c>
    </row>
    <row r="1087" spans="1:21" ht="15" customHeight="1">
      <c r="A1087" s="22">
        <v>46141</v>
      </c>
      <c r="B1087" s="16" t="s">
        <v>88</v>
      </c>
      <c r="C1087" s="10" t="s">
        <v>36</v>
      </c>
      <c r="D1087" s="381" t="s">
        <v>531</v>
      </c>
      <c r="E1087" s="381" t="s">
        <v>858</v>
      </c>
      <c r="F1087" s="380">
        <f>+MOD(Tabla8[[#This Row],[HR. FIN]]-Tabla8[[#This Row],[HR. INICIO]],1)</f>
        <v>1.0416666666666741E-2</v>
      </c>
      <c r="G1087" s="16" t="s">
        <v>1470</v>
      </c>
      <c r="H1087" s="343" t="str">
        <f>IFERROR(VLOOKUP(G1087,DATOS!$M$2:$N$219,2,FALSE),"")</f>
        <v>Maquinaria</v>
      </c>
      <c r="I1087" s="115" t="s">
        <v>32</v>
      </c>
      <c r="J1087" s="115" t="s">
        <v>92</v>
      </c>
      <c r="K1087" s="114" t="s">
        <v>93</v>
      </c>
      <c r="L1087" s="35" t="s">
        <v>2082</v>
      </c>
      <c r="M1087" s="35" t="s">
        <v>2083</v>
      </c>
      <c r="N1087" s="35" t="str" cm="1">
        <f t="array" ref="N1087">IFERROR(IF(Tabla8[[#This Row],[P/NP]]="NO PROGRAMADA","",_xlfn.TEXTJOIN(", ",TRUE,_xlfn._xlws.FILTER(Tabla4[[#All],[PIEZA]],ISNUMBER(SEARCH(Tabla4[[#All],[PCLAVE]],Tabla8[[#This Row],[DESCRIPCION DE TRABAJO]])),""))),"")</f>
        <v/>
      </c>
      <c r="O1087" s="35" t="str" cm="1">
        <f t="array" ref="O1087">_xlfn.TEXTJOIN(", ",TRUE,_xlfn._xlws.FILTER(Tabla28[[#All],[PARTE]],ISNUMBER(SEARCH(Tabla28[[#All],[PCLAVE2]],Tabla8[[#This Row],[DESCRIPCION DE TRABAJO]])),""))</f>
        <v/>
      </c>
      <c r="P1087" s="303" t="str">
        <f>IFERROR(LEFT(O1087, FIND(",", O1087)-1), O1087)</f>
        <v/>
      </c>
      <c r="Q1087" s="303" t="str">
        <f>IFERROR(IF(ISERROR(FIND(",", O1087, FIND(",", O1087)+1)), RIGHT(O1087, LEN(O1087)-FIND(",", O1087)-1), MID(O1087, FIND(",", O1087)+2, FIND(",", O1087, FIND(",", O1087)+1)-FIND(",", O1087)-2)), "")</f>
        <v/>
      </c>
      <c r="R1087" s="303" t="str">
        <f>IFERROR(RIGHT(O1087, LEN(O1087)-FIND(",", O1087, FIND(",", O1087)+1)-1), "")</f>
        <v/>
      </c>
      <c r="S1087" s="35" t="str" cm="1">
        <f t="array" ref="S1087">_xlfn.TEXTJOIN(", ",TRUE,_xlfn._xlws.FILTER(Tabla29[[#All],[PARTE]],ISNUMBER(SEARCH(Tabla29[[#All],[PCLAVE3]],Tabla8[[#This Row],[DESCRIPCION DE TRABAJO]])),""))</f>
        <v>Laminado, No Sube</v>
      </c>
      <c r="T1087" s="34" t="str">
        <f>IF(AND(Tabla8[[#This Row],[PIEZA]]="",Tabla8[[#This Row],[PARTE]]=""),"VACIO","OK")</f>
        <v>VACIO</v>
      </c>
      <c r="U1087" s="303" t="str">
        <f>+CONCATENATE(WEEKNUM(Tabla8[[#This Row],[FECHA]]),"-",YEAR(Tabla8[[#This Row],[FECHA]]))</f>
        <v>18-2026</v>
      </c>
    </row>
    <row r="1088" spans="1:21" ht="15" customHeight="1">
      <c r="A1088" s="22">
        <v>46141</v>
      </c>
      <c r="B1088" s="16" t="s">
        <v>131</v>
      </c>
      <c r="C1088" s="10" t="s">
        <v>39</v>
      </c>
      <c r="D1088" s="381" t="s">
        <v>2084</v>
      </c>
      <c r="E1088" s="381" t="s">
        <v>919</v>
      </c>
      <c r="F1088" s="380">
        <f>+MOD(Tabla8[[#This Row],[HR. FIN]]-Tabla8[[#This Row],[HR. INICIO]],1)</f>
        <v>1.0416666666666671E-2</v>
      </c>
      <c r="G1088" s="16" t="s">
        <v>965</v>
      </c>
      <c r="H1088" s="343" t="str">
        <f>IFERROR(VLOOKUP(G1088,DATOS!$M$2:$N$219,2,FALSE),"")</f>
        <v>Maquinaria</v>
      </c>
      <c r="I1088" s="115" t="s">
        <v>57</v>
      </c>
      <c r="J1088" s="115" t="str">
        <f>+VLOOKUP($I1088,Tabla7[#All],2,FALSE)</f>
        <v>NO PROGRAMADA</v>
      </c>
      <c r="K1088" s="114" t="str">
        <f>IF(VLOOKUP(I1088,Tabla7[#All],3,FALSE)=0,"",VLOOKUP(I1088,Tabla7[#All],3,FALSE))</f>
        <v>MECÁNICA</v>
      </c>
      <c r="L1088" s="35" t="s">
        <v>2085</v>
      </c>
      <c r="M1088" s="35" t="s">
        <v>2086</v>
      </c>
      <c r="N1088" s="35" t="str" cm="1">
        <f t="array" ref="N1088">IFERROR(IF(Tabla8[[#This Row],[P/NP]]="NO PROGRAMADA","",_xlfn.TEXTJOIN(", ",TRUE,_xlfn._xlws.FILTER(Tabla4[[#All],[PIEZA]],ISNUMBER(SEARCH(Tabla4[[#All],[PCLAVE]],Tabla8[[#This Row],[DESCRIPCION DE TRABAJO]])),""))),"")</f>
        <v/>
      </c>
      <c r="O1088" s="35" t="str" cm="1">
        <f t="array" ref="O1088">_xlfn.TEXTJOIN(", ",TRUE,_xlfn._xlws.FILTER(Tabla28[[#All],[PARTE]],ISNUMBER(SEARCH(Tabla28[[#All],[PCLAVE2]],Tabla8[[#This Row],[DESCRIPCION DE TRABAJO]])),""))</f>
        <v>Codificador</v>
      </c>
      <c r="P1088" s="303" t="str">
        <f>IFERROR(LEFT(O1088, FIND(",", O1088)-1), O1088)</f>
        <v>Codificador</v>
      </c>
      <c r="Q1088" s="303" t="str">
        <f>IFERROR(IF(ISERROR(FIND(",", O1088, FIND(",", O1088)+1)), RIGHT(O1088, LEN(O1088)-FIND(",", O1088)-1), MID(O1088, FIND(",", O1088)+2, FIND(",", O1088, FIND(",", O1088)+1)-FIND(",", O1088)-2)), "")</f>
        <v/>
      </c>
      <c r="R1088" s="303" t="str">
        <f>IFERROR(RIGHT(O1088, LEN(O1088)-FIND(",", O1088, FIND(",", O1088)+1)-1), "")</f>
        <v/>
      </c>
      <c r="S1088" s="35" t="str" cm="1">
        <f t="array" ref="S1088">_xlfn.TEXTJOIN(", ",TRUE,_xlfn._xlws.FILTER(Tabla29[[#All],[PARTE]],ISNUMBER(SEARCH(Tabla29[[#All],[PCLAVE3]],Tabla8[[#This Row],[DESCRIPCION DE TRABAJO]])),""))</f>
        <v>Borrosa</v>
      </c>
      <c r="T1088" s="34" t="str">
        <f>IF(AND(Tabla8[[#This Row],[PIEZA]]="",Tabla8[[#This Row],[PARTE]]=""),"VACIO","OK")</f>
        <v>OK</v>
      </c>
      <c r="U1088" s="303" t="str">
        <f>+CONCATENATE(WEEKNUM(Tabla8[[#This Row],[FECHA]]),"-",YEAR(Tabla8[[#This Row],[FECHA]]))</f>
        <v>18-2026</v>
      </c>
    </row>
    <row r="1089" spans="1:21" ht="15" customHeight="1">
      <c r="A1089" s="22">
        <v>46141</v>
      </c>
      <c r="B1089" s="16" t="s">
        <v>131</v>
      </c>
      <c r="C1089" s="10" t="s">
        <v>39</v>
      </c>
      <c r="D1089" s="381" t="s">
        <v>747</v>
      </c>
      <c r="E1089" s="381" t="s">
        <v>1169</v>
      </c>
      <c r="F1089" s="380">
        <f>+MOD(Tabla8[[#This Row],[HR. FIN]]-Tabla8[[#This Row],[HR. INICIO]],1)</f>
        <v>1.041666666666663E-2</v>
      </c>
      <c r="G1089" s="16" t="s">
        <v>293</v>
      </c>
      <c r="H1089" s="343" t="str">
        <f>IFERROR(VLOOKUP(G1089,DATOS!$M$2:$N$219,2,FALSE),"")</f>
        <v>Equipos auxiliares</v>
      </c>
      <c r="I1089" s="115" t="s">
        <v>54</v>
      </c>
      <c r="J1089" s="115" t="str">
        <f>+VLOOKUP($I1089,Tabla7[#All],2,FALSE)</f>
        <v>PROGRAMADA</v>
      </c>
      <c r="K1089" s="114" t="str">
        <f>IF(VLOOKUP(I1089,Tabla7[#All],3,FALSE)=0,"",VLOOKUP(I1089,Tabla7[#All],3,FALSE))</f>
        <v/>
      </c>
      <c r="L1089" s="35" t="s">
        <v>2087</v>
      </c>
      <c r="M1089" s="35" t="s">
        <v>121</v>
      </c>
      <c r="N1089" s="35" t="str" cm="1">
        <f t="array" ref="N1089">IFERROR(IF(Tabla8[[#This Row],[P/NP]]="NO PROGRAMADA","",_xlfn.TEXTJOIN(", ",TRUE,_xlfn._xlws.FILTER(Tabla4[[#All],[PIEZA]],ISNUMBER(SEARCH(Tabla4[[#All],[PCLAVE]],Tabla8[[#This Row],[DESCRIPCION DE TRABAJO]])),""))),"")</f>
        <v/>
      </c>
      <c r="O1089" s="35" t="str" cm="1">
        <f t="array" ref="O1089">_xlfn.TEXTJOIN(", ",TRUE,_xlfn._xlws.FILTER(Tabla28[[#All],[PARTE]],ISNUMBER(SEARCH(Tabla28[[#All],[PCLAVE2]],Tabla8[[#This Row],[DESCRIPCION DE TRABAJO]])),""))</f>
        <v/>
      </c>
      <c r="P1089" s="303" t="str">
        <f>IFERROR(LEFT(O1089, FIND(",", O1089)-1), O1089)</f>
        <v/>
      </c>
      <c r="Q1089" s="303" t="str">
        <f>IFERROR(IF(ISERROR(FIND(",", O1089, FIND(",", O1089)+1)), RIGHT(O1089, LEN(O1089)-FIND(",", O1089)-1), MID(O1089, FIND(",", O1089)+2, FIND(",", O1089, FIND(",", O1089)+1)-FIND(",", O1089)-2)), "")</f>
        <v/>
      </c>
      <c r="R1089" s="303" t="str">
        <f>IFERROR(RIGHT(O1089, LEN(O1089)-FIND(",", O1089, FIND(",", O1089)+1)-1), "")</f>
        <v/>
      </c>
      <c r="S1089" s="35" t="str" cm="1">
        <f t="array" ref="S1089">_xlfn.TEXTJOIN(", ",TRUE,_xlfn._xlws.FILTER(Tabla29[[#All],[PARTE]],ISNUMBER(SEARCH(Tabla29[[#All],[PCLAVE3]],Tabla8[[#This Row],[DESCRIPCION DE TRABAJO]])),""))</f>
        <v/>
      </c>
      <c r="T1089" s="34" t="str">
        <f>IF(AND(Tabla8[[#This Row],[PIEZA]]="",Tabla8[[#This Row],[PARTE]]=""),"VACIO","OK")</f>
        <v>VACIO</v>
      </c>
      <c r="U1089" s="303" t="str">
        <f>+CONCATENATE(WEEKNUM(Tabla8[[#This Row],[FECHA]]),"-",YEAR(Tabla8[[#This Row],[FECHA]]))</f>
        <v>18-2026</v>
      </c>
    </row>
    <row r="1090" spans="1:21" ht="15" customHeight="1">
      <c r="A1090" s="22">
        <v>46141</v>
      </c>
      <c r="B1090" s="16" t="s">
        <v>131</v>
      </c>
      <c r="C1090" s="10" t="s">
        <v>39</v>
      </c>
      <c r="D1090" s="381" t="s">
        <v>134</v>
      </c>
      <c r="E1090" s="381" t="s">
        <v>900</v>
      </c>
      <c r="F1090" s="380">
        <f>+MOD(Tabla8[[#This Row],[HR. FIN]]-Tabla8[[#This Row],[HR. INICIO]],1)</f>
        <v>1.041666666666663E-2</v>
      </c>
      <c r="G1090" s="16" t="s">
        <v>119</v>
      </c>
      <c r="H1090" s="343" t="str">
        <f>IFERROR(VLOOKUP(G1090,DATOS!$M$2:$N$219,2,FALSE),"")</f>
        <v>Maquinaria</v>
      </c>
      <c r="I1090" s="115" t="s">
        <v>57</v>
      </c>
      <c r="J1090" s="115" t="str">
        <f>+VLOOKUP($I1090,Tabla7[#All],2,FALSE)</f>
        <v>NO PROGRAMADA</v>
      </c>
      <c r="K1090" s="114" t="s">
        <v>148</v>
      </c>
      <c r="L1090" s="35" t="s">
        <v>2088</v>
      </c>
      <c r="M1090" s="35" t="s">
        <v>2089</v>
      </c>
      <c r="N1090" s="35" t="str" cm="1">
        <f t="array" ref="N1090">IFERROR(IF(Tabla8[[#This Row],[P/NP]]="NO PROGRAMADA","",_xlfn.TEXTJOIN(", ",TRUE,_xlfn._xlws.FILTER(Tabla4[[#All],[PIEZA]],ISNUMBER(SEARCH(Tabla4[[#All],[PCLAVE]],Tabla8[[#This Row],[DESCRIPCION DE TRABAJO]])),""))),"")</f>
        <v/>
      </c>
      <c r="O1090" s="35" t="str" cm="1">
        <f t="array" ref="O1090">_xlfn.TEXTJOIN(", ",TRUE,_xlfn._xlws.FILTER(Tabla28[[#All],[PARTE]],ISNUMBER(SEARCH(Tabla28[[#All],[PCLAVE2]],Tabla8[[#This Row],[DESCRIPCION DE TRABAJO]])),""))</f>
        <v/>
      </c>
      <c r="P1090" s="303" t="str">
        <f>IFERROR(LEFT(O1090, FIND(",", O1090)-1), O1090)</f>
        <v/>
      </c>
      <c r="Q1090" s="303" t="str">
        <f>IFERROR(IF(ISERROR(FIND(",", O1090, FIND(",", O1090)+1)), RIGHT(O1090, LEN(O1090)-FIND(",", O1090)-1), MID(O1090, FIND(",", O1090)+2, FIND(",", O1090, FIND(",", O1090)+1)-FIND(",", O1090)-2)), "")</f>
        <v/>
      </c>
      <c r="R1090" s="303" t="str">
        <f>IFERROR(RIGHT(O1090, LEN(O1090)-FIND(",", O1090, FIND(",", O1090)+1)-1), "")</f>
        <v/>
      </c>
      <c r="S1090" s="35" t="str" cm="1">
        <f t="array" ref="S1090">_xlfn.TEXTJOIN(", ",TRUE,_xlfn._xlws.FILTER(Tabla29[[#All],[PARTE]],ISNUMBER(SEARCH(Tabla29[[#All],[PCLAVE3]],Tabla8[[#This Row],[DESCRIPCION DE TRABAJO]])),""))</f>
        <v/>
      </c>
      <c r="T1090" s="34" t="str">
        <f>IF(AND(Tabla8[[#This Row],[PIEZA]]="",Tabla8[[#This Row],[PARTE]]=""),"VACIO","OK")</f>
        <v>VACIO</v>
      </c>
      <c r="U1090" s="303" t="str">
        <f>+CONCATENATE(WEEKNUM(Tabla8[[#This Row],[FECHA]]),"-",YEAR(Tabla8[[#This Row],[FECHA]]))</f>
        <v>18-2026</v>
      </c>
    </row>
    <row r="1091" spans="1:21" ht="15" customHeight="1">
      <c r="A1091" s="22">
        <v>46141</v>
      </c>
      <c r="B1091" s="16" t="s">
        <v>131</v>
      </c>
      <c r="C1091" s="10" t="s">
        <v>39</v>
      </c>
      <c r="D1091" s="381" t="s">
        <v>2090</v>
      </c>
      <c r="E1091" s="381" t="s">
        <v>418</v>
      </c>
      <c r="F1091" s="380">
        <f>+MOD(Tabla8[[#This Row],[HR. FIN]]-Tabla8[[#This Row],[HR. INICIO]],1)</f>
        <v>9.0277777777777735E-3</v>
      </c>
      <c r="G1091" s="16" t="s">
        <v>31</v>
      </c>
      <c r="H1091" s="343" t="str">
        <f>IFERROR(VLOOKUP(G1091,DATOS!$M$2:$N$219,2,FALSE),"")</f>
        <v>Maquinaria</v>
      </c>
      <c r="I1091" s="115" t="s">
        <v>32</v>
      </c>
      <c r="J1091" s="115" t="str">
        <f>+VLOOKUP($I1091,Tabla7[#All],2,FALSE)</f>
        <v>PROGRAMADA</v>
      </c>
      <c r="K1091" s="114" t="str">
        <f>IF(VLOOKUP(I1091,Tabla7[#All],3,FALSE)=0,"",VLOOKUP(I1091,Tabla7[#All],3,FALSE))</f>
        <v/>
      </c>
      <c r="L1091" s="35" t="s">
        <v>2091</v>
      </c>
      <c r="M1091" s="35" t="s">
        <v>2092</v>
      </c>
      <c r="N1091" s="35" t="str" cm="1">
        <f t="array" ref="N1091">IFERROR(IF(Tabla8[[#This Row],[P/NP]]="NO PROGRAMADA","",_xlfn.TEXTJOIN(", ",TRUE,_xlfn._xlws.FILTER(Tabla4[[#All],[PIEZA]],ISNUMBER(SEARCH(Tabla4[[#All],[PCLAVE]],Tabla8[[#This Row],[DESCRIPCION DE TRABAJO]])),""))),"")</f>
        <v>Producto</v>
      </c>
      <c r="O1091" s="35" t="str" cm="1">
        <f t="array" ref="O1091">_xlfn.TEXTJOIN(", ",TRUE,_xlfn._xlws.FILTER(Tabla28[[#All],[PARTE]],ISNUMBER(SEARCH(Tabla28[[#All],[PCLAVE2]],Tabla8[[#This Row],[DESCRIPCION DE TRABAJO]])),""))</f>
        <v/>
      </c>
      <c r="P1091" s="303" t="str">
        <f>IFERROR(LEFT(O1091, FIND(",", O1091)-1), O1091)</f>
        <v/>
      </c>
      <c r="Q1091" s="303" t="str">
        <f>IFERROR(IF(ISERROR(FIND(",", O1091, FIND(",", O1091)+1)), RIGHT(O1091, LEN(O1091)-FIND(",", O1091)-1), MID(O1091, FIND(",", O1091)+2, FIND(",", O1091, FIND(",", O1091)+1)-FIND(",", O1091)-2)), "")</f>
        <v/>
      </c>
      <c r="R1091" s="303" t="str">
        <f>IFERROR(RIGHT(O1091, LEN(O1091)-FIND(",", O1091, FIND(",", O1091)+1)-1), "")</f>
        <v/>
      </c>
      <c r="S1091" s="35" t="str" cm="1">
        <f t="array" ref="S1091">_xlfn.TEXTJOIN(", ",TRUE,_xlfn._xlws.FILTER(Tabla29[[#All],[PARTE]],ISNUMBER(SEARCH(Tabla29[[#All],[PCLAVE3]],Tabla8[[#This Row],[DESCRIPCION DE TRABAJO]])),""))</f>
        <v>Cambio De Formato</v>
      </c>
      <c r="T1091" s="34" t="str">
        <f>IF(AND(Tabla8[[#This Row],[PIEZA]]="",Tabla8[[#This Row],[PARTE]]=""),"VACIO","OK")</f>
        <v>OK</v>
      </c>
      <c r="U1091" s="303" t="str">
        <f>+CONCATENATE(WEEKNUM(Tabla8[[#This Row],[FECHA]]),"-",YEAR(Tabla8[[#This Row],[FECHA]]))</f>
        <v>18-2026</v>
      </c>
    </row>
    <row r="1092" spans="1:21" ht="15" customHeight="1">
      <c r="A1092" s="22">
        <v>46141</v>
      </c>
      <c r="B1092" s="16" t="s">
        <v>179</v>
      </c>
      <c r="C1092" s="10" t="s">
        <v>23</v>
      </c>
      <c r="D1092" s="381" t="s">
        <v>456</v>
      </c>
      <c r="E1092" s="381" t="s">
        <v>393</v>
      </c>
      <c r="F1092" s="380">
        <f>+MOD(Tabla8[[#This Row],[HR. FIN]]-Tabla8[[#This Row],[HR. INICIO]],1)</f>
        <v>6.9444444444444198E-3</v>
      </c>
      <c r="G1092" s="16" t="s">
        <v>996</v>
      </c>
      <c r="H1092" s="343" t="str">
        <f>IFERROR(VLOOKUP(G1092,DATOS!$M$2:$N$219,2,FALSE),"")</f>
        <v>Area</v>
      </c>
      <c r="I1092" s="115" t="s">
        <v>54</v>
      </c>
      <c r="J1092" s="115" t="str">
        <f>+VLOOKUP($I1092,Tabla7[#All],2,FALSE)</f>
        <v>PROGRAMADA</v>
      </c>
      <c r="K1092" s="114" t="str">
        <f>IF(VLOOKUP(I1092,Tabla7[#All],3,FALSE)=0,"",VLOOKUP(I1092,Tabla7[#All],3,FALSE))</f>
        <v/>
      </c>
      <c r="L1092" s="35" t="s">
        <v>2093</v>
      </c>
      <c r="M1092" s="35" t="s">
        <v>121</v>
      </c>
      <c r="N1092" s="35" t="str" cm="1">
        <f t="array" ref="N1092">IFERROR(IF(Tabla8[[#This Row],[P/NP]]="NO PROGRAMADA","",_xlfn.TEXTJOIN(", ",TRUE,_xlfn._xlws.FILTER(Tabla4[[#All],[PIEZA]],ISNUMBER(SEARCH(Tabla4[[#All],[PCLAVE]],Tabla8[[#This Row],[DESCRIPCION DE TRABAJO]])),""))),"")</f>
        <v/>
      </c>
      <c r="O1092" s="35" t="str" cm="1">
        <f t="array" ref="O1092">_xlfn.TEXTJOIN(", ",TRUE,_xlfn._xlws.FILTER(Tabla28[[#All],[PARTE]],ISNUMBER(SEARCH(Tabla28[[#All],[PCLAVE2]],Tabla8[[#This Row],[DESCRIPCION DE TRABAJO]])),""))</f>
        <v/>
      </c>
      <c r="P1092" s="303" t="str">
        <f>IFERROR(LEFT(O1092, FIND(",", O1092)-1), O1092)</f>
        <v/>
      </c>
      <c r="Q1092" s="303" t="str">
        <f>IFERROR(IF(ISERROR(FIND(",", O1092, FIND(",", O1092)+1)), RIGHT(O1092, LEN(O1092)-FIND(",", O1092)-1), MID(O1092, FIND(",", O1092)+2, FIND(",", O1092, FIND(",", O1092)+1)-FIND(",", O1092)-2)), "")</f>
        <v/>
      </c>
      <c r="R1092" s="303" t="str">
        <f>IFERROR(RIGHT(O1092, LEN(O1092)-FIND(",", O1092, FIND(",", O1092)+1)-1), "")</f>
        <v/>
      </c>
      <c r="S1092" s="35" t="str" cm="1">
        <f t="array" ref="S1092">_xlfn.TEXTJOIN(", ",TRUE,_xlfn._xlws.FILTER(Tabla29[[#All],[PARTE]],ISNUMBER(SEARCH(Tabla29[[#All],[PCLAVE3]],Tabla8[[#This Row],[DESCRIPCION DE TRABAJO]])),""))</f>
        <v/>
      </c>
      <c r="T1092" s="34" t="str">
        <f>IF(AND(Tabla8[[#This Row],[PIEZA]]="",Tabla8[[#This Row],[PARTE]]=""),"VACIO","OK")</f>
        <v>VACIO</v>
      </c>
      <c r="U1092" s="303" t="str">
        <f>+CONCATENATE(WEEKNUM(Tabla8[[#This Row],[FECHA]]),"-",YEAR(Tabla8[[#This Row],[FECHA]]))</f>
        <v>18-2026</v>
      </c>
    </row>
    <row r="1093" spans="1:21" ht="15" customHeight="1">
      <c r="A1093" s="22">
        <v>46142</v>
      </c>
      <c r="B1093" s="16" t="s">
        <v>111</v>
      </c>
      <c r="C1093" s="10" t="s">
        <v>23</v>
      </c>
      <c r="D1093" s="381" t="s">
        <v>585</v>
      </c>
      <c r="E1093" s="381" t="s">
        <v>281</v>
      </c>
      <c r="F1093" s="380">
        <f>+MOD(Tabla8[[#This Row],[HR. FIN]]-Tabla8[[#This Row],[HR. INICIO]],1)</f>
        <v>9.7222222222222265E-2</v>
      </c>
      <c r="G1093" s="16" t="s">
        <v>1177</v>
      </c>
      <c r="H1093" s="343" t="str">
        <f>IFERROR(VLOOKUP(G1093,DATOS!$M$2:$N$219,2,FALSE),"")</f>
        <v>Maquinaria</v>
      </c>
      <c r="I1093" s="115" t="s">
        <v>61</v>
      </c>
      <c r="J1093" s="115" t="s">
        <v>92</v>
      </c>
      <c r="K1093" s="114" t="s">
        <v>93</v>
      </c>
      <c r="L1093" s="35" t="s">
        <v>2094</v>
      </c>
      <c r="M1093" s="35" t="s">
        <v>2095</v>
      </c>
      <c r="N1093" s="35" t="str" cm="1">
        <f t="array" ref="N1093">IFERROR(IF(Tabla8[[#This Row],[P/NP]]="NO PROGRAMADA","",_xlfn.TEXTJOIN(", ",TRUE,_xlfn._xlws.FILTER(Tabla4[[#All],[PIEZA]],ISNUMBER(SEARCH(Tabla4[[#All],[PCLAVE]],Tabla8[[#This Row],[DESCRIPCION DE TRABAJO]])),""))),"")</f>
        <v/>
      </c>
      <c r="O1093" s="35" t="str" cm="1">
        <f t="array" ref="O1093">_xlfn.TEXTJOIN(", ",TRUE,_xlfn._xlws.FILTER(Tabla28[[#All],[PARTE]],ISNUMBER(SEARCH(Tabla28[[#All],[PCLAVE2]],Tabla8[[#This Row],[DESCRIPCION DE TRABAJO]])),""))</f>
        <v/>
      </c>
      <c r="P1093" s="303" t="str">
        <f>IFERROR(LEFT(O1093, FIND(",", O1093)-1), O1093)</f>
        <v/>
      </c>
      <c r="Q1093" s="303" t="str">
        <f>IFERROR(IF(ISERROR(FIND(",", O1093, FIND(",", O1093)+1)), RIGHT(O1093, LEN(O1093)-FIND(",", O1093)-1), MID(O1093, FIND(",", O1093)+2, FIND(",", O1093, FIND(",", O1093)+1)-FIND(",", O1093)-2)), "")</f>
        <v/>
      </c>
      <c r="R1093" s="303" t="str">
        <f>IFERROR(RIGHT(O1093, LEN(O1093)-FIND(",", O1093, FIND(",", O1093)+1)-1), "")</f>
        <v/>
      </c>
      <c r="S1093" s="35" t="str" cm="1">
        <f t="array" ref="S1093">_xlfn.TEXTJOIN(", ",TRUE,_xlfn._xlws.FILTER(Tabla29[[#All],[PARTE]],ISNUMBER(SEARCH(Tabla29[[#All],[PCLAVE3]],Tabla8[[#This Row],[DESCRIPCION DE TRABAJO]])),""))</f>
        <v/>
      </c>
      <c r="T1093" s="34" t="str">
        <f>IF(AND(Tabla8[[#This Row],[PIEZA]]="",Tabla8[[#This Row],[PARTE]]=""),"VACIO","OK")</f>
        <v>VACIO</v>
      </c>
      <c r="U1093" s="303" t="str">
        <f>+CONCATENATE(WEEKNUM(Tabla8[[#This Row],[FECHA]]),"-",YEAR(Tabla8[[#This Row],[FECHA]]))</f>
        <v>18-2026</v>
      </c>
    </row>
    <row r="1094" spans="1:21" ht="15" customHeight="1">
      <c r="A1094" s="22">
        <v>46142</v>
      </c>
      <c r="B1094" s="16" t="s">
        <v>111</v>
      </c>
      <c r="C1094" s="10" t="s">
        <v>23</v>
      </c>
      <c r="D1094" s="381" t="s">
        <v>311</v>
      </c>
      <c r="E1094" s="381" t="s">
        <v>590</v>
      </c>
      <c r="F1094" s="380">
        <f>+MOD(Tabla8[[#This Row],[HR. FIN]]-Tabla8[[#This Row],[HR. INICIO]],1)</f>
        <v>6.25E-2</v>
      </c>
      <c r="G1094" s="16" t="s">
        <v>182</v>
      </c>
      <c r="H1094" s="343" t="str">
        <f>IFERROR(VLOOKUP(G1094,DATOS!$M$2:$N$219,2,FALSE),"")</f>
        <v>Maquinaria</v>
      </c>
      <c r="I1094" s="115" t="s">
        <v>57</v>
      </c>
      <c r="J1094" s="115" t="str">
        <f>+VLOOKUP($I1094,Tabla7[#All],2,FALSE)</f>
        <v>NO PROGRAMADA</v>
      </c>
      <c r="K1094" s="114" t="str">
        <f>IF(VLOOKUP(I1094,Tabla7[#All],3,FALSE)=0,"",VLOOKUP(I1094,Tabla7[#All],3,FALSE))</f>
        <v>MECÁNICA</v>
      </c>
      <c r="L1094" s="35" t="s">
        <v>2096</v>
      </c>
      <c r="M1094" s="35" t="s">
        <v>2097</v>
      </c>
      <c r="N1094" s="35" t="str" cm="1">
        <f t="array" ref="N1094">IFERROR(IF(Tabla8[[#This Row],[P/NP]]="NO PROGRAMADA","",_xlfn.TEXTJOIN(", ",TRUE,_xlfn._xlws.FILTER(Tabla4[[#All],[PIEZA]],ISNUMBER(SEARCH(Tabla4[[#All],[PCLAVE]],Tabla8[[#This Row],[DESCRIPCION DE TRABAJO]])),""))),"")</f>
        <v/>
      </c>
      <c r="O1094" s="35" t="str" cm="1">
        <f t="array" ref="O1094">_xlfn.TEXTJOIN(", ",TRUE,_xlfn._xlws.FILTER(Tabla28[[#All],[PARTE]],ISNUMBER(SEARCH(Tabla28[[#All],[PCLAVE2]],Tabla8[[#This Row],[DESCRIPCION DE TRABAJO]])),""))</f>
        <v/>
      </c>
      <c r="P1094" s="303" t="str">
        <f>IFERROR(LEFT(O1094, FIND(",", O1094)-1), O1094)</f>
        <v/>
      </c>
      <c r="Q1094" s="303" t="str">
        <f>IFERROR(IF(ISERROR(FIND(",", O1094, FIND(",", O1094)+1)), RIGHT(O1094, LEN(O1094)-FIND(",", O1094)-1), MID(O1094, FIND(",", O1094)+2, FIND(",", O1094, FIND(",", O1094)+1)-FIND(",", O1094)-2)), "")</f>
        <v/>
      </c>
      <c r="R1094" s="303" t="str">
        <f>IFERROR(RIGHT(O1094, LEN(O1094)-FIND(",", O1094, FIND(",", O1094)+1)-1), "")</f>
        <v/>
      </c>
      <c r="S1094" s="35" t="str" cm="1">
        <f t="array" ref="S1094">_xlfn.TEXTJOIN(", ",TRUE,_xlfn._xlws.FILTER(Tabla29[[#All],[PARTE]],ISNUMBER(SEARCH(Tabla29[[#All],[PCLAVE3]],Tabla8[[#This Row],[DESCRIPCION DE TRABAJO]])),""))</f>
        <v>Laminado</v>
      </c>
      <c r="T1094" s="34" t="str">
        <f>IF(AND(Tabla8[[#This Row],[PIEZA]]="",Tabla8[[#This Row],[PARTE]]=""),"VACIO","OK")</f>
        <v>VACIO</v>
      </c>
      <c r="U1094" s="303" t="str">
        <f>+CONCATENATE(WEEKNUM(Tabla8[[#This Row],[FECHA]]),"-",YEAR(Tabla8[[#This Row],[FECHA]]))</f>
        <v>18-2026</v>
      </c>
    </row>
    <row r="1095" spans="1:21" ht="15" customHeight="1">
      <c r="A1095" s="22">
        <v>46142</v>
      </c>
      <c r="B1095" s="16" t="s">
        <v>191</v>
      </c>
      <c r="C1095" s="10" t="s">
        <v>36</v>
      </c>
      <c r="D1095" s="381" t="s">
        <v>2098</v>
      </c>
      <c r="E1095" s="381" t="s">
        <v>2099</v>
      </c>
      <c r="F1095" s="380">
        <f>+MOD(Tabla8[[#This Row],[HR. FIN]]-Tabla8[[#This Row],[HR. INICIO]],1)</f>
        <v>5.1388888888888873E-2</v>
      </c>
      <c r="G1095" s="16" t="s">
        <v>2100</v>
      </c>
      <c r="H1095" s="343" t="str">
        <f>IFERROR(VLOOKUP(G1095,DATOS!$M$2:$N$219,2,FALSE),"")</f>
        <v>Maquinaria</v>
      </c>
      <c r="I1095" s="115" t="s">
        <v>390</v>
      </c>
      <c r="J1095" s="115" t="str">
        <f>+VLOOKUP($I1095,Tabla7[#All],2,FALSE)</f>
        <v>PROGRAMADA</v>
      </c>
      <c r="K1095" s="114" t="str">
        <f>IF(VLOOKUP(I1095,Tabla7[#All],3,FALSE)=0,"",VLOOKUP(I1095,Tabla7[#All],3,FALSE))</f>
        <v/>
      </c>
      <c r="L1095" s="35" t="s">
        <v>2101</v>
      </c>
      <c r="M1095" s="35" t="s">
        <v>121</v>
      </c>
      <c r="N1095" s="35" t="str" cm="1">
        <f t="array" ref="N1095">IFERROR(IF(Tabla8[[#This Row],[P/NP]]="NO PROGRAMADA","",_xlfn.TEXTJOIN(", ",TRUE,_xlfn._xlws.FILTER(Tabla4[[#All],[PIEZA]],ISNUMBER(SEARCH(Tabla4[[#All],[PCLAVE]],Tabla8[[#This Row],[DESCRIPCION DE TRABAJO]])),""))),"")</f>
        <v/>
      </c>
      <c r="O1095" s="35" t="str" cm="1">
        <f t="array" ref="O1095">_xlfn.TEXTJOIN(", ",TRUE,_xlfn._xlws.FILTER(Tabla28[[#All],[PARTE]],ISNUMBER(SEARCH(Tabla28[[#All],[PCLAVE2]],Tabla8[[#This Row],[DESCRIPCION DE TRABAJO]])),""))</f>
        <v/>
      </c>
      <c r="P1095" s="303" t="str">
        <f>IFERROR(LEFT(O1095, FIND(",", O1095)-1), O1095)</f>
        <v/>
      </c>
      <c r="Q1095" s="303" t="str">
        <f>IFERROR(IF(ISERROR(FIND(",", O1095, FIND(",", O1095)+1)), RIGHT(O1095, LEN(O1095)-FIND(",", O1095)-1), MID(O1095, FIND(",", O1095)+2, FIND(",", O1095, FIND(",", O1095)+1)-FIND(",", O1095)-2)), "")</f>
        <v/>
      </c>
      <c r="R1095" s="303" t="str">
        <f>IFERROR(RIGHT(O1095, LEN(O1095)-FIND(",", O1095, FIND(",", O1095)+1)-1), "")</f>
        <v/>
      </c>
      <c r="S1095" s="35" t="str" cm="1">
        <f t="array" ref="S1095">_xlfn.TEXTJOIN(", ",TRUE,_xlfn._xlws.FILTER(Tabla29[[#All],[PARTE]],ISNUMBER(SEARCH(Tabla29[[#All],[PCLAVE3]],Tabla8[[#This Row],[DESCRIPCION DE TRABAJO]])),""))</f>
        <v/>
      </c>
      <c r="T1095" s="34" t="str">
        <f>IF(AND(Tabla8[[#This Row],[PIEZA]]="",Tabla8[[#This Row],[PARTE]]=""),"VACIO","OK")</f>
        <v>VACIO</v>
      </c>
      <c r="U1095" s="303" t="str">
        <f>+CONCATENATE(WEEKNUM(Tabla8[[#This Row],[FECHA]]),"-",YEAR(Tabla8[[#This Row],[FECHA]]))</f>
        <v>18-2026</v>
      </c>
    </row>
    <row r="1096" spans="1:21" ht="15" customHeight="1">
      <c r="A1096" s="22">
        <v>46142</v>
      </c>
      <c r="B1096" s="16" t="s">
        <v>191</v>
      </c>
      <c r="C1096" s="10" t="s">
        <v>36</v>
      </c>
      <c r="D1096" s="381" t="s">
        <v>2102</v>
      </c>
      <c r="E1096" s="381" t="s">
        <v>159</v>
      </c>
      <c r="F1096" s="380">
        <f>+MOD(Tabla8[[#This Row],[HR. FIN]]-Tabla8[[#This Row],[HR. INICIO]],1)</f>
        <v>4.3750000000000011E-2</v>
      </c>
      <c r="G1096" s="16" t="s">
        <v>270</v>
      </c>
      <c r="H1096" s="343" t="str">
        <f>IFERROR(VLOOKUP(G1096,DATOS!$M$2:$N$219,2,FALSE),"")</f>
        <v>Maquinaria</v>
      </c>
      <c r="I1096" s="115" t="s">
        <v>57</v>
      </c>
      <c r="J1096" s="115" t="str">
        <f>+VLOOKUP($I1096,Tabla7[#All],2,FALSE)</f>
        <v>NO PROGRAMADA</v>
      </c>
      <c r="K1096" s="114" t="str">
        <f>IF(VLOOKUP(I1096,Tabla7[#All],3,FALSE)=0,"",VLOOKUP(I1096,Tabla7[#All],3,FALSE))</f>
        <v>MECÁNICA</v>
      </c>
      <c r="L1096" s="35" t="s">
        <v>2103</v>
      </c>
      <c r="M1096" s="35" t="s">
        <v>2104</v>
      </c>
      <c r="N1096" s="35" t="str" cm="1">
        <f t="array" ref="N1096">IFERROR(IF(Tabla8[[#This Row],[P/NP]]="NO PROGRAMADA","",_xlfn.TEXTJOIN(", ",TRUE,_xlfn._xlws.FILTER(Tabla4[[#All],[PIEZA]],ISNUMBER(SEARCH(Tabla4[[#All],[PCLAVE]],Tabla8[[#This Row],[DESCRIPCION DE TRABAJO]])),""))),"")</f>
        <v/>
      </c>
      <c r="O1096" s="35" t="str" cm="1">
        <f t="array" ref="O1096">_xlfn.TEXTJOIN(", ",TRUE,_xlfn._xlws.FILTER(Tabla28[[#All],[PARTE]],ISNUMBER(SEARCH(Tabla28[[#All],[PCLAVE2]],Tabla8[[#This Row],[DESCRIPCION DE TRABAJO]])),""))</f>
        <v>Columna, Temperadora</v>
      </c>
      <c r="P1096" s="303" t="str">
        <f>IFERROR(LEFT(O1096, FIND(",", O1096)-1), O1096)</f>
        <v>Columna</v>
      </c>
      <c r="Q1096" s="303" t="str">
        <f>IFERROR(IF(ISERROR(FIND(",", O1096, FIND(",", O1096)+1)), RIGHT(O1096, LEN(O1096)-FIND(",", O1096)-1), MID(O1096, FIND(",", O1096)+2, FIND(",", O1096, FIND(",", O1096)+1)-FIND(",", O1096)-2)), "")</f>
        <v>Temperadora</v>
      </c>
      <c r="R1096" s="303" t="str">
        <f>IFERROR(RIGHT(O1096, LEN(O1096)-FIND(",", O1096, FIND(",", O1096)+1)-1), "")</f>
        <v/>
      </c>
      <c r="S1096" s="35" t="str" cm="1">
        <f t="array" ref="S1096">_xlfn.TEXTJOIN(", ",TRUE,_xlfn._xlws.FILTER(Tabla29[[#All],[PARTE]],ISNUMBER(SEARCH(Tabla29[[#All],[PCLAVE3]],Tabla8[[#This Row],[DESCRIPCION DE TRABAJO]])),""))</f>
        <v>Ruido, Soltura, Soltura</v>
      </c>
      <c r="T1096" s="34" t="str">
        <f>IF(AND(Tabla8[[#This Row],[PIEZA]]="",Tabla8[[#This Row],[PARTE]]=""),"VACIO","OK")</f>
        <v>OK</v>
      </c>
      <c r="U1096" s="303" t="str">
        <f>+CONCATENATE(WEEKNUM(Tabla8[[#This Row],[FECHA]]),"-",YEAR(Tabla8[[#This Row],[FECHA]]))</f>
        <v>18-2026</v>
      </c>
    </row>
    <row r="1097" spans="1:21" ht="15" customHeight="1">
      <c r="A1097" s="22">
        <v>46142</v>
      </c>
      <c r="B1097" s="16" t="s">
        <v>88</v>
      </c>
      <c r="C1097" s="10" t="s">
        <v>36</v>
      </c>
      <c r="D1097" s="381" t="s">
        <v>126</v>
      </c>
      <c r="E1097" s="381" t="s">
        <v>89</v>
      </c>
      <c r="F1097" s="380">
        <f>+MOD(Tabla8[[#This Row],[HR. FIN]]-Tabla8[[#This Row],[HR. INICIO]],1)</f>
        <v>4.1666666666666685E-2</v>
      </c>
      <c r="G1097" s="16" t="s">
        <v>270</v>
      </c>
      <c r="H1097" s="343" t="str">
        <f>IFERROR(VLOOKUP(G1097,DATOS!$M$2:$N$219,2,FALSE),"")</f>
        <v>Maquinaria</v>
      </c>
      <c r="I1097" s="115" t="s">
        <v>28</v>
      </c>
      <c r="J1097" s="115" t="str">
        <f>+VLOOKUP($I1097,Tabla7[#All],2,FALSE)</f>
        <v>NO PROGRAMADA</v>
      </c>
      <c r="K1097" s="114" t="s">
        <v>93</v>
      </c>
      <c r="L1097" s="35" t="s">
        <v>2105</v>
      </c>
      <c r="M1097" s="35" t="s">
        <v>2106</v>
      </c>
      <c r="N1097" s="35" t="str" cm="1">
        <f t="array" ref="N1097">IFERROR(IF(Tabla8[[#This Row],[P/NP]]="NO PROGRAMADA","",_xlfn.TEXTJOIN(", ",TRUE,_xlfn._xlws.FILTER(Tabla4[[#All],[PIEZA]],ISNUMBER(SEARCH(Tabla4[[#All],[PCLAVE]],Tabla8[[#This Row],[DESCRIPCION DE TRABAJO]])),""))),"")</f>
        <v/>
      </c>
      <c r="O1097" s="35" t="str" cm="1">
        <f t="array" ref="O1097">_xlfn.TEXTJOIN(", ",TRUE,_xlfn._xlws.FILTER(Tabla28[[#All],[PARTE]],ISNUMBER(SEARCH(Tabla28[[#All],[PCLAVE2]],Tabla8[[#This Row],[DESCRIPCION DE TRABAJO]])),""))</f>
        <v>Columna</v>
      </c>
      <c r="P1097" s="303" t="str">
        <f>IFERROR(LEFT(O1097, FIND(",", O1097)-1), O1097)</f>
        <v>Columna</v>
      </c>
      <c r="Q1097" s="303" t="str">
        <f>IFERROR(IF(ISERROR(FIND(",", O1097, FIND(",", O1097)+1)), RIGHT(O1097, LEN(O1097)-FIND(",", O1097)-1), MID(O1097, FIND(",", O1097)+2, FIND(",", O1097, FIND(",", O1097)+1)-FIND(",", O1097)-2)), "")</f>
        <v/>
      </c>
      <c r="R1097" s="303" t="str">
        <f>IFERROR(RIGHT(O1097, LEN(O1097)-FIND(",", O1097, FIND(",", O1097)+1)-1), "")</f>
        <v/>
      </c>
      <c r="S1097" s="35" t="str" cm="1">
        <f t="array" ref="S1097">_xlfn.TEXTJOIN(", ",TRUE,_xlfn._xlws.FILTER(Tabla29[[#All],[PARTE]],ISNUMBER(SEARCH(Tabla29[[#All],[PCLAVE3]],Tabla8[[#This Row],[DESCRIPCION DE TRABAJO]])),""))</f>
        <v>Rotura, Soltura, Soltura</v>
      </c>
      <c r="T1097" s="34" t="str">
        <f>IF(AND(Tabla8[[#This Row],[PIEZA]]="",Tabla8[[#This Row],[PARTE]]=""),"VACIO","OK")</f>
        <v>OK</v>
      </c>
      <c r="U1097" s="303" t="str">
        <f>+CONCATENATE(WEEKNUM(Tabla8[[#This Row],[FECHA]]),"-",YEAR(Tabla8[[#This Row],[FECHA]]))</f>
        <v>18-2026</v>
      </c>
    </row>
    <row r="1098" spans="1:21" ht="15" customHeight="1">
      <c r="A1098" s="22">
        <v>46142</v>
      </c>
      <c r="B1098" s="16" t="s">
        <v>88</v>
      </c>
      <c r="C1098" s="10" t="s">
        <v>36</v>
      </c>
      <c r="D1098" s="381" t="s">
        <v>523</v>
      </c>
      <c r="E1098" s="381" t="s">
        <v>97</v>
      </c>
      <c r="F1098" s="380">
        <f>+MOD(Tabla8[[#This Row],[HR. FIN]]-Tabla8[[#This Row],[HR. INICIO]],1)</f>
        <v>3.125E-2</v>
      </c>
      <c r="G1098" s="16" t="s">
        <v>328</v>
      </c>
      <c r="H1098" s="343" t="str">
        <f>IFERROR(VLOOKUP(G1098,DATOS!$M$2:$N$219,2,FALSE),"")</f>
        <v>Area</v>
      </c>
      <c r="I1098" s="115" t="s">
        <v>61</v>
      </c>
      <c r="J1098" s="115" t="str">
        <f>+VLOOKUP($I1098,Tabla7[#All],2,FALSE)</f>
        <v>PROGRAMADA</v>
      </c>
      <c r="K1098" s="114" t="str">
        <f>IF(VLOOKUP(I1098,Tabla7[#All],3,FALSE)=0,"",VLOOKUP(I1098,Tabla7[#All],3,FALSE))</f>
        <v/>
      </c>
      <c r="L1098" s="35" t="s">
        <v>1090</v>
      </c>
      <c r="M1098" s="35" t="s">
        <v>1090</v>
      </c>
      <c r="N1098" s="35" t="str" cm="1">
        <f t="array" ref="N1098">IFERROR(IF(Tabla8[[#This Row],[P/NP]]="NO PROGRAMADA","",_xlfn.TEXTJOIN(", ",TRUE,_xlfn._xlws.FILTER(Tabla4[[#All],[PIEZA]],ISNUMBER(SEARCH(Tabla4[[#All],[PCLAVE]],Tabla8[[#This Row],[DESCRIPCION DE TRABAJO]])),""))),"")</f>
        <v/>
      </c>
      <c r="O1098" s="35" t="str" cm="1">
        <f t="array" ref="O1098">_xlfn.TEXTJOIN(", ",TRUE,_xlfn._xlws.FILTER(Tabla28[[#All],[PARTE]],ISNUMBER(SEARCH(Tabla28[[#All],[PCLAVE2]],Tabla8[[#This Row],[DESCRIPCION DE TRABAJO]])),""))</f>
        <v/>
      </c>
      <c r="P1098" s="303" t="str">
        <f>IFERROR(LEFT(O1098, FIND(",", O1098)-1), O1098)</f>
        <v/>
      </c>
      <c r="Q1098" s="303" t="str">
        <f>IFERROR(IF(ISERROR(FIND(",", O1098, FIND(",", O1098)+1)), RIGHT(O1098, LEN(O1098)-FIND(",", O1098)-1), MID(O1098, FIND(",", O1098)+2, FIND(",", O1098, FIND(",", O1098)+1)-FIND(",", O1098)-2)), "")</f>
        <v/>
      </c>
      <c r="R1098" s="303" t="str">
        <f>IFERROR(RIGHT(O1098, LEN(O1098)-FIND(",", O1098, FIND(",", O1098)+1)-1), "")</f>
        <v/>
      </c>
      <c r="S1098" s="35" t="str" cm="1">
        <f t="array" ref="S1098">_xlfn.TEXTJOIN(", ",TRUE,_xlfn._xlws.FILTER(Tabla29[[#All],[PARTE]],ISNUMBER(SEARCH(Tabla29[[#All],[PCLAVE3]],Tabla8[[#This Row],[DESCRIPCION DE TRABAJO]])),""))</f>
        <v/>
      </c>
      <c r="T1098" s="34" t="str">
        <f>IF(AND(Tabla8[[#This Row],[PIEZA]]="",Tabla8[[#This Row],[PARTE]]=""),"VACIO","OK")</f>
        <v>VACIO</v>
      </c>
      <c r="U1098" s="303" t="str">
        <f>+CONCATENATE(WEEKNUM(Tabla8[[#This Row],[FECHA]]),"-",YEAR(Tabla8[[#This Row],[FECHA]]))</f>
        <v>18-2026</v>
      </c>
    </row>
    <row r="1099" spans="1:21" ht="15" customHeight="1">
      <c r="A1099" s="22">
        <v>46142</v>
      </c>
      <c r="B1099" s="16" t="s">
        <v>191</v>
      </c>
      <c r="C1099" s="10" t="s">
        <v>36</v>
      </c>
      <c r="D1099" s="381" t="s">
        <v>2107</v>
      </c>
      <c r="E1099" s="381" t="s">
        <v>2061</v>
      </c>
      <c r="F1099" s="380">
        <f>+MOD(Tabla8[[#This Row],[HR. FIN]]-Tabla8[[#This Row],[HR. INICIO]],1)</f>
        <v>2.2916666666666696E-2</v>
      </c>
      <c r="G1099" s="16" t="s">
        <v>119</v>
      </c>
      <c r="H1099" s="343" t="str">
        <f>IFERROR(VLOOKUP(G1099,DATOS!$M$2:$N$219,2,FALSE),"")</f>
        <v>Maquinaria</v>
      </c>
      <c r="I1099" s="115" t="s">
        <v>32</v>
      </c>
      <c r="J1099" s="115" t="str">
        <f>+VLOOKUP($I1099,Tabla7[#All],2,FALSE)</f>
        <v>PROGRAMADA</v>
      </c>
      <c r="K1099" s="114" t="str">
        <f>IF(VLOOKUP(I1099,Tabla7[#All],3,FALSE)=0,"",VLOOKUP(I1099,Tabla7[#All],3,FALSE))</f>
        <v/>
      </c>
      <c r="L1099" s="35" t="s">
        <v>1508</v>
      </c>
      <c r="M1099" s="35" t="s">
        <v>121</v>
      </c>
      <c r="N1099" s="35" t="str" cm="1">
        <f t="array" ref="N1099">IFERROR(IF(Tabla8[[#This Row],[P/NP]]="NO PROGRAMADA","",_xlfn.TEXTJOIN(", ",TRUE,_xlfn._xlws.FILTER(Tabla4[[#All],[PIEZA]],ISNUMBER(SEARCH(Tabla4[[#All],[PCLAVE]],Tabla8[[#This Row],[DESCRIPCION DE TRABAJO]])),""))),"")</f>
        <v/>
      </c>
      <c r="O1099" s="35" t="str" cm="1">
        <f t="array" ref="O1099">_xlfn.TEXTJOIN(", ",TRUE,_xlfn._xlws.FILTER(Tabla28[[#All],[PARTE]],ISNUMBER(SEARCH(Tabla28[[#All],[PCLAVE2]],Tabla8[[#This Row],[DESCRIPCION DE TRABAJO]])),""))</f>
        <v>Mds</v>
      </c>
      <c r="P1099" s="303" t="str">
        <f>IFERROR(LEFT(O1099, FIND(",", O1099)-1), O1099)</f>
        <v>Mds</v>
      </c>
      <c r="Q1099" s="303" t="str">
        <f>IFERROR(IF(ISERROR(FIND(",", O1099, FIND(",", O1099)+1)), RIGHT(O1099, LEN(O1099)-FIND(",", O1099)-1), MID(O1099, FIND(",", O1099)+2, FIND(",", O1099, FIND(",", O1099)+1)-FIND(",", O1099)-2)), "")</f>
        <v/>
      </c>
      <c r="R1099" s="303" t="str">
        <f>IFERROR(RIGHT(O1099, LEN(O1099)-FIND(",", O1099, FIND(",", O1099)+1)-1), "")</f>
        <v/>
      </c>
      <c r="S1099" s="35" t="str" cm="1">
        <f t="array" ref="S1099">_xlfn.TEXTJOIN(", ",TRUE,_xlfn._xlws.FILTER(Tabla29[[#All],[PARTE]],ISNUMBER(SEARCH(Tabla29[[#All],[PCLAVE3]],Tabla8[[#This Row],[DESCRIPCION DE TRABAJO]])),""))</f>
        <v>Cambio De Formato</v>
      </c>
      <c r="T1099" s="34" t="str">
        <f>IF(AND(Tabla8[[#This Row],[PIEZA]]="",Tabla8[[#This Row],[PARTE]]=""),"VACIO","OK")</f>
        <v>OK</v>
      </c>
      <c r="U1099" s="303" t="str">
        <f>+CONCATENATE(WEEKNUM(Tabla8[[#This Row],[FECHA]]),"-",YEAR(Tabla8[[#This Row],[FECHA]]))</f>
        <v>18-2026</v>
      </c>
    </row>
    <row r="1100" spans="1:21" ht="15" customHeight="1">
      <c r="A1100" s="22">
        <v>46142</v>
      </c>
      <c r="B1100" s="16" t="s">
        <v>111</v>
      </c>
      <c r="C1100" s="10" t="s">
        <v>23</v>
      </c>
      <c r="D1100" s="381" t="s">
        <v>468</v>
      </c>
      <c r="E1100" s="381" t="s">
        <v>107</v>
      </c>
      <c r="F1100" s="380">
        <f>+MOD(Tabla8[[#This Row],[HR. FIN]]-Tabla8[[#This Row],[HR. INICIO]],1)</f>
        <v>2.083333333333337E-2</v>
      </c>
      <c r="G1100" s="16" t="s">
        <v>119</v>
      </c>
      <c r="H1100" s="343" t="str">
        <f>IFERROR(VLOOKUP(G1100,DATOS!$M$2:$N$219,2,FALSE),"")</f>
        <v>Maquinaria</v>
      </c>
      <c r="I1100" s="115" t="s">
        <v>32</v>
      </c>
      <c r="J1100" s="115" t="str">
        <f>+VLOOKUP($I1100,Tabla7[#All],2,FALSE)</f>
        <v>PROGRAMADA</v>
      </c>
      <c r="K1100" s="114" t="str">
        <f>IF(VLOOKUP(I1100,Tabla7[#All],3,FALSE)=0,"",VLOOKUP(I1100,Tabla7[#All],3,FALSE))</f>
        <v/>
      </c>
      <c r="L1100" s="35" t="s">
        <v>2108</v>
      </c>
      <c r="M1100" s="35" t="s">
        <v>121</v>
      </c>
      <c r="N1100" s="35" t="str" cm="1">
        <f t="array" ref="N1100">IFERROR(IF(Tabla8[[#This Row],[P/NP]]="NO PROGRAMADA","",_xlfn.TEXTJOIN(", ",TRUE,_xlfn._xlws.FILTER(Tabla4[[#All],[PIEZA]],ISNUMBER(SEARCH(Tabla4[[#All],[PCLAVE]],Tabla8[[#This Row],[DESCRIPCION DE TRABAJO]])),""))),"")</f>
        <v/>
      </c>
      <c r="O1100" s="35" t="str" cm="1">
        <f t="array" ref="O1100">_xlfn.TEXTJOIN(", ",TRUE,_xlfn._xlws.FILTER(Tabla28[[#All],[PARTE]],ISNUMBER(SEARCH(Tabla28[[#All],[PCLAVE2]],Tabla8[[#This Row],[DESCRIPCION DE TRABAJO]])),""))</f>
        <v>Mds</v>
      </c>
      <c r="P1100" s="303" t="str">
        <f>IFERROR(LEFT(O1100, FIND(",", O1100)-1), O1100)</f>
        <v>Mds</v>
      </c>
      <c r="Q1100" s="303" t="str">
        <f>IFERROR(IF(ISERROR(FIND(",", O1100, FIND(",", O1100)+1)), RIGHT(O1100, LEN(O1100)-FIND(",", O1100)-1), MID(O1100, FIND(",", O1100)+2, FIND(",", O1100, FIND(",", O1100)+1)-FIND(",", O1100)-2)), "")</f>
        <v/>
      </c>
      <c r="R1100" s="303" t="str">
        <f>IFERROR(RIGHT(O1100, LEN(O1100)-FIND(",", O1100, FIND(",", O1100)+1)-1), "")</f>
        <v/>
      </c>
      <c r="S1100" s="35" t="str" cm="1">
        <f t="array" ref="S1100">_xlfn.TEXTJOIN(", ",TRUE,_xlfn._xlws.FILTER(Tabla29[[#All],[PARTE]],ISNUMBER(SEARCH(Tabla29[[#All],[PCLAVE3]],Tabla8[[#This Row],[DESCRIPCION DE TRABAJO]])),""))</f>
        <v/>
      </c>
      <c r="T1100" s="34" t="str">
        <f>IF(AND(Tabla8[[#This Row],[PIEZA]]="",Tabla8[[#This Row],[PARTE]]=""),"VACIO","OK")</f>
        <v>OK</v>
      </c>
      <c r="U1100" s="303" t="str">
        <f>+CONCATENATE(WEEKNUM(Tabla8[[#This Row],[FECHA]]),"-",YEAR(Tabla8[[#This Row],[FECHA]]))</f>
        <v>18-2026</v>
      </c>
    </row>
    <row r="1101" spans="1:21" ht="15" customHeight="1">
      <c r="A1101" s="22">
        <v>46142</v>
      </c>
      <c r="B1101" s="16" t="s">
        <v>111</v>
      </c>
      <c r="C1101" s="10" t="s">
        <v>23</v>
      </c>
      <c r="D1101" s="381" t="s">
        <v>1102</v>
      </c>
      <c r="E1101" s="381" t="s">
        <v>2021</v>
      </c>
      <c r="F1101" s="380">
        <f>+MOD(Tabla8[[#This Row],[HR. FIN]]-Tabla8[[#This Row],[HR. INICIO]],1)</f>
        <v>2.0833333333333259E-2</v>
      </c>
      <c r="G1101" s="16" t="s">
        <v>1177</v>
      </c>
      <c r="H1101" s="343" t="str">
        <f>IFERROR(VLOOKUP(G1101,DATOS!$M$2:$N$219,2,FALSE),"")</f>
        <v>Maquinaria</v>
      </c>
      <c r="I1101" s="115" t="s">
        <v>28</v>
      </c>
      <c r="J1101" s="115" t="s">
        <v>157</v>
      </c>
      <c r="K1101" s="114"/>
      <c r="L1101" s="35" t="s">
        <v>2094</v>
      </c>
      <c r="M1101" s="35" t="s">
        <v>2109</v>
      </c>
      <c r="N1101" s="35" t="str" cm="1">
        <f t="array" ref="N1101">IFERROR(IF(Tabla8[[#This Row],[P/NP]]="NO PROGRAMADA","",_xlfn.TEXTJOIN(", ",TRUE,_xlfn._xlws.FILTER(Tabla4[[#All],[PIEZA]],ISNUMBER(SEARCH(Tabla4[[#All],[PCLAVE]],Tabla8[[#This Row],[DESCRIPCION DE TRABAJO]])),""))),"")</f>
        <v/>
      </c>
      <c r="O1101" s="35" t="str" cm="1">
        <f t="array" ref="O1101">_xlfn.TEXTJOIN(", ",TRUE,_xlfn._xlws.FILTER(Tabla28[[#All],[PARTE]],ISNUMBER(SEARCH(Tabla28[[#All],[PCLAVE2]],Tabla8[[#This Row],[DESCRIPCION DE TRABAJO]])),""))</f>
        <v/>
      </c>
      <c r="P1101" s="303" t="str">
        <f>IFERROR(LEFT(O1101, FIND(",", O1101)-1), O1101)</f>
        <v/>
      </c>
      <c r="Q1101" s="303" t="str">
        <f>IFERROR(IF(ISERROR(FIND(",", O1101, FIND(",", O1101)+1)), RIGHT(O1101, LEN(O1101)-FIND(",", O1101)-1), MID(O1101, FIND(",", O1101)+2, FIND(",", O1101, FIND(",", O1101)+1)-FIND(",", O1101)-2)), "")</f>
        <v/>
      </c>
      <c r="R1101" s="303" t="str">
        <f>IFERROR(RIGHT(O1101, LEN(O1101)-FIND(",", O1101, FIND(",", O1101)+1)-1), "")</f>
        <v/>
      </c>
      <c r="S1101" s="35" t="str" cm="1">
        <f t="array" ref="S1101">_xlfn.TEXTJOIN(", ",TRUE,_xlfn._xlws.FILTER(Tabla29[[#All],[PARTE]],ISNUMBER(SEARCH(Tabla29[[#All],[PCLAVE3]],Tabla8[[#This Row],[DESCRIPCION DE TRABAJO]])),""))</f>
        <v/>
      </c>
      <c r="T1101" s="34" t="str">
        <f>IF(AND(Tabla8[[#This Row],[PIEZA]]="",Tabla8[[#This Row],[PARTE]]=""),"VACIO","OK")</f>
        <v>VACIO</v>
      </c>
      <c r="U1101" s="303" t="str">
        <f>+CONCATENATE(WEEKNUM(Tabla8[[#This Row],[FECHA]]),"-",YEAR(Tabla8[[#This Row],[FECHA]]))</f>
        <v>18-2026</v>
      </c>
    </row>
    <row r="1102" spans="1:21" ht="15" customHeight="1">
      <c r="A1102" s="22">
        <v>46142</v>
      </c>
      <c r="B1102" s="16" t="s">
        <v>111</v>
      </c>
      <c r="C1102" s="10" t="s">
        <v>23</v>
      </c>
      <c r="D1102" s="381" t="s">
        <v>533</v>
      </c>
      <c r="E1102" s="381" t="s">
        <v>310</v>
      </c>
      <c r="F1102" s="380">
        <f>+MOD(Tabla8[[#This Row],[HR. FIN]]-Tabla8[[#This Row],[HR. INICIO]],1)</f>
        <v>2.0833333333333259E-2</v>
      </c>
      <c r="G1102" s="16" t="s">
        <v>119</v>
      </c>
      <c r="H1102" s="343" t="str">
        <f>IFERROR(VLOOKUP(G1102,DATOS!$M$2:$N$219,2,FALSE),"")</f>
        <v>Maquinaria</v>
      </c>
      <c r="I1102" s="115" t="s">
        <v>54</v>
      </c>
      <c r="J1102" s="115" t="str">
        <f>+VLOOKUP($I1102,Tabla7[#All],2,FALSE)</f>
        <v>PROGRAMADA</v>
      </c>
      <c r="K1102" s="114" t="str">
        <f>IF(VLOOKUP(I1102,Tabla7[#All],3,FALSE)=0,"",VLOOKUP(I1102,Tabla7[#All],3,FALSE))</f>
        <v/>
      </c>
      <c r="L1102" s="35" t="s">
        <v>2110</v>
      </c>
      <c r="M1102" s="35" t="s">
        <v>121</v>
      </c>
      <c r="N1102" s="35" t="str" cm="1">
        <f t="array" ref="N1102">IFERROR(IF(Tabla8[[#This Row],[P/NP]]="NO PROGRAMADA","",_xlfn.TEXTJOIN(", ",TRUE,_xlfn._xlws.FILTER(Tabla4[[#All],[PIEZA]],ISNUMBER(SEARCH(Tabla4[[#All],[PCLAVE]],Tabla8[[#This Row],[DESCRIPCION DE TRABAJO]])),""))),"")</f>
        <v>Moldes</v>
      </c>
      <c r="O1102" s="35" t="str" cm="1">
        <f t="array" ref="O1102">_xlfn.TEXTJOIN(", ",TRUE,_xlfn._xlws.FILTER(Tabla28[[#All],[PARTE]],ISNUMBER(SEARCH(Tabla28[[#All],[PCLAVE2]],Tabla8[[#This Row],[DESCRIPCION DE TRABAJO]])),""))</f>
        <v>Robot</v>
      </c>
      <c r="P1102" s="303" t="str">
        <f>IFERROR(LEFT(O1102, FIND(",", O1102)-1), O1102)</f>
        <v>Robot</v>
      </c>
      <c r="Q1102" s="303" t="str">
        <f>IFERROR(IF(ISERROR(FIND(",", O1102, FIND(",", O1102)+1)), RIGHT(O1102, LEN(O1102)-FIND(",", O1102)-1), MID(O1102, FIND(",", O1102)+2, FIND(",", O1102, FIND(",", O1102)+1)-FIND(",", O1102)-2)), "")</f>
        <v/>
      </c>
      <c r="R1102" s="303" t="str">
        <f>IFERROR(RIGHT(O1102, LEN(O1102)-FIND(",", O1102, FIND(",", O1102)+1)-1), "")</f>
        <v/>
      </c>
      <c r="S1102" s="35" t="str" cm="1">
        <f t="array" ref="S1102">_xlfn.TEXTJOIN(", ",TRUE,_xlfn._xlws.FILTER(Tabla29[[#All],[PARTE]],ISNUMBER(SEARCH(Tabla29[[#All],[PCLAVE3]],Tabla8[[#This Row],[DESCRIPCION DE TRABAJO]])),""))</f>
        <v>Desmolde</v>
      </c>
      <c r="T1102" s="34" t="str">
        <f>IF(AND(Tabla8[[#This Row],[PIEZA]]="",Tabla8[[#This Row],[PARTE]]=""),"VACIO","OK")</f>
        <v>OK</v>
      </c>
      <c r="U1102" s="303" t="str">
        <f>+CONCATENATE(WEEKNUM(Tabla8[[#This Row],[FECHA]]),"-",YEAR(Tabla8[[#This Row],[FECHA]]))</f>
        <v>18-2026</v>
      </c>
    </row>
    <row r="1103" spans="1:21" ht="15" customHeight="1">
      <c r="A1103" s="22">
        <v>46142</v>
      </c>
      <c r="B1103" s="16" t="s">
        <v>111</v>
      </c>
      <c r="C1103" s="10" t="s">
        <v>23</v>
      </c>
      <c r="D1103" s="381" t="s">
        <v>584</v>
      </c>
      <c r="E1103" s="381" t="s">
        <v>577</v>
      </c>
      <c r="F1103" s="380">
        <f>+MOD(Tabla8[[#This Row],[HR. FIN]]-Tabla8[[#This Row],[HR. INICIO]],1)</f>
        <v>2.0833333333333259E-2</v>
      </c>
      <c r="G1103" s="16" t="s">
        <v>119</v>
      </c>
      <c r="H1103" s="343" t="str">
        <f>IFERROR(VLOOKUP(G1103,DATOS!$M$2:$N$219,2,FALSE),"")</f>
        <v>Maquinaria</v>
      </c>
      <c r="I1103" s="115" t="s">
        <v>32</v>
      </c>
      <c r="J1103" s="115" t="str">
        <f>+VLOOKUP($I1103,Tabla7[#All],2,FALSE)</f>
        <v>PROGRAMADA</v>
      </c>
      <c r="K1103" s="114" t="str">
        <f>IF(VLOOKUP(I1103,Tabla7[#All],3,FALSE)=0,"",VLOOKUP(I1103,Tabla7[#All],3,FALSE))</f>
        <v/>
      </c>
      <c r="L1103" s="35" t="s">
        <v>2111</v>
      </c>
      <c r="M1103" s="35" t="s">
        <v>121</v>
      </c>
      <c r="N1103" s="35" t="str" cm="1">
        <f t="array" ref="N1103">IFERROR(IF(Tabla8[[#This Row],[P/NP]]="NO PROGRAMADA","",_xlfn.TEXTJOIN(", ",TRUE,_xlfn._xlws.FILTER(Tabla4[[#All],[PIEZA]],ISNUMBER(SEARCH(Tabla4[[#All],[PCLAVE]],Tabla8[[#This Row],[DESCRIPCION DE TRABAJO]])),""))),"")</f>
        <v/>
      </c>
      <c r="O1103" s="35" t="str" cm="1">
        <f t="array" ref="O1103">_xlfn.TEXTJOIN(", ",TRUE,_xlfn._xlws.FILTER(Tabla28[[#All],[PARTE]],ISNUMBER(SEARCH(Tabla28[[#All],[PCLAVE2]],Tabla8[[#This Row],[DESCRIPCION DE TRABAJO]])),""))</f>
        <v>Mds</v>
      </c>
      <c r="P1103" s="303" t="str">
        <f>IFERROR(LEFT(O1103, FIND(",", O1103)-1), O1103)</f>
        <v>Mds</v>
      </c>
      <c r="Q1103" s="303" t="str">
        <f>IFERROR(IF(ISERROR(FIND(",", O1103, FIND(",", O1103)+1)), RIGHT(O1103, LEN(O1103)-FIND(",", O1103)-1), MID(O1103, FIND(",", O1103)+2, FIND(",", O1103, FIND(",", O1103)+1)-FIND(",", O1103)-2)), "")</f>
        <v/>
      </c>
      <c r="R1103" s="303" t="str">
        <f>IFERROR(RIGHT(O1103, LEN(O1103)-FIND(",", O1103, FIND(",", O1103)+1)-1), "")</f>
        <v/>
      </c>
      <c r="S1103" s="35" t="str" cm="1">
        <f t="array" ref="S1103">_xlfn.TEXTJOIN(", ",TRUE,_xlfn._xlws.FILTER(Tabla29[[#All],[PARTE]],ISNUMBER(SEARCH(Tabla29[[#All],[PCLAVE3]],Tabla8[[#This Row],[DESCRIPCION DE TRABAJO]])),""))</f>
        <v/>
      </c>
      <c r="T1103" s="34" t="str">
        <f>IF(AND(Tabla8[[#This Row],[PIEZA]]="",Tabla8[[#This Row],[PARTE]]=""),"VACIO","OK")</f>
        <v>OK</v>
      </c>
      <c r="U1103" s="303" t="str">
        <f>+CONCATENATE(WEEKNUM(Tabla8[[#This Row],[FECHA]]),"-",YEAR(Tabla8[[#This Row],[FECHA]]))</f>
        <v>18-2026</v>
      </c>
    </row>
    <row r="1104" spans="1:21" ht="15" customHeight="1">
      <c r="A1104" s="22">
        <v>46142</v>
      </c>
      <c r="B1104" s="16" t="s">
        <v>191</v>
      </c>
      <c r="C1104" s="10" t="s">
        <v>36</v>
      </c>
      <c r="D1104" s="381" t="s">
        <v>2112</v>
      </c>
      <c r="E1104" s="381" t="s">
        <v>2113</v>
      </c>
      <c r="F1104" s="380">
        <f>+MOD(Tabla8[[#This Row],[HR. FIN]]-Tabla8[[#This Row],[HR. INICIO]],1)</f>
        <v>1.9444444444444431E-2</v>
      </c>
      <c r="G1104" s="16" t="s">
        <v>119</v>
      </c>
      <c r="H1104" s="343" t="str">
        <f>IFERROR(VLOOKUP(G1104,DATOS!$M$2:$N$219,2,FALSE),"")</f>
        <v>Maquinaria</v>
      </c>
      <c r="I1104" s="115" t="s">
        <v>32</v>
      </c>
      <c r="J1104" s="115" t="str">
        <f>+VLOOKUP($I1104,Tabla7[#All],2,FALSE)</f>
        <v>PROGRAMADA</v>
      </c>
      <c r="K1104" s="114" t="str">
        <f>IF(VLOOKUP(I1104,Tabla7[#All],3,FALSE)=0,"",VLOOKUP(I1104,Tabla7[#All],3,FALSE))</f>
        <v/>
      </c>
      <c r="L1104" s="35" t="s">
        <v>2114</v>
      </c>
      <c r="M1104" s="35" t="s">
        <v>121</v>
      </c>
      <c r="N1104" s="35" t="str" cm="1">
        <f t="array" ref="N1104">IFERROR(IF(Tabla8[[#This Row],[P/NP]]="NO PROGRAMADA","",_xlfn.TEXTJOIN(", ",TRUE,_xlfn._xlws.FILTER(Tabla4[[#All],[PIEZA]],ISNUMBER(SEARCH(Tabla4[[#All],[PCLAVE]],Tabla8[[#This Row],[DESCRIPCION DE TRABAJO]])),""))),"")</f>
        <v/>
      </c>
      <c r="O1104" s="35" t="str" cm="1">
        <f t="array" ref="O1104">_xlfn.TEXTJOIN(", ",TRUE,_xlfn._xlws.FILTER(Tabla28[[#All],[PARTE]],ISNUMBER(SEARCH(Tabla28[[#All],[PCLAVE2]],Tabla8[[#This Row],[DESCRIPCION DE TRABAJO]])),""))</f>
        <v>Mds</v>
      </c>
      <c r="P1104" s="303" t="str">
        <f>IFERROR(LEFT(O1104, FIND(",", O1104)-1), O1104)</f>
        <v>Mds</v>
      </c>
      <c r="Q1104" s="303" t="str">
        <f>IFERROR(IF(ISERROR(FIND(",", O1104, FIND(",", O1104)+1)), RIGHT(O1104, LEN(O1104)-FIND(",", O1104)-1), MID(O1104, FIND(",", O1104)+2, FIND(",", O1104, FIND(",", O1104)+1)-FIND(",", O1104)-2)), "")</f>
        <v/>
      </c>
      <c r="R1104" s="303" t="str">
        <f>IFERROR(RIGHT(O1104, LEN(O1104)-FIND(",", O1104, FIND(",", O1104)+1)-1), "")</f>
        <v/>
      </c>
      <c r="S1104" s="35" t="str" cm="1">
        <f t="array" ref="S1104">_xlfn.TEXTJOIN(", ",TRUE,_xlfn._xlws.FILTER(Tabla29[[#All],[PARTE]],ISNUMBER(SEARCH(Tabla29[[#All],[PCLAVE3]],Tabla8[[#This Row],[DESCRIPCION DE TRABAJO]])),""))</f>
        <v>Cambio De Formato</v>
      </c>
      <c r="T1104" s="34" t="str">
        <f>IF(AND(Tabla8[[#This Row],[PIEZA]]="",Tabla8[[#This Row],[PARTE]]=""),"VACIO","OK")</f>
        <v>OK</v>
      </c>
      <c r="U1104" s="303" t="str">
        <f>+CONCATENATE(WEEKNUM(Tabla8[[#This Row],[FECHA]]),"-",YEAR(Tabla8[[#This Row],[FECHA]]))</f>
        <v>18-2026</v>
      </c>
    </row>
    <row r="1105" spans="1:21" ht="15" customHeight="1">
      <c r="A1105" s="22">
        <v>46142</v>
      </c>
      <c r="B1105" s="16" t="s">
        <v>191</v>
      </c>
      <c r="C1105" s="10" t="s">
        <v>36</v>
      </c>
      <c r="D1105" s="381" t="s">
        <v>2115</v>
      </c>
      <c r="E1105" s="381" t="s">
        <v>1487</v>
      </c>
      <c r="F1105" s="380">
        <f>+MOD(Tabla8[[#This Row],[HR. FIN]]-Tabla8[[#This Row],[HR. INICIO]],1)</f>
        <v>1.8055555555555547E-2</v>
      </c>
      <c r="G1105" s="16" t="s">
        <v>215</v>
      </c>
      <c r="H1105" s="343" t="str">
        <f>IFERROR(VLOOKUP(G1105,DATOS!$M$2:$N$219,2,FALSE),"")</f>
        <v>Equipos auxiliares</v>
      </c>
      <c r="I1105" s="115" t="s">
        <v>54</v>
      </c>
      <c r="J1105" s="115" t="str">
        <f>+VLOOKUP($I1105,Tabla7[#All],2,FALSE)</f>
        <v>PROGRAMADA</v>
      </c>
      <c r="K1105" s="114" t="str">
        <f>IF(VLOOKUP(I1105,Tabla7[#All],3,FALSE)=0,"",VLOOKUP(I1105,Tabla7[#All],3,FALSE))</f>
        <v/>
      </c>
      <c r="L1105" s="35" t="s">
        <v>248</v>
      </c>
      <c r="M1105" s="35" t="s">
        <v>121</v>
      </c>
      <c r="N1105" s="35" t="str" cm="1">
        <f t="array" ref="N1105">IFERROR(IF(Tabla8[[#This Row],[P/NP]]="NO PROGRAMADA","",_xlfn.TEXTJOIN(", ",TRUE,_xlfn._xlws.FILTER(Tabla4[[#All],[PIEZA]],ISNUMBER(SEARCH(Tabla4[[#All],[PCLAVE]],Tabla8[[#This Row],[DESCRIPCION DE TRABAJO]])),""))),"")</f>
        <v/>
      </c>
      <c r="O1105" s="35" t="str" cm="1">
        <f t="array" ref="O1105">_xlfn.TEXTJOIN(", ",TRUE,_xlfn._xlws.FILTER(Tabla28[[#All],[PARTE]],ISNUMBER(SEARCH(Tabla28[[#All],[PCLAVE2]],Tabla8[[#This Row],[DESCRIPCION DE TRABAJO]])),""))</f>
        <v/>
      </c>
      <c r="P1105" s="303" t="str">
        <f>IFERROR(LEFT(O1105, FIND(",", O1105)-1), O1105)</f>
        <v/>
      </c>
      <c r="Q1105" s="303" t="str">
        <f>IFERROR(IF(ISERROR(FIND(",", O1105, FIND(",", O1105)+1)), RIGHT(O1105, LEN(O1105)-FIND(",", O1105)-1), MID(O1105, FIND(",", O1105)+2, FIND(",", O1105, FIND(",", O1105)+1)-FIND(",", O1105)-2)), "")</f>
        <v/>
      </c>
      <c r="R1105" s="303" t="str">
        <f>IFERROR(RIGHT(O1105, LEN(O1105)-FIND(",", O1105, FIND(",", O1105)+1)-1), "")</f>
        <v/>
      </c>
      <c r="S1105" s="35" t="str" cm="1">
        <f t="array" ref="S1105">_xlfn.TEXTJOIN(", ",TRUE,_xlfn._xlws.FILTER(Tabla29[[#All],[PARTE]],ISNUMBER(SEARCH(Tabla29[[#All],[PCLAVE3]],Tabla8[[#This Row],[DESCRIPCION DE TRABAJO]])),""))</f>
        <v/>
      </c>
      <c r="T1105" s="34" t="str">
        <f>IF(AND(Tabla8[[#This Row],[PIEZA]]="",Tabla8[[#This Row],[PARTE]]=""),"VACIO","OK")</f>
        <v>VACIO</v>
      </c>
      <c r="U1105" s="303" t="str">
        <f>+CONCATENATE(WEEKNUM(Tabla8[[#This Row],[FECHA]]),"-",YEAR(Tabla8[[#This Row],[FECHA]]))</f>
        <v>18-2026</v>
      </c>
    </row>
    <row r="1106" spans="1:21" ht="15" customHeight="1">
      <c r="A1106" s="22">
        <v>46142</v>
      </c>
      <c r="B1106" s="16" t="s">
        <v>191</v>
      </c>
      <c r="C1106" s="10" t="s">
        <v>36</v>
      </c>
      <c r="D1106" s="381" t="s">
        <v>2116</v>
      </c>
      <c r="E1106" s="381" t="s">
        <v>2117</v>
      </c>
      <c r="F1106" s="380">
        <f>+MOD(Tabla8[[#This Row],[HR. FIN]]-Tabla8[[#This Row],[HR. INICIO]],1)</f>
        <v>1.736111111111116E-2</v>
      </c>
      <c r="G1106" s="16" t="s">
        <v>119</v>
      </c>
      <c r="H1106" s="343" t="str">
        <f>IFERROR(VLOOKUP(G1106,DATOS!$M$2:$N$219,2,FALSE),"")</f>
        <v>Maquinaria</v>
      </c>
      <c r="I1106" s="115" t="s">
        <v>57</v>
      </c>
      <c r="J1106" s="115" t="str">
        <f>+VLOOKUP($I1106,Tabla7[#All],2,FALSE)</f>
        <v>NO PROGRAMADA</v>
      </c>
      <c r="K1106" s="114" t="str">
        <f>IF(VLOOKUP(I1106,Tabla7[#All],3,FALSE)=0,"",VLOOKUP(I1106,Tabla7[#All],3,FALSE))</f>
        <v>MECÁNICA</v>
      </c>
      <c r="L1106" s="35" t="s">
        <v>2118</v>
      </c>
      <c r="M1106" s="35" t="s">
        <v>2119</v>
      </c>
      <c r="N1106" s="35" t="str" cm="1">
        <f t="array" ref="N1106">IFERROR(IF(Tabla8[[#This Row],[P/NP]]="NO PROGRAMADA","",_xlfn.TEXTJOIN(", ",TRUE,_xlfn._xlws.FILTER(Tabla4[[#All],[PIEZA]],ISNUMBER(SEARCH(Tabla4[[#All],[PCLAVE]],Tabla8[[#This Row],[DESCRIPCION DE TRABAJO]])),""))),"")</f>
        <v/>
      </c>
      <c r="O1106" s="35" t="str" cm="1">
        <f t="array" ref="O1106">_xlfn.TEXTJOIN(", ",TRUE,_xlfn._xlws.FILTER(Tabla28[[#All],[PARTE]],ISNUMBER(SEARCH(Tabla28[[#All],[PCLAVE2]],Tabla8[[#This Row],[DESCRIPCION DE TRABAJO]])),""))</f>
        <v>Robot</v>
      </c>
      <c r="P1106" s="303" t="str">
        <f>IFERROR(LEFT(O1106, FIND(",", O1106)-1), O1106)</f>
        <v>Robot</v>
      </c>
      <c r="Q1106" s="303" t="str">
        <f>IFERROR(IF(ISERROR(FIND(",", O1106, FIND(",", O1106)+1)), RIGHT(O1106, LEN(O1106)-FIND(",", O1106)-1), MID(O1106, FIND(",", O1106)+2, FIND(",", O1106, FIND(",", O1106)+1)-FIND(",", O1106)-2)), "")</f>
        <v/>
      </c>
      <c r="R1106" s="303" t="str">
        <f>IFERROR(RIGHT(O1106, LEN(O1106)-FIND(",", O1106, FIND(",", O1106)+1)-1), "")</f>
        <v/>
      </c>
      <c r="S1106" s="35" t="str" cm="1">
        <f t="array" ref="S1106">_xlfn.TEXTJOIN(", ",TRUE,_xlfn._xlws.FILTER(Tabla29[[#All],[PARTE]],ISNUMBER(SEARCH(Tabla29[[#All],[PCLAVE3]],Tabla8[[#This Row],[DESCRIPCION DE TRABAJO]])),""))</f>
        <v>Desmolde</v>
      </c>
      <c r="T1106" s="34" t="str">
        <f>IF(AND(Tabla8[[#This Row],[PIEZA]]="",Tabla8[[#This Row],[PARTE]]=""),"VACIO","OK")</f>
        <v>OK</v>
      </c>
      <c r="U1106" s="303" t="str">
        <f>+CONCATENATE(WEEKNUM(Tabla8[[#This Row],[FECHA]]),"-",YEAR(Tabla8[[#This Row],[FECHA]]))</f>
        <v>18-2026</v>
      </c>
    </row>
    <row r="1107" spans="1:21" ht="15" customHeight="1">
      <c r="A1107" s="22">
        <v>46142</v>
      </c>
      <c r="B1107" s="16" t="s">
        <v>191</v>
      </c>
      <c r="C1107" s="10" t="s">
        <v>36</v>
      </c>
      <c r="D1107" s="381" t="s">
        <v>2120</v>
      </c>
      <c r="E1107" s="381" t="s">
        <v>1689</v>
      </c>
      <c r="F1107" s="380">
        <f>+MOD(Tabla8[[#This Row],[HR. FIN]]-Tabla8[[#This Row],[HR. INICIO]],1)</f>
        <v>1.4583333333333337E-2</v>
      </c>
      <c r="G1107" s="16" t="s">
        <v>1205</v>
      </c>
      <c r="H1107" s="343" t="str">
        <f>IFERROR(VLOOKUP(G1107,DATOS!$M$2:$N$219,2,FALSE),"")</f>
        <v>Maquinaria</v>
      </c>
      <c r="I1107" s="115" t="s">
        <v>32</v>
      </c>
      <c r="J1107" s="115" t="s">
        <v>92</v>
      </c>
      <c r="K1107" s="114" t="s">
        <v>148</v>
      </c>
      <c r="L1107" s="35" t="s">
        <v>2121</v>
      </c>
      <c r="M1107" s="35" t="s">
        <v>2122</v>
      </c>
      <c r="N1107" s="35" t="str" cm="1">
        <f t="array" ref="N1107">IFERROR(IF(Tabla8[[#This Row],[P/NP]]="NO PROGRAMADA","",_xlfn.TEXTJOIN(", ",TRUE,_xlfn._xlws.FILTER(Tabla4[[#All],[PIEZA]],ISNUMBER(SEARCH(Tabla4[[#All],[PCLAVE]],Tabla8[[#This Row],[DESCRIPCION DE TRABAJO]])),""))),"")</f>
        <v/>
      </c>
      <c r="O1107" s="35" t="str" cm="1">
        <f t="array" ref="O1107">_xlfn.TEXTJOIN(", ",TRUE,_xlfn._xlws.FILTER(Tabla28[[#All],[PARTE]],ISNUMBER(SEARCH(Tabla28[[#All],[PCLAVE2]],Tabla8[[#This Row],[DESCRIPCION DE TRABAJO]])),""))</f>
        <v/>
      </c>
      <c r="P1107" s="303" t="str">
        <f>IFERROR(LEFT(O1107, FIND(",", O1107)-1), O1107)</f>
        <v/>
      </c>
      <c r="Q1107" s="303" t="str">
        <f>IFERROR(IF(ISERROR(FIND(",", O1107, FIND(",", O1107)+1)), RIGHT(O1107, LEN(O1107)-FIND(",", O1107)-1), MID(O1107, FIND(",", O1107)+2, FIND(",", O1107, FIND(",", O1107)+1)-FIND(",", O1107)-2)), "")</f>
        <v/>
      </c>
      <c r="R1107" s="303" t="str">
        <f>IFERROR(RIGHT(O1107, LEN(O1107)-FIND(",", O1107, FIND(",", O1107)+1)-1), "")</f>
        <v/>
      </c>
      <c r="S1107" s="35" t="str" cm="1">
        <f t="array" ref="S1107">_xlfn.TEXTJOIN(", ",TRUE,_xlfn._xlws.FILTER(Tabla29[[#All],[PARTE]],ISNUMBER(SEARCH(Tabla29[[#All],[PCLAVE3]],Tabla8[[#This Row],[DESCRIPCION DE TRABAJO]])),""))</f>
        <v>No Cae Producto</v>
      </c>
      <c r="T1107" s="34" t="str">
        <f>IF(AND(Tabla8[[#This Row],[PIEZA]]="",Tabla8[[#This Row],[PARTE]]=""),"VACIO","OK")</f>
        <v>VACIO</v>
      </c>
      <c r="U1107" s="303" t="str">
        <f>+CONCATENATE(WEEKNUM(Tabla8[[#This Row],[FECHA]]),"-",YEAR(Tabla8[[#This Row],[FECHA]]))</f>
        <v>18-2026</v>
      </c>
    </row>
    <row r="1108" spans="1:21" ht="15" customHeight="1">
      <c r="A1108" s="22">
        <v>46142</v>
      </c>
      <c r="B1108" s="16" t="s">
        <v>88</v>
      </c>
      <c r="C1108" s="10" t="s">
        <v>36</v>
      </c>
      <c r="D1108" s="381" t="s">
        <v>495</v>
      </c>
      <c r="E1108" s="381" t="s">
        <v>556</v>
      </c>
      <c r="F1108" s="380">
        <f>+MOD(Tabla8[[#This Row],[HR. FIN]]-Tabla8[[#This Row],[HR. INICIO]],1)</f>
        <v>1.3888888888888895E-2</v>
      </c>
      <c r="G1108" s="16" t="s">
        <v>438</v>
      </c>
      <c r="H1108" s="343" t="str">
        <f>IFERROR(VLOOKUP(G1108,DATOS!$M$2:$N$219,2,FALSE),"")</f>
        <v>Maquinaria</v>
      </c>
      <c r="I1108" s="115" t="s">
        <v>61</v>
      </c>
      <c r="J1108" s="115" t="s">
        <v>92</v>
      </c>
      <c r="K1108" s="114" t="s">
        <v>148</v>
      </c>
      <c r="L1108" s="35" t="s">
        <v>2123</v>
      </c>
      <c r="M1108" s="35" t="s">
        <v>2124</v>
      </c>
      <c r="N1108" s="35" t="str" cm="1">
        <f t="array" ref="N1108">IFERROR(IF(Tabla8[[#This Row],[P/NP]]="NO PROGRAMADA","",_xlfn.TEXTJOIN(", ",TRUE,_xlfn._xlws.FILTER(Tabla4[[#All],[PIEZA]],ISNUMBER(SEARCH(Tabla4[[#All],[PCLAVE]],Tabla8[[#This Row],[DESCRIPCION DE TRABAJO]])),""))),"")</f>
        <v/>
      </c>
      <c r="O1108" s="35" t="str" cm="1">
        <f t="array" ref="O1108">_xlfn.TEXTJOIN(", ",TRUE,_xlfn._xlws.FILTER(Tabla28[[#All],[PARTE]],ISNUMBER(SEARCH(Tabla28[[#All],[PCLAVE2]],Tabla8[[#This Row],[DESCRIPCION DE TRABAJO]])),""))</f>
        <v/>
      </c>
      <c r="P1108" s="303" t="str">
        <f>IFERROR(LEFT(O1108, FIND(",", O1108)-1), O1108)</f>
        <v/>
      </c>
      <c r="Q1108" s="303" t="str">
        <f>IFERROR(IF(ISERROR(FIND(",", O1108, FIND(",", O1108)+1)), RIGHT(O1108, LEN(O1108)-FIND(",", O1108)-1), MID(O1108, FIND(",", O1108)+2, FIND(",", O1108, FIND(",", O1108)+1)-FIND(",", O1108)-2)), "")</f>
        <v/>
      </c>
      <c r="R1108" s="303" t="str">
        <f>IFERROR(RIGHT(O1108, LEN(O1108)-FIND(",", O1108, FIND(",", O1108)+1)-1), "")</f>
        <v/>
      </c>
      <c r="S1108" s="35" t="str" cm="1">
        <f t="array" ref="S1108">_xlfn.TEXTJOIN(", ",TRUE,_xlfn._xlws.FILTER(Tabla29[[#All],[PARTE]],ISNUMBER(SEARCH(Tabla29[[#All],[PCLAVE3]],Tabla8[[#This Row],[DESCRIPCION DE TRABAJO]])),""))</f>
        <v/>
      </c>
      <c r="T1108" s="34" t="str">
        <f>IF(AND(Tabla8[[#This Row],[PIEZA]]="",Tabla8[[#This Row],[PARTE]]=""),"VACIO","OK")</f>
        <v>VACIO</v>
      </c>
      <c r="U1108" s="303" t="str">
        <f>+CONCATENATE(WEEKNUM(Tabla8[[#This Row],[FECHA]]),"-",YEAR(Tabla8[[#This Row],[FECHA]]))</f>
        <v>18-2026</v>
      </c>
    </row>
    <row r="1109" spans="1:21" ht="15" customHeight="1">
      <c r="A1109" s="22">
        <v>46142</v>
      </c>
      <c r="B1109" s="16" t="s">
        <v>111</v>
      </c>
      <c r="C1109" s="10" t="s">
        <v>23</v>
      </c>
      <c r="D1109" s="381" t="s">
        <v>686</v>
      </c>
      <c r="E1109" s="381" t="s">
        <v>493</v>
      </c>
      <c r="F1109" s="380">
        <f>+MOD(Tabla8[[#This Row],[HR. FIN]]-Tabla8[[#This Row],[HR. INICIO]],1)</f>
        <v>1.388888888888884E-2</v>
      </c>
      <c r="G1109" s="16" t="s">
        <v>119</v>
      </c>
      <c r="H1109" s="343" t="str">
        <f>IFERROR(VLOOKUP(G1109,DATOS!$M$2:$N$219,2,FALSE),"")</f>
        <v>Maquinaria</v>
      </c>
      <c r="I1109" s="115" t="s">
        <v>54</v>
      </c>
      <c r="J1109" s="115" t="str">
        <f>+VLOOKUP($I1109,Tabla7[#All],2,FALSE)</f>
        <v>PROGRAMADA</v>
      </c>
      <c r="K1109" s="114" t="str">
        <f>IF(VLOOKUP(I1109,Tabla7[#All],3,FALSE)=0,"",VLOOKUP(I1109,Tabla7[#All],3,FALSE))</f>
        <v/>
      </c>
      <c r="L1109" s="35" t="s">
        <v>489</v>
      </c>
      <c r="M1109" s="35" t="s">
        <v>121</v>
      </c>
      <c r="N1109" s="35" t="str" cm="1">
        <f t="array" ref="N1109">IFERROR(IF(Tabla8[[#This Row],[P/NP]]="NO PROGRAMADA","",_xlfn.TEXTJOIN(", ",TRUE,_xlfn._xlws.FILTER(Tabla4[[#All],[PIEZA]],ISNUMBER(SEARCH(Tabla4[[#All],[PCLAVE]],Tabla8[[#This Row],[DESCRIPCION DE TRABAJO]])),""))),"")</f>
        <v/>
      </c>
      <c r="O1109" s="35" t="str" cm="1">
        <f t="array" ref="O1109">_xlfn.TEXTJOIN(", ",TRUE,_xlfn._xlws.FILTER(Tabla28[[#All],[PARTE]],ISNUMBER(SEARCH(Tabla28[[#All],[PCLAVE2]],Tabla8[[#This Row],[DESCRIPCION DE TRABAJO]])),""))</f>
        <v>Temperadora</v>
      </c>
      <c r="P1109" s="303" t="str">
        <f>IFERROR(LEFT(O1109, FIND(",", O1109)-1), O1109)</f>
        <v>Temperadora</v>
      </c>
      <c r="Q1109" s="303" t="str">
        <f>IFERROR(IF(ISERROR(FIND(",", O1109, FIND(",", O1109)+1)), RIGHT(O1109, LEN(O1109)-FIND(",", O1109)-1), MID(O1109, FIND(",", O1109)+2, FIND(",", O1109, FIND(",", O1109)+1)-FIND(",", O1109)-2)), "")</f>
        <v/>
      </c>
      <c r="R1109" s="303" t="str">
        <f>IFERROR(RIGHT(O1109, LEN(O1109)-FIND(",", O1109, FIND(",", O1109)+1)-1), "")</f>
        <v/>
      </c>
      <c r="S1109" s="35" t="str" cm="1">
        <f t="array" ref="S1109">_xlfn.TEXTJOIN(", ",TRUE,_xlfn._xlws.FILTER(Tabla29[[#All],[PARTE]],ISNUMBER(SEARCH(Tabla29[[#All],[PCLAVE3]],Tabla8[[#This Row],[DESCRIPCION DE TRABAJO]])),""))</f>
        <v/>
      </c>
      <c r="T1109" s="34" t="str">
        <f>IF(AND(Tabla8[[#This Row],[PIEZA]]="",Tabla8[[#This Row],[PARTE]]=""),"VACIO","OK")</f>
        <v>OK</v>
      </c>
      <c r="U1109" s="303" t="str">
        <f>+CONCATENATE(WEEKNUM(Tabla8[[#This Row],[FECHA]]),"-",YEAR(Tabla8[[#This Row],[FECHA]]))</f>
        <v>18-2026</v>
      </c>
    </row>
    <row r="1110" spans="1:21" ht="15" customHeight="1">
      <c r="A1110" s="22">
        <v>46142</v>
      </c>
      <c r="B1110" s="16" t="s">
        <v>191</v>
      </c>
      <c r="C1110" s="10" t="s">
        <v>36</v>
      </c>
      <c r="D1110" s="381" t="s">
        <v>301</v>
      </c>
      <c r="E1110" s="381" t="s">
        <v>608</v>
      </c>
      <c r="F1110" s="380">
        <f>+MOD(Tabla8[[#This Row],[HR. FIN]]-Tabla8[[#This Row],[HR. INICIO]],1)</f>
        <v>1.1805555555555625E-2</v>
      </c>
      <c r="G1110" s="16" t="s">
        <v>24</v>
      </c>
      <c r="H1110" s="343" t="str">
        <f>IFERROR(VLOOKUP(G1110,DATOS!$M$2:$N$219,2,FALSE),"")</f>
        <v>Maquinaria</v>
      </c>
      <c r="I1110" s="115" t="s">
        <v>57</v>
      </c>
      <c r="J1110" s="115" t="str">
        <f>+VLOOKUP($I1110,Tabla7[#All],2,FALSE)</f>
        <v>NO PROGRAMADA</v>
      </c>
      <c r="K1110" s="114" t="str">
        <f>IF(VLOOKUP(I1110,Tabla7[#All],3,FALSE)=0,"",VLOOKUP(I1110,Tabla7[#All],3,FALSE))</f>
        <v>MECÁNICA</v>
      </c>
      <c r="L1110" s="35" t="s">
        <v>2125</v>
      </c>
      <c r="M1110" s="35" t="s">
        <v>2126</v>
      </c>
      <c r="N1110" s="35" t="str" cm="1">
        <f t="array" ref="N1110">IFERROR(IF(Tabla8[[#This Row],[P/NP]]="NO PROGRAMADA","",_xlfn.TEXTJOIN(", ",TRUE,_xlfn._xlws.FILTER(Tabla4[[#All],[PIEZA]],ISNUMBER(SEARCH(Tabla4[[#All],[PCLAVE]],Tabla8[[#This Row],[DESCRIPCION DE TRABAJO]])),""))),"")</f>
        <v/>
      </c>
      <c r="O1110" s="35" t="str" cm="1">
        <f t="array" ref="O1110">_xlfn.TEXTJOIN(", ",TRUE,_xlfn._xlws.FILTER(Tabla28[[#All],[PARTE]],ISNUMBER(SEARCH(Tabla28[[#All],[PCLAVE2]],Tabla8[[#This Row],[DESCRIPCION DE TRABAJO]])),""))</f>
        <v/>
      </c>
      <c r="P1110" s="303" t="str">
        <f>IFERROR(LEFT(O1110, FIND(",", O1110)-1), O1110)</f>
        <v/>
      </c>
      <c r="Q1110" s="303" t="str">
        <f>IFERROR(IF(ISERROR(FIND(",", O1110, FIND(",", O1110)+1)), RIGHT(O1110, LEN(O1110)-FIND(",", O1110)-1), MID(O1110, FIND(",", O1110)+2, FIND(",", O1110, FIND(",", O1110)+1)-FIND(",", O1110)-2)), "")</f>
        <v/>
      </c>
      <c r="R1110" s="303" t="str">
        <f>IFERROR(RIGHT(O1110, LEN(O1110)-FIND(",", O1110, FIND(",", O1110)+1)-1), "")</f>
        <v/>
      </c>
      <c r="S1110" s="35" t="str" cm="1">
        <f t="array" ref="S1110">_xlfn.TEXTJOIN(", ",TRUE,_xlfn._xlws.FILTER(Tabla29[[#All],[PARTE]],ISNUMBER(SEARCH(Tabla29[[#All],[PCLAVE3]],Tabla8[[#This Row],[DESCRIPCION DE TRABAJO]])),""))</f>
        <v/>
      </c>
      <c r="T1110" s="34" t="str">
        <f>IF(AND(Tabla8[[#This Row],[PIEZA]]="",Tabla8[[#This Row],[PARTE]]=""),"VACIO","OK")</f>
        <v>VACIO</v>
      </c>
      <c r="U1110" s="303" t="str">
        <f>+CONCATENATE(WEEKNUM(Tabla8[[#This Row],[FECHA]]),"-",YEAR(Tabla8[[#This Row],[FECHA]]))</f>
        <v>18-2026</v>
      </c>
    </row>
    <row r="1111" spans="1:21" ht="15" customHeight="1">
      <c r="A1111" s="22">
        <v>46142</v>
      </c>
      <c r="B1111" s="16" t="s">
        <v>191</v>
      </c>
      <c r="C1111" s="10" t="s">
        <v>36</v>
      </c>
      <c r="D1111" s="381" t="s">
        <v>2127</v>
      </c>
      <c r="E1111" s="381" t="s">
        <v>496</v>
      </c>
      <c r="F1111" s="380">
        <f>+MOD(Tabla8[[#This Row],[HR. FIN]]-Tabla8[[#This Row],[HR. INICIO]],1)</f>
        <v>1.1805555555555569E-2</v>
      </c>
      <c r="G1111" s="16" t="s">
        <v>438</v>
      </c>
      <c r="H1111" s="343" t="str">
        <f>IFERROR(VLOOKUP(G1111,DATOS!$M$2:$N$219,2,FALSE),"")</f>
        <v>Maquinaria</v>
      </c>
      <c r="I1111" s="115" t="s">
        <v>61</v>
      </c>
      <c r="J1111" s="115" t="s">
        <v>92</v>
      </c>
      <c r="K1111" s="114" t="s">
        <v>93</v>
      </c>
      <c r="L1111" s="35" t="s">
        <v>1799</v>
      </c>
      <c r="M1111" s="35" t="s">
        <v>2128</v>
      </c>
      <c r="N1111" s="35" t="str" cm="1">
        <f t="array" ref="N1111">IFERROR(IF(Tabla8[[#This Row],[P/NP]]="NO PROGRAMADA","",_xlfn.TEXTJOIN(", ",TRUE,_xlfn._xlws.FILTER(Tabla4[[#All],[PIEZA]],ISNUMBER(SEARCH(Tabla4[[#All],[PCLAVE]],Tabla8[[#This Row],[DESCRIPCION DE TRABAJO]])),""))),"")</f>
        <v/>
      </c>
      <c r="O1111" s="35" t="str" cm="1">
        <f t="array" ref="O1111">_xlfn.TEXTJOIN(", ",TRUE,_xlfn._xlws.FILTER(Tabla28[[#All],[PARTE]],ISNUMBER(SEARCH(Tabla28[[#All],[PCLAVE2]],Tabla8[[#This Row],[DESCRIPCION DE TRABAJO]])),""))</f>
        <v/>
      </c>
      <c r="P1111" s="303" t="str">
        <f>IFERROR(LEFT(O1111, FIND(",", O1111)-1), O1111)</f>
        <v/>
      </c>
      <c r="Q1111" s="303" t="str">
        <f>IFERROR(IF(ISERROR(FIND(",", O1111, FIND(",", O1111)+1)), RIGHT(O1111, LEN(O1111)-FIND(",", O1111)-1), MID(O1111, FIND(",", O1111)+2, FIND(",", O1111, FIND(",", O1111)+1)-FIND(",", O1111)-2)), "")</f>
        <v/>
      </c>
      <c r="R1111" s="303" t="str">
        <f>IFERROR(RIGHT(O1111, LEN(O1111)-FIND(",", O1111, FIND(",", O1111)+1)-1), "")</f>
        <v/>
      </c>
      <c r="S1111" s="35" t="str" cm="1">
        <f t="array" ref="S1111">_xlfn.TEXTJOIN(", ",TRUE,_xlfn._xlws.FILTER(Tabla29[[#All],[PARTE]],ISNUMBER(SEARCH(Tabla29[[#All],[PCLAVE3]],Tabla8[[#This Row],[DESCRIPCION DE TRABAJO]])),""))</f>
        <v/>
      </c>
      <c r="T1111" s="34" t="str">
        <f>IF(AND(Tabla8[[#This Row],[PIEZA]]="",Tabla8[[#This Row],[PARTE]]=""),"VACIO","OK")</f>
        <v>VACIO</v>
      </c>
      <c r="U1111" s="303" t="str">
        <f>+CONCATENATE(WEEKNUM(Tabla8[[#This Row],[FECHA]]),"-",YEAR(Tabla8[[#This Row],[FECHA]]))</f>
        <v>18-2026</v>
      </c>
    </row>
    <row r="1112" spans="1:21" ht="15" customHeight="1">
      <c r="A1112" s="22">
        <v>46142</v>
      </c>
      <c r="B1112" s="16" t="s">
        <v>191</v>
      </c>
      <c r="C1112" s="10" t="s">
        <v>36</v>
      </c>
      <c r="D1112" s="381" t="s">
        <v>878</v>
      </c>
      <c r="E1112" s="381" t="s">
        <v>2129</v>
      </c>
      <c r="F1112" s="380">
        <f>+MOD(Tabla8[[#This Row],[HR. FIN]]-Tabla8[[#This Row],[HR. INICIO]],1)</f>
        <v>1.0416666666666685E-2</v>
      </c>
      <c r="G1112" s="16" t="s">
        <v>153</v>
      </c>
      <c r="H1112" s="343" t="str">
        <f>IFERROR(VLOOKUP(G1112,DATOS!$M$2:$N$219,2,FALSE),"")</f>
        <v>Maquinaria</v>
      </c>
      <c r="I1112" s="115" t="s">
        <v>57</v>
      </c>
      <c r="J1112" s="115" t="str">
        <f>+VLOOKUP($I1112,Tabla7[#All],2,FALSE)</f>
        <v>NO PROGRAMADA</v>
      </c>
      <c r="K1112" s="114" t="str">
        <f>IF(VLOOKUP(I1112,Tabla7[#All],3,FALSE)=0,"",VLOOKUP(I1112,Tabla7[#All],3,FALSE))</f>
        <v>MECÁNICA</v>
      </c>
      <c r="L1112" s="35" t="s">
        <v>2130</v>
      </c>
      <c r="M1112" s="35" t="s">
        <v>2131</v>
      </c>
      <c r="N1112" s="35" t="str" cm="1">
        <f t="array" ref="N1112">IFERROR(IF(Tabla8[[#This Row],[P/NP]]="NO PROGRAMADA","",_xlfn.TEXTJOIN(", ",TRUE,_xlfn._xlws.FILTER(Tabla4[[#All],[PIEZA]],ISNUMBER(SEARCH(Tabla4[[#All],[PCLAVE]],Tabla8[[#This Row],[DESCRIPCION DE TRABAJO]])),""))),"")</f>
        <v/>
      </c>
      <c r="O1112" s="35" t="str" cm="1">
        <f t="array" ref="O1112">_xlfn.TEXTJOIN(", ",TRUE,_xlfn._xlws.FILTER(Tabla28[[#All],[PARTE]],ISNUMBER(SEARCH(Tabla28[[#All],[PCLAVE2]],Tabla8[[#This Row],[DESCRIPCION DE TRABAJO]])),""))</f>
        <v/>
      </c>
      <c r="P1112" s="303" t="str">
        <f>IFERROR(LEFT(O1112, FIND(",", O1112)-1), O1112)</f>
        <v/>
      </c>
      <c r="Q1112" s="303" t="str">
        <f>IFERROR(IF(ISERROR(FIND(",", O1112, FIND(",", O1112)+1)), RIGHT(O1112, LEN(O1112)-FIND(",", O1112)-1), MID(O1112, FIND(",", O1112)+2, FIND(",", O1112, FIND(",", O1112)+1)-FIND(",", O1112)-2)), "")</f>
        <v/>
      </c>
      <c r="R1112" s="303" t="str">
        <f>IFERROR(RIGHT(O1112, LEN(O1112)-FIND(",", O1112, FIND(",", O1112)+1)-1), "")</f>
        <v/>
      </c>
      <c r="S1112" s="35" t="str" cm="1">
        <f t="array" ref="S1112">_xlfn.TEXTJOIN(", ",TRUE,_xlfn._xlws.FILTER(Tabla29[[#All],[PARTE]],ISNUMBER(SEARCH(Tabla29[[#All],[PCLAVE3]],Tabla8[[#This Row],[DESCRIPCION DE TRABAJO]])),""))</f>
        <v>No Corta</v>
      </c>
      <c r="T1112" s="34" t="str">
        <f>IF(AND(Tabla8[[#This Row],[PIEZA]]="",Tabla8[[#This Row],[PARTE]]=""),"VACIO","OK")</f>
        <v>VACIO</v>
      </c>
      <c r="U1112" s="303" t="str">
        <f>+CONCATENATE(WEEKNUM(Tabla8[[#This Row],[FECHA]]),"-",YEAR(Tabla8[[#This Row],[FECHA]]))</f>
        <v>18-2026</v>
      </c>
    </row>
    <row r="1113" spans="1:21" ht="15" customHeight="1">
      <c r="A1113" s="22">
        <v>46142</v>
      </c>
      <c r="B1113" s="16" t="s">
        <v>111</v>
      </c>
      <c r="C1113" s="10" t="s">
        <v>23</v>
      </c>
      <c r="D1113" s="381" t="s">
        <v>2132</v>
      </c>
      <c r="E1113" s="381" t="s">
        <v>494</v>
      </c>
      <c r="F1113" s="380">
        <f>+MOD(Tabla8[[#This Row],[HR. FIN]]-Tabla8[[#This Row],[HR. INICIO]],1)</f>
        <v>1.041666666666663E-2</v>
      </c>
      <c r="G1113" s="16" t="s">
        <v>942</v>
      </c>
      <c r="H1113" s="343" t="str">
        <f>IFERROR(VLOOKUP(G1113,DATOS!$M$2:$N$219,2,FALSE),"")</f>
        <v>Maquinaria</v>
      </c>
      <c r="I1113" s="115" t="s">
        <v>54</v>
      </c>
      <c r="J1113" s="115" t="str">
        <f>+VLOOKUP($I1113,Tabla7[#All],2,FALSE)</f>
        <v>PROGRAMADA</v>
      </c>
      <c r="K1113" s="114" t="str">
        <f>IF(VLOOKUP(I1113,Tabla7[#All],3,FALSE)=0,"",VLOOKUP(I1113,Tabla7[#All],3,FALSE))</f>
        <v/>
      </c>
      <c r="L1113" s="35" t="s">
        <v>2133</v>
      </c>
      <c r="M1113" s="35" t="s">
        <v>121</v>
      </c>
      <c r="N1113" s="35" t="str" cm="1">
        <f t="array" ref="N1113">IFERROR(IF(Tabla8[[#This Row],[P/NP]]="NO PROGRAMADA","",_xlfn.TEXTJOIN(", ",TRUE,_xlfn._xlws.FILTER(Tabla4[[#All],[PIEZA]],ISNUMBER(SEARCH(Tabla4[[#All],[PCLAVE]],Tabla8[[#This Row],[DESCRIPCION DE TRABAJO]])),""))),"")</f>
        <v>Elevador, Elevador</v>
      </c>
      <c r="O1113" s="35" t="str" cm="1">
        <f t="array" ref="O1113">_xlfn.TEXTJOIN(", ",TRUE,_xlfn._xlws.FILTER(Tabla28[[#All],[PARTE]],ISNUMBER(SEARCH(Tabla28[[#All],[PCLAVE2]],Tabla8[[#This Row],[DESCRIPCION DE TRABAJO]])),""))</f>
        <v/>
      </c>
      <c r="P1113" s="303" t="str">
        <f>IFERROR(LEFT(O1113, FIND(",", O1113)-1), O1113)</f>
        <v/>
      </c>
      <c r="Q1113" s="303" t="str">
        <f>IFERROR(IF(ISERROR(FIND(",", O1113, FIND(",", O1113)+1)), RIGHT(O1113, LEN(O1113)-FIND(",", O1113)-1), MID(O1113, FIND(",", O1113)+2, FIND(",", O1113, FIND(",", O1113)+1)-FIND(",", O1113)-2)), "")</f>
        <v/>
      </c>
      <c r="R1113" s="303" t="str">
        <f>IFERROR(RIGHT(O1113, LEN(O1113)-FIND(",", O1113, FIND(",", O1113)+1)-1), "")</f>
        <v/>
      </c>
      <c r="S1113" s="35" t="str" cm="1">
        <f t="array" ref="S1113">_xlfn.TEXTJOIN(", ",TRUE,_xlfn._xlws.FILTER(Tabla29[[#All],[PARTE]],ISNUMBER(SEARCH(Tabla29[[#All],[PCLAVE3]],Tabla8[[#This Row],[DESCRIPCION DE TRABAJO]])),""))</f>
        <v>Alimentacion Obstruida, Carga/descarga</v>
      </c>
      <c r="T1113" s="34" t="str">
        <f>IF(AND(Tabla8[[#This Row],[PIEZA]]="",Tabla8[[#This Row],[PARTE]]=""),"VACIO","OK")</f>
        <v>OK</v>
      </c>
      <c r="U1113" s="303" t="str">
        <f>+CONCATENATE(WEEKNUM(Tabla8[[#This Row],[FECHA]]),"-",YEAR(Tabla8[[#This Row],[FECHA]]))</f>
        <v>18-2026</v>
      </c>
    </row>
    <row r="1114" spans="1:21" ht="15" customHeight="1">
      <c r="A1114" s="22">
        <v>46142</v>
      </c>
      <c r="B1114" s="16" t="s">
        <v>88</v>
      </c>
      <c r="C1114" s="10" t="s">
        <v>36</v>
      </c>
      <c r="D1114" s="381" t="s">
        <v>699</v>
      </c>
      <c r="E1114" s="381" t="s">
        <v>122</v>
      </c>
      <c r="F1114" s="380">
        <f>+MOD(Tabla8[[#This Row],[HR. FIN]]-Tabla8[[#This Row],[HR. INICIO]],1)</f>
        <v>1.041666666666663E-2</v>
      </c>
      <c r="G1114" s="16" t="s">
        <v>1205</v>
      </c>
      <c r="H1114" s="343" t="str">
        <f>IFERROR(VLOOKUP(G1114,DATOS!$M$2:$N$219,2,FALSE),"")</f>
        <v>Maquinaria</v>
      </c>
      <c r="I1114" s="115" t="s">
        <v>32</v>
      </c>
      <c r="J1114" s="115" t="s">
        <v>92</v>
      </c>
      <c r="K1114" s="114" t="s">
        <v>148</v>
      </c>
      <c r="L1114" s="35" t="s">
        <v>2134</v>
      </c>
      <c r="M1114" s="35" t="s">
        <v>2135</v>
      </c>
      <c r="N1114" s="35" t="str" cm="1">
        <f t="array" ref="N1114">IFERROR(IF(Tabla8[[#This Row],[P/NP]]="NO PROGRAMADA","",_xlfn.TEXTJOIN(", ",TRUE,_xlfn._xlws.FILTER(Tabla4[[#All],[PIEZA]],ISNUMBER(SEARCH(Tabla4[[#All],[PCLAVE]],Tabla8[[#This Row],[DESCRIPCION DE TRABAJO]])),""))),"")</f>
        <v/>
      </c>
      <c r="O1114" s="35" t="str" cm="1">
        <f t="array" ref="O1114">_xlfn.TEXTJOIN(", ",TRUE,_xlfn._xlws.FILTER(Tabla28[[#All],[PARTE]],ISNUMBER(SEARCH(Tabla28[[#All],[PCLAVE2]],Tabla8[[#This Row],[DESCRIPCION DE TRABAJO]])),""))</f>
        <v/>
      </c>
      <c r="P1114" s="303" t="str">
        <f>IFERROR(LEFT(O1114, FIND(",", O1114)-1), O1114)</f>
        <v/>
      </c>
      <c r="Q1114" s="303" t="str">
        <f>IFERROR(IF(ISERROR(FIND(",", O1114, FIND(",", O1114)+1)), RIGHT(O1114, LEN(O1114)-FIND(",", O1114)-1), MID(O1114, FIND(",", O1114)+2, FIND(",", O1114, FIND(",", O1114)+1)-FIND(",", O1114)-2)), "")</f>
        <v/>
      </c>
      <c r="R1114" s="303" t="str">
        <f>IFERROR(RIGHT(O1114, LEN(O1114)-FIND(",", O1114, FIND(",", O1114)+1)-1), "")</f>
        <v/>
      </c>
      <c r="S1114" s="35" t="str" cm="1">
        <f t="array" ref="S1114">_xlfn.TEXTJOIN(", ",TRUE,_xlfn._xlws.FILTER(Tabla29[[#All],[PARTE]],ISNUMBER(SEARCH(Tabla29[[#All],[PCLAVE3]],Tabla8[[#This Row],[DESCRIPCION DE TRABAJO]])),""))</f>
        <v/>
      </c>
      <c r="T1114" s="34" t="str">
        <f>IF(AND(Tabla8[[#This Row],[PIEZA]]="",Tabla8[[#This Row],[PARTE]]=""),"VACIO","OK")</f>
        <v>VACIO</v>
      </c>
      <c r="U1114" s="303" t="str">
        <f>+CONCATENATE(WEEKNUM(Tabla8[[#This Row],[FECHA]]),"-",YEAR(Tabla8[[#This Row],[FECHA]]))</f>
        <v>18-2026</v>
      </c>
    </row>
    <row r="1115" spans="1:21" ht="15" customHeight="1">
      <c r="A1115" s="22">
        <v>46144</v>
      </c>
      <c r="B1115" s="16" t="s">
        <v>191</v>
      </c>
      <c r="C1115" s="10" t="s">
        <v>36</v>
      </c>
      <c r="D1115" s="381" t="s">
        <v>1586</v>
      </c>
      <c r="E1115" s="381" t="s">
        <v>102</v>
      </c>
      <c r="F1115" s="380">
        <f>+MOD(Tabla8[[#This Row],[HR. FIN]]-Tabla8[[#This Row],[HR. INICIO]],1)</f>
        <v>3.125E-2</v>
      </c>
      <c r="G1115" s="16" t="s">
        <v>103</v>
      </c>
      <c r="H1115" s="343" t="str">
        <f>IFERROR(VLOOKUP(G1115,DATOS!$M$2:$N$219,2,FALSE),"")</f>
        <v>Area</v>
      </c>
      <c r="I1115" s="115" t="s">
        <v>43</v>
      </c>
      <c r="J1115" s="115" t="str">
        <f>+VLOOKUP($I1115,Tabla7[#All],2,FALSE)</f>
        <v>PROGRAMADA</v>
      </c>
      <c r="K1115" s="114" t="str">
        <f>IF(VLOOKUP(I1115,Tabla7[#All],3,FALSE)=0,"",VLOOKUP(I1115,Tabla7[#All],3,FALSE))</f>
        <v/>
      </c>
      <c r="L1115" s="35" t="s">
        <v>2136</v>
      </c>
      <c r="M1115" s="35" t="s">
        <v>121</v>
      </c>
      <c r="N1115" s="35" t="str" cm="1">
        <f t="array" ref="N1115">IFERROR(IF(Tabla8[[#This Row],[P/NP]]="NO PROGRAMADA","",_xlfn.TEXTJOIN(", ",TRUE,_xlfn._xlws.FILTER(Tabla4[[#All],[PIEZA]],ISNUMBER(SEARCH(Tabla4[[#All],[PCLAVE]],Tabla8[[#This Row],[DESCRIPCION DE TRABAJO]])),""))),"")</f>
        <v/>
      </c>
      <c r="O1115" s="35" t="str" cm="1">
        <f t="array" ref="O1115">_xlfn.TEXTJOIN(", ",TRUE,_xlfn._xlws.FILTER(Tabla28[[#All],[PARTE]],ISNUMBER(SEARCH(Tabla28[[#All],[PCLAVE2]],Tabla8[[#This Row],[DESCRIPCION DE TRABAJO]])),""))</f>
        <v/>
      </c>
      <c r="P1115" s="303" t="str">
        <f>IFERROR(LEFT(O1115, FIND(",", O1115)-1), O1115)</f>
        <v/>
      </c>
      <c r="Q1115" s="303" t="str">
        <f>IFERROR(IF(ISERROR(FIND(",", O1115, FIND(",", O1115)+1)), RIGHT(O1115, LEN(O1115)-FIND(",", O1115)-1), MID(O1115, FIND(",", O1115)+2, FIND(",", O1115, FIND(",", O1115)+1)-FIND(",", O1115)-2)), "")</f>
        <v/>
      </c>
      <c r="R1115" s="303" t="str">
        <f>IFERROR(RIGHT(O1115, LEN(O1115)-FIND(",", O1115, FIND(",", O1115)+1)-1), "")</f>
        <v/>
      </c>
      <c r="S1115" s="35" t="str" cm="1">
        <f t="array" ref="S1115">_xlfn.TEXTJOIN(", ",TRUE,_xlfn._xlws.FILTER(Tabla29[[#All],[PARTE]],ISNUMBER(SEARCH(Tabla29[[#All],[PCLAVE3]],Tabla8[[#This Row],[DESCRIPCION DE TRABAJO]])),""))</f>
        <v/>
      </c>
      <c r="T1115" s="34" t="str">
        <f>IF(AND(Tabla8[[#This Row],[PIEZA]]="",Tabla8[[#This Row],[PARTE]]=""),"VACIO","OK")</f>
        <v>VACIO</v>
      </c>
      <c r="U1115" s="303" t="str">
        <f>+CONCATENATE(WEEKNUM(Tabla8[[#This Row],[FECHA]]),"-",YEAR(Tabla8[[#This Row],[FECHA]]))</f>
        <v>18-2026</v>
      </c>
    </row>
    <row r="1116" spans="1:21" ht="15" customHeight="1">
      <c r="A1116" s="22">
        <v>46144</v>
      </c>
      <c r="B1116" s="16" t="s">
        <v>191</v>
      </c>
      <c r="C1116" s="10" t="s">
        <v>36</v>
      </c>
      <c r="D1116" s="381" t="s">
        <v>1689</v>
      </c>
      <c r="E1116" s="381" t="s">
        <v>2137</v>
      </c>
      <c r="F1116" s="380">
        <f>+MOD(Tabla8[[#This Row],[HR. FIN]]-Tabla8[[#This Row],[HR. INICIO]],1)</f>
        <v>1.8749999999999989E-2</v>
      </c>
      <c r="G1116" s="16" t="s">
        <v>153</v>
      </c>
      <c r="H1116" s="343" t="str">
        <f>IFERROR(VLOOKUP(G1116,DATOS!$M$2:$N$219,2,FALSE),"")</f>
        <v>Maquinaria</v>
      </c>
      <c r="I1116" s="115" t="s">
        <v>57</v>
      </c>
      <c r="J1116" s="115" t="str">
        <f>+VLOOKUP($I1116,Tabla7[#All],2,FALSE)</f>
        <v>NO PROGRAMADA</v>
      </c>
      <c r="K1116" s="114" t="str">
        <f>IF(VLOOKUP(I1116,Tabla7[#All],3,FALSE)=0,"",VLOOKUP(I1116,Tabla7[#All],3,FALSE))</f>
        <v>MECÁNICA</v>
      </c>
      <c r="L1116" s="35" t="s">
        <v>2138</v>
      </c>
      <c r="M1116" s="35" t="s">
        <v>2139</v>
      </c>
      <c r="N1116" s="35" t="str" cm="1">
        <f t="array" ref="N1116">IFERROR(IF(Tabla8[[#This Row],[P/NP]]="NO PROGRAMADA","",_xlfn.TEXTJOIN(", ",TRUE,_xlfn._xlws.FILTER(Tabla4[[#All],[PIEZA]],ISNUMBER(SEARCH(Tabla4[[#All],[PCLAVE]],Tabla8[[#This Row],[DESCRIPCION DE TRABAJO]])),""))),"")</f>
        <v/>
      </c>
      <c r="O1116" s="35" t="str" cm="1">
        <f t="array" ref="O1116">_xlfn.TEXTJOIN(", ",TRUE,_xlfn._xlws.FILTER(Tabla28[[#All],[PARTE]],ISNUMBER(SEARCH(Tabla28[[#All],[PCLAVE2]],Tabla8[[#This Row],[DESCRIPCION DE TRABAJO]])),""))</f>
        <v/>
      </c>
      <c r="P1116" s="303" t="str">
        <f>IFERROR(LEFT(O1116, FIND(",", O1116)-1), O1116)</f>
        <v/>
      </c>
      <c r="Q1116" s="303" t="str">
        <f>IFERROR(IF(ISERROR(FIND(",", O1116, FIND(",", O1116)+1)), RIGHT(O1116, LEN(O1116)-FIND(",", O1116)-1), MID(O1116, FIND(",", O1116)+2, FIND(",", O1116, FIND(",", O1116)+1)-FIND(",", O1116)-2)), "")</f>
        <v/>
      </c>
      <c r="R1116" s="303" t="str">
        <f>IFERROR(RIGHT(O1116, LEN(O1116)-FIND(",", O1116, FIND(",", O1116)+1)-1), "")</f>
        <v/>
      </c>
      <c r="S1116" s="35" t="str" cm="1">
        <f t="array" ref="S1116">_xlfn.TEXTJOIN(", ",TRUE,_xlfn._xlws.FILTER(Tabla29[[#All],[PARTE]],ISNUMBER(SEARCH(Tabla29[[#All],[PCLAVE3]],Tabla8[[#This Row],[DESCRIPCION DE TRABAJO]])),""))</f>
        <v/>
      </c>
      <c r="T1116" s="34" t="str">
        <f>IF(AND(Tabla8[[#This Row],[PIEZA]]="",Tabla8[[#This Row],[PARTE]]=""),"VACIO","OK")</f>
        <v>VACIO</v>
      </c>
      <c r="U1116" s="303" t="str">
        <f>+CONCATENATE(WEEKNUM(Tabla8[[#This Row],[FECHA]]),"-",YEAR(Tabla8[[#This Row],[FECHA]]))</f>
        <v>18-2026</v>
      </c>
    </row>
    <row r="1117" spans="1:21" ht="15" customHeight="1">
      <c r="A1117" s="22">
        <v>46144</v>
      </c>
      <c r="B1117" s="16" t="s">
        <v>191</v>
      </c>
      <c r="C1117" s="10" t="s">
        <v>36</v>
      </c>
      <c r="D1117" s="381" t="s">
        <v>470</v>
      </c>
      <c r="E1117" s="381" t="s">
        <v>2102</v>
      </c>
      <c r="F1117" s="380">
        <f>+MOD(Tabla8[[#This Row],[HR. FIN]]-Tabla8[[#This Row],[HR. INICIO]],1)</f>
        <v>1.8749999999999989E-2</v>
      </c>
      <c r="G1117" s="16" t="s">
        <v>2100</v>
      </c>
      <c r="H1117" s="343" t="str">
        <f>IFERROR(VLOOKUP(G1117,DATOS!$M$2:$N$219,2,FALSE),"")</f>
        <v>Maquinaria</v>
      </c>
      <c r="I1117" s="115" t="s">
        <v>390</v>
      </c>
      <c r="J1117" s="115" t="str">
        <f>+VLOOKUP($I1117,Tabla7[#All],2,FALSE)</f>
        <v>PROGRAMADA</v>
      </c>
      <c r="K1117" s="114" t="str">
        <f>IF(VLOOKUP(I1117,Tabla7[#All],3,FALSE)=0,"",VLOOKUP(I1117,Tabla7[#All],3,FALSE))</f>
        <v/>
      </c>
      <c r="L1117" s="35" t="s">
        <v>2140</v>
      </c>
      <c r="M1117" s="35" t="s">
        <v>121</v>
      </c>
      <c r="N1117" s="35" t="str" cm="1">
        <f t="array" ref="N1117">IFERROR(IF(Tabla8[[#This Row],[P/NP]]="NO PROGRAMADA","",_xlfn.TEXTJOIN(", ",TRUE,_xlfn._xlws.FILTER(Tabla4[[#All],[PIEZA]],ISNUMBER(SEARCH(Tabla4[[#All],[PCLAVE]],Tabla8[[#This Row],[DESCRIPCION DE TRABAJO]])),""))),"")</f>
        <v/>
      </c>
      <c r="O1117" s="35" t="str" cm="1">
        <f t="array" ref="O1117">_xlfn.TEXTJOIN(", ",TRUE,_xlfn._xlws.FILTER(Tabla28[[#All],[PARTE]],ISNUMBER(SEARCH(Tabla28[[#All],[PCLAVE2]],Tabla8[[#This Row],[DESCRIPCION DE TRABAJO]])),""))</f>
        <v/>
      </c>
      <c r="P1117" s="303" t="str">
        <f>IFERROR(LEFT(O1117, FIND(",", O1117)-1), O1117)</f>
        <v/>
      </c>
      <c r="Q1117" s="303" t="str">
        <f>IFERROR(IF(ISERROR(FIND(",", O1117, FIND(",", O1117)+1)), RIGHT(O1117, LEN(O1117)-FIND(",", O1117)-1), MID(O1117, FIND(",", O1117)+2, FIND(",", O1117, FIND(",", O1117)+1)-FIND(",", O1117)-2)), "")</f>
        <v/>
      </c>
      <c r="R1117" s="303" t="str">
        <f>IFERROR(RIGHT(O1117, LEN(O1117)-FIND(",", O1117, FIND(",", O1117)+1)-1), "")</f>
        <v/>
      </c>
      <c r="S1117" s="35" t="str" cm="1">
        <f t="array" ref="S1117">_xlfn.TEXTJOIN(", ",TRUE,_xlfn._xlws.FILTER(Tabla29[[#All],[PARTE]],ISNUMBER(SEARCH(Tabla29[[#All],[PCLAVE3]],Tabla8[[#This Row],[DESCRIPCION DE TRABAJO]])),""))</f>
        <v>Juntos</v>
      </c>
      <c r="T1117" s="34" t="str">
        <f>IF(AND(Tabla8[[#This Row],[PIEZA]]="",Tabla8[[#This Row],[PARTE]]=""),"VACIO","OK")</f>
        <v>VACIO</v>
      </c>
      <c r="U1117" s="303" t="str">
        <f>+CONCATENATE(WEEKNUM(Tabla8[[#This Row],[FECHA]]),"-",YEAR(Tabla8[[#This Row],[FECHA]]))</f>
        <v>18-2026</v>
      </c>
    </row>
    <row r="1118" spans="1:21" ht="15" customHeight="1">
      <c r="A1118" s="22">
        <v>46144</v>
      </c>
      <c r="B1118" s="16" t="s">
        <v>191</v>
      </c>
      <c r="C1118" s="10" t="s">
        <v>36</v>
      </c>
      <c r="D1118" s="381" t="s">
        <v>2141</v>
      </c>
      <c r="E1118" s="381" t="s">
        <v>2142</v>
      </c>
      <c r="F1118" s="380">
        <f>+MOD(Tabla8[[#This Row],[HR. FIN]]-Tabla8[[#This Row],[HR. INICIO]],1)</f>
        <v>1.3888888888888895E-2</v>
      </c>
      <c r="G1118" s="16" t="s">
        <v>438</v>
      </c>
      <c r="H1118" s="343" t="str">
        <f>IFERROR(VLOOKUP(G1118,DATOS!$M$2:$N$219,2,FALSE),"")</f>
        <v>Maquinaria</v>
      </c>
      <c r="I1118" s="115" t="s">
        <v>61</v>
      </c>
      <c r="J1118" s="115" t="s">
        <v>92</v>
      </c>
      <c r="K1118" s="114" t="s">
        <v>93</v>
      </c>
      <c r="L1118" s="35" t="s">
        <v>2143</v>
      </c>
      <c r="M1118" s="35" t="s">
        <v>2144</v>
      </c>
      <c r="N1118" s="35" t="str" cm="1">
        <f t="array" ref="N1118">IFERROR(IF(Tabla8[[#This Row],[P/NP]]="NO PROGRAMADA","",_xlfn.TEXTJOIN(", ",TRUE,_xlfn._xlws.FILTER(Tabla4[[#All],[PIEZA]],ISNUMBER(SEARCH(Tabla4[[#All],[PCLAVE]],Tabla8[[#This Row],[DESCRIPCION DE TRABAJO]])),""))),"")</f>
        <v/>
      </c>
      <c r="O1118" s="35" t="str" cm="1">
        <f t="array" ref="O1118">_xlfn.TEXTJOIN(", ",TRUE,_xlfn._xlws.FILTER(Tabla28[[#All],[PARTE]],ISNUMBER(SEARCH(Tabla28[[#All],[PCLAVE2]],Tabla8[[#This Row],[DESCRIPCION DE TRABAJO]])),""))</f>
        <v/>
      </c>
      <c r="P1118" s="303" t="str">
        <f>IFERROR(LEFT(O1118, FIND(",", O1118)-1), O1118)</f>
        <v/>
      </c>
      <c r="Q1118" s="303" t="str">
        <f>IFERROR(IF(ISERROR(FIND(",", O1118, FIND(",", O1118)+1)), RIGHT(O1118, LEN(O1118)-FIND(",", O1118)-1), MID(O1118, FIND(",", O1118)+2, FIND(",", O1118, FIND(",", O1118)+1)-FIND(",", O1118)-2)), "")</f>
        <v/>
      </c>
      <c r="R1118" s="303" t="str">
        <f>IFERROR(RIGHT(O1118, LEN(O1118)-FIND(",", O1118, FIND(",", O1118)+1)-1), "")</f>
        <v/>
      </c>
      <c r="S1118" s="35" t="str" cm="1">
        <f t="array" ref="S1118">_xlfn.TEXTJOIN(", ",TRUE,_xlfn._xlws.FILTER(Tabla29[[#All],[PARTE]],ISNUMBER(SEARCH(Tabla29[[#All],[PCLAVE3]],Tabla8[[#This Row],[DESCRIPCION DE TRABAJO]])),""))</f>
        <v/>
      </c>
      <c r="T1118" s="34" t="str">
        <f>IF(AND(Tabla8[[#This Row],[PIEZA]]="",Tabla8[[#This Row],[PARTE]]=""),"VACIO","OK")</f>
        <v>VACIO</v>
      </c>
      <c r="U1118" s="303" t="str">
        <f>+CONCATENATE(WEEKNUM(Tabla8[[#This Row],[FECHA]]),"-",YEAR(Tabla8[[#This Row],[FECHA]]))</f>
        <v>18-2026</v>
      </c>
    </row>
    <row r="1119" spans="1:21" ht="15" customHeight="1">
      <c r="A1119" s="22">
        <v>46144</v>
      </c>
      <c r="B1119" s="16" t="s">
        <v>191</v>
      </c>
      <c r="C1119" s="10" t="s">
        <v>36</v>
      </c>
      <c r="D1119" s="381" t="s">
        <v>2145</v>
      </c>
      <c r="E1119" s="381" t="s">
        <v>2146</v>
      </c>
      <c r="F1119" s="380">
        <f>+MOD(Tabla8[[#This Row],[HR. FIN]]-Tabla8[[#This Row],[HR. INICIO]],1)</f>
        <v>1.1111111111111072E-2</v>
      </c>
      <c r="G1119" s="16" t="s">
        <v>182</v>
      </c>
      <c r="H1119" s="343" t="str">
        <f>IFERROR(VLOOKUP(G1119,DATOS!$M$2:$N$219,2,FALSE),"")</f>
        <v>Maquinaria</v>
      </c>
      <c r="I1119" s="115" t="s">
        <v>32</v>
      </c>
      <c r="J1119" s="115" t="str">
        <f>+VLOOKUP($I1119,Tabla7[#All],2,FALSE)</f>
        <v>PROGRAMADA</v>
      </c>
      <c r="K1119" s="114" t="str">
        <f>IF(VLOOKUP(I1119,Tabla7[#All],3,FALSE)=0,"",VLOOKUP(I1119,Tabla7[#All],3,FALSE))</f>
        <v/>
      </c>
      <c r="L1119" s="35" t="s">
        <v>2147</v>
      </c>
      <c r="M1119" s="35" t="s">
        <v>121</v>
      </c>
      <c r="N1119" s="35" t="str" cm="1">
        <f t="array" ref="N1119">IFERROR(IF(Tabla8[[#This Row],[P/NP]]="NO PROGRAMADA","",_xlfn.TEXTJOIN(", ",TRUE,_xlfn._xlws.FILTER(Tabla4[[#All],[PIEZA]],ISNUMBER(SEARCH(Tabla4[[#All],[PCLAVE]],Tabla8[[#This Row],[DESCRIPCION DE TRABAJO]])),""))),"")</f>
        <v>Bobina</v>
      </c>
      <c r="O1119" s="35" t="str" cm="1">
        <f t="array" ref="O1119">_xlfn.TEXTJOIN(", ",TRUE,_xlfn._xlws.FILTER(Tabla28[[#All],[PARTE]],ISNUMBER(SEARCH(Tabla28[[#All],[PCLAVE2]],Tabla8[[#This Row],[DESCRIPCION DE TRABAJO]])),""))</f>
        <v/>
      </c>
      <c r="P1119" s="303" t="str">
        <f>IFERROR(LEFT(O1119, FIND(",", O1119)-1), O1119)</f>
        <v/>
      </c>
      <c r="Q1119" s="303" t="str">
        <f>IFERROR(IF(ISERROR(FIND(",", O1119, FIND(",", O1119)+1)), RIGHT(O1119, LEN(O1119)-FIND(",", O1119)-1), MID(O1119, FIND(",", O1119)+2, FIND(",", O1119, FIND(",", O1119)+1)-FIND(",", O1119)-2)), "")</f>
        <v/>
      </c>
      <c r="R1119" s="303" t="str">
        <f>IFERROR(RIGHT(O1119, LEN(O1119)-FIND(",", O1119, FIND(",", O1119)+1)-1), "")</f>
        <v/>
      </c>
      <c r="S1119" s="35" t="str" cm="1">
        <f t="array" ref="S1119">_xlfn.TEXTJOIN(", ",TRUE,_xlfn._xlws.FILTER(Tabla29[[#All],[PARTE]],ISNUMBER(SEARCH(Tabla29[[#All],[PCLAVE3]],Tabla8[[#This Row],[DESCRIPCION DE TRABAJO]])),""))</f>
        <v/>
      </c>
      <c r="T1119" s="34" t="str">
        <f>IF(AND(Tabla8[[#This Row],[PIEZA]]="",Tabla8[[#This Row],[PARTE]]=""),"VACIO","OK")</f>
        <v>OK</v>
      </c>
      <c r="U1119" s="303" t="str">
        <f>+CONCATENATE(WEEKNUM(Tabla8[[#This Row],[FECHA]]),"-",YEAR(Tabla8[[#This Row],[FECHA]]))</f>
        <v>18-2026</v>
      </c>
    </row>
    <row r="1120" spans="1:21" ht="15" customHeight="1">
      <c r="A1120" s="22">
        <v>46144</v>
      </c>
      <c r="B1120" s="16" t="s">
        <v>191</v>
      </c>
      <c r="C1120" s="10" t="s">
        <v>36</v>
      </c>
      <c r="D1120" s="381" t="s">
        <v>868</v>
      </c>
      <c r="E1120" s="381" t="s">
        <v>2148</v>
      </c>
      <c r="F1120" s="380">
        <f>+MOD(Tabla8[[#This Row],[HR. FIN]]-Tabla8[[#This Row],[HR. INICIO]],1)</f>
        <v>9.7222222222221877E-3</v>
      </c>
      <c r="G1120" s="16" t="s">
        <v>1647</v>
      </c>
      <c r="H1120" s="343" t="str">
        <f>IFERROR(VLOOKUP(G1120,DATOS!$M$2:$N$219,2,FALSE),"")</f>
        <v>Equipos auxiliares</v>
      </c>
      <c r="I1120" s="115" t="s">
        <v>54</v>
      </c>
      <c r="J1120" s="115" t="s">
        <v>92</v>
      </c>
      <c r="K1120" s="114" t="s">
        <v>93</v>
      </c>
      <c r="L1120" s="35" t="s">
        <v>2149</v>
      </c>
      <c r="M1120" s="35" t="s">
        <v>2150</v>
      </c>
      <c r="N1120" s="35" t="str" cm="1">
        <f t="array" ref="N1120">IFERROR(IF(Tabla8[[#This Row],[P/NP]]="NO PROGRAMADA","",_xlfn.TEXTJOIN(", ",TRUE,_xlfn._xlws.FILTER(Tabla4[[#All],[PIEZA]],ISNUMBER(SEARCH(Tabla4[[#All],[PCLAVE]],Tabla8[[#This Row],[DESCRIPCION DE TRABAJO]])),""))),"")</f>
        <v/>
      </c>
      <c r="O1120" s="35" t="str" cm="1">
        <f t="array" ref="O1120">_xlfn.TEXTJOIN(", ",TRUE,_xlfn._xlws.FILTER(Tabla28[[#All],[PARTE]],ISNUMBER(SEARCH(Tabla28[[#All],[PCLAVE2]],Tabla8[[#This Row],[DESCRIPCION DE TRABAJO]])),""))</f>
        <v/>
      </c>
      <c r="P1120" s="303" t="str">
        <f>IFERROR(LEFT(O1120, FIND(",", O1120)-1), O1120)</f>
        <v/>
      </c>
      <c r="Q1120" s="303" t="str">
        <f>IFERROR(IF(ISERROR(FIND(",", O1120, FIND(",", O1120)+1)), RIGHT(O1120, LEN(O1120)-FIND(",", O1120)-1), MID(O1120, FIND(",", O1120)+2, FIND(",", O1120, FIND(",", O1120)+1)-FIND(",", O1120)-2)), "")</f>
        <v/>
      </c>
      <c r="R1120" s="303" t="str">
        <f>IFERROR(RIGHT(O1120, LEN(O1120)-FIND(",", O1120, FIND(",", O1120)+1)-1), "")</f>
        <v/>
      </c>
      <c r="S1120" s="35" t="str" cm="1">
        <f t="array" ref="S1120">_xlfn.TEXTJOIN(", ",TRUE,_xlfn._xlws.FILTER(Tabla29[[#All],[PARTE]],ISNUMBER(SEARCH(Tabla29[[#All],[PCLAVE3]],Tabla8[[#This Row],[DESCRIPCION DE TRABAJO]])),""))</f>
        <v/>
      </c>
      <c r="T1120" s="34" t="str">
        <f>IF(AND(Tabla8[[#This Row],[PIEZA]]="",Tabla8[[#This Row],[PARTE]]=""),"VACIO","OK")</f>
        <v>VACIO</v>
      </c>
      <c r="U1120" s="303" t="str">
        <f>+CONCATENATE(WEEKNUM(Tabla8[[#This Row],[FECHA]]),"-",YEAR(Tabla8[[#This Row],[FECHA]]))</f>
        <v>18-2026</v>
      </c>
    </row>
    <row r="1121" spans="1:21" ht="15" customHeight="1">
      <c r="A1121" s="22">
        <v>46146</v>
      </c>
      <c r="B1121" s="16" t="s">
        <v>111</v>
      </c>
      <c r="C1121" s="10" t="s">
        <v>36</v>
      </c>
      <c r="D1121" s="381">
        <v>0.27777777777777779</v>
      </c>
      <c r="E1121" s="381">
        <v>0.38194444444444442</v>
      </c>
      <c r="F1121" s="380">
        <f>+MOD(Tabla8[[#This Row],[HR. FIN]]-Tabla8[[#This Row],[HR. INICIO]],1)</f>
        <v>0.10416666666666663</v>
      </c>
      <c r="G1121" s="16" t="s">
        <v>42</v>
      </c>
      <c r="H1121" s="343" t="str">
        <f>IFERROR(VLOOKUP(G1121,DATOS!$M$2:$N$219,2,FALSE),"")</f>
        <v>Maquinaria</v>
      </c>
      <c r="I1121" s="115" t="s">
        <v>32</v>
      </c>
      <c r="J1121" s="115" t="str">
        <f>+VLOOKUP($I1121,Tabla7[#All],2,FALSE)</f>
        <v>PROGRAMADA</v>
      </c>
      <c r="K1121" s="114" t="str">
        <f>IF(VLOOKUP(I1121,Tabla7[#All],3,FALSE)=0,"",VLOOKUP(I1121,Tabla7[#All],3,FALSE))</f>
        <v/>
      </c>
      <c r="L1121" s="35" t="s">
        <v>2151</v>
      </c>
      <c r="M1121" s="35" t="s">
        <v>2152</v>
      </c>
      <c r="N1121" s="35" t="str" cm="1">
        <f t="array" ref="N1121">IFERROR(IF(Tabla8[[#This Row],[P/NP]]="NO PROGRAMADA","",_xlfn.TEXTJOIN(", ",TRUE,_xlfn._xlws.FILTER(Tabla4[[#All],[PIEZA]],ISNUMBER(SEARCH(Tabla4[[#All],[PCLAVE]],Tabla8[[#This Row],[DESCRIPCION DE TRABAJO]])),""))),"")</f>
        <v/>
      </c>
      <c r="O1121" s="35" t="str" cm="1">
        <f t="array" ref="O1121">_xlfn.TEXTJOIN(", ",TRUE,_xlfn._xlws.FILTER(Tabla28[[#All],[PARTE]],ISNUMBER(SEARCH(Tabla28[[#All],[PCLAVE2]],Tabla8[[#This Row],[DESCRIPCION DE TRABAJO]])),""))</f>
        <v/>
      </c>
      <c r="P1121" s="303" t="str">
        <f>IFERROR(LEFT(O1121, FIND(",", O1121)-1), O1121)</f>
        <v/>
      </c>
      <c r="Q1121" s="303" t="str">
        <f>IFERROR(IF(ISERROR(FIND(",", O1121, FIND(",", O1121)+1)), RIGHT(O1121, LEN(O1121)-FIND(",", O1121)-1), MID(O1121, FIND(",", O1121)+2, FIND(",", O1121, FIND(",", O1121)+1)-FIND(",", O1121)-2)), "")</f>
        <v/>
      </c>
      <c r="R1121" s="303" t="str">
        <f>IFERROR(RIGHT(O1121, LEN(O1121)-FIND(",", O1121, FIND(",", O1121)+1)-1), "")</f>
        <v/>
      </c>
      <c r="S1121" s="35" t="str" cm="1">
        <f t="array" ref="S1121">_xlfn.TEXTJOIN(", ",TRUE,_xlfn._xlws.FILTER(Tabla29[[#All],[PARTE]],ISNUMBER(SEARCH(Tabla29[[#All],[PCLAVE3]],Tabla8[[#This Row],[DESCRIPCION DE TRABAJO]])),""))</f>
        <v/>
      </c>
      <c r="T1121" s="34" t="str">
        <f>IF(AND(Tabla8[[#This Row],[PIEZA]]="",Tabla8[[#This Row],[PARTE]]=""),"VACIO","OK")</f>
        <v>VACIO</v>
      </c>
      <c r="U1121" s="303" t="str">
        <f>+CONCATENATE(WEEKNUM(Tabla8[[#This Row],[FECHA]]),"-",YEAR(Tabla8[[#This Row],[FECHA]]))</f>
        <v>19-2026</v>
      </c>
    </row>
    <row r="1122" spans="1:21" ht="15" customHeight="1">
      <c r="A1122" s="22">
        <v>46146</v>
      </c>
      <c r="B1122" s="16" t="s">
        <v>131</v>
      </c>
      <c r="C1122" s="10" t="s">
        <v>23</v>
      </c>
      <c r="D1122" s="381">
        <v>0.54166666666666663</v>
      </c>
      <c r="E1122" s="381">
        <v>0.63541666666666663</v>
      </c>
      <c r="F1122" s="380">
        <f>+MOD(Tabla8[[#This Row],[HR. FIN]]-Tabla8[[#This Row],[HR. INICIO]],1)</f>
        <v>9.375E-2</v>
      </c>
      <c r="G1122" s="16" t="s">
        <v>293</v>
      </c>
      <c r="H1122" s="343" t="str">
        <f>IFERROR(VLOOKUP(G1122,DATOS!$M$2:$N$219,2,FALSE),"")</f>
        <v>Equipos auxiliares</v>
      </c>
      <c r="I1122" s="115" t="s">
        <v>54</v>
      </c>
      <c r="J1122" s="115" t="str">
        <f>+VLOOKUP($I1122,Tabla7[#All],2,FALSE)</f>
        <v>PROGRAMADA</v>
      </c>
      <c r="K1122" s="114" t="str">
        <f>IF(VLOOKUP(I1122,Tabla7[#All],3,FALSE)=0,"",VLOOKUP(I1122,Tabla7[#All],3,FALSE))</f>
        <v/>
      </c>
      <c r="L1122" s="35" t="s">
        <v>821</v>
      </c>
      <c r="M1122" s="35" t="s">
        <v>121</v>
      </c>
      <c r="N1122" s="35" t="str" cm="1">
        <f t="array" ref="N1122">IFERROR(IF(Tabla8[[#This Row],[P/NP]]="NO PROGRAMADA","",_xlfn.TEXTJOIN(", ",TRUE,_xlfn._xlws.FILTER(Tabla4[[#All],[PIEZA]],ISNUMBER(SEARCH(Tabla4[[#All],[PCLAVE]],Tabla8[[#This Row],[DESCRIPCION DE TRABAJO]])),""))),"")</f>
        <v/>
      </c>
      <c r="O1122" s="35" t="str" cm="1">
        <f t="array" ref="O1122">_xlfn.TEXTJOIN(", ",TRUE,_xlfn._xlws.FILTER(Tabla28[[#All],[PARTE]],ISNUMBER(SEARCH(Tabla28[[#All],[PCLAVE2]],Tabla8[[#This Row],[DESCRIPCION DE TRABAJO]])),""))</f>
        <v/>
      </c>
      <c r="P1122" s="303" t="str">
        <f>IFERROR(LEFT(O1122, FIND(",", O1122)-1), O1122)</f>
        <v/>
      </c>
      <c r="Q1122" s="303" t="str">
        <f>IFERROR(IF(ISERROR(FIND(",", O1122, FIND(",", O1122)+1)), RIGHT(O1122, LEN(O1122)-FIND(",", O1122)-1), MID(O1122, FIND(",", O1122)+2, FIND(",", O1122, FIND(",", O1122)+1)-FIND(",", O1122)-2)), "")</f>
        <v/>
      </c>
      <c r="R1122" s="303" t="str">
        <f>IFERROR(RIGHT(O1122, LEN(O1122)-FIND(",", O1122, FIND(",", O1122)+1)-1), "")</f>
        <v/>
      </c>
      <c r="S1122" s="35" t="str" cm="1">
        <f t="array" ref="S1122">_xlfn.TEXTJOIN(", ",TRUE,_xlfn._xlws.FILTER(Tabla29[[#All],[PARTE]],ISNUMBER(SEARCH(Tabla29[[#All],[PCLAVE3]],Tabla8[[#This Row],[DESCRIPCION DE TRABAJO]])),""))</f>
        <v/>
      </c>
      <c r="T1122" s="34" t="str">
        <f>IF(AND(Tabla8[[#This Row],[PIEZA]]="",Tabla8[[#This Row],[PARTE]]=""),"VACIO","OK")</f>
        <v>VACIO</v>
      </c>
      <c r="U1122" s="303" t="str">
        <f>+CONCATENATE(WEEKNUM(Tabla8[[#This Row],[FECHA]]),"-",YEAR(Tabla8[[#This Row],[FECHA]]))</f>
        <v>19-2026</v>
      </c>
    </row>
    <row r="1123" spans="1:21" ht="15" customHeight="1">
      <c r="A1123" s="22">
        <v>46146</v>
      </c>
      <c r="B1123" s="16" t="s">
        <v>88</v>
      </c>
      <c r="C1123" s="10" t="s">
        <v>36</v>
      </c>
      <c r="D1123" s="381">
        <v>0.375</v>
      </c>
      <c r="E1123" s="381">
        <v>0.41666666666666669</v>
      </c>
      <c r="F1123" s="380">
        <f>+MOD(Tabla8[[#This Row],[HR. FIN]]-Tabla8[[#This Row],[HR. INICIO]],1)</f>
        <v>4.1666666666666685E-2</v>
      </c>
      <c r="G1123" s="16" t="s">
        <v>98</v>
      </c>
      <c r="H1123" s="343" t="str">
        <f>IFERROR(VLOOKUP(G1123,DATOS!$M$2:$N$219,2,FALSE),"")</f>
        <v>Maquinaria</v>
      </c>
      <c r="I1123" s="115" t="s">
        <v>32</v>
      </c>
      <c r="J1123" s="115" t="str">
        <f>+VLOOKUP($I1123,Tabla7[#All],2,FALSE)</f>
        <v>PROGRAMADA</v>
      </c>
      <c r="K1123" s="114" t="str">
        <f>IF(VLOOKUP(I1123,Tabla7[#All],3,FALSE)=0,"",VLOOKUP(I1123,Tabla7[#All],3,FALSE))</f>
        <v/>
      </c>
      <c r="L1123" s="35" t="s">
        <v>2153</v>
      </c>
      <c r="M1123" s="35" t="s">
        <v>2154</v>
      </c>
      <c r="N1123" s="35" t="str" cm="1">
        <f t="array" ref="N1123">IFERROR(IF(Tabla8[[#This Row],[P/NP]]="NO PROGRAMADA","",_xlfn.TEXTJOIN(", ",TRUE,_xlfn._xlws.FILTER(Tabla4[[#All],[PIEZA]],ISNUMBER(SEARCH(Tabla4[[#All],[PCLAVE]],Tabla8[[#This Row],[DESCRIPCION DE TRABAJO]])),""))),"")</f>
        <v/>
      </c>
      <c r="O1123" s="35" t="str" cm="1">
        <f t="array" ref="O1123">_xlfn.TEXTJOIN(", ",TRUE,_xlfn._xlws.FILTER(Tabla28[[#All],[PARTE]],ISNUMBER(SEARCH(Tabla28[[#All],[PCLAVE2]],Tabla8[[#This Row],[DESCRIPCION DE TRABAJO]])),""))</f>
        <v/>
      </c>
      <c r="P1123" s="303" t="str">
        <f>IFERROR(LEFT(O1123, FIND(",", O1123)-1), O1123)</f>
        <v/>
      </c>
      <c r="Q1123" s="303" t="str">
        <f>IFERROR(IF(ISERROR(FIND(",", O1123, FIND(",", O1123)+1)), RIGHT(O1123, LEN(O1123)-FIND(",", O1123)-1), MID(O1123, FIND(",", O1123)+2, FIND(",", O1123, FIND(",", O1123)+1)-FIND(",", O1123)-2)), "")</f>
        <v/>
      </c>
      <c r="R1123" s="303" t="str">
        <f>IFERROR(RIGHT(O1123, LEN(O1123)-FIND(",", O1123, FIND(",", O1123)+1)-1), "")</f>
        <v/>
      </c>
      <c r="S1123" s="35" t="str" cm="1">
        <f t="array" ref="S1123">_xlfn.TEXTJOIN(", ",TRUE,_xlfn._xlws.FILTER(Tabla29[[#All],[PARTE]],ISNUMBER(SEARCH(Tabla29[[#All],[PCLAVE3]],Tabla8[[#This Row],[DESCRIPCION DE TRABAJO]])),""))</f>
        <v/>
      </c>
      <c r="T1123" s="34" t="str">
        <f>IF(AND(Tabla8[[#This Row],[PIEZA]]="",Tabla8[[#This Row],[PARTE]]=""),"VACIO","OK")</f>
        <v>VACIO</v>
      </c>
      <c r="U1123" s="303" t="str">
        <f>+CONCATENATE(WEEKNUM(Tabla8[[#This Row],[FECHA]]),"-",YEAR(Tabla8[[#This Row],[FECHA]]))</f>
        <v>19-2026</v>
      </c>
    </row>
    <row r="1124" spans="1:21" ht="15" customHeight="1">
      <c r="A1124" s="22">
        <v>46146</v>
      </c>
      <c r="B1124" s="16" t="s">
        <v>88</v>
      </c>
      <c r="C1124" s="10" t="s">
        <v>36</v>
      </c>
      <c r="D1124" s="381">
        <v>0.22916666666666666</v>
      </c>
      <c r="E1124" s="381">
        <v>0.27083333333333331</v>
      </c>
      <c r="F1124" s="380">
        <f>+MOD(Tabla8[[#This Row],[HR. FIN]]-Tabla8[[#This Row],[HR. INICIO]],1)</f>
        <v>4.1666666666666657E-2</v>
      </c>
      <c r="G1124" s="16" t="s">
        <v>103</v>
      </c>
      <c r="H1124" s="343" t="str">
        <f>IFERROR(VLOOKUP(G1124,DATOS!$M$2:$N$219,2,FALSE),"")</f>
        <v>Area</v>
      </c>
      <c r="I1124" s="115" t="s">
        <v>43</v>
      </c>
      <c r="J1124" s="115" t="str">
        <f>+VLOOKUP($I1124,Tabla7[#All],2,FALSE)</f>
        <v>PROGRAMADA</v>
      </c>
      <c r="K1124" s="114" t="str">
        <f>IF(VLOOKUP(I1124,Tabla7[#All],3,FALSE)=0,"",VLOOKUP(I1124,Tabla7[#All],3,FALSE))</f>
        <v/>
      </c>
      <c r="L1124" s="35" t="s">
        <v>446</v>
      </c>
      <c r="M1124" s="35" t="s">
        <v>2155</v>
      </c>
      <c r="N1124" s="35" t="str" cm="1">
        <f t="array" ref="N1124">IFERROR(IF(Tabla8[[#This Row],[P/NP]]="NO PROGRAMADA","",_xlfn.TEXTJOIN(", ",TRUE,_xlfn._xlws.FILTER(Tabla4[[#All],[PIEZA]],ISNUMBER(SEARCH(Tabla4[[#All],[PCLAVE]],Tabla8[[#This Row],[DESCRIPCION DE TRABAJO]])),""))),"")</f>
        <v/>
      </c>
      <c r="O1124" s="35" t="str" cm="1">
        <f t="array" ref="O1124">_xlfn.TEXTJOIN(", ",TRUE,_xlfn._xlws.FILTER(Tabla28[[#All],[PARTE]],ISNUMBER(SEARCH(Tabla28[[#All],[PCLAVE2]],Tabla8[[#This Row],[DESCRIPCION DE TRABAJO]])),""))</f>
        <v/>
      </c>
      <c r="P1124" s="303" t="str">
        <f>IFERROR(LEFT(O1124, FIND(",", O1124)-1), O1124)</f>
        <v/>
      </c>
      <c r="Q1124" s="303" t="str">
        <f>IFERROR(IF(ISERROR(FIND(",", O1124, FIND(",", O1124)+1)), RIGHT(O1124, LEN(O1124)-FIND(",", O1124)-1), MID(O1124, FIND(",", O1124)+2, FIND(",", O1124, FIND(",", O1124)+1)-FIND(",", O1124)-2)), "")</f>
        <v/>
      </c>
      <c r="R1124" s="303" t="str">
        <f>IFERROR(RIGHT(O1124, LEN(O1124)-FIND(",", O1124, FIND(",", O1124)+1)-1), "")</f>
        <v/>
      </c>
      <c r="S1124" s="35" t="str" cm="1">
        <f t="array" ref="S1124">_xlfn.TEXTJOIN(", ",TRUE,_xlfn._xlws.FILTER(Tabla29[[#All],[PARTE]],ISNUMBER(SEARCH(Tabla29[[#All],[PCLAVE3]],Tabla8[[#This Row],[DESCRIPCION DE TRABAJO]])),""))</f>
        <v/>
      </c>
      <c r="T1124" s="34" t="str">
        <f>IF(AND(Tabla8[[#This Row],[PIEZA]]="",Tabla8[[#This Row],[PARTE]]=""),"VACIO","OK")</f>
        <v>VACIO</v>
      </c>
      <c r="U1124" s="303" t="str">
        <f>+CONCATENATE(WEEKNUM(Tabla8[[#This Row],[FECHA]]),"-",YEAR(Tabla8[[#This Row],[FECHA]]))</f>
        <v>19-2026</v>
      </c>
    </row>
    <row r="1125" spans="1:21" ht="15" customHeight="1">
      <c r="A1125" s="22">
        <v>46146</v>
      </c>
      <c r="B1125" s="16" t="s">
        <v>191</v>
      </c>
      <c r="C1125" s="10" t="s">
        <v>39</v>
      </c>
      <c r="D1125" s="381">
        <v>0.96250000000000002</v>
      </c>
      <c r="E1125" s="381">
        <v>0.99861111111111112</v>
      </c>
      <c r="F1125" s="380">
        <f>+MOD(Tabla8[[#This Row],[HR. FIN]]-Tabla8[[#This Row],[HR. INICIO]],1)</f>
        <v>3.6111111111111094E-2</v>
      </c>
      <c r="G1125" s="16" t="s">
        <v>31</v>
      </c>
      <c r="H1125" s="343" t="str">
        <f>IFERROR(VLOOKUP(G1125,DATOS!$M$2:$N$219,2,FALSE),"")</f>
        <v>Maquinaria</v>
      </c>
      <c r="I1125" s="115" t="s">
        <v>57</v>
      </c>
      <c r="J1125" s="115" t="str">
        <f>+VLOOKUP($I1125,Tabla7[#All],2,FALSE)</f>
        <v>NO PROGRAMADA</v>
      </c>
      <c r="K1125" s="114" t="str">
        <f>IF(VLOOKUP(I1125,Tabla7[#All],3,FALSE)=0,"",VLOOKUP(I1125,Tabla7[#All],3,FALSE))</f>
        <v>MECÁNICA</v>
      </c>
      <c r="L1125" s="35" t="s">
        <v>2156</v>
      </c>
      <c r="M1125" s="35" t="s">
        <v>2157</v>
      </c>
      <c r="N1125" s="35" t="str" cm="1">
        <f t="array" ref="N1125">IFERROR(IF(Tabla8[[#This Row],[P/NP]]="NO PROGRAMADA","",_xlfn.TEXTJOIN(", ",TRUE,_xlfn._xlws.FILTER(Tabla4[[#All],[PIEZA]],ISNUMBER(SEARCH(Tabla4[[#All],[PCLAVE]],Tabla8[[#This Row],[DESCRIPCION DE TRABAJO]])),""))),"")</f>
        <v/>
      </c>
      <c r="O1125" s="35" t="str" cm="1">
        <f t="array" ref="O1125">_xlfn.TEXTJOIN(", ",TRUE,_xlfn._xlws.FILTER(Tabla28[[#All],[PARTE]],ISNUMBER(SEARCH(Tabla28[[#All],[PCLAVE2]],Tabla8[[#This Row],[DESCRIPCION DE TRABAJO]])),""))</f>
        <v/>
      </c>
      <c r="P1125" s="303" t="str">
        <f>IFERROR(LEFT(O1125, FIND(",", O1125)-1), O1125)</f>
        <v/>
      </c>
      <c r="Q1125" s="303" t="str">
        <f>IFERROR(IF(ISERROR(FIND(",", O1125, FIND(",", O1125)+1)), RIGHT(O1125, LEN(O1125)-FIND(",", O1125)-1), MID(O1125, FIND(",", O1125)+2, FIND(",", O1125, FIND(",", O1125)+1)-FIND(",", O1125)-2)), "")</f>
        <v/>
      </c>
      <c r="R1125" s="303" t="str">
        <f>IFERROR(RIGHT(O1125, LEN(O1125)-FIND(",", O1125, FIND(",", O1125)+1)-1), "")</f>
        <v/>
      </c>
      <c r="S1125" s="35" t="str" cm="1">
        <f t="array" ref="S1125">_xlfn.TEXTJOIN(", ",TRUE,_xlfn._xlws.FILTER(Tabla29[[#All],[PARTE]],ISNUMBER(SEARCH(Tabla29[[#All],[PCLAVE3]],Tabla8[[#This Row],[DESCRIPCION DE TRABAJO]])),""))</f>
        <v>Laminado, Sellado</v>
      </c>
      <c r="T1125" s="34" t="str">
        <f>IF(AND(Tabla8[[#This Row],[PIEZA]]="",Tabla8[[#This Row],[PARTE]]=""),"VACIO","OK")</f>
        <v>VACIO</v>
      </c>
      <c r="U1125" s="303" t="str">
        <f>+CONCATENATE(WEEKNUM(Tabla8[[#This Row],[FECHA]]),"-",YEAR(Tabla8[[#This Row],[FECHA]]))</f>
        <v>19-2026</v>
      </c>
    </row>
    <row r="1126" spans="1:21" ht="15" customHeight="1">
      <c r="A1126" s="22">
        <v>46146</v>
      </c>
      <c r="B1126" s="16" t="s">
        <v>88</v>
      </c>
      <c r="C1126" s="10" t="s">
        <v>36</v>
      </c>
      <c r="D1126" s="381">
        <v>0.25833333333333336</v>
      </c>
      <c r="E1126" s="381">
        <v>0.29166666666666669</v>
      </c>
      <c r="F1126" s="380">
        <f>+MOD(Tabla8[[#This Row],[HR. FIN]]-Tabla8[[#This Row],[HR. INICIO]],1)</f>
        <v>3.3333333333333326E-2</v>
      </c>
      <c r="G1126" s="16" t="s">
        <v>31</v>
      </c>
      <c r="H1126" s="343" t="str">
        <f>IFERROR(VLOOKUP(G1126,DATOS!$M$2:$N$219,2,FALSE),"")</f>
        <v>Maquinaria</v>
      </c>
      <c r="I1126" s="115" t="s">
        <v>32</v>
      </c>
      <c r="J1126" s="115" t="str">
        <f>+VLOOKUP($I1126,Tabla7[#All],2,FALSE)</f>
        <v>PROGRAMADA</v>
      </c>
      <c r="K1126" s="114" t="str">
        <f>IF(VLOOKUP(I1126,Tabla7[#All],3,FALSE)=0,"",VLOOKUP(I1126,Tabla7[#All],3,FALSE))</f>
        <v/>
      </c>
      <c r="L1126" s="35" t="s">
        <v>361</v>
      </c>
      <c r="M1126" s="35" t="s">
        <v>2158</v>
      </c>
      <c r="N1126" s="35" t="str" cm="1">
        <f t="array" ref="N1126">IFERROR(IF(Tabla8[[#This Row],[P/NP]]="NO PROGRAMADA","",_xlfn.TEXTJOIN(", ",TRUE,_xlfn._xlws.FILTER(Tabla4[[#All],[PIEZA]],ISNUMBER(SEARCH(Tabla4[[#All],[PCLAVE]],Tabla8[[#This Row],[DESCRIPCION DE TRABAJO]])),""))),"")</f>
        <v/>
      </c>
      <c r="O1126" s="35" t="str" cm="1">
        <f t="array" ref="O1126">_xlfn.TEXTJOIN(", ",TRUE,_xlfn._xlws.FILTER(Tabla28[[#All],[PARTE]],ISNUMBER(SEARCH(Tabla28[[#All],[PCLAVE2]],Tabla8[[#This Row],[DESCRIPCION DE TRABAJO]])),""))</f>
        <v/>
      </c>
      <c r="P1126" s="303" t="str">
        <f>IFERROR(LEFT(O1126, FIND(",", O1126)-1), O1126)</f>
        <v/>
      </c>
      <c r="Q1126" s="303" t="str">
        <f>IFERROR(IF(ISERROR(FIND(",", O1126, FIND(",", O1126)+1)), RIGHT(O1126, LEN(O1126)-FIND(",", O1126)-1), MID(O1126, FIND(",", O1126)+2, FIND(",", O1126, FIND(",", O1126)+1)-FIND(",", O1126)-2)), "")</f>
        <v/>
      </c>
      <c r="R1126" s="303" t="str">
        <f>IFERROR(RIGHT(O1126, LEN(O1126)-FIND(",", O1126, FIND(",", O1126)+1)-1), "")</f>
        <v/>
      </c>
      <c r="S1126" s="35" t="str" cm="1">
        <f t="array" ref="S1126">_xlfn.TEXTJOIN(", ",TRUE,_xlfn._xlws.FILTER(Tabla29[[#All],[PARTE]],ISNUMBER(SEARCH(Tabla29[[#All],[PCLAVE3]],Tabla8[[#This Row],[DESCRIPCION DE TRABAJO]])),""))</f>
        <v/>
      </c>
      <c r="T1126" s="34" t="str">
        <f>IF(AND(Tabla8[[#This Row],[PIEZA]]="",Tabla8[[#This Row],[PARTE]]=""),"VACIO","OK")</f>
        <v>VACIO</v>
      </c>
      <c r="U1126" s="303" t="str">
        <f>+CONCATENATE(WEEKNUM(Tabla8[[#This Row],[FECHA]]),"-",YEAR(Tabla8[[#This Row],[FECHA]]))</f>
        <v>19-2026</v>
      </c>
    </row>
    <row r="1127" spans="1:21" ht="15" customHeight="1">
      <c r="A1127" s="22">
        <v>46146</v>
      </c>
      <c r="B1127" s="16" t="s">
        <v>179</v>
      </c>
      <c r="C1127" s="10" t="s">
        <v>23</v>
      </c>
      <c r="D1127" s="381">
        <v>0.7416666666666667</v>
      </c>
      <c r="E1127" s="381">
        <v>0.77083333333333337</v>
      </c>
      <c r="F1127" s="380">
        <f>+MOD(Tabla8[[#This Row],[HR. FIN]]-Tabla8[[#This Row],[HR. INICIO]],1)</f>
        <v>2.9166666666666674E-2</v>
      </c>
      <c r="G1127" s="16" t="s">
        <v>27</v>
      </c>
      <c r="H1127" s="343" t="str">
        <f>IFERROR(VLOOKUP(G1127,DATOS!$M$2:$N$219,2,FALSE),"")</f>
        <v>Maquinaria</v>
      </c>
      <c r="I1127" s="115" t="s">
        <v>348</v>
      </c>
      <c r="J1127" s="115" t="s">
        <v>157</v>
      </c>
      <c r="K1127" s="114"/>
      <c r="L1127" s="35" t="s">
        <v>2159</v>
      </c>
      <c r="M1127" s="35" t="s">
        <v>121</v>
      </c>
      <c r="N1127" s="35" t="str" cm="1">
        <f t="array" ref="N1127">IFERROR(IF(Tabla8[[#This Row],[P/NP]]="NO PROGRAMADA","",_xlfn.TEXTJOIN(", ",TRUE,_xlfn._xlws.FILTER(Tabla4[[#All],[PIEZA]],ISNUMBER(SEARCH(Tabla4[[#All],[PCLAVE]],Tabla8[[#This Row],[DESCRIPCION DE TRABAJO]])),""))),"")</f>
        <v/>
      </c>
      <c r="O1127" s="35" t="str" cm="1">
        <f t="array" ref="O1127">_xlfn.TEXTJOIN(", ",TRUE,_xlfn._xlws.FILTER(Tabla28[[#All],[PARTE]],ISNUMBER(SEARCH(Tabla28[[#All],[PCLAVE2]],Tabla8[[#This Row],[DESCRIPCION DE TRABAJO]])),""))</f>
        <v/>
      </c>
      <c r="P1127" s="303" t="str">
        <f>IFERROR(LEFT(O1127, FIND(",", O1127)-1), O1127)</f>
        <v/>
      </c>
      <c r="Q1127" s="303" t="str">
        <f>IFERROR(IF(ISERROR(FIND(",", O1127, FIND(",", O1127)+1)), RIGHT(O1127, LEN(O1127)-FIND(",", O1127)-1), MID(O1127, FIND(",", O1127)+2, FIND(",", O1127, FIND(",", O1127)+1)-FIND(",", O1127)-2)), "")</f>
        <v/>
      </c>
      <c r="R1127" s="303" t="str">
        <f>IFERROR(RIGHT(O1127, LEN(O1127)-FIND(",", O1127, FIND(",", O1127)+1)-1), "")</f>
        <v/>
      </c>
      <c r="S1127" s="35" t="str" cm="1">
        <f t="array" ref="S1127">_xlfn.TEXTJOIN(", ",TRUE,_xlfn._xlws.FILTER(Tabla29[[#All],[PARTE]],ISNUMBER(SEARCH(Tabla29[[#All],[PCLAVE3]],Tabla8[[#This Row],[DESCRIPCION DE TRABAJO]])),""))</f>
        <v/>
      </c>
      <c r="T1127" s="34" t="str">
        <f>IF(AND(Tabla8[[#This Row],[PIEZA]]="",Tabla8[[#This Row],[PARTE]]=""),"VACIO","OK")</f>
        <v>VACIO</v>
      </c>
      <c r="U1127" s="303" t="str">
        <f>+CONCATENATE(WEEKNUM(Tabla8[[#This Row],[FECHA]]),"-",YEAR(Tabla8[[#This Row],[FECHA]]))</f>
        <v>19-2026</v>
      </c>
    </row>
    <row r="1128" spans="1:21" ht="15" customHeight="1">
      <c r="A1128" s="22">
        <v>46146</v>
      </c>
      <c r="B1128" s="16" t="s">
        <v>111</v>
      </c>
      <c r="C1128" s="10" t="s">
        <v>36</v>
      </c>
      <c r="D1128" s="381">
        <v>0.49305555555555558</v>
      </c>
      <c r="E1128" s="381">
        <v>0.52083333333333337</v>
      </c>
      <c r="F1128" s="380">
        <f>+MOD(Tabla8[[#This Row],[HR. FIN]]-Tabla8[[#This Row],[HR. INICIO]],1)</f>
        <v>2.777777777777779E-2</v>
      </c>
      <c r="G1128" s="16" t="s">
        <v>153</v>
      </c>
      <c r="H1128" s="343" t="str">
        <f>IFERROR(VLOOKUP(G1128,DATOS!$M$2:$N$219,2,FALSE),"")</f>
        <v>Maquinaria</v>
      </c>
      <c r="I1128" s="115" t="s">
        <v>32</v>
      </c>
      <c r="J1128" s="115" t="str">
        <f>+VLOOKUP($I1128,Tabla7[#All],2,FALSE)</f>
        <v>PROGRAMADA</v>
      </c>
      <c r="K1128" s="114" t="str">
        <f>IF(VLOOKUP(I1128,Tabla7[#All],3,FALSE)=0,"",VLOOKUP(I1128,Tabla7[#All],3,FALSE))</f>
        <v/>
      </c>
      <c r="L1128" s="35" t="s">
        <v>449</v>
      </c>
      <c r="M1128" s="35" t="s">
        <v>121</v>
      </c>
      <c r="N1128" s="35" t="str" cm="1">
        <f t="array" ref="N1128">IFERROR(IF(Tabla8[[#This Row],[P/NP]]="NO PROGRAMADA","",_xlfn.TEXTJOIN(", ",TRUE,_xlfn._xlws.FILTER(Tabla4[[#All],[PIEZA]],ISNUMBER(SEARCH(Tabla4[[#All],[PCLAVE]],Tabla8[[#This Row],[DESCRIPCION DE TRABAJO]])),""))),"")</f>
        <v/>
      </c>
      <c r="O1128" s="35" t="str" cm="1">
        <f t="array" ref="O1128">_xlfn.TEXTJOIN(", ",TRUE,_xlfn._xlws.FILTER(Tabla28[[#All],[PARTE]],ISNUMBER(SEARCH(Tabla28[[#All],[PCLAVE2]],Tabla8[[#This Row],[DESCRIPCION DE TRABAJO]])),""))</f>
        <v/>
      </c>
      <c r="P1128" s="303" t="str">
        <f>IFERROR(LEFT(O1128, FIND(",", O1128)-1), O1128)</f>
        <v/>
      </c>
      <c r="Q1128" s="303" t="str">
        <f>IFERROR(IF(ISERROR(FIND(",", O1128, FIND(",", O1128)+1)), RIGHT(O1128, LEN(O1128)-FIND(",", O1128)-1), MID(O1128, FIND(",", O1128)+2, FIND(",", O1128, FIND(",", O1128)+1)-FIND(",", O1128)-2)), "")</f>
        <v/>
      </c>
      <c r="R1128" s="303" t="str">
        <f>IFERROR(RIGHT(O1128, LEN(O1128)-FIND(",", O1128, FIND(",", O1128)+1)-1), "")</f>
        <v/>
      </c>
      <c r="S1128" s="35" t="str" cm="1">
        <f t="array" ref="S1128">_xlfn.TEXTJOIN(", ",TRUE,_xlfn._xlws.FILTER(Tabla29[[#All],[PARTE]],ISNUMBER(SEARCH(Tabla29[[#All],[PCLAVE3]],Tabla8[[#This Row],[DESCRIPCION DE TRABAJO]])),""))</f>
        <v/>
      </c>
      <c r="T1128" s="34" t="str">
        <f>IF(AND(Tabla8[[#This Row],[PIEZA]]="",Tabla8[[#This Row],[PARTE]]=""),"VACIO","OK")</f>
        <v>VACIO</v>
      </c>
      <c r="U1128" s="303" t="str">
        <f>+CONCATENATE(WEEKNUM(Tabla8[[#This Row],[FECHA]]),"-",YEAR(Tabla8[[#This Row],[FECHA]]))</f>
        <v>19-2026</v>
      </c>
    </row>
    <row r="1129" spans="1:21" ht="15" customHeight="1">
      <c r="A1129" s="22">
        <v>46146</v>
      </c>
      <c r="B1129" s="16" t="s">
        <v>191</v>
      </c>
      <c r="C1129" s="10" t="s">
        <v>39</v>
      </c>
      <c r="D1129" s="381">
        <v>0.20277777777777778</v>
      </c>
      <c r="E1129" s="381">
        <v>0.23055555555555557</v>
      </c>
      <c r="F1129" s="380">
        <f>+MOD(Tabla8[[#This Row],[HR. FIN]]-Tabla8[[#This Row],[HR. INICIO]],1)</f>
        <v>2.777777777777779E-2</v>
      </c>
      <c r="G1129" s="16" t="s">
        <v>119</v>
      </c>
      <c r="H1129" s="343" t="str">
        <f>IFERROR(VLOOKUP(G1129,DATOS!$M$2:$N$219,2,FALSE),"")</f>
        <v>Maquinaria</v>
      </c>
      <c r="I1129" s="115" t="s">
        <v>32</v>
      </c>
      <c r="J1129" s="115" t="str">
        <f>+VLOOKUP($I1129,Tabla7[#All],2,FALSE)</f>
        <v>PROGRAMADA</v>
      </c>
      <c r="K1129" s="114" t="str">
        <f>IF(VLOOKUP(I1129,Tabla7[#All],3,FALSE)=0,"",VLOOKUP(I1129,Tabla7[#All],3,FALSE))</f>
        <v/>
      </c>
      <c r="L1129" s="35" t="s">
        <v>1508</v>
      </c>
      <c r="M1129" s="35" t="s">
        <v>121</v>
      </c>
      <c r="N1129" s="35" t="str" cm="1">
        <f t="array" ref="N1129">IFERROR(IF(Tabla8[[#This Row],[P/NP]]="NO PROGRAMADA","",_xlfn.TEXTJOIN(", ",TRUE,_xlfn._xlws.FILTER(Tabla4[[#All],[PIEZA]],ISNUMBER(SEARCH(Tabla4[[#All],[PCLAVE]],Tabla8[[#This Row],[DESCRIPCION DE TRABAJO]])),""))),"")</f>
        <v/>
      </c>
      <c r="O1129" s="35" t="str" cm="1">
        <f t="array" ref="O1129">_xlfn.TEXTJOIN(", ",TRUE,_xlfn._xlws.FILTER(Tabla28[[#All],[PARTE]],ISNUMBER(SEARCH(Tabla28[[#All],[PCLAVE2]],Tabla8[[#This Row],[DESCRIPCION DE TRABAJO]])),""))</f>
        <v>Mds</v>
      </c>
      <c r="P1129" s="303" t="str">
        <f>IFERROR(LEFT(O1129, FIND(",", O1129)-1), O1129)</f>
        <v>Mds</v>
      </c>
      <c r="Q1129" s="303" t="str">
        <f>IFERROR(IF(ISERROR(FIND(",", O1129, FIND(",", O1129)+1)), RIGHT(O1129, LEN(O1129)-FIND(",", O1129)-1), MID(O1129, FIND(",", O1129)+2, FIND(",", O1129, FIND(",", O1129)+1)-FIND(",", O1129)-2)), "")</f>
        <v/>
      </c>
      <c r="R1129" s="303" t="str">
        <f>IFERROR(RIGHT(O1129, LEN(O1129)-FIND(",", O1129, FIND(",", O1129)+1)-1), "")</f>
        <v/>
      </c>
      <c r="S1129" s="35" t="str" cm="1">
        <f t="array" ref="S1129">_xlfn.TEXTJOIN(", ",TRUE,_xlfn._xlws.FILTER(Tabla29[[#All],[PARTE]],ISNUMBER(SEARCH(Tabla29[[#All],[PCLAVE3]],Tabla8[[#This Row],[DESCRIPCION DE TRABAJO]])),""))</f>
        <v>Cambio De Formato</v>
      </c>
      <c r="T1129" s="34" t="str">
        <f>IF(AND(Tabla8[[#This Row],[PIEZA]]="",Tabla8[[#This Row],[PARTE]]=""),"VACIO","OK")</f>
        <v>OK</v>
      </c>
      <c r="U1129" s="303" t="str">
        <f>+CONCATENATE(WEEKNUM(Tabla8[[#This Row],[FECHA]]),"-",YEAR(Tabla8[[#This Row],[FECHA]]))</f>
        <v>19-2026</v>
      </c>
    </row>
    <row r="1130" spans="1:21" ht="15" customHeight="1">
      <c r="A1130" s="22">
        <v>46146</v>
      </c>
      <c r="B1130" s="16" t="s">
        <v>179</v>
      </c>
      <c r="C1130" s="10" t="s">
        <v>23</v>
      </c>
      <c r="D1130" s="381">
        <v>0.53472222222222221</v>
      </c>
      <c r="E1130" s="381">
        <v>0.5625</v>
      </c>
      <c r="F1130" s="380">
        <f>+MOD(Tabla8[[#This Row],[HR. FIN]]-Tabla8[[#This Row],[HR. INICIO]],1)</f>
        <v>2.777777777777779E-2</v>
      </c>
      <c r="G1130" s="16" t="s">
        <v>31</v>
      </c>
      <c r="H1130" s="343" t="str">
        <f>IFERROR(VLOOKUP(G1130,DATOS!$M$2:$N$219,2,FALSE),"")</f>
        <v>Maquinaria</v>
      </c>
      <c r="I1130" s="115" t="s">
        <v>186</v>
      </c>
      <c r="J1130" s="115" t="s">
        <v>92</v>
      </c>
      <c r="K1130" s="114" t="s">
        <v>93</v>
      </c>
      <c r="L1130" s="35" t="s">
        <v>2160</v>
      </c>
      <c r="M1130" s="35" t="s">
        <v>121</v>
      </c>
      <c r="N1130" s="35" t="str" cm="1">
        <f t="array" ref="N1130">IFERROR(IF(Tabla8[[#This Row],[P/NP]]="NO PROGRAMADA","",_xlfn.TEXTJOIN(", ",TRUE,_xlfn._xlws.FILTER(Tabla4[[#All],[PIEZA]],ISNUMBER(SEARCH(Tabla4[[#All],[PCLAVE]],Tabla8[[#This Row],[DESCRIPCION DE TRABAJO]])),""))),"")</f>
        <v/>
      </c>
      <c r="O1130" s="35" t="str" cm="1">
        <f t="array" ref="O1130">_xlfn.TEXTJOIN(", ",TRUE,_xlfn._xlws.FILTER(Tabla28[[#All],[PARTE]],ISNUMBER(SEARCH(Tabla28[[#All],[PCLAVE2]],Tabla8[[#This Row],[DESCRIPCION DE TRABAJO]])),""))</f>
        <v/>
      </c>
      <c r="P1130" s="303" t="str">
        <f>IFERROR(LEFT(O1130, FIND(",", O1130)-1), O1130)</f>
        <v/>
      </c>
      <c r="Q1130" s="303" t="str">
        <f>IFERROR(IF(ISERROR(FIND(",", O1130, FIND(",", O1130)+1)), RIGHT(O1130, LEN(O1130)-FIND(",", O1130)-1), MID(O1130, FIND(",", O1130)+2, FIND(",", O1130, FIND(",", O1130)+1)-FIND(",", O1130)-2)), "")</f>
        <v/>
      </c>
      <c r="R1130" s="303" t="str">
        <f>IFERROR(RIGHT(O1130, LEN(O1130)-FIND(",", O1130, FIND(",", O1130)+1)-1), "")</f>
        <v/>
      </c>
      <c r="S1130" s="35" t="str" cm="1">
        <f t="array" ref="S1130">_xlfn.TEXTJOIN(", ",TRUE,_xlfn._xlws.FILTER(Tabla29[[#All],[PARTE]],ISNUMBER(SEARCH(Tabla29[[#All],[PCLAVE3]],Tabla8[[#This Row],[DESCRIPCION DE TRABAJO]])),""))</f>
        <v/>
      </c>
      <c r="T1130" s="34" t="str">
        <f>IF(AND(Tabla8[[#This Row],[PIEZA]]="",Tabla8[[#This Row],[PARTE]]=""),"VACIO","OK")</f>
        <v>VACIO</v>
      </c>
      <c r="U1130" s="303" t="str">
        <f>+CONCATENATE(WEEKNUM(Tabla8[[#This Row],[FECHA]]),"-",YEAR(Tabla8[[#This Row],[FECHA]]))</f>
        <v>19-2026</v>
      </c>
    </row>
    <row r="1131" spans="1:21" ht="15" customHeight="1">
      <c r="A1131" s="22">
        <v>46146</v>
      </c>
      <c r="B1131" s="16" t="s">
        <v>131</v>
      </c>
      <c r="C1131" s="10" t="s">
        <v>23</v>
      </c>
      <c r="D1131" s="381">
        <v>0.5625</v>
      </c>
      <c r="E1131" s="381">
        <v>0.58888888888888891</v>
      </c>
      <c r="F1131" s="380">
        <f>+MOD(Tabla8[[#This Row],[HR. FIN]]-Tabla8[[#This Row],[HR. INICIO]],1)</f>
        <v>2.6388888888888906E-2</v>
      </c>
      <c r="G1131" s="16" t="s">
        <v>312</v>
      </c>
      <c r="H1131" s="343" t="str">
        <f>IFERROR(VLOOKUP(G1131,DATOS!$M$2:$N$219,2,FALSE),"")</f>
        <v>Maquinaria</v>
      </c>
      <c r="I1131" s="115" t="s">
        <v>28</v>
      </c>
      <c r="J1131" s="115" t="str">
        <f>+VLOOKUP($I1131,Tabla7[#All],2,FALSE)</f>
        <v>NO PROGRAMADA</v>
      </c>
      <c r="K1131" s="114" t="s">
        <v>93</v>
      </c>
      <c r="L1131" s="35" t="s">
        <v>2161</v>
      </c>
      <c r="M1131" s="35" t="s">
        <v>2162</v>
      </c>
      <c r="N1131" s="35" t="str" cm="1">
        <f t="array" ref="N1131">IFERROR(IF(Tabla8[[#This Row],[P/NP]]="NO PROGRAMADA","",_xlfn.TEXTJOIN(", ",TRUE,_xlfn._xlws.FILTER(Tabla4[[#All],[PIEZA]],ISNUMBER(SEARCH(Tabla4[[#All],[PCLAVE]],Tabla8[[#This Row],[DESCRIPCION DE TRABAJO]])),""))),"")</f>
        <v/>
      </c>
      <c r="O1131" s="35" t="str" cm="1">
        <f t="array" ref="O1131">_xlfn.TEXTJOIN(", ",TRUE,_xlfn._xlws.FILTER(Tabla28[[#All],[PARTE]],ISNUMBER(SEARCH(Tabla28[[#All],[PCLAVE2]],Tabla8[[#This Row],[DESCRIPCION DE TRABAJO]])),""))</f>
        <v/>
      </c>
      <c r="P1131" s="303" t="str">
        <f>IFERROR(LEFT(O1131, FIND(",", O1131)-1), O1131)</f>
        <v/>
      </c>
      <c r="Q1131" s="303" t="str">
        <f>IFERROR(IF(ISERROR(FIND(",", O1131, FIND(",", O1131)+1)), RIGHT(O1131, LEN(O1131)-FIND(",", O1131)-1), MID(O1131, FIND(",", O1131)+2, FIND(",", O1131, FIND(",", O1131)+1)-FIND(",", O1131)-2)), "")</f>
        <v/>
      </c>
      <c r="R1131" s="303" t="str">
        <f>IFERROR(RIGHT(O1131, LEN(O1131)-FIND(",", O1131, FIND(",", O1131)+1)-1), "")</f>
        <v/>
      </c>
      <c r="S1131" s="35" t="str" cm="1">
        <f t="array" ref="S1131">_xlfn.TEXTJOIN(", ",TRUE,_xlfn._xlws.FILTER(Tabla29[[#All],[PARTE]],ISNUMBER(SEARCH(Tabla29[[#All],[PCLAVE3]],Tabla8[[#This Row],[DESCRIPCION DE TRABAJO]])),""))</f>
        <v>Detenido</v>
      </c>
      <c r="T1131" s="34" t="str">
        <f>IF(AND(Tabla8[[#This Row],[PIEZA]]="",Tabla8[[#This Row],[PARTE]]=""),"VACIO","OK")</f>
        <v>VACIO</v>
      </c>
      <c r="U1131" s="303" t="str">
        <f>+CONCATENATE(WEEKNUM(Tabla8[[#This Row],[FECHA]]),"-",YEAR(Tabla8[[#This Row],[FECHA]]))</f>
        <v>19-2026</v>
      </c>
    </row>
    <row r="1132" spans="1:21" ht="15" customHeight="1">
      <c r="A1132" s="22">
        <v>46146</v>
      </c>
      <c r="B1132" s="16" t="s">
        <v>131</v>
      </c>
      <c r="C1132" s="10" t="s">
        <v>23</v>
      </c>
      <c r="D1132" s="381">
        <v>0.73819444444444449</v>
      </c>
      <c r="E1132" s="381">
        <v>0.76388888888888884</v>
      </c>
      <c r="F1132" s="380">
        <f>+MOD(Tabla8[[#This Row],[HR. FIN]]-Tabla8[[#This Row],[HR. INICIO]],1)</f>
        <v>2.5694444444444353E-2</v>
      </c>
      <c r="G1132" s="16" t="s">
        <v>153</v>
      </c>
      <c r="H1132" s="343" t="str">
        <f>IFERROR(VLOOKUP(G1132,DATOS!$M$2:$N$219,2,FALSE),"")</f>
        <v>Maquinaria</v>
      </c>
      <c r="I1132" s="115" t="s">
        <v>32</v>
      </c>
      <c r="J1132" s="115" t="s">
        <v>92</v>
      </c>
      <c r="K1132" s="114" t="s">
        <v>93</v>
      </c>
      <c r="L1132" s="35" t="s">
        <v>2163</v>
      </c>
      <c r="M1132" s="35" t="s">
        <v>2164</v>
      </c>
      <c r="N1132" s="35" t="str" cm="1">
        <f t="array" ref="N1132">IFERROR(IF(Tabla8[[#This Row],[P/NP]]="NO PROGRAMADA","",_xlfn.TEXTJOIN(", ",TRUE,_xlfn._xlws.FILTER(Tabla4[[#All],[PIEZA]],ISNUMBER(SEARCH(Tabla4[[#All],[PCLAVE]],Tabla8[[#This Row],[DESCRIPCION DE TRABAJO]])),""))),"")</f>
        <v/>
      </c>
      <c r="O1132" s="35" t="str" cm="1">
        <f t="array" ref="O1132">_xlfn.TEXTJOIN(", ",TRUE,_xlfn._xlws.FILTER(Tabla28[[#All],[PARTE]],ISNUMBER(SEARCH(Tabla28[[#All],[PCLAVE2]],Tabla8[[#This Row],[DESCRIPCION DE TRABAJO]])),""))</f>
        <v>Contraelevador</v>
      </c>
      <c r="P1132" s="303" t="str">
        <f>IFERROR(LEFT(O1132, FIND(",", O1132)-1), O1132)</f>
        <v>Contraelevador</v>
      </c>
      <c r="Q1132" s="303" t="str">
        <f>IFERROR(IF(ISERROR(FIND(",", O1132, FIND(",", O1132)+1)), RIGHT(O1132, LEN(O1132)-FIND(",", O1132)-1), MID(O1132, FIND(",", O1132)+2, FIND(",", O1132, FIND(",", O1132)+1)-FIND(",", O1132)-2)), "")</f>
        <v/>
      </c>
      <c r="R1132" s="303" t="str">
        <f>IFERROR(RIGHT(O1132, LEN(O1132)-FIND(",", O1132, FIND(",", O1132)+1)-1), "")</f>
        <v/>
      </c>
      <c r="S1132" s="35" t="str" cm="1">
        <f t="array" ref="S1132">_xlfn.TEXTJOIN(", ",TRUE,_xlfn._xlws.FILTER(Tabla29[[#All],[PARTE]],ISNUMBER(SEARCH(Tabla29[[#All],[PCLAVE3]],Tabla8[[#This Row],[DESCRIPCION DE TRABAJO]])),""))</f>
        <v>Colision</v>
      </c>
      <c r="T1132" s="34" t="str">
        <f>IF(AND(Tabla8[[#This Row],[PIEZA]]="",Tabla8[[#This Row],[PARTE]]=""),"VACIO","OK")</f>
        <v>OK</v>
      </c>
      <c r="U1132" s="303" t="str">
        <f>+CONCATENATE(WEEKNUM(Tabla8[[#This Row],[FECHA]]),"-",YEAR(Tabla8[[#This Row],[FECHA]]))</f>
        <v>19-2026</v>
      </c>
    </row>
    <row r="1133" spans="1:21" ht="15" customHeight="1">
      <c r="A1133" s="22">
        <v>46146</v>
      </c>
      <c r="B1133" s="16" t="s">
        <v>131</v>
      </c>
      <c r="C1133" s="10" t="s">
        <v>23</v>
      </c>
      <c r="D1133" s="381">
        <v>0.70833333333333337</v>
      </c>
      <c r="E1133" s="381">
        <v>0.73263888888888884</v>
      </c>
      <c r="F1133" s="380">
        <f>+MOD(Tabla8[[#This Row],[HR. FIN]]-Tabla8[[#This Row],[HR. INICIO]],1)</f>
        <v>2.4305555555555469E-2</v>
      </c>
      <c r="G1133" s="16" t="s">
        <v>241</v>
      </c>
      <c r="H1133" s="343" t="str">
        <f>IFERROR(VLOOKUP(G1133,DATOS!$M$2:$N$219,2,FALSE),"")</f>
        <v>Maquinaria</v>
      </c>
      <c r="I1133" s="115" t="s">
        <v>32</v>
      </c>
      <c r="J1133" s="115" t="s">
        <v>92</v>
      </c>
      <c r="K1133" s="114" t="s">
        <v>148</v>
      </c>
      <c r="L1133" s="35" t="s">
        <v>2165</v>
      </c>
      <c r="M1133" s="35" t="s">
        <v>2166</v>
      </c>
      <c r="N1133" s="35" t="str" cm="1">
        <f t="array" ref="N1133">IFERROR(IF(Tabla8[[#This Row],[P/NP]]="NO PROGRAMADA","",_xlfn.TEXTJOIN(", ",TRUE,_xlfn._xlws.FILTER(Tabla4[[#All],[PIEZA]],ISNUMBER(SEARCH(Tabla4[[#All],[PCLAVE]],Tabla8[[#This Row],[DESCRIPCION DE TRABAJO]])),""))),"")</f>
        <v/>
      </c>
      <c r="O1133" s="35" t="str" cm="1">
        <f t="array" ref="O1133">_xlfn.TEXTJOIN(", ",TRUE,_xlfn._xlws.FILTER(Tabla28[[#All],[PARTE]],ISNUMBER(SEARCH(Tabla28[[#All],[PCLAVE2]],Tabla8[[#This Row],[DESCRIPCION DE TRABAJO]])),""))</f>
        <v/>
      </c>
      <c r="P1133" s="303" t="str">
        <f>IFERROR(LEFT(O1133, FIND(",", O1133)-1), O1133)</f>
        <v/>
      </c>
      <c r="Q1133" s="303" t="str">
        <f>IFERROR(IF(ISERROR(FIND(",", O1133, FIND(",", O1133)+1)), RIGHT(O1133, LEN(O1133)-FIND(",", O1133)-1), MID(O1133, FIND(",", O1133)+2, FIND(",", O1133, FIND(",", O1133)+1)-FIND(",", O1133)-2)), "")</f>
        <v/>
      </c>
      <c r="R1133" s="303" t="str">
        <f>IFERROR(RIGHT(O1133, LEN(O1133)-FIND(",", O1133, FIND(",", O1133)+1)-1), "")</f>
        <v/>
      </c>
      <c r="S1133" s="35" t="str" cm="1">
        <f t="array" ref="S1133">_xlfn.TEXTJOIN(", ",TRUE,_xlfn._xlws.FILTER(Tabla29[[#All],[PARTE]],ISNUMBER(SEARCH(Tabla29[[#All],[PCLAVE3]],Tabla8[[#This Row],[DESCRIPCION DE TRABAJO]])),""))</f>
        <v>No Cae Producto</v>
      </c>
      <c r="T1133" s="34" t="str">
        <f>IF(AND(Tabla8[[#This Row],[PIEZA]]="",Tabla8[[#This Row],[PARTE]]=""),"VACIO","OK")</f>
        <v>VACIO</v>
      </c>
      <c r="U1133" s="303" t="str">
        <f>+CONCATENATE(WEEKNUM(Tabla8[[#This Row],[FECHA]]),"-",YEAR(Tabla8[[#This Row],[FECHA]]))</f>
        <v>19-2026</v>
      </c>
    </row>
    <row r="1134" spans="1:21" ht="15" customHeight="1">
      <c r="A1134" s="22">
        <v>46146</v>
      </c>
      <c r="B1134" s="16" t="s">
        <v>191</v>
      </c>
      <c r="C1134" s="10" t="s">
        <v>39</v>
      </c>
      <c r="D1134" s="381">
        <v>0.17777777777777778</v>
      </c>
      <c r="E1134" s="381">
        <v>0.2013888888888889</v>
      </c>
      <c r="F1134" s="380">
        <f>+MOD(Tabla8[[#This Row],[HR. FIN]]-Tabla8[[#This Row],[HR. INICIO]],1)</f>
        <v>2.361111111111111E-2</v>
      </c>
      <c r="G1134" s="16" t="s">
        <v>119</v>
      </c>
      <c r="H1134" s="343" t="str">
        <f>IFERROR(VLOOKUP(G1134,DATOS!$M$2:$N$219,2,FALSE),"")</f>
        <v>Maquinaria</v>
      </c>
      <c r="I1134" s="115" t="s">
        <v>32</v>
      </c>
      <c r="J1134" s="115" t="str">
        <f>+VLOOKUP($I1134,Tabla7[#All],2,FALSE)</f>
        <v>PROGRAMADA</v>
      </c>
      <c r="K1134" s="114" t="str">
        <f>IF(VLOOKUP(I1134,Tabla7[#All],3,FALSE)=0,"",VLOOKUP(I1134,Tabla7[#All],3,FALSE))</f>
        <v/>
      </c>
      <c r="L1134" s="35" t="s">
        <v>2167</v>
      </c>
      <c r="M1134" s="35" t="s">
        <v>121</v>
      </c>
      <c r="N1134" s="35" t="str" cm="1">
        <f t="array" ref="N1134">IFERROR(IF(Tabla8[[#This Row],[P/NP]]="NO PROGRAMADA","",_xlfn.TEXTJOIN(", ",TRUE,_xlfn._xlws.FILTER(Tabla4[[#All],[PIEZA]],ISNUMBER(SEARCH(Tabla4[[#All],[PCLAVE]],Tabla8[[#This Row],[DESCRIPCION DE TRABAJO]])),""))),"")</f>
        <v/>
      </c>
      <c r="O1134" s="35" t="str" cm="1">
        <f t="array" ref="O1134">_xlfn.TEXTJOIN(", ",TRUE,_xlfn._xlws.FILTER(Tabla28[[#All],[PARTE]],ISNUMBER(SEARCH(Tabla28[[#All],[PCLAVE2]],Tabla8[[#This Row],[DESCRIPCION DE TRABAJO]])),""))</f>
        <v>Mds</v>
      </c>
      <c r="P1134" s="303" t="str">
        <f>IFERROR(LEFT(O1134, FIND(",", O1134)-1), O1134)</f>
        <v>Mds</v>
      </c>
      <c r="Q1134" s="303" t="str">
        <f>IFERROR(IF(ISERROR(FIND(",", O1134, FIND(",", O1134)+1)), RIGHT(O1134, LEN(O1134)-FIND(",", O1134)-1), MID(O1134, FIND(",", O1134)+2, FIND(",", O1134, FIND(",", O1134)+1)-FIND(",", O1134)-2)), "")</f>
        <v/>
      </c>
      <c r="R1134" s="303" t="str">
        <f>IFERROR(RIGHT(O1134, LEN(O1134)-FIND(",", O1134, FIND(",", O1134)+1)-1), "")</f>
        <v/>
      </c>
      <c r="S1134" s="35" t="str" cm="1">
        <f t="array" ref="S1134">_xlfn.TEXTJOIN(", ",TRUE,_xlfn._xlws.FILTER(Tabla29[[#All],[PARTE]],ISNUMBER(SEARCH(Tabla29[[#All],[PCLAVE3]],Tabla8[[#This Row],[DESCRIPCION DE TRABAJO]])),""))</f>
        <v>Cambio De Formato</v>
      </c>
      <c r="T1134" s="34" t="str">
        <f>IF(AND(Tabla8[[#This Row],[PIEZA]]="",Tabla8[[#This Row],[PARTE]]=""),"VACIO","OK")</f>
        <v>OK</v>
      </c>
      <c r="U1134" s="303" t="str">
        <f>+CONCATENATE(WEEKNUM(Tabla8[[#This Row],[FECHA]]),"-",YEAR(Tabla8[[#This Row],[FECHA]]))</f>
        <v>19-2026</v>
      </c>
    </row>
    <row r="1135" spans="1:21" ht="15" customHeight="1">
      <c r="A1135" s="22">
        <v>46146</v>
      </c>
      <c r="B1135" s="16" t="s">
        <v>111</v>
      </c>
      <c r="C1135" s="10" t="s">
        <v>36</v>
      </c>
      <c r="D1135" s="381">
        <v>5.9027777777777776E-2</v>
      </c>
      <c r="E1135" s="381">
        <v>8.1250000000000003E-2</v>
      </c>
      <c r="F1135" s="380">
        <f>+MOD(Tabla8[[#This Row],[HR. FIN]]-Tabla8[[#This Row],[HR. INICIO]],1)</f>
        <v>2.2222222222222227E-2</v>
      </c>
      <c r="G1135" s="16" t="s">
        <v>312</v>
      </c>
      <c r="H1135" s="343" t="str">
        <f>IFERROR(VLOOKUP(G1135,DATOS!$M$2:$N$219,2,FALSE),"")</f>
        <v>Maquinaria</v>
      </c>
      <c r="I1135" s="115" t="s">
        <v>28</v>
      </c>
      <c r="J1135" s="115" t="str">
        <f>+VLOOKUP($I1135,Tabla7[#All],2,FALSE)</f>
        <v>NO PROGRAMADA</v>
      </c>
      <c r="K1135" s="114" t="s">
        <v>93</v>
      </c>
      <c r="L1135" s="35" t="s">
        <v>2168</v>
      </c>
      <c r="M1135" s="35" t="s">
        <v>2169</v>
      </c>
      <c r="N1135" s="35" t="str" cm="1">
        <f t="array" ref="N1135">IFERROR(IF(Tabla8[[#This Row],[P/NP]]="NO PROGRAMADA","",_xlfn.TEXTJOIN(", ",TRUE,_xlfn._xlws.FILTER(Tabla4[[#All],[PIEZA]],ISNUMBER(SEARCH(Tabla4[[#All],[PCLAVE]],Tabla8[[#This Row],[DESCRIPCION DE TRABAJO]])),""))),"")</f>
        <v/>
      </c>
      <c r="O1135" s="35" t="str" cm="1">
        <f t="array" ref="O1135">_xlfn.TEXTJOIN(", ",TRUE,_xlfn._xlws.FILTER(Tabla28[[#All],[PARTE]],ISNUMBER(SEARCH(Tabla28[[#All],[PCLAVE2]],Tabla8[[#This Row],[DESCRIPCION DE TRABAJO]])),""))</f>
        <v/>
      </c>
      <c r="P1135" s="303" t="str">
        <f>IFERROR(LEFT(O1135, FIND(",", O1135)-1), O1135)</f>
        <v/>
      </c>
      <c r="Q1135" s="303" t="str">
        <f>IFERROR(IF(ISERROR(FIND(",", O1135, FIND(",", O1135)+1)), RIGHT(O1135, LEN(O1135)-FIND(",", O1135)-1), MID(O1135, FIND(",", O1135)+2, FIND(",", O1135, FIND(",", O1135)+1)-FIND(",", O1135)-2)), "")</f>
        <v/>
      </c>
      <c r="R1135" s="303" t="str">
        <f>IFERROR(RIGHT(O1135, LEN(O1135)-FIND(",", O1135, FIND(",", O1135)+1)-1), "")</f>
        <v/>
      </c>
      <c r="S1135" s="35" t="str" cm="1">
        <f t="array" ref="S1135">_xlfn.TEXTJOIN(", ",TRUE,_xlfn._xlws.FILTER(Tabla29[[#All],[PARTE]],ISNUMBER(SEARCH(Tabla29[[#All],[PCLAVE3]],Tabla8[[#This Row],[DESCRIPCION DE TRABAJO]])),""))</f>
        <v>Dañado</v>
      </c>
      <c r="T1135" s="34" t="str">
        <f>IF(AND(Tabla8[[#This Row],[PIEZA]]="",Tabla8[[#This Row],[PARTE]]=""),"VACIO","OK")</f>
        <v>VACIO</v>
      </c>
      <c r="U1135" s="303" t="str">
        <f>+CONCATENATE(WEEKNUM(Tabla8[[#This Row],[FECHA]]),"-",YEAR(Tabla8[[#This Row],[FECHA]]))</f>
        <v>19-2026</v>
      </c>
    </row>
    <row r="1136" spans="1:21" ht="15" customHeight="1">
      <c r="A1136" s="22">
        <v>46146</v>
      </c>
      <c r="B1136" s="16" t="s">
        <v>88</v>
      </c>
      <c r="C1136" s="10" t="s">
        <v>36</v>
      </c>
      <c r="D1136" s="381">
        <v>0.27083333333333331</v>
      </c>
      <c r="E1136" s="381">
        <v>0.29166666666666669</v>
      </c>
      <c r="F1136" s="380">
        <f>+MOD(Tabla8[[#This Row],[HR. FIN]]-Tabla8[[#This Row],[HR. INICIO]],1)</f>
        <v>2.083333333333337E-2</v>
      </c>
      <c r="G1136" s="16" t="s">
        <v>312</v>
      </c>
      <c r="H1136" s="343" t="str">
        <f>IFERROR(VLOOKUP(G1136,DATOS!$M$2:$N$219,2,FALSE),"")</f>
        <v>Maquinaria</v>
      </c>
      <c r="I1136" s="115" t="s">
        <v>32</v>
      </c>
      <c r="J1136" s="115" t="str">
        <f>+VLOOKUP($I1136,Tabla7[#All],2,FALSE)</f>
        <v>PROGRAMADA</v>
      </c>
      <c r="K1136" s="114" t="str">
        <f>IF(VLOOKUP(I1136,Tabla7[#All],3,FALSE)=0,"",VLOOKUP(I1136,Tabla7[#All],3,FALSE))</f>
        <v/>
      </c>
      <c r="L1136" s="35" t="s">
        <v>1168</v>
      </c>
      <c r="M1136" s="35" t="s">
        <v>1166</v>
      </c>
      <c r="N1136" s="35" t="str" cm="1">
        <f t="array" ref="N1136">IFERROR(IF(Tabla8[[#This Row],[P/NP]]="NO PROGRAMADA","",_xlfn.TEXTJOIN(", ",TRUE,_xlfn._xlws.FILTER(Tabla4[[#All],[PIEZA]],ISNUMBER(SEARCH(Tabla4[[#All],[PCLAVE]],Tabla8[[#This Row],[DESCRIPCION DE TRABAJO]])),""))),"")</f>
        <v/>
      </c>
      <c r="O1136" s="35" t="str" cm="1">
        <f t="array" ref="O1136">_xlfn.TEXTJOIN(", ",TRUE,_xlfn._xlws.FILTER(Tabla28[[#All],[PARTE]],ISNUMBER(SEARCH(Tabla28[[#All],[PCLAVE2]],Tabla8[[#This Row],[DESCRIPCION DE TRABAJO]])),""))</f>
        <v/>
      </c>
      <c r="P1136" s="303" t="str">
        <f>IFERROR(LEFT(O1136, FIND(",", O1136)-1), O1136)</f>
        <v/>
      </c>
      <c r="Q1136" s="303" t="str">
        <f>IFERROR(IF(ISERROR(FIND(",", O1136, FIND(",", O1136)+1)), RIGHT(O1136, LEN(O1136)-FIND(",", O1136)-1), MID(O1136, FIND(",", O1136)+2, FIND(",", O1136, FIND(",", O1136)+1)-FIND(",", O1136)-2)), "")</f>
        <v/>
      </c>
      <c r="R1136" s="303" t="str">
        <f>IFERROR(RIGHT(O1136, LEN(O1136)-FIND(",", O1136, FIND(",", O1136)+1)-1), "")</f>
        <v/>
      </c>
      <c r="S1136" s="35" t="str" cm="1">
        <f t="array" ref="S1136">_xlfn.TEXTJOIN(", ",TRUE,_xlfn._xlws.FILTER(Tabla29[[#All],[PARTE]],ISNUMBER(SEARCH(Tabla29[[#All],[PCLAVE3]],Tabla8[[#This Row],[DESCRIPCION DE TRABAJO]])),""))</f>
        <v/>
      </c>
      <c r="T1136" s="34" t="str">
        <f>IF(AND(Tabla8[[#This Row],[PIEZA]]="",Tabla8[[#This Row],[PARTE]]=""),"VACIO","OK")</f>
        <v>VACIO</v>
      </c>
      <c r="U1136" s="303" t="str">
        <f>+CONCATENATE(WEEKNUM(Tabla8[[#This Row],[FECHA]]),"-",YEAR(Tabla8[[#This Row],[FECHA]]))</f>
        <v>19-2026</v>
      </c>
    </row>
    <row r="1137" spans="1:21" ht="15" customHeight="1">
      <c r="A1137" s="22">
        <v>46146</v>
      </c>
      <c r="B1137" s="16" t="s">
        <v>179</v>
      </c>
      <c r="C1137" s="10" t="s">
        <v>23</v>
      </c>
      <c r="D1137" s="381">
        <v>0.625</v>
      </c>
      <c r="E1137" s="381">
        <v>0.64583333333333337</v>
      </c>
      <c r="F1137" s="380">
        <f>+MOD(Tabla8[[#This Row],[HR. FIN]]-Tabla8[[#This Row],[HR. INICIO]],1)</f>
        <v>2.083333333333337E-2</v>
      </c>
      <c r="G1137" s="16" t="s">
        <v>202</v>
      </c>
      <c r="H1137" s="343" t="str">
        <f>IFERROR(VLOOKUP(G1137,DATOS!$M$2:$N$219,2,FALSE),"")</f>
        <v>Maquinaria</v>
      </c>
      <c r="I1137" s="115" t="s">
        <v>61</v>
      </c>
      <c r="J1137" s="115" t="s">
        <v>92</v>
      </c>
      <c r="K1137" s="114" t="s">
        <v>93</v>
      </c>
      <c r="L1137" s="35" t="s">
        <v>2170</v>
      </c>
      <c r="M1137" s="35" t="s">
        <v>2171</v>
      </c>
      <c r="N1137" s="35" t="str" cm="1">
        <f t="array" ref="N1137">IFERROR(IF(Tabla8[[#This Row],[P/NP]]="NO PROGRAMADA","",_xlfn.TEXTJOIN(", ",TRUE,_xlfn._xlws.FILTER(Tabla4[[#All],[PIEZA]],ISNUMBER(SEARCH(Tabla4[[#All],[PCLAVE]],Tabla8[[#This Row],[DESCRIPCION DE TRABAJO]])),""))),"")</f>
        <v/>
      </c>
      <c r="O1137" s="35" t="str" cm="1">
        <f t="array" ref="O1137">_xlfn.TEXTJOIN(", ",TRUE,_xlfn._xlws.FILTER(Tabla28[[#All],[PARTE]],ISNUMBER(SEARCH(Tabla28[[#All],[PCLAVE2]],Tabla8[[#This Row],[DESCRIPCION DE TRABAJO]])),""))</f>
        <v/>
      </c>
      <c r="P1137" s="303" t="str">
        <f>IFERROR(LEFT(O1137, FIND(",", O1137)-1), O1137)</f>
        <v/>
      </c>
      <c r="Q1137" s="303" t="str">
        <f>IFERROR(IF(ISERROR(FIND(",", O1137, FIND(",", O1137)+1)), RIGHT(O1137, LEN(O1137)-FIND(",", O1137)-1), MID(O1137, FIND(",", O1137)+2, FIND(",", O1137, FIND(",", O1137)+1)-FIND(",", O1137)-2)), "")</f>
        <v/>
      </c>
      <c r="R1137" s="303" t="str">
        <f>IFERROR(RIGHT(O1137, LEN(O1137)-FIND(",", O1137, FIND(",", O1137)+1)-1), "")</f>
        <v/>
      </c>
      <c r="S1137" s="35" t="str" cm="1">
        <f t="array" ref="S1137">_xlfn.TEXTJOIN(", ",TRUE,_xlfn._xlws.FILTER(Tabla29[[#All],[PARTE]],ISNUMBER(SEARCH(Tabla29[[#All],[PCLAVE3]],Tabla8[[#This Row],[DESCRIPCION DE TRABAJO]])),""))</f>
        <v>Seco</v>
      </c>
      <c r="T1137" s="34" t="str">
        <f>IF(AND(Tabla8[[#This Row],[PIEZA]]="",Tabla8[[#This Row],[PARTE]]=""),"VACIO","OK")</f>
        <v>VACIO</v>
      </c>
      <c r="U1137" s="303" t="str">
        <f>+CONCATENATE(WEEKNUM(Tabla8[[#This Row],[FECHA]]),"-",YEAR(Tabla8[[#This Row],[FECHA]]))</f>
        <v>19-2026</v>
      </c>
    </row>
    <row r="1138" spans="1:21" ht="15" customHeight="1">
      <c r="A1138" s="22">
        <v>46146</v>
      </c>
      <c r="B1138" s="16" t="s">
        <v>131</v>
      </c>
      <c r="C1138" s="10" t="s">
        <v>23</v>
      </c>
      <c r="D1138" s="381">
        <v>0.60416666666666663</v>
      </c>
      <c r="E1138" s="381">
        <v>0.625</v>
      </c>
      <c r="F1138" s="380">
        <f>+MOD(Tabla8[[#This Row],[HR. FIN]]-Tabla8[[#This Row],[HR. INICIO]],1)</f>
        <v>2.083333333333337E-2</v>
      </c>
      <c r="G1138" s="16" t="s">
        <v>119</v>
      </c>
      <c r="H1138" s="343" t="str">
        <f>IFERROR(VLOOKUP(G1138,DATOS!$M$2:$N$219,2,FALSE),"")</f>
        <v>Maquinaria</v>
      </c>
      <c r="I1138" s="115" t="s">
        <v>32</v>
      </c>
      <c r="J1138" s="115" t="str">
        <f>+VLOOKUP($I1138,Tabla7[#All],2,FALSE)</f>
        <v>PROGRAMADA</v>
      </c>
      <c r="K1138" s="114" t="str">
        <f>IF(VLOOKUP(I1138,Tabla7[#All],3,FALSE)=0,"",VLOOKUP(I1138,Tabla7[#All],3,FALSE))</f>
        <v/>
      </c>
      <c r="L1138" s="35" t="s">
        <v>2172</v>
      </c>
      <c r="M1138" s="35" t="s">
        <v>2173</v>
      </c>
      <c r="N1138" s="35" t="str" cm="1">
        <f t="array" ref="N1138">IFERROR(IF(Tabla8[[#This Row],[P/NP]]="NO PROGRAMADA","",_xlfn.TEXTJOIN(", ",TRUE,_xlfn._xlws.FILTER(Tabla4[[#All],[PIEZA]],ISNUMBER(SEARCH(Tabla4[[#All],[PCLAVE]],Tabla8[[#This Row],[DESCRIPCION DE TRABAJO]])),""))),"")</f>
        <v/>
      </c>
      <c r="O1138" s="35" t="str" cm="1">
        <f t="array" ref="O1138">_xlfn.TEXTJOIN(", ",TRUE,_xlfn._xlws.FILTER(Tabla28[[#All],[PARTE]],ISNUMBER(SEARCH(Tabla28[[#All],[PCLAVE2]],Tabla8[[#This Row],[DESCRIPCION DE TRABAJO]])),""))</f>
        <v/>
      </c>
      <c r="P1138" s="303" t="str">
        <f>IFERROR(LEFT(O1138, FIND(",", O1138)-1), O1138)</f>
        <v/>
      </c>
      <c r="Q1138" s="303" t="str">
        <f>IFERROR(IF(ISERROR(FIND(",", O1138, FIND(",", O1138)+1)), RIGHT(O1138, LEN(O1138)-FIND(",", O1138)-1), MID(O1138, FIND(",", O1138)+2, FIND(",", O1138, FIND(",", O1138)+1)-FIND(",", O1138)-2)), "")</f>
        <v/>
      </c>
      <c r="R1138" s="303" t="str">
        <f>IFERROR(RIGHT(O1138, LEN(O1138)-FIND(",", O1138, FIND(",", O1138)+1)-1), "")</f>
        <v/>
      </c>
      <c r="S1138" s="35" t="str" cm="1">
        <f t="array" ref="S1138">_xlfn.TEXTJOIN(", ",TRUE,_xlfn._xlws.FILTER(Tabla29[[#All],[PARTE]],ISNUMBER(SEARCH(Tabla29[[#All],[PCLAVE3]],Tabla8[[#This Row],[DESCRIPCION DE TRABAJO]])),""))</f>
        <v/>
      </c>
      <c r="T1138" s="34" t="str">
        <f>IF(AND(Tabla8[[#This Row],[PIEZA]]="",Tabla8[[#This Row],[PARTE]]=""),"VACIO","OK")</f>
        <v>VACIO</v>
      </c>
      <c r="U1138" s="303" t="str">
        <f>+CONCATENATE(WEEKNUM(Tabla8[[#This Row],[FECHA]]),"-",YEAR(Tabla8[[#This Row],[FECHA]]))</f>
        <v>19-2026</v>
      </c>
    </row>
    <row r="1139" spans="1:21" ht="15" customHeight="1">
      <c r="A1139" s="22">
        <v>46146</v>
      </c>
      <c r="B1139" s="16" t="s">
        <v>88</v>
      </c>
      <c r="C1139" s="10" t="s">
        <v>36</v>
      </c>
      <c r="D1139" s="381">
        <v>0.2986111111111111</v>
      </c>
      <c r="E1139" s="381">
        <v>0.31944444444444442</v>
      </c>
      <c r="F1139" s="380">
        <f>+MOD(Tabla8[[#This Row],[HR. FIN]]-Tabla8[[#This Row],[HR. INICIO]],1)</f>
        <v>2.0833333333333315E-2</v>
      </c>
      <c r="G1139" s="16" t="s">
        <v>153</v>
      </c>
      <c r="H1139" s="343" t="str">
        <f>IFERROR(VLOOKUP(G1139,DATOS!$M$2:$N$219,2,FALSE),"")</f>
        <v>Maquinaria</v>
      </c>
      <c r="I1139" s="115" t="s">
        <v>32</v>
      </c>
      <c r="J1139" s="115" t="str">
        <f>+VLOOKUP($I1139,Tabla7[#All],2,FALSE)</f>
        <v>PROGRAMADA</v>
      </c>
      <c r="K1139" s="114" t="str">
        <f>IF(VLOOKUP(I1139,Tabla7[#All],3,FALSE)=0,"",VLOOKUP(I1139,Tabla7[#All],3,FALSE))</f>
        <v/>
      </c>
      <c r="L1139" s="35" t="s">
        <v>2174</v>
      </c>
      <c r="M1139" s="35" t="s">
        <v>2175</v>
      </c>
      <c r="N1139" s="35" t="str" cm="1">
        <f t="array" ref="N1139">IFERROR(IF(Tabla8[[#This Row],[P/NP]]="NO PROGRAMADA","",_xlfn.TEXTJOIN(", ",TRUE,_xlfn._xlws.FILTER(Tabla4[[#All],[PIEZA]],ISNUMBER(SEARCH(Tabla4[[#All],[PCLAVE]],Tabla8[[#This Row],[DESCRIPCION DE TRABAJO]])),""))),"")</f>
        <v/>
      </c>
      <c r="O1139" s="35" t="str" cm="1">
        <f t="array" ref="O1139">_xlfn.TEXTJOIN(", ",TRUE,_xlfn._xlws.FILTER(Tabla28[[#All],[PARTE]],ISNUMBER(SEARCH(Tabla28[[#All],[PCLAVE2]],Tabla8[[#This Row],[DESCRIPCION DE TRABAJO]])),""))</f>
        <v/>
      </c>
      <c r="P1139" s="303" t="str">
        <f>IFERROR(LEFT(O1139, FIND(",", O1139)-1), O1139)</f>
        <v/>
      </c>
      <c r="Q1139" s="303" t="str">
        <f>IFERROR(IF(ISERROR(FIND(",", O1139, FIND(",", O1139)+1)), RIGHT(O1139, LEN(O1139)-FIND(",", O1139)-1), MID(O1139, FIND(",", O1139)+2, FIND(",", O1139, FIND(",", O1139)+1)-FIND(",", O1139)-2)), "")</f>
        <v/>
      </c>
      <c r="R1139" s="303" t="str">
        <f>IFERROR(RIGHT(O1139, LEN(O1139)-FIND(",", O1139, FIND(",", O1139)+1)-1), "")</f>
        <v/>
      </c>
      <c r="S1139" s="35" t="str" cm="1">
        <f t="array" ref="S1139">_xlfn.TEXTJOIN(", ",TRUE,_xlfn._xlws.FILTER(Tabla29[[#All],[PARTE]],ISNUMBER(SEARCH(Tabla29[[#All],[PCLAVE3]],Tabla8[[#This Row],[DESCRIPCION DE TRABAJO]])),""))</f>
        <v/>
      </c>
      <c r="T1139" s="34" t="str">
        <f>IF(AND(Tabla8[[#This Row],[PIEZA]]="",Tabla8[[#This Row],[PARTE]]=""),"VACIO","OK")</f>
        <v>VACIO</v>
      </c>
      <c r="U1139" s="303" t="str">
        <f>+CONCATENATE(WEEKNUM(Tabla8[[#This Row],[FECHA]]),"-",YEAR(Tabla8[[#This Row],[FECHA]]))</f>
        <v>19-2026</v>
      </c>
    </row>
    <row r="1140" spans="1:21" ht="15" customHeight="1">
      <c r="A1140" s="22">
        <v>46146</v>
      </c>
      <c r="B1140" s="16" t="s">
        <v>88</v>
      </c>
      <c r="C1140" s="10" t="s">
        <v>36</v>
      </c>
      <c r="D1140" s="381">
        <v>0.41666666666666669</v>
      </c>
      <c r="E1140" s="381">
        <v>0.4375</v>
      </c>
      <c r="F1140" s="380">
        <f>+MOD(Tabla8[[#This Row],[HR. FIN]]-Tabla8[[#This Row],[HR. INICIO]],1)</f>
        <v>2.0833333333333315E-2</v>
      </c>
      <c r="G1140" s="16" t="s">
        <v>24</v>
      </c>
      <c r="H1140" s="343" t="str">
        <f>IFERROR(VLOOKUP(G1140,DATOS!$M$2:$N$219,2,FALSE),"")</f>
        <v>Maquinaria</v>
      </c>
      <c r="I1140" s="115" t="s">
        <v>32</v>
      </c>
      <c r="J1140" s="115" t="str">
        <f>+VLOOKUP($I1140,Tabla7[#All],2,FALSE)</f>
        <v>PROGRAMADA</v>
      </c>
      <c r="K1140" s="114" t="str">
        <f>IF(VLOOKUP(I1140,Tabla7[#All],3,FALSE)=0,"",VLOOKUP(I1140,Tabla7[#All],3,FALSE))</f>
        <v/>
      </c>
      <c r="L1140" s="35" t="s">
        <v>1168</v>
      </c>
      <c r="M1140" s="35" t="s">
        <v>2176</v>
      </c>
      <c r="N1140" s="35" t="str" cm="1">
        <f t="array" ref="N1140">IFERROR(IF(Tabla8[[#This Row],[P/NP]]="NO PROGRAMADA","",_xlfn.TEXTJOIN(", ",TRUE,_xlfn._xlws.FILTER(Tabla4[[#All],[PIEZA]],ISNUMBER(SEARCH(Tabla4[[#All],[PCLAVE]],Tabla8[[#This Row],[DESCRIPCION DE TRABAJO]])),""))),"")</f>
        <v/>
      </c>
      <c r="O1140" s="35" t="str" cm="1">
        <f t="array" ref="O1140">_xlfn.TEXTJOIN(", ",TRUE,_xlfn._xlws.FILTER(Tabla28[[#All],[PARTE]],ISNUMBER(SEARCH(Tabla28[[#All],[PCLAVE2]],Tabla8[[#This Row],[DESCRIPCION DE TRABAJO]])),""))</f>
        <v/>
      </c>
      <c r="P1140" s="303" t="str">
        <f>IFERROR(LEFT(O1140, FIND(",", O1140)-1), O1140)</f>
        <v/>
      </c>
      <c r="Q1140" s="303" t="str">
        <f>IFERROR(IF(ISERROR(FIND(",", O1140, FIND(",", O1140)+1)), RIGHT(O1140, LEN(O1140)-FIND(",", O1140)-1), MID(O1140, FIND(",", O1140)+2, FIND(",", O1140, FIND(",", O1140)+1)-FIND(",", O1140)-2)), "")</f>
        <v/>
      </c>
      <c r="R1140" s="303" t="str">
        <f>IFERROR(RIGHT(O1140, LEN(O1140)-FIND(",", O1140, FIND(",", O1140)+1)-1), "")</f>
        <v/>
      </c>
      <c r="S1140" s="35" t="str" cm="1">
        <f t="array" ref="S1140">_xlfn.TEXTJOIN(", ",TRUE,_xlfn._xlws.FILTER(Tabla29[[#All],[PARTE]],ISNUMBER(SEARCH(Tabla29[[#All],[PCLAVE3]],Tabla8[[#This Row],[DESCRIPCION DE TRABAJO]])),""))</f>
        <v/>
      </c>
      <c r="T1140" s="34" t="str">
        <f>IF(AND(Tabla8[[#This Row],[PIEZA]]="",Tabla8[[#This Row],[PARTE]]=""),"VACIO","OK")</f>
        <v>VACIO</v>
      </c>
      <c r="U1140" s="303" t="str">
        <f>+CONCATENATE(WEEKNUM(Tabla8[[#This Row],[FECHA]]),"-",YEAR(Tabla8[[#This Row],[FECHA]]))</f>
        <v>19-2026</v>
      </c>
    </row>
    <row r="1141" spans="1:21" ht="15" customHeight="1">
      <c r="A1141" s="22">
        <v>46146</v>
      </c>
      <c r="B1141" s="16" t="s">
        <v>88</v>
      </c>
      <c r="C1141" s="10" t="s">
        <v>36</v>
      </c>
      <c r="D1141" s="381">
        <v>0.4375</v>
      </c>
      <c r="E1141" s="381">
        <v>0.45833333333333331</v>
      </c>
      <c r="F1141" s="380">
        <f>+MOD(Tabla8[[#This Row],[HR. FIN]]-Tabla8[[#This Row],[HR. INICIO]],1)</f>
        <v>2.0833333333333315E-2</v>
      </c>
      <c r="G1141" s="16" t="s">
        <v>312</v>
      </c>
      <c r="H1141" s="343" t="str">
        <f>IFERROR(VLOOKUP(G1141,DATOS!$M$2:$N$219,2,FALSE),"")</f>
        <v>Maquinaria</v>
      </c>
      <c r="I1141" s="115" t="s">
        <v>32</v>
      </c>
      <c r="J1141" s="115" t="str">
        <f>+VLOOKUP($I1141,Tabla7[#All],2,FALSE)</f>
        <v>PROGRAMADA</v>
      </c>
      <c r="K1141" s="114" t="str">
        <f>IF(VLOOKUP(I1141,Tabla7[#All],3,FALSE)=0,"",VLOOKUP(I1141,Tabla7[#All],3,FALSE))</f>
        <v/>
      </c>
      <c r="L1141" s="35" t="s">
        <v>1593</v>
      </c>
      <c r="M1141" s="35" t="s">
        <v>1994</v>
      </c>
      <c r="N1141" s="35" t="str" cm="1">
        <f t="array" ref="N1141">IFERROR(IF(Tabla8[[#This Row],[P/NP]]="NO PROGRAMADA","",_xlfn.TEXTJOIN(", ",TRUE,_xlfn._xlws.FILTER(Tabla4[[#All],[PIEZA]],ISNUMBER(SEARCH(Tabla4[[#All],[PCLAVE]],Tabla8[[#This Row],[DESCRIPCION DE TRABAJO]])),""))),"")</f>
        <v/>
      </c>
      <c r="O1141" s="35" t="str" cm="1">
        <f t="array" ref="O1141">_xlfn.TEXTJOIN(", ",TRUE,_xlfn._xlws.FILTER(Tabla28[[#All],[PARTE]],ISNUMBER(SEARCH(Tabla28[[#All],[PCLAVE2]],Tabla8[[#This Row],[DESCRIPCION DE TRABAJO]])),""))</f>
        <v/>
      </c>
      <c r="P1141" s="303" t="str">
        <f>IFERROR(LEFT(O1141, FIND(",", O1141)-1), O1141)</f>
        <v/>
      </c>
      <c r="Q1141" s="303" t="str">
        <f>IFERROR(IF(ISERROR(FIND(",", O1141, FIND(",", O1141)+1)), RIGHT(O1141, LEN(O1141)-FIND(",", O1141)-1), MID(O1141, FIND(",", O1141)+2, FIND(",", O1141, FIND(",", O1141)+1)-FIND(",", O1141)-2)), "")</f>
        <v/>
      </c>
      <c r="R1141" s="303" t="str">
        <f>IFERROR(RIGHT(O1141, LEN(O1141)-FIND(",", O1141, FIND(",", O1141)+1)-1), "")</f>
        <v/>
      </c>
      <c r="S1141" s="35" t="str" cm="1">
        <f t="array" ref="S1141">_xlfn.TEXTJOIN(", ",TRUE,_xlfn._xlws.FILTER(Tabla29[[#All],[PARTE]],ISNUMBER(SEARCH(Tabla29[[#All],[PCLAVE3]],Tabla8[[#This Row],[DESCRIPCION DE TRABAJO]])),""))</f>
        <v/>
      </c>
      <c r="T1141" s="34" t="str">
        <f>IF(AND(Tabla8[[#This Row],[PIEZA]]="",Tabla8[[#This Row],[PARTE]]=""),"VACIO","OK")</f>
        <v>VACIO</v>
      </c>
      <c r="U1141" s="303" t="str">
        <f>+CONCATENATE(WEEKNUM(Tabla8[[#This Row],[FECHA]]),"-",YEAR(Tabla8[[#This Row],[FECHA]]))</f>
        <v>19-2026</v>
      </c>
    </row>
    <row r="1142" spans="1:21" ht="15" customHeight="1">
      <c r="A1142" s="22">
        <v>46146</v>
      </c>
      <c r="B1142" s="16" t="s">
        <v>179</v>
      </c>
      <c r="C1142" s="10" t="s">
        <v>23</v>
      </c>
      <c r="D1142" s="381">
        <v>0.83333333333333337</v>
      </c>
      <c r="E1142" s="381">
        <v>0.85416666666666663</v>
      </c>
      <c r="F1142" s="380">
        <f>+MOD(Tabla8[[#This Row],[HR. FIN]]-Tabla8[[#This Row],[HR. INICIO]],1)</f>
        <v>2.0833333333333259E-2</v>
      </c>
      <c r="G1142" s="16" t="s">
        <v>1305</v>
      </c>
      <c r="H1142" s="343" t="str">
        <f>IFERROR(VLOOKUP(G1142,DATOS!$M$2:$N$219,2,FALSE),"")</f>
        <v>Area</v>
      </c>
      <c r="I1142" s="115" t="s">
        <v>32</v>
      </c>
      <c r="J1142" s="115" t="s">
        <v>157</v>
      </c>
      <c r="K1142" s="114"/>
      <c r="L1142" s="35" t="s">
        <v>1687</v>
      </c>
      <c r="M1142" s="35" t="s">
        <v>121</v>
      </c>
      <c r="N1142" s="35" t="str" cm="1">
        <f t="array" ref="N1142">IFERROR(IF(Tabla8[[#This Row],[P/NP]]="NO PROGRAMADA","",_xlfn.TEXTJOIN(", ",TRUE,_xlfn._xlws.FILTER(Tabla4[[#All],[PIEZA]],ISNUMBER(SEARCH(Tabla4[[#All],[PCLAVE]],Tabla8[[#This Row],[DESCRIPCION DE TRABAJO]])),""))),"")</f>
        <v/>
      </c>
      <c r="O1142" s="35" t="str" cm="1">
        <f t="array" ref="O1142">_xlfn.TEXTJOIN(", ",TRUE,_xlfn._xlws.FILTER(Tabla28[[#All],[PARTE]],ISNUMBER(SEARCH(Tabla28[[#All],[PCLAVE2]],Tabla8[[#This Row],[DESCRIPCION DE TRABAJO]])),""))</f>
        <v/>
      </c>
      <c r="P1142" s="303" t="str">
        <f>IFERROR(LEFT(O1142, FIND(",", O1142)-1), O1142)</f>
        <v/>
      </c>
      <c r="Q1142" s="303" t="str">
        <f>IFERROR(IF(ISERROR(FIND(",", O1142, FIND(",", O1142)+1)), RIGHT(O1142, LEN(O1142)-FIND(",", O1142)-1), MID(O1142, FIND(",", O1142)+2, FIND(",", O1142, FIND(",", O1142)+1)-FIND(",", O1142)-2)), "")</f>
        <v/>
      </c>
      <c r="R1142" s="303" t="str">
        <f>IFERROR(RIGHT(O1142, LEN(O1142)-FIND(",", O1142, FIND(",", O1142)+1)-1), "")</f>
        <v/>
      </c>
      <c r="S1142" s="35" t="str" cm="1">
        <f t="array" ref="S1142">_xlfn.TEXTJOIN(", ",TRUE,_xlfn._xlws.FILTER(Tabla29[[#All],[PARTE]],ISNUMBER(SEARCH(Tabla29[[#All],[PCLAVE3]],Tabla8[[#This Row],[DESCRIPCION DE TRABAJO]])),""))</f>
        <v/>
      </c>
      <c r="T1142" s="34" t="str">
        <f>IF(AND(Tabla8[[#This Row],[PIEZA]]="",Tabla8[[#This Row],[PARTE]]=""),"VACIO","OK")</f>
        <v>VACIO</v>
      </c>
      <c r="U1142" s="303" t="str">
        <f>+CONCATENATE(WEEKNUM(Tabla8[[#This Row],[FECHA]]),"-",YEAR(Tabla8[[#This Row],[FECHA]]))</f>
        <v>19-2026</v>
      </c>
    </row>
    <row r="1143" spans="1:21" ht="15" customHeight="1">
      <c r="A1143" s="22">
        <v>46146</v>
      </c>
      <c r="B1143" s="16" t="s">
        <v>191</v>
      </c>
      <c r="C1143" s="10" t="s">
        <v>39</v>
      </c>
      <c r="D1143" s="381">
        <v>3.4027777777777775E-2</v>
      </c>
      <c r="E1143" s="381">
        <v>5.4166666666666669E-2</v>
      </c>
      <c r="F1143" s="380">
        <f>+MOD(Tabla8[[#This Row],[HR. FIN]]-Tabla8[[#This Row],[HR. INICIO]],1)</f>
        <v>2.0138888888888894E-2</v>
      </c>
      <c r="G1143" s="16" t="s">
        <v>793</v>
      </c>
      <c r="H1143" s="343" t="str">
        <f>IFERROR(VLOOKUP(G1143,DATOS!$M$2:$N$219,2,FALSE),"")</f>
        <v>Maquinaria</v>
      </c>
      <c r="I1143" s="115" t="s">
        <v>32</v>
      </c>
      <c r="J1143" s="115" t="str">
        <f>+VLOOKUP($I1143,Tabla7[#All],2,FALSE)</f>
        <v>PROGRAMADA</v>
      </c>
      <c r="K1143" s="114" t="str">
        <f>IF(VLOOKUP(I1143,Tabla7[#All],3,FALSE)=0,"",VLOOKUP(I1143,Tabla7[#All],3,FALSE))</f>
        <v/>
      </c>
      <c r="L1143" s="35" t="s">
        <v>2177</v>
      </c>
      <c r="M1143" s="35" t="s">
        <v>2178</v>
      </c>
      <c r="N1143" s="35" t="str" cm="1">
        <f t="array" ref="N1143">IFERROR(IF(Tabla8[[#This Row],[P/NP]]="NO PROGRAMADA","",_xlfn.TEXTJOIN(", ",TRUE,_xlfn._xlws.FILTER(Tabla4[[#All],[PIEZA]],ISNUMBER(SEARCH(Tabla4[[#All],[PCLAVE]],Tabla8[[#This Row],[DESCRIPCION DE TRABAJO]])),""))),"")</f>
        <v>Sensor</v>
      </c>
      <c r="O1143" s="35" t="str" cm="1">
        <f t="array" ref="O1143">_xlfn.TEXTJOIN(", ",TRUE,_xlfn._xlws.FILTER(Tabla28[[#All],[PARTE]],ISNUMBER(SEARCH(Tabla28[[#All],[PCLAVE2]],Tabla8[[#This Row],[DESCRIPCION DE TRABAJO]])),""))</f>
        <v/>
      </c>
      <c r="P1143" s="303" t="str">
        <f>IFERROR(LEFT(O1143, FIND(",", O1143)-1), O1143)</f>
        <v/>
      </c>
      <c r="Q1143" s="303" t="str">
        <f>IFERROR(IF(ISERROR(FIND(",", O1143, FIND(",", O1143)+1)), RIGHT(O1143, LEN(O1143)-FIND(",", O1143)-1), MID(O1143, FIND(",", O1143)+2, FIND(",", O1143, FIND(",", O1143)+1)-FIND(",", O1143)-2)), "")</f>
        <v/>
      </c>
      <c r="R1143" s="303" t="str">
        <f>IFERROR(RIGHT(O1143, LEN(O1143)-FIND(",", O1143, FIND(",", O1143)+1)-1), "")</f>
        <v/>
      </c>
      <c r="S1143" s="35" t="str" cm="1">
        <f t="array" ref="S1143">_xlfn.TEXTJOIN(", ",TRUE,_xlfn._xlws.FILTER(Tabla29[[#All],[PARTE]],ISNUMBER(SEARCH(Tabla29[[#All],[PCLAVE3]],Tabla8[[#This Row],[DESCRIPCION DE TRABAJO]])),""))</f>
        <v>Sustitucion</v>
      </c>
      <c r="T1143" s="34" t="str">
        <f>IF(AND(Tabla8[[#This Row],[PIEZA]]="",Tabla8[[#This Row],[PARTE]]=""),"VACIO","OK")</f>
        <v>OK</v>
      </c>
      <c r="U1143" s="303" t="str">
        <f>+CONCATENATE(WEEKNUM(Tabla8[[#This Row],[FECHA]]),"-",YEAR(Tabla8[[#This Row],[FECHA]]))</f>
        <v>19-2026</v>
      </c>
    </row>
    <row r="1144" spans="1:21" ht="15" customHeight="1">
      <c r="A1144" s="22">
        <v>46146</v>
      </c>
      <c r="B1144" s="16" t="s">
        <v>191</v>
      </c>
      <c r="C1144" s="10" t="s">
        <v>39</v>
      </c>
      <c r="D1144" s="381">
        <v>0.91874999999999996</v>
      </c>
      <c r="E1144" s="381">
        <v>0.9375</v>
      </c>
      <c r="F1144" s="380">
        <f>+MOD(Tabla8[[#This Row],[HR. FIN]]-Tabla8[[#This Row],[HR. INICIO]],1)</f>
        <v>1.8750000000000044E-2</v>
      </c>
      <c r="G1144" s="16" t="s">
        <v>153</v>
      </c>
      <c r="H1144" s="343" t="str">
        <f>IFERROR(VLOOKUP(G1144,DATOS!$M$2:$N$219,2,FALSE),"")</f>
        <v>Maquinaria</v>
      </c>
      <c r="I1144" s="115" t="s">
        <v>57</v>
      </c>
      <c r="J1144" s="115" t="str">
        <f>+VLOOKUP($I1144,Tabla7[#All],2,FALSE)</f>
        <v>NO PROGRAMADA</v>
      </c>
      <c r="K1144" s="114" t="str">
        <f>IF(VLOOKUP(I1144,Tabla7[#All],3,FALSE)=0,"",VLOOKUP(I1144,Tabla7[#All],3,FALSE))</f>
        <v>MECÁNICA</v>
      </c>
      <c r="L1144" s="35" t="s">
        <v>2179</v>
      </c>
      <c r="M1144" s="35" t="s">
        <v>2180</v>
      </c>
      <c r="N1144" s="35" t="str" cm="1">
        <f t="array" ref="N1144">IFERROR(IF(Tabla8[[#This Row],[P/NP]]="NO PROGRAMADA","",_xlfn.TEXTJOIN(", ",TRUE,_xlfn._xlws.FILTER(Tabla4[[#All],[PIEZA]],ISNUMBER(SEARCH(Tabla4[[#All],[PCLAVE]],Tabla8[[#This Row],[DESCRIPCION DE TRABAJO]])),""))),"")</f>
        <v/>
      </c>
      <c r="O1144" s="35" t="str" cm="1">
        <f t="array" ref="O1144">_xlfn.TEXTJOIN(", ",TRUE,_xlfn._xlws.FILTER(Tabla28[[#All],[PARTE]],ISNUMBER(SEARCH(Tabla28[[#All],[PCLAVE2]],Tabla8[[#This Row],[DESCRIPCION DE TRABAJO]])),""))</f>
        <v/>
      </c>
      <c r="P1144" s="303" t="str">
        <f>IFERROR(LEFT(O1144, FIND(",", O1144)-1), O1144)</f>
        <v/>
      </c>
      <c r="Q1144" s="303" t="str">
        <f>IFERROR(IF(ISERROR(FIND(",", O1144, FIND(",", O1144)+1)), RIGHT(O1144, LEN(O1144)-FIND(",", O1144)-1), MID(O1144, FIND(",", O1144)+2, FIND(",", O1144, FIND(",", O1144)+1)-FIND(",", O1144)-2)), "")</f>
        <v/>
      </c>
      <c r="R1144" s="303" t="str">
        <f>IFERROR(RIGHT(O1144, LEN(O1144)-FIND(",", O1144, FIND(",", O1144)+1)-1), "")</f>
        <v/>
      </c>
      <c r="S1144" s="35" t="str" cm="1">
        <f t="array" ref="S1144">_xlfn.TEXTJOIN(", ",TRUE,_xlfn._xlws.FILTER(Tabla29[[#All],[PARTE]],ISNUMBER(SEARCH(Tabla29[[#All],[PCLAVE3]],Tabla8[[#This Row],[DESCRIPCION DE TRABAJO]])),""))</f>
        <v>Desalineado, Soltura</v>
      </c>
      <c r="T1144" s="34" t="str">
        <f>IF(AND(Tabla8[[#This Row],[PIEZA]]="",Tabla8[[#This Row],[PARTE]]=""),"VACIO","OK")</f>
        <v>VACIO</v>
      </c>
      <c r="U1144" s="303" t="str">
        <f>+CONCATENATE(WEEKNUM(Tabla8[[#This Row],[FECHA]]),"-",YEAR(Tabla8[[#This Row],[FECHA]]))</f>
        <v>19-2026</v>
      </c>
    </row>
    <row r="1145" spans="1:21" ht="15" customHeight="1">
      <c r="A1145" s="22">
        <v>46146</v>
      </c>
      <c r="B1145" s="16" t="s">
        <v>191</v>
      </c>
      <c r="C1145" s="10" t="s">
        <v>39</v>
      </c>
      <c r="D1145" s="381">
        <v>0.11736111111111111</v>
      </c>
      <c r="E1145" s="381">
        <v>0.1361111111111111</v>
      </c>
      <c r="F1145" s="380">
        <f>+MOD(Tabla8[[#This Row],[HR. FIN]]-Tabla8[[#This Row],[HR. INICIO]],1)</f>
        <v>1.8749999999999989E-2</v>
      </c>
      <c r="G1145" s="16" t="s">
        <v>98</v>
      </c>
      <c r="H1145" s="343" t="str">
        <f>IFERROR(VLOOKUP(G1145,DATOS!$M$2:$N$219,2,FALSE),"")</f>
        <v>Maquinaria</v>
      </c>
      <c r="I1145" s="115" t="s">
        <v>57</v>
      </c>
      <c r="J1145" s="115" t="s">
        <v>157</v>
      </c>
      <c r="K1145" s="114"/>
      <c r="L1145" s="35" t="s">
        <v>2181</v>
      </c>
      <c r="M1145" s="35" t="s">
        <v>121</v>
      </c>
      <c r="N1145" s="35" t="str" cm="1">
        <f t="array" ref="N1145">IFERROR(IF(Tabla8[[#This Row],[P/NP]]="NO PROGRAMADA","",_xlfn.TEXTJOIN(", ",TRUE,_xlfn._xlws.FILTER(Tabla4[[#All],[PIEZA]],ISNUMBER(SEARCH(Tabla4[[#All],[PCLAVE]],Tabla8[[#This Row],[DESCRIPCION DE TRABAJO]])),""))),"")</f>
        <v>Producto</v>
      </c>
      <c r="O1145" s="35" t="str" cm="1">
        <f t="array" ref="O1145">_xlfn.TEXTJOIN(", ",TRUE,_xlfn._xlws.FILTER(Tabla28[[#All],[PARTE]],ISNUMBER(SEARCH(Tabla28[[#All],[PCLAVE2]],Tabla8[[#This Row],[DESCRIPCION DE TRABAJO]])),""))</f>
        <v/>
      </c>
      <c r="P1145" s="303" t="str">
        <f>IFERROR(LEFT(O1145, FIND(",", O1145)-1), O1145)</f>
        <v/>
      </c>
      <c r="Q1145" s="303" t="str">
        <f>IFERROR(IF(ISERROR(FIND(",", O1145, FIND(",", O1145)+1)), RIGHT(O1145, LEN(O1145)-FIND(",", O1145)-1), MID(O1145, FIND(",", O1145)+2, FIND(",", O1145, FIND(",", O1145)+1)-FIND(",", O1145)-2)), "")</f>
        <v/>
      </c>
      <c r="R1145" s="303" t="str">
        <f>IFERROR(RIGHT(O1145, LEN(O1145)-FIND(",", O1145, FIND(",", O1145)+1)-1), "")</f>
        <v/>
      </c>
      <c r="S1145" s="35" t="str" cm="1">
        <f t="array" ref="S1145">_xlfn.TEXTJOIN(", ",TRUE,_xlfn._xlws.FILTER(Tabla29[[#All],[PARTE]],ISNUMBER(SEARCH(Tabla29[[#All],[PCLAVE3]],Tabla8[[#This Row],[DESCRIPCION DE TRABAJO]])),""))</f>
        <v>Calibracion</v>
      </c>
      <c r="T1145" s="34" t="str">
        <f>IF(AND(Tabla8[[#This Row],[PIEZA]]="",Tabla8[[#This Row],[PARTE]]=""),"VACIO","OK")</f>
        <v>OK</v>
      </c>
      <c r="U1145" s="303" t="str">
        <f>+CONCATENATE(WEEKNUM(Tabla8[[#This Row],[FECHA]]),"-",YEAR(Tabla8[[#This Row],[FECHA]]))</f>
        <v>19-2026</v>
      </c>
    </row>
    <row r="1146" spans="1:21" ht="15" customHeight="1">
      <c r="A1146" s="22">
        <v>46146</v>
      </c>
      <c r="B1146" s="16" t="s">
        <v>191</v>
      </c>
      <c r="C1146" s="10" t="s">
        <v>39</v>
      </c>
      <c r="D1146" s="381">
        <v>6.3194444444444442E-2</v>
      </c>
      <c r="E1146" s="381">
        <v>8.0555555555555561E-2</v>
      </c>
      <c r="F1146" s="380">
        <f>+MOD(Tabla8[[#This Row],[HR. FIN]]-Tabla8[[#This Row],[HR. INICIO]],1)</f>
        <v>1.7361111111111119E-2</v>
      </c>
      <c r="G1146" s="16" t="s">
        <v>31</v>
      </c>
      <c r="H1146" s="343" t="str">
        <f>IFERROR(VLOOKUP(G1146,DATOS!$M$2:$N$219,2,FALSE),"")</f>
        <v>Maquinaria</v>
      </c>
      <c r="I1146" s="115" t="s">
        <v>57</v>
      </c>
      <c r="J1146" s="115" t="str">
        <f>+VLOOKUP($I1146,Tabla7[#All],2,FALSE)</f>
        <v>NO PROGRAMADA</v>
      </c>
      <c r="K1146" s="114" t="s">
        <v>148</v>
      </c>
      <c r="L1146" s="35" t="s">
        <v>2182</v>
      </c>
      <c r="M1146" s="35" t="s">
        <v>2183</v>
      </c>
      <c r="N1146" s="35" t="str" cm="1">
        <f t="array" ref="N1146">IFERROR(IF(Tabla8[[#This Row],[P/NP]]="NO PROGRAMADA","",_xlfn.TEXTJOIN(", ",TRUE,_xlfn._xlws.FILTER(Tabla4[[#All],[PIEZA]],ISNUMBER(SEARCH(Tabla4[[#All],[PCLAVE]],Tabla8[[#This Row],[DESCRIPCION DE TRABAJO]])),""))),"")</f>
        <v/>
      </c>
      <c r="O1146" s="35" t="str" cm="1">
        <f t="array" ref="O1146">_xlfn.TEXTJOIN(", ",TRUE,_xlfn._xlws.FILTER(Tabla28[[#All],[PARTE]],ISNUMBER(SEARCH(Tabla28[[#All],[PCLAVE2]],Tabla8[[#This Row],[DESCRIPCION DE TRABAJO]])),""))</f>
        <v/>
      </c>
      <c r="P1146" s="303" t="str">
        <f>IFERROR(LEFT(O1146, FIND(",", O1146)-1), O1146)</f>
        <v/>
      </c>
      <c r="Q1146" s="303" t="str">
        <f>IFERROR(IF(ISERROR(FIND(",", O1146, FIND(",", O1146)+1)), RIGHT(O1146, LEN(O1146)-FIND(",", O1146)-1), MID(O1146, FIND(",", O1146)+2, FIND(",", O1146, FIND(",", O1146)+1)-FIND(",", O1146)-2)), "")</f>
        <v/>
      </c>
      <c r="R1146" s="303" t="str">
        <f>IFERROR(RIGHT(O1146, LEN(O1146)-FIND(",", O1146, FIND(",", O1146)+1)-1), "")</f>
        <v/>
      </c>
      <c r="S1146" s="35" t="str" cm="1">
        <f t="array" ref="S1146">_xlfn.TEXTJOIN(", ",TRUE,_xlfn._xlws.FILTER(Tabla29[[#All],[PARTE]],ISNUMBER(SEARCH(Tabla29[[#All],[PCLAVE3]],Tabla8[[#This Row],[DESCRIPCION DE TRABAJO]])),""))</f>
        <v>Acumulacion De Producto</v>
      </c>
      <c r="T1146" s="34" t="str">
        <f>IF(AND(Tabla8[[#This Row],[PIEZA]]="",Tabla8[[#This Row],[PARTE]]=""),"VACIO","OK")</f>
        <v>VACIO</v>
      </c>
      <c r="U1146" s="303" t="str">
        <f>+CONCATENATE(WEEKNUM(Tabla8[[#This Row],[FECHA]]),"-",YEAR(Tabla8[[#This Row],[FECHA]]))</f>
        <v>19-2026</v>
      </c>
    </row>
    <row r="1147" spans="1:21" ht="15" customHeight="1">
      <c r="A1147" s="22">
        <v>46146</v>
      </c>
      <c r="B1147" s="16" t="s">
        <v>191</v>
      </c>
      <c r="C1147" s="10" t="s">
        <v>39</v>
      </c>
      <c r="D1147" s="381">
        <v>2.0833333333333333E-3</v>
      </c>
      <c r="E1147" s="381">
        <v>1.6666666666666666E-2</v>
      </c>
      <c r="F1147" s="380">
        <f>+MOD(Tabla8[[#This Row],[HR. FIN]]-Tabla8[[#This Row],[HR. INICIO]],1)</f>
        <v>1.4583333333333334E-2</v>
      </c>
      <c r="G1147" s="16" t="s">
        <v>256</v>
      </c>
      <c r="H1147" s="343" t="str">
        <f>IFERROR(VLOOKUP(G1147,DATOS!$M$2:$N$219,2,FALSE),"")</f>
        <v>Maquinaria</v>
      </c>
      <c r="I1147" s="115" t="s">
        <v>54</v>
      </c>
      <c r="J1147" s="115" t="str">
        <f>+VLOOKUP($I1147,Tabla7[#All],2,FALSE)</f>
        <v>PROGRAMADA</v>
      </c>
      <c r="K1147" s="114" t="str">
        <f>IF(VLOOKUP(I1147,Tabla7[#All],3,FALSE)=0,"",VLOOKUP(I1147,Tabla7[#All],3,FALSE))</f>
        <v/>
      </c>
      <c r="L1147" s="35" t="s">
        <v>1151</v>
      </c>
      <c r="M1147" s="35" t="s">
        <v>121</v>
      </c>
      <c r="N1147" s="35" t="str" cm="1">
        <f t="array" ref="N1147">IFERROR(IF(Tabla8[[#This Row],[P/NP]]="NO PROGRAMADA","",_xlfn.TEXTJOIN(", ",TRUE,_xlfn._xlws.FILTER(Tabla4[[#All],[PIEZA]],ISNUMBER(SEARCH(Tabla4[[#All],[PCLAVE]],Tabla8[[#This Row],[DESCRIPCION DE TRABAJO]])),""))),"")</f>
        <v/>
      </c>
      <c r="O1147" s="35" t="str" cm="1">
        <f t="array" ref="O1147">_xlfn.TEXTJOIN(", ",TRUE,_xlfn._xlws.FILTER(Tabla28[[#All],[PARTE]],ISNUMBER(SEARCH(Tabla28[[#All],[PCLAVE2]],Tabla8[[#This Row],[DESCRIPCION DE TRABAJO]])),""))</f>
        <v/>
      </c>
      <c r="P1147" s="303" t="str">
        <f>IFERROR(LEFT(O1147, FIND(",", O1147)-1), O1147)</f>
        <v/>
      </c>
      <c r="Q1147" s="303" t="str">
        <f>IFERROR(IF(ISERROR(FIND(",", O1147, FIND(",", O1147)+1)), RIGHT(O1147, LEN(O1147)-FIND(",", O1147)-1), MID(O1147, FIND(",", O1147)+2, FIND(",", O1147, FIND(",", O1147)+1)-FIND(",", O1147)-2)), "")</f>
        <v/>
      </c>
      <c r="R1147" s="303" t="str">
        <f>IFERROR(RIGHT(O1147, LEN(O1147)-FIND(",", O1147, FIND(",", O1147)+1)-1), "")</f>
        <v/>
      </c>
      <c r="S1147" s="35" t="str" cm="1">
        <f t="array" ref="S1147">_xlfn.TEXTJOIN(", ",TRUE,_xlfn._xlws.FILTER(Tabla29[[#All],[PARTE]],ISNUMBER(SEARCH(Tabla29[[#All],[PCLAVE3]],Tabla8[[#This Row],[DESCRIPCION DE TRABAJO]])),""))</f>
        <v/>
      </c>
      <c r="T1147" s="34" t="str">
        <f>IF(AND(Tabla8[[#This Row],[PIEZA]]="",Tabla8[[#This Row],[PARTE]]=""),"VACIO","OK")</f>
        <v>VACIO</v>
      </c>
      <c r="U1147" s="303" t="str">
        <f>+CONCATENATE(WEEKNUM(Tabla8[[#This Row],[FECHA]]),"-",YEAR(Tabla8[[#This Row],[FECHA]]))</f>
        <v>19-2026</v>
      </c>
    </row>
    <row r="1148" spans="1:21" ht="15" customHeight="1">
      <c r="A1148" s="22">
        <v>46146</v>
      </c>
      <c r="B1148" s="16" t="s">
        <v>179</v>
      </c>
      <c r="C1148" s="10" t="s">
        <v>23</v>
      </c>
      <c r="D1148" s="381">
        <v>0.65277777777777779</v>
      </c>
      <c r="E1148" s="381">
        <v>0.66666666666666663</v>
      </c>
      <c r="F1148" s="380">
        <f>+MOD(Tabla8[[#This Row],[HR. FIN]]-Tabla8[[#This Row],[HR. INICIO]],1)</f>
        <v>1.388888888888884E-2</v>
      </c>
      <c r="G1148" s="16" t="s">
        <v>793</v>
      </c>
      <c r="H1148" s="343" t="str">
        <f>IFERROR(VLOOKUP(G1148,DATOS!$M$2:$N$219,2,FALSE),"")</f>
        <v>Maquinaria</v>
      </c>
      <c r="I1148" s="115" t="s">
        <v>57</v>
      </c>
      <c r="J1148" s="115" t="s">
        <v>92</v>
      </c>
      <c r="K1148" s="114" t="s">
        <v>148</v>
      </c>
      <c r="L1148" s="35" t="s">
        <v>2184</v>
      </c>
      <c r="M1148" s="35" t="s">
        <v>2185</v>
      </c>
      <c r="N1148" s="35" t="str" cm="1">
        <f t="array" ref="N1148">IFERROR(IF(Tabla8[[#This Row],[P/NP]]="NO PROGRAMADA","",_xlfn.TEXTJOIN(", ",TRUE,_xlfn._xlws.FILTER(Tabla4[[#All],[PIEZA]],ISNUMBER(SEARCH(Tabla4[[#All],[PCLAVE]],Tabla8[[#This Row],[DESCRIPCION DE TRABAJO]])),""))),"")</f>
        <v/>
      </c>
      <c r="O1148" s="35" t="str" cm="1">
        <f t="array" ref="O1148">_xlfn.TEXTJOIN(", ",TRUE,_xlfn._xlws.FILTER(Tabla28[[#All],[PARTE]],ISNUMBER(SEARCH(Tabla28[[#All],[PCLAVE2]],Tabla8[[#This Row],[DESCRIPCION DE TRABAJO]])),""))</f>
        <v/>
      </c>
      <c r="P1148" s="303" t="str">
        <f>IFERROR(LEFT(O1148, FIND(",", O1148)-1), O1148)</f>
        <v/>
      </c>
      <c r="Q1148" s="303" t="str">
        <f>IFERROR(IF(ISERROR(FIND(",", O1148, FIND(",", O1148)+1)), RIGHT(O1148, LEN(O1148)-FIND(",", O1148)-1), MID(O1148, FIND(",", O1148)+2, FIND(",", O1148, FIND(",", O1148)+1)-FIND(",", O1148)-2)), "")</f>
        <v/>
      </c>
      <c r="R1148" s="303" t="str">
        <f>IFERROR(RIGHT(O1148, LEN(O1148)-FIND(",", O1148, FIND(",", O1148)+1)-1), "")</f>
        <v/>
      </c>
      <c r="S1148" s="35" t="str" cm="1">
        <f t="array" ref="S1148">_xlfn.TEXTJOIN(", ",TRUE,_xlfn._xlws.FILTER(Tabla29[[#All],[PARTE]],ISNUMBER(SEARCH(Tabla29[[#All],[PCLAVE3]],Tabla8[[#This Row],[DESCRIPCION DE TRABAJO]])),""))</f>
        <v/>
      </c>
      <c r="T1148" s="34" t="str">
        <f>IF(AND(Tabla8[[#This Row],[PIEZA]]="",Tabla8[[#This Row],[PARTE]]=""),"VACIO","OK")</f>
        <v>VACIO</v>
      </c>
      <c r="U1148" s="303" t="str">
        <f>+CONCATENATE(WEEKNUM(Tabla8[[#This Row],[FECHA]]),"-",YEAR(Tabla8[[#This Row],[FECHA]]))</f>
        <v>19-2026</v>
      </c>
    </row>
    <row r="1149" spans="1:21" ht="15" customHeight="1">
      <c r="A1149" s="22">
        <v>46146</v>
      </c>
      <c r="B1149" s="16" t="s">
        <v>131</v>
      </c>
      <c r="C1149" s="10" t="s">
        <v>23</v>
      </c>
      <c r="D1149" s="381">
        <v>0.65625</v>
      </c>
      <c r="E1149" s="381">
        <v>0.67013888888888884</v>
      </c>
      <c r="F1149" s="380">
        <f>+MOD(Tabla8[[#This Row],[HR. FIN]]-Tabla8[[#This Row],[HR. INICIO]],1)</f>
        <v>1.388888888888884E-2</v>
      </c>
      <c r="G1149" s="16" t="s">
        <v>119</v>
      </c>
      <c r="H1149" s="343" t="str">
        <f>IFERROR(VLOOKUP(G1149,DATOS!$M$2:$N$219,2,FALSE),"")</f>
        <v>Maquinaria</v>
      </c>
      <c r="I1149" s="115" t="s">
        <v>54</v>
      </c>
      <c r="J1149" s="115" t="str">
        <f>+VLOOKUP($I1149,Tabla7[#All],2,FALSE)</f>
        <v>PROGRAMADA</v>
      </c>
      <c r="K1149" s="114" t="str">
        <f>IF(VLOOKUP(I1149,Tabla7[#All],3,FALSE)=0,"",VLOOKUP(I1149,Tabla7[#All],3,FALSE))</f>
        <v/>
      </c>
      <c r="L1149" s="35" t="s">
        <v>2186</v>
      </c>
      <c r="M1149" s="35" t="s">
        <v>121</v>
      </c>
      <c r="N1149" s="35" t="str" cm="1">
        <f t="array" ref="N1149">IFERROR(IF(Tabla8[[#This Row],[P/NP]]="NO PROGRAMADA","",_xlfn.TEXTJOIN(", ",TRUE,_xlfn._xlws.FILTER(Tabla4[[#All],[PIEZA]],ISNUMBER(SEARCH(Tabla4[[#All],[PCLAVE]],Tabla8[[#This Row],[DESCRIPCION DE TRABAJO]])),""))),"")</f>
        <v>Producto, Moldes</v>
      </c>
      <c r="O1149" s="35" t="str" cm="1">
        <f t="array" ref="O1149">_xlfn.TEXTJOIN(", ",TRUE,_xlfn._xlws.FILTER(Tabla28[[#All],[PARTE]],ISNUMBER(SEARCH(Tabla28[[#All],[PCLAVE2]],Tabla8[[#This Row],[DESCRIPCION DE TRABAJO]])),""))</f>
        <v/>
      </c>
      <c r="P1149" s="303" t="str">
        <f>IFERROR(LEFT(O1149, FIND(",", O1149)-1), O1149)</f>
        <v/>
      </c>
      <c r="Q1149" s="303" t="str">
        <f>IFERROR(IF(ISERROR(FIND(",", O1149, FIND(",", O1149)+1)), RIGHT(O1149, LEN(O1149)-FIND(",", O1149)-1), MID(O1149, FIND(",", O1149)+2, FIND(",", O1149, FIND(",", O1149)+1)-FIND(",", O1149)-2)), "")</f>
        <v/>
      </c>
      <c r="R1149" s="303" t="str">
        <f>IFERROR(RIGHT(O1149, LEN(O1149)-FIND(",", O1149, FIND(",", O1149)+1)-1), "")</f>
        <v/>
      </c>
      <c r="S1149" s="35" t="str" cm="1">
        <f t="array" ref="S1149">_xlfn.TEXTJOIN(", ",TRUE,_xlfn._xlws.FILTER(Tabla29[[#All],[PARTE]],ISNUMBER(SEARCH(Tabla29[[#All],[PCLAVE3]],Tabla8[[#This Row],[DESCRIPCION DE TRABAJO]])),""))</f>
        <v>Desmolde</v>
      </c>
      <c r="T1149" s="34" t="str">
        <f>IF(AND(Tabla8[[#This Row],[PIEZA]]="",Tabla8[[#This Row],[PARTE]]=""),"VACIO","OK")</f>
        <v>OK</v>
      </c>
      <c r="U1149" s="303" t="str">
        <f>+CONCATENATE(WEEKNUM(Tabla8[[#This Row],[FECHA]]),"-",YEAR(Tabla8[[#This Row],[FECHA]]))</f>
        <v>19-2026</v>
      </c>
    </row>
    <row r="1150" spans="1:21" ht="15" customHeight="1">
      <c r="A1150" s="22">
        <v>46146</v>
      </c>
      <c r="B1150" s="16" t="s">
        <v>191</v>
      </c>
      <c r="C1150" s="10" t="s">
        <v>39</v>
      </c>
      <c r="D1150" s="381">
        <v>8.8888888888888892E-2</v>
      </c>
      <c r="E1150" s="381">
        <v>0.10138888888888889</v>
      </c>
      <c r="F1150" s="380">
        <f>+MOD(Tabla8[[#This Row],[HR. FIN]]-Tabla8[[#This Row],[HR. INICIO]],1)</f>
        <v>1.2499999999999997E-2</v>
      </c>
      <c r="G1150" s="16" t="s">
        <v>153</v>
      </c>
      <c r="H1150" s="343" t="str">
        <f>IFERROR(VLOOKUP(G1150,DATOS!$M$2:$N$219,2,FALSE),"")</f>
        <v>Maquinaria</v>
      </c>
      <c r="I1150" s="115" t="s">
        <v>57</v>
      </c>
      <c r="J1150" s="115" t="str">
        <f>+VLOOKUP($I1150,Tabla7[#All],2,FALSE)</f>
        <v>NO PROGRAMADA</v>
      </c>
      <c r="K1150" s="114" t="str">
        <f>IF(VLOOKUP(I1150,Tabla7[#All],3,FALSE)=0,"",VLOOKUP(I1150,Tabla7[#All],3,FALSE))</f>
        <v>MECÁNICA</v>
      </c>
      <c r="L1150" s="35" t="s">
        <v>2187</v>
      </c>
      <c r="M1150" s="35" t="s">
        <v>2188</v>
      </c>
      <c r="N1150" s="35" t="str" cm="1">
        <f t="array" ref="N1150">IFERROR(IF(Tabla8[[#This Row],[P/NP]]="NO PROGRAMADA","",_xlfn.TEXTJOIN(", ",TRUE,_xlfn._xlws.FILTER(Tabla4[[#All],[PIEZA]],ISNUMBER(SEARCH(Tabla4[[#All],[PCLAVE]],Tabla8[[#This Row],[DESCRIPCION DE TRABAJO]])),""))),"")</f>
        <v/>
      </c>
      <c r="O1150" s="35" t="str" cm="1">
        <f t="array" ref="O1150">_xlfn.TEXTJOIN(", ",TRUE,_xlfn._xlws.FILTER(Tabla28[[#All],[PARTE]],ISNUMBER(SEARCH(Tabla28[[#All],[PCLAVE2]],Tabla8[[#This Row],[DESCRIPCION DE TRABAJO]])),""))</f>
        <v/>
      </c>
      <c r="P1150" s="303" t="str">
        <f>IFERROR(LEFT(O1150, FIND(",", O1150)-1), O1150)</f>
        <v/>
      </c>
      <c r="Q1150" s="303" t="str">
        <f>IFERROR(IF(ISERROR(FIND(",", O1150, FIND(",", O1150)+1)), RIGHT(O1150, LEN(O1150)-FIND(",", O1150)-1), MID(O1150, FIND(",", O1150)+2, FIND(",", O1150, FIND(",", O1150)+1)-FIND(",", O1150)-2)), "")</f>
        <v/>
      </c>
      <c r="R1150" s="303" t="str">
        <f>IFERROR(RIGHT(O1150, LEN(O1150)-FIND(",", O1150, FIND(",", O1150)+1)-1), "")</f>
        <v/>
      </c>
      <c r="S1150" s="35" t="str" cm="1">
        <f t="array" ref="S1150">_xlfn.TEXTJOIN(", ",TRUE,_xlfn._xlws.FILTER(Tabla29[[#All],[PARTE]],ISNUMBER(SEARCH(Tabla29[[#All],[PCLAVE3]],Tabla8[[#This Row],[DESCRIPCION DE TRABAJO]])),""))</f>
        <v>Expulsion</v>
      </c>
      <c r="T1150" s="34" t="str">
        <f>IF(AND(Tabla8[[#This Row],[PIEZA]]="",Tabla8[[#This Row],[PARTE]]=""),"VACIO","OK")</f>
        <v>VACIO</v>
      </c>
      <c r="U1150" s="303" t="str">
        <f>+CONCATENATE(WEEKNUM(Tabla8[[#This Row],[FECHA]]),"-",YEAR(Tabla8[[#This Row],[FECHA]]))</f>
        <v>19-2026</v>
      </c>
    </row>
    <row r="1151" spans="1:21" ht="15" customHeight="1">
      <c r="A1151" s="22">
        <v>46146</v>
      </c>
      <c r="B1151" s="16" t="s">
        <v>131</v>
      </c>
      <c r="C1151" s="10" t="s">
        <v>23</v>
      </c>
      <c r="D1151" s="381">
        <v>0.62638888888888888</v>
      </c>
      <c r="E1151" s="381">
        <v>0.63888888888888884</v>
      </c>
      <c r="F1151" s="380">
        <f>+MOD(Tabla8[[#This Row],[HR. FIN]]-Tabla8[[#This Row],[HR. INICIO]],1)</f>
        <v>1.2499999999999956E-2</v>
      </c>
      <c r="G1151" s="16" t="s">
        <v>119</v>
      </c>
      <c r="H1151" s="343" t="str">
        <f>IFERROR(VLOOKUP(G1151,DATOS!$M$2:$N$219,2,FALSE),"")</f>
        <v>Maquinaria</v>
      </c>
      <c r="I1151" s="115" t="s">
        <v>32</v>
      </c>
      <c r="J1151" s="115" t="s">
        <v>92</v>
      </c>
      <c r="K1151" s="114" t="s">
        <v>93</v>
      </c>
      <c r="L1151" s="35" t="s">
        <v>2189</v>
      </c>
      <c r="M1151" s="35" t="s">
        <v>2190</v>
      </c>
      <c r="N1151" s="35" t="str" cm="1">
        <f t="array" ref="N1151">IFERROR(IF(Tabla8[[#This Row],[P/NP]]="NO PROGRAMADA","",_xlfn.TEXTJOIN(", ",TRUE,_xlfn._xlws.FILTER(Tabla4[[#All],[PIEZA]],ISNUMBER(SEARCH(Tabla4[[#All],[PCLAVE]],Tabla8[[#This Row],[DESCRIPCION DE TRABAJO]])),""))),"")</f>
        <v/>
      </c>
      <c r="O1151" s="35" t="str" cm="1">
        <f t="array" ref="O1151">_xlfn.TEXTJOIN(", ",TRUE,_xlfn._xlws.FILTER(Tabla28[[#All],[PARTE]],ISNUMBER(SEARCH(Tabla28[[#All],[PCLAVE2]],Tabla8[[#This Row],[DESCRIPCION DE TRABAJO]])),""))</f>
        <v>Temperadora</v>
      </c>
      <c r="P1151" s="303" t="str">
        <f>IFERROR(LEFT(O1151, FIND(",", O1151)-1), O1151)</f>
        <v>Temperadora</v>
      </c>
      <c r="Q1151" s="303" t="str">
        <f>IFERROR(IF(ISERROR(FIND(",", O1151, FIND(",", O1151)+1)), RIGHT(O1151, LEN(O1151)-FIND(",", O1151)-1), MID(O1151, FIND(",", O1151)+2, FIND(",", O1151, FIND(",", O1151)+1)-FIND(",", O1151)-2)), "")</f>
        <v/>
      </c>
      <c r="R1151" s="303" t="str">
        <f>IFERROR(RIGHT(O1151, LEN(O1151)-FIND(",", O1151, FIND(",", O1151)+1)-1), "")</f>
        <v/>
      </c>
      <c r="S1151" s="35" t="str" cm="1">
        <f t="array" ref="S1151">_xlfn.TEXTJOIN(", ",TRUE,_xlfn._xlws.FILTER(Tabla29[[#All],[PARTE]],ISNUMBER(SEARCH(Tabla29[[#All],[PCLAVE3]],Tabla8[[#This Row],[DESCRIPCION DE TRABAJO]])),""))</f>
        <v/>
      </c>
      <c r="T1151" s="34" t="str">
        <f>IF(AND(Tabla8[[#This Row],[PIEZA]]="",Tabla8[[#This Row],[PARTE]]=""),"VACIO","OK")</f>
        <v>OK</v>
      </c>
      <c r="U1151" s="303" t="str">
        <f>+CONCATENATE(WEEKNUM(Tabla8[[#This Row],[FECHA]]),"-",YEAR(Tabla8[[#This Row],[FECHA]]))</f>
        <v>19-2026</v>
      </c>
    </row>
    <row r="1152" spans="1:21" ht="15" customHeight="1">
      <c r="A1152" s="22">
        <v>46146</v>
      </c>
      <c r="B1152" s="16" t="s">
        <v>131</v>
      </c>
      <c r="C1152" s="10" t="s">
        <v>23</v>
      </c>
      <c r="D1152" s="381">
        <v>0.67500000000000004</v>
      </c>
      <c r="E1152" s="381">
        <v>0.6875</v>
      </c>
      <c r="F1152" s="380">
        <f>+MOD(Tabla8[[#This Row],[HR. FIN]]-Tabla8[[#This Row],[HR. INICIO]],1)</f>
        <v>1.2499999999999956E-2</v>
      </c>
      <c r="G1152" s="16" t="s">
        <v>266</v>
      </c>
      <c r="H1152" s="343" t="str">
        <f>IFERROR(VLOOKUP(G1152,DATOS!$M$2:$N$219,2,FALSE),"")</f>
        <v>Maquinaria</v>
      </c>
      <c r="I1152" s="115" t="s">
        <v>1426</v>
      </c>
      <c r="J1152" s="115" t="str">
        <f>+VLOOKUP($I1152,Tabla7[#All],2,FALSE)</f>
        <v>PROGRAMADA</v>
      </c>
      <c r="K1152" s="114" t="str">
        <f>IF(VLOOKUP(I1152,Tabla7[#All],3,FALSE)=0,"",VLOOKUP(I1152,Tabla7[#All],3,FALSE))</f>
        <v/>
      </c>
      <c r="L1152" s="35" t="s">
        <v>2191</v>
      </c>
      <c r="M1152" s="35" t="s">
        <v>2192</v>
      </c>
      <c r="N1152" s="35" t="str" cm="1">
        <f t="array" ref="N1152">IFERROR(IF(Tabla8[[#This Row],[P/NP]]="NO PROGRAMADA","",_xlfn.TEXTJOIN(", ",TRUE,_xlfn._xlws.FILTER(Tabla4[[#All],[PIEZA]],ISNUMBER(SEARCH(Tabla4[[#All],[PCLAVE]],Tabla8[[#This Row],[DESCRIPCION DE TRABAJO]])),""))),"")</f>
        <v/>
      </c>
      <c r="O1152" s="35" t="str" cm="1">
        <f t="array" ref="O1152">_xlfn.TEXTJOIN(", ",TRUE,_xlfn._xlws.FILTER(Tabla28[[#All],[PARTE]],ISNUMBER(SEARCH(Tabla28[[#All],[PCLAVE2]],Tabla8[[#This Row],[DESCRIPCION DE TRABAJO]])),""))</f>
        <v>Extension</v>
      </c>
      <c r="P1152" s="303" t="str">
        <f>IFERROR(LEFT(O1152, FIND(",", O1152)-1), O1152)</f>
        <v>Extension</v>
      </c>
      <c r="Q1152" s="303" t="str">
        <f>IFERROR(IF(ISERROR(FIND(",", O1152, FIND(",", O1152)+1)), RIGHT(O1152, LEN(O1152)-FIND(",", O1152)-1), MID(O1152, FIND(",", O1152)+2, FIND(",", O1152, FIND(",", O1152)+1)-FIND(",", O1152)-2)), "")</f>
        <v/>
      </c>
      <c r="R1152" s="303" t="str">
        <f>IFERROR(RIGHT(O1152, LEN(O1152)-FIND(",", O1152, FIND(",", O1152)+1)-1), "")</f>
        <v/>
      </c>
      <c r="S1152" s="35" t="str" cm="1">
        <f t="array" ref="S1152">_xlfn.TEXTJOIN(", ",TRUE,_xlfn._xlws.FILTER(Tabla29[[#All],[PARTE]],ISNUMBER(SEARCH(Tabla29[[#All],[PCLAVE3]],Tabla8[[#This Row],[DESCRIPCION DE TRABAJO]])),""))</f>
        <v/>
      </c>
      <c r="T1152" s="34" t="str">
        <f>IF(AND(Tabla8[[#This Row],[PIEZA]]="",Tabla8[[#This Row],[PARTE]]=""),"VACIO","OK")</f>
        <v>OK</v>
      </c>
      <c r="U1152" s="303" t="str">
        <f>+CONCATENATE(WEEKNUM(Tabla8[[#This Row],[FECHA]]),"-",YEAR(Tabla8[[#This Row],[FECHA]]))</f>
        <v>19-2026</v>
      </c>
    </row>
    <row r="1153" spans="1:21" ht="15" customHeight="1">
      <c r="A1153" s="22">
        <v>46146</v>
      </c>
      <c r="B1153" s="16" t="s">
        <v>191</v>
      </c>
      <c r="C1153" s="10" t="s">
        <v>39</v>
      </c>
      <c r="D1153" s="381">
        <v>0.94305555555555554</v>
      </c>
      <c r="E1153" s="381">
        <v>0.95486111111111116</v>
      </c>
      <c r="F1153" s="380">
        <f>+MOD(Tabla8[[#This Row],[HR. FIN]]-Tabla8[[#This Row],[HR. INICIO]],1)</f>
        <v>1.1805555555555625E-2</v>
      </c>
      <c r="G1153" s="16" t="s">
        <v>119</v>
      </c>
      <c r="H1153" s="343" t="str">
        <f>IFERROR(VLOOKUP(G1153,DATOS!$M$2:$N$219,2,FALSE),"")</f>
        <v>Maquinaria</v>
      </c>
      <c r="I1153" s="115" t="s">
        <v>245</v>
      </c>
      <c r="J1153" s="115" t="str">
        <f>+VLOOKUP($I1153,Tabla7[#All],2,FALSE)</f>
        <v>PROGRAMADA</v>
      </c>
      <c r="K1153" s="114" t="str">
        <f>IF(VLOOKUP(I1153,Tabla7[#All],3,FALSE)=0,"",VLOOKUP(I1153,Tabla7[#All],3,FALSE))</f>
        <v/>
      </c>
      <c r="L1153" s="35" t="s">
        <v>2193</v>
      </c>
      <c r="M1153" s="35" t="s">
        <v>121</v>
      </c>
      <c r="N1153" s="35" t="str" cm="1">
        <f t="array" ref="N1153">IFERROR(IF(Tabla8[[#This Row],[P/NP]]="NO PROGRAMADA","",_xlfn.TEXTJOIN(", ",TRUE,_xlfn._xlws.FILTER(Tabla4[[#All],[PIEZA]],ISNUMBER(SEARCH(Tabla4[[#All],[PCLAVE]],Tabla8[[#This Row],[DESCRIPCION DE TRABAJO]])),""))),"")</f>
        <v>Husillo</v>
      </c>
      <c r="O1153" s="35" t="str" cm="1">
        <f t="array" ref="O1153">_xlfn.TEXTJOIN(", ",TRUE,_xlfn._xlws.FILTER(Tabla28[[#All],[PARTE]],ISNUMBER(SEARCH(Tabla28[[#All],[PCLAVE2]],Tabla8[[#This Row],[DESCRIPCION DE TRABAJO]])),""))</f>
        <v>Mds</v>
      </c>
      <c r="P1153" s="303" t="str">
        <f>IFERROR(LEFT(O1153, FIND(",", O1153)-1), O1153)</f>
        <v>Mds</v>
      </c>
      <c r="Q1153" s="303" t="str">
        <f>IFERROR(IF(ISERROR(FIND(",", O1153, FIND(",", O1153)+1)), RIGHT(O1153, LEN(O1153)-FIND(",", O1153)-1), MID(O1153, FIND(",", O1153)+2, FIND(",", O1153, FIND(",", O1153)+1)-FIND(",", O1153)-2)), "")</f>
        <v/>
      </c>
      <c r="R1153" s="303" t="str">
        <f>IFERROR(RIGHT(O1153, LEN(O1153)-FIND(",", O1153, FIND(",", O1153)+1)-1), "")</f>
        <v/>
      </c>
      <c r="S1153" s="35" t="str" cm="1">
        <f t="array" ref="S1153">_xlfn.TEXTJOIN(", ",TRUE,_xlfn._xlws.FILTER(Tabla29[[#All],[PARTE]],ISNUMBER(SEARCH(Tabla29[[#All],[PCLAVE3]],Tabla8[[#This Row],[DESCRIPCION DE TRABAJO]])),""))</f>
        <v>Cambio De Formato, Lubricacion</v>
      </c>
      <c r="T1153" s="34" t="str">
        <f>IF(AND(Tabla8[[#This Row],[PIEZA]]="",Tabla8[[#This Row],[PARTE]]=""),"VACIO","OK")</f>
        <v>OK</v>
      </c>
      <c r="U1153" s="303" t="str">
        <f>+CONCATENATE(WEEKNUM(Tabla8[[#This Row],[FECHA]]),"-",YEAR(Tabla8[[#This Row],[FECHA]]))</f>
        <v>19-2026</v>
      </c>
    </row>
    <row r="1154" spans="1:21" ht="15" customHeight="1">
      <c r="A1154" s="22">
        <v>46146</v>
      </c>
      <c r="B1154" s="16" t="s">
        <v>191</v>
      </c>
      <c r="C1154" s="10" t="s">
        <v>39</v>
      </c>
      <c r="D1154" s="381">
        <v>0.88680555555555551</v>
      </c>
      <c r="E1154" s="381">
        <v>0.8979166666666667</v>
      </c>
      <c r="F1154" s="380">
        <f>+MOD(Tabla8[[#This Row],[HR. FIN]]-Tabla8[[#This Row],[HR. INICIO]],1)</f>
        <v>1.1111111111111183E-2</v>
      </c>
      <c r="G1154" s="16" t="s">
        <v>215</v>
      </c>
      <c r="H1154" s="343" t="str">
        <f>IFERROR(VLOOKUP(G1154,DATOS!$M$2:$N$219,2,FALSE),"")</f>
        <v>Equipos auxiliares</v>
      </c>
      <c r="I1154" s="115" t="s">
        <v>54</v>
      </c>
      <c r="J1154" s="115" t="str">
        <f>+VLOOKUP($I1154,Tabla7[#All],2,FALSE)</f>
        <v>PROGRAMADA</v>
      </c>
      <c r="K1154" s="114" t="str">
        <f>IF(VLOOKUP(I1154,Tabla7[#All],3,FALSE)=0,"",VLOOKUP(I1154,Tabla7[#All],3,FALSE))</f>
        <v/>
      </c>
      <c r="L1154" s="35" t="s">
        <v>1751</v>
      </c>
      <c r="M1154" s="35" t="s">
        <v>121</v>
      </c>
      <c r="N1154" s="35" t="str" cm="1">
        <f t="array" ref="N1154">IFERROR(IF(Tabla8[[#This Row],[P/NP]]="NO PROGRAMADA","",_xlfn.TEXTJOIN(", ",TRUE,_xlfn._xlws.FILTER(Tabla4[[#All],[PIEZA]],ISNUMBER(SEARCH(Tabla4[[#All],[PCLAVE]],Tabla8[[#This Row],[DESCRIPCION DE TRABAJO]])),""))),"")</f>
        <v/>
      </c>
      <c r="O1154" s="35" t="str" cm="1">
        <f t="array" ref="O1154">_xlfn.TEXTJOIN(", ",TRUE,_xlfn._xlws.FILTER(Tabla28[[#All],[PARTE]],ISNUMBER(SEARCH(Tabla28[[#All],[PCLAVE2]],Tabla8[[#This Row],[DESCRIPCION DE TRABAJO]])),""))</f>
        <v/>
      </c>
      <c r="P1154" s="303" t="str">
        <f>IFERROR(LEFT(O1154, FIND(",", O1154)-1), O1154)</f>
        <v/>
      </c>
      <c r="Q1154" s="303" t="str">
        <f>IFERROR(IF(ISERROR(FIND(",", O1154, FIND(",", O1154)+1)), RIGHT(O1154, LEN(O1154)-FIND(",", O1154)-1), MID(O1154, FIND(",", O1154)+2, FIND(",", O1154, FIND(",", O1154)+1)-FIND(",", O1154)-2)), "")</f>
        <v/>
      </c>
      <c r="R1154" s="303" t="str">
        <f>IFERROR(RIGHT(O1154, LEN(O1154)-FIND(",", O1154, FIND(",", O1154)+1)-1), "")</f>
        <v/>
      </c>
      <c r="S1154" s="35" t="str" cm="1">
        <f t="array" ref="S1154">_xlfn.TEXTJOIN(", ",TRUE,_xlfn._xlws.FILTER(Tabla29[[#All],[PARTE]],ISNUMBER(SEARCH(Tabla29[[#All],[PCLAVE3]],Tabla8[[#This Row],[DESCRIPCION DE TRABAJO]])),""))</f>
        <v/>
      </c>
      <c r="T1154" s="34" t="str">
        <f>IF(AND(Tabla8[[#This Row],[PIEZA]]="",Tabla8[[#This Row],[PARTE]]=""),"VACIO","OK")</f>
        <v>VACIO</v>
      </c>
      <c r="U1154" s="303" t="str">
        <f>+CONCATENATE(WEEKNUM(Tabla8[[#This Row],[FECHA]]),"-",YEAR(Tabla8[[#This Row],[FECHA]]))</f>
        <v>19-2026</v>
      </c>
    </row>
    <row r="1155" spans="1:21" ht="15" customHeight="1">
      <c r="A1155" s="22">
        <v>46146</v>
      </c>
      <c r="B1155" s="16" t="s">
        <v>111</v>
      </c>
      <c r="C1155" s="10" t="s">
        <v>36</v>
      </c>
      <c r="D1155" s="381">
        <v>0.46527777777777779</v>
      </c>
      <c r="E1155" s="381">
        <v>0.47569444444444442</v>
      </c>
      <c r="F1155" s="380">
        <f>+MOD(Tabla8[[#This Row],[HR. FIN]]-Tabla8[[#This Row],[HR. INICIO]],1)</f>
        <v>1.041666666666663E-2</v>
      </c>
      <c r="G1155" s="16" t="s">
        <v>312</v>
      </c>
      <c r="H1155" s="343" t="str">
        <f>IFERROR(VLOOKUP(G1155,DATOS!$M$2:$N$219,2,FALSE),"")</f>
        <v>Maquinaria</v>
      </c>
      <c r="I1155" s="115" t="s">
        <v>57</v>
      </c>
      <c r="J1155" s="115" t="str">
        <f>+VLOOKUP($I1155,Tabla7[#All],2,FALSE)</f>
        <v>NO PROGRAMADA</v>
      </c>
      <c r="K1155" s="114" t="str">
        <f>IF(VLOOKUP(I1155,Tabla7[#All],3,FALSE)=0,"",VLOOKUP(I1155,Tabla7[#All],3,FALSE))</f>
        <v>MECÁNICA</v>
      </c>
      <c r="L1155" s="35" t="s">
        <v>2194</v>
      </c>
      <c r="M1155" s="35" t="s">
        <v>2195</v>
      </c>
      <c r="N1155" s="35" t="str" cm="1">
        <f t="array" ref="N1155">IFERROR(IF(Tabla8[[#This Row],[P/NP]]="NO PROGRAMADA","",_xlfn.TEXTJOIN(", ",TRUE,_xlfn._xlws.FILTER(Tabla4[[#All],[PIEZA]],ISNUMBER(SEARCH(Tabla4[[#All],[PCLAVE]],Tabla8[[#This Row],[DESCRIPCION DE TRABAJO]])),""))),"")</f>
        <v/>
      </c>
      <c r="O1155" s="35" t="str" cm="1">
        <f t="array" ref="O1155">_xlfn.TEXTJOIN(", ",TRUE,_xlfn._xlws.FILTER(Tabla28[[#All],[PARTE]],ISNUMBER(SEARCH(Tabla28[[#All],[PCLAVE2]],Tabla8[[#This Row],[DESCRIPCION DE TRABAJO]])),""))</f>
        <v/>
      </c>
      <c r="P1155" s="303" t="str">
        <f>IFERROR(LEFT(O1155, FIND(",", O1155)-1), O1155)</f>
        <v/>
      </c>
      <c r="Q1155" s="303" t="str">
        <f>IFERROR(IF(ISERROR(FIND(",", O1155, FIND(",", O1155)+1)), RIGHT(O1155, LEN(O1155)-FIND(",", O1155)-1), MID(O1155, FIND(",", O1155)+2, FIND(",", O1155, FIND(",", O1155)+1)-FIND(",", O1155)-2)), "")</f>
        <v/>
      </c>
      <c r="R1155" s="303" t="str">
        <f>IFERROR(RIGHT(O1155, LEN(O1155)-FIND(",", O1155, FIND(",", O1155)+1)-1), "")</f>
        <v/>
      </c>
      <c r="S1155" s="35" t="str" cm="1">
        <f t="array" ref="S1155">_xlfn.TEXTJOIN(", ",TRUE,_xlfn._xlws.FILTER(Tabla29[[#All],[PARTE]],ISNUMBER(SEARCH(Tabla29[[#All],[PCLAVE3]],Tabla8[[#This Row],[DESCRIPCION DE TRABAJO]])),""))</f>
        <v>No Tempera</v>
      </c>
      <c r="T1155" s="34" t="str">
        <f>IF(AND(Tabla8[[#This Row],[PIEZA]]="",Tabla8[[#This Row],[PARTE]]=""),"VACIO","OK")</f>
        <v>VACIO</v>
      </c>
      <c r="U1155" s="303" t="str">
        <f>+CONCATENATE(WEEKNUM(Tabla8[[#This Row],[FECHA]]),"-",YEAR(Tabla8[[#This Row],[FECHA]]))</f>
        <v>19-2026</v>
      </c>
    </row>
    <row r="1156" spans="1:21" ht="15" customHeight="1">
      <c r="A1156" s="22">
        <v>46146</v>
      </c>
      <c r="B1156" s="16" t="s">
        <v>179</v>
      </c>
      <c r="C1156" s="10" t="s">
        <v>23</v>
      </c>
      <c r="D1156" s="381">
        <v>0.59375</v>
      </c>
      <c r="E1156" s="381">
        <v>0.60416666666666663</v>
      </c>
      <c r="F1156" s="380">
        <f>+MOD(Tabla8[[#This Row],[HR. FIN]]-Tabla8[[#This Row],[HR. INICIO]],1)</f>
        <v>1.041666666666663E-2</v>
      </c>
      <c r="G1156" s="16" t="s">
        <v>1892</v>
      </c>
      <c r="H1156" s="343" t="str">
        <f>IFERROR(VLOOKUP(G1156,DATOS!$M$2:$N$219,2,FALSE),"")</f>
        <v>Maquinaria</v>
      </c>
      <c r="I1156" s="115" t="s">
        <v>186</v>
      </c>
      <c r="J1156" s="115" t="s">
        <v>92</v>
      </c>
      <c r="K1156" s="114" t="s">
        <v>93</v>
      </c>
      <c r="L1156" s="35" t="s">
        <v>2196</v>
      </c>
      <c r="M1156" s="35" t="s">
        <v>121</v>
      </c>
      <c r="N1156" s="35" t="str" cm="1">
        <f t="array" ref="N1156">IFERROR(IF(Tabla8[[#This Row],[P/NP]]="NO PROGRAMADA","",_xlfn.TEXTJOIN(", ",TRUE,_xlfn._xlws.FILTER(Tabla4[[#All],[PIEZA]],ISNUMBER(SEARCH(Tabla4[[#All],[PCLAVE]],Tabla8[[#This Row],[DESCRIPCION DE TRABAJO]])),""))),"")</f>
        <v/>
      </c>
      <c r="O1156" s="35" t="str" cm="1">
        <f t="array" ref="O1156">_xlfn.TEXTJOIN(", ",TRUE,_xlfn._xlws.FILTER(Tabla28[[#All],[PARTE]],ISNUMBER(SEARCH(Tabla28[[#All],[PCLAVE2]],Tabla8[[#This Row],[DESCRIPCION DE TRABAJO]])),""))</f>
        <v/>
      </c>
      <c r="P1156" s="303" t="str">
        <f>IFERROR(LEFT(O1156, FIND(",", O1156)-1), O1156)</f>
        <v/>
      </c>
      <c r="Q1156" s="303" t="str">
        <f>IFERROR(IF(ISERROR(FIND(",", O1156, FIND(",", O1156)+1)), RIGHT(O1156, LEN(O1156)-FIND(",", O1156)-1), MID(O1156, FIND(",", O1156)+2, FIND(",", O1156, FIND(",", O1156)+1)-FIND(",", O1156)-2)), "")</f>
        <v/>
      </c>
      <c r="R1156" s="303" t="str">
        <f>IFERROR(RIGHT(O1156, LEN(O1156)-FIND(",", O1156, FIND(",", O1156)+1)-1), "")</f>
        <v/>
      </c>
      <c r="S1156" s="35" t="str" cm="1">
        <f t="array" ref="S1156">_xlfn.TEXTJOIN(", ",TRUE,_xlfn._xlws.FILTER(Tabla29[[#All],[PARTE]],ISNUMBER(SEARCH(Tabla29[[#All],[PCLAVE3]],Tabla8[[#This Row],[DESCRIPCION DE TRABAJO]])),""))</f>
        <v/>
      </c>
      <c r="T1156" s="34" t="str">
        <f>IF(AND(Tabla8[[#This Row],[PIEZA]]="",Tabla8[[#This Row],[PARTE]]=""),"VACIO","OK")</f>
        <v>VACIO</v>
      </c>
      <c r="U1156" s="303" t="str">
        <f>+CONCATENATE(WEEKNUM(Tabla8[[#This Row],[FECHA]]),"-",YEAR(Tabla8[[#This Row],[FECHA]]))</f>
        <v>19-2026</v>
      </c>
    </row>
    <row r="1157" spans="1:21" ht="15" customHeight="1">
      <c r="A1157" s="22">
        <v>46146</v>
      </c>
      <c r="B1157" s="16" t="s">
        <v>191</v>
      </c>
      <c r="C1157" s="10" t="s">
        <v>39</v>
      </c>
      <c r="D1157" s="381">
        <v>0.90069444444444446</v>
      </c>
      <c r="E1157" s="381">
        <v>0.91041666666666665</v>
      </c>
      <c r="F1157" s="380">
        <f>+MOD(Tabla8[[#This Row],[HR. FIN]]-Tabla8[[#This Row],[HR. INICIO]],1)</f>
        <v>9.7222222222221877E-3</v>
      </c>
      <c r="G1157" s="16" t="s">
        <v>119</v>
      </c>
      <c r="H1157" s="343" t="str">
        <f>IFERROR(VLOOKUP(G1157,DATOS!$M$2:$N$219,2,FALSE),"")</f>
        <v>Maquinaria</v>
      </c>
      <c r="I1157" s="115" t="s">
        <v>32</v>
      </c>
      <c r="J1157" s="115" t="str">
        <f>+VLOOKUP($I1157,Tabla7[#All],2,FALSE)</f>
        <v>PROGRAMADA</v>
      </c>
      <c r="K1157" s="114" t="str">
        <f>IF(VLOOKUP(I1157,Tabla7[#All],3,FALSE)=0,"",VLOOKUP(I1157,Tabla7[#All],3,FALSE))</f>
        <v/>
      </c>
      <c r="L1157" s="35" t="s">
        <v>2197</v>
      </c>
      <c r="M1157" s="35" t="s">
        <v>121</v>
      </c>
      <c r="N1157" s="35" t="str" cm="1">
        <f t="array" ref="N1157">IFERROR(IF(Tabla8[[#This Row],[P/NP]]="NO PROGRAMADA","",_xlfn.TEXTJOIN(", ",TRUE,_xlfn._xlws.FILTER(Tabla4[[#All],[PIEZA]],ISNUMBER(SEARCH(Tabla4[[#All],[PCLAVE]],Tabla8[[#This Row],[DESCRIPCION DE TRABAJO]])),""))),"")</f>
        <v>Husillo</v>
      </c>
      <c r="O1157" s="35" t="str" cm="1">
        <f t="array" ref="O1157">_xlfn.TEXTJOIN(", ",TRUE,_xlfn._xlws.FILTER(Tabla28[[#All],[PARTE]],ISNUMBER(SEARCH(Tabla28[[#All],[PCLAVE2]],Tabla8[[#This Row],[DESCRIPCION DE TRABAJO]])),""))</f>
        <v/>
      </c>
      <c r="P1157" s="303" t="str">
        <f>IFERROR(LEFT(O1157, FIND(",", O1157)-1), O1157)</f>
        <v/>
      </c>
      <c r="Q1157" s="303" t="str">
        <f>IFERROR(IF(ISERROR(FIND(",", O1157, FIND(",", O1157)+1)), RIGHT(O1157, LEN(O1157)-FIND(",", O1157)-1), MID(O1157, FIND(",", O1157)+2, FIND(",", O1157, FIND(",", O1157)+1)-FIND(",", O1157)-2)), "")</f>
        <v/>
      </c>
      <c r="R1157" s="303" t="str">
        <f>IFERROR(RIGHT(O1157, LEN(O1157)-FIND(",", O1157, FIND(",", O1157)+1)-1), "")</f>
        <v/>
      </c>
      <c r="S1157" s="35" t="str" cm="1">
        <f t="array" ref="S1157">_xlfn.TEXTJOIN(", ",TRUE,_xlfn._xlws.FILTER(Tabla29[[#All],[PARTE]],ISNUMBER(SEARCH(Tabla29[[#All],[PCLAVE3]],Tabla8[[#This Row],[DESCRIPCION DE TRABAJO]])),""))</f>
        <v>Sustitucion</v>
      </c>
      <c r="T1157" s="34" t="str">
        <f>IF(AND(Tabla8[[#This Row],[PIEZA]]="",Tabla8[[#This Row],[PARTE]]=""),"VACIO","OK")</f>
        <v>OK</v>
      </c>
      <c r="U1157" s="303" t="str">
        <f>+CONCATENATE(WEEKNUM(Tabla8[[#This Row],[FECHA]]),"-",YEAR(Tabla8[[#This Row],[FECHA]]))</f>
        <v>19-2026</v>
      </c>
    </row>
    <row r="1158" spans="1:21" ht="15" customHeight="1">
      <c r="A1158" s="22">
        <v>46146</v>
      </c>
      <c r="B1158" s="16" t="s">
        <v>131</v>
      </c>
      <c r="C1158" s="10" t="s">
        <v>23</v>
      </c>
      <c r="D1158" s="381">
        <v>0.64583333333333337</v>
      </c>
      <c r="E1158" s="381">
        <v>0.65555555555555556</v>
      </c>
      <c r="F1158" s="380">
        <f>+MOD(Tabla8[[#This Row],[HR. FIN]]-Tabla8[[#This Row],[HR. INICIO]],1)</f>
        <v>9.7222222222221877E-3</v>
      </c>
      <c r="G1158" s="16" t="s">
        <v>270</v>
      </c>
      <c r="H1158" s="343" t="str">
        <f>IFERROR(VLOOKUP(G1158,DATOS!$M$2:$N$219,2,FALSE),"")</f>
        <v>Maquinaria</v>
      </c>
      <c r="I1158" s="115" t="s">
        <v>32</v>
      </c>
      <c r="J1158" s="115" t="s">
        <v>92</v>
      </c>
      <c r="K1158" s="114" t="s">
        <v>148</v>
      </c>
      <c r="L1158" s="35" t="s">
        <v>2198</v>
      </c>
      <c r="M1158" s="35" t="s">
        <v>2199</v>
      </c>
      <c r="N1158" s="35" t="str" cm="1">
        <f t="array" ref="N1158">IFERROR(IF(Tabla8[[#This Row],[P/NP]]="NO PROGRAMADA","",_xlfn.TEXTJOIN(", ",TRUE,_xlfn._xlws.FILTER(Tabla4[[#All],[PIEZA]],ISNUMBER(SEARCH(Tabla4[[#All],[PCLAVE]],Tabla8[[#This Row],[DESCRIPCION DE TRABAJO]])),""))),"")</f>
        <v/>
      </c>
      <c r="O1158" s="35" t="str" cm="1">
        <f t="array" ref="O1158">_xlfn.TEXTJOIN(", ",TRUE,_xlfn._xlws.FILTER(Tabla28[[#All],[PARTE]],ISNUMBER(SEARCH(Tabla28[[#All],[PCLAVE2]],Tabla8[[#This Row],[DESCRIPCION DE TRABAJO]])),""))</f>
        <v>Robot</v>
      </c>
      <c r="P1158" s="303" t="str">
        <f>IFERROR(LEFT(O1158, FIND(",", O1158)-1), O1158)</f>
        <v>Robot</v>
      </c>
      <c r="Q1158" s="303" t="str">
        <f>IFERROR(IF(ISERROR(FIND(",", O1158, FIND(",", O1158)+1)), RIGHT(O1158, LEN(O1158)-FIND(",", O1158)-1), MID(O1158, FIND(",", O1158)+2, FIND(",", O1158, FIND(",", O1158)+1)-FIND(",", O1158)-2)), "")</f>
        <v/>
      </c>
      <c r="R1158" s="303" t="str">
        <f>IFERROR(RIGHT(O1158, LEN(O1158)-FIND(",", O1158, FIND(",", O1158)+1)-1), "")</f>
        <v/>
      </c>
      <c r="S1158" s="35" t="str" cm="1">
        <f t="array" ref="S1158">_xlfn.TEXTJOIN(", ",TRUE,_xlfn._xlws.FILTER(Tabla29[[#All],[PARTE]],ISNUMBER(SEARCH(Tabla29[[#All],[PCLAVE3]],Tabla8[[#This Row],[DESCRIPCION DE TRABAJO]])),""))</f>
        <v>Soltura, Carga/descarga</v>
      </c>
      <c r="T1158" s="34" t="str">
        <f>IF(AND(Tabla8[[#This Row],[PIEZA]]="",Tabla8[[#This Row],[PARTE]]=""),"VACIO","OK")</f>
        <v>OK</v>
      </c>
      <c r="U1158" s="303" t="str">
        <f>+CONCATENATE(WEEKNUM(Tabla8[[#This Row],[FECHA]]),"-",YEAR(Tabla8[[#This Row],[FECHA]]))</f>
        <v>19-2026</v>
      </c>
    </row>
    <row r="1159" spans="1:21" ht="15" customHeight="1">
      <c r="A1159" s="22">
        <v>46146</v>
      </c>
      <c r="B1159" s="16" t="s">
        <v>179</v>
      </c>
      <c r="C1159" s="10" t="s">
        <v>36</v>
      </c>
      <c r="D1159" s="381">
        <v>0.53263888888888888</v>
      </c>
      <c r="E1159" s="381">
        <v>0.54166666666666663</v>
      </c>
      <c r="F1159" s="380">
        <f>+MOD(Tabla8[[#This Row],[HR. FIN]]-Tabla8[[#This Row],[HR. INICIO]],1)</f>
        <v>9.0277777777777457E-3</v>
      </c>
      <c r="G1159" s="16" t="s">
        <v>42</v>
      </c>
      <c r="H1159" s="343" t="str">
        <f>IFERROR(VLOOKUP(G1159,DATOS!$M$2:$N$219,2,FALSE),"")</f>
        <v>Maquinaria</v>
      </c>
      <c r="I1159" s="115" t="s">
        <v>61</v>
      </c>
      <c r="J1159" s="115" t="s">
        <v>92</v>
      </c>
      <c r="K1159" s="114" t="s">
        <v>93</v>
      </c>
      <c r="L1159" s="35" t="s">
        <v>2200</v>
      </c>
      <c r="M1159" s="35" t="s">
        <v>2201</v>
      </c>
      <c r="N1159" s="35" t="str" cm="1">
        <f t="array" ref="N1159">IFERROR(IF(Tabla8[[#This Row],[P/NP]]="NO PROGRAMADA","",_xlfn.TEXTJOIN(", ",TRUE,_xlfn._xlws.FILTER(Tabla4[[#All],[PIEZA]],ISNUMBER(SEARCH(Tabla4[[#All],[PCLAVE]],Tabla8[[#This Row],[DESCRIPCION DE TRABAJO]])),""))),"")</f>
        <v/>
      </c>
      <c r="O1159" s="35" t="str" cm="1">
        <f t="array" ref="O1159">_xlfn.TEXTJOIN(", ",TRUE,_xlfn._xlws.FILTER(Tabla28[[#All],[PARTE]],ISNUMBER(SEARCH(Tabla28[[#All],[PCLAVE2]],Tabla8[[#This Row],[DESCRIPCION DE TRABAJO]])),""))</f>
        <v/>
      </c>
      <c r="P1159" s="303" t="str">
        <f>IFERROR(LEFT(O1159, FIND(",", O1159)-1), O1159)</f>
        <v/>
      </c>
      <c r="Q1159" s="303" t="str">
        <f>IFERROR(IF(ISERROR(FIND(",", O1159, FIND(",", O1159)+1)), RIGHT(O1159, LEN(O1159)-FIND(",", O1159)-1), MID(O1159, FIND(",", O1159)+2, FIND(",", O1159, FIND(",", O1159)+1)-FIND(",", O1159)-2)), "")</f>
        <v/>
      </c>
      <c r="R1159" s="303" t="str">
        <f>IFERROR(RIGHT(O1159, LEN(O1159)-FIND(",", O1159, FIND(",", O1159)+1)-1), "")</f>
        <v/>
      </c>
      <c r="S1159" s="35" t="str" cm="1">
        <f t="array" ref="S1159">_xlfn.TEXTJOIN(", ",TRUE,_xlfn._xlws.FILTER(Tabla29[[#All],[PARTE]],ISNUMBER(SEARCH(Tabla29[[#All],[PCLAVE3]],Tabla8[[#This Row],[DESCRIPCION DE TRABAJO]])),""))</f>
        <v/>
      </c>
      <c r="T1159" s="34" t="str">
        <f>IF(AND(Tabla8[[#This Row],[PIEZA]]="",Tabla8[[#This Row],[PARTE]]=""),"VACIO","OK")</f>
        <v>VACIO</v>
      </c>
      <c r="U1159" s="303" t="str">
        <f>+CONCATENATE(WEEKNUM(Tabla8[[#This Row],[FECHA]]),"-",YEAR(Tabla8[[#This Row],[FECHA]]))</f>
        <v>19-2026</v>
      </c>
    </row>
    <row r="1160" spans="1:21" ht="15" customHeight="1">
      <c r="A1160" s="22">
        <v>46146</v>
      </c>
      <c r="B1160" s="16" t="s">
        <v>131</v>
      </c>
      <c r="C1160" s="10" t="s">
        <v>23</v>
      </c>
      <c r="D1160" s="381">
        <v>0.69097222222222221</v>
      </c>
      <c r="E1160" s="381">
        <v>0.7</v>
      </c>
      <c r="F1160" s="380">
        <f>+MOD(Tabla8[[#This Row],[HR. FIN]]-Tabla8[[#This Row],[HR. INICIO]],1)</f>
        <v>9.0277777777777457E-3</v>
      </c>
      <c r="G1160" s="16" t="s">
        <v>119</v>
      </c>
      <c r="H1160" s="343" t="str">
        <f>IFERROR(VLOOKUP(G1160,DATOS!$M$2:$N$219,2,FALSE),"")</f>
        <v>Maquinaria</v>
      </c>
      <c r="I1160" s="115" t="s">
        <v>32</v>
      </c>
      <c r="J1160" s="115" t="s">
        <v>92</v>
      </c>
      <c r="K1160" s="114" t="s">
        <v>148</v>
      </c>
      <c r="L1160" s="35" t="s">
        <v>2202</v>
      </c>
      <c r="M1160" s="35" t="s">
        <v>2203</v>
      </c>
      <c r="N1160" s="35" t="str" cm="1">
        <f t="array" ref="N1160">IFERROR(IF(Tabla8[[#This Row],[P/NP]]="NO PROGRAMADA","",_xlfn.TEXTJOIN(", ",TRUE,_xlfn._xlws.FILTER(Tabla4[[#All],[PIEZA]],ISNUMBER(SEARCH(Tabla4[[#All],[PCLAVE]],Tabla8[[#This Row],[DESCRIPCION DE TRABAJO]])),""))),"")</f>
        <v/>
      </c>
      <c r="O1160" s="35" t="str" cm="1">
        <f t="array" ref="O1160">_xlfn.TEXTJOIN(", ",TRUE,_xlfn._xlws.FILTER(Tabla28[[#All],[PARTE]],ISNUMBER(SEARCH(Tabla28[[#All],[PCLAVE2]],Tabla8[[#This Row],[DESCRIPCION DE TRABAJO]])),""))</f>
        <v/>
      </c>
      <c r="P1160" s="303" t="str">
        <f>IFERROR(LEFT(O1160, FIND(",", O1160)-1), O1160)</f>
        <v/>
      </c>
      <c r="Q1160" s="303" t="str">
        <f>IFERROR(IF(ISERROR(FIND(",", O1160, FIND(",", O1160)+1)), RIGHT(O1160, LEN(O1160)-FIND(",", O1160)-1), MID(O1160, FIND(",", O1160)+2, FIND(",", O1160, FIND(",", O1160)+1)-FIND(",", O1160)-2)), "")</f>
        <v/>
      </c>
      <c r="R1160" s="303" t="str">
        <f>IFERROR(RIGHT(O1160, LEN(O1160)-FIND(",", O1160, FIND(",", O1160)+1)-1), "")</f>
        <v/>
      </c>
      <c r="S1160" s="35" t="str" cm="1">
        <f t="array" ref="S1160">_xlfn.TEXTJOIN(", ",TRUE,_xlfn._xlws.FILTER(Tabla29[[#All],[PARTE]],ISNUMBER(SEARCH(Tabla29[[#All],[PCLAVE3]],Tabla8[[#This Row],[DESCRIPCION DE TRABAJO]])),""))</f>
        <v>Temperatura, Temperatura</v>
      </c>
      <c r="T1160" s="34" t="str">
        <f>IF(AND(Tabla8[[#This Row],[PIEZA]]="",Tabla8[[#This Row],[PARTE]]=""),"VACIO","OK")</f>
        <v>VACIO</v>
      </c>
      <c r="U1160" s="303" t="str">
        <f>+CONCATENATE(WEEKNUM(Tabla8[[#This Row],[FECHA]]),"-",YEAR(Tabla8[[#This Row],[FECHA]]))</f>
        <v>19-2026</v>
      </c>
    </row>
    <row r="1161" spans="1:21" ht="15" customHeight="1">
      <c r="A1161" s="22">
        <v>46146</v>
      </c>
      <c r="B1161" s="16" t="s">
        <v>131</v>
      </c>
      <c r="C1161" s="10" t="s">
        <v>23</v>
      </c>
      <c r="D1161" s="381">
        <v>0.59305555555555556</v>
      </c>
      <c r="E1161" s="381">
        <v>0.60069444444444442</v>
      </c>
      <c r="F1161" s="380">
        <f>+MOD(Tabla8[[#This Row],[HR. FIN]]-Tabla8[[#This Row],[HR. INICIO]],1)</f>
        <v>7.6388888888888618E-3</v>
      </c>
      <c r="G1161" s="16" t="s">
        <v>153</v>
      </c>
      <c r="H1161" s="343" t="str">
        <f>IFERROR(VLOOKUP(G1161,DATOS!$M$2:$N$219,2,FALSE),"")</f>
        <v>Maquinaria</v>
      </c>
      <c r="I1161" s="115" t="s">
        <v>57</v>
      </c>
      <c r="J1161" s="115" t="str">
        <f>+VLOOKUP($I1161,Tabla7[#All],2,FALSE)</f>
        <v>NO PROGRAMADA</v>
      </c>
      <c r="K1161" s="114" t="s">
        <v>148</v>
      </c>
      <c r="L1161" s="35" t="s">
        <v>2204</v>
      </c>
      <c r="M1161" s="35" t="s">
        <v>2205</v>
      </c>
      <c r="N1161" s="35" t="str" cm="1">
        <f t="array" ref="N1161">IFERROR(IF(Tabla8[[#This Row],[P/NP]]="NO PROGRAMADA","",_xlfn.TEXTJOIN(", ",TRUE,_xlfn._xlws.FILTER(Tabla4[[#All],[PIEZA]],ISNUMBER(SEARCH(Tabla4[[#All],[PCLAVE]],Tabla8[[#This Row],[DESCRIPCION DE TRABAJO]])),""))),"")</f>
        <v/>
      </c>
      <c r="O1161" s="35" t="str" cm="1">
        <f t="array" ref="O1161">_xlfn.TEXTJOIN(", ",TRUE,_xlfn._xlws.FILTER(Tabla28[[#All],[PARTE]],ISNUMBER(SEARCH(Tabla28[[#All],[PCLAVE2]],Tabla8[[#This Row],[DESCRIPCION DE TRABAJO]])),""))</f>
        <v/>
      </c>
      <c r="P1161" s="303" t="str">
        <f>IFERROR(LEFT(O1161, FIND(",", O1161)-1), O1161)</f>
        <v/>
      </c>
      <c r="Q1161" s="303" t="str">
        <f>IFERROR(IF(ISERROR(FIND(",", O1161, FIND(",", O1161)+1)), RIGHT(O1161, LEN(O1161)-FIND(",", O1161)-1), MID(O1161, FIND(",", O1161)+2, FIND(",", O1161, FIND(",", O1161)+1)-FIND(",", O1161)-2)), "")</f>
        <v/>
      </c>
      <c r="R1161" s="303" t="str">
        <f>IFERROR(RIGHT(O1161, LEN(O1161)-FIND(",", O1161, FIND(",", O1161)+1)-1), "")</f>
        <v/>
      </c>
      <c r="S1161" s="35" t="str" cm="1">
        <f t="array" ref="S1161">_xlfn.TEXTJOIN(", ",TRUE,_xlfn._xlws.FILTER(Tabla29[[#All],[PARTE]],ISNUMBER(SEARCH(Tabla29[[#All],[PCLAVE3]],Tabla8[[#This Row],[DESCRIPCION DE TRABAJO]])),""))</f>
        <v/>
      </c>
      <c r="T1161" s="34" t="str">
        <f>IF(AND(Tabla8[[#This Row],[PIEZA]]="",Tabla8[[#This Row],[PARTE]]=""),"VACIO","OK")</f>
        <v>VACIO</v>
      </c>
      <c r="U1161" s="303" t="str">
        <f>+CONCATENATE(WEEKNUM(Tabla8[[#This Row],[FECHA]]),"-",YEAR(Tabla8[[#This Row],[FECHA]]))</f>
        <v>19-2026</v>
      </c>
    </row>
    <row r="1162" spans="1:21" ht="15" customHeight="1">
      <c r="A1162" s="22">
        <v>46146</v>
      </c>
      <c r="B1162" s="16" t="s">
        <v>111</v>
      </c>
      <c r="C1162" s="10" t="s">
        <v>36</v>
      </c>
      <c r="D1162" s="381">
        <v>0.47916666666666669</v>
      </c>
      <c r="E1162" s="381">
        <v>0.4861111111111111</v>
      </c>
      <c r="F1162" s="380">
        <f>+MOD(Tabla8[[#This Row],[HR. FIN]]-Tabla8[[#This Row],[HR. INICIO]],1)</f>
        <v>6.9444444444444198E-3</v>
      </c>
      <c r="G1162" s="16" t="s">
        <v>147</v>
      </c>
      <c r="H1162" s="343" t="str">
        <f>IFERROR(VLOOKUP(G1162,DATOS!$M$2:$N$219,2,FALSE),"")</f>
        <v>Maquinaria</v>
      </c>
      <c r="I1162" s="115" t="s">
        <v>61</v>
      </c>
      <c r="J1162" s="115" t="s">
        <v>92</v>
      </c>
      <c r="K1162" s="114" t="s">
        <v>93</v>
      </c>
      <c r="L1162" s="35" t="s">
        <v>2206</v>
      </c>
      <c r="M1162" s="35" t="s">
        <v>2207</v>
      </c>
      <c r="N1162" s="35" t="str" cm="1">
        <f t="array" ref="N1162">IFERROR(IF(Tabla8[[#This Row],[P/NP]]="NO PROGRAMADA","",_xlfn.TEXTJOIN(", ",TRUE,_xlfn._xlws.FILTER(Tabla4[[#All],[PIEZA]],ISNUMBER(SEARCH(Tabla4[[#All],[PCLAVE]],Tabla8[[#This Row],[DESCRIPCION DE TRABAJO]])),""))),"")</f>
        <v/>
      </c>
      <c r="O1162" s="35" t="str" cm="1">
        <f t="array" ref="O1162">_xlfn.TEXTJOIN(", ",TRUE,_xlfn._xlws.FILTER(Tabla28[[#All],[PARTE]],ISNUMBER(SEARCH(Tabla28[[#All],[PCLAVE2]],Tabla8[[#This Row],[DESCRIPCION DE TRABAJO]])),""))</f>
        <v>Codificador</v>
      </c>
      <c r="P1162" s="303" t="str">
        <f>IFERROR(LEFT(O1162, FIND(",", O1162)-1), O1162)</f>
        <v>Codificador</v>
      </c>
      <c r="Q1162" s="303" t="str">
        <f>IFERROR(IF(ISERROR(FIND(",", O1162, FIND(",", O1162)+1)), RIGHT(O1162, LEN(O1162)-FIND(",", O1162)-1), MID(O1162, FIND(",", O1162)+2, FIND(",", O1162, FIND(",", O1162)+1)-FIND(",", O1162)-2)), "")</f>
        <v/>
      </c>
      <c r="R1162" s="303" t="str">
        <f>IFERROR(RIGHT(O1162, LEN(O1162)-FIND(",", O1162, FIND(",", O1162)+1)-1), "")</f>
        <v/>
      </c>
      <c r="S1162" s="35" t="str" cm="1">
        <f t="array" ref="S1162">_xlfn.TEXTJOIN(", ",TRUE,_xlfn._xlws.FILTER(Tabla29[[#All],[PARTE]],ISNUMBER(SEARCH(Tabla29[[#All],[PCLAVE3]],Tabla8[[#This Row],[DESCRIPCION DE TRABAJO]])),""))</f>
        <v>Desalineado</v>
      </c>
      <c r="T1162" s="34" t="str">
        <f>IF(AND(Tabla8[[#This Row],[PIEZA]]="",Tabla8[[#This Row],[PARTE]]=""),"VACIO","OK")</f>
        <v>OK</v>
      </c>
      <c r="U1162" s="303" t="str">
        <f>+CONCATENATE(WEEKNUM(Tabla8[[#This Row],[FECHA]]),"-",YEAR(Tabla8[[#This Row],[FECHA]]))</f>
        <v>19-2026</v>
      </c>
    </row>
    <row r="1163" spans="1:21" ht="15" customHeight="1">
      <c r="A1163" s="22">
        <v>46146</v>
      </c>
      <c r="B1163" s="16" t="s">
        <v>179</v>
      </c>
      <c r="C1163" s="10" t="s">
        <v>23</v>
      </c>
      <c r="D1163" s="381">
        <v>0.56944444444444442</v>
      </c>
      <c r="E1163" s="381">
        <v>0.57638888888888884</v>
      </c>
      <c r="F1163" s="380">
        <f>+MOD(Tabla8[[#This Row],[HR. FIN]]-Tabla8[[#This Row],[HR. INICIO]],1)</f>
        <v>6.9444444444444198E-3</v>
      </c>
      <c r="G1163" s="16" t="s">
        <v>793</v>
      </c>
      <c r="H1163" s="343" t="str">
        <f>IFERROR(VLOOKUP(G1163,DATOS!$M$2:$N$219,2,FALSE),"")</f>
        <v>Maquinaria</v>
      </c>
      <c r="I1163" s="115" t="s">
        <v>32</v>
      </c>
      <c r="J1163" s="115" t="s">
        <v>157</v>
      </c>
      <c r="K1163" s="114"/>
      <c r="L1163" s="35" t="s">
        <v>794</v>
      </c>
      <c r="M1163" s="35" t="s">
        <v>121</v>
      </c>
      <c r="N1163" s="35" t="str" cm="1">
        <f t="array" ref="N1163">IFERROR(IF(Tabla8[[#This Row],[P/NP]]="NO PROGRAMADA","",_xlfn.TEXTJOIN(", ",TRUE,_xlfn._xlws.FILTER(Tabla4[[#All],[PIEZA]],ISNUMBER(SEARCH(Tabla4[[#All],[PCLAVE]],Tabla8[[#This Row],[DESCRIPCION DE TRABAJO]])),""))),"")</f>
        <v>Cuchilla</v>
      </c>
      <c r="O1163" s="35" t="str" cm="1">
        <f t="array" ref="O1163">_xlfn.TEXTJOIN(", ",TRUE,_xlfn._xlws.FILTER(Tabla28[[#All],[PARTE]],ISNUMBER(SEARCH(Tabla28[[#All],[PCLAVE2]],Tabla8[[#This Row],[DESCRIPCION DE TRABAJO]])),""))</f>
        <v/>
      </c>
      <c r="P1163" s="303" t="str">
        <f>IFERROR(LEFT(O1163, FIND(",", O1163)-1), O1163)</f>
        <v/>
      </c>
      <c r="Q1163" s="303" t="str">
        <f>IFERROR(IF(ISERROR(FIND(",", O1163, FIND(",", O1163)+1)), RIGHT(O1163, LEN(O1163)-FIND(",", O1163)-1), MID(O1163, FIND(",", O1163)+2, FIND(",", O1163, FIND(",", O1163)+1)-FIND(",", O1163)-2)), "")</f>
        <v/>
      </c>
      <c r="R1163" s="303" t="str">
        <f>IFERROR(RIGHT(O1163, LEN(O1163)-FIND(",", O1163, FIND(",", O1163)+1)-1), "")</f>
        <v/>
      </c>
      <c r="S1163" s="35" t="str" cm="1">
        <f t="array" ref="S1163">_xlfn.TEXTJOIN(", ",TRUE,_xlfn._xlws.FILTER(Tabla29[[#All],[PARTE]],ISNUMBER(SEARCH(Tabla29[[#All],[PCLAVE3]],Tabla8[[#This Row],[DESCRIPCION DE TRABAJO]])),""))</f>
        <v>Sustitucion</v>
      </c>
      <c r="T1163" s="34" t="str">
        <f>IF(AND(Tabla8[[#This Row],[PIEZA]]="",Tabla8[[#This Row],[PARTE]]=""),"VACIO","OK")</f>
        <v>OK</v>
      </c>
      <c r="U1163" s="303" t="str">
        <f>+CONCATENATE(WEEKNUM(Tabla8[[#This Row],[FECHA]]),"-",YEAR(Tabla8[[#This Row],[FECHA]]))</f>
        <v>19-2026</v>
      </c>
    </row>
    <row r="1164" spans="1:21" ht="15" customHeight="1">
      <c r="A1164" s="22">
        <v>46147</v>
      </c>
      <c r="B1164" s="16" t="s">
        <v>88</v>
      </c>
      <c r="C1164" s="10" t="s">
        <v>36</v>
      </c>
      <c r="D1164" s="381" t="s">
        <v>430</v>
      </c>
      <c r="E1164" s="381" t="s">
        <v>461</v>
      </c>
      <c r="F1164" s="380">
        <f>+MOD(Tabla8[[#This Row],[HR. FIN]]-Tabla8[[#This Row],[HR. INICIO]],1)</f>
        <v>6.944444444444442E-2</v>
      </c>
      <c r="G1164" s="16" t="s">
        <v>182</v>
      </c>
      <c r="H1164" s="343" t="str">
        <f>IFERROR(VLOOKUP(G1164,DATOS!$M$2:$N$219,2,FALSE),"")</f>
        <v>Maquinaria</v>
      </c>
      <c r="I1164" s="115" t="s">
        <v>32</v>
      </c>
      <c r="J1164" s="115" t="str">
        <f>+VLOOKUP($I1164,Tabla7[#All],2,FALSE)</f>
        <v>PROGRAMADA</v>
      </c>
      <c r="K1164" s="114" t="str">
        <f>IF(VLOOKUP(I1164,Tabla7[#All],3,FALSE)=0,"",VLOOKUP(I1164,Tabla7[#All],3,FALSE))</f>
        <v/>
      </c>
      <c r="L1164" s="35" t="s">
        <v>2208</v>
      </c>
      <c r="M1164" s="35" t="s">
        <v>2209</v>
      </c>
      <c r="N1164" s="35" t="str" cm="1">
        <f t="array" ref="N1164">IFERROR(IF(Tabla8[[#This Row],[P/NP]]="NO PROGRAMADA","",_xlfn.TEXTJOIN(", ",TRUE,_xlfn._xlws.FILTER(Tabla4[[#All],[PIEZA]],ISNUMBER(SEARCH(Tabla4[[#All],[PCLAVE]],Tabla8[[#This Row],[DESCRIPCION DE TRABAJO]])),""))),"")</f>
        <v>Pasta</v>
      </c>
      <c r="O1164" s="35" t="str" cm="1">
        <f t="array" ref="O1164">_xlfn.TEXTJOIN(", ",TRUE,_xlfn._xlws.FILTER(Tabla28[[#All],[PARTE]],ISNUMBER(SEARCH(Tabla28[[#All],[PCLAVE2]],Tabla8[[#This Row],[DESCRIPCION DE TRABAJO]])),""))</f>
        <v/>
      </c>
      <c r="P1164" s="303" t="str">
        <f>IFERROR(LEFT(O1164, FIND(",", O1164)-1), O1164)</f>
        <v/>
      </c>
      <c r="Q1164" s="303" t="str">
        <f>IFERROR(IF(ISERROR(FIND(",", O1164, FIND(",", O1164)+1)), RIGHT(O1164, LEN(O1164)-FIND(",", O1164)-1), MID(O1164, FIND(",", O1164)+2, FIND(",", O1164, FIND(",", O1164)+1)-FIND(",", O1164)-2)), "")</f>
        <v/>
      </c>
      <c r="R1164" s="303" t="str">
        <f>IFERROR(RIGHT(O1164, LEN(O1164)-FIND(",", O1164, FIND(",", O1164)+1)-1), "")</f>
        <v/>
      </c>
      <c r="S1164" s="35" t="str" cm="1">
        <f t="array" ref="S1164">_xlfn.TEXTJOIN(", ",TRUE,_xlfn._xlws.FILTER(Tabla29[[#All],[PARTE]],ISNUMBER(SEARCH(Tabla29[[#All],[PCLAVE3]],Tabla8[[#This Row],[DESCRIPCION DE TRABAJO]])),""))</f>
        <v>Cambio De Formato</v>
      </c>
      <c r="T1164" s="34" t="str">
        <f>IF(AND(Tabla8[[#This Row],[PIEZA]]="",Tabla8[[#This Row],[PARTE]]=""),"VACIO","OK")</f>
        <v>OK</v>
      </c>
      <c r="U1164" s="303" t="str">
        <f>+CONCATENATE(WEEKNUM(Tabla8[[#This Row],[FECHA]]),"-",YEAR(Tabla8[[#This Row],[FECHA]]))</f>
        <v>19-2026</v>
      </c>
    </row>
    <row r="1165" spans="1:21" ht="15" customHeight="1">
      <c r="A1165" s="22">
        <v>46147</v>
      </c>
      <c r="B1165" s="16" t="s">
        <v>179</v>
      </c>
      <c r="C1165" s="10" t="s">
        <v>23</v>
      </c>
      <c r="D1165" s="381">
        <v>0.67708333333333337</v>
      </c>
      <c r="E1165" s="381">
        <v>0.73888888888888893</v>
      </c>
      <c r="F1165" s="380">
        <f>+MOD(Tabla8[[#This Row],[HR. FIN]]-Tabla8[[#This Row],[HR. INICIO]],1)</f>
        <v>6.1805555555555558E-2</v>
      </c>
      <c r="G1165" s="16" t="s">
        <v>965</v>
      </c>
      <c r="H1165" s="343" t="str">
        <f>IFERROR(VLOOKUP(G1165,DATOS!$M$2:$N$219,2,FALSE),"")</f>
        <v>Maquinaria</v>
      </c>
      <c r="I1165" s="115" t="s">
        <v>186</v>
      </c>
      <c r="J1165" s="115" t="s">
        <v>92</v>
      </c>
      <c r="K1165" s="114" t="s">
        <v>93</v>
      </c>
      <c r="L1165" s="35" t="s">
        <v>2210</v>
      </c>
      <c r="M1165" s="35" t="s">
        <v>2211</v>
      </c>
      <c r="N1165" s="35" t="str" cm="1">
        <f t="array" ref="N1165">IFERROR(IF(Tabla8[[#This Row],[P/NP]]="NO PROGRAMADA","",_xlfn.TEXTJOIN(", ",TRUE,_xlfn._xlws.FILTER(Tabla4[[#All],[PIEZA]],ISNUMBER(SEARCH(Tabla4[[#All],[PCLAVE]],Tabla8[[#This Row],[DESCRIPCION DE TRABAJO]])),""))),"")</f>
        <v/>
      </c>
      <c r="O1165" s="35" t="str" cm="1">
        <f t="array" ref="O1165">_xlfn.TEXTJOIN(", ",TRUE,_xlfn._xlws.FILTER(Tabla28[[#All],[PARTE]],ISNUMBER(SEARCH(Tabla28[[#All],[PCLAVE2]],Tabla8[[#This Row],[DESCRIPCION DE TRABAJO]])),""))</f>
        <v/>
      </c>
      <c r="P1165" s="303" t="str">
        <f>IFERROR(LEFT(O1165, FIND(",", O1165)-1), O1165)</f>
        <v/>
      </c>
      <c r="Q1165" s="303" t="str">
        <f>IFERROR(IF(ISERROR(FIND(",", O1165, FIND(",", O1165)+1)), RIGHT(O1165, LEN(O1165)-FIND(",", O1165)-1), MID(O1165, FIND(",", O1165)+2, FIND(",", O1165, FIND(",", O1165)+1)-FIND(",", O1165)-2)), "")</f>
        <v/>
      </c>
      <c r="R1165" s="303" t="str">
        <f>IFERROR(RIGHT(O1165, LEN(O1165)-FIND(",", O1165, FIND(",", O1165)+1)-1), "")</f>
        <v/>
      </c>
      <c r="S1165" s="35" t="str" cm="1">
        <f t="array" ref="S1165">_xlfn.TEXTJOIN(", ",TRUE,_xlfn._xlws.FILTER(Tabla29[[#All],[PARTE]],ISNUMBER(SEARCH(Tabla29[[#All],[PCLAVE3]],Tabla8[[#This Row],[DESCRIPCION DE TRABAJO]])),""))</f>
        <v>Sellado</v>
      </c>
      <c r="T1165" s="34" t="str">
        <f>IF(AND(Tabla8[[#This Row],[PIEZA]]="",Tabla8[[#This Row],[PARTE]]=""),"VACIO","OK")</f>
        <v>VACIO</v>
      </c>
      <c r="U1165" s="303" t="str">
        <f>+CONCATENATE(WEEKNUM(Tabla8[[#This Row],[FECHA]]),"-",YEAR(Tabla8[[#This Row],[FECHA]]))</f>
        <v>19-2026</v>
      </c>
    </row>
    <row r="1166" spans="1:21" ht="15" customHeight="1">
      <c r="A1166" s="22">
        <v>46147</v>
      </c>
      <c r="B1166" s="16" t="s">
        <v>131</v>
      </c>
      <c r="C1166" s="10" t="s">
        <v>23</v>
      </c>
      <c r="D1166" s="381" t="s">
        <v>464</v>
      </c>
      <c r="E1166" s="381" t="s">
        <v>579</v>
      </c>
      <c r="F1166" s="380">
        <f>+MOD(Tabla8[[#This Row],[HR. FIN]]-Tabla8[[#This Row],[HR. INICIO]],1)</f>
        <v>4.1666666666666741E-2</v>
      </c>
      <c r="G1166" s="16" t="s">
        <v>256</v>
      </c>
      <c r="H1166" s="343" t="str">
        <f>IFERROR(VLOOKUP(G1166,DATOS!$M$2:$N$219,2,FALSE),"")</f>
        <v>Maquinaria</v>
      </c>
      <c r="I1166" s="115" t="s">
        <v>32</v>
      </c>
      <c r="J1166" s="115" t="str">
        <f>+VLOOKUP($I1166,Tabla7[#All],2,FALSE)</f>
        <v>PROGRAMADA</v>
      </c>
      <c r="K1166" s="114" t="str">
        <f>IF(VLOOKUP(I1166,Tabla7[#All],3,FALSE)=0,"",VLOOKUP(I1166,Tabla7[#All],3,FALSE))</f>
        <v/>
      </c>
      <c r="L1166" s="35" t="s">
        <v>2212</v>
      </c>
      <c r="M1166" s="35" t="s">
        <v>2213</v>
      </c>
      <c r="N1166" s="35" t="str" cm="1">
        <f t="array" ref="N1166">IFERROR(IF(Tabla8[[#This Row],[P/NP]]="NO PROGRAMADA","",_xlfn.TEXTJOIN(", ",TRUE,_xlfn._xlws.FILTER(Tabla4[[#All],[PIEZA]],ISNUMBER(SEARCH(Tabla4[[#All],[PCLAVE]],Tabla8[[#This Row],[DESCRIPCION DE TRABAJO]])),""))),"")</f>
        <v>Producto, Sensor</v>
      </c>
      <c r="O1166" s="35" t="str" cm="1">
        <f t="array" ref="O1166">_xlfn.TEXTJOIN(", ",TRUE,_xlfn._xlws.FILTER(Tabla28[[#All],[PARTE]],ISNUMBER(SEARCH(Tabla28[[#All],[PCLAVE2]],Tabla8[[#This Row],[DESCRIPCION DE TRABAJO]])),""))</f>
        <v/>
      </c>
      <c r="P1166" s="303" t="str">
        <f>IFERROR(LEFT(O1166, FIND(",", O1166)-1), O1166)</f>
        <v/>
      </c>
      <c r="Q1166" s="303" t="str">
        <f>IFERROR(IF(ISERROR(FIND(",", O1166, FIND(",", O1166)+1)), RIGHT(O1166, LEN(O1166)-FIND(",", O1166)-1), MID(O1166, FIND(",", O1166)+2, FIND(",", O1166, FIND(",", O1166)+1)-FIND(",", O1166)-2)), "")</f>
        <v/>
      </c>
      <c r="R1166" s="303" t="str">
        <f>IFERROR(RIGHT(O1166, LEN(O1166)-FIND(",", O1166, FIND(",", O1166)+1)-1), "")</f>
        <v/>
      </c>
      <c r="S1166" s="35" t="str" cm="1">
        <f t="array" ref="S1166">_xlfn.TEXTJOIN(", ",TRUE,_xlfn._xlws.FILTER(Tabla29[[#All],[PARTE]],ISNUMBER(SEARCH(Tabla29[[#All],[PCLAVE3]],Tabla8[[#This Row],[DESCRIPCION DE TRABAJO]])),""))</f>
        <v>Nivel, Sustitucion</v>
      </c>
      <c r="T1166" s="34" t="str">
        <f>IF(AND(Tabla8[[#This Row],[PIEZA]]="",Tabla8[[#This Row],[PARTE]]=""),"VACIO","OK")</f>
        <v>OK</v>
      </c>
      <c r="U1166" s="303" t="str">
        <f>+CONCATENATE(WEEKNUM(Tabla8[[#This Row],[FECHA]]),"-",YEAR(Tabla8[[#This Row],[FECHA]]))</f>
        <v>19-2026</v>
      </c>
    </row>
    <row r="1167" spans="1:21" ht="15" customHeight="1">
      <c r="A1167" s="22">
        <v>46147</v>
      </c>
      <c r="B1167" s="16" t="s">
        <v>179</v>
      </c>
      <c r="C1167" s="10" t="s">
        <v>23</v>
      </c>
      <c r="D1167" s="381">
        <v>0.74305555555555558</v>
      </c>
      <c r="E1167" s="381">
        <v>0.78125</v>
      </c>
      <c r="F1167" s="380">
        <f>+MOD(Tabla8[[#This Row],[HR. FIN]]-Tabla8[[#This Row],[HR. INICIO]],1)</f>
        <v>3.819444444444442E-2</v>
      </c>
      <c r="G1167" s="16" t="s">
        <v>31</v>
      </c>
      <c r="H1167" s="343" t="str">
        <f>IFERROR(VLOOKUP(G1167,DATOS!$M$2:$N$219,2,FALSE),"")</f>
        <v>Maquinaria</v>
      </c>
      <c r="I1167" s="115" t="s">
        <v>32</v>
      </c>
      <c r="J1167" s="115" t="s">
        <v>157</v>
      </c>
      <c r="K1167" s="114"/>
      <c r="L1167" s="35" t="s">
        <v>2214</v>
      </c>
      <c r="M1167" s="35" t="s">
        <v>121</v>
      </c>
      <c r="N1167" s="35" t="str" cm="1">
        <f t="array" ref="N1167">IFERROR(IF(Tabla8[[#This Row],[P/NP]]="NO PROGRAMADA","",_xlfn.TEXTJOIN(", ",TRUE,_xlfn._xlws.FILTER(Tabla4[[#All],[PIEZA]],ISNUMBER(SEARCH(Tabla4[[#All],[PCLAVE]],Tabla8[[#This Row],[DESCRIPCION DE TRABAJO]])),""))),"")</f>
        <v/>
      </c>
      <c r="O1167" s="35" t="str" cm="1">
        <f t="array" ref="O1167">_xlfn.TEXTJOIN(", ",TRUE,_xlfn._xlws.FILTER(Tabla28[[#All],[PARTE]],ISNUMBER(SEARCH(Tabla28[[#All],[PCLAVE2]],Tabla8[[#This Row],[DESCRIPCION DE TRABAJO]])),""))</f>
        <v/>
      </c>
      <c r="P1167" s="303" t="str">
        <f>IFERROR(LEFT(O1167, FIND(",", O1167)-1), O1167)</f>
        <v/>
      </c>
      <c r="Q1167" s="303" t="str">
        <f>IFERROR(IF(ISERROR(FIND(",", O1167, FIND(",", O1167)+1)), RIGHT(O1167, LEN(O1167)-FIND(",", O1167)-1), MID(O1167, FIND(",", O1167)+2, FIND(",", O1167, FIND(",", O1167)+1)-FIND(",", O1167)-2)), "")</f>
        <v/>
      </c>
      <c r="R1167" s="303" t="str">
        <f>IFERROR(RIGHT(O1167, LEN(O1167)-FIND(",", O1167, FIND(",", O1167)+1)-1), "")</f>
        <v/>
      </c>
      <c r="S1167" s="35" t="str" cm="1">
        <f t="array" ref="S1167">_xlfn.TEXTJOIN(", ",TRUE,_xlfn._xlws.FILTER(Tabla29[[#All],[PARTE]],ISNUMBER(SEARCH(Tabla29[[#All],[PCLAVE3]],Tabla8[[#This Row],[DESCRIPCION DE TRABAJO]])),""))</f>
        <v>Cambio De Formato</v>
      </c>
      <c r="T1167" s="34" t="str">
        <f>IF(AND(Tabla8[[#This Row],[PIEZA]]="",Tabla8[[#This Row],[PARTE]]=""),"VACIO","OK")</f>
        <v>VACIO</v>
      </c>
      <c r="U1167" s="303" t="str">
        <f>+CONCATENATE(WEEKNUM(Tabla8[[#This Row],[FECHA]]),"-",YEAR(Tabla8[[#This Row],[FECHA]]))</f>
        <v>19-2026</v>
      </c>
    </row>
    <row r="1168" spans="1:21" ht="15" customHeight="1">
      <c r="A1168" s="22">
        <v>46147</v>
      </c>
      <c r="B1168" s="16" t="s">
        <v>179</v>
      </c>
      <c r="C1168" s="10" t="s">
        <v>23</v>
      </c>
      <c r="D1168" s="381">
        <v>0.83333333333333337</v>
      </c>
      <c r="E1168" s="381">
        <v>0.86805555555555558</v>
      </c>
      <c r="F1168" s="380">
        <f>+MOD(Tabla8[[#This Row],[HR. FIN]]-Tabla8[[#This Row],[HR. INICIO]],1)</f>
        <v>3.472222222222221E-2</v>
      </c>
      <c r="G1168" s="16" t="s">
        <v>965</v>
      </c>
      <c r="H1168" s="343" t="str">
        <f>IFERROR(VLOOKUP(G1168,DATOS!$M$2:$N$219,2,FALSE),"")</f>
        <v>Maquinaria</v>
      </c>
      <c r="I1168" s="115" t="s">
        <v>390</v>
      </c>
      <c r="J1168" s="115" t="s">
        <v>157</v>
      </c>
      <c r="K1168" s="114"/>
      <c r="L1168" s="35" t="s">
        <v>2215</v>
      </c>
      <c r="M1168" s="35" t="s">
        <v>121</v>
      </c>
      <c r="N1168" s="35" t="str" cm="1">
        <f t="array" ref="N1168">IFERROR(IF(Tabla8[[#This Row],[P/NP]]="NO PROGRAMADA","",_xlfn.TEXTJOIN(", ",TRUE,_xlfn._xlws.FILTER(Tabla4[[#All],[PIEZA]],ISNUMBER(SEARCH(Tabla4[[#All],[PCLAVE]],Tabla8[[#This Row],[DESCRIPCION DE TRABAJO]])),""))),"")</f>
        <v>Laminado, Producto</v>
      </c>
      <c r="O1168" s="35" t="str" cm="1">
        <f t="array" ref="O1168">_xlfn.TEXTJOIN(", ",TRUE,_xlfn._xlws.FILTER(Tabla28[[#All],[PARTE]],ISNUMBER(SEARCH(Tabla28[[#All],[PCLAVE2]],Tabla8[[#This Row],[DESCRIPCION DE TRABAJO]])),""))</f>
        <v/>
      </c>
      <c r="P1168" s="303" t="str">
        <f>IFERROR(LEFT(O1168, FIND(",", O1168)-1), O1168)</f>
        <v/>
      </c>
      <c r="Q1168" s="303" t="str">
        <f>IFERROR(IF(ISERROR(FIND(",", O1168, FIND(",", O1168)+1)), RIGHT(O1168, LEN(O1168)-FIND(",", O1168)-1), MID(O1168, FIND(",", O1168)+2, FIND(",", O1168, FIND(",", O1168)+1)-FIND(",", O1168)-2)), "")</f>
        <v/>
      </c>
      <c r="R1168" s="303" t="str">
        <f>IFERROR(RIGHT(O1168, LEN(O1168)-FIND(",", O1168, FIND(",", O1168)+1)-1), "")</f>
        <v/>
      </c>
      <c r="S1168" s="35" t="str" cm="1">
        <f t="array" ref="S1168">_xlfn.TEXTJOIN(", ",TRUE,_xlfn._xlws.FILTER(Tabla29[[#All],[PARTE]],ISNUMBER(SEARCH(Tabla29[[#All],[PCLAVE3]],Tabla8[[#This Row],[DESCRIPCION DE TRABAJO]])),""))</f>
        <v>Laminado</v>
      </c>
      <c r="T1168" s="34" t="str">
        <f>IF(AND(Tabla8[[#This Row],[PIEZA]]="",Tabla8[[#This Row],[PARTE]]=""),"VACIO","OK")</f>
        <v>OK</v>
      </c>
      <c r="U1168" s="303" t="str">
        <f>+CONCATENATE(WEEKNUM(Tabla8[[#This Row],[FECHA]]),"-",YEAR(Tabla8[[#This Row],[FECHA]]))</f>
        <v>19-2026</v>
      </c>
    </row>
    <row r="1169" spans="1:21" ht="15" customHeight="1">
      <c r="A1169" s="22">
        <v>46147</v>
      </c>
      <c r="B1169" s="16" t="s">
        <v>111</v>
      </c>
      <c r="C1169" s="10" t="s">
        <v>36</v>
      </c>
      <c r="D1169" s="381" t="s">
        <v>176</v>
      </c>
      <c r="E1169" s="381" t="s">
        <v>89</v>
      </c>
      <c r="F1169" s="380">
        <f>+MOD(Tabla8[[#This Row],[HR. FIN]]-Tabla8[[#This Row],[HR. INICIO]],1)</f>
        <v>3.125E-2</v>
      </c>
      <c r="G1169" s="16" t="s">
        <v>31</v>
      </c>
      <c r="H1169" s="343" t="str">
        <f>IFERROR(VLOOKUP(G1169,DATOS!$M$2:$N$219,2,FALSE),"")</f>
        <v>Maquinaria</v>
      </c>
      <c r="I1169" s="115" t="s">
        <v>57</v>
      </c>
      <c r="J1169" s="115" t="str">
        <f>+VLOOKUP($I1169,Tabla7[#All],2,FALSE)</f>
        <v>NO PROGRAMADA</v>
      </c>
      <c r="K1169" s="114" t="str">
        <f>IF(VLOOKUP(I1169,Tabla7[#All],3,FALSE)=0,"",VLOOKUP(I1169,Tabla7[#All],3,FALSE))</f>
        <v>MECÁNICA</v>
      </c>
      <c r="L1169" s="35" t="s">
        <v>2216</v>
      </c>
      <c r="M1169" s="35" t="s">
        <v>2217</v>
      </c>
      <c r="N1169" s="35" t="str" cm="1">
        <f t="array" ref="N1169">IFERROR(IF(Tabla8[[#This Row],[P/NP]]="NO PROGRAMADA","",_xlfn.TEXTJOIN(", ",TRUE,_xlfn._xlws.FILTER(Tabla4[[#All],[PIEZA]],ISNUMBER(SEARCH(Tabla4[[#All],[PCLAVE]],Tabla8[[#This Row],[DESCRIPCION DE TRABAJO]])),""))),"")</f>
        <v/>
      </c>
      <c r="O1169" s="35" t="str" cm="1">
        <f t="array" ref="O1169">_xlfn.TEXTJOIN(", ",TRUE,_xlfn._xlws.FILTER(Tabla28[[#All],[PARTE]],ISNUMBER(SEARCH(Tabla28[[#All],[PCLAVE2]],Tabla8[[#This Row],[DESCRIPCION DE TRABAJO]])),""))</f>
        <v/>
      </c>
      <c r="P1169" s="303" t="str">
        <f>IFERROR(LEFT(O1169, FIND(",", O1169)-1), O1169)</f>
        <v/>
      </c>
      <c r="Q1169" s="303" t="str">
        <f>IFERROR(IF(ISERROR(FIND(",", O1169, FIND(",", O1169)+1)), RIGHT(O1169, LEN(O1169)-FIND(",", O1169)-1), MID(O1169, FIND(",", O1169)+2, FIND(",", O1169, FIND(",", O1169)+1)-FIND(",", O1169)-2)), "")</f>
        <v/>
      </c>
      <c r="R1169" s="303" t="str">
        <f>IFERROR(RIGHT(O1169, LEN(O1169)-FIND(",", O1169, FIND(",", O1169)+1)-1), "")</f>
        <v/>
      </c>
      <c r="S1169" s="35" t="str" cm="1">
        <f t="array" ref="S1169">_xlfn.TEXTJOIN(", ",TRUE,_xlfn._xlws.FILTER(Tabla29[[#All],[PARTE]],ISNUMBER(SEARCH(Tabla29[[#All],[PCLAVE3]],Tabla8[[#This Row],[DESCRIPCION DE TRABAJO]])),""))</f>
        <v/>
      </c>
      <c r="T1169" s="34" t="str">
        <f>IF(AND(Tabla8[[#This Row],[PIEZA]]="",Tabla8[[#This Row],[PARTE]]=""),"VACIO","OK")</f>
        <v>VACIO</v>
      </c>
      <c r="U1169" s="303" t="str">
        <f>+CONCATENATE(WEEKNUM(Tabla8[[#This Row],[FECHA]]),"-",YEAR(Tabla8[[#This Row],[FECHA]]))</f>
        <v>19-2026</v>
      </c>
    </row>
    <row r="1170" spans="1:21" ht="15" customHeight="1">
      <c r="A1170" s="22">
        <v>46147</v>
      </c>
      <c r="B1170" s="16" t="s">
        <v>111</v>
      </c>
      <c r="C1170" s="10" t="s">
        <v>36</v>
      </c>
      <c r="D1170" s="381" t="s">
        <v>608</v>
      </c>
      <c r="E1170" s="381" t="s">
        <v>281</v>
      </c>
      <c r="F1170" s="380">
        <f>+MOD(Tabla8[[#This Row],[HR. FIN]]-Tabla8[[#This Row],[HR. INICIO]],1)</f>
        <v>3.125E-2</v>
      </c>
      <c r="G1170" s="16" t="s">
        <v>182</v>
      </c>
      <c r="H1170" s="343" t="str">
        <f>IFERROR(VLOOKUP(G1170,DATOS!$M$2:$N$219,2,FALSE),"")</f>
        <v>Maquinaria</v>
      </c>
      <c r="I1170" s="115" t="s">
        <v>32</v>
      </c>
      <c r="J1170" s="115" t="str">
        <f>+VLOOKUP($I1170,Tabla7[#All],2,FALSE)</f>
        <v>PROGRAMADA</v>
      </c>
      <c r="K1170" s="114" t="str">
        <f>IF(VLOOKUP(I1170,Tabla7[#All],3,FALSE)=0,"",VLOOKUP(I1170,Tabla7[#All],3,FALSE))</f>
        <v/>
      </c>
      <c r="L1170" s="35" t="s">
        <v>2218</v>
      </c>
      <c r="M1170" s="35" t="s">
        <v>121</v>
      </c>
      <c r="N1170" s="35" t="str" cm="1">
        <f t="array" ref="N1170">IFERROR(IF(Tabla8[[#This Row],[P/NP]]="NO PROGRAMADA","",_xlfn.TEXTJOIN(", ",TRUE,_xlfn._xlws.FILTER(Tabla4[[#All],[PIEZA]],ISNUMBER(SEARCH(Tabla4[[#All],[PCLAVE]],Tabla8[[#This Row],[DESCRIPCION DE TRABAJO]])),""))),"")</f>
        <v>Pasta</v>
      </c>
      <c r="O1170" s="35" t="str" cm="1">
        <f t="array" ref="O1170">_xlfn.TEXTJOIN(", ",TRUE,_xlfn._xlws.FILTER(Tabla28[[#All],[PARTE]],ISNUMBER(SEARCH(Tabla28[[#All],[PCLAVE2]],Tabla8[[#This Row],[DESCRIPCION DE TRABAJO]])),""))</f>
        <v/>
      </c>
      <c r="P1170" s="303" t="str">
        <f>IFERROR(LEFT(O1170, FIND(",", O1170)-1), O1170)</f>
        <v/>
      </c>
      <c r="Q1170" s="303" t="str">
        <f>IFERROR(IF(ISERROR(FIND(",", O1170, FIND(",", O1170)+1)), RIGHT(O1170, LEN(O1170)-FIND(",", O1170)-1), MID(O1170, FIND(",", O1170)+2, FIND(",", O1170, FIND(",", O1170)+1)-FIND(",", O1170)-2)), "")</f>
        <v/>
      </c>
      <c r="R1170" s="303" t="str">
        <f>IFERROR(RIGHT(O1170, LEN(O1170)-FIND(",", O1170, FIND(",", O1170)+1)-1), "")</f>
        <v/>
      </c>
      <c r="S1170" s="35" t="str" cm="1">
        <f t="array" ref="S1170">_xlfn.TEXTJOIN(", ",TRUE,_xlfn._xlws.FILTER(Tabla29[[#All],[PARTE]],ISNUMBER(SEARCH(Tabla29[[#All],[PCLAVE3]],Tabla8[[#This Row],[DESCRIPCION DE TRABAJO]])),""))</f>
        <v>Cambio De Formato</v>
      </c>
      <c r="T1170" s="34" t="str">
        <f>IF(AND(Tabla8[[#This Row],[PIEZA]]="",Tabla8[[#This Row],[PARTE]]=""),"VACIO","OK")</f>
        <v>OK</v>
      </c>
      <c r="U1170" s="303" t="str">
        <f>+CONCATENATE(WEEKNUM(Tabla8[[#This Row],[FECHA]]),"-",YEAR(Tabla8[[#This Row],[FECHA]]))</f>
        <v>19-2026</v>
      </c>
    </row>
    <row r="1171" spans="1:21" ht="15" customHeight="1">
      <c r="A1171" s="22">
        <v>46147</v>
      </c>
      <c r="B1171" s="16" t="s">
        <v>179</v>
      </c>
      <c r="C1171" s="10" t="s">
        <v>23</v>
      </c>
      <c r="D1171" s="381">
        <v>0.63541666666666663</v>
      </c>
      <c r="E1171" s="381">
        <v>0.66666666666666663</v>
      </c>
      <c r="F1171" s="380">
        <f>+MOD(Tabla8[[#This Row],[HR. FIN]]-Tabla8[[#This Row],[HR. INICIO]],1)</f>
        <v>3.125E-2</v>
      </c>
      <c r="G1171" s="16" t="s">
        <v>103</v>
      </c>
      <c r="H1171" s="343" t="str">
        <f>IFERROR(VLOOKUP(G1171,DATOS!$M$2:$N$219,2,FALSE),"")</f>
        <v>Area</v>
      </c>
      <c r="I1171" s="115" t="s">
        <v>1426</v>
      </c>
      <c r="J1171" s="115" t="s">
        <v>157</v>
      </c>
      <c r="K1171" s="114"/>
      <c r="L1171" s="35" t="s">
        <v>2219</v>
      </c>
      <c r="M1171" s="35" t="s">
        <v>121</v>
      </c>
      <c r="N1171" s="35" t="str" cm="1">
        <f t="array" ref="N1171">IFERROR(IF(Tabla8[[#This Row],[P/NP]]="NO PROGRAMADA","",_xlfn.TEXTJOIN(", ",TRUE,_xlfn._xlws.FILTER(Tabla4[[#All],[PIEZA]],ISNUMBER(SEARCH(Tabla4[[#All],[PCLAVE]],Tabla8[[#This Row],[DESCRIPCION DE TRABAJO]])),""))),"")</f>
        <v/>
      </c>
      <c r="O1171" s="35" t="str" cm="1">
        <f t="array" ref="O1171">_xlfn.TEXTJOIN(", ",TRUE,_xlfn._xlws.FILTER(Tabla28[[#All],[PARTE]],ISNUMBER(SEARCH(Tabla28[[#All],[PCLAVE2]],Tabla8[[#This Row],[DESCRIPCION DE TRABAJO]])),""))</f>
        <v/>
      </c>
      <c r="P1171" s="303" t="str">
        <f>IFERROR(LEFT(O1171, FIND(",", O1171)-1), O1171)</f>
        <v/>
      </c>
      <c r="Q1171" s="303" t="str">
        <f>IFERROR(IF(ISERROR(FIND(",", O1171, FIND(",", O1171)+1)), RIGHT(O1171, LEN(O1171)-FIND(",", O1171)-1), MID(O1171, FIND(",", O1171)+2, FIND(",", O1171, FIND(",", O1171)+1)-FIND(",", O1171)-2)), "")</f>
        <v/>
      </c>
      <c r="R1171" s="303" t="str">
        <f>IFERROR(RIGHT(O1171, LEN(O1171)-FIND(",", O1171, FIND(",", O1171)+1)-1), "")</f>
        <v/>
      </c>
      <c r="S1171" s="35" t="str" cm="1">
        <f t="array" ref="S1171">_xlfn.TEXTJOIN(", ",TRUE,_xlfn._xlws.FILTER(Tabla29[[#All],[PARTE]],ISNUMBER(SEARCH(Tabla29[[#All],[PCLAVE3]],Tabla8[[#This Row],[DESCRIPCION DE TRABAJO]])),""))</f>
        <v/>
      </c>
      <c r="T1171" s="34" t="str">
        <f>IF(AND(Tabla8[[#This Row],[PIEZA]]="",Tabla8[[#This Row],[PARTE]]=""),"VACIO","OK")</f>
        <v>VACIO</v>
      </c>
      <c r="U1171" s="303" t="str">
        <f>+CONCATENATE(WEEKNUM(Tabla8[[#This Row],[FECHA]]),"-",YEAR(Tabla8[[#This Row],[FECHA]]))</f>
        <v>19-2026</v>
      </c>
    </row>
    <row r="1172" spans="1:21" ht="15" customHeight="1">
      <c r="A1172" s="22">
        <v>46147</v>
      </c>
      <c r="B1172" s="16" t="s">
        <v>131</v>
      </c>
      <c r="C1172" s="10" t="s">
        <v>23</v>
      </c>
      <c r="D1172" s="381" t="s">
        <v>2220</v>
      </c>
      <c r="E1172" s="381" t="s">
        <v>543</v>
      </c>
      <c r="F1172" s="380">
        <f>+MOD(Tabla8[[#This Row],[HR. FIN]]-Tabla8[[#This Row],[HR. INICIO]],1)</f>
        <v>2.9861111111111116E-2</v>
      </c>
      <c r="G1172" s="16" t="s">
        <v>140</v>
      </c>
      <c r="H1172" s="343" t="str">
        <f>IFERROR(VLOOKUP(G1172,DATOS!$M$2:$N$219,2,FALSE),"")</f>
        <v>Maquinaria</v>
      </c>
      <c r="I1172" s="115" t="s">
        <v>57</v>
      </c>
      <c r="J1172" s="115" t="str">
        <f>+VLOOKUP($I1172,Tabla7[#All],2,FALSE)</f>
        <v>NO PROGRAMADA</v>
      </c>
      <c r="K1172" s="114" t="str">
        <f>IF(VLOOKUP(I1172,Tabla7[#All],3,FALSE)=0,"",VLOOKUP(I1172,Tabla7[#All],3,FALSE))</f>
        <v>MECÁNICA</v>
      </c>
      <c r="L1172" s="35" t="s">
        <v>2221</v>
      </c>
      <c r="M1172" s="35" t="s">
        <v>2222</v>
      </c>
      <c r="N1172" s="35" t="str" cm="1">
        <f t="array" ref="N1172">IFERROR(IF(Tabla8[[#This Row],[P/NP]]="NO PROGRAMADA","",_xlfn.TEXTJOIN(", ",TRUE,_xlfn._xlws.FILTER(Tabla4[[#All],[PIEZA]],ISNUMBER(SEARCH(Tabla4[[#All],[PCLAVE]],Tabla8[[#This Row],[DESCRIPCION DE TRABAJO]])),""))),"")</f>
        <v/>
      </c>
      <c r="O1172" s="35" t="str" cm="1">
        <f t="array" ref="O1172">_xlfn.TEXTJOIN(", ",TRUE,_xlfn._xlws.FILTER(Tabla28[[#All],[PARTE]],ISNUMBER(SEARCH(Tabla28[[#All],[PCLAVE2]],Tabla8[[#This Row],[DESCRIPCION DE TRABAJO]])),""))</f>
        <v/>
      </c>
      <c r="P1172" s="303" t="str">
        <f>IFERROR(LEFT(O1172, FIND(",", O1172)-1), O1172)</f>
        <v/>
      </c>
      <c r="Q1172" s="303" t="str">
        <f>IFERROR(IF(ISERROR(FIND(",", O1172, FIND(",", O1172)+1)), RIGHT(O1172, LEN(O1172)-FIND(",", O1172)-1), MID(O1172, FIND(",", O1172)+2, FIND(",", O1172, FIND(",", O1172)+1)-FIND(",", O1172)-2)), "")</f>
        <v/>
      </c>
      <c r="R1172" s="303" t="str">
        <f>IFERROR(RIGHT(O1172, LEN(O1172)-FIND(",", O1172, FIND(",", O1172)+1)-1), "")</f>
        <v/>
      </c>
      <c r="S1172" s="35" t="str" cm="1">
        <f t="array" ref="S1172">_xlfn.TEXTJOIN(", ",TRUE,_xlfn._xlws.FILTER(Tabla29[[#All],[PARTE]],ISNUMBER(SEARCH(Tabla29[[#All],[PCLAVE3]],Tabla8[[#This Row],[DESCRIPCION DE TRABAJO]])),""))</f>
        <v>Rotura, Se cae</v>
      </c>
      <c r="T1172" s="34" t="str">
        <f>IF(AND(Tabla8[[#This Row],[PIEZA]]="",Tabla8[[#This Row],[PARTE]]=""),"VACIO","OK")</f>
        <v>VACIO</v>
      </c>
      <c r="U1172" s="303" t="str">
        <f>+CONCATENATE(WEEKNUM(Tabla8[[#This Row],[FECHA]]),"-",YEAR(Tabla8[[#This Row],[FECHA]]))</f>
        <v>19-2026</v>
      </c>
    </row>
    <row r="1173" spans="1:21" ht="15" customHeight="1">
      <c r="A1173" s="22">
        <v>46147</v>
      </c>
      <c r="B1173" s="16" t="s">
        <v>179</v>
      </c>
      <c r="C1173" s="10" t="s">
        <v>23</v>
      </c>
      <c r="D1173" s="381">
        <v>0.57638888888888884</v>
      </c>
      <c r="E1173" s="381">
        <v>0.60416666666666663</v>
      </c>
      <c r="F1173" s="380">
        <f>+MOD(Tabla8[[#This Row],[HR. FIN]]-Tabla8[[#This Row],[HR. INICIO]],1)</f>
        <v>2.777777777777779E-2</v>
      </c>
      <c r="G1173" s="16" t="s">
        <v>690</v>
      </c>
      <c r="H1173" s="343" t="str">
        <f>IFERROR(VLOOKUP(G1173,DATOS!$M$2:$N$219,2,FALSE),"")</f>
        <v>Equipos auxiliares</v>
      </c>
      <c r="I1173" s="115" t="s">
        <v>186</v>
      </c>
      <c r="J1173" s="115" t="s">
        <v>92</v>
      </c>
      <c r="K1173" s="114" t="s">
        <v>93</v>
      </c>
      <c r="L1173" s="35" t="s">
        <v>2223</v>
      </c>
      <c r="M1173" s="35" t="s">
        <v>2224</v>
      </c>
      <c r="N1173" s="35" t="str" cm="1">
        <f t="array" ref="N1173">IFERROR(IF(Tabla8[[#This Row],[P/NP]]="NO PROGRAMADA","",_xlfn.TEXTJOIN(", ",TRUE,_xlfn._xlws.FILTER(Tabla4[[#All],[PIEZA]],ISNUMBER(SEARCH(Tabla4[[#All],[PCLAVE]],Tabla8[[#This Row],[DESCRIPCION DE TRABAJO]])),""))),"")</f>
        <v/>
      </c>
      <c r="O1173" s="35" t="str" cm="1">
        <f t="array" ref="O1173">_xlfn.TEXTJOIN(", ",TRUE,_xlfn._xlws.FILTER(Tabla28[[#All],[PARTE]],ISNUMBER(SEARCH(Tabla28[[#All],[PCLAVE2]],Tabla8[[#This Row],[DESCRIPCION DE TRABAJO]])),""))</f>
        <v/>
      </c>
      <c r="P1173" s="303" t="str">
        <f>IFERROR(LEFT(O1173, FIND(",", O1173)-1), O1173)</f>
        <v/>
      </c>
      <c r="Q1173" s="303" t="str">
        <f>IFERROR(IF(ISERROR(FIND(",", O1173, FIND(",", O1173)+1)), RIGHT(O1173, LEN(O1173)-FIND(",", O1173)-1), MID(O1173, FIND(",", O1173)+2, FIND(",", O1173, FIND(",", O1173)+1)-FIND(",", O1173)-2)), "")</f>
        <v/>
      </c>
      <c r="R1173" s="303" t="str">
        <f>IFERROR(RIGHT(O1173, LEN(O1173)-FIND(",", O1173, FIND(",", O1173)+1)-1), "")</f>
        <v/>
      </c>
      <c r="S1173" s="35" t="str" cm="1">
        <f t="array" ref="S1173">_xlfn.TEXTJOIN(", ",TRUE,_xlfn._xlws.FILTER(Tabla29[[#All],[PARTE]],ISNUMBER(SEARCH(Tabla29[[#All],[PCLAVE3]],Tabla8[[#This Row],[DESCRIPCION DE TRABAJO]])),""))</f>
        <v>Temperatura</v>
      </c>
      <c r="T1173" s="34" t="str">
        <f>IF(AND(Tabla8[[#This Row],[PIEZA]]="",Tabla8[[#This Row],[PARTE]]=""),"VACIO","OK")</f>
        <v>VACIO</v>
      </c>
      <c r="U1173" s="303" t="str">
        <f>+CONCATENATE(WEEKNUM(Tabla8[[#This Row],[FECHA]]),"-",YEAR(Tabla8[[#This Row],[FECHA]]))</f>
        <v>19-2026</v>
      </c>
    </row>
    <row r="1174" spans="1:21" ht="15" customHeight="1">
      <c r="A1174" s="22">
        <v>46147</v>
      </c>
      <c r="B1174" s="16" t="s">
        <v>111</v>
      </c>
      <c r="C1174" s="10" t="s">
        <v>36</v>
      </c>
      <c r="D1174" s="381" t="s">
        <v>551</v>
      </c>
      <c r="E1174" s="381" t="s">
        <v>491</v>
      </c>
      <c r="F1174" s="380">
        <f>+MOD(Tabla8[[#This Row],[HR. FIN]]-Tabla8[[#This Row],[HR. INICIO]],1)</f>
        <v>2.7777777777777735E-2</v>
      </c>
      <c r="G1174" s="16" t="s">
        <v>182</v>
      </c>
      <c r="H1174" s="343" t="str">
        <f>IFERROR(VLOOKUP(G1174,DATOS!$M$2:$N$219,2,FALSE),"")</f>
        <v>Maquinaria</v>
      </c>
      <c r="I1174" s="115" t="s">
        <v>32</v>
      </c>
      <c r="J1174" s="115" t="str">
        <f>+VLOOKUP($I1174,Tabla7[#All],2,FALSE)</f>
        <v>PROGRAMADA</v>
      </c>
      <c r="K1174" s="114" t="str">
        <f>IF(VLOOKUP(I1174,Tabla7[#All],3,FALSE)=0,"",VLOOKUP(I1174,Tabla7[#All],3,FALSE))</f>
        <v/>
      </c>
      <c r="L1174" s="35" t="s">
        <v>2218</v>
      </c>
      <c r="M1174" s="35" t="s">
        <v>121</v>
      </c>
      <c r="N1174" s="35" t="str" cm="1">
        <f t="array" ref="N1174">IFERROR(IF(Tabla8[[#This Row],[P/NP]]="NO PROGRAMADA","",_xlfn.TEXTJOIN(", ",TRUE,_xlfn._xlws.FILTER(Tabla4[[#All],[PIEZA]],ISNUMBER(SEARCH(Tabla4[[#All],[PCLAVE]],Tabla8[[#This Row],[DESCRIPCION DE TRABAJO]])),""))),"")</f>
        <v>Pasta</v>
      </c>
      <c r="O1174" s="35" t="str" cm="1">
        <f t="array" ref="O1174">_xlfn.TEXTJOIN(", ",TRUE,_xlfn._xlws.FILTER(Tabla28[[#All],[PARTE]],ISNUMBER(SEARCH(Tabla28[[#All],[PCLAVE2]],Tabla8[[#This Row],[DESCRIPCION DE TRABAJO]])),""))</f>
        <v/>
      </c>
      <c r="P1174" s="303" t="str">
        <f>IFERROR(LEFT(O1174, FIND(",", O1174)-1), O1174)</f>
        <v/>
      </c>
      <c r="Q1174" s="303" t="str">
        <f>IFERROR(IF(ISERROR(FIND(",", O1174, FIND(",", O1174)+1)), RIGHT(O1174, LEN(O1174)-FIND(",", O1174)-1), MID(O1174, FIND(",", O1174)+2, FIND(",", O1174, FIND(",", O1174)+1)-FIND(",", O1174)-2)), "")</f>
        <v/>
      </c>
      <c r="R1174" s="303" t="str">
        <f>IFERROR(RIGHT(O1174, LEN(O1174)-FIND(",", O1174, FIND(",", O1174)+1)-1), "")</f>
        <v/>
      </c>
      <c r="S1174" s="35" t="str" cm="1">
        <f t="array" ref="S1174">_xlfn.TEXTJOIN(", ",TRUE,_xlfn._xlws.FILTER(Tabla29[[#All],[PARTE]],ISNUMBER(SEARCH(Tabla29[[#All],[PCLAVE3]],Tabla8[[#This Row],[DESCRIPCION DE TRABAJO]])),""))</f>
        <v>Cambio De Formato</v>
      </c>
      <c r="T1174" s="34" t="str">
        <f>IF(AND(Tabla8[[#This Row],[PIEZA]]="",Tabla8[[#This Row],[PARTE]]=""),"VACIO","OK")</f>
        <v>OK</v>
      </c>
      <c r="U1174" s="303" t="str">
        <f>+CONCATENATE(WEEKNUM(Tabla8[[#This Row],[FECHA]]),"-",YEAR(Tabla8[[#This Row],[FECHA]]))</f>
        <v>19-2026</v>
      </c>
    </row>
    <row r="1175" spans="1:21" ht="15" customHeight="1">
      <c r="A1175" s="22">
        <v>46147</v>
      </c>
      <c r="B1175" s="16" t="s">
        <v>191</v>
      </c>
      <c r="C1175" s="10" t="s">
        <v>39</v>
      </c>
      <c r="D1175" s="381" t="s">
        <v>1657</v>
      </c>
      <c r="E1175" s="381" t="s">
        <v>2225</v>
      </c>
      <c r="F1175" s="380">
        <f>+MOD(Tabla8[[#This Row],[HR. FIN]]-Tabla8[[#This Row],[HR. INICIO]],1)</f>
        <v>2.430555555555558E-2</v>
      </c>
      <c r="G1175" s="16" t="s">
        <v>1575</v>
      </c>
      <c r="H1175" s="343" t="str">
        <f>IFERROR(VLOOKUP(G1175,DATOS!$M$2:$N$219,2,FALSE),"")</f>
        <v>Sistema</v>
      </c>
      <c r="I1175" s="115" t="s">
        <v>186</v>
      </c>
      <c r="J1175" s="115" t="str">
        <f>+VLOOKUP($I1175,Tabla7[#All],2,FALSE)</f>
        <v>NO PROGRAMADA</v>
      </c>
      <c r="K1175" s="114" t="s">
        <v>93</v>
      </c>
      <c r="L1175" s="35" t="s">
        <v>2226</v>
      </c>
      <c r="M1175" s="35" t="s">
        <v>2227</v>
      </c>
      <c r="N1175" s="35" t="str" cm="1">
        <f t="array" ref="N1175">IFERROR(IF(Tabla8[[#This Row],[P/NP]]="NO PROGRAMADA","",_xlfn.TEXTJOIN(", ",TRUE,_xlfn._xlws.FILTER(Tabla4[[#All],[PIEZA]],ISNUMBER(SEARCH(Tabla4[[#All],[PCLAVE]],Tabla8[[#This Row],[DESCRIPCION DE TRABAJO]])),""))),"")</f>
        <v/>
      </c>
      <c r="O1175" s="35" t="str" cm="1">
        <f t="array" ref="O1175">_xlfn.TEXTJOIN(", ",TRUE,_xlfn._xlws.FILTER(Tabla28[[#All],[PARTE]],ISNUMBER(SEARCH(Tabla28[[#All],[PCLAVE2]],Tabla8[[#This Row],[DESCRIPCION DE TRABAJO]])),""))</f>
        <v/>
      </c>
      <c r="P1175" s="303" t="str">
        <f>IFERROR(LEFT(O1175, FIND(",", O1175)-1), O1175)</f>
        <v/>
      </c>
      <c r="Q1175" s="303" t="str">
        <f>IFERROR(IF(ISERROR(FIND(",", O1175, FIND(",", O1175)+1)), RIGHT(O1175, LEN(O1175)-FIND(",", O1175)-1), MID(O1175, FIND(",", O1175)+2, FIND(",", O1175, FIND(",", O1175)+1)-FIND(",", O1175)-2)), "")</f>
        <v/>
      </c>
      <c r="R1175" s="303" t="str">
        <f>IFERROR(RIGHT(O1175, LEN(O1175)-FIND(",", O1175, FIND(",", O1175)+1)-1), "")</f>
        <v/>
      </c>
      <c r="S1175" s="35" t="str" cm="1">
        <f t="array" ref="S1175">_xlfn.TEXTJOIN(", ",TRUE,_xlfn._xlws.FILTER(Tabla29[[#All],[PARTE]],ISNUMBER(SEARCH(Tabla29[[#All],[PCLAVE3]],Tabla8[[#This Row],[DESCRIPCION DE TRABAJO]])),""))</f>
        <v>Falla De Presion</v>
      </c>
      <c r="T1175" s="34" t="str">
        <f>IF(AND(Tabla8[[#This Row],[PIEZA]]="",Tabla8[[#This Row],[PARTE]]=""),"VACIO","OK")</f>
        <v>VACIO</v>
      </c>
      <c r="U1175" s="303" t="str">
        <f>+CONCATENATE(WEEKNUM(Tabla8[[#This Row],[FECHA]]),"-",YEAR(Tabla8[[#This Row],[FECHA]]))</f>
        <v>19-2026</v>
      </c>
    </row>
    <row r="1176" spans="1:21" ht="15" customHeight="1">
      <c r="A1176" s="22">
        <v>46147</v>
      </c>
      <c r="B1176" s="16" t="s">
        <v>131</v>
      </c>
      <c r="C1176" s="10" t="s">
        <v>23</v>
      </c>
      <c r="D1176" s="381" t="s">
        <v>2228</v>
      </c>
      <c r="E1176" s="381" t="s">
        <v>264</v>
      </c>
      <c r="F1176" s="380">
        <f>+MOD(Tabla8[[#This Row],[HR. FIN]]-Tabla8[[#This Row],[HR. INICIO]],1)</f>
        <v>2.4305555555555469E-2</v>
      </c>
      <c r="G1176" s="16" t="s">
        <v>238</v>
      </c>
      <c r="H1176" s="343" t="str">
        <f>IFERROR(VLOOKUP(G1176,DATOS!$M$2:$N$219,2,FALSE),"")</f>
        <v>Maquinaria</v>
      </c>
      <c r="I1176" s="115" t="s">
        <v>57</v>
      </c>
      <c r="J1176" s="115" t="str">
        <f>+VLOOKUP($I1176,Tabla7[#All],2,FALSE)</f>
        <v>NO PROGRAMADA</v>
      </c>
      <c r="K1176" s="114" t="str">
        <f>IF(VLOOKUP(I1176,Tabla7[#All],3,FALSE)=0,"",VLOOKUP(I1176,Tabla7[#All],3,FALSE))</f>
        <v>MECÁNICA</v>
      </c>
      <c r="L1176" s="35" t="s">
        <v>2229</v>
      </c>
      <c r="M1176" s="35" t="s">
        <v>2230</v>
      </c>
      <c r="N1176" s="35" t="str" cm="1">
        <f t="array" ref="N1176">IFERROR(IF(Tabla8[[#This Row],[P/NP]]="NO PROGRAMADA","",_xlfn.TEXTJOIN(", ",TRUE,_xlfn._xlws.FILTER(Tabla4[[#All],[PIEZA]],ISNUMBER(SEARCH(Tabla4[[#All],[PCLAVE]],Tabla8[[#This Row],[DESCRIPCION DE TRABAJO]])),""))),"")</f>
        <v/>
      </c>
      <c r="O1176" s="35" t="str" cm="1">
        <f t="array" ref="O1176">_xlfn.TEXTJOIN(", ",TRUE,_xlfn._xlws.FILTER(Tabla28[[#All],[PARTE]],ISNUMBER(SEARCH(Tabla28[[#All],[PCLAVE2]],Tabla8[[#This Row],[DESCRIPCION DE TRABAJO]])),""))</f>
        <v>Columna</v>
      </c>
      <c r="P1176" s="303" t="str">
        <f>IFERROR(LEFT(O1176, FIND(",", O1176)-1), O1176)</f>
        <v>Columna</v>
      </c>
      <c r="Q1176" s="303" t="str">
        <f>IFERROR(IF(ISERROR(FIND(",", O1176, FIND(",", O1176)+1)), RIGHT(O1176, LEN(O1176)-FIND(",", O1176)-1), MID(O1176, FIND(",", O1176)+2, FIND(",", O1176, FIND(",", O1176)+1)-FIND(",", O1176)-2)), "")</f>
        <v/>
      </c>
      <c r="R1176" s="303" t="str">
        <f>IFERROR(RIGHT(O1176, LEN(O1176)-FIND(",", O1176, FIND(",", O1176)+1)-1), "")</f>
        <v/>
      </c>
      <c r="S1176" s="35" t="str" cm="1">
        <f t="array" ref="S1176">_xlfn.TEXTJOIN(", ",TRUE,_xlfn._xlws.FILTER(Tabla29[[#All],[PARTE]],ISNUMBER(SEARCH(Tabla29[[#All],[PCLAVE3]],Tabla8[[#This Row],[DESCRIPCION DE TRABAJO]])),""))</f>
        <v>No Cae Producto</v>
      </c>
      <c r="T1176" s="34" t="str">
        <f>IF(AND(Tabla8[[#This Row],[PIEZA]]="",Tabla8[[#This Row],[PARTE]]=""),"VACIO","OK")</f>
        <v>OK</v>
      </c>
      <c r="U1176" s="303" t="str">
        <f>+CONCATENATE(WEEKNUM(Tabla8[[#This Row],[FECHA]]),"-",YEAR(Tabla8[[#This Row],[FECHA]]))</f>
        <v>19-2026</v>
      </c>
    </row>
    <row r="1177" spans="1:21" ht="15" customHeight="1">
      <c r="A1177" s="22">
        <v>46147</v>
      </c>
      <c r="B1177" s="16" t="s">
        <v>191</v>
      </c>
      <c r="C1177" s="10" t="s">
        <v>39</v>
      </c>
      <c r="D1177" s="381" t="s">
        <v>625</v>
      </c>
      <c r="E1177" s="381" t="s">
        <v>118</v>
      </c>
      <c r="F1177" s="380">
        <f>+MOD(Tabla8[[#This Row],[HR. FIN]]-Tabla8[[#This Row],[HR. INICIO]],1)</f>
        <v>2.2222222222222254E-2</v>
      </c>
      <c r="G1177" s="16" t="s">
        <v>256</v>
      </c>
      <c r="H1177" s="343" t="str">
        <f>IFERROR(VLOOKUP(G1177,DATOS!$M$2:$N$219,2,FALSE),"")</f>
        <v>Maquinaria</v>
      </c>
      <c r="I1177" s="115" t="s">
        <v>54</v>
      </c>
      <c r="J1177" s="115" t="str">
        <f>+VLOOKUP($I1177,Tabla7[#All],2,FALSE)</f>
        <v>PROGRAMADA</v>
      </c>
      <c r="K1177" s="114" t="str">
        <f>IF(VLOOKUP(I1177,Tabla7[#All],3,FALSE)=0,"",VLOOKUP(I1177,Tabla7[#All],3,FALSE))</f>
        <v/>
      </c>
      <c r="L1177" s="35" t="s">
        <v>2231</v>
      </c>
      <c r="M1177" s="35" t="s">
        <v>121</v>
      </c>
      <c r="N1177" s="35" t="str" cm="1">
        <f t="array" ref="N1177">IFERROR(IF(Tabla8[[#This Row],[P/NP]]="NO PROGRAMADA","",_xlfn.TEXTJOIN(", ",TRUE,_xlfn._xlws.FILTER(Tabla4[[#All],[PIEZA]],ISNUMBER(SEARCH(Tabla4[[#All],[PCLAVE]],Tabla8[[#This Row],[DESCRIPCION DE TRABAJO]])),""))),"")</f>
        <v>Sensor</v>
      </c>
      <c r="O1177" s="35" t="str" cm="1">
        <f t="array" ref="O1177">_xlfn.TEXTJOIN(", ",TRUE,_xlfn._xlws.FILTER(Tabla28[[#All],[PARTE]],ISNUMBER(SEARCH(Tabla28[[#All],[PCLAVE2]],Tabla8[[#This Row],[DESCRIPCION DE TRABAJO]])),""))</f>
        <v/>
      </c>
      <c r="P1177" s="303" t="str">
        <f>IFERROR(LEFT(O1177, FIND(",", O1177)-1), O1177)</f>
        <v/>
      </c>
      <c r="Q1177" s="303" t="str">
        <f>IFERROR(IF(ISERROR(FIND(",", O1177, FIND(",", O1177)+1)), RIGHT(O1177, LEN(O1177)-FIND(",", O1177)-1), MID(O1177, FIND(",", O1177)+2, FIND(",", O1177, FIND(",", O1177)+1)-FIND(",", O1177)-2)), "")</f>
        <v/>
      </c>
      <c r="R1177" s="303" t="str">
        <f>IFERROR(RIGHT(O1177, LEN(O1177)-FIND(",", O1177, FIND(",", O1177)+1)-1), "")</f>
        <v/>
      </c>
      <c r="S1177" s="35" t="str" cm="1">
        <f t="array" ref="S1177">_xlfn.TEXTJOIN(", ",TRUE,_xlfn._xlws.FILTER(Tabla29[[#All],[PARTE]],ISNUMBER(SEARCH(Tabla29[[#All],[PCLAVE3]],Tabla8[[#This Row],[DESCRIPCION DE TRABAJO]])),""))</f>
        <v/>
      </c>
      <c r="T1177" s="34" t="str">
        <f>IF(AND(Tabla8[[#This Row],[PIEZA]]="",Tabla8[[#This Row],[PARTE]]=""),"VACIO","OK")</f>
        <v>OK</v>
      </c>
      <c r="U1177" s="303" t="str">
        <f>+CONCATENATE(WEEKNUM(Tabla8[[#This Row],[FECHA]]),"-",YEAR(Tabla8[[#This Row],[FECHA]]))</f>
        <v>19-2026</v>
      </c>
    </row>
    <row r="1178" spans="1:21" ht="15" customHeight="1">
      <c r="A1178" s="22">
        <v>46147</v>
      </c>
      <c r="B1178" s="16" t="s">
        <v>111</v>
      </c>
      <c r="C1178" s="10" t="s">
        <v>36</v>
      </c>
      <c r="D1178" s="381" t="s">
        <v>90</v>
      </c>
      <c r="E1178" s="381" t="s">
        <v>1167</v>
      </c>
      <c r="F1178" s="380">
        <f>+MOD(Tabla8[[#This Row],[HR. FIN]]-Tabla8[[#This Row],[HR. INICIO]],1)</f>
        <v>2.083333333333337E-2</v>
      </c>
      <c r="G1178" s="16" t="s">
        <v>942</v>
      </c>
      <c r="H1178" s="343" t="str">
        <f>IFERROR(VLOOKUP(G1178,DATOS!$M$2:$N$219,2,FALSE),"")</f>
        <v>Maquinaria</v>
      </c>
      <c r="I1178" s="115" t="s">
        <v>1426</v>
      </c>
      <c r="J1178" s="115" t="str">
        <f>+VLOOKUP($I1178,Tabla7[#All],2,FALSE)</f>
        <v>PROGRAMADA</v>
      </c>
      <c r="K1178" s="114" t="str">
        <f>IF(VLOOKUP(I1178,Tabla7[#All],3,FALSE)=0,"",VLOOKUP(I1178,Tabla7[#All],3,FALSE))</f>
        <v/>
      </c>
      <c r="L1178" s="35" t="s">
        <v>2232</v>
      </c>
      <c r="M1178" s="35" t="s">
        <v>121</v>
      </c>
      <c r="N1178" s="35" t="str" cm="1">
        <f t="array" ref="N1178">IFERROR(IF(Tabla8[[#This Row],[P/NP]]="NO PROGRAMADA","",_xlfn.TEXTJOIN(", ",TRUE,_xlfn._xlws.FILTER(Tabla4[[#All],[PIEZA]],ISNUMBER(SEARCH(Tabla4[[#All],[PCLAVE]],Tabla8[[#This Row],[DESCRIPCION DE TRABAJO]])),""))),"")</f>
        <v/>
      </c>
      <c r="O1178" s="35" t="str" cm="1">
        <f t="array" ref="O1178">_xlfn.TEXTJOIN(", ",TRUE,_xlfn._xlws.FILTER(Tabla28[[#All],[PARTE]],ISNUMBER(SEARCH(Tabla28[[#All],[PCLAVE2]],Tabla8[[#This Row],[DESCRIPCION DE TRABAJO]])),""))</f>
        <v/>
      </c>
      <c r="P1178" s="303" t="str">
        <f>IFERROR(LEFT(O1178, FIND(",", O1178)-1), O1178)</f>
        <v/>
      </c>
      <c r="Q1178" s="303" t="str">
        <f>IFERROR(IF(ISERROR(FIND(",", O1178, FIND(",", O1178)+1)), RIGHT(O1178, LEN(O1178)-FIND(",", O1178)-1), MID(O1178, FIND(",", O1178)+2, FIND(",", O1178, FIND(",", O1178)+1)-FIND(",", O1178)-2)), "")</f>
        <v/>
      </c>
      <c r="R1178" s="303" t="str">
        <f>IFERROR(RIGHT(O1178, LEN(O1178)-FIND(",", O1178, FIND(",", O1178)+1)-1), "")</f>
        <v/>
      </c>
      <c r="S1178" s="35" t="str" cm="1">
        <f t="array" ref="S1178">_xlfn.TEXTJOIN(", ",TRUE,_xlfn._xlws.FILTER(Tabla29[[#All],[PARTE]],ISNUMBER(SEARCH(Tabla29[[#All],[PCLAVE3]],Tabla8[[#This Row],[DESCRIPCION DE TRABAJO]])),""))</f>
        <v/>
      </c>
      <c r="T1178" s="34" t="str">
        <f>IF(AND(Tabla8[[#This Row],[PIEZA]]="",Tabla8[[#This Row],[PARTE]]=""),"VACIO","OK")</f>
        <v>VACIO</v>
      </c>
      <c r="U1178" s="303" t="str">
        <f>+CONCATENATE(WEEKNUM(Tabla8[[#This Row],[FECHA]]),"-",YEAR(Tabla8[[#This Row],[FECHA]]))</f>
        <v>19-2026</v>
      </c>
    </row>
    <row r="1179" spans="1:21" ht="15" customHeight="1">
      <c r="A1179" s="22">
        <v>46147</v>
      </c>
      <c r="B1179" s="16" t="s">
        <v>179</v>
      </c>
      <c r="C1179" s="10" t="s">
        <v>23</v>
      </c>
      <c r="D1179" s="381">
        <v>0.54166666666666663</v>
      </c>
      <c r="E1179" s="381">
        <v>0.5625</v>
      </c>
      <c r="F1179" s="380">
        <f>+MOD(Tabla8[[#This Row],[HR. FIN]]-Tabla8[[#This Row],[HR. INICIO]],1)</f>
        <v>2.083333333333337E-2</v>
      </c>
      <c r="G1179" s="16" t="s">
        <v>438</v>
      </c>
      <c r="H1179" s="343" t="str">
        <f>IFERROR(VLOOKUP(G1179,DATOS!$M$2:$N$219,2,FALSE),"")</f>
        <v>Maquinaria</v>
      </c>
      <c r="I1179" s="115" t="s">
        <v>28</v>
      </c>
      <c r="J1179" s="115" t="s">
        <v>92</v>
      </c>
      <c r="K1179" s="114" t="s">
        <v>93</v>
      </c>
      <c r="L1179" s="35" t="s">
        <v>2233</v>
      </c>
      <c r="M1179" s="35" t="s">
        <v>2234</v>
      </c>
      <c r="N1179" s="35" t="str" cm="1">
        <f t="array" ref="N1179">IFERROR(IF(Tabla8[[#This Row],[P/NP]]="NO PROGRAMADA","",_xlfn.TEXTJOIN(", ",TRUE,_xlfn._xlws.FILTER(Tabla4[[#All],[PIEZA]],ISNUMBER(SEARCH(Tabla4[[#All],[PCLAVE]],Tabla8[[#This Row],[DESCRIPCION DE TRABAJO]])),""))),"")</f>
        <v/>
      </c>
      <c r="O1179" s="35" t="str" cm="1">
        <f t="array" ref="O1179">_xlfn.TEXTJOIN(", ",TRUE,_xlfn._xlws.FILTER(Tabla28[[#All],[PARTE]],ISNUMBER(SEARCH(Tabla28[[#All],[PCLAVE2]],Tabla8[[#This Row],[DESCRIPCION DE TRABAJO]])),""))</f>
        <v/>
      </c>
      <c r="P1179" s="303" t="str">
        <f>IFERROR(LEFT(O1179, FIND(",", O1179)-1), O1179)</f>
        <v/>
      </c>
      <c r="Q1179" s="303" t="str">
        <f>IFERROR(IF(ISERROR(FIND(",", O1179, FIND(",", O1179)+1)), RIGHT(O1179, LEN(O1179)-FIND(",", O1179)-1), MID(O1179, FIND(",", O1179)+2, FIND(",", O1179, FIND(",", O1179)+1)-FIND(",", O1179)-2)), "")</f>
        <v/>
      </c>
      <c r="R1179" s="303" t="str">
        <f>IFERROR(RIGHT(O1179, LEN(O1179)-FIND(",", O1179, FIND(",", O1179)+1)-1), "")</f>
        <v/>
      </c>
      <c r="S1179" s="35" t="str" cm="1">
        <f t="array" ref="S1179">_xlfn.TEXTJOIN(", ",TRUE,_xlfn._xlws.FILTER(Tabla29[[#All],[PARTE]],ISNUMBER(SEARCH(Tabla29[[#All],[PCLAVE3]],Tabla8[[#This Row],[DESCRIPCION DE TRABAJO]])),""))</f>
        <v>Rotura</v>
      </c>
      <c r="T1179" s="34" t="str">
        <f>IF(AND(Tabla8[[#This Row],[PIEZA]]="",Tabla8[[#This Row],[PARTE]]=""),"VACIO","OK")</f>
        <v>VACIO</v>
      </c>
      <c r="U1179" s="303" t="str">
        <f>+CONCATENATE(WEEKNUM(Tabla8[[#This Row],[FECHA]]),"-",YEAR(Tabla8[[#This Row],[FECHA]]))</f>
        <v>19-2026</v>
      </c>
    </row>
    <row r="1180" spans="1:21" ht="15" customHeight="1">
      <c r="A1180" s="22">
        <v>46147</v>
      </c>
      <c r="B1180" s="16" t="s">
        <v>131</v>
      </c>
      <c r="C1180" s="10" t="s">
        <v>23</v>
      </c>
      <c r="D1180" s="381" t="s">
        <v>590</v>
      </c>
      <c r="E1180" s="381" t="s">
        <v>268</v>
      </c>
      <c r="F1180" s="380">
        <f>+MOD(Tabla8[[#This Row],[HR. FIN]]-Tabla8[[#This Row],[HR. INICIO]],1)</f>
        <v>2.0833333333333259E-2</v>
      </c>
      <c r="G1180" s="16" t="s">
        <v>140</v>
      </c>
      <c r="H1180" s="343" t="str">
        <f>IFERROR(VLOOKUP(G1180,DATOS!$M$2:$N$219,2,FALSE),"")</f>
        <v>Maquinaria</v>
      </c>
      <c r="I1180" s="115" t="s">
        <v>28</v>
      </c>
      <c r="J1180" s="115" t="str">
        <f>+VLOOKUP($I1180,Tabla7[#All],2,FALSE)</f>
        <v>NO PROGRAMADA</v>
      </c>
      <c r="K1180" s="114" t="s">
        <v>93</v>
      </c>
      <c r="L1180" s="35" t="s">
        <v>2235</v>
      </c>
      <c r="M1180" s="35" t="s">
        <v>2236</v>
      </c>
      <c r="N1180" s="35" t="str" cm="1">
        <f t="array" ref="N1180">IFERROR(IF(Tabla8[[#This Row],[P/NP]]="NO PROGRAMADA","",_xlfn.TEXTJOIN(", ",TRUE,_xlfn._xlws.FILTER(Tabla4[[#All],[PIEZA]],ISNUMBER(SEARCH(Tabla4[[#All],[PCLAVE]],Tabla8[[#This Row],[DESCRIPCION DE TRABAJO]])),""))),"")</f>
        <v/>
      </c>
      <c r="O1180" s="35" t="str" cm="1">
        <f t="array" ref="O1180">_xlfn.TEXTJOIN(", ",TRUE,_xlfn._xlws.FILTER(Tabla28[[#All],[PARTE]],ISNUMBER(SEARCH(Tabla28[[#All],[PCLAVE2]],Tabla8[[#This Row],[DESCRIPCION DE TRABAJO]])),""))</f>
        <v>Contraelevador</v>
      </c>
      <c r="P1180" s="303" t="str">
        <f>IFERROR(LEFT(O1180, FIND(",", O1180)-1), O1180)</f>
        <v>Contraelevador</v>
      </c>
      <c r="Q1180" s="303" t="str">
        <f>IFERROR(IF(ISERROR(FIND(",", O1180, FIND(",", O1180)+1)), RIGHT(O1180, LEN(O1180)-FIND(",", O1180)-1), MID(O1180, FIND(",", O1180)+2, FIND(",", O1180, FIND(",", O1180)+1)-FIND(",", O1180)-2)), "")</f>
        <v/>
      </c>
      <c r="R1180" s="303" t="str">
        <f>IFERROR(RIGHT(O1180, LEN(O1180)-FIND(",", O1180, FIND(",", O1180)+1)-1), "")</f>
        <v/>
      </c>
      <c r="S1180" s="35" t="str" cm="1">
        <f t="array" ref="S1180">_xlfn.TEXTJOIN(", ",TRUE,_xlfn._xlws.FILTER(Tabla29[[#All],[PARTE]],ISNUMBER(SEARCH(Tabla29[[#All],[PCLAVE3]],Tabla8[[#This Row],[DESCRIPCION DE TRABAJO]])),""))</f>
        <v>Dañado</v>
      </c>
      <c r="T1180" s="34" t="str">
        <f>IF(AND(Tabla8[[#This Row],[PIEZA]]="",Tabla8[[#This Row],[PARTE]]=""),"VACIO","OK")</f>
        <v>OK</v>
      </c>
      <c r="U1180" s="303" t="str">
        <f>+CONCATENATE(WEEKNUM(Tabla8[[#This Row],[FECHA]]),"-",YEAR(Tabla8[[#This Row],[FECHA]]))</f>
        <v>19-2026</v>
      </c>
    </row>
    <row r="1181" spans="1:21" ht="15" customHeight="1">
      <c r="A1181" s="22">
        <v>46147</v>
      </c>
      <c r="B1181" s="16" t="s">
        <v>131</v>
      </c>
      <c r="C1181" s="10" t="s">
        <v>23</v>
      </c>
      <c r="D1181" s="381" t="s">
        <v>2237</v>
      </c>
      <c r="E1181" s="381" t="s">
        <v>620</v>
      </c>
      <c r="F1181" s="380">
        <f>+MOD(Tabla8[[#This Row],[HR. FIN]]-Tabla8[[#This Row],[HR. INICIO]],1)</f>
        <v>1.9444444444444486E-2</v>
      </c>
      <c r="G1181" s="16" t="s">
        <v>31</v>
      </c>
      <c r="H1181" s="343" t="str">
        <f>IFERROR(VLOOKUP(G1181,DATOS!$M$2:$N$219,2,FALSE),"")</f>
        <v>Maquinaria</v>
      </c>
      <c r="I1181" s="115" t="s">
        <v>57</v>
      </c>
      <c r="J1181" s="115" t="str">
        <f>+VLOOKUP($I1181,Tabla7[#All],2,FALSE)</f>
        <v>NO PROGRAMADA</v>
      </c>
      <c r="K1181" s="114" t="str">
        <f>IF(VLOOKUP(I1181,Tabla7[#All],3,FALSE)=0,"",VLOOKUP(I1181,Tabla7[#All],3,FALSE))</f>
        <v>MECÁNICA</v>
      </c>
      <c r="L1181" s="35" t="s">
        <v>2238</v>
      </c>
      <c r="M1181" s="35" t="s">
        <v>2239</v>
      </c>
      <c r="N1181" s="35" t="str" cm="1">
        <f t="array" ref="N1181">IFERROR(IF(Tabla8[[#This Row],[P/NP]]="NO PROGRAMADA","",_xlfn.TEXTJOIN(", ",TRUE,_xlfn._xlws.FILTER(Tabla4[[#All],[PIEZA]],ISNUMBER(SEARCH(Tabla4[[#All],[PCLAVE]],Tabla8[[#This Row],[DESCRIPCION DE TRABAJO]])),""))),"")</f>
        <v/>
      </c>
      <c r="O1181" s="35" t="str" cm="1">
        <f t="array" ref="O1181">_xlfn.TEXTJOIN(", ",TRUE,_xlfn._xlws.FILTER(Tabla28[[#All],[PARTE]],ISNUMBER(SEARCH(Tabla28[[#All],[PCLAVE2]],Tabla8[[#This Row],[DESCRIPCION DE TRABAJO]])),""))</f>
        <v/>
      </c>
      <c r="P1181" s="303" t="str">
        <f>IFERROR(LEFT(O1181, FIND(",", O1181)-1), O1181)</f>
        <v/>
      </c>
      <c r="Q1181" s="303" t="str">
        <f>IFERROR(IF(ISERROR(FIND(",", O1181, FIND(",", O1181)+1)), RIGHT(O1181, LEN(O1181)-FIND(",", O1181)-1), MID(O1181, FIND(",", O1181)+2, FIND(",", O1181, FIND(",", O1181)+1)-FIND(",", O1181)-2)), "")</f>
        <v/>
      </c>
      <c r="R1181" s="303" t="str">
        <f>IFERROR(RIGHT(O1181, LEN(O1181)-FIND(",", O1181, FIND(",", O1181)+1)-1), "")</f>
        <v/>
      </c>
      <c r="S1181" s="35" t="str" cm="1">
        <f t="array" ref="S1181">_xlfn.TEXTJOIN(", ",TRUE,_xlfn._xlws.FILTER(Tabla29[[#All],[PARTE]],ISNUMBER(SEARCH(Tabla29[[#All],[PCLAVE3]],Tabla8[[#This Row],[DESCRIPCION DE TRABAJO]])),""))</f>
        <v>Alimentacion Obstruida, Ruido</v>
      </c>
      <c r="T1181" s="34" t="str">
        <f>IF(AND(Tabla8[[#This Row],[PIEZA]]="",Tabla8[[#This Row],[PARTE]]=""),"VACIO","OK")</f>
        <v>VACIO</v>
      </c>
      <c r="U1181" s="303" t="str">
        <f>+CONCATENATE(WEEKNUM(Tabla8[[#This Row],[FECHA]]),"-",YEAR(Tabla8[[#This Row],[FECHA]]))</f>
        <v>19-2026</v>
      </c>
    </row>
    <row r="1182" spans="1:21" ht="15" customHeight="1">
      <c r="A1182" s="22">
        <v>46147</v>
      </c>
      <c r="B1182" s="16" t="s">
        <v>131</v>
      </c>
      <c r="C1182" s="10" t="s">
        <v>23</v>
      </c>
      <c r="D1182" s="381" t="s">
        <v>2240</v>
      </c>
      <c r="E1182" s="381" t="s">
        <v>1841</v>
      </c>
      <c r="F1182" s="380">
        <f>+MOD(Tabla8[[#This Row],[HR. FIN]]-Tabla8[[#This Row],[HR. INICIO]],1)</f>
        <v>1.8750000000000044E-2</v>
      </c>
      <c r="G1182" s="16" t="s">
        <v>119</v>
      </c>
      <c r="H1182" s="343" t="str">
        <f>IFERROR(VLOOKUP(G1182,DATOS!$M$2:$N$219,2,FALSE),"")</f>
        <v>Maquinaria</v>
      </c>
      <c r="I1182" s="115" t="s">
        <v>32</v>
      </c>
      <c r="J1182" s="115" t="str">
        <f>+VLOOKUP($I1182,Tabla7[#All],2,FALSE)</f>
        <v>PROGRAMADA</v>
      </c>
      <c r="K1182" s="114" t="str">
        <f>IF(VLOOKUP(I1182,Tabla7[#All],3,FALSE)=0,"",VLOOKUP(I1182,Tabla7[#All],3,FALSE))</f>
        <v/>
      </c>
      <c r="L1182" s="35" t="s">
        <v>2241</v>
      </c>
      <c r="M1182" s="35" t="s">
        <v>121</v>
      </c>
      <c r="N1182" s="35" t="str" cm="1">
        <f t="array" ref="N1182">IFERROR(IF(Tabla8[[#This Row],[P/NP]]="NO PROGRAMADA","",_xlfn.TEXTJOIN(", ",TRUE,_xlfn._xlws.FILTER(Tabla4[[#All],[PIEZA]],ISNUMBER(SEARCH(Tabla4[[#All],[PCLAVE]],Tabla8[[#This Row],[DESCRIPCION DE TRABAJO]])),""))),"")</f>
        <v/>
      </c>
      <c r="O1182" s="35" t="str" cm="1">
        <f t="array" ref="O1182">_xlfn.TEXTJOIN(", ",TRUE,_xlfn._xlws.FILTER(Tabla28[[#All],[PARTE]],ISNUMBER(SEARCH(Tabla28[[#All],[PCLAVE2]],Tabla8[[#This Row],[DESCRIPCION DE TRABAJO]])),""))</f>
        <v>Mds</v>
      </c>
      <c r="P1182" s="303" t="str">
        <f>IFERROR(LEFT(O1182, FIND(",", O1182)-1), O1182)</f>
        <v>Mds</v>
      </c>
      <c r="Q1182" s="303" t="str">
        <f>IFERROR(IF(ISERROR(FIND(",", O1182, FIND(",", O1182)+1)), RIGHT(O1182, LEN(O1182)-FIND(",", O1182)-1), MID(O1182, FIND(",", O1182)+2, FIND(",", O1182, FIND(",", O1182)+1)-FIND(",", O1182)-2)), "")</f>
        <v/>
      </c>
      <c r="R1182" s="303" t="str">
        <f>IFERROR(RIGHT(O1182, LEN(O1182)-FIND(",", O1182, FIND(",", O1182)+1)-1), "")</f>
        <v/>
      </c>
      <c r="S1182" s="35" t="str" cm="1">
        <f t="array" ref="S1182">_xlfn.TEXTJOIN(", ",TRUE,_xlfn._xlws.FILTER(Tabla29[[#All],[PARTE]],ISNUMBER(SEARCH(Tabla29[[#All],[PCLAVE3]],Tabla8[[#This Row],[DESCRIPCION DE TRABAJO]])),""))</f>
        <v/>
      </c>
      <c r="T1182" s="34" t="str">
        <f>IF(AND(Tabla8[[#This Row],[PIEZA]]="",Tabla8[[#This Row],[PARTE]]=""),"VACIO","OK")</f>
        <v>OK</v>
      </c>
      <c r="U1182" s="303" t="str">
        <f>+CONCATENATE(WEEKNUM(Tabla8[[#This Row],[FECHA]]),"-",YEAR(Tabla8[[#This Row],[FECHA]]))</f>
        <v>19-2026</v>
      </c>
    </row>
    <row r="1183" spans="1:21" ht="15" customHeight="1">
      <c r="A1183" s="22">
        <v>46147</v>
      </c>
      <c r="B1183" s="16" t="s">
        <v>111</v>
      </c>
      <c r="C1183" s="10" t="s">
        <v>36</v>
      </c>
      <c r="D1183" s="381" t="s">
        <v>531</v>
      </c>
      <c r="E1183" s="381" t="s">
        <v>106</v>
      </c>
      <c r="F1183" s="380">
        <f>+MOD(Tabla8[[#This Row],[HR. FIN]]-Tabla8[[#This Row],[HR. INICIO]],1)</f>
        <v>1.736111111111116E-2</v>
      </c>
      <c r="G1183" s="16" t="s">
        <v>236</v>
      </c>
      <c r="H1183" s="343" t="str">
        <f>IFERROR(VLOOKUP(G1183,DATOS!$M$2:$N$219,2,FALSE),"")</f>
        <v>Sistema</v>
      </c>
      <c r="I1183" s="115" t="s">
        <v>186</v>
      </c>
      <c r="J1183" s="115" t="str">
        <f>+VLOOKUP($I1183,Tabla7[#All],2,FALSE)</f>
        <v>NO PROGRAMADA</v>
      </c>
      <c r="K1183" s="114" t="s">
        <v>93</v>
      </c>
      <c r="L1183" s="35" t="s">
        <v>2242</v>
      </c>
      <c r="M1183" s="35" t="s">
        <v>2243</v>
      </c>
      <c r="N1183" s="35" t="str" cm="1">
        <f t="array" ref="N1183">IFERROR(IF(Tabla8[[#This Row],[P/NP]]="NO PROGRAMADA","",_xlfn.TEXTJOIN(", ",TRUE,_xlfn._xlws.FILTER(Tabla4[[#All],[PIEZA]],ISNUMBER(SEARCH(Tabla4[[#All],[PCLAVE]],Tabla8[[#This Row],[DESCRIPCION DE TRABAJO]])),""))),"")</f>
        <v/>
      </c>
      <c r="O1183" s="35" t="str" cm="1">
        <f t="array" ref="O1183">_xlfn.TEXTJOIN(", ",TRUE,_xlfn._xlws.FILTER(Tabla28[[#All],[PARTE]],ISNUMBER(SEARCH(Tabla28[[#All],[PCLAVE2]],Tabla8[[#This Row],[DESCRIPCION DE TRABAJO]])),""))</f>
        <v/>
      </c>
      <c r="P1183" s="303" t="str">
        <f>IFERROR(LEFT(O1183, FIND(",", O1183)-1), O1183)</f>
        <v/>
      </c>
      <c r="Q1183" s="303" t="str">
        <f>IFERROR(IF(ISERROR(FIND(",", O1183, FIND(",", O1183)+1)), RIGHT(O1183, LEN(O1183)-FIND(",", O1183)-1), MID(O1183, FIND(",", O1183)+2, FIND(",", O1183, FIND(",", O1183)+1)-FIND(",", O1183)-2)), "")</f>
        <v/>
      </c>
      <c r="R1183" s="303" t="str">
        <f>IFERROR(RIGHT(O1183, LEN(O1183)-FIND(",", O1183, FIND(",", O1183)+1)-1), "")</f>
        <v/>
      </c>
      <c r="S1183" s="35" t="str" cm="1">
        <f t="array" ref="S1183">_xlfn.TEXTJOIN(", ",TRUE,_xlfn._xlws.FILTER(Tabla29[[#All],[PARTE]],ISNUMBER(SEARCH(Tabla29[[#All],[PCLAVE3]],Tabla8[[#This Row],[DESCRIPCION DE TRABAJO]])),""))</f>
        <v/>
      </c>
      <c r="T1183" s="34" t="str">
        <f>IF(AND(Tabla8[[#This Row],[PIEZA]]="",Tabla8[[#This Row],[PARTE]]=""),"VACIO","OK")</f>
        <v>VACIO</v>
      </c>
      <c r="U1183" s="303" t="str">
        <f>+CONCATENATE(WEEKNUM(Tabla8[[#This Row],[FECHA]]),"-",YEAR(Tabla8[[#This Row],[FECHA]]))</f>
        <v>19-2026</v>
      </c>
    </row>
    <row r="1184" spans="1:21" ht="15" customHeight="1">
      <c r="A1184" s="22">
        <v>46147</v>
      </c>
      <c r="B1184" s="16" t="s">
        <v>111</v>
      </c>
      <c r="C1184" s="10" t="s">
        <v>36</v>
      </c>
      <c r="D1184" s="381" t="s">
        <v>159</v>
      </c>
      <c r="E1184" s="381" t="s">
        <v>556</v>
      </c>
      <c r="F1184" s="380">
        <f>+MOD(Tabla8[[#This Row],[HR. FIN]]-Tabla8[[#This Row],[HR. INICIO]],1)</f>
        <v>1.7361111111111105E-2</v>
      </c>
      <c r="G1184" s="16" t="s">
        <v>942</v>
      </c>
      <c r="H1184" s="343" t="str">
        <f>IFERROR(VLOOKUP(G1184,DATOS!$M$2:$N$219,2,FALSE),"")</f>
        <v>Maquinaria</v>
      </c>
      <c r="I1184" s="115" t="s">
        <v>390</v>
      </c>
      <c r="J1184" s="115" t="s">
        <v>92</v>
      </c>
      <c r="K1184" s="114" t="s">
        <v>93</v>
      </c>
      <c r="L1184" s="35" t="s">
        <v>2244</v>
      </c>
      <c r="M1184" s="35" t="s">
        <v>2245</v>
      </c>
      <c r="N1184" s="35" t="str" cm="1">
        <f t="array" ref="N1184">IFERROR(IF(Tabla8[[#This Row],[P/NP]]="NO PROGRAMADA","",_xlfn.TEXTJOIN(", ",TRUE,_xlfn._xlws.FILTER(Tabla4[[#All],[PIEZA]],ISNUMBER(SEARCH(Tabla4[[#All],[PCLAVE]],Tabla8[[#This Row],[DESCRIPCION DE TRABAJO]])),""))),"")</f>
        <v/>
      </c>
      <c r="O1184" s="35" t="str" cm="1">
        <f t="array" ref="O1184">_xlfn.TEXTJOIN(", ",TRUE,_xlfn._xlws.FILTER(Tabla28[[#All],[PARTE]],ISNUMBER(SEARCH(Tabla28[[#All],[PCLAVE2]],Tabla8[[#This Row],[DESCRIPCION DE TRABAJO]])),""))</f>
        <v/>
      </c>
      <c r="P1184" s="303" t="str">
        <f>IFERROR(LEFT(O1184, FIND(",", O1184)-1), O1184)</f>
        <v/>
      </c>
      <c r="Q1184" s="303" t="str">
        <f>IFERROR(IF(ISERROR(FIND(",", O1184, FIND(",", O1184)+1)), RIGHT(O1184, LEN(O1184)-FIND(",", O1184)-1), MID(O1184, FIND(",", O1184)+2, FIND(",", O1184, FIND(",", O1184)+1)-FIND(",", O1184)-2)), "")</f>
        <v/>
      </c>
      <c r="R1184" s="303" t="str">
        <f>IFERROR(RIGHT(O1184, LEN(O1184)-FIND(",", O1184, FIND(",", O1184)+1)-1), "")</f>
        <v/>
      </c>
      <c r="S1184" s="35" t="str" cm="1">
        <f t="array" ref="S1184">_xlfn.TEXTJOIN(", ",TRUE,_xlfn._xlws.FILTER(Tabla29[[#All],[PARTE]],ISNUMBER(SEARCH(Tabla29[[#All],[PCLAVE3]],Tabla8[[#This Row],[DESCRIPCION DE TRABAJO]])),""))</f>
        <v/>
      </c>
      <c r="T1184" s="34" t="str">
        <f>IF(AND(Tabla8[[#This Row],[PIEZA]]="",Tabla8[[#This Row],[PARTE]]=""),"VACIO","OK")</f>
        <v>VACIO</v>
      </c>
      <c r="U1184" s="303" t="str">
        <f>+CONCATENATE(WEEKNUM(Tabla8[[#This Row],[FECHA]]),"-",YEAR(Tabla8[[#This Row],[FECHA]]))</f>
        <v>19-2026</v>
      </c>
    </row>
    <row r="1185" spans="1:21" ht="15" customHeight="1">
      <c r="A1185" s="22">
        <v>46147</v>
      </c>
      <c r="B1185" s="16" t="s">
        <v>131</v>
      </c>
      <c r="C1185" s="10" t="s">
        <v>23</v>
      </c>
      <c r="D1185" s="381" t="s">
        <v>949</v>
      </c>
      <c r="E1185" s="381" t="s">
        <v>656</v>
      </c>
      <c r="F1185" s="380">
        <f>+MOD(Tabla8[[#This Row],[HR. FIN]]-Tabla8[[#This Row],[HR. INICIO]],1)</f>
        <v>1.7361111111111049E-2</v>
      </c>
      <c r="G1185" s="16" t="s">
        <v>119</v>
      </c>
      <c r="H1185" s="343" t="str">
        <f>IFERROR(VLOOKUP(G1185,DATOS!$M$2:$N$219,2,FALSE),"")</f>
        <v>Maquinaria</v>
      </c>
      <c r="I1185" s="115" t="s">
        <v>32</v>
      </c>
      <c r="J1185" s="115" t="str">
        <f>+VLOOKUP($I1185,Tabla7[#All],2,FALSE)</f>
        <v>PROGRAMADA</v>
      </c>
      <c r="K1185" s="114" t="str">
        <f>IF(VLOOKUP(I1185,Tabla7[#All],3,FALSE)=0,"",VLOOKUP(I1185,Tabla7[#All],3,FALSE))</f>
        <v/>
      </c>
      <c r="L1185" s="35" t="s">
        <v>2246</v>
      </c>
      <c r="M1185" s="35" t="s">
        <v>121</v>
      </c>
      <c r="N1185" s="35" t="str" cm="1">
        <f t="array" ref="N1185">IFERROR(IF(Tabla8[[#This Row],[P/NP]]="NO PROGRAMADA","",_xlfn.TEXTJOIN(", ",TRUE,_xlfn._xlws.FILTER(Tabla4[[#All],[PIEZA]],ISNUMBER(SEARCH(Tabla4[[#All],[PCLAVE]],Tabla8[[#This Row],[DESCRIPCION DE TRABAJO]])),""))),"")</f>
        <v/>
      </c>
      <c r="O1185" s="35" t="str" cm="1">
        <f t="array" ref="O1185">_xlfn.TEXTJOIN(", ",TRUE,_xlfn._xlws.FILTER(Tabla28[[#All],[PARTE]],ISNUMBER(SEARCH(Tabla28[[#All],[PCLAVE2]],Tabla8[[#This Row],[DESCRIPCION DE TRABAJO]])),""))</f>
        <v>Mds</v>
      </c>
      <c r="P1185" s="303" t="str">
        <f>IFERROR(LEFT(O1185, FIND(",", O1185)-1), O1185)</f>
        <v>Mds</v>
      </c>
      <c r="Q1185" s="303" t="str">
        <f>IFERROR(IF(ISERROR(FIND(",", O1185, FIND(",", O1185)+1)), RIGHT(O1185, LEN(O1185)-FIND(",", O1185)-1), MID(O1185, FIND(",", O1185)+2, FIND(",", O1185, FIND(",", O1185)+1)-FIND(",", O1185)-2)), "")</f>
        <v/>
      </c>
      <c r="R1185" s="303" t="str">
        <f>IFERROR(RIGHT(O1185, LEN(O1185)-FIND(",", O1185, FIND(",", O1185)+1)-1), "")</f>
        <v/>
      </c>
      <c r="S1185" s="35" t="str" cm="1">
        <f t="array" ref="S1185">_xlfn.TEXTJOIN(", ",TRUE,_xlfn._xlws.FILTER(Tabla29[[#All],[PARTE]],ISNUMBER(SEARCH(Tabla29[[#All],[PCLAVE3]],Tabla8[[#This Row],[DESCRIPCION DE TRABAJO]])),""))</f>
        <v>Cambio De Formato</v>
      </c>
      <c r="T1185" s="34" t="str">
        <f>IF(AND(Tabla8[[#This Row],[PIEZA]]="",Tabla8[[#This Row],[PARTE]]=""),"VACIO","OK")</f>
        <v>OK</v>
      </c>
      <c r="U1185" s="303" t="str">
        <f>+CONCATENATE(WEEKNUM(Tabla8[[#This Row],[FECHA]]),"-",YEAR(Tabla8[[#This Row],[FECHA]]))</f>
        <v>19-2026</v>
      </c>
    </row>
    <row r="1186" spans="1:21" ht="15" customHeight="1">
      <c r="A1186" s="22">
        <v>46147</v>
      </c>
      <c r="B1186" s="16" t="s">
        <v>131</v>
      </c>
      <c r="C1186" s="10" t="s">
        <v>23</v>
      </c>
      <c r="D1186" s="381" t="s">
        <v>1160</v>
      </c>
      <c r="E1186" s="381" t="s">
        <v>2247</v>
      </c>
      <c r="F1186" s="380">
        <f>+MOD(Tabla8[[#This Row],[HR. FIN]]-Tabla8[[#This Row],[HR. INICIO]],1)</f>
        <v>1.6666666666666718E-2</v>
      </c>
      <c r="G1186" s="16" t="s">
        <v>119</v>
      </c>
      <c r="H1186" s="343" t="str">
        <f>IFERROR(VLOOKUP(G1186,DATOS!$M$2:$N$219,2,FALSE),"")</f>
        <v>Maquinaria</v>
      </c>
      <c r="I1186" s="115" t="s">
        <v>390</v>
      </c>
      <c r="J1186" s="115" t="s">
        <v>157</v>
      </c>
      <c r="K1186" s="114" t="str">
        <f>IF(VLOOKUP(I1186,Tabla7[#All],3,FALSE)=0,"",VLOOKUP(I1186,Tabla7[#All],3,FALSE))</f>
        <v/>
      </c>
      <c r="L1186" s="35" t="s">
        <v>2248</v>
      </c>
      <c r="M1186" s="35" t="s">
        <v>2249</v>
      </c>
      <c r="N1186" s="35" t="str" cm="1">
        <f t="array" ref="N1186">IFERROR(IF(Tabla8[[#This Row],[P/NP]]="NO PROGRAMADA","",_xlfn.TEXTJOIN(", ",TRUE,_xlfn._xlws.FILTER(Tabla4[[#All],[PIEZA]],ISNUMBER(SEARCH(Tabla4[[#All],[PCLAVE]],Tabla8[[#This Row],[DESCRIPCION DE TRABAJO]])),""))),"")</f>
        <v>Sensor</v>
      </c>
      <c r="O1186" s="35" t="str" cm="1">
        <f t="array" ref="O1186">_xlfn.TEXTJOIN(", ",TRUE,_xlfn._xlws.FILTER(Tabla28[[#All],[PARTE]],ISNUMBER(SEARCH(Tabla28[[#All],[PCLAVE2]],Tabla8[[#This Row],[DESCRIPCION DE TRABAJO]])),""))</f>
        <v/>
      </c>
      <c r="P1186" s="303" t="str">
        <f>IFERROR(LEFT(O1186, FIND(",", O1186)-1), O1186)</f>
        <v/>
      </c>
      <c r="Q1186" s="303" t="str">
        <f>IFERROR(IF(ISERROR(FIND(",", O1186, FIND(",", O1186)+1)), RIGHT(O1186, LEN(O1186)-FIND(",", O1186)-1), MID(O1186, FIND(",", O1186)+2, FIND(",", O1186, FIND(",", O1186)+1)-FIND(",", O1186)-2)), "")</f>
        <v/>
      </c>
      <c r="R1186" s="303" t="str">
        <f>IFERROR(RIGHT(O1186, LEN(O1186)-FIND(",", O1186, FIND(",", O1186)+1)-1), "")</f>
        <v/>
      </c>
      <c r="S1186" s="35" t="str" cm="1">
        <f t="array" ref="S1186">_xlfn.TEXTJOIN(", ",TRUE,_xlfn._xlws.FILTER(Tabla29[[#All],[PARTE]],ISNUMBER(SEARCH(Tabla29[[#All],[PCLAVE3]],Tabla8[[#This Row],[DESCRIPCION DE TRABAJO]])),""))</f>
        <v/>
      </c>
      <c r="T1186" s="34" t="str">
        <f>IF(AND(Tabla8[[#This Row],[PIEZA]]="",Tabla8[[#This Row],[PARTE]]=""),"VACIO","OK")</f>
        <v>OK</v>
      </c>
      <c r="U1186" s="303" t="str">
        <f>+CONCATENATE(WEEKNUM(Tabla8[[#This Row],[FECHA]]),"-",YEAR(Tabla8[[#This Row],[FECHA]]))</f>
        <v>19-2026</v>
      </c>
    </row>
    <row r="1187" spans="1:21" ht="15" customHeight="1">
      <c r="A1187" s="22">
        <v>46147</v>
      </c>
      <c r="B1187" s="16" t="s">
        <v>191</v>
      </c>
      <c r="C1187" s="10" t="s">
        <v>39</v>
      </c>
      <c r="D1187" s="381" t="s">
        <v>1481</v>
      </c>
      <c r="E1187" s="381" t="s">
        <v>592</v>
      </c>
      <c r="F1187" s="380">
        <f>+MOD(Tabla8[[#This Row],[HR. FIN]]-Tabla8[[#This Row],[HR. INICIO]],1)</f>
        <v>1.5277777777777777E-2</v>
      </c>
      <c r="G1187" s="16" t="s">
        <v>211</v>
      </c>
      <c r="H1187" s="343" t="str">
        <f>IFERROR(VLOOKUP(G1187,DATOS!$M$2:$N$219,2,FALSE),"")</f>
        <v>Maquinaria</v>
      </c>
      <c r="I1187" s="115" t="s">
        <v>57</v>
      </c>
      <c r="J1187" s="115" t="str">
        <f>+VLOOKUP($I1187,Tabla7[#All],2,FALSE)</f>
        <v>NO PROGRAMADA</v>
      </c>
      <c r="K1187" s="114" t="str">
        <f>IF(VLOOKUP(I1187,Tabla7[#All],3,FALSE)=0,"",VLOOKUP(I1187,Tabla7[#All],3,FALSE))</f>
        <v>MECÁNICA</v>
      </c>
      <c r="L1187" s="35" t="s">
        <v>2250</v>
      </c>
      <c r="M1187" s="35" t="s">
        <v>2251</v>
      </c>
      <c r="N1187" s="35" t="str" cm="1">
        <f t="array" ref="N1187">IFERROR(IF(Tabla8[[#This Row],[P/NP]]="NO PROGRAMADA","",_xlfn.TEXTJOIN(", ",TRUE,_xlfn._xlws.FILTER(Tabla4[[#All],[PIEZA]],ISNUMBER(SEARCH(Tabla4[[#All],[PCLAVE]],Tabla8[[#This Row],[DESCRIPCION DE TRABAJO]])),""))),"")</f>
        <v/>
      </c>
      <c r="O1187" s="35" t="str" cm="1">
        <f t="array" ref="O1187">_xlfn.TEXTJOIN(", ",TRUE,_xlfn._xlws.FILTER(Tabla28[[#All],[PARTE]],ISNUMBER(SEARCH(Tabla28[[#All],[PCLAVE2]],Tabla8[[#This Row],[DESCRIPCION DE TRABAJO]])),""))</f>
        <v/>
      </c>
      <c r="P1187" s="303" t="str">
        <f>IFERROR(LEFT(O1187, FIND(",", O1187)-1), O1187)</f>
        <v/>
      </c>
      <c r="Q1187" s="303" t="str">
        <f>IFERROR(IF(ISERROR(FIND(",", O1187, FIND(",", O1187)+1)), RIGHT(O1187, LEN(O1187)-FIND(",", O1187)-1), MID(O1187, FIND(",", O1187)+2, FIND(",", O1187, FIND(",", O1187)+1)-FIND(",", O1187)-2)), "")</f>
        <v/>
      </c>
      <c r="R1187" s="303" t="str">
        <f>IFERROR(RIGHT(O1187, LEN(O1187)-FIND(",", O1187, FIND(",", O1187)+1)-1), "")</f>
        <v/>
      </c>
      <c r="S1187" s="35" t="str" cm="1">
        <f t="array" ref="S1187">_xlfn.TEXTJOIN(", ",TRUE,_xlfn._xlws.FILTER(Tabla29[[#All],[PARTE]],ISNUMBER(SEARCH(Tabla29[[#All],[PCLAVE3]],Tabla8[[#This Row],[DESCRIPCION DE TRABAJO]])),""))</f>
        <v>Calibracion</v>
      </c>
      <c r="T1187" s="34" t="str">
        <f>IF(AND(Tabla8[[#This Row],[PIEZA]]="",Tabla8[[#This Row],[PARTE]]=""),"VACIO","OK")</f>
        <v>VACIO</v>
      </c>
      <c r="U1187" s="303" t="str">
        <f>+CONCATENATE(WEEKNUM(Tabla8[[#This Row],[FECHA]]),"-",YEAR(Tabla8[[#This Row],[FECHA]]))</f>
        <v>19-2026</v>
      </c>
    </row>
    <row r="1188" spans="1:21" ht="15" customHeight="1">
      <c r="A1188" s="22">
        <v>46147</v>
      </c>
      <c r="B1188" s="16" t="s">
        <v>131</v>
      </c>
      <c r="C1188" s="10" t="s">
        <v>23</v>
      </c>
      <c r="D1188" s="381" t="s">
        <v>1565</v>
      </c>
      <c r="E1188" s="381" t="s">
        <v>1812</v>
      </c>
      <c r="F1188" s="380">
        <f>+MOD(Tabla8[[#This Row],[HR. FIN]]-Tabla8[[#This Row],[HR. INICIO]],1)</f>
        <v>1.4583333333333393E-2</v>
      </c>
      <c r="G1188" s="16" t="s">
        <v>293</v>
      </c>
      <c r="H1188" s="343" t="str">
        <f>IFERROR(VLOOKUP(G1188,DATOS!$M$2:$N$219,2,FALSE),"")</f>
        <v>Equipos auxiliares</v>
      </c>
      <c r="I1188" s="115" t="s">
        <v>54</v>
      </c>
      <c r="J1188" s="115" t="str">
        <f>+VLOOKUP($I1188,Tabla7[#All],2,FALSE)</f>
        <v>PROGRAMADA</v>
      </c>
      <c r="K1188" s="114" t="str">
        <f>IF(VLOOKUP(I1188,Tabla7[#All],3,FALSE)=0,"",VLOOKUP(I1188,Tabla7[#All],3,FALSE))</f>
        <v/>
      </c>
      <c r="L1188" s="35" t="s">
        <v>225</v>
      </c>
      <c r="M1188" s="35" t="s">
        <v>121</v>
      </c>
      <c r="N1188" s="35" t="str" cm="1">
        <f t="array" ref="N1188">IFERROR(IF(Tabla8[[#This Row],[P/NP]]="NO PROGRAMADA","",_xlfn.TEXTJOIN(", ",TRUE,_xlfn._xlws.FILTER(Tabla4[[#All],[PIEZA]],ISNUMBER(SEARCH(Tabla4[[#All],[PCLAVE]],Tabla8[[#This Row],[DESCRIPCION DE TRABAJO]])),""))),"")</f>
        <v/>
      </c>
      <c r="O1188" s="35" t="str" cm="1">
        <f t="array" ref="O1188">_xlfn.TEXTJOIN(", ",TRUE,_xlfn._xlws.FILTER(Tabla28[[#All],[PARTE]],ISNUMBER(SEARCH(Tabla28[[#All],[PCLAVE2]],Tabla8[[#This Row],[DESCRIPCION DE TRABAJO]])),""))</f>
        <v/>
      </c>
      <c r="P1188" s="303" t="str">
        <f>IFERROR(LEFT(O1188, FIND(",", O1188)-1), O1188)</f>
        <v/>
      </c>
      <c r="Q1188" s="303" t="str">
        <f>IFERROR(IF(ISERROR(FIND(",", O1188, FIND(",", O1188)+1)), RIGHT(O1188, LEN(O1188)-FIND(",", O1188)-1), MID(O1188, FIND(",", O1188)+2, FIND(",", O1188, FIND(",", O1188)+1)-FIND(",", O1188)-2)), "")</f>
        <v/>
      </c>
      <c r="R1188" s="303" t="str">
        <f>IFERROR(RIGHT(O1188, LEN(O1188)-FIND(",", O1188, FIND(",", O1188)+1)-1), "")</f>
        <v/>
      </c>
      <c r="S1188" s="35" t="str" cm="1">
        <f t="array" ref="S1188">_xlfn.TEXTJOIN(", ",TRUE,_xlfn._xlws.FILTER(Tabla29[[#All],[PARTE]],ISNUMBER(SEARCH(Tabla29[[#All],[PCLAVE3]],Tabla8[[#This Row],[DESCRIPCION DE TRABAJO]])),""))</f>
        <v/>
      </c>
      <c r="T1188" s="34" t="str">
        <f>IF(AND(Tabla8[[#This Row],[PIEZA]]="",Tabla8[[#This Row],[PARTE]]=""),"VACIO","OK")</f>
        <v>VACIO</v>
      </c>
      <c r="U1188" s="303" t="str">
        <f>+CONCATENATE(WEEKNUM(Tabla8[[#This Row],[FECHA]]),"-",YEAR(Tabla8[[#This Row],[FECHA]]))</f>
        <v>19-2026</v>
      </c>
    </row>
    <row r="1189" spans="1:21" ht="15" customHeight="1">
      <c r="A1189" s="22">
        <v>46147</v>
      </c>
      <c r="B1189" s="16" t="s">
        <v>111</v>
      </c>
      <c r="C1189" s="10" t="s">
        <v>36</v>
      </c>
      <c r="D1189" s="381" t="s">
        <v>1608</v>
      </c>
      <c r="E1189" s="381" t="s">
        <v>2252</v>
      </c>
      <c r="F1189" s="380">
        <f>+MOD(Tabla8[[#This Row],[HR. FIN]]-Tabla8[[#This Row],[HR. INICIO]],1)</f>
        <v>1.3888888888888895E-2</v>
      </c>
      <c r="G1189" s="16" t="s">
        <v>31</v>
      </c>
      <c r="H1189" s="343" t="str">
        <f>IFERROR(VLOOKUP(G1189,DATOS!$M$2:$N$219,2,FALSE),"")</f>
        <v>Maquinaria</v>
      </c>
      <c r="I1189" s="115" t="s">
        <v>390</v>
      </c>
      <c r="J1189" s="115" t="str">
        <f>+VLOOKUP($I1189,Tabla7[#All],2,FALSE)</f>
        <v>PROGRAMADA</v>
      </c>
      <c r="K1189" s="114" t="str">
        <f>IF(VLOOKUP(I1189,Tabla7[#All],3,FALSE)=0,"",VLOOKUP(I1189,Tabla7[#All],3,FALSE))</f>
        <v/>
      </c>
      <c r="L1189" s="35" t="s">
        <v>2253</v>
      </c>
      <c r="M1189" s="35" t="s">
        <v>121</v>
      </c>
      <c r="N1189" s="35" t="str" cm="1">
        <f t="array" ref="N1189">IFERROR(IF(Tabla8[[#This Row],[P/NP]]="NO PROGRAMADA","",_xlfn.TEXTJOIN(", ",TRUE,_xlfn._xlws.FILTER(Tabla4[[#All],[PIEZA]],ISNUMBER(SEARCH(Tabla4[[#All],[PCLAVE]],Tabla8[[#This Row],[DESCRIPCION DE TRABAJO]])),""))),"")</f>
        <v>Empaque</v>
      </c>
      <c r="O1189" s="35" t="str" cm="1">
        <f t="array" ref="O1189">_xlfn.TEXTJOIN(", ",TRUE,_xlfn._xlws.FILTER(Tabla28[[#All],[PARTE]],ISNUMBER(SEARCH(Tabla28[[#All],[PCLAVE2]],Tabla8[[#This Row],[DESCRIPCION DE TRABAJO]])),""))</f>
        <v/>
      </c>
      <c r="P1189" s="303" t="str">
        <f>IFERROR(LEFT(O1189, FIND(",", O1189)-1), O1189)</f>
        <v/>
      </c>
      <c r="Q1189" s="303" t="str">
        <f>IFERROR(IF(ISERROR(FIND(",", O1189, FIND(",", O1189)+1)), RIGHT(O1189, LEN(O1189)-FIND(",", O1189)-1), MID(O1189, FIND(",", O1189)+2, FIND(",", O1189, FIND(",", O1189)+1)-FIND(",", O1189)-2)), "")</f>
        <v/>
      </c>
      <c r="R1189" s="303" t="str">
        <f>IFERROR(RIGHT(O1189, LEN(O1189)-FIND(",", O1189, FIND(",", O1189)+1)-1), "")</f>
        <v/>
      </c>
      <c r="S1189" s="35" t="str" cm="1">
        <f t="array" ref="S1189">_xlfn.TEXTJOIN(", ",TRUE,_xlfn._xlws.FILTER(Tabla29[[#All],[PARTE]],ISNUMBER(SEARCH(Tabla29[[#All],[PCLAVE3]],Tabla8[[#This Row],[DESCRIPCION DE TRABAJO]])),""))</f>
        <v/>
      </c>
      <c r="T1189" s="34" t="str">
        <f>IF(AND(Tabla8[[#This Row],[PIEZA]]="",Tabla8[[#This Row],[PARTE]]=""),"VACIO","OK")</f>
        <v>OK</v>
      </c>
      <c r="U1189" s="303" t="str">
        <f>+CONCATENATE(WEEKNUM(Tabla8[[#This Row],[FECHA]]),"-",YEAR(Tabla8[[#This Row],[FECHA]]))</f>
        <v>19-2026</v>
      </c>
    </row>
    <row r="1190" spans="1:21" ht="15" customHeight="1">
      <c r="A1190" s="22">
        <v>46147</v>
      </c>
      <c r="B1190" s="16" t="s">
        <v>88</v>
      </c>
      <c r="C1190" s="10" t="s">
        <v>36</v>
      </c>
      <c r="D1190" s="381" t="s">
        <v>461</v>
      </c>
      <c r="E1190" s="381" t="s">
        <v>127</v>
      </c>
      <c r="F1190" s="380">
        <f>+MOD(Tabla8[[#This Row],[HR. FIN]]-Tabla8[[#This Row],[HR. INICIO]],1)</f>
        <v>1.3888888888888895E-2</v>
      </c>
      <c r="G1190" s="16" t="s">
        <v>942</v>
      </c>
      <c r="H1190" s="343" t="str">
        <f>IFERROR(VLOOKUP(G1190,DATOS!$M$2:$N$219,2,FALSE),"")</f>
        <v>Maquinaria</v>
      </c>
      <c r="I1190" s="115" t="s">
        <v>32</v>
      </c>
      <c r="J1190" s="115" t="str">
        <f>+VLOOKUP($I1190,Tabla7[#All],2,FALSE)</f>
        <v>PROGRAMADA</v>
      </c>
      <c r="K1190" s="114" t="str">
        <f>IF(VLOOKUP(I1190,Tabla7[#All],3,FALSE)=0,"",VLOOKUP(I1190,Tabla7[#All],3,FALSE))</f>
        <v/>
      </c>
      <c r="L1190" s="35" t="s">
        <v>2254</v>
      </c>
      <c r="M1190" s="35" t="s">
        <v>2255</v>
      </c>
      <c r="N1190" s="35" t="str" cm="1">
        <f t="array" ref="N1190">IFERROR(IF(Tabla8[[#This Row],[P/NP]]="NO PROGRAMADA","",_xlfn.TEXTJOIN(", ",TRUE,_xlfn._xlws.FILTER(Tabla4[[#All],[PIEZA]],ISNUMBER(SEARCH(Tabla4[[#All],[PCLAVE]],Tabla8[[#This Row],[DESCRIPCION DE TRABAJO]])),""))),"")</f>
        <v>Elevador, Elevador</v>
      </c>
      <c r="O1190" s="35" t="str" cm="1">
        <f t="array" ref="O1190">_xlfn.TEXTJOIN(", ",TRUE,_xlfn._xlws.FILTER(Tabla28[[#All],[PARTE]],ISNUMBER(SEARCH(Tabla28[[#All],[PCLAVE2]],Tabla8[[#This Row],[DESCRIPCION DE TRABAJO]])),""))</f>
        <v/>
      </c>
      <c r="P1190" s="303" t="str">
        <f>IFERROR(LEFT(O1190, FIND(",", O1190)-1), O1190)</f>
        <v/>
      </c>
      <c r="Q1190" s="303" t="str">
        <f>IFERROR(IF(ISERROR(FIND(",", O1190, FIND(",", O1190)+1)), RIGHT(O1190, LEN(O1190)-FIND(",", O1190)-1), MID(O1190, FIND(",", O1190)+2, FIND(",", O1190, FIND(",", O1190)+1)-FIND(",", O1190)-2)), "")</f>
        <v/>
      </c>
      <c r="R1190" s="303" t="str">
        <f>IFERROR(RIGHT(O1190, LEN(O1190)-FIND(",", O1190, FIND(",", O1190)+1)-1), "")</f>
        <v/>
      </c>
      <c r="S1190" s="35" t="str" cm="1">
        <f t="array" ref="S1190">_xlfn.TEXTJOIN(", ",TRUE,_xlfn._xlws.FILTER(Tabla29[[#All],[PARTE]],ISNUMBER(SEARCH(Tabla29[[#All],[PCLAVE3]],Tabla8[[#This Row],[DESCRIPCION DE TRABAJO]])),""))</f>
        <v>Carga/descarga</v>
      </c>
      <c r="T1190" s="34" t="str">
        <f>IF(AND(Tabla8[[#This Row],[PIEZA]]="",Tabla8[[#This Row],[PARTE]]=""),"VACIO","OK")</f>
        <v>OK</v>
      </c>
      <c r="U1190" s="303" t="str">
        <f>+CONCATENATE(WEEKNUM(Tabla8[[#This Row],[FECHA]]),"-",YEAR(Tabla8[[#This Row],[FECHA]]))</f>
        <v>19-2026</v>
      </c>
    </row>
    <row r="1191" spans="1:21" ht="15" customHeight="1">
      <c r="A1191" s="22">
        <v>46147</v>
      </c>
      <c r="B1191" s="16" t="s">
        <v>131</v>
      </c>
      <c r="C1191" s="10" t="s">
        <v>23</v>
      </c>
      <c r="D1191" s="381" t="s">
        <v>1674</v>
      </c>
      <c r="E1191" s="381" t="s">
        <v>274</v>
      </c>
      <c r="F1191" s="380">
        <f>+MOD(Tabla8[[#This Row],[HR. FIN]]-Tabla8[[#This Row],[HR. INICIO]],1)</f>
        <v>1.388888888888884E-2</v>
      </c>
      <c r="G1191" s="16" t="s">
        <v>2256</v>
      </c>
      <c r="H1191" s="343" t="str">
        <f>IFERROR(VLOOKUP(G1191,DATOS!$M$2:$N$219,2,FALSE),"")</f>
        <v>Maquinaria</v>
      </c>
      <c r="I1191" s="115" t="s">
        <v>32</v>
      </c>
      <c r="J1191" s="115" t="s">
        <v>92</v>
      </c>
      <c r="K1191" s="114" t="s">
        <v>148</v>
      </c>
      <c r="L1191" s="35" t="s">
        <v>2257</v>
      </c>
      <c r="M1191" s="35" t="s">
        <v>2258</v>
      </c>
      <c r="N1191" s="35" t="str" cm="1">
        <f t="array" ref="N1191">IFERROR(IF(Tabla8[[#This Row],[P/NP]]="NO PROGRAMADA","",_xlfn.TEXTJOIN(", ",TRUE,_xlfn._xlws.FILTER(Tabla4[[#All],[PIEZA]],ISNUMBER(SEARCH(Tabla4[[#All],[PCLAVE]],Tabla8[[#This Row],[DESCRIPCION DE TRABAJO]])),""))),"")</f>
        <v/>
      </c>
      <c r="O1191" s="35" t="str" cm="1">
        <f t="array" ref="O1191">_xlfn.TEXTJOIN(", ",TRUE,_xlfn._xlws.FILTER(Tabla28[[#All],[PARTE]],ISNUMBER(SEARCH(Tabla28[[#All],[PCLAVE2]],Tabla8[[#This Row],[DESCRIPCION DE TRABAJO]])),""))</f>
        <v/>
      </c>
      <c r="P1191" s="303" t="str">
        <f>IFERROR(LEFT(O1191, FIND(",", O1191)-1), O1191)</f>
        <v/>
      </c>
      <c r="Q1191" s="303" t="str">
        <f>IFERROR(IF(ISERROR(FIND(",", O1191, FIND(",", O1191)+1)), RIGHT(O1191, LEN(O1191)-FIND(",", O1191)-1), MID(O1191, FIND(",", O1191)+2, FIND(",", O1191, FIND(",", O1191)+1)-FIND(",", O1191)-2)), "")</f>
        <v/>
      </c>
      <c r="R1191" s="303" t="str">
        <f>IFERROR(RIGHT(O1191, LEN(O1191)-FIND(",", O1191, FIND(",", O1191)+1)-1), "")</f>
        <v/>
      </c>
      <c r="S1191" s="35" t="str" cm="1">
        <f t="array" ref="S1191">_xlfn.TEXTJOIN(", ",TRUE,_xlfn._xlws.FILTER(Tabla29[[#All],[PARTE]],ISNUMBER(SEARCH(Tabla29[[#All],[PCLAVE3]],Tabla8[[#This Row],[DESCRIPCION DE TRABAJO]])),""))</f>
        <v>No Cae Producto</v>
      </c>
      <c r="T1191" s="34" t="str">
        <f>IF(AND(Tabla8[[#This Row],[PIEZA]]="",Tabla8[[#This Row],[PARTE]]=""),"VACIO","OK")</f>
        <v>VACIO</v>
      </c>
      <c r="U1191" s="303" t="str">
        <f>+CONCATENATE(WEEKNUM(Tabla8[[#This Row],[FECHA]]),"-",YEAR(Tabla8[[#This Row],[FECHA]]))</f>
        <v>19-2026</v>
      </c>
    </row>
    <row r="1192" spans="1:21" ht="15" customHeight="1">
      <c r="A1192" s="22">
        <v>46147</v>
      </c>
      <c r="B1192" s="16" t="s">
        <v>191</v>
      </c>
      <c r="C1192" s="10" t="s">
        <v>39</v>
      </c>
      <c r="D1192" s="381" t="s">
        <v>540</v>
      </c>
      <c r="E1192" s="381" t="s">
        <v>474</v>
      </c>
      <c r="F1192" s="380">
        <f>+MOD(Tabla8[[#This Row],[HR. FIN]]-Tabla8[[#This Row],[HR. INICIO]],1)</f>
        <v>1.3194444444444398E-2</v>
      </c>
      <c r="G1192" s="16" t="s">
        <v>169</v>
      </c>
      <c r="H1192" s="343" t="str">
        <f>IFERROR(VLOOKUP(G1192,DATOS!$M$2:$N$219,2,FALSE),"")</f>
        <v>Maquinaria</v>
      </c>
      <c r="I1192" s="115" t="s">
        <v>32</v>
      </c>
      <c r="J1192" s="115" t="str">
        <f>+VLOOKUP($I1192,Tabla7[#All],2,FALSE)</f>
        <v>PROGRAMADA</v>
      </c>
      <c r="K1192" s="114" t="str">
        <f>IF(VLOOKUP(I1192,Tabla7[#All],3,FALSE)=0,"",VLOOKUP(I1192,Tabla7[#All],3,FALSE))</f>
        <v/>
      </c>
      <c r="L1192" s="35" t="s">
        <v>76</v>
      </c>
      <c r="M1192" s="35" t="s">
        <v>121</v>
      </c>
      <c r="N1192" s="35" t="str" cm="1">
        <f t="array" ref="N1192">IFERROR(IF(Tabla8[[#This Row],[P/NP]]="NO PROGRAMADA","",_xlfn.TEXTJOIN(", ",TRUE,_xlfn._xlws.FILTER(Tabla4[[#All],[PIEZA]],ISNUMBER(SEARCH(Tabla4[[#All],[PCLAVE]],Tabla8[[#This Row],[DESCRIPCION DE TRABAJO]])),""))),"")</f>
        <v/>
      </c>
      <c r="O1192" s="35" t="str" cm="1">
        <f t="array" ref="O1192">_xlfn.TEXTJOIN(", ",TRUE,_xlfn._xlws.FILTER(Tabla28[[#All],[PARTE]],ISNUMBER(SEARCH(Tabla28[[#All],[PCLAVE2]],Tabla8[[#This Row],[DESCRIPCION DE TRABAJO]])),""))</f>
        <v/>
      </c>
      <c r="P1192" s="303" t="str">
        <f>IFERROR(LEFT(O1192, FIND(",", O1192)-1), O1192)</f>
        <v/>
      </c>
      <c r="Q1192" s="303" t="str">
        <f>IFERROR(IF(ISERROR(FIND(",", O1192, FIND(",", O1192)+1)), RIGHT(O1192, LEN(O1192)-FIND(",", O1192)-1), MID(O1192, FIND(",", O1192)+2, FIND(",", O1192, FIND(",", O1192)+1)-FIND(",", O1192)-2)), "")</f>
        <v/>
      </c>
      <c r="R1192" s="303" t="str">
        <f>IFERROR(RIGHT(O1192, LEN(O1192)-FIND(",", O1192, FIND(",", O1192)+1)-1), "")</f>
        <v/>
      </c>
      <c r="S1192" s="35" t="str" cm="1">
        <f t="array" ref="S1192">_xlfn.TEXTJOIN(", ",TRUE,_xlfn._xlws.FILTER(Tabla29[[#All],[PARTE]],ISNUMBER(SEARCH(Tabla29[[#All],[PCLAVE3]],Tabla8[[#This Row],[DESCRIPCION DE TRABAJO]])),""))</f>
        <v/>
      </c>
      <c r="T1192" s="34" t="str">
        <f>IF(AND(Tabla8[[#This Row],[PIEZA]]="",Tabla8[[#This Row],[PARTE]]=""),"VACIO","OK")</f>
        <v>VACIO</v>
      </c>
      <c r="U1192" s="303" t="str">
        <f>+CONCATENATE(WEEKNUM(Tabla8[[#This Row],[FECHA]]),"-",YEAR(Tabla8[[#This Row],[FECHA]]))</f>
        <v>19-2026</v>
      </c>
    </row>
    <row r="1193" spans="1:21" ht="15" customHeight="1">
      <c r="A1193" s="22">
        <v>46147</v>
      </c>
      <c r="B1193" s="16" t="s">
        <v>191</v>
      </c>
      <c r="C1193" s="10" t="s">
        <v>39</v>
      </c>
      <c r="D1193" s="381" t="s">
        <v>2259</v>
      </c>
      <c r="E1193" s="381" t="s">
        <v>2260</v>
      </c>
      <c r="F1193" s="380">
        <f>+MOD(Tabla8[[#This Row],[HR. FIN]]-Tabla8[[#This Row],[HR. INICIO]],1)</f>
        <v>1.1805555555555514E-2</v>
      </c>
      <c r="G1193" s="16" t="s">
        <v>215</v>
      </c>
      <c r="H1193" s="343" t="str">
        <f>IFERROR(VLOOKUP(G1193,DATOS!$M$2:$N$219,2,FALSE),"")</f>
        <v>Equipos auxiliares</v>
      </c>
      <c r="I1193" s="115" t="s">
        <v>54</v>
      </c>
      <c r="J1193" s="115" t="str">
        <f>+VLOOKUP($I1193,Tabla7[#All],2,FALSE)</f>
        <v>PROGRAMADA</v>
      </c>
      <c r="K1193" s="114" t="str">
        <f>IF(VLOOKUP(I1193,Tabla7[#All],3,FALSE)=0,"",VLOOKUP(I1193,Tabla7[#All],3,FALSE))</f>
        <v/>
      </c>
      <c r="L1193" s="35" t="s">
        <v>248</v>
      </c>
      <c r="M1193" s="35" t="s">
        <v>121</v>
      </c>
      <c r="N1193" s="35" t="str" cm="1">
        <f t="array" ref="N1193">IFERROR(IF(Tabla8[[#This Row],[P/NP]]="NO PROGRAMADA","",_xlfn.TEXTJOIN(", ",TRUE,_xlfn._xlws.FILTER(Tabla4[[#All],[PIEZA]],ISNUMBER(SEARCH(Tabla4[[#All],[PCLAVE]],Tabla8[[#This Row],[DESCRIPCION DE TRABAJO]])),""))),"")</f>
        <v/>
      </c>
      <c r="O1193" s="35" t="str" cm="1">
        <f t="array" ref="O1193">_xlfn.TEXTJOIN(", ",TRUE,_xlfn._xlws.FILTER(Tabla28[[#All],[PARTE]],ISNUMBER(SEARCH(Tabla28[[#All],[PCLAVE2]],Tabla8[[#This Row],[DESCRIPCION DE TRABAJO]])),""))</f>
        <v/>
      </c>
      <c r="P1193" s="303" t="str">
        <f>IFERROR(LEFT(O1193, FIND(",", O1193)-1), O1193)</f>
        <v/>
      </c>
      <c r="Q1193" s="303" t="str">
        <f>IFERROR(IF(ISERROR(FIND(",", O1193, FIND(",", O1193)+1)), RIGHT(O1193, LEN(O1193)-FIND(",", O1193)-1), MID(O1193, FIND(",", O1193)+2, FIND(",", O1193, FIND(",", O1193)+1)-FIND(",", O1193)-2)), "")</f>
        <v/>
      </c>
      <c r="R1193" s="303" t="str">
        <f>IFERROR(RIGHT(O1193, LEN(O1193)-FIND(",", O1193, FIND(",", O1193)+1)-1), "")</f>
        <v/>
      </c>
      <c r="S1193" s="35" t="str" cm="1">
        <f t="array" ref="S1193">_xlfn.TEXTJOIN(", ",TRUE,_xlfn._xlws.FILTER(Tabla29[[#All],[PARTE]],ISNUMBER(SEARCH(Tabla29[[#All],[PCLAVE3]],Tabla8[[#This Row],[DESCRIPCION DE TRABAJO]])),""))</f>
        <v/>
      </c>
      <c r="T1193" s="34" t="str">
        <f>IF(AND(Tabla8[[#This Row],[PIEZA]]="",Tabla8[[#This Row],[PARTE]]=""),"VACIO","OK")</f>
        <v>VACIO</v>
      </c>
      <c r="U1193" s="303" t="str">
        <f>+CONCATENATE(WEEKNUM(Tabla8[[#This Row],[FECHA]]),"-",YEAR(Tabla8[[#This Row],[FECHA]]))</f>
        <v>19-2026</v>
      </c>
    </row>
    <row r="1194" spans="1:21" ht="15" customHeight="1">
      <c r="A1194" s="22">
        <v>46147</v>
      </c>
      <c r="B1194" s="16" t="s">
        <v>131</v>
      </c>
      <c r="C1194" s="10" t="s">
        <v>23</v>
      </c>
      <c r="D1194" s="381" t="s">
        <v>2261</v>
      </c>
      <c r="E1194" s="381" t="s">
        <v>525</v>
      </c>
      <c r="F1194" s="380">
        <f>+MOD(Tabla8[[#This Row],[HR. FIN]]-Tabla8[[#This Row],[HR. INICIO]],1)</f>
        <v>9.7222222222222987E-3</v>
      </c>
      <c r="G1194" s="16" t="s">
        <v>31</v>
      </c>
      <c r="H1194" s="343" t="str">
        <f>IFERROR(VLOOKUP(G1194,DATOS!$M$2:$N$219,2,FALSE),"")</f>
        <v>Maquinaria</v>
      </c>
      <c r="I1194" s="115" t="s">
        <v>32</v>
      </c>
      <c r="J1194" s="115" t="str">
        <f>+VLOOKUP($I1194,Tabla7[#All],2,FALSE)</f>
        <v>PROGRAMADA</v>
      </c>
      <c r="K1194" s="114" t="str">
        <f>IF(VLOOKUP(I1194,Tabla7[#All],3,FALSE)=0,"",VLOOKUP(I1194,Tabla7[#All],3,FALSE))</f>
        <v/>
      </c>
      <c r="L1194" s="35" t="s">
        <v>2262</v>
      </c>
      <c r="M1194" s="35" t="s">
        <v>121</v>
      </c>
      <c r="N1194" s="35" t="str" cm="1">
        <f t="array" ref="N1194">IFERROR(IF(Tabla8[[#This Row],[P/NP]]="NO PROGRAMADA","",_xlfn.TEXTJOIN(", ",TRUE,_xlfn._xlws.FILTER(Tabla4[[#All],[PIEZA]],ISNUMBER(SEARCH(Tabla4[[#All],[PCLAVE]],Tabla8[[#This Row],[DESCRIPCION DE TRABAJO]])),""))),"")</f>
        <v/>
      </c>
      <c r="O1194" s="35" t="str" cm="1">
        <f t="array" ref="O1194">_xlfn.TEXTJOIN(", ",TRUE,_xlfn._xlws.FILTER(Tabla28[[#All],[PARTE]],ISNUMBER(SEARCH(Tabla28[[#All],[PCLAVE2]],Tabla8[[#This Row],[DESCRIPCION DE TRABAJO]])),""))</f>
        <v/>
      </c>
      <c r="P1194" s="303" t="str">
        <f>IFERROR(LEFT(O1194, FIND(",", O1194)-1), O1194)</f>
        <v/>
      </c>
      <c r="Q1194" s="303" t="str">
        <f>IFERROR(IF(ISERROR(FIND(",", O1194, FIND(",", O1194)+1)), RIGHT(O1194, LEN(O1194)-FIND(",", O1194)-1), MID(O1194, FIND(",", O1194)+2, FIND(",", O1194, FIND(",", O1194)+1)-FIND(",", O1194)-2)), "")</f>
        <v/>
      </c>
      <c r="R1194" s="303" t="str">
        <f>IFERROR(RIGHT(O1194, LEN(O1194)-FIND(",", O1194, FIND(",", O1194)+1)-1), "")</f>
        <v/>
      </c>
      <c r="S1194" s="35" t="str" cm="1">
        <f t="array" ref="S1194">_xlfn.TEXTJOIN(", ",TRUE,_xlfn._xlws.FILTER(Tabla29[[#All],[PARTE]],ISNUMBER(SEARCH(Tabla29[[#All],[PCLAVE3]],Tabla8[[#This Row],[DESCRIPCION DE TRABAJO]])),""))</f>
        <v/>
      </c>
      <c r="T1194" s="34" t="str">
        <f>IF(AND(Tabla8[[#This Row],[PIEZA]]="",Tabla8[[#This Row],[PARTE]]=""),"VACIO","OK")</f>
        <v>VACIO</v>
      </c>
      <c r="U1194" s="303" t="str">
        <f>+CONCATENATE(WEEKNUM(Tabla8[[#This Row],[FECHA]]),"-",YEAR(Tabla8[[#This Row],[FECHA]]))</f>
        <v>19-2026</v>
      </c>
    </row>
    <row r="1195" spans="1:21" ht="15" customHeight="1">
      <c r="A1195" s="22">
        <v>46147</v>
      </c>
      <c r="B1195" s="16" t="s">
        <v>131</v>
      </c>
      <c r="C1195" s="10" t="s">
        <v>23</v>
      </c>
      <c r="D1195" s="381" t="s">
        <v>525</v>
      </c>
      <c r="E1195" s="381" t="s">
        <v>526</v>
      </c>
      <c r="F1195" s="380">
        <f>+MOD(Tabla8[[#This Row],[HR. FIN]]-Tabla8[[#This Row],[HR. INICIO]],1)</f>
        <v>6.9444444444444198E-3</v>
      </c>
      <c r="G1195" s="16" t="s">
        <v>256</v>
      </c>
      <c r="H1195" s="343" t="str">
        <f>IFERROR(VLOOKUP(G1195,DATOS!$M$2:$N$219,2,FALSE),"")</f>
        <v>Maquinaria</v>
      </c>
      <c r="I1195" s="115" t="s">
        <v>57</v>
      </c>
      <c r="J1195" s="115" t="str">
        <f>+VLOOKUP($I1195,Tabla7[#All],2,FALSE)</f>
        <v>NO PROGRAMADA</v>
      </c>
      <c r="K1195" s="114" t="str">
        <f>IF(VLOOKUP(I1195,Tabla7[#All],3,FALSE)=0,"",VLOOKUP(I1195,Tabla7[#All],3,FALSE))</f>
        <v>MECÁNICA</v>
      </c>
      <c r="L1195" s="35" t="s">
        <v>2263</v>
      </c>
      <c r="M1195" s="35" t="s">
        <v>2264</v>
      </c>
      <c r="N1195" s="35" t="str" cm="1">
        <f t="array" ref="N1195">IFERROR(IF(Tabla8[[#This Row],[P/NP]]="NO PROGRAMADA","",_xlfn.TEXTJOIN(", ",TRUE,_xlfn._xlws.FILTER(Tabla4[[#All],[PIEZA]],ISNUMBER(SEARCH(Tabla4[[#All],[PCLAVE]],Tabla8[[#This Row],[DESCRIPCION DE TRABAJO]])),""))),"")</f>
        <v/>
      </c>
      <c r="O1195" s="35" t="str" cm="1">
        <f t="array" ref="O1195">_xlfn.TEXTJOIN(", ",TRUE,_xlfn._xlws.FILTER(Tabla28[[#All],[PARTE]],ISNUMBER(SEARCH(Tabla28[[#All],[PCLAVE2]],Tabla8[[#This Row],[DESCRIPCION DE TRABAJO]])),""))</f>
        <v/>
      </c>
      <c r="P1195" s="303" t="str">
        <f>IFERROR(LEFT(O1195, FIND(",", O1195)-1), O1195)</f>
        <v/>
      </c>
      <c r="Q1195" s="303" t="str">
        <f>IFERROR(IF(ISERROR(FIND(",", O1195, FIND(",", O1195)+1)), RIGHT(O1195, LEN(O1195)-FIND(",", O1195)-1), MID(O1195, FIND(",", O1195)+2, FIND(",", O1195, FIND(",", O1195)+1)-FIND(",", O1195)-2)), "")</f>
        <v/>
      </c>
      <c r="R1195" s="303" t="str">
        <f>IFERROR(RIGHT(O1195, LEN(O1195)-FIND(",", O1195, FIND(",", O1195)+1)-1), "")</f>
        <v/>
      </c>
      <c r="S1195" s="35" t="str" cm="1">
        <f t="array" ref="S1195">_xlfn.TEXTJOIN(", ",TRUE,_xlfn._xlws.FILTER(Tabla29[[#All],[PARTE]],ISNUMBER(SEARCH(Tabla29[[#All],[PCLAVE3]],Tabla8[[#This Row],[DESCRIPCION DE TRABAJO]])),""))</f>
        <v>Alarma, Nivel, Carga/descarga</v>
      </c>
      <c r="T1195" s="34" t="str">
        <f>IF(AND(Tabla8[[#This Row],[PIEZA]]="",Tabla8[[#This Row],[PARTE]]=""),"VACIO","OK")</f>
        <v>VACIO</v>
      </c>
      <c r="U1195" s="303" t="str">
        <f>+CONCATENATE(WEEKNUM(Tabla8[[#This Row],[FECHA]]),"-",YEAR(Tabla8[[#This Row],[FECHA]]))</f>
        <v>19-2026</v>
      </c>
    </row>
    <row r="1196" spans="1:21" ht="15" customHeight="1">
      <c r="A1196" s="22">
        <v>46148</v>
      </c>
      <c r="B1196" s="16" t="s">
        <v>88</v>
      </c>
      <c r="C1196" s="10" t="s">
        <v>36</v>
      </c>
      <c r="D1196" s="381" t="s">
        <v>551</v>
      </c>
      <c r="E1196" s="381" t="s">
        <v>107</v>
      </c>
      <c r="F1196" s="380">
        <f>+MOD(Tabla8[[#This Row],[HR. FIN]]-Tabla8[[#This Row],[HR. INICIO]],1)</f>
        <v>8.3333333333333315E-2</v>
      </c>
      <c r="G1196" s="16" t="s">
        <v>182</v>
      </c>
      <c r="H1196" s="343" t="str">
        <f>IFERROR(VLOOKUP(G1196,DATOS!$M$2:$N$219,2,FALSE),"")</f>
        <v>Maquinaria</v>
      </c>
      <c r="I1196" s="115" t="s">
        <v>390</v>
      </c>
      <c r="J1196" s="115" t="s">
        <v>157</v>
      </c>
      <c r="K1196" s="114"/>
      <c r="L1196" s="35" t="s">
        <v>2265</v>
      </c>
      <c r="M1196" s="35" t="s">
        <v>2266</v>
      </c>
      <c r="N1196" s="35" t="str" cm="1">
        <f t="array" ref="N1196">IFERROR(IF(Tabla8[[#This Row],[P/NP]]="NO PROGRAMADA","",_xlfn.TEXTJOIN(", ",TRUE,_xlfn._xlws.FILTER(Tabla4[[#All],[PIEZA]],ISNUMBER(SEARCH(Tabla4[[#All],[PCLAVE]],Tabla8[[#This Row],[DESCRIPCION DE TRABAJO]])),""))),"")</f>
        <v>Producto</v>
      </c>
      <c r="O1196" s="35" t="str" cm="1">
        <f t="array" ref="O1196">_xlfn.TEXTJOIN(", ",TRUE,_xlfn._xlws.FILTER(Tabla28[[#All],[PARTE]],ISNUMBER(SEARCH(Tabla28[[#All],[PCLAVE2]],Tabla8[[#This Row],[DESCRIPCION DE TRABAJO]])),""))</f>
        <v/>
      </c>
      <c r="P1196" s="303" t="str">
        <f>IFERROR(LEFT(O1196, FIND(",", O1196)-1), O1196)</f>
        <v/>
      </c>
      <c r="Q1196" s="303" t="str">
        <f>IFERROR(IF(ISERROR(FIND(",", O1196, FIND(",", O1196)+1)), RIGHT(O1196, LEN(O1196)-FIND(",", O1196)-1), MID(O1196, FIND(",", O1196)+2, FIND(",", O1196, FIND(",", O1196)+1)-FIND(",", O1196)-2)), "")</f>
        <v/>
      </c>
      <c r="R1196" s="303" t="str">
        <f>IFERROR(RIGHT(O1196, LEN(O1196)-FIND(",", O1196, FIND(",", O1196)+1)-1), "")</f>
        <v/>
      </c>
      <c r="S1196" s="35" t="str" cm="1">
        <f t="array" ref="S1196">_xlfn.TEXTJOIN(", ",TRUE,_xlfn._xlws.FILTER(Tabla29[[#All],[PARTE]],ISNUMBER(SEARCH(Tabla29[[#All],[PCLAVE3]],Tabla8[[#This Row],[DESCRIPCION DE TRABAJO]])),""))</f>
        <v/>
      </c>
      <c r="T1196" s="34" t="str">
        <f>IF(AND(Tabla8[[#This Row],[PIEZA]]="",Tabla8[[#This Row],[PARTE]]=""),"VACIO","OK")</f>
        <v>OK</v>
      </c>
      <c r="U1196" s="303" t="str">
        <f>+CONCATENATE(WEEKNUM(Tabla8[[#This Row],[FECHA]]),"-",YEAR(Tabla8[[#This Row],[FECHA]]))</f>
        <v>19-2026</v>
      </c>
    </row>
    <row r="1197" spans="1:21" ht="15" customHeight="1">
      <c r="A1197" s="22">
        <v>46148</v>
      </c>
      <c r="B1197" s="16" t="s">
        <v>179</v>
      </c>
      <c r="C1197" s="10" t="s">
        <v>23</v>
      </c>
      <c r="D1197" s="381">
        <v>0.54166666666666663</v>
      </c>
      <c r="E1197" s="381">
        <v>0.59027777777777779</v>
      </c>
      <c r="F1197" s="380">
        <f>+MOD(Tabla8[[#This Row],[HR. FIN]]-Tabla8[[#This Row],[HR. INICIO]],1)</f>
        <v>4.861111111111116E-2</v>
      </c>
      <c r="G1197" s="16" t="s">
        <v>182</v>
      </c>
      <c r="H1197" s="343" t="str">
        <f>IFERROR(VLOOKUP(G1197,DATOS!$M$2:$N$219,2,FALSE),"")</f>
        <v>Maquinaria</v>
      </c>
      <c r="I1197" s="115" t="s">
        <v>54</v>
      </c>
      <c r="J1197" s="115" t="s">
        <v>157</v>
      </c>
      <c r="K1197" s="114"/>
      <c r="L1197" s="35" t="s">
        <v>2267</v>
      </c>
      <c r="M1197" s="35" t="s">
        <v>121</v>
      </c>
      <c r="N1197" s="35" t="str" cm="1">
        <f t="array" ref="N1197">IFERROR(IF(Tabla8[[#This Row],[P/NP]]="NO PROGRAMADA","",_xlfn.TEXTJOIN(", ",TRUE,_xlfn._xlws.FILTER(Tabla4[[#All],[PIEZA]],ISNUMBER(SEARCH(Tabla4[[#All],[PCLAVE]],Tabla8[[#This Row],[DESCRIPCION DE TRABAJO]])),""))),"")</f>
        <v>Producto</v>
      </c>
      <c r="O1197" s="35" t="str" cm="1">
        <f t="array" ref="O1197">_xlfn.TEXTJOIN(", ",TRUE,_xlfn._xlws.FILTER(Tabla28[[#All],[PARTE]],ISNUMBER(SEARCH(Tabla28[[#All],[PCLAVE2]],Tabla8[[#This Row],[DESCRIPCION DE TRABAJO]])),""))</f>
        <v/>
      </c>
      <c r="P1197" s="303" t="str">
        <f>IFERROR(LEFT(O1197, FIND(",", O1197)-1), O1197)</f>
        <v/>
      </c>
      <c r="Q1197" s="303" t="str">
        <f>IFERROR(IF(ISERROR(FIND(",", O1197, FIND(",", O1197)+1)), RIGHT(O1197, LEN(O1197)-FIND(",", O1197)-1), MID(O1197, FIND(",", O1197)+2, FIND(",", O1197, FIND(",", O1197)+1)-FIND(",", O1197)-2)), "")</f>
        <v/>
      </c>
      <c r="R1197" s="303" t="str">
        <f>IFERROR(RIGHT(O1197, LEN(O1197)-FIND(",", O1197, FIND(",", O1197)+1)-1), "")</f>
        <v/>
      </c>
      <c r="S1197" s="35" t="str" cm="1">
        <f t="array" ref="S1197">_xlfn.TEXTJOIN(", ",TRUE,_xlfn._xlws.FILTER(Tabla29[[#All],[PARTE]],ISNUMBER(SEARCH(Tabla29[[#All],[PCLAVE3]],Tabla8[[#This Row],[DESCRIPCION DE TRABAJO]])),""))</f>
        <v/>
      </c>
      <c r="T1197" s="34" t="str">
        <f>IF(AND(Tabla8[[#This Row],[PIEZA]]="",Tabla8[[#This Row],[PARTE]]=""),"VACIO","OK")</f>
        <v>OK</v>
      </c>
      <c r="U1197" s="303" t="str">
        <f>+CONCATENATE(WEEKNUM(Tabla8[[#This Row],[FECHA]]),"-",YEAR(Tabla8[[#This Row],[FECHA]]))</f>
        <v>19-2026</v>
      </c>
    </row>
    <row r="1198" spans="1:21" ht="15" customHeight="1">
      <c r="A1198" s="22">
        <v>46148</v>
      </c>
      <c r="B1198" s="16" t="s">
        <v>111</v>
      </c>
      <c r="C1198" s="10" t="s">
        <v>36</v>
      </c>
      <c r="D1198" s="381" t="s">
        <v>127</v>
      </c>
      <c r="E1198" s="381" t="s">
        <v>556</v>
      </c>
      <c r="F1198" s="380">
        <f>+MOD(Tabla8[[#This Row],[HR. FIN]]-Tabla8[[#This Row],[HR. INICIO]],1)</f>
        <v>4.1666666666666685E-2</v>
      </c>
      <c r="G1198" s="16" t="s">
        <v>182</v>
      </c>
      <c r="H1198" s="343" t="str">
        <f>IFERROR(VLOOKUP(G1198,DATOS!$M$2:$N$219,2,FALSE),"")</f>
        <v>Maquinaria</v>
      </c>
      <c r="I1198" s="115" t="s">
        <v>2268</v>
      </c>
      <c r="J1198" s="115" t="s">
        <v>157</v>
      </c>
      <c r="K1198" s="114"/>
      <c r="L1198" s="35" t="s">
        <v>2269</v>
      </c>
      <c r="M1198" s="35" t="s">
        <v>121</v>
      </c>
      <c r="N1198" s="35" t="str" cm="1">
        <f t="array" ref="N1198">IFERROR(IF(Tabla8[[#This Row],[P/NP]]="NO PROGRAMADA","",_xlfn.TEXTJOIN(", ",TRUE,_xlfn._xlws.FILTER(Tabla4[[#All],[PIEZA]],ISNUMBER(SEARCH(Tabla4[[#All],[PCLAVE]],Tabla8[[#This Row],[DESCRIPCION DE TRABAJO]])),""))),"")</f>
        <v>Conector, Pasta</v>
      </c>
      <c r="O1198" s="35" t="str" cm="1">
        <f t="array" ref="O1198">_xlfn.TEXTJOIN(", ",TRUE,_xlfn._xlws.FILTER(Tabla28[[#All],[PARTE]],ISNUMBER(SEARCH(Tabla28[[#All],[PCLAVE2]],Tabla8[[#This Row],[DESCRIPCION DE TRABAJO]])),""))</f>
        <v/>
      </c>
      <c r="P1198" s="303" t="str">
        <f>IFERROR(LEFT(O1198, FIND(",", O1198)-1), O1198)</f>
        <v/>
      </c>
      <c r="Q1198" s="303" t="str">
        <f>IFERROR(IF(ISERROR(FIND(",", O1198, FIND(",", O1198)+1)), RIGHT(O1198, LEN(O1198)-FIND(",", O1198)-1), MID(O1198, FIND(",", O1198)+2, FIND(",", O1198, FIND(",", O1198)+1)-FIND(",", O1198)-2)), "")</f>
        <v/>
      </c>
      <c r="R1198" s="303" t="str">
        <f>IFERROR(RIGHT(O1198, LEN(O1198)-FIND(",", O1198, FIND(",", O1198)+1)-1), "")</f>
        <v/>
      </c>
      <c r="S1198" s="35" t="str" cm="1">
        <f t="array" ref="S1198">_xlfn.TEXTJOIN(", ",TRUE,_xlfn._xlws.FILTER(Tabla29[[#All],[PARTE]],ISNUMBER(SEARCH(Tabla29[[#All],[PCLAVE3]],Tabla8[[#This Row],[DESCRIPCION DE TRABAJO]])),""))</f>
        <v/>
      </c>
      <c r="T1198" s="34" t="str">
        <f>IF(AND(Tabla8[[#This Row],[PIEZA]]="",Tabla8[[#This Row],[PARTE]]=""),"VACIO","OK")</f>
        <v>OK</v>
      </c>
      <c r="U1198" s="303" t="str">
        <f>+CONCATENATE(WEEKNUM(Tabla8[[#This Row],[FECHA]]),"-",YEAR(Tabla8[[#This Row],[FECHA]]))</f>
        <v>19-2026</v>
      </c>
    </row>
    <row r="1199" spans="1:21" ht="15" customHeight="1">
      <c r="A1199" s="22">
        <v>46148</v>
      </c>
      <c r="B1199" s="16" t="s">
        <v>191</v>
      </c>
      <c r="C1199" s="10" t="s">
        <v>39</v>
      </c>
      <c r="D1199" s="381" t="s">
        <v>2270</v>
      </c>
      <c r="E1199" s="381" t="s">
        <v>2271</v>
      </c>
      <c r="F1199" s="380">
        <f>+MOD(Tabla8[[#This Row],[HR. FIN]]-Tabla8[[#This Row],[HR. INICIO]],1)</f>
        <v>3.680555555555555E-2</v>
      </c>
      <c r="G1199" s="16" t="s">
        <v>270</v>
      </c>
      <c r="H1199" s="343" t="str">
        <f>IFERROR(VLOOKUP(G1199,DATOS!$M$2:$N$219,2,FALSE),"")</f>
        <v>Maquinaria</v>
      </c>
      <c r="I1199" s="115" t="s">
        <v>2272</v>
      </c>
      <c r="J1199" s="115" t="s">
        <v>92</v>
      </c>
      <c r="K1199" s="114" t="s">
        <v>93</v>
      </c>
      <c r="L1199" s="35" t="s">
        <v>2273</v>
      </c>
      <c r="M1199" s="35" t="s">
        <v>2274</v>
      </c>
      <c r="N1199" s="35" t="str" cm="1">
        <f t="array" ref="N1199">IFERROR(IF(Tabla8[[#This Row],[P/NP]]="NO PROGRAMADA","",_xlfn.TEXTJOIN(", ",TRUE,_xlfn._xlws.FILTER(Tabla4[[#All],[PIEZA]],ISNUMBER(SEARCH(Tabla4[[#All],[PCLAVE]],Tabla8[[#This Row],[DESCRIPCION DE TRABAJO]])),""))),"")</f>
        <v/>
      </c>
      <c r="O1199" s="35" t="str" cm="1">
        <f t="array" ref="O1199">_xlfn.TEXTJOIN(", ",TRUE,_xlfn._xlws.FILTER(Tabla28[[#All],[PARTE]],ISNUMBER(SEARCH(Tabla28[[#All],[PCLAVE2]],Tabla8[[#This Row],[DESCRIPCION DE TRABAJO]])),""))</f>
        <v>Intercambiador De Moldes</v>
      </c>
      <c r="P1199" s="303" t="str">
        <f>IFERROR(LEFT(O1199, FIND(",", O1199)-1), O1199)</f>
        <v>Intercambiador De Moldes</v>
      </c>
      <c r="Q1199" s="303" t="str">
        <f>IFERROR(IF(ISERROR(FIND(",", O1199, FIND(",", O1199)+1)), RIGHT(O1199, LEN(O1199)-FIND(",", O1199)-1), MID(O1199, FIND(",", O1199)+2, FIND(",", O1199, FIND(",", O1199)+1)-FIND(",", O1199)-2)), "")</f>
        <v/>
      </c>
      <c r="R1199" s="303" t="str">
        <f>IFERROR(RIGHT(O1199, LEN(O1199)-FIND(",", O1199, FIND(",", O1199)+1)-1), "")</f>
        <v/>
      </c>
      <c r="S1199" s="35" t="str" cm="1">
        <f t="array" ref="S1199">_xlfn.TEXTJOIN(", ",TRUE,_xlfn._xlws.FILTER(Tabla29[[#All],[PARTE]],ISNUMBER(SEARCH(Tabla29[[#All],[PCLAVE3]],Tabla8[[#This Row],[DESCRIPCION DE TRABAJO]])),""))</f>
        <v>Desalineado, Falla En Velocid*, Juntos, Velocidad</v>
      </c>
      <c r="T1199" s="34" t="str">
        <f>IF(AND(Tabla8[[#This Row],[PIEZA]]="",Tabla8[[#This Row],[PARTE]]=""),"VACIO","OK")</f>
        <v>OK</v>
      </c>
      <c r="U1199" s="303" t="str">
        <f>+CONCATENATE(WEEKNUM(Tabla8[[#This Row],[FECHA]]),"-",YEAR(Tabla8[[#This Row],[FECHA]]))</f>
        <v>19-2026</v>
      </c>
    </row>
    <row r="1200" spans="1:21" ht="15" customHeight="1">
      <c r="A1200" s="22">
        <v>46148</v>
      </c>
      <c r="B1200" s="16" t="s">
        <v>191</v>
      </c>
      <c r="C1200" s="10" t="s">
        <v>39</v>
      </c>
      <c r="D1200" s="381" t="s">
        <v>2275</v>
      </c>
      <c r="E1200" s="381" t="s">
        <v>1271</v>
      </c>
      <c r="F1200" s="380">
        <f>+MOD(Tabla8[[#This Row],[HR. FIN]]-Tabla8[[#This Row],[HR. INICIO]],1)</f>
        <v>3.6805555555555536E-2</v>
      </c>
      <c r="G1200" s="16" t="s">
        <v>98</v>
      </c>
      <c r="H1200" s="343" t="str">
        <f>IFERROR(VLOOKUP(G1200,DATOS!$M$2:$N$219,2,FALSE),"")</f>
        <v>Maquinaria</v>
      </c>
      <c r="I1200" s="115" t="s">
        <v>32</v>
      </c>
      <c r="J1200" s="115" t="s">
        <v>157</v>
      </c>
      <c r="K1200" s="114"/>
      <c r="L1200" s="35" t="s">
        <v>2276</v>
      </c>
      <c r="M1200" s="35" t="s">
        <v>121</v>
      </c>
      <c r="N1200" s="35" t="str" cm="1">
        <f t="array" ref="N1200">IFERROR(IF(Tabla8[[#This Row],[P/NP]]="NO PROGRAMADA","",_xlfn.TEXTJOIN(", ",TRUE,_xlfn._xlws.FILTER(Tabla4[[#All],[PIEZA]],ISNUMBER(SEARCH(Tabla4[[#All],[PCLAVE]],Tabla8[[#This Row],[DESCRIPCION DE TRABAJO]])),""))),"")</f>
        <v/>
      </c>
      <c r="O1200" s="35" t="str" cm="1">
        <f t="array" ref="O1200">_xlfn.TEXTJOIN(", ",TRUE,_xlfn._xlws.FILTER(Tabla28[[#All],[PARTE]],ISNUMBER(SEARCH(Tabla28[[#All],[PCLAVE2]],Tabla8[[#This Row],[DESCRIPCION DE TRABAJO]])),""))</f>
        <v/>
      </c>
      <c r="P1200" s="303" t="str">
        <f>IFERROR(LEFT(O1200, FIND(",", O1200)-1), O1200)</f>
        <v/>
      </c>
      <c r="Q1200" s="303" t="str">
        <f>IFERROR(IF(ISERROR(FIND(",", O1200, FIND(",", O1200)+1)), RIGHT(O1200, LEN(O1200)-FIND(",", O1200)-1), MID(O1200, FIND(",", O1200)+2, FIND(",", O1200, FIND(",", O1200)+1)-FIND(",", O1200)-2)), "")</f>
        <v/>
      </c>
      <c r="R1200" s="303" t="str">
        <f>IFERROR(RIGHT(O1200, LEN(O1200)-FIND(",", O1200, FIND(",", O1200)+1)-1), "")</f>
        <v/>
      </c>
      <c r="S1200" s="35" t="str" cm="1">
        <f t="array" ref="S1200">_xlfn.TEXTJOIN(", ",TRUE,_xlfn._xlws.FILTER(Tabla29[[#All],[PARTE]],ISNUMBER(SEARCH(Tabla29[[#All],[PCLAVE3]],Tabla8[[#This Row],[DESCRIPCION DE TRABAJO]])),""))</f>
        <v/>
      </c>
      <c r="T1200" s="34" t="str">
        <f>IF(AND(Tabla8[[#This Row],[PIEZA]]="",Tabla8[[#This Row],[PARTE]]=""),"VACIO","OK")</f>
        <v>VACIO</v>
      </c>
      <c r="U1200" s="303" t="str">
        <f>+CONCATENATE(WEEKNUM(Tabla8[[#This Row],[FECHA]]),"-",YEAR(Tabla8[[#This Row],[FECHA]]))</f>
        <v>19-2026</v>
      </c>
    </row>
    <row r="1201" spans="1:21" ht="15" customHeight="1">
      <c r="A1201" s="22">
        <v>46148</v>
      </c>
      <c r="B1201" s="16" t="s">
        <v>131</v>
      </c>
      <c r="C1201" s="10" t="s">
        <v>23</v>
      </c>
      <c r="D1201" s="381">
        <v>0.77777777777777779</v>
      </c>
      <c r="E1201" s="381">
        <v>0.81319444444444444</v>
      </c>
      <c r="F1201" s="380">
        <f>+MOD(Tabla8[[#This Row],[HR. FIN]]-Tabla8[[#This Row],[HR. INICIO]],1)</f>
        <v>3.5416666666666652E-2</v>
      </c>
      <c r="G1201" s="16" t="s">
        <v>2100</v>
      </c>
      <c r="H1201" s="343" t="str">
        <f>IFERROR(VLOOKUP(G1201,DATOS!$M$2:$N$219,2,FALSE),"")</f>
        <v>Maquinaria</v>
      </c>
      <c r="I1201" s="115" t="s">
        <v>2272</v>
      </c>
      <c r="J1201" s="115" t="s">
        <v>157</v>
      </c>
      <c r="K1201" s="114"/>
      <c r="L1201" s="35" t="s">
        <v>2277</v>
      </c>
      <c r="M1201" s="35" t="s">
        <v>121</v>
      </c>
      <c r="N1201" s="35" t="str" cm="1">
        <f t="array" ref="N1201">IFERROR(IF(Tabla8[[#This Row],[P/NP]]="NO PROGRAMADA","",_xlfn.TEXTJOIN(", ",TRUE,_xlfn._xlws.FILTER(Tabla4[[#All],[PIEZA]],ISNUMBER(SEARCH(Tabla4[[#All],[PCLAVE]],Tabla8[[#This Row],[DESCRIPCION DE TRABAJO]])),""))),"")</f>
        <v>Sensor</v>
      </c>
      <c r="O1201" s="35" t="str" cm="1">
        <f t="array" ref="O1201">_xlfn.TEXTJOIN(", ",TRUE,_xlfn._xlws.FILTER(Tabla28[[#All],[PARTE]],ISNUMBER(SEARCH(Tabla28[[#All],[PCLAVE2]],Tabla8[[#This Row],[DESCRIPCION DE TRABAJO]])),""))</f>
        <v/>
      </c>
      <c r="P1201" s="303" t="str">
        <f>IFERROR(LEFT(O1201, FIND(",", O1201)-1), O1201)</f>
        <v/>
      </c>
      <c r="Q1201" s="303" t="str">
        <f>IFERROR(IF(ISERROR(FIND(",", O1201, FIND(",", O1201)+1)), RIGHT(O1201, LEN(O1201)-FIND(",", O1201)-1), MID(O1201, FIND(",", O1201)+2, FIND(",", O1201, FIND(",", O1201)+1)-FIND(",", O1201)-2)), "")</f>
        <v/>
      </c>
      <c r="R1201" s="303" t="str">
        <f>IFERROR(RIGHT(O1201, LEN(O1201)-FIND(",", O1201, FIND(",", O1201)+1)-1), "")</f>
        <v/>
      </c>
      <c r="S1201" s="35" t="str" cm="1">
        <f t="array" ref="S1201">_xlfn.TEXTJOIN(", ",TRUE,_xlfn._xlws.FILTER(Tabla29[[#All],[PARTE]],ISNUMBER(SEARCH(Tabla29[[#All],[PCLAVE3]],Tabla8[[#This Row],[DESCRIPCION DE TRABAJO]])),""))</f>
        <v>Calibracion</v>
      </c>
      <c r="T1201" s="34" t="str">
        <f>IF(AND(Tabla8[[#This Row],[PIEZA]]="",Tabla8[[#This Row],[PARTE]]=""),"VACIO","OK")</f>
        <v>OK</v>
      </c>
      <c r="U1201" s="303" t="str">
        <f>+CONCATENATE(WEEKNUM(Tabla8[[#This Row],[FECHA]]),"-",YEAR(Tabla8[[#This Row],[FECHA]]))</f>
        <v>19-2026</v>
      </c>
    </row>
    <row r="1202" spans="1:21" ht="15" customHeight="1">
      <c r="A1202" s="22">
        <v>46148</v>
      </c>
      <c r="B1202" s="16" t="s">
        <v>111</v>
      </c>
      <c r="C1202" s="10" t="s">
        <v>36</v>
      </c>
      <c r="D1202" s="381" t="s">
        <v>2278</v>
      </c>
      <c r="E1202" s="381" t="s">
        <v>403</v>
      </c>
      <c r="F1202" s="380">
        <f>+MOD(Tabla8[[#This Row],[HR. FIN]]-Tabla8[[#This Row],[HR. INICIO]],1)</f>
        <v>3.4722222222222265E-2</v>
      </c>
      <c r="G1202" s="16" t="s">
        <v>192</v>
      </c>
      <c r="H1202" s="343" t="str">
        <f>IFERROR(VLOOKUP(G1202,DATOS!$M$2:$N$219,2,FALSE),"")</f>
        <v>Maquinaria</v>
      </c>
      <c r="I1202" s="115" t="s">
        <v>2268</v>
      </c>
      <c r="J1202" s="115" t="s">
        <v>92</v>
      </c>
      <c r="K1202" s="114" t="s">
        <v>93</v>
      </c>
      <c r="L1202" s="35" t="s">
        <v>2279</v>
      </c>
      <c r="M1202" s="35" t="s">
        <v>121</v>
      </c>
      <c r="N1202" s="35" t="str" cm="1">
        <f t="array" ref="N1202">IFERROR(IF(Tabla8[[#This Row],[P/NP]]="NO PROGRAMADA","",_xlfn.TEXTJOIN(", ",TRUE,_xlfn._xlws.FILTER(Tabla4[[#All],[PIEZA]],ISNUMBER(SEARCH(Tabla4[[#All],[PCLAVE]],Tabla8[[#This Row],[DESCRIPCION DE TRABAJO]])),""))),"")</f>
        <v/>
      </c>
      <c r="O1202" s="35" t="str" cm="1">
        <f t="array" ref="O1202">_xlfn.TEXTJOIN(", ",TRUE,_xlfn._xlws.FILTER(Tabla28[[#All],[PARTE]],ISNUMBER(SEARCH(Tabla28[[#All],[PCLAVE2]],Tabla8[[#This Row],[DESCRIPCION DE TRABAJO]])),""))</f>
        <v/>
      </c>
      <c r="P1202" s="303" t="str">
        <f>IFERROR(LEFT(O1202, FIND(",", O1202)-1), O1202)</f>
        <v/>
      </c>
      <c r="Q1202" s="303" t="str">
        <f>IFERROR(IF(ISERROR(FIND(",", O1202, FIND(",", O1202)+1)), RIGHT(O1202, LEN(O1202)-FIND(",", O1202)-1), MID(O1202, FIND(",", O1202)+2, FIND(",", O1202, FIND(",", O1202)+1)-FIND(",", O1202)-2)), "")</f>
        <v/>
      </c>
      <c r="R1202" s="303" t="str">
        <f>IFERROR(RIGHT(O1202, LEN(O1202)-FIND(",", O1202, FIND(",", O1202)+1)-1), "")</f>
        <v/>
      </c>
      <c r="S1202" s="35" t="str" cm="1">
        <f t="array" ref="S1202">_xlfn.TEXTJOIN(", ",TRUE,_xlfn._xlws.FILTER(Tabla29[[#All],[PARTE]],ISNUMBER(SEARCH(Tabla29[[#All],[PCLAVE3]],Tabla8[[#This Row],[DESCRIPCION DE TRABAJO]])),""))</f>
        <v/>
      </c>
      <c r="T1202" s="34" t="str">
        <f>IF(AND(Tabla8[[#This Row],[PIEZA]]="",Tabla8[[#This Row],[PARTE]]=""),"VACIO","OK")</f>
        <v>VACIO</v>
      </c>
      <c r="U1202" s="303" t="str">
        <f>+CONCATENATE(WEEKNUM(Tabla8[[#This Row],[FECHA]]),"-",YEAR(Tabla8[[#This Row],[FECHA]]))</f>
        <v>19-2026</v>
      </c>
    </row>
    <row r="1203" spans="1:21" ht="15" customHeight="1">
      <c r="A1203" s="22">
        <v>46148</v>
      </c>
      <c r="B1203" s="16" t="s">
        <v>179</v>
      </c>
      <c r="C1203" s="10" t="s">
        <v>23</v>
      </c>
      <c r="D1203" s="381">
        <v>0.71875</v>
      </c>
      <c r="E1203" s="381">
        <v>0.75</v>
      </c>
      <c r="F1203" s="380">
        <f>+MOD(Tabla8[[#This Row],[HR. FIN]]-Tabla8[[#This Row],[HR. INICIO]],1)</f>
        <v>3.125E-2</v>
      </c>
      <c r="G1203" s="16" t="s">
        <v>328</v>
      </c>
      <c r="H1203" s="343" t="str">
        <f>IFERROR(VLOOKUP(G1203,DATOS!$M$2:$N$219,2,FALSE),"")</f>
        <v>Area</v>
      </c>
      <c r="I1203" s="115" t="s">
        <v>348</v>
      </c>
      <c r="J1203" s="115" t="s">
        <v>157</v>
      </c>
      <c r="K1203" s="114"/>
      <c r="L1203" s="35" t="s">
        <v>2280</v>
      </c>
      <c r="M1203" s="35" t="s">
        <v>121</v>
      </c>
      <c r="N1203" s="35" t="str" cm="1">
        <f t="array" ref="N1203">IFERROR(IF(Tabla8[[#This Row],[P/NP]]="NO PROGRAMADA","",_xlfn.TEXTJOIN(", ",TRUE,_xlfn._xlws.FILTER(Tabla4[[#All],[PIEZA]],ISNUMBER(SEARCH(Tabla4[[#All],[PCLAVE]],Tabla8[[#This Row],[DESCRIPCION DE TRABAJO]])),""))),"")</f>
        <v/>
      </c>
      <c r="O1203" s="35" t="str" cm="1">
        <f t="array" ref="O1203">_xlfn.TEXTJOIN(", ",TRUE,_xlfn._xlws.FILTER(Tabla28[[#All],[PARTE]],ISNUMBER(SEARCH(Tabla28[[#All],[PCLAVE2]],Tabla8[[#This Row],[DESCRIPCION DE TRABAJO]])),""))</f>
        <v/>
      </c>
      <c r="P1203" s="303" t="str">
        <f>IFERROR(LEFT(O1203, FIND(",", O1203)-1), O1203)</f>
        <v/>
      </c>
      <c r="Q1203" s="303" t="str">
        <f>IFERROR(IF(ISERROR(FIND(",", O1203, FIND(",", O1203)+1)), RIGHT(O1203, LEN(O1203)-FIND(",", O1203)-1), MID(O1203, FIND(",", O1203)+2, FIND(",", O1203, FIND(",", O1203)+1)-FIND(",", O1203)-2)), "")</f>
        <v/>
      </c>
      <c r="R1203" s="303" t="str">
        <f>IFERROR(RIGHT(O1203, LEN(O1203)-FIND(",", O1203, FIND(",", O1203)+1)-1), "")</f>
        <v/>
      </c>
      <c r="S1203" s="35" t="str" cm="1">
        <f t="array" ref="S1203">_xlfn.TEXTJOIN(", ",TRUE,_xlfn._xlws.FILTER(Tabla29[[#All],[PARTE]],ISNUMBER(SEARCH(Tabla29[[#All],[PCLAVE3]],Tabla8[[#This Row],[DESCRIPCION DE TRABAJO]])),""))</f>
        <v/>
      </c>
      <c r="T1203" s="34" t="str">
        <f>IF(AND(Tabla8[[#This Row],[PIEZA]]="",Tabla8[[#This Row],[PARTE]]=""),"VACIO","OK")</f>
        <v>VACIO</v>
      </c>
      <c r="U1203" s="303" t="str">
        <f>+CONCATENATE(WEEKNUM(Tabla8[[#This Row],[FECHA]]),"-",YEAR(Tabla8[[#This Row],[FECHA]]))</f>
        <v>19-2026</v>
      </c>
    </row>
    <row r="1204" spans="1:21" ht="15" customHeight="1">
      <c r="A1204" s="22">
        <v>46148</v>
      </c>
      <c r="B1204" s="16" t="s">
        <v>131</v>
      </c>
      <c r="C1204" s="10" t="s">
        <v>23</v>
      </c>
      <c r="D1204" s="381" t="s">
        <v>946</v>
      </c>
      <c r="E1204" s="381" t="s">
        <v>940</v>
      </c>
      <c r="F1204" s="380">
        <f>+MOD(Tabla8[[#This Row],[HR. FIN]]-Tabla8[[#This Row],[HR. INICIO]],1)</f>
        <v>3.125E-2</v>
      </c>
      <c r="G1204" s="16" t="s">
        <v>182</v>
      </c>
      <c r="H1204" s="343" t="str">
        <f>IFERROR(VLOOKUP(G1204,DATOS!$M$2:$N$219,2,FALSE),"")</f>
        <v>Maquinaria</v>
      </c>
      <c r="I1204" s="115" t="s">
        <v>2272</v>
      </c>
      <c r="J1204" s="115" t="s">
        <v>157</v>
      </c>
      <c r="K1204" s="114"/>
      <c r="L1204" s="35" t="s">
        <v>2281</v>
      </c>
      <c r="M1204" s="35" t="s">
        <v>121</v>
      </c>
      <c r="N1204" s="35" t="str" cm="1">
        <f t="array" ref="N1204">IFERROR(IF(Tabla8[[#This Row],[P/NP]]="NO PROGRAMADA","",_xlfn.TEXTJOIN(", ",TRUE,_xlfn._xlws.FILTER(Tabla4[[#All],[PIEZA]],ISNUMBER(SEARCH(Tabla4[[#All],[PCLAVE]],Tabla8[[#This Row],[DESCRIPCION DE TRABAJO]])),""))),"")</f>
        <v/>
      </c>
      <c r="O1204" s="35" t="str" cm="1">
        <f t="array" ref="O1204">_xlfn.TEXTJOIN(", ",TRUE,_xlfn._xlws.FILTER(Tabla28[[#All],[PARTE]],ISNUMBER(SEARCH(Tabla28[[#All],[PCLAVE2]],Tabla8[[#This Row],[DESCRIPCION DE TRABAJO]])),""))</f>
        <v/>
      </c>
      <c r="P1204" s="303" t="str">
        <f>IFERROR(LEFT(O1204, FIND(",", O1204)-1), O1204)</f>
        <v/>
      </c>
      <c r="Q1204" s="303" t="str">
        <f>IFERROR(IF(ISERROR(FIND(",", O1204, FIND(",", O1204)+1)), RIGHT(O1204, LEN(O1204)-FIND(",", O1204)-1), MID(O1204, FIND(",", O1204)+2, FIND(",", O1204, FIND(",", O1204)+1)-FIND(",", O1204)-2)), "")</f>
        <v/>
      </c>
      <c r="R1204" s="303" t="str">
        <f>IFERROR(RIGHT(O1204, LEN(O1204)-FIND(",", O1204, FIND(",", O1204)+1)-1), "")</f>
        <v/>
      </c>
      <c r="S1204" s="35" t="str" cm="1">
        <f t="array" ref="S1204">_xlfn.TEXTJOIN(", ",TRUE,_xlfn._xlws.FILTER(Tabla29[[#All],[PARTE]],ISNUMBER(SEARCH(Tabla29[[#All],[PCLAVE3]],Tabla8[[#This Row],[DESCRIPCION DE TRABAJO]])),""))</f>
        <v>Calibracion</v>
      </c>
      <c r="T1204" s="34" t="str">
        <f>IF(AND(Tabla8[[#This Row],[PIEZA]]="",Tabla8[[#This Row],[PARTE]]=""),"VACIO","OK")</f>
        <v>VACIO</v>
      </c>
      <c r="U1204" s="303" t="str">
        <f>+CONCATENATE(WEEKNUM(Tabla8[[#This Row],[FECHA]]),"-",YEAR(Tabla8[[#This Row],[FECHA]]))</f>
        <v>19-2026</v>
      </c>
    </row>
    <row r="1205" spans="1:21" ht="15" customHeight="1">
      <c r="A1205" s="22">
        <v>46148</v>
      </c>
      <c r="B1205" s="16" t="s">
        <v>131</v>
      </c>
      <c r="C1205" s="10" t="s">
        <v>23</v>
      </c>
      <c r="D1205" s="381">
        <v>0.70833333333333337</v>
      </c>
      <c r="E1205" s="381">
        <v>0.73958333333333337</v>
      </c>
      <c r="F1205" s="380">
        <f>+MOD(Tabla8[[#This Row],[HR. FIN]]-Tabla8[[#This Row],[HR. INICIO]],1)</f>
        <v>3.125E-2</v>
      </c>
      <c r="G1205" s="16" t="s">
        <v>2282</v>
      </c>
      <c r="H1205" s="343" t="str">
        <f>IFERROR(VLOOKUP(G1205,DATOS!$M$2:$N$219,2,FALSE),"")</f>
        <v>Area</v>
      </c>
      <c r="I1205" s="115"/>
      <c r="J1205" s="115"/>
      <c r="K1205" s="114"/>
      <c r="L1205" s="35" t="s">
        <v>2283</v>
      </c>
      <c r="M1205" s="35" t="s">
        <v>121</v>
      </c>
      <c r="N1205" s="35" t="str" cm="1">
        <f t="array" ref="N1205">IFERROR(IF(Tabla8[[#This Row],[P/NP]]="NO PROGRAMADA","",_xlfn.TEXTJOIN(", ",TRUE,_xlfn._xlws.FILTER(Tabla4[[#All],[PIEZA]],ISNUMBER(SEARCH(Tabla4[[#All],[PCLAVE]],Tabla8[[#This Row],[DESCRIPCION DE TRABAJO]])),""))),"")</f>
        <v/>
      </c>
      <c r="O1205" s="35" t="str" cm="1">
        <f t="array" ref="O1205">_xlfn.TEXTJOIN(", ",TRUE,_xlfn._xlws.FILTER(Tabla28[[#All],[PARTE]],ISNUMBER(SEARCH(Tabla28[[#All],[PCLAVE2]],Tabla8[[#This Row],[DESCRIPCION DE TRABAJO]])),""))</f>
        <v/>
      </c>
      <c r="P1205" s="303" t="str">
        <f>IFERROR(LEFT(O1205, FIND(",", O1205)-1), O1205)</f>
        <v/>
      </c>
      <c r="Q1205" s="303" t="str">
        <f>IFERROR(IF(ISERROR(FIND(",", O1205, FIND(",", O1205)+1)), RIGHT(O1205, LEN(O1205)-FIND(",", O1205)-1), MID(O1205, FIND(",", O1205)+2, FIND(",", O1205, FIND(",", O1205)+1)-FIND(",", O1205)-2)), "")</f>
        <v/>
      </c>
      <c r="R1205" s="303" t="str">
        <f>IFERROR(RIGHT(O1205, LEN(O1205)-FIND(",", O1205, FIND(",", O1205)+1)-1), "")</f>
        <v/>
      </c>
      <c r="S1205" s="35" t="str" cm="1">
        <f t="array" ref="S1205">_xlfn.TEXTJOIN(", ",TRUE,_xlfn._xlws.FILTER(Tabla29[[#All],[PARTE]],ISNUMBER(SEARCH(Tabla29[[#All],[PCLAVE3]],Tabla8[[#This Row],[DESCRIPCION DE TRABAJO]])),""))</f>
        <v/>
      </c>
      <c r="T1205" s="34" t="str">
        <f>IF(AND(Tabla8[[#This Row],[PIEZA]]="",Tabla8[[#This Row],[PARTE]]=""),"VACIO","OK")</f>
        <v>VACIO</v>
      </c>
      <c r="U1205" s="303" t="str">
        <f>+CONCATENATE(WEEKNUM(Tabla8[[#This Row],[FECHA]]),"-",YEAR(Tabla8[[#This Row],[FECHA]]))</f>
        <v>19-2026</v>
      </c>
    </row>
    <row r="1206" spans="1:21" ht="15" customHeight="1">
      <c r="A1206" s="22">
        <v>46148</v>
      </c>
      <c r="B1206" s="16" t="s">
        <v>131</v>
      </c>
      <c r="C1206" s="10" t="s">
        <v>23</v>
      </c>
      <c r="D1206" s="381">
        <v>0.81944444444444442</v>
      </c>
      <c r="E1206" s="381">
        <v>0.84722222222222221</v>
      </c>
      <c r="F1206" s="380">
        <f>+MOD(Tabla8[[#This Row],[HR. FIN]]-Tabla8[[#This Row],[HR. INICIO]],1)</f>
        <v>2.777777777777779E-2</v>
      </c>
      <c r="G1206" s="16" t="s">
        <v>153</v>
      </c>
      <c r="H1206" s="343" t="str">
        <f>IFERROR(VLOOKUP(G1206,DATOS!$M$2:$N$219,2,FALSE),"")</f>
        <v>Maquinaria</v>
      </c>
      <c r="I1206" s="115" t="s">
        <v>54</v>
      </c>
      <c r="J1206" s="115" t="s">
        <v>157</v>
      </c>
      <c r="K1206" s="114"/>
      <c r="L1206" s="35" t="s">
        <v>2284</v>
      </c>
      <c r="M1206" s="35" t="s">
        <v>121</v>
      </c>
      <c r="N1206" s="35" t="str" cm="1">
        <f t="array" ref="N1206">IFERROR(IF(Tabla8[[#This Row],[P/NP]]="NO PROGRAMADA","",_xlfn.TEXTJOIN(", ",TRUE,_xlfn._xlws.FILTER(Tabla4[[#All],[PIEZA]],ISNUMBER(SEARCH(Tabla4[[#All],[PCLAVE]],Tabla8[[#This Row],[DESCRIPCION DE TRABAJO]])),""))),"")</f>
        <v/>
      </c>
      <c r="O1206" s="35" t="str" cm="1">
        <f t="array" ref="O1206">_xlfn.TEXTJOIN(", ",TRUE,_xlfn._xlws.FILTER(Tabla28[[#All],[PARTE]],ISNUMBER(SEARCH(Tabla28[[#All],[PCLAVE2]],Tabla8[[#This Row],[DESCRIPCION DE TRABAJO]])),""))</f>
        <v/>
      </c>
      <c r="P1206" s="303" t="str">
        <f>IFERROR(LEFT(O1206, FIND(",", O1206)-1), O1206)</f>
        <v/>
      </c>
      <c r="Q1206" s="303" t="str">
        <f>IFERROR(IF(ISERROR(FIND(",", O1206, FIND(",", O1206)+1)), RIGHT(O1206, LEN(O1206)-FIND(",", O1206)-1), MID(O1206, FIND(",", O1206)+2, FIND(",", O1206, FIND(",", O1206)+1)-FIND(",", O1206)-2)), "")</f>
        <v/>
      </c>
      <c r="R1206" s="303" t="str">
        <f>IFERROR(RIGHT(O1206, LEN(O1206)-FIND(",", O1206, FIND(",", O1206)+1)-1), "")</f>
        <v/>
      </c>
      <c r="S1206" s="35" t="str" cm="1">
        <f t="array" ref="S1206">_xlfn.TEXTJOIN(", ",TRUE,_xlfn._xlws.FILTER(Tabla29[[#All],[PARTE]],ISNUMBER(SEARCH(Tabla29[[#All],[PCLAVE3]],Tabla8[[#This Row],[DESCRIPCION DE TRABAJO]])),""))</f>
        <v/>
      </c>
      <c r="T1206" s="34" t="str">
        <f>IF(AND(Tabla8[[#This Row],[PIEZA]]="",Tabla8[[#This Row],[PARTE]]=""),"VACIO","OK")</f>
        <v>VACIO</v>
      </c>
      <c r="U1206" s="303" t="str">
        <f>+CONCATENATE(WEEKNUM(Tabla8[[#This Row],[FECHA]]),"-",YEAR(Tabla8[[#This Row],[FECHA]]))</f>
        <v>19-2026</v>
      </c>
    </row>
    <row r="1207" spans="1:21" ht="15" customHeight="1">
      <c r="A1207" s="22">
        <v>46148</v>
      </c>
      <c r="B1207" s="16" t="s">
        <v>131</v>
      </c>
      <c r="C1207" s="10" t="s">
        <v>23</v>
      </c>
      <c r="D1207" s="381">
        <v>0.74652777777777779</v>
      </c>
      <c r="E1207" s="381">
        <v>0.77083333333333337</v>
      </c>
      <c r="F1207" s="380">
        <f>+MOD(Tabla8[[#This Row],[HR. FIN]]-Tabla8[[#This Row],[HR. INICIO]],1)</f>
        <v>2.430555555555558E-2</v>
      </c>
      <c r="G1207" s="16" t="s">
        <v>153</v>
      </c>
      <c r="H1207" s="343" t="str">
        <f>IFERROR(VLOOKUP(G1207,DATOS!$M$2:$N$219,2,FALSE),"")</f>
        <v>Maquinaria</v>
      </c>
      <c r="I1207" s="115" t="s">
        <v>2272</v>
      </c>
      <c r="J1207" s="115" t="s">
        <v>92</v>
      </c>
      <c r="K1207" s="114" t="s">
        <v>148</v>
      </c>
      <c r="L1207" s="35" t="s">
        <v>2285</v>
      </c>
      <c r="M1207" s="35" t="s">
        <v>2286</v>
      </c>
      <c r="N1207" s="35" t="str" cm="1">
        <f t="array" ref="N1207">IFERROR(IF(Tabla8[[#This Row],[P/NP]]="NO PROGRAMADA","",_xlfn.TEXTJOIN(", ",TRUE,_xlfn._xlws.FILTER(Tabla4[[#All],[PIEZA]],ISNUMBER(SEARCH(Tabla4[[#All],[PCLAVE]],Tabla8[[#This Row],[DESCRIPCION DE TRABAJO]])),""))),"")</f>
        <v/>
      </c>
      <c r="O1207" s="35" t="str" cm="1">
        <f t="array" ref="O1207">_xlfn.TEXTJOIN(", ",TRUE,_xlfn._xlws.FILTER(Tabla28[[#All],[PARTE]],ISNUMBER(SEARCH(Tabla28[[#All],[PCLAVE2]],Tabla8[[#This Row],[DESCRIPCION DE TRABAJO]])),""))</f>
        <v/>
      </c>
      <c r="P1207" s="303" t="str">
        <f>IFERROR(LEFT(O1207, FIND(",", O1207)-1), O1207)</f>
        <v/>
      </c>
      <c r="Q1207" s="303" t="str">
        <f>IFERROR(IF(ISERROR(FIND(",", O1207, FIND(",", O1207)+1)), RIGHT(O1207, LEN(O1207)-FIND(",", O1207)-1), MID(O1207, FIND(",", O1207)+2, FIND(",", O1207, FIND(",", O1207)+1)-FIND(",", O1207)-2)), "")</f>
        <v/>
      </c>
      <c r="R1207" s="303" t="str">
        <f>IFERROR(RIGHT(O1207, LEN(O1207)-FIND(",", O1207, FIND(",", O1207)+1)-1), "")</f>
        <v/>
      </c>
      <c r="S1207" s="35" t="str" cm="1">
        <f t="array" ref="S1207">_xlfn.TEXTJOIN(", ",TRUE,_xlfn._xlws.FILTER(Tabla29[[#All],[PARTE]],ISNUMBER(SEARCH(Tabla29[[#All],[PCLAVE3]],Tabla8[[#This Row],[DESCRIPCION DE TRABAJO]])),""))</f>
        <v/>
      </c>
      <c r="T1207" s="34" t="str">
        <f>IF(AND(Tabla8[[#This Row],[PIEZA]]="",Tabla8[[#This Row],[PARTE]]=""),"VACIO","OK")</f>
        <v>VACIO</v>
      </c>
      <c r="U1207" s="303" t="str">
        <f>+CONCATENATE(WEEKNUM(Tabla8[[#This Row],[FECHA]]),"-",YEAR(Tabla8[[#This Row],[FECHA]]))</f>
        <v>19-2026</v>
      </c>
    </row>
    <row r="1208" spans="1:21" ht="15" customHeight="1">
      <c r="A1208" s="22">
        <v>46148</v>
      </c>
      <c r="B1208" s="16" t="s">
        <v>179</v>
      </c>
      <c r="C1208" s="10" t="s">
        <v>36</v>
      </c>
      <c r="D1208" s="381">
        <v>0.60416666666666663</v>
      </c>
      <c r="E1208" s="381">
        <v>0.625</v>
      </c>
      <c r="F1208" s="380">
        <f>+MOD(Tabla8[[#This Row],[HR. FIN]]-Tabla8[[#This Row],[HR. INICIO]],1)</f>
        <v>2.083333333333337E-2</v>
      </c>
      <c r="G1208" s="16" t="s">
        <v>119</v>
      </c>
      <c r="H1208" s="343" t="str">
        <f>IFERROR(VLOOKUP(G1208,DATOS!$M$2:$N$219,2,FALSE),"")</f>
        <v>Maquinaria</v>
      </c>
      <c r="I1208" s="115" t="s">
        <v>390</v>
      </c>
      <c r="J1208" s="115" t="s">
        <v>92</v>
      </c>
      <c r="K1208" s="114" t="s">
        <v>93</v>
      </c>
      <c r="L1208" s="35" t="s">
        <v>2287</v>
      </c>
      <c r="M1208" s="35" t="s">
        <v>2288</v>
      </c>
      <c r="N1208" s="35" t="str" cm="1">
        <f t="array" ref="N1208">IFERROR(IF(Tabla8[[#This Row],[P/NP]]="NO PROGRAMADA","",_xlfn.TEXTJOIN(", ",TRUE,_xlfn._xlws.FILTER(Tabla4[[#All],[PIEZA]],ISNUMBER(SEARCH(Tabla4[[#All],[PCLAVE]],Tabla8[[#This Row],[DESCRIPCION DE TRABAJO]])),""))),"")</f>
        <v/>
      </c>
      <c r="O1208" s="35" t="str" cm="1">
        <f t="array" ref="O1208">_xlfn.TEXTJOIN(", ",TRUE,_xlfn._xlws.FILTER(Tabla28[[#All],[PARTE]],ISNUMBER(SEARCH(Tabla28[[#All],[PCLAVE2]],Tabla8[[#This Row],[DESCRIPCION DE TRABAJO]])),""))</f>
        <v>Temperadora</v>
      </c>
      <c r="P1208" s="303" t="str">
        <f>IFERROR(LEFT(O1208, FIND(",", O1208)-1), O1208)</f>
        <v>Temperadora</v>
      </c>
      <c r="Q1208" s="303" t="str">
        <f>IFERROR(IF(ISERROR(FIND(",", O1208, FIND(",", O1208)+1)), RIGHT(O1208, LEN(O1208)-FIND(",", O1208)-1), MID(O1208, FIND(",", O1208)+2, FIND(",", O1208, FIND(",", O1208)+1)-FIND(",", O1208)-2)), "")</f>
        <v/>
      </c>
      <c r="R1208" s="303" t="str">
        <f>IFERROR(RIGHT(O1208, LEN(O1208)-FIND(",", O1208, FIND(",", O1208)+1)-1), "")</f>
        <v/>
      </c>
      <c r="S1208" s="35" t="str" cm="1">
        <f t="array" ref="S1208">_xlfn.TEXTJOIN(", ",TRUE,_xlfn._xlws.FILTER(Tabla29[[#All],[PARTE]],ISNUMBER(SEARCH(Tabla29[[#All],[PCLAVE3]],Tabla8[[#This Row],[DESCRIPCION DE TRABAJO]])),""))</f>
        <v/>
      </c>
      <c r="T1208" s="34" t="str">
        <f>IF(AND(Tabla8[[#This Row],[PIEZA]]="",Tabla8[[#This Row],[PARTE]]=""),"VACIO","OK")</f>
        <v>OK</v>
      </c>
      <c r="U1208" s="303" t="str">
        <f>+CONCATENATE(WEEKNUM(Tabla8[[#This Row],[FECHA]]),"-",YEAR(Tabla8[[#This Row],[FECHA]]))</f>
        <v>19-2026</v>
      </c>
    </row>
    <row r="1209" spans="1:21" ht="15" customHeight="1">
      <c r="A1209" s="22">
        <v>46148</v>
      </c>
      <c r="B1209" s="16" t="s">
        <v>88</v>
      </c>
      <c r="C1209" s="10" t="s">
        <v>36</v>
      </c>
      <c r="D1209" s="381" t="s">
        <v>126</v>
      </c>
      <c r="E1209" s="381" t="s">
        <v>127</v>
      </c>
      <c r="F1209" s="380">
        <f>+MOD(Tabla8[[#This Row],[HR. FIN]]-Tabla8[[#This Row],[HR. INICIO]],1)</f>
        <v>2.0833333333333315E-2</v>
      </c>
      <c r="G1209" s="16" t="s">
        <v>328</v>
      </c>
      <c r="H1209" s="343" t="str">
        <f>IFERROR(VLOOKUP(G1209,DATOS!$M$2:$N$219,2,FALSE),"")</f>
        <v>Area</v>
      </c>
      <c r="I1209" s="115" t="s">
        <v>61</v>
      </c>
      <c r="J1209" s="115" t="s">
        <v>157</v>
      </c>
      <c r="K1209" s="114"/>
      <c r="L1209" s="35" t="s">
        <v>1090</v>
      </c>
      <c r="M1209" s="35" t="s">
        <v>2289</v>
      </c>
      <c r="N1209" s="35" t="str" cm="1">
        <f t="array" ref="N1209">IFERROR(IF(Tabla8[[#This Row],[P/NP]]="NO PROGRAMADA","",_xlfn.TEXTJOIN(", ",TRUE,_xlfn._xlws.FILTER(Tabla4[[#All],[PIEZA]],ISNUMBER(SEARCH(Tabla4[[#All],[PCLAVE]],Tabla8[[#This Row],[DESCRIPCION DE TRABAJO]])),""))),"")</f>
        <v/>
      </c>
      <c r="O1209" s="35" t="str" cm="1">
        <f t="array" ref="O1209">_xlfn.TEXTJOIN(", ",TRUE,_xlfn._xlws.FILTER(Tabla28[[#All],[PARTE]],ISNUMBER(SEARCH(Tabla28[[#All],[PCLAVE2]],Tabla8[[#This Row],[DESCRIPCION DE TRABAJO]])),""))</f>
        <v/>
      </c>
      <c r="P1209" s="303" t="str">
        <f>IFERROR(LEFT(O1209, FIND(",", O1209)-1), O1209)</f>
        <v/>
      </c>
      <c r="Q1209" s="303" t="str">
        <f>IFERROR(IF(ISERROR(FIND(",", O1209, FIND(",", O1209)+1)), RIGHT(O1209, LEN(O1209)-FIND(",", O1209)-1), MID(O1209, FIND(",", O1209)+2, FIND(",", O1209, FIND(",", O1209)+1)-FIND(",", O1209)-2)), "")</f>
        <v/>
      </c>
      <c r="R1209" s="303" t="str">
        <f>IFERROR(RIGHT(O1209, LEN(O1209)-FIND(",", O1209, FIND(",", O1209)+1)-1), "")</f>
        <v/>
      </c>
      <c r="S1209" s="35" t="str" cm="1">
        <f t="array" ref="S1209">_xlfn.TEXTJOIN(", ",TRUE,_xlfn._xlws.FILTER(Tabla29[[#All],[PARTE]],ISNUMBER(SEARCH(Tabla29[[#All],[PCLAVE3]],Tabla8[[#This Row],[DESCRIPCION DE TRABAJO]])),""))</f>
        <v/>
      </c>
      <c r="T1209" s="34" t="str">
        <f>IF(AND(Tabla8[[#This Row],[PIEZA]]="",Tabla8[[#This Row],[PARTE]]=""),"VACIO","OK")</f>
        <v>VACIO</v>
      </c>
      <c r="U1209" s="303" t="str">
        <f>+CONCATENATE(WEEKNUM(Tabla8[[#This Row],[FECHA]]),"-",YEAR(Tabla8[[#This Row],[FECHA]]))</f>
        <v>19-2026</v>
      </c>
    </row>
    <row r="1210" spans="1:21" ht="15" customHeight="1">
      <c r="A1210" s="22">
        <v>46148</v>
      </c>
      <c r="B1210" s="16" t="s">
        <v>88</v>
      </c>
      <c r="C1210" s="10" t="s">
        <v>36</v>
      </c>
      <c r="D1210" s="381" t="s">
        <v>96</v>
      </c>
      <c r="E1210" s="381" t="s">
        <v>670</v>
      </c>
      <c r="F1210" s="380">
        <f>+MOD(Tabla8[[#This Row],[HR. FIN]]-Tabla8[[#This Row],[HR. INICIO]],1)</f>
        <v>2.0833333333333315E-2</v>
      </c>
      <c r="G1210" s="16" t="s">
        <v>1379</v>
      </c>
      <c r="H1210" s="343" t="str">
        <f>IFERROR(VLOOKUP(G1210,DATOS!$M$2:$N$219,2,FALSE),"")</f>
        <v>Maquinaria</v>
      </c>
      <c r="I1210" s="115" t="s">
        <v>2272</v>
      </c>
      <c r="J1210" s="115" t="s">
        <v>157</v>
      </c>
      <c r="K1210" s="114"/>
      <c r="L1210" s="35" t="s">
        <v>257</v>
      </c>
      <c r="M1210" s="35" t="s">
        <v>2290</v>
      </c>
      <c r="N1210" s="35" t="str" cm="1">
        <f t="array" ref="N1210">IFERROR(IF(Tabla8[[#This Row],[P/NP]]="NO PROGRAMADA","",_xlfn.TEXTJOIN(", ",TRUE,_xlfn._xlws.FILTER(Tabla4[[#All],[PIEZA]],ISNUMBER(SEARCH(Tabla4[[#All],[PCLAVE]],Tabla8[[#This Row],[DESCRIPCION DE TRABAJO]])),""))),"")</f>
        <v/>
      </c>
      <c r="O1210" s="35" t="str" cm="1">
        <f t="array" ref="O1210">_xlfn.TEXTJOIN(", ",TRUE,_xlfn._xlws.FILTER(Tabla28[[#All],[PARTE]],ISNUMBER(SEARCH(Tabla28[[#All],[PCLAVE2]],Tabla8[[#This Row],[DESCRIPCION DE TRABAJO]])),""))</f>
        <v/>
      </c>
      <c r="P1210" s="303" t="str">
        <f>IFERROR(LEFT(O1210, FIND(",", O1210)-1), O1210)</f>
        <v/>
      </c>
      <c r="Q1210" s="303" t="str">
        <f>IFERROR(IF(ISERROR(FIND(",", O1210, FIND(",", O1210)+1)), RIGHT(O1210, LEN(O1210)-FIND(",", O1210)-1), MID(O1210, FIND(",", O1210)+2, FIND(",", O1210, FIND(",", O1210)+1)-FIND(",", O1210)-2)), "")</f>
        <v/>
      </c>
      <c r="R1210" s="303" t="str">
        <f>IFERROR(RIGHT(O1210, LEN(O1210)-FIND(",", O1210, FIND(",", O1210)+1)-1), "")</f>
        <v/>
      </c>
      <c r="S1210" s="35" t="str" cm="1">
        <f t="array" ref="S1210">_xlfn.TEXTJOIN(", ",TRUE,_xlfn._xlws.FILTER(Tabla29[[#All],[PARTE]],ISNUMBER(SEARCH(Tabla29[[#All],[PCLAVE3]],Tabla8[[#This Row],[DESCRIPCION DE TRABAJO]])),""))</f>
        <v/>
      </c>
      <c r="T1210" s="34" t="str">
        <f>IF(AND(Tabla8[[#This Row],[PIEZA]]="",Tabla8[[#This Row],[PARTE]]=""),"VACIO","OK")</f>
        <v>VACIO</v>
      </c>
      <c r="U1210" s="303" t="str">
        <f>+CONCATENATE(WEEKNUM(Tabla8[[#This Row],[FECHA]]),"-",YEAR(Tabla8[[#This Row],[FECHA]]))</f>
        <v>19-2026</v>
      </c>
    </row>
    <row r="1211" spans="1:21" ht="15" customHeight="1">
      <c r="A1211" s="22">
        <v>46148</v>
      </c>
      <c r="B1211" s="16" t="s">
        <v>191</v>
      </c>
      <c r="C1211" s="10" t="s">
        <v>39</v>
      </c>
      <c r="D1211" s="381" t="s">
        <v>2291</v>
      </c>
      <c r="E1211" s="381" t="s">
        <v>1145</v>
      </c>
      <c r="F1211" s="380">
        <f>+MOD(Tabla8[[#This Row],[HR. FIN]]-Tabla8[[#This Row],[HR. INICIO]],1)</f>
        <v>1.9444444444444438E-2</v>
      </c>
      <c r="G1211" s="16" t="s">
        <v>270</v>
      </c>
      <c r="H1211" s="343" t="str">
        <f>IFERROR(VLOOKUP(G1211,DATOS!$M$2:$N$219,2,FALSE),"")</f>
        <v>Maquinaria</v>
      </c>
      <c r="I1211" s="115" t="s">
        <v>54</v>
      </c>
      <c r="J1211" s="115" t="s">
        <v>157</v>
      </c>
      <c r="K1211" s="114" t="s">
        <v>93</v>
      </c>
      <c r="L1211" s="35" t="s">
        <v>2292</v>
      </c>
      <c r="M1211" s="35" t="s">
        <v>121</v>
      </c>
      <c r="N1211" s="35" t="str" cm="1">
        <f t="array" ref="N1211">IFERROR(IF(Tabla8[[#This Row],[P/NP]]="NO PROGRAMADA","",_xlfn.TEXTJOIN(", ",TRUE,_xlfn._xlws.FILTER(Tabla4[[#All],[PIEZA]],ISNUMBER(SEARCH(Tabla4[[#All],[PCLAVE]],Tabla8[[#This Row],[DESCRIPCION DE TRABAJO]])),""))),"")</f>
        <v>Rascador, Moldes, Rascador</v>
      </c>
      <c r="O1211" s="35" t="str" cm="1">
        <f t="array" ref="O1211">_xlfn.TEXTJOIN(", ",TRUE,_xlfn._xlws.FILTER(Tabla28[[#All],[PARTE]],ISNUMBER(SEARCH(Tabla28[[#All],[PCLAVE2]],Tabla8[[#This Row],[DESCRIPCION DE TRABAJO]])),""))</f>
        <v/>
      </c>
      <c r="P1211" s="303" t="str">
        <f>IFERROR(LEFT(O1211, FIND(",", O1211)-1), O1211)</f>
        <v/>
      </c>
      <c r="Q1211" s="303" t="str">
        <f>IFERROR(IF(ISERROR(FIND(",", O1211, FIND(",", O1211)+1)), RIGHT(O1211, LEN(O1211)-FIND(",", O1211)-1), MID(O1211, FIND(",", O1211)+2, FIND(",", O1211, FIND(",", O1211)+1)-FIND(",", O1211)-2)), "")</f>
        <v/>
      </c>
      <c r="R1211" s="303" t="str">
        <f>IFERROR(RIGHT(O1211, LEN(O1211)-FIND(",", O1211, FIND(",", O1211)+1)-1), "")</f>
        <v/>
      </c>
      <c r="S1211" s="35" t="str" cm="1">
        <f t="array" ref="S1211">_xlfn.TEXTJOIN(", ",TRUE,_xlfn._xlws.FILTER(Tabla29[[#All],[PARTE]],ISNUMBER(SEARCH(Tabla29[[#All],[PCLAVE3]],Tabla8[[#This Row],[DESCRIPCION DE TRABAJO]])),""))</f>
        <v/>
      </c>
      <c r="T1211" s="34" t="str">
        <f>IF(AND(Tabla8[[#This Row],[PIEZA]]="",Tabla8[[#This Row],[PARTE]]=""),"VACIO","OK")</f>
        <v>OK</v>
      </c>
      <c r="U1211" s="303" t="str">
        <f>+CONCATENATE(WEEKNUM(Tabla8[[#This Row],[FECHA]]),"-",YEAR(Tabla8[[#This Row],[FECHA]]))</f>
        <v>19-2026</v>
      </c>
    </row>
    <row r="1212" spans="1:21" ht="15" customHeight="1">
      <c r="A1212" s="22">
        <v>46148</v>
      </c>
      <c r="B1212" s="16" t="s">
        <v>131</v>
      </c>
      <c r="C1212" s="10" t="s">
        <v>23</v>
      </c>
      <c r="D1212" s="381" t="s">
        <v>2293</v>
      </c>
      <c r="E1212" s="381" t="s">
        <v>264</v>
      </c>
      <c r="F1212" s="380">
        <f>+MOD(Tabla8[[#This Row],[HR. FIN]]-Tabla8[[#This Row],[HR. INICIO]],1)</f>
        <v>1.8749999999999933E-2</v>
      </c>
      <c r="G1212" s="16" t="s">
        <v>31</v>
      </c>
      <c r="H1212" s="343" t="str">
        <f>IFERROR(VLOOKUP(G1212,DATOS!$M$2:$N$219,2,FALSE),"")</f>
        <v>Maquinaria</v>
      </c>
      <c r="I1212" s="115" t="s">
        <v>54</v>
      </c>
      <c r="J1212" s="115" t="s">
        <v>157</v>
      </c>
      <c r="K1212" s="114"/>
      <c r="L1212" s="35" t="s">
        <v>154</v>
      </c>
      <c r="M1212" s="35" t="s">
        <v>2294</v>
      </c>
      <c r="N1212" s="35" t="str" cm="1">
        <f t="array" ref="N1212">IFERROR(IF(Tabla8[[#This Row],[P/NP]]="NO PROGRAMADA","",_xlfn.TEXTJOIN(", ",TRUE,_xlfn._xlws.FILTER(Tabla4[[#All],[PIEZA]],ISNUMBER(SEARCH(Tabla4[[#All],[PCLAVE]],Tabla8[[#This Row],[DESCRIPCION DE TRABAJO]])),""))),"")</f>
        <v/>
      </c>
      <c r="O1212" s="35" t="str" cm="1">
        <f t="array" ref="O1212">_xlfn.TEXTJOIN(", ",TRUE,_xlfn._xlws.FILTER(Tabla28[[#All],[PARTE]],ISNUMBER(SEARCH(Tabla28[[#All],[PCLAVE2]],Tabla8[[#This Row],[DESCRIPCION DE TRABAJO]])),""))</f>
        <v/>
      </c>
      <c r="P1212" s="303" t="str">
        <f>IFERROR(LEFT(O1212, FIND(",", O1212)-1), O1212)</f>
        <v/>
      </c>
      <c r="Q1212" s="303" t="str">
        <f>IFERROR(IF(ISERROR(FIND(",", O1212, FIND(",", O1212)+1)), RIGHT(O1212, LEN(O1212)-FIND(",", O1212)-1), MID(O1212, FIND(",", O1212)+2, FIND(",", O1212, FIND(",", O1212)+1)-FIND(",", O1212)-2)), "")</f>
        <v/>
      </c>
      <c r="R1212" s="303" t="str">
        <f>IFERROR(RIGHT(O1212, LEN(O1212)-FIND(",", O1212, FIND(",", O1212)+1)-1), "")</f>
        <v/>
      </c>
      <c r="S1212" s="35" t="str" cm="1">
        <f t="array" ref="S1212">_xlfn.TEXTJOIN(", ",TRUE,_xlfn._xlws.FILTER(Tabla29[[#All],[PARTE]],ISNUMBER(SEARCH(Tabla29[[#All],[PCLAVE3]],Tabla8[[#This Row],[DESCRIPCION DE TRABAJO]])),""))</f>
        <v/>
      </c>
      <c r="T1212" s="34" t="str">
        <f>IF(AND(Tabla8[[#This Row],[PIEZA]]="",Tabla8[[#This Row],[PARTE]]=""),"VACIO","OK")</f>
        <v>VACIO</v>
      </c>
      <c r="U1212" s="303" t="str">
        <f>+CONCATENATE(WEEKNUM(Tabla8[[#This Row],[FECHA]]),"-",YEAR(Tabla8[[#This Row],[FECHA]]))</f>
        <v>19-2026</v>
      </c>
    </row>
    <row r="1213" spans="1:21" ht="15" customHeight="1">
      <c r="A1213" s="22">
        <v>46148</v>
      </c>
      <c r="B1213" s="16" t="s">
        <v>191</v>
      </c>
      <c r="C1213" s="10" t="s">
        <v>39</v>
      </c>
      <c r="D1213" s="381" t="s">
        <v>1169</v>
      </c>
      <c r="E1213" s="381" t="s">
        <v>1621</v>
      </c>
      <c r="F1213" s="380">
        <f>+MOD(Tabla8[[#This Row],[HR. FIN]]-Tabla8[[#This Row],[HR. INICIO]],1)</f>
        <v>1.8055555555555491E-2</v>
      </c>
      <c r="G1213" s="16" t="s">
        <v>31</v>
      </c>
      <c r="H1213" s="343" t="str">
        <f>IFERROR(VLOOKUP(G1213,DATOS!$M$2:$N$219,2,FALSE),"")</f>
        <v>Maquinaria</v>
      </c>
      <c r="I1213" s="115" t="s">
        <v>2272</v>
      </c>
      <c r="J1213" s="115" t="s">
        <v>92</v>
      </c>
      <c r="K1213" s="114" t="s">
        <v>93</v>
      </c>
      <c r="L1213" s="35" t="s">
        <v>2295</v>
      </c>
      <c r="M1213" s="35" t="s">
        <v>2296</v>
      </c>
      <c r="N1213" s="35" t="str" cm="1">
        <f t="array" ref="N1213">IFERROR(IF(Tabla8[[#This Row],[P/NP]]="NO PROGRAMADA","",_xlfn.TEXTJOIN(", ",TRUE,_xlfn._xlws.FILTER(Tabla4[[#All],[PIEZA]],ISNUMBER(SEARCH(Tabla4[[#All],[PCLAVE]],Tabla8[[#This Row],[DESCRIPCION DE TRABAJO]])),""))),"")</f>
        <v/>
      </c>
      <c r="O1213" s="35" t="str" cm="1">
        <f t="array" ref="O1213">_xlfn.TEXTJOIN(", ",TRUE,_xlfn._xlws.FILTER(Tabla28[[#All],[PARTE]],ISNUMBER(SEARCH(Tabla28[[#All],[PCLAVE2]],Tabla8[[#This Row],[DESCRIPCION DE TRABAJO]])),""))</f>
        <v/>
      </c>
      <c r="P1213" s="303" t="str">
        <f>IFERROR(LEFT(O1213, FIND(",", O1213)-1), O1213)</f>
        <v/>
      </c>
      <c r="Q1213" s="303" t="str">
        <f>IFERROR(IF(ISERROR(FIND(",", O1213, FIND(",", O1213)+1)), RIGHT(O1213, LEN(O1213)-FIND(",", O1213)-1), MID(O1213, FIND(",", O1213)+2, FIND(",", O1213, FIND(",", O1213)+1)-FIND(",", O1213)-2)), "")</f>
        <v/>
      </c>
      <c r="R1213" s="303" t="str">
        <f>IFERROR(RIGHT(O1213, LEN(O1213)-FIND(",", O1213, FIND(",", O1213)+1)-1), "")</f>
        <v/>
      </c>
      <c r="S1213" s="35" t="str" cm="1">
        <f t="array" ref="S1213">_xlfn.TEXTJOIN(", ",TRUE,_xlfn._xlws.FILTER(Tabla29[[#All],[PARTE]],ISNUMBER(SEARCH(Tabla29[[#All],[PCLAVE3]],Tabla8[[#This Row],[DESCRIPCION DE TRABAJO]])),""))</f>
        <v/>
      </c>
      <c r="T1213" s="34" t="str">
        <f>IF(AND(Tabla8[[#This Row],[PIEZA]]="",Tabla8[[#This Row],[PARTE]]=""),"VACIO","OK")</f>
        <v>VACIO</v>
      </c>
      <c r="U1213" s="303" t="str">
        <f>+CONCATENATE(WEEKNUM(Tabla8[[#This Row],[FECHA]]),"-",YEAR(Tabla8[[#This Row],[FECHA]]))</f>
        <v>19-2026</v>
      </c>
    </row>
    <row r="1214" spans="1:21" ht="15" customHeight="1">
      <c r="A1214" s="22">
        <v>46148</v>
      </c>
      <c r="B1214" s="16" t="s">
        <v>131</v>
      </c>
      <c r="C1214" s="10" t="s">
        <v>23</v>
      </c>
      <c r="D1214" s="381">
        <v>0.67708333333333337</v>
      </c>
      <c r="E1214" s="381">
        <v>0.69444444444444442</v>
      </c>
      <c r="F1214" s="380">
        <f>+MOD(Tabla8[[#This Row],[HR. FIN]]-Tabla8[[#This Row],[HR. INICIO]],1)</f>
        <v>1.7361111111111049E-2</v>
      </c>
      <c r="G1214" s="16" t="s">
        <v>328</v>
      </c>
      <c r="H1214" s="343" t="str">
        <f>IFERROR(VLOOKUP(G1214,DATOS!$M$2:$N$219,2,FALSE),"")</f>
        <v>Area</v>
      </c>
      <c r="I1214" s="115" t="s">
        <v>2268</v>
      </c>
      <c r="J1214" s="115" t="s">
        <v>157</v>
      </c>
      <c r="K1214" s="114"/>
      <c r="L1214" s="35" t="s">
        <v>2297</v>
      </c>
      <c r="M1214" s="35" t="s">
        <v>121</v>
      </c>
      <c r="N1214" s="35" t="str" cm="1">
        <f t="array" ref="N1214">IFERROR(IF(Tabla8[[#This Row],[P/NP]]="NO PROGRAMADA","",_xlfn.TEXTJOIN(", ",TRUE,_xlfn._xlws.FILTER(Tabla4[[#All],[PIEZA]],ISNUMBER(SEARCH(Tabla4[[#All],[PCLAVE]],Tabla8[[#This Row],[DESCRIPCION DE TRABAJO]])),""))),"")</f>
        <v>Gomas, Pinzas</v>
      </c>
      <c r="O1214" s="35" t="str" cm="1">
        <f t="array" ref="O1214">_xlfn.TEXTJOIN(", ",TRUE,_xlfn._xlws.FILTER(Tabla28[[#All],[PARTE]],ISNUMBER(SEARCH(Tabla28[[#All],[PCLAVE2]],Tabla8[[#This Row],[DESCRIPCION DE TRABAJO]])),""))</f>
        <v/>
      </c>
      <c r="P1214" s="303" t="str">
        <f>IFERROR(LEFT(O1214, FIND(",", O1214)-1), O1214)</f>
        <v/>
      </c>
      <c r="Q1214" s="303" t="str">
        <f>IFERROR(IF(ISERROR(FIND(",", O1214, FIND(",", O1214)+1)), RIGHT(O1214, LEN(O1214)-FIND(",", O1214)-1), MID(O1214, FIND(",", O1214)+2, FIND(",", O1214, FIND(",", O1214)+1)-FIND(",", O1214)-2)), "")</f>
        <v/>
      </c>
      <c r="R1214" s="303" t="str">
        <f>IFERROR(RIGHT(O1214, LEN(O1214)-FIND(",", O1214, FIND(",", O1214)+1)-1), "")</f>
        <v/>
      </c>
      <c r="S1214" s="35" t="str" cm="1">
        <f t="array" ref="S1214">_xlfn.TEXTJOIN(", ",TRUE,_xlfn._xlws.FILTER(Tabla29[[#All],[PARTE]],ISNUMBER(SEARCH(Tabla29[[#All],[PCLAVE3]],Tabla8[[#This Row],[DESCRIPCION DE TRABAJO]])),""))</f>
        <v>Cambio De Formato, Sustitucion</v>
      </c>
      <c r="T1214" s="34" t="str">
        <f>IF(AND(Tabla8[[#This Row],[PIEZA]]="",Tabla8[[#This Row],[PARTE]]=""),"VACIO","OK")</f>
        <v>OK</v>
      </c>
      <c r="U1214" s="303" t="str">
        <f>+CONCATENATE(WEEKNUM(Tabla8[[#This Row],[FECHA]]),"-",YEAR(Tabla8[[#This Row],[FECHA]]))</f>
        <v>19-2026</v>
      </c>
    </row>
    <row r="1215" spans="1:21" ht="15" customHeight="1">
      <c r="A1215" s="22">
        <v>46148</v>
      </c>
      <c r="B1215" s="16" t="s">
        <v>179</v>
      </c>
      <c r="C1215" s="10" t="s">
        <v>23</v>
      </c>
      <c r="D1215" s="381">
        <v>0.66666666666666663</v>
      </c>
      <c r="E1215" s="381">
        <v>0.68055555555555558</v>
      </c>
      <c r="F1215" s="380">
        <f>+MOD(Tabla8[[#This Row],[HR. FIN]]-Tabla8[[#This Row],[HR. INICIO]],1)</f>
        <v>1.3888888888888951E-2</v>
      </c>
      <c r="G1215" s="16" t="s">
        <v>31</v>
      </c>
      <c r="H1215" s="343" t="str">
        <f>IFERROR(VLOOKUP(G1215,DATOS!$M$2:$N$219,2,FALSE),"")</f>
        <v>Maquinaria</v>
      </c>
      <c r="I1215" s="115" t="s">
        <v>32</v>
      </c>
      <c r="J1215" s="115" t="s">
        <v>157</v>
      </c>
      <c r="K1215" s="114"/>
      <c r="L1215" s="35" t="s">
        <v>2298</v>
      </c>
      <c r="M1215" s="35" t="s">
        <v>121</v>
      </c>
      <c r="N1215" s="35" t="str" cm="1">
        <f t="array" ref="N1215">IFERROR(IF(Tabla8[[#This Row],[P/NP]]="NO PROGRAMADA","",_xlfn.TEXTJOIN(", ",TRUE,_xlfn._xlws.FILTER(Tabla4[[#All],[PIEZA]],ISNUMBER(SEARCH(Tabla4[[#All],[PCLAVE]],Tabla8[[#This Row],[DESCRIPCION DE TRABAJO]])),""))),"")</f>
        <v/>
      </c>
      <c r="O1215" s="35" t="str" cm="1">
        <f t="array" ref="O1215">_xlfn.TEXTJOIN(", ",TRUE,_xlfn._xlws.FILTER(Tabla28[[#All],[PARTE]],ISNUMBER(SEARCH(Tabla28[[#All],[PCLAVE2]],Tabla8[[#This Row],[DESCRIPCION DE TRABAJO]])),""))</f>
        <v/>
      </c>
      <c r="P1215" s="303" t="str">
        <f>IFERROR(LEFT(O1215, FIND(",", O1215)-1), O1215)</f>
        <v/>
      </c>
      <c r="Q1215" s="303" t="str">
        <f>IFERROR(IF(ISERROR(FIND(",", O1215, FIND(",", O1215)+1)), RIGHT(O1215, LEN(O1215)-FIND(",", O1215)-1), MID(O1215, FIND(",", O1215)+2, FIND(",", O1215, FIND(",", O1215)+1)-FIND(",", O1215)-2)), "")</f>
        <v/>
      </c>
      <c r="R1215" s="303" t="str">
        <f>IFERROR(RIGHT(O1215, LEN(O1215)-FIND(",", O1215, FIND(",", O1215)+1)-1), "")</f>
        <v/>
      </c>
      <c r="S1215" s="35" t="str" cm="1">
        <f t="array" ref="S1215">_xlfn.TEXTJOIN(", ",TRUE,_xlfn._xlws.FILTER(Tabla29[[#All],[PARTE]],ISNUMBER(SEARCH(Tabla29[[#All],[PCLAVE3]],Tabla8[[#This Row],[DESCRIPCION DE TRABAJO]])),""))</f>
        <v>Cambio De Formato</v>
      </c>
      <c r="T1215" s="34" t="str">
        <f>IF(AND(Tabla8[[#This Row],[PIEZA]]="",Tabla8[[#This Row],[PARTE]]=""),"VACIO","OK")</f>
        <v>VACIO</v>
      </c>
      <c r="U1215" s="303" t="str">
        <f>+CONCATENATE(WEEKNUM(Tabla8[[#This Row],[FECHA]]),"-",YEAR(Tabla8[[#This Row],[FECHA]]))</f>
        <v>19-2026</v>
      </c>
    </row>
    <row r="1216" spans="1:21" ht="15" customHeight="1">
      <c r="A1216" s="22">
        <v>46148</v>
      </c>
      <c r="B1216" s="16" t="s">
        <v>179</v>
      </c>
      <c r="C1216" s="10" t="s">
        <v>23</v>
      </c>
      <c r="D1216" s="381">
        <v>0.69444444444444442</v>
      </c>
      <c r="E1216" s="381">
        <v>0.70833333333333337</v>
      </c>
      <c r="F1216" s="380">
        <f>+MOD(Tabla8[[#This Row],[HR. FIN]]-Tabla8[[#This Row],[HR. INICIO]],1)</f>
        <v>1.3888888888888951E-2</v>
      </c>
      <c r="G1216" s="16" t="s">
        <v>241</v>
      </c>
      <c r="H1216" s="343" t="str">
        <f>IFERROR(VLOOKUP(G1216,DATOS!$M$2:$N$219,2,FALSE),"")</f>
        <v>Maquinaria</v>
      </c>
      <c r="I1216" s="115" t="s">
        <v>245</v>
      </c>
      <c r="J1216" s="115" t="s">
        <v>157</v>
      </c>
      <c r="K1216" s="114"/>
      <c r="L1216" s="35" t="s">
        <v>2299</v>
      </c>
      <c r="M1216" s="35" t="s">
        <v>121</v>
      </c>
      <c r="N1216" s="35" t="str" cm="1">
        <f t="array" ref="N1216">IFERROR(IF(Tabla8[[#This Row],[P/NP]]="NO PROGRAMADA","",_xlfn.TEXTJOIN(", ",TRUE,_xlfn._xlws.FILTER(Tabla4[[#All],[PIEZA]],ISNUMBER(SEARCH(Tabla4[[#All],[PCLAVE]],Tabla8[[#This Row],[DESCRIPCION DE TRABAJO]])),""))),"")</f>
        <v/>
      </c>
      <c r="O1216" s="35" t="str" cm="1">
        <f t="array" ref="O1216">_xlfn.TEXTJOIN(", ",TRUE,_xlfn._xlws.FILTER(Tabla28[[#All],[PARTE]],ISNUMBER(SEARCH(Tabla28[[#All],[PCLAVE2]],Tabla8[[#This Row],[DESCRIPCION DE TRABAJO]])),""))</f>
        <v/>
      </c>
      <c r="P1216" s="303" t="str">
        <f>IFERROR(LEFT(O1216, FIND(",", O1216)-1), O1216)</f>
        <v/>
      </c>
      <c r="Q1216" s="303" t="str">
        <f>IFERROR(IF(ISERROR(FIND(",", O1216, FIND(",", O1216)+1)), RIGHT(O1216, LEN(O1216)-FIND(",", O1216)-1), MID(O1216, FIND(",", O1216)+2, FIND(",", O1216, FIND(",", O1216)+1)-FIND(",", O1216)-2)), "")</f>
        <v/>
      </c>
      <c r="R1216" s="303" t="str">
        <f>IFERROR(RIGHT(O1216, LEN(O1216)-FIND(",", O1216, FIND(",", O1216)+1)-1), "")</f>
        <v/>
      </c>
      <c r="S1216" s="35" t="str" cm="1">
        <f t="array" ref="S1216">_xlfn.TEXTJOIN(", ",TRUE,_xlfn._xlws.FILTER(Tabla29[[#All],[PARTE]],ISNUMBER(SEARCH(Tabla29[[#All],[PCLAVE3]],Tabla8[[#This Row],[DESCRIPCION DE TRABAJO]])),""))</f>
        <v/>
      </c>
      <c r="T1216" s="34" t="str">
        <f>IF(AND(Tabla8[[#This Row],[PIEZA]]="",Tabla8[[#This Row],[PARTE]]=""),"VACIO","OK")</f>
        <v>VACIO</v>
      </c>
      <c r="U1216" s="303" t="str">
        <f>+CONCATENATE(WEEKNUM(Tabla8[[#This Row],[FECHA]]),"-",YEAR(Tabla8[[#This Row],[FECHA]]))</f>
        <v>19-2026</v>
      </c>
    </row>
    <row r="1217" spans="1:21" ht="15" customHeight="1">
      <c r="A1217" s="22">
        <v>46148</v>
      </c>
      <c r="B1217" s="16" t="s">
        <v>179</v>
      </c>
      <c r="C1217" s="10" t="s">
        <v>36</v>
      </c>
      <c r="D1217" s="381">
        <v>0.79166666666666663</v>
      </c>
      <c r="E1217" s="381">
        <v>0.80555555555555558</v>
      </c>
      <c r="F1217" s="380">
        <f>+MOD(Tabla8[[#This Row],[HR. FIN]]-Tabla8[[#This Row],[HR. INICIO]],1)</f>
        <v>1.3888888888888951E-2</v>
      </c>
      <c r="G1217" s="16" t="s">
        <v>153</v>
      </c>
      <c r="H1217" s="343" t="str">
        <f>IFERROR(VLOOKUP(G1217,DATOS!$M$2:$N$219,2,FALSE),"")</f>
        <v>Maquinaria</v>
      </c>
      <c r="I1217" s="115" t="s">
        <v>57</v>
      </c>
      <c r="J1217" s="115" t="s">
        <v>92</v>
      </c>
      <c r="K1217" s="114" t="s">
        <v>93</v>
      </c>
      <c r="L1217" s="35" t="s">
        <v>2300</v>
      </c>
      <c r="M1217" s="35" t="s">
        <v>2301</v>
      </c>
      <c r="N1217" s="35" t="str" cm="1">
        <f t="array" ref="N1217">IFERROR(IF(Tabla8[[#This Row],[P/NP]]="NO PROGRAMADA","",_xlfn.TEXTJOIN(", ",TRUE,_xlfn._xlws.FILTER(Tabla4[[#All],[PIEZA]],ISNUMBER(SEARCH(Tabla4[[#All],[PCLAVE]],Tabla8[[#This Row],[DESCRIPCION DE TRABAJO]])),""))),"")</f>
        <v/>
      </c>
      <c r="O1217" s="35" t="str" cm="1">
        <f t="array" ref="O1217">_xlfn.TEXTJOIN(", ",TRUE,_xlfn._xlws.FILTER(Tabla28[[#All],[PARTE]],ISNUMBER(SEARCH(Tabla28[[#All],[PCLAVE2]],Tabla8[[#This Row],[DESCRIPCION DE TRABAJO]])),""))</f>
        <v/>
      </c>
      <c r="P1217" s="303" t="str">
        <f>IFERROR(LEFT(O1217, FIND(",", O1217)-1), O1217)</f>
        <v/>
      </c>
      <c r="Q1217" s="303" t="str">
        <f>IFERROR(IF(ISERROR(FIND(",", O1217, FIND(",", O1217)+1)), RIGHT(O1217, LEN(O1217)-FIND(",", O1217)-1), MID(O1217, FIND(",", O1217)+2, FIND(",", O1217, FIND(",", O1217)+1)-FIND(",", O1217)-2)), "")</f>
        <v/>
      </c>
      <c r="R1217" s="303" t="str">
        <f>IFERROR(RIGHT(O1217, LEN(O1217)-FIND(",", O1217, FIND(",", O1217)+1)-1), "")</f>
        <v/>
      </c>
      <c r="S1217" s="35" t="str" cm="1">
        <f t="array" ref="S1217">_xlfn.TEXTJOIN(", ",TRUE,_xlfn._xlws.FILTER(Tabla29[[#All],[PARTE]],ISNUMBER(SEARCH(Tabla29[[#All],[PCLAVE3]],Tabla8[[#This Row],[DESCRIPCION DE TRABAJO]])),""))</f>
        <v>Rotura</v>
      </c>
      <c r="T1217" s="34" t="str">
        <f>IF(AND(Tabla8[[#This Row],[PIEZA]]="",Tabla8[[#This Row],[PARTE]]=""),"VACIO","OK")</f>
        <v>VACIO</v>
      </c>
      <c r="U1217" s="303" t="str">
        <f>+CONCATENATE(WEEKNUM(Tabla8[[#This Row],[FECHA]]),"-",YEAR(Tabla8[[#This Row],[FECHA]]))</f>
        <v>19-2026</v>
      </c>
    </row>
    <row r="1218" spans="1:21" ht="15" customHeight="1">
      <c r="A1218" s="22">
        <v>46148</v>
      </c>
      <c r="B1218" s="16" t="s">
        <v>131</v>
      </c>
      <c r="C1218" s="10" t="s">
        <v>23</v>
      </c>
      <c r="D1218" s="381" t="s">
        <v>457</v>
      </c>
      <c r="E1218" s="381" t="s">
        <v>686</v>
      </c>
      <c r="F1218" s="380">
        <f>+MOD(Tabla8[[#This Row],[HR. FIN]]-Tabla8[[#This Row],[HR. INICIO]],1)</f>
        <v>1.3888888888888951E-2</v>
      </c>
      <c r="G1218" s="16" t="s">
        <v>965</v>
      </c>
      <c r="H1218" s="343" t="str">
        <f>IFERROR(VLOOKUP(G1218,DATOS!$M$2:$N$219,2,FALSE),"")</f>
        <v>Maquinaria</v>
      </c>
      <c r="I1218" s="115" t="s">
        <v>390</v>
      </c>
      <c r="J1218" s="115" t="s">
        <v>157</v>
      </c>
      <c r="K1218" s="114"/>
      <c r="L1218" s="35" t="s">
        <v>821</v>
      </c>
      <c r="M1218" s="35" t="s">
        <v>121</v>
      </c>
      <c r="N1218" s="35" t="str" cm="1">
        <f t="array" ref="N1218">IFERROR(IF(Tabla8[[#This Row],[P/NP]]="NO PROGRAMADA","",_xlfn.TEXTJOIN(", ",TRUE,_xlfn._xlws.FILTER(Tabla4[[#All],[PIEZA]],ISNUMBER(SEARCH(Tabla4[[#All],[PCLAVE]],Tabla8[[#This Row],[DESCRIPCION DE TRABAJO]])),""))),"")</f>
        <v/>
      </c>
      <c r="O1218" s="35" t="str" cm="1">
        <f t="array" ref="O1218">_xlfn.TEXTJOIN(", ",TRUE,_xlfn._xlws.FILTER(Tabla28[[#All],[PARTE]],ISNUMBER(SEARCH(Tabla28[[#All],[PCLAVE2]],Tabla8[[#This Row],[DESCRIPCION DE TRABAJO]])),""))</f>
        <v/>
      </c>
      <c r="P1218" s="303" t="str">
        <f>IFERROR(LEFT(O1218, FIND(",", O1218)-1), O1218)</f>
        <v/>
      </c>
      <c r="Q1218" s="303" t="str">
        <f>IFERROR(IF(ISERROR(FIND(",", O1218, FIND(",", O1218)+1)), RIGHT(O1218, LEN(O1218)-FIND(",", O1218)-1), MID(O1218, FIND(",", O1218)+2, FIND(",", O1218, FIND(",", O1218)+1)-FIND(",", O1218)-2)), "")</f>
        <v/>
      </c>
      <c r="R1218" s="303" t="str">
        <f>IFERROR(RIGHT(O1218, LEN(O1218)-FIND(",", O1218, FIND(",", O1218)+1)-1), "")</f>
        <v/>
      </c>
      <c r="S1218" s="35" t="str" cm="1">
        <f t="array" ref="S1218">_xlfn.TEXTJOIN(", ",TRUE,_xlfn._xlws.FILTER(Tabla29[[#All],[PARTE]],ISNUMBER(SEARCH(Tabla29[[#All],[PCLAVE3]],Tabla8[[#This Row],[DESCRIPCION DE TRABAJO]])),""))</f>
        <v/>
      </c>
      <c r="T1218" s="34" t="str">
        <f>IF(AND(Tabla8[[#This Row],[PIEZA]]="",Tabla8[[#This Row],[PARTE]]=""),"VACIO","OK")</f>
        <v>VACIO</v>
      </c>
      <c r="U1218" s="303" t="str">
        <f>+CONCATENATE(WEEKNUM(Tabla8[[#This Row],[FECHA]]),"-",YEAR(Tabla8[[#This Row],[FECHA]]))</f>
        <v>19-2026</v>
      </c>
    </row>
    <row r="1219" spans="1:21" ht="15" customHeight="1">
      <c r="A1219" s="22">
        <v>46148</v>
      </c>
      <c r="B1219" s="16" t="s">
        <v>111</v>
      </c>
      <c r="C1219" s="10" t="s">
        <v>36</v>
      </c>
      <c r="D1219" s="381" t="s">
        <v>557</v>
      </c>
      <c r="E1219" s="381" t="s">
        <v>90</v>
      </c>
      <c r="F1219" s="380">
        <f>+MOD(Tabla8[[#This Row],[HR. FIN]]-Tabla8[[#This Row],[HR. INICIO]],1)</f>
        <v>1.3888888888888895E-2</v>
      </c>
      <c r="G1219" s="16" t="s">
        <v>1379</v>
      </c>
      <c r="H1219" s="343" t="str">
        <f>IFERROR(VLOOKUP(G1219,DATOS!$M$2:$N$219,2,FALSE),"")</f>
        <v>Maquinaria</v>
      </c>
      <c r="I1219" s="115" t="s">
        <v>390</v>
      </c>
      <c r="J1219" s="115" t="s">
        <v>157</v>
      </c>
      <c r="K1219" s="114"/>
      <c r="L1219" s="35" t="s">
        <v>2302</v>
      </c>
      <c r="M1219" s="35" t="s">
        <v>121</v>
      </c>
      <c r="N1219" s="35" t="str" cm="1">
        <f t="array" ref="N1219">IFERROR(IF(Tabla8[[#This Row],[P/NP]]="NO PROGRAMADA","",_xlfn.TEXTJOIN(", ",TRUE,_xlfn._xlws.FILTER(Tabla4[[#All],[PIEZA]],ISNUMBER(SEARCH(Tabla4[[#All],[PCLAVE]],Tabla8[[#This Row],[DESCRIPCION DE TRABAJO]])),""))),"")</f>
        <v/>
      </c>
      <c r="O1219" s="35" t="str" cm="1">
        <f t="array" ref="O1219">_xlfn.TEXTJOIN(", ",TRUE,_xlfn._xlws.FILTER(Tabla28[[#All],[PARTE]],ISNUMBER(SEARCH(Tabla28[[#All],[PCLAVE2]],Tabla8[[#This Row],[DESCRIPCION DE TRABAJO]])),""))</f>
        <v/>
      </c>
      <c r="P1219" s="303" t="str">
        <f>IFERROR(LEFT(O1219, FIND(",", O1219)-1), O1219)</f>
        <v/>
      </c>
      <c r="Q1219" s="303" t="str">
        <f>IFERROR(IF(ISERROR(FIND(",", O1219, FIND(",", O1219)+1)), RIGHT(O1219, LEN(O1219)-FIND(",", O1219)-1), MID(O1219, FIND(",", O1219)+2, FIND(",", O1219, FIND(",", O1219)+1)-FIND(",", O1219)-2)), "")</f>
        <v/>
      </c>
      <c r="R1219" s="303" t="str">
        <f>IFERROR(RIGHT(O1219, LEN(O1219)-FIND(",", O1219, FIND(",", O1219)+1)-1), "")</f>
        <v/>
      </c>
      <c r="S1219" s="35" t="str" cm="1">
        <f t="array" ref="S1219">_xlfn.TEXTJOIN(", ",TRUE,_xlfn._xlws.FILTER(Tabla29[[#All],[PARTE]],ISNUMBER(SEARCH(Tabla29[[#All],[PCLAVE3]],Tabla8[[#This Row],[DESCRIPCION DE TRABAJO]])),""))</f>
        <v/>
      </c>
      <c r="T1219" s="34" t="str">
        <f>IF(AND(Tabla8[[#This Row],[PIEZA]]="",Tabla8[[#This Row],[PARTE]]=""),"VACIO","OK")</f>
        <v>VACIO</v>
      </c>
      <c r="U1219" s="303" t="str">
        <f>+CONCATENATE(WEEKNUM(Tabla8[[#This Row],[FECHA]]),"-",YEAR(Tabla8[[#This Row],[FECHA]]))</f>
        <v>19-2026</v>
      </c>
    </row>
    <row r="1220" spans="1:21" ht="15" customHeight="1">
      <c r="A1220" s="22">
        <v>46148</v>
      </c>
      <c r="B1220" s="16" t="s">
        <v>88</v>
      </c>
      <c r="C1220" s="10" t="s">
        <v>36</v>
      </c>
      <c r="D1220" s="381" t="s">
        <v>636</v>
      </c>
      <c r="E1220" s="381" t="s">
        <v>123</v>
      </c>
      <c r="F1220" s="380">
        <f>+MOD(Tabla8[[#This Row],[HR. FIN]]-Tabla8[[#This Row],[HR. INICIO]],1)</f>
        <v>1.3888888888888895E-2</v>
      </c>
      <c r="G1220" s="16" t="s">
        <v>119</v>
      </c>
      <c r="H1220" s="343" t="str">
        <f>IFERROR(VLOOKUP(G1220,DATOS!$M$2:$N$219,2,FALSE),"")</f>
        <v>Maquinaria</v>
      </c>
      <c r="I1220" s="115" t="s">
        <v>32</v>
      </c>
      <c r="J1220" s="115" t="s">
        <v>157</v>
      </c>
      <c r="K1220" s="114"/>
      <c r="L1220" s="35" t="s">
        <v>2303</v>
      </c>
      <c r="M1220" s="35" t="s">
        <v>2304</v>
      </c>
      <c r="N1220" s="35" t="str" cm="1">
        <f t="array" ref="N1220">IFERROR(IF(Tabla8[[#This Row],[P/NP]]="NO PROGRAMADA","",_xlfn.TEXTJOIN(", ",TRUE,_xlfn._xlws.FILTER(Tabla4[[#All],[PIEZA]],ISNUMBER(SEARCH(Tabla4[[#All],[PCLAVE]],Tabla8[[#This Row],[DESCRIPCION DE TRABAJO]])),""))),"")</f>
        <v/>
      </c>
      <c r="O1220" s="35" t="str" cm="1">
        <f t="array" ref="O1220">_xlfn.TEXTJOIN(", ",TRUE,_xlfn._xlws.FILTER(Tabla28[[#All],[PARTE]],ISNUMBER(SEARCH(Tabla28[[#All],[PCLAVE2]],Tabla8[[#This Row],[DESCRIPCION DE TRABAJO]])),""))</f>
        <v>Mds</v>
      </c>
      <c r="P1220" s="303" t="str">
        <f>IFERROR(LEFT(O1220, FIND(",", O1220)-1), O1220)</f>
        <v>Mds</v>
      </c>
      <c r="Q1220" s="303" t="str">
        <f>IFERROR(IF(ISERROR(FIND(",", O1220, FIND(",", O1220)+1)), RIGHT(O1220, LEN(O1220)-FIND(",", O1220)-1), MID(O1220, FIND(",", O1220)+2, FIND(",", O1220, FIND(",", O1220)+1)-FIND(",", O1220)-2)), "")</f>
        <v/>
      </c>
      <c r="R1220" s="303" t="str">
        <f>IFERROR(RIGHT(O1220, LEN(O1220)-FIND(",", O1220, FIND(",", O1220)+1)-1), "")</f>
        <v/>
      </c>
      <c r="S1220" s="35" t="str" cm="1">
        <f t="array" ref="S1220">_xlfn.TEXTJOIN(", ",TRUE,_xlfn._xlws.FILTER(Tabla29[[#All],[PARTE]],ISNUMBER(SEARCH(Tabla29[[#All],[PCLAVE3]],Tabla8[[#This Row],[DESCRIPCION DE TRABAJO]])),""))</f>
        <v>Cambio De Formato</v>
      </c>
      <c r="T1220" s="34" t="str">
        <f>IF(AND(Tabla8[[#This Row],[PIEZA]]="",Tabla8[[#This Row],[PARTE]]=""),"VACIO","OK")</f>
        <v>OK</v>
      </c>
      <c r="U1220" s="303" t="str">
        <f>+CONCATENATE(WEEKNUM(Tabla8[[#This Row],[FECHA]]),"-",YEAR(Tabla8[[#This Row],[FECHA]]))</f>
        <v>19-2026</v>
      </c>
    </row>
    <row r="1221" spans="1:21" ht="15" customHeight="1">
      <c r="A1221" s="22">
        <v>46148</v>
      </c>
      <c r="B1221" s="16" t="s">
        <v>191</v>
      </c>
      <c r="C1221" s="10" t="s">
        <v>39</v>
      </c>
      <c r="D1221" s="381" t="s">
        <v>746</v>
      </c>
      <c r="E1221" s="381" t="s">
        <v>2305</v>
      </c>
      <c r="F1221" s="380">
        <f>+MOD(Tabla8[[#This Row],[HR. FIN]]-Tabla8[[#This Row],[HR. INICIO]],1)</f>
        <v>1.1805555555555625E-2</v>
      </c>
      <c r="G1221" s="16" t="s">
        <v>215</v>
      </c>
      <c r="H1221" s="343" t="str">
        <f>IFERROR(VLOOKUP(G1221,DATOS!$M$2:$N$219,2,FALSE),"")</f>
        <v>Equipos auxiliares</v>
      </c>
      <c r="I1221" s="115" t="s">
        <v>54</v>
      </c>
      <c r="J1221" s="115" t="s">
        <v>157</v>
      </c>
      <c r="K1221" s="114"/>
      <c r="L1221" s="35" t="s">
        <v>1751</v>
      </c>
      <c r="M1221" s="35" t="s">
        <v>121</v>
      </c>
      <c r="N1221" s="35" t="str" cm="1">
        <f t="array" ref="N1221">IFERROR(IF(Tabla8[[#This Row],[P/NP]]="NO PROGRAMADA","",_xlfn.TEXTJOIN(", ",TRUE,_xlfn._xlws.FILTER(Tabla4[[#All],[PIEZA]],ISNUMBER(SEARCH(Tabla4[[#All],[PCLAVE]],Tabla8[[#This Row],[DESCRIPCION DE TRABAJO]])),""))),"")</f>
        <v/>
      </c>
      <c r="O1221" s="35" t="str" cm="1">
        <f t="array" ref="O1221">_xlfn.TEXTJOIN(", ",TRUE,_xlfn._xlws.FILTER(Tabla28[[#All],[PARTE]],ISNUMBER(SEARCH(Tabla28[[#All],[PCLAVE2]],Tabla8[[#This Row],[DESCRIPCION DE TRABAJO]])),""))</f>
        <v/>
      </c>
      <c r="P1221" s="303" t="str">
        <f>IFERROR(LEFT(O1221, FIND(",", O1221)-1), O1221)</f>
        <v/>
      </c>
      <c r="Q1221" s="303" t="str">
        <f>IFERROR(IF(ISERROR(FIND(",", O1221, FIND(",", O1221)+1)), RIGHT(O1221, LEN(O1221)-FIND(",", O1221)-1), MID(O1221, FIND(",", O1221)+2, FIND(",", O1221, FIND(",", O1221)+1)-FIND(",", O1221)-2)), "")</f>
        <v/>
      </c>
      <c r="R1221" s="303" t="str">
        <f>IFERROR(RIGHT(O1221, LEN(O1221)-FIND(",", O1221, FIND(",", O1221)+1)-1), "")</f>
        <v/>
      </c>
      <c r="S1221" s="35" t="str" cm="1">
        <f t="array" ref="S1221">_xlfn.TEXTJOIN(", ",TRUE,_xlfn._xlws.FILTER(Tabla29[[#All],[PARTE]],ISNUMBER(SEARCH(Tabla29[[#All],[PCLAVE3]],Tabla8[[#This Row],[DESCRIPCION DE TRABAJO]])),""))</f>
        <v/>
      </c>
      <c r="T1221" s="34" t="str">
        <f>IF(AND(Tabla8[[#This Row],[PIEZA]]="",Tabla8[[#This Row],[PARTE]]=""),"VACIO","OK")</f>
        <v>VACIO</v>
      </c>
      <c r="U1221" s="303" t="str">
        <f>+CONCATENATE(WEEKNUM(Tabla8[[#This Row],[FECHA]]),"-",YEAR(Tabla8[[#This Row],[FECHA]]))</f>
        <v>19-2026</v>
      </c>
    </row>
    <row r="1222" spans="1:21" ht="15" customHeight="1">
      <c r="A1222" s="22">
        <v>46148</v>
      </c>
      <c r="B1222" s="16" t="s">
        <v>191</v>
      </c>
      <c r="C1222" s="10" t="s">
        <v>39</v>
      </c>
      <c r="D1222" s="381" t="s">
        <v>478</v>
      </c>
      <c r="E1222" s="381" t="s">
        <v>547</v>
      </c>
      <c r="F1222" s="380">
        <f>+MOD(Tabla8[[#This Row],[HR. FIN]]-Tabla8[[#This Row],[HR. INICIO]],1)</f>
        <v>1.1805555555555514E-2</v>
      </c>
      <c r="G1222" s="16" t="s">
        <v>169</v>
      </c>
      <c r="H1222" s="343" t="str">
        <f>IFERROR(VLOOKUP(G1222,DATOS!$M$2:$N$219,2,FALSE),"")</f>
        <v>Maquinaria</v>
      </c>
      <c r="I1222" s="115" t="s">
        <v>32</v>
      </c>
      <c r="J1222" s="115" t="s">
        <v>157</v>
      </c>
      <c r="K1222" s="114"/>
      <c r="L1222" s="35" t="s">
        <v>76</v>
      </c>
      <c r="M1222" s="35" t="s">
        <v>121</v>
      </c>
      <c r="N1222" s="35" t="str" cm="1">
        <f t="array" ref="N1222">IFERROR(IF(Tabla8[[#This Row],[P/NP]]="NO PROGRAMADA","",_xlfn.TEXTJOIN(", ",TRUE,_xlfn._xlws.FILTER(Tabla4[[#All],[PIEZA]],ISNUMBER(SEARCH(Tabla4[[#All],[PCLAVE]],Tabla8[[#This Row],[DESCRIPCION DE TRABAJO]])),""))),"")</f>
        <v/>
      </c>
      <c r="O1222" s="35" t="str" cm="1">
        <f t="array" ref="O1222">_xlfn.TEXTJOIN(", ",TRUE,_xlfn._xlws.FILTER(Tabla28[[#All],[PARTE]],ISNUMBER(SEARCH(Tabla28[[#All],[PCLAVE2]],Tabla8[[#This Row],[DESCRIPCION DE TRABAJO]])),""))</f>
        <v/>
      </c>
      <c r="P1222" s="303" t="str">
        <f>IFERROR(LEFT(O1222, FIND(",", O1222)-1), O1222)</f>
        <v/>
      </c>
      <c r="Q1222" s="303" t="str">
        <f>IFERROR(IF(ISERROR(FIND(",", O1222, FIND(",", O1222)+1)), RIGHT(O1222, LEN(O1222)-FIND(",", O1222)-1), MID(O1222, FIND(",", O1222)+2, FIND(",", O1222, FIND(",", O1222)+1)-FIND(",", O1222)-2)), "")</f>
        <v/>
      </c>
      <c r="R1222" s="303" t="str">
        <f>IFERROR(RIGHT(O1222, LEN(O1222)-FIND(",", O1222, FIND(",", O1222)+1)-1), "")</f>
        <v/>
      </c>
      <c r="S1222" s="35" t="str" cm="1">
        <f t="array" ref="S1222">_xlfn.TEXTJOIN(", ",TRUE,_xlfn._xlws.FILTER(Tabla29[[#All],[PARTE]],ISNUMBER(SEARCH(Tabla29[[#All],[PCLAVE3]],Tabla8[[#This Row],[DESCRIPCION DE TRABAJO]])),""))</f>
        <v/>
      </c>
      <c r="T1222" s="34" t="str">
        <f>IF(AND(Tabla8[[#This Row],[PIEZA]]="",Tabla8[[#This Row],[PARTE]]=""),"VACIO","OK")</f>
        <v>VACIO</v>
      </c>
      <c r="U1222" s="303" t="str">
        <f>+CONCATENATE(WEEKNUM(Tabla8[[#This Row],[FECHA]]),"-",YEAR(Tabla8[[#This Row],[FECHA]]))</f>
        <v>19-2026</v>
      </c>
    </row>
    <row r="1223" spans="1:21" ht="15" customHeight="1">
      <c r="A1223" s="22">
        <v>46148</v>
      </c>
      <c r="B1223" s="16" t="s">
        <v>131</v>
      </c>
      <c r="C1223" s="10" t="s">
        <v>23</v>
      </c>
      <c r="D1223" s="381" t="s">
        <v>788</v>
      </c>
      <c r="E1223" s="381" t="s">
        <v>543</v>
      </c>
      <c r="F1223" s="380">
        <f>+MOD(Tabla8[[#This Row],[HR. FIN]]-Tabla8[[#This Row],[HR. INICIO]],1)</f>
        <v>1.1805555555555514E-2</v>
      </c>
      <c r="G1223" s="16" t="s">
        <v>438</v>
      </c>
      <c r="H1223" s="343" t="str">
        <f>IFERROR(VLOOKUP(G1223,DATOS!$M$2:$N$219,2,FALSE),"")</f>
        <v>Maquinaria</v>
      </c>
      <c r="I1223" s="115" t="s">
        <v>54</v>
      </c>
      <c r="J1223" s="115" t="s">
        <v>157</v>
      </c>
      <c r="K1223" s="114"/>
      <c r="L1223" s="35" t="s">
        <v>240</v>
      </c>
      <c r="M1223" s="35" t="s">
        <v>121</v>
      </c>
      <c r="N1223" s="35" t="str" cm="1">
        <f t="array" ref="N1223">IFERROR(IF(Tabla8[[#This Row],[P/NP]]="NO PROGRAMADA","",_xlfn.TEXTJOIN(", ",TRUE,_xlfn._xlws.FILTER(Tabla4[[#All],[PIEZA]],ISNUMBER(SEARCH(Tabla4[[#All],[PCLAVE]],Tabla8[[#This Row],[DESCRIPCION DE TRABAJO]])),""))),"")</f>
        <v/>
      </c>
      <c r="O1223" s="35" t="str" cm="1">
        <f t="array" ref="O1223">_xlfn.TEXTJOIN(", ",TRUE,_xlfn._xlws.FILTER(Tabla28[[#All],[PARTE]],ISNUMBER(SEARCH(Tabla28[[#All],[PCLAVE2]],Tabla8[[#This Row],[DESCRIPCION DE TRABAJO]])),""))</f>
        <v/>
      </c>
      <c r="P1223" s="303" t="str">
        <f>IFERROR(LEFT(O1223, FIND(",", O1223)-1), O1223)</f>
        <v/>
      </c>
      <c r="Q1223" s="303" t="str">
        <f>IFERROR(IF(ISERROR(FIND(",", O1223, FIND(",", O1223)+1)), RIGHT(O1223, LEN(O1223)-FIND(",", O1223)-1), MID(O1223, FIND(",", O1223)+2, FIND(",", O1223, FIND(",", O1223)+1)-FIND(",", O1223)-2)), "")</f>
        <v/>
      </c>
      <c r="R1223" s="303" t="str">
        <f>IFERROR(RIGHT(O1223, LEN(O1223)-FIND(",", O1223, FIND(",", O1223)+1)-1), "")</f>
        <v/>
      </c>
      <c r="S1223" s="35" t="str" cm="1">
        <f t="array" ref="S1223">_xlfn.TEXTJOIN(", ",TRUE,_xlfn._xlws.FILTER(Tabla29[[#All],[PARTE]],ISNUMBER(SEARCH(Tabla29[[#All],[PCLAVE3]],Tabla8[[#This Row],[DESCRIPCION DE TRABAJO]])),""))</f>
        <v/>
      </c>
      <c r="T1223" s="34" t="str">
        <f>IF(AND(Tabla8[[#This Row],[PIEZA]]="",Tabla8[[#This Row],[PARTE]]=""),"VACIO","OK")</f>
        <v>VACIO</v>
      </c>
      <c r="U1223" s="303" t="str">
        <f>+CONCATENATE(WEEKNUM(Tabla8[[#This Row],[FECHA]]),"-",YEAR(Tabla8[[#This Row],[FECHA]]))</f>
        <v>19-2026</v>
      </c>
    </row>
    <row r="1224" spans="1:21" ht="15" customHeight="1">
      <c r="A1224" s="22">
        <v>46148</v>
      </c>
      <c r="B1224" s="16" t="s">
        <v>191</v>
      </c>
      <c r="C1224" s="10" t="s">
        <v>39</v>
      </c>
      <c r="D1224" s="381" t="s">
        <v>1104</v>
      </c>
      <c r="E1224" s="381" t="s">
        <v>2306</v>
      </c>
      <c r="F1224" s="380">
        <f>+MOD(Tabla8[[#This Row],[HR. FIN]]-Tabla8[[#This Row],[HR. INICIO]],1)</f>
        <v>1.1111111111111183E-2</v>
      </c>
      <c r="G1224" s="16" t="s">
        <v>270</v>
      </c>
      <c r="H1224" s="343" t="str">
        <f>IFERROR(VLOOKUP(G1224,DATOS!$M$2:$N$219,2,FALSE),"")</f>
        <v>Maquinaria</v>
      </c>
      <c r="I1224" s="115" t="s">
        <v>2272</v>
      </c>
      <c r="J1224" s="115" t="s">
        <v>92</v>
      </c>
      <c r="K1224" s="114" t="s">
        <v>93</v>
      </c>
      <c r="L1224" s="35" t="s">
        <v>2307</v>
      </c>
      <c r="M1224" s="35" t="s">
        <v>2308</v>
      </c>
      <c r="N1224" s="35" t="str" cm="1">
        <f t="array" ref="N1224">IFERROR(IF(Tabla8[[#This Row],[P/NP]]="NO PROGRAMADA","",_xlfn.TEXTJOIN(", ",TRUE,_xlfn._xlws.FILTER(Tabla4[[#All],[PIEZA]],ISNUMBER(SEARCH(Tabla4[[#All],[PCLAVE]],Tabla8[[#This Row],[DESCRIPCION DE TRABAJO]])),""))),"")</f>
        <v/>
      </c>
      <c r="O1224" s="35" t="str" cm="1">
        <f t="array" ref="O1224">_xlfn.TEXTJOIN(", ",TRUE,_xlfn._xlws.FILTER(Tabla28[[#All],[PARTE]],ISNUMBER(SEARCH(Tabla28[[#All],[PCLAVE2]],Tabla8[[#This Row],[DESCRIPCION DE TRABAJO]])),""))</f>
        <v/>
      </c>
      <c r="P1224" s="303" t="str">
        <f>IFERROR(LEFT(O1224, FIND(",", O1224)-1), O1224)</f>
        <v/>
      </c>
      <c r="Q1224" s="303" t="str">
        <f>IFERROR(IF(ISERROR(FIND(",", O1224, FIND(",", O1224)+1)), RIGHT(O1224, LEN(O1224)-FIND(",", O1224)-1), MID(O1224, FIND(",", O1224)+2, FIND(",", O1224, FIND(",", O1224)+1)-FIND(",", O1224)-2)), "")</f>
        <v/>
      </c>
      <c r="R1224" s="303" t="str">
        <f>IFERROR(RIGHT(O1224, LEN(O1224)-FIND(",", O1224, FIND(",", O1224)+1)-1), "")</f>
        <v/>
      </c>
      <c r="S1224" s="35" t="str" cm="1">
        <f t="array" ref="S1224">_xlfn.TEXTJOIN(", ",TRUE,_xlfn._xlws.FILTER(Tabla29[[#All],[PARTE]],ISNUMBER(SEARCH(Tabla29[[#All],[PCLAVE3]],Tabla8[[#This Row],[DESCRIPCION DE TRABAJO]])),""))</f>
        <v>Juntos</v>
      </c>
      <c r="T1224" s="34" t="str">
        <f>IF(AND(Tabla8[[#This Row],[PIEZA]]="",Tabla8[[#This Row],[PARTE]]=""),"VACIO","OK")</f>
        <v>VACIO</v>
      </c>
      <c r="U1224" s="303" t="str">
        <f>+CONCATENATE(WEEKNUM(Tabla8[[#This Row],[FECHA]]),"-",YEAR(Tabla8[[#This Row],[FECHA]]))</f>
        <v>19-2026</v>
      </c>
    </row>
    <row r="1225" spans="1:21" ht="15" customHeight="1">
      <c r="A1225" s="22">
        <v>46148</v>
      </c>
      <c r="B1225" s="16" t="s">
        <v>191</v>
      </c>
      <c r="C1225" s="10" t="s">
        <v>39</v>
      </c>
      <c r="D1225" s="381" t="s">
        <v>1698</v>
      </c>
      <c r="E1225" s="381" t="s">
        <v>2309</v>
      </c>
      <c r="F1225" s="380">
        <f>+MOD(Tabla8[[#This Row],[HR. FIN]]-Tabla8[[#This Row],[HR. INICIO]],1)</f>
        <v>1.1111111111111112E-2</v>
      </c>
      <c r="G1225" s="16" t="s">
        <v>256</v>
      </c>
      <c r="H1225" s="343" t="str">
        <f>IFERROR(VLOOKUP(G1225,DATOS!$M$2:$N$219,2,FALSE),"")</f>
        <v>Maquinaria</v>
      </c>
      <c r="I1225" s="115" t="s">
        <v>390</v>
      </c>
      <c r="J1225" s="115" t="s">
        <v>157</v>
      </c>
      <c r="K1225" s="114"/>
      <c r="L1225" s="35" t="s">
        <v>1151</v>
      </c>
      <c r="M1225" s="35" t="s">
        <v>121</v>
      </c>
      <c r="N1225" s="35" t="str" cm="1">
        <f t="array" ref="N1225">IFERROR(IF(Tabla8[[#This Row],[P/NP]]="NO PROGRAMADA","",_xlfn.TEXTJOIN(", ",TRUE,_xlfn._xlws.FILTER(Tabla4[[#All],[PIEZA]],ISNUMBER(SEARCH(Tabla4[[#All],[PCLAVE]],Tabla8[[#This Row],[DESCRIPCION DE TRABAJO]])),""))),"")</f>
        <v/>
      </c>
      <c r="O1225" s="35" t="str" cm="1">
        <f t="array" ref="O1225">_xlfn.TEXTJOIN(", ",TRUE,_xlfn._xlws.FILTER(Tabla28[[#All],[PARTE]],ISNUMBER(SEARCH(Tabla28[[#All],[PCLAVE2]],Tabla8[[#This Row],[DESCRIPCION DE TRABAJO]])),""))</f>
        <v/>
      </c>
      <c r="P1225" s="303" t="str">
        <f>IFERROR(LEFT(O1225, FIND(",", O1225)-1), O1225)</f>
        <v/>
      </c>
      <c r="Q1225" s="303" t="str">
        <f>IFERROR(IF(ISERROR(FIND(",", O1225, FIND(",", O1225)+1)), RIGHT(O1225, LEN(O1225)-FIND(",", O1225)-1), MID(O1225, FIND(",", O1225)+2, FIND(",", O1225, FIND(",", O1225)+1)-FIND(",", O1225)-2)), "")</f>
        <v/>
      </c>
      <c r="R1225" s="303" t="str">
        <f>IFERROR(RIGHT(O1225, LEN(O1225)-FIND(",", O1225, FIND(",", O1225)+1)-1), "")</f>
        <v/>
      </c>
      <c r="S1225" s="35" t="str" cm="1">
        <f t="array" ref="S1225">_xlfn.TEXTJOIN(", ",TRUE,_xlfn._xlws.FILTER(Tabla29[[#All],[PARTE]],ISNUMBER(SEARCH(Tabla29[[#All],[PCLAVE3]],Tabla8[[#This Row],[DESCRIPCION DE TRABAJO]])),""))</f>
        <v/>
      </c>
      <c r="T1225" s="34" t="str">
        <f>IF(AND(Tabla8[[#This Row],[PIEZA]]="",Tabla8[[#This Row],[PARTE]]=""),"VACIO","OK")</f>
        <v>VACIO</v>
      </c>
      <c r="U1225" s="303" t="str">
        <f>+CONCATENATE(WEEKNUM(Tabla8[[#This Row],[FECHA]]),"-",YEAR(Tabla8[[#This Row],[FECHA]]))</f>
        <v>19-2026</v>
      </c>
    </row>
    <row r="1226" spans="1:21" ht="15" customHeight="1">
      <c r="A1226" s="22">
        <v>46148</v>
      </c>
      <c r="B1226" s="16" t="s">
        <v>191</v>
      </c>
      <c r="C1226" s="10" t="s">
        <v>39</v>
      </c>
      <c r="D1226" s="381" t="s">
        <v>2310</v>
      </c>
      <c r="E1226" s="381" t="s">
        <v>1520</v>
      </c>
      <c r="F1226" s="380">
        <f>+MOD(Tabla8[[#This Row],[HR. FIN]]-Tabla8[[#This Row],[HR. INICIO]],1)</f>
        <v>1.1111111111111099E-2</v>
      </c>
      <c r="G1226" s="16" t="s">
        <v>169</v>
      </c>
      <c r="H1226" s="343" t="str">
        <f>IFERROR(VLOOKUP(G1226,DATOS!$M$2:$N$219,2,FALSE),"")</f>
        <v>Maquinaria</v>
      </c>
      <c r="I1226" s="115" t="s">
        <v>32</v>
      </c>
      <c r="J1226" s="115" t="s">
        <v>157</v>
      </c>
      <c r="K1226" s="114"/>
      <c r="L1226" s="35" t="s">
        <v>371</v>
      </c>
      <c r="M1226" s="35" t="s">
        <v>121</v>
      </c>
      <c r="N1226" s="35" t="str" cm="1">
        <f t="array" ref="N1226">IFERROR(IF(Tabla8[[#This Row],[P/NP]]="NO PROGRAMADA","",_xlfn.TEXTJOIN(", ",TRUE,_xlfn._xlws.FILTER(Tabla4[[#All],[PIEZA]],ISNUMBER(SEARCH(Tabla4[[#All],[PCLAVE]],Tabla8[[#This Row],[DESCRIPCION DE TRABAJO]])),""))),"")</f>
        <v/>
      </c>
      <c r="O1226" s="35" t="str" cm="1">
        <f t="array" ref="O1226">_xlfn.TEXTJOIN(", ",TRUE,_xlfn._xlws.FILTER(Tabla28[[#All],[PARTE]],ISNUMBER(SEARCH(Tabla28[[#All],[PCLAVE2]],Tabla8[[#This Row],[DESCRIPCION DE TRABAJO]])),""))</f>
        <v/>
      </c>
      <c r="P1226" s="303" t="str">
        <f>IFERROR(LEFT(O1226, FIND(",", O1226)-1), O1226)</f>
        <v/>
      </c>
      <c r="Q1226" s="303" t="str">
        <f>IFERROR(IF(ISERROR(FIND(",", O1226, FIND(",", O1226)+1)), RIGHT(O1226, LEN(O1226)-FIND(",", O1226)-1), MID(O1226, FIND(",", O1226)+2, FIND(",", O1226, FIND(",", O1226)+1)-FIND(",", O1226)-2)), "")</f>
        <v/>
      </c>
      <c r="R1226" s="303" t="str">
        <f>IFERROR(RIGHT(O1226, LEN(O1226)-FIND(",", O1226, FIND(",", O1226)+1)-1), "")</f>
        <v/>
      </c>
      <c r="S1226" s="35" t="str" cm="1">
        <f t="array" ref="S1226">_xlfn.TEXTJOIN(", ",TRUE,_xlfn._xlws.FILTER(Tabla29[[#All],[PARTE]],ISNUMBER(SEARCH(Tabla29[[#All],[PCLAVE3]],Tabla8[[#This Row],[DESCRIPCION DE TRABAJO]])),""))</f>
        <v/>
      </c>
      <c r="T1226" s="34" t="str">
        <f>IF(AND(Tabla8[[#This Row],[PIEZA]]="",Tabla8[[#This Row],[PARTE]]=""),"VACIO","OK")</f>
        <v>VACIO</v>
      </c>
      <c r="U1226" s="303" t="str">
        <f>+CONCATENATE(WEEKNUM(Tabla8[[#This Row],[FECHA]]),"-",YEAR(Tabla8[[#This Row],[FECHA]]))</f>
        <v>19-2026</v>
      </c>
    </row>
    <row r="1227" spans="1:21" ht="15" customHeight="1">
      <c r="A1227" s="22">
        <v>46148</v>
      </c>
      <c r="B1227" s="16" t="s">
        <v>131</v>
      </c>
      <c r="C1227" s="10" t="s">
        <v>23</v>
      </c>
      <c r="D1227" s="381">
        <v>0.85416666666666663</v>
      </c>
      <c r="E1227" s="381">
        <v>0.86458333333333337</v>
      </c>
      <c r="F1227" s="380">
        <f>+MOD(Tabla8[[#This Row],[HR. FIN]]-Tabla8[[#This Row],[HR. INICIO]],1)</f>
        <v>1.0416666666666741E-2</v>
      </c>
      <c r="G1227" s="16" t="s">
        <v>119</v>
      </c>
      <c r="H1227" s="343" t="str">
        <f>IFERROR(VLOOKUP(G1227,DATOS!$M$2:$N$219,2,FALSE),"")</f>
        <v>Maquinaria</v>
      </c>
      <c r="I1227" s="115" t="s">
        <v>54</v>
      </c>
      <c r="J1227" s="115" t="s">
        <v>157</v>
      </c>
      <c r="K1227" s="114"/>
      <c r="L1227" s="35" t="s">
        <v>2311</v>
      </c>
      <c r="M1227" s="35" t="s">
        <v>121</v>
      </c>
      <c r="N1227" s="35" t="str" cm="1">
        <f t="array" ref="N1227">IFERROR(IF(Tabla8[[#This Row],[P/NP]]="NO PROGRAMADA","",_xlfn.TEXTJOIN(", ",TRUE,_xlfn._xlws.FILTER(Tabla4[[#All],[PIEZA]],ISNUMBER(SEARCH(Tabla4[[#All],[PCLAVE]],Tabla8[[#This Row],[DESCRIPCION DE TRABAJO]])),""))),"")</f>
        <v>Moldes</v>
      </c>
      <c r="O1227" s="35" t="str" cm="1">
        <f t="array" ref="O1227">_xlfn.TEXTJOIN(", ",TRUE,_xlfn._xlws.FILTER(Tabla28[[#All],[PARTE]],ISNUMBER(SEARCH(Tabla28[[#All],[PCLAVE2]],Tabla8[[#This Row],[DESCRIPCION DE TRABAJO]])),""))</f>
        <v>Robot</v>
      </c>
      <c r="P1227" s="303" t="str">
        <f>IFERROR(LEFT(O1227, FIND(",", O1227)-1), O1227)</f>
        <v>Robot</v>
      </c>
      <c r="Q1227" s="303" t="str">
        <f>IFERROR(IF(ISERROR(FIND(",", O1227, FIND(",", O1227)+1)), RIGHT(O1227, LEN(O1227)-FIND(",", O1227)-1), MID(O1227, FIND(",", O1227)+2, FIND(",", O1227, FIND(",", O1227)+1)-FIND(",", O1227)-2)), "")</f>
        <v/>
      </c>
      <c r="R1227" s="303" t="str">
        <f>IFERROR(RIGHT(O1227, LEN(O1227)-FIND(",", O1227, FIND(",", O1227)+1)-1), "")</f>
        <v/>
      </c>
      <c r="S1227" s="35" t="str" cm="1">
        <f t="array" ref="S1227">_xlfn.TEXTJOIN(", ",TRUE,_xlfn._xlws.FILTER(Tabla29[[#All],[PARTE]],ISNUMBER(SEARCH(Tabla29[[#All],[PCLAVE3]],Tabla8[[#This Row],[DESCRIPCION DE TRABAJO]])),""))</f>
        <v>Desmolde</v>
      </c>
      <c r="T1227" s="34" t="str">
        <f>IF(AND(Tabla8[[#This Row],[PIEZA]]="",Tabla8[[#This Row],[PARTE]]=""),"VACIO","OK")</f>
        <v>OK</v>
      </c>
      <c r="U1227" s="303" t="str">
        <f>+CONCATENATE(WEEKNUM(Tabla8[[#This Row],[FECHA]]),"-",YEAR(Tabla8[[#This Row],[FECHA]]))</f>
        <v>19-2026</v>
      </c>
    </row>
    <row r="1228" spans="1:21" ht="15" customHeight="1">
      <c r="A1228" s="22">
        <v>46148</v>
      </c>
      <c r="B1228" s="16" t="s">
        <v>88</v>
      </c>
      <c r="C1228" s="10" t="s">
        <v>36</v>
      </c>
      <c r="D1228" s="381" t="s">
        <v>884</v>
      </c>
      <c r="E1228" s="381" t="s">
        <v>445</v>
      </c>
      <c r="F1228" s="380">
        <f>+MOD(Tabla8[[#This Row],[HR. FIN]]-Tabla8[[#This Row],[HR. INICIO]],1)</f>
        <v>1.0416666666666685E-2</v>
      </c>
      <c r="G1228" s="16" t="s">
        <v>119</v>
      </c>
      <c r="H1228" s="343" t="str">
        <f>IFERROR(VLOOKUP(G1228,DATOS!$M$2:$N$219,2,FALSE),"")</f>
        <v>Maquinaria</v>
      </c>
      <c r="I1228" s="115" t="s">
        <v>32</v>
      </c>
      <c r="J1228" s="115" t="s">
        <v>157</v>
      </c>
      <c r="K1228" s="114"/>
      <c r="L1228" s="35" t="s">
        <v>1900</v>
      </c>
      <c r="M1228" s="35" t="s">
        <v>1166</v>
      </c>
      <c r="N1228" s="35" t="str" cm="1">
        <f t="array" ref="N1228">IFERROR(IF(Tabla8[[#This Row],[P/NP]]="NO PROGRAMADA","",_xlfn.TEXTJOIN(", ",TRUE,_xlfn._xlws.FILTER(Tabla4[[#All],[PIEZA]],ISNUMBER(SEARCH(Tabla4[[#All],[PCLAVE]],Tabla8[[#This Row],[DESCRIPCION DE TRABAJO]])),""))),"")</f>
        <v/>
      </c>
      <c r="O1228" s="35" t="str" cm="1">
        <f t="array" ref="O1228">_xlfn.TEXTJOIN(", ",TRUE,_xlfn._xlws.FILTER(Tabla28[[#All],[PARTE]],ISNUMBER(SEARCH(Tabla28[[#All],[PCLAVE2]],Tabla8[[#This Row],[DESCRIPCION DE TRABAJO]])),""))</f>
        <v>Mds</v>
      </c>
      <c r="P1228" s="303" t="str">
        <f>IFERROR(LEFT(O1228, FIND(",", O1228)-1), O1228)</f>
        <v>Mds</v>
      </c>
      <c r="Q1228" s="303" t="str">
        <f>IFERROR(IF(ISERROR(FIND(",", O1228, FIND(",", O1228)+1)), RIGHT(O1228, LEN(O1228)-FIND(",", O1228)-1), MID(O1228, FIND(",", O1228)+2, FIND(",", O1228, FIND(",", O1228)+1)-FIND(",", O1228)-2)), "")</f>
        <v/>
      </c>
      <c r="R1228" s="303" t="str">
        <f>IFERROR(RIGHT(O1228, LEN(O1228)-FIND(",", O1228, FIND(",", O1228)+1)-1), "")</f>
        <v/>
      </c>
      <c r="S1228" s="35" t="str" cm="1">
        <f t="array" ref="S1228">_xlfn.TEXTJOIN(", ",TRUE,_xlfn._xlws.FILTER(Tabla29[[#All],[PARTE]],ISNUMBER(SEARCH(Tabla29[[#All],[PCLAVE3]],Tabla8[[#This Row],[DESCRIPCION DE TRABAJO]])),""))</f>
        <v/>
      </c>
      <c r="T1228" s="34" t="str">
        <f>IF(AND(Tabla8[[#This Row],[PIEZA]]="",Tabla8[[#This Row],[PARTE]]=""),"VACIO","OK")</f>
        <v>OK</v>
      </c>
      <c r="U1228" s="303" t="str">
        <f>+CONCATENATE(WEEKNUM(Tabla8[[#This Row],[FECHA]]),"-",YEAR(Tabla8[[#This Row],[FECHA]]))</f>
        <v>19-2026</v>
      </c>
    </row>
    <row r="1229" spans="1:21" ht="15" customHeight="1">
      <c r="A1229" s="22">
        <v>46148</v>
      </c>
      <c r="B1229" s="16" t="s">
        <v>88</v>
      </c>
      <c r="C1229" s="10" t="s">
        <v>36</v>
      </c>
      <c r="D1229" s="381" t="s">
        <v>403</v>
      </c>
      <c r="E1229" s="381" t="s">
        <v>97</v>
      </c>
      <c r="F1229" s="380">
        <f>+MOD(Tabla8[[#This Row],[HR. FIN]]-Tabla8[[#This Row],[HR. INICIO]],1)</f>
        <v>1.041666666666663E-2</v>
      </c>
      <c r="G1229" s="16" t="s">
        <v>119</v>
      </c>
      <c r="H1229" s="343" t="str">
        <f>IFERROR(VLOOKUP(G1229,DATOS!$M$2:$N$219,2,FALSE),"")</f>
        <v>Maquinaria</v>
      </c>
      <c r="I1229" s="115" t="s">
        <v>2272</v>
      </c>
      <c r="J1229" s="115" t="s">
        <v>92</v>
      </c>
      <c r="K1229" s="114" t="s">
        <v>93</v>
      </c>
      <c r="L1229" s="35" t="s">
        <v>2312</v>
      </c>
      <c r="M1229" s="35" t="s">
        <v>2313</v>
      </c>
      <c r="N1229" s="35" t="str" cm="1">
        <f t="array" ref="N1229">IFERROR(IF(Tabla8[[#This Row],[P/NP]]="NO PROGRAMADA","",_xlfn.TEXTJOIN(", ",TRUE,_xlfn._xlws.FILTER(Tabla4[[#All],[PIEZA]],ISNUMBER(SEARCH(Tabla4[[#All],[PCLAVE]],Tabla8[[#This Row],[DESCRIPCION DE TRABAJO]])),""))),"")</f>
        <v/>
      </c>
      <c r="O1229" s="35" t="str" cm="1">
        <f t="array" ref="O1229">_xlfn.TEXTJOIN(", ",TRUE,_xlfn._xlws.FILTER(Tabla28[[#All],[PARTE]],ISNUMBER(SEARCH(Tabla28[[#All],[PCLAVE2]],Tabla8[[#This Row],[DESCRIPCION DE TRABAJO]])),""))</f>
        <v/>
      </c>
      <c r="P1229" s="303" t="str">
        <f>IFERROR(LEFT(O1229, FIND(",", O1229)-1), O1229)</f>
        <v/>
      </c>
      <c r="Q1229" s="303" t="str">
        <f>IFERROR(IF(ISERROR(FIND(",", O1229, FIND(",", O1229)+1)), RIGHT(O1229, LEN(O1229)-FIND(",", O1229)-1), MID(O1229, FIND(",", O1229)+2, FIND(",", O1229, FIND(",", O1229)+1)-FIND(",", O1229)-2)), "")</f>
        <v/>
      </c>
      <c r="R1229" s="303" t="str">
        <f>IFERROR(RIGHT(O1229, LEN(O1229)-FIND(",", O1229, FIND(",", O1229)+1)-1), "")</f>
        <v/>
      </c>
      <c r="S1229" s="35" t="str" cm="1">
        <f t="array" ref="S1229">_xlfn.TEXTJOIN(", ",TRUE,_xlfn._xlws.FILTER(Tabla29[[#All],[PARTE]],ISNUMBER(SEARCH(Tabla29[[#All],[PCLAVE3]],Tabla8[[#This Row],[DESCRIPCION DE TRABAJO]])),""))</f>
        <v/>
      </c>
      <c r="T1229" s="34" t="str">
        <f>IF(AND(Tabla8[[#This Row],[PIEZA]]="",Tabla8[[#This Row],[PARTE]]=""),"VACIO","OK")</f>
        <v>VACIO</v>
      </c>
      <c r="U1229" s="303" t="str">
        <f>+CONCATENATE(WEEKNUM(Tabla8[[#This Row],[FECHA]]),"-",YEAR(Tabla8[[#This Row],[FECHA]]))</f>
        <v>19-2026</v>
      </c>
    </row>
    <row r="1230" spans="1:21" ht="15" customHeight="1">
      <c r="A1230" s="22">
        <v>46148</v>
      </c>
      <c r="B1230" s="16" t="s">
        <v>131</v>
      </c>
      <c r="C1230" s="10" t="s">
        <v>23</v>
      </c>
      <c r="D1230" s="381" t="s">
        <v>2132</v>
      </c>
      <c r="E1230" s="381" t="s">
        <v>494</v>
      </c>
      <c r="F1230" s="380">
        <f>+MOD(Tabla8[[#This Row],[HR. FIN]]-Tabla8[[#This Row],[HR. INICIO]],1)</f>
        <v>1.041666666666663E-2</v>
      </c>
      <c r="G1230" s="16" t="s">
        <v>119</v>
      </c>
      <c r="H1230" s="343" t="str">
        <f>IFERROR(VLOOKUP(G1230,DATOS!$M$2:$N$219,2,FALSE),"")</f>
        <v>Maquinaria</v>
      </c>
      <c r="I1230" s="115" t="s">
        <v>54</v>
      </c>
      <c r="J1230" s="115" t="s">
        <v>157</v>
      </c>
      <c r="K1230" s="114"/>
      <c r="L1230" s="35" t="s">
        <v>489</v>
      </c>
      <c r="M1230" s="35" t="s">
        <v>121</v>
      </c>
      <c r="N1230" s="35" t="str" cm="1">
        <f t="array" ref="N1230">IFERROR(IF(Tabla8[[#This Row],[P/NP]]="NO PROGRAMADA","",_xlfn.TEXTJOIN(", ",TRUE,_xlfn._xlws.FILTER(Tabla4[[#All],[PIEZA]],ISNUMBER(SEARCH(Tabla4[[#All],[PCLAVE]],Tabla8[[#This Row],[DESCRIPCION DE TRABAJO]])),""))),"")</f>
        <v/>
      </c>
      <c r="O1230" s="35" t="str" cm="1">
        <f t="array" ref="O1230">_xlfn.TEXTJOIN(", ",TRUE,_xlfn._xlws.FILTER(Tabla28[[#All],[PARTE]],ISNUMBER(SEARCH(Tabla28[[#All],[PCLAVE2]],Tabla8[[#This Row],[DESCRIPCION DE TRABAJO]])),""))</f>
        <v>Temperadora</v>
      </c>
      <c r="P1230" s="303" t="str">
        <f>IFERROR(LEFT(O1230, FIND(",", O1230)-1), O1230)</f>
        <v>Temperadora</v>
      </c>
      <c r="Q1230" s="303" t="str">
        <f>IFERROR(IF(ISERROR(FIND(",", O1230, FIND(",", O1230)+1)), RIGHT(O1230, LEN(O1230)-FIND(",", O1230)-1), MID(O1230, FIND(",", O1230)+2, FIND(",", O1230, FIND(",", O1230)+1)-FIND(",", O1230)-2)), "")</f>
        <v/>
      </c>
      <c r="R1230" s="303" t="str">
        <f>IFERROR(RIGHT(O1230, LEN(O1230)-FIND(",", O1230, FIND(",", O1230)+1)-1), "")</f>
        <v/>
      </c>
      <c r="S1230" s="35" t="str" cm="1">
        <f t="array" ref="S1230">_xlfn.TEXTJOIN(", ",TRUE,_xlfn._xlws.FILTER(Tabla29[[#All],[PARTE]],ISNUMBER(SEARCH(Tabla29[[#All],[PCLAVE3]],Tabla8[[#This Row],[DESCRIPCION DE TRABAJO]])),""))</f>
        <v/>
      </c>
      <c r="T1230" s="34" t="str">
        <f>IF(AND(Tabla8[[#This Row],[PIEZA]]="",Tabla8[[#This Row],[PARTE]]=""),"VACIO","OK")</f>
        <v>OK</v>
      </c>
      <c r="U1230" s="303" t="str">
        <f>+CONCATENATE(WEEKNUM(Tabla8[[#This Row],[FECHA]]),"-",YEAR(Tabla8[[#This Row],[FECHA]]))</f>
        <v>19-2026</v>
      </c>
    </row>
    <row r="1231" spans="1:21" ht="15" customHeight="1">
      <c r="A1231" s="22">
        <v>46148</v>
      </c>
      <c r="B1231" s="16" t="s">
        <v>191</v>
      </c>
      <c r="C1231" s="10" t="s">
        <v>39</v>
      </c>
      <c r="D1231" s="381" t="s">
        <v>2314</v>
      </c>
      <c r="E1231" s="381" t="s">
        <v>2315</v>
      </c>
      <c r="F1231" s="380">
        <f>+MOD(Tabla8[[#This Row],[HR. FIN]]-Tabla8[[#This Row],[HR. INICIO]],1)</f>
        <v>9.7222222222222293E-3</v>
      </c>
      <c r="G1231" s="16" t="s">
        <v>31</v>
      </c>
      <c r="H1231" s="343" t="str">
        <f>IFERROR(VLOOKUP(G1231,DATOS!$M$2:$N$219,2,FALSE),"")</f>
        <v>Maquinaria</v>
      </c>
      <c r="I1231" s="115" t="s">
        <v>61</v>
      </c>
      <c r="J1231" s="115" t="s">
        <v>92</v>
      </c>
      <c r="K1231" s="114" t="s">
        <v>93</v>
      </c>
      <c r="L1231" s="35" t="s">
        <v>1214</v>
      </c>
      <c r="M1231" s="35" t="s">
        <v>2316</v>
      </c>
      <c r="N1231" s="35" t="str" cm="1">
        <f t="array" ref="N1231">IFERROR(IF(Tabla8[[#This Row],[P/NP]]="NO PROGRAMADA","",_xlfn.TEXTJOIN(", ",TRUE,_xlfn._xlws.FILTER(Tabla4[[#All],[PIEZA]],ISNUMBER(SEARCH(Tabla4[[#All],[PCLAVE]],Tabla8[[#This Row],[DESCRIPCION DE TRABAJO]])),""))),"")</f>
        <v/>
      </c>
      <c r="O1231" s="35" t="str" cm="1">
        <f t="array" ref="O1231">_xlfn.TEXTJOIN(", ",TRUE,_xlfn._xlws.FILTER(Tabla28[[#All],[PARTE]],ISNUMBER(SEARCH(Tabla28[[#All],[PCLAVE2]],Tabla8[[#This Row],[DESCRIPCION DE TRABAJO]])),""))</f>
        <v/>
      </c>
      <c r="P1231" s="303" t="str">
        <f>IFERROR(LEFT(O1231, FIND(",", O1231)-1), O1231)</f>
        <v/>
      </c>
      <c r="Q1231" s="303" t="str">
        <f>IFERROR(IF(ISERROR(FIND(",", O1231, FIND(",", O1231)+1)), RIGHT(O1231, LEN(O1231)-FIND(",", O1231)-1), MID(O1231, FIND(",", O1231)+2, FIND(",", O1231, FIND(",", O1231)+1)-FIND(",", O1231)-2)), "")</f>
        <v/>
      </c>
      <c r="R1231" s="303" t="str">
        <f>IFERROR(RIGHT(O1231, LEN(O1231)-FIND(",", O1231, FIND(",", O1231)+1)-1), "")</f>
        <v/>
      </c>
      <c r="S1231" s="35" t="str" cm="1">
        <f t="array" ref="S1231">_xlfn.TEXTJOIN(", ",TRUE,_xlfn._xlws.FILTER(Tabla29[[#All],[PARTE]],ISNUMBER(SEARCH(Tabla29[[#All],[PCLAVE3]],Tabla8[[#This Row],[DESCRIPCION DE TRABAJO]])),""))</f>
        <v>Ruido</v>
      </c>
      <c r="T1231" s="34" t="str">
        <f>IF(AND(Tabla8[[#This Row],[PIEZA]]="",Tabla8[[#This Row],[PARTE]]=""),"VACIO","OK")</f>
        <v>VACIO</v>
      </c>
      <c r="U1231" s="303" t="str">
        <f>+CONCATENATE(WEEKNUM(Tabla8[[#This Row],[FECHA]]),"-",YEAR(Tabla8[[#This Row],[FECHA]]))</f>
        <v>19-2026</v>
      </c>
    </row>
    <row r="1232" spans="1:21" ht="15" customHeight="1">
      <c r="A1232" s="22">
        <v>46148</v>
      </c>
      <c r="B1232" s="16" t="s">
        <v>131</v>
      </c>
      <c r="C1232" s="10" t="s">
        <v>23</v>
      </c>
      <c r="D1232" s="381" t="s">
        <v>502</v>
      </c>
      <c r="E1232" s="381" t="s">
        <v>2317</v>
      </c>
      <c r="F1232" s="380">
        <f>+MOD(Tabla8[[#This Row],[HR. FIN]]-Tabla8[[#This Row],[HR. INICIO]],1)</f>
        <v>8.3333333333333037E-3</v>
      </c>
      <c r="G1232" s="16" t="s">
        <v>153</v>
      </c>
      <c r="H1232" s="343" t="str">
        <f>IFERROR(VLOOKUP(G1232,DATOS!$M$2:$N$219,2,FALSE),"")</f>
        <v>Maquinaria</v>
      </c>
      <c r="I1232" s="115" t="s">
        <v>32</v>
      </c>
      <c r="J1232" s="115" t="s">
        <v>92</v>
      </c>
      <c r="K1232" s="114" t="s">
        <v>93</v>
      </c>
      <c r="L1232" s="35" t="s">
        <v>2318</v>
      </c>
      <c r="M1232" s="35" t="s">
        <v>2319</v>
      </c>
      <c r="N1232" s="35" t="str" cm="1">
        <f t="array" ref="N1232">IFERROR(IF(Tabla8[[#This Row],[P/NP]]="NO PROGRAMADA","",_xlfn.TEXTJOIN(", ",TRUE,_xlfn._xlws.FILTER(Tabla4[[#All],[PIEZA]],ISNUMBER(SEARCH(Tabla4[[#All],[PCLAVE]],Tabla8[[#This Row],[DESCRIPCION DE TRABAJO]])),""))),"")</f>
        <v/>
      </c>
      <c r="O1232" s="35" t="str" cm="1">
        <f t="array" ref="O1232">_xlfn.TEXTJOIN(", ",TRUE,_xlfn._xlws.FILTER(Tabla28[[#All],[PARTE]],ISNUMBER(SEARCH(Tabla28[[#All],[PCLAVE2]],Tabla8[[#This Row],[DESCRIPCION DE TRABAJO]])),""))</f>
        <v/>
      </c>
      <c r="P1232" s="303" t="str">
        <f>IFERROR(LEFT(O1232, FIND(",", O1232)-1), O1232)</f>
        <v/>
      </c>
      <c r="Q1232" s="303" t="str">
        <f>IFERROR(IF(ISERROR(FIND(",", O1232, FIND(",", O1232)+1)), RIGHT(O1232, LEN(O1232)-FIND(",", O1232)-1), MID(O1232, FIND(",", O1232)+2, FIND(",", O1232, FIND(",", O1232)+1)-FIND(",", O1232)-2)), "")</f>
        <v/>
      </c>
      <c r="R1232" s="303" t="str">
        <f>IFERROR(RIGHT(O1232, LEN(O1232)-FIND(",", O1232, FIND(",", O1232)+1)-1), "")</f>
        <v/>
      </c>
      <c r="S1232" s="35" t="str" cm="1">
        <f t="array" ref="S1232">_xlfn.TEXTJOIN(", ",TRUE,_xlfn._xlws.FILTER(Tabla29[[#All],[PARTE]],ISNUMBER(SEARCH(Tabla29[[#All],[PCLAVE3]],Tabla8[[#This Row],[DESCRIPCION DE TRABAJO]])),""))</f>
        <v>Cambio De Formato, Laminado</v>
      </c>
      <c r="T1232" s="34" t="str">
        <f>IF(AND(Tabla8[[#This Row],[PIEZA]]="",Tabla8[[#This Row],[PARTE]]=""),"VACIO","OK")</f>
        <v>VACIO</v>
      </c>
      <c r="U1232" s="303" t="str">
        <f>+CONCATENATE(WEEKNUM(Tabla8[[#This Row],[FECHA]]),"-",YEAR(Tabla8[[#This Row],[FECHA]]))</f>
        <v>19-2026</v>
      </c>
    </row>
    <row r="1233" spans="1:21" ht="15" customHeight="1">
      <c r="A1233" s="22">
        <v>46148</v>
      </c>
      <c r="B1233" s="16" t="s">
        <v>111</v>
      </c>
      <c r="C1233" s="10" t="s">
        <v>36</v>
      </c>
      <c r="D1233" s="381" t="s">
        <v>1592</v>
      </c>
      <c r="E1233" s="381" t="s">
        <v>1608</v>
      </c>
      <c r="F1233" s="380">
        <f>+MOD(Tabla8[[#This Row],[HR. FIN]]-Tabla8[[#This Row],[HR. INICIO]],1)</f>
        <v>6.9444444444444753E-3</v>
      </c>
      <c r="G1233" s="16" t="s">
        <v>1063</v>
      </c>
      <c r="H1233" s="343" t="str">
        <f>IFERROR(VLOOKUP(G1233,DATOS!$M$2:$N$219,2,FALSE),"")</f>
        <v>Maquinaria</v>
      </c>
      <c r="I1233" s="115" t="s">
        <v>2272</v>
      </c>
      <c r="J1233" s="115" t="s">
        <v>157</v>
      </c>
      <c r="K1233" s="114"/>
      <c r="L1233" s="35" t="s">
        <v>2320</v>
      </c>
      <c r="M1233" s="35" t="s">
        <v>121</v>
      </c>
      <c r="N1233" s="35" t="str" cm="1">
        <f t="array" ref="N1233">IFERROR(IF(Tabla8[[#This Row],[P/NP]]="NO PROGRAMADA","",_xlfn.TEXTJOIN(", ",TRUE,_xlfn._xlws.FILTER(Tabla4[[#All],[PIEZA]],ISNUMBER(SEARCH(Tabla4[[#All],[PCLAVE]],Tabla8[[#This Row],[DESCRIPCION DE TRABAJO]])),""))),"")</f>
        <v/>
      </c>
      <c r="O1233" s="35" t="str" cm="1">
        <f t="array" ref="O1233">_xlfn.TEXTJOIN(", ",TRUE,_xlfn._xlws.FILTER(Tabla28[[#All],[PARTE]],ISNUMBER(SEARCH(Tabla28[[#All],[PCLAVE2]],Tabla8[[#This Row],[DESCRIPCION DE TRABAJO]])),""))</f>
        <v/>
      </c>
      <c r="P1233" s="303" t="str">
        <f>IFERROR(LEFT(O1233, FIND(",", O1233)-1), O1233)</f>
        <v/>
      </c>
      <c r="Q1233" s="303" t="str">
        <f>IFERROR(IF(ISERROR(FIND(",", O1233, FIND(",", O1233)+1)), RIGHT(O1233, LEN(O1233)-FIND(",", O1233)-1), MID(O1233, FIND(",", O1233)+2, FIND(",", O1233, FIND(",", O1233)+1)-FIND(",", O1233)-2)), "")</f>
        <v/>
      </c>
      <c r="R1233" s="303" t="str">
        <f>IFERROR(RIGHT(O1233, LEN(O1233)-FIND(",", O1233, FIND(",", O1233)+1)-1), "")</f>
        <v/>
      </c>
      <c r="S1233" s="35" t="str" cm="1">
        <f t="array" ref="S1233">_xlfn.TEXTJOIN(", ",TRUE,_xlfn._xlws.FILTER(Tabla29[[#All],[PARTE]],ISNUMBER(SEARCH(Tabla29[[#All],[PCLAVE3]],Tabla8[[#This Row],[DESCRIPCION DE TRABAJO]])),""))</f>
        <v>Calibracion</v>
      </c>
      <c r="T1233" s="34" t="str">
        <f>IF(AND(Tabla8[[#This Row],[PIEZA]]="",Tabla8[[#This Row],[PARTE]]=""),"VACIO","OK")</f>
        <v>VACIO</v>
      </c>
      <c r="U1233" s="303" t="str">
        <f>+CONCATENATE(WEEKNUM(Tabla8[[#This Row],[FECHA]]),"-",YEAR(Tabla8[[#This Row],[FECHA]]))</f>
        <v>19-2026</v>
      </c>
    </row>
    <row r="1234" spans="1:21" ht="15" customHeight="1">
      <c r="A1234" s="22">
        <v>46148</v>
      </c>
      <c r="B1234" s="16" t="s">
        <v>111</v>
      </c>
      <c r="C1234" s="10" t="s">
        <v>36</v>
      </c>
      <c r="D1234" s="381" t="s">
        <v>430</v>
      </c>
      <c r="E1234" s="381" t="s">
        <v>884</v>
      </c>
      <c r="F1234" s="380">
        <f>+MOD(Tabla8[[#This Row],[HR. FIN]]-Tabla8[[#This Row],[HR. INICIO]],1)</f>
        <v>6.9444444444444198E-3</v>
      </c>
      <c r="G1234" s="16" t="s">
        <v>1177</v>
      </c>
      <c r="H1234" s="343" t="str">
        <f>IFERROR(VLOOKUP(G1234,DATOS!$M$2:$N$219,2,FALSE),"")</f>
        <v>Maquinaria</v>
      </c>
      <c r="I1234" s="115" t="s">
        <v>32</v>
      </c>
      <c r="J1234" s="115" t="s">
        <v>157</v>
      </c>
      <c r="K1234" s="114" t="s">
        <v>93</v>
      </c>
      <c r="L1234" s="35" t="s">
        <v>2321</v>
      </c>
      <c r="M1234" s="35" t="s">
        <v>121</v>
      </c>
      <c r="N1234" s="35" t="str" cm="1">
        <f t="array" ref="N1234">IFERROR(IF(Tabla8[[#This Row],[P/NP]]="NO PROGRAMADA","",_xlfn.TEXTJOIN(", ",TRUE,_xlfn._xlws.FILTER(Tabla4[[#All],[PIEZA]],ISNUMBER(SEARCH(Tabla4[[#All],[PCLAVE]],Tabla8[[#This Row],[DESCRIPCION DE TRABAJO]])),""))),"")</f>
        <v>Guarda, Iman, Rejilla, Tolva</v>
      </c>
      <c r="O1234" s="35" t="str" cm="1">
        <f t="array" ref="O1234">_xlfn.TEXTJOIN(", ",TRUE,_xlfn._xlws.FILTER(Tabla28[[#All],[PARTE]],ISNUMBER(SEARCH(Tabla28[[#All],[PCLAVE2]],Tabla8[[#This Row],[DESCRIPCION DE TRABAJO]])),""))</f>
        <v/>
      </c>
      <c r="P1234" s="303" t="str">
        <f>IFERROR(LEFT(O1234, FIND(",", O1234)-1), O1234)</f>
        <v/>
      </c>
      <c r="Q1234" s="303" t="str">
        <f>IFERROR(IF(ISERROR(FIND(",", O1234, FIND(",", O1234)+1)), RIGHT(O1234, LEN(O1234)-FIND(",", O1234)-1), MID(O1234, FIND(",", O1234)+2, FIND(",", O1234, FIND(",", O1234)+1)-FIND(",", O1234)-2)), "")</f>
        <v/>
      </c>
      <c r="R1234" s="303" t="str">
        <f>IFERROR(RIGHT(O1234, LEN(O1234)-FIND(",", O1234, FIND(",", O1234)+1)-1), "")</f>
        <v/>
      </c>
      <c r="S1234" s="35" t="str" cm="1">
        <f t="array" ref="S1234">_xlfn.TEXTJOIN(", ",TRUE,_xlfn._xlws.FILTER(Tabla29[[#All],[PARTE]],ISNUMBER(SEARCH(Tabla29[[#All],[PCLAVE3]],Tabla8[[#This Row],[DESCRIPCION DE TRABAJO]])),""))</f>
        <v/>
      </c>
      <c r="T1234" s="34" t="str">
        <f>IF(AND(Tabla8[[#This Row],[PIEZA]]="",Tabla8[[#This Row],[PARTE]]=""),"VACIO","OK")</f>
        <v>OK</v>
      </c>
      <c r="U1234" s="303" t="str">
        <f>+CONCATENATE(WEEKNUM(Tabla8[[#This Row],[FECHA]]),"-",YEAR(Tabla8[[#This Row],[FECHA]]))</f>
        <v>19-2026</v>
      </c>
    </row>
    <row r="1235" spans="1:21" ht="15" customHeight="1">
      <c r="A1235" s="22">
        <v>46149</v>
      </c>
      <c r="B1235" s="16" t="s">
        <v>191</v>
      </c>
      <c r="C1235" s="10" t="s">
        <v>39</v>
      </c>
      <c r="D1235" s="381" t="s">
        <v>2271</v>
      </c>
      <c r="E1235" s="381" t="s">
        <v>2322</v>
      </c>
      <c r="F1235" s="380">
        <f>+MOD(Tabla8[[#This Row],[HR. FIN]]-Tabla8[[#This Row],[HR. INICIO]],1)</f>
        <v>6.3888888888888884E-2</v>
      </c>
      <c r="G1235" s="16" t="s">
        <v>182</v>
      </c>
      <c r="H1235" s="343" t="str">
        <f>IFERROR(VLOOKUP(G1235,DATOS!$M$2:$N$219,2,FALSE),"")</f>
        <v>Maquinaria</v>
      </c>
      <c r="I1235" s="115" t="s">
        <v>32</v>
      </c>
      <c r="J1235" s="115" t="s">
        <v>157</v>
      </c>
      <c r="K1235" s="114"/>
      <c r="L1235" s="35" t="s">
        <v>1072</v>
      </c>
      <c r="M1235" s="35" t="s">
        <v>121</v>
      </c>
      <c r="N1235" s="35" t="str" cm="1">
        <f t="array" ref="N1235">IFERROR(IF(Tabla8[[#This Row],[P/NP]]="NO PROGRAMADA","",_xlfn.TEXTJOIN(", ",TRUE,_xlfn._xlws.FILTER(Tabla4[[#All],[PIEZA]],ISNUMBER(SEARCH(Tabla4[[#All],[PCLAVE]],Tabla8[[#This Row],[DESCRIPCION DE TRABAJO]])),""))),"")</f>
        <v/>
      </c>
      <c r="O1235" s="35" t="str" cm="1">
        <f t="array" ref="O1235">_xlfn.TEXTJOIN(", ",TRUE,_xlfn._xlws.FILTER(Tabla28[[#All],[PARTE]],ISNUMBER(SEARCH(Tabla28[[#All],[PCLAVE2]],Tabla8[[#This Row],[DESCRIPCION DE TRABAJO]])),""))</f>
        <v/>
      </c>
      <c r="P1235" s="303" t="str">
        <f>IFERROR(LEFT(O1235, FIND(",", O1235)-1), O1235)</f>
        <v/>
      </c>
      <c r="Q1235" s="303" t="str">
        <f>IFERROR(IF(ISERROR(FIND(",", O1235, FIND(",", O1235)+1)), RIGHT(O1235, LEN(O1235)-FIND(",", O1235)-1), MID(O1235, FIND(",", O1235)+2, FIND(",", O1235, FIND(",", O1235)+1)-FIND(",", O1235)-2)), "")</f>
        <v/>
      </c>
      <c r="R1235" s="303" t="str">
        <f>IFERROR(RIGHT(O1235, LEN(O1235)-FIND(",", O1235, FIND(",", O1235)+1)-1), "")</f>
        <v/>
      </c>
      <c r="S1235" s="35" t="str" cm="1">
        <f t="array" ref="S1235">_xlfn.TEXTJOIN(", ",TRUE,_xlfn._xlws.FILTER(Tabla29[[#All],[PARTE]],ISNUMBER(SEARCH(Tabla29[[#All],[PCLAVE3]],Tabla8[[#This Row],[DESCRIPCION DE TRABAJO]])),""))</f>
        <v>Cambio De Formato</v>
      </c>
      <c r="T1235" s="34" t="str">
        <f>IF(AND(Tabla8[[#This Row],[PIEZA]]="",Tabla8[[#This Row],[PARTE]]=""),"VACIO","OK")</f>
        <v>VACIO</v>
      </c>
      <c r="U1235" s="303" t="str">
        <f>+CONCATENATE(WEEKNUM(Tabla8[[#This Row],[FECHA]]),"-",YEAR(Tabla8[[#This Row],[FECHA]]))</f>
        <v>19-2026</v>
      </c>
    </row>
    <row r="1236" spans="1:21" ht="15" customHeight="1">
      <c r="A1236" s="22">
        <v>46149</v>
      </c>
      <c r="B1236" s="16" t="s">
        <v>111</v>
      </c>
      <c r="C1236" s="10" t="s">
        <v>36</v>
      </c>
      <c r="D1236" s="381" t="s">
        <v>675</v>
      </c>
      <c r="E1236" s="381" t="s">
        <v>456</v>
      </c>
      <c r="F1236" s="380">
        <f>+MOD(Tabla8[[#This Row],[HR. FIN]]-Tabla8[[#This Row],[HR. INICIO]],1)</f>
        <v>5.555555555555558E-2</v>
      </c>
      <c r="G1236" s="16" t="s">
        <v>182</v>
      </c>
      <c r="H1236" s="343" t="str">
        <f>IFERROR(VLOOKUP(G1236,DATOS!$M$2:$N$219,2,FALSE),"")</f>
        <v>Maquinaria</v>
      </c>
      <c r="I1236" s="115" t="s">
        <v>32</v>
      </c>
      <c r="J1236" s="115" t="s">
        <v>157</v>
      </c>
      <c r="K1236" s="114"/>
      <c r="L1236" s="35" t="s">
        <v>2323</v>
      </c>
      <c r="M1236" s="35" t="s">
        <v>121</v>
      </c>
      <c r="N1236" s="35" t="str" cm="1">
        <f t="array" ref="N1236">IFERROR(IF(Tabla8[[#This Row],[P/NP]]="NO PROGRAMADA","",_xlfn.TEXTJOIN(", ",TRUE,_xlfn._xlws.FILTER(Tabla4[[#All],[PIEZA]],ISNUMBER(SEARCH(Tabla4[[#All],[PCLAVE]],Tabla8[[#This Row],[DESCRIPCION DE TRABAJO]])),""))),"")</f>
        <v/>
      </c>
      <c r="O1236" s="35" t="str" cm="1">
        <f t="array" ref="O1236">_xlfn.TEXTJOIN(", ",TRUE,_xlfn._xlws.FILTER(Tabla28[[#All],[PARTE]],ISNUMBER(SEARCH(Tabla28[[#All],[PCLAVE2]],Tabla8[[#This Row],[DESCRIPCION DE TRABAJO]])),""))</f>
        <v/>
      </c>
      <c r="P1236" s="303" t="str">
        <f>IFERROR(LEFT(O1236, FIND(",", O1236)-1), O1236)</f>
        <v/>
      </c>
      <c r="Q1236" s="303" t="str">
        <f>IFERROR(IF(ISERROR(FIND(",", O1236, FIND(",", O1236)+1)), RIGHT(O1236, LEN(O1236)-FIND(",", O1236)-1), MID(O1236, FIND(",", O1236)+2, FIND(",", O1236, FIND(",", O1236)+1)-FIND(",", O1236)-2)), "")</f>
        <v/>
      </c>
      <c r="R1236" s="303" t="str">
        <f>IFERROR(RIGHT(O1236, LEN(O1236)-FIND(",", O1236, FIND(",", O1236)+1)-1), "")</f>
        <v/>
      </c>
      <c r="S1236" s="35" t="str" cm="1">
        <f t="array" ref="S1236">_xlfn.TEXTJOIN(", ",TRUE,_xlfn._xlws.FILTER(Tabla29[[#All],[PARTE]],ISNUMBER(SEARCH(Tabla29[[#All],[PCLAVE3]],Tabla8[[#This Row],[DESCRIPCION DE TRABAJO]])),""))</f>
        <v>Calibracion, Cambio De Formato</v>
      </c>
      <c r="T1236" s="34" t="str">
        <f>IF(AND(Tabla8[[#This Row],[PIEZA]]="",Tabla8[[#This Row],[PARTE]]=""),"VACIO","OK")</f>
        <v>VACIO</v>
      </c>
      <c r="U1236" s="303" t="str">
        <f>+CONCATENATE(WEEKNUM(Tabla8[[#This Row],[FECHA]]),"-",YEAR(Tabla8[[#This Row],[FECHA]]))</f>
        <v>19-2026</v>
      </c>
    </row>
    <row r="1237" spans="1:21" ht="15" customHeight="1">
      <c r="A1237" s="22">
        <v>46149</v>
      </c>
      <c r="B1237" s="16" t="s">
        <v>111</v>
      </c>
      <c r="C1237" s="10" t="s">
        <v>36</v>
      </c>
      <c r="D1237" s="381" t="s">
        <v>123</v>
      </c>
      <c r="E1237" s="381" t="s">
        <v>127</v>
      </c>
      <c r="F1237" s="380">
        <f>+MOD(Tabla8[[#This Row],[HR. FIN]]-Tabla8[[#This Row],[HR. INICIO]],1)</f>
        <v>4.166666666666663E-2</v>
      </c>
      <c r="G1237" s="16" t="s">
        <v>182</v>
      </c>
      <c r="H1237" s="343" t="str">
        <f>IFERROR(VLOOKUP(G1237,DATOS!$M$2:$N$219,2,FALSE),"")</f>
        <v>Maquinaria</v>
      </c>
      <c r="I1237" s="115" t="s">
        <v>32</v>
      </c>
      <c r="J1237" s="115" t="s">
        <v>157</v>
      </c>
      <c r="K1237" s="114"/>
      <c r="L1237" s="35" t="s">
        <v>2324</v>
      </c>
      <c r="M1237" s="35" t="s">
        <v>121</v>
      </c>
      <c r="N1237" s="35" t="str" cm="1">
        <f t="array" ref="N1237">IFERROR(IF(Tabla8[[#This Row],[P/NP]]="NO PROGRAMADA","",_xlfn.TEXTJOIN(", ",TRUE,_xlfn._xlws.FILTER(Tabla4[[#All],[PIEZA]],ISNUMBER(SEARCH(Tabla4[[#All],[PCLAVE]],Tabla8[[#This Row],[DESCRIPCION DE TRABAJO]])),""))),"")</f>
        <v/>
      </c>
      <c r="O1237" s="35" t="str" cm="1">
        <f t="array" ref="O1237">_xlfn.TEXTJOIN(", ",TRUE,_xlfn._xlws.FILTER(Tabla28[[#All],[PARTE]],ISNUMBER(SEARCH(Tabla28[[#All],[PCLAVE2]],Tabla8[[#This Row],[DESCRIPCION DE TRABAJO]])),""))</f>
        <v/>
      </c>
      <c r="P1237" s="303" t="str">
        <f>IFERROR(LEFT(O1237, FIND(",", O1237)-1), O1237)</f>
        <v/>
      </c>
      <c r="Q1237" s="303" t="str">
        <f>IFERROR(IF(ISERROR(FIND(",", O1237, FIND(",", O1237)+1)), RIGHT(O1237, LEN(O1237)-FIND(",", O1237)-1), MID(O1237, FIND(",", O1237)+2, FIND(",", O1237, FIND(",", O1237)+1)-FIND(",", O1237)-2)), "")</f>
        <v/>
      </c>
      <c r="R1237" s="303" t="str">
        <f>IFERROR(RIGHT(O1237, LEN(O1237)-FIND(",", O1237, FIND(",", O1237)+1)-1), "")</f>
        <v/>
      </c>
      <c r="S1237" s="35" t="str" cm="1">
        <f t="array" ref="S1237">_xlfn.TEXTJOIN(", ",TRUE,_xlfn._xlws.FILTER(Tabla29[[#All],[PARTE]],ISNUMBER(SEARCH(Tabla29[[#All],[PCLAVE3]],Tabla8[[#This Row],[DESCRIPCION DE TRABAJO]])),""))</f>
        <v>Cambio De Formato</v>
      </c>
      <c r="T1237" s="34" t="str">
        <f>IF(AND(Tabla8[[#This Row],[PIEZA]]="",Tabla8[[#This Row],[PARTE]]=""),"VACIO","OK")</f>
        <v>VACIO</v>
      </c>
      <c r="U1237" s="303" t="str">
        <f>+CONCATENATE(WEEKNUM(Tabla8[[#This Row],[FECHA]]),"-",YEAR(Tabla8[[#This Row],[FECHA]]))</f>
        <v>19-2026</v>
      </c>
    </row>
    <row r="1238" spans="1:21" ht="15" customHeight="1">
      <c r="A1238" s="22">
        <v>46149</v>
      </c>
      <c r="B1238" s="16" t="s">
        <v>191</v>
      </c>
      <c r="C1238" s="10" t="s">
        <v>39</v>
      </c>
      <c r="D1238" s="381" t="s">
        <v>484</v>
      </c>
      <c r="E1238" s="381" t="s">
        <v>1113</v>
      </c>
      <c r="F1238" s="380">
        <f>+MOD(Tabla8[[#This Row],[HR. FIN]]-Tabla8[[#This Row],[HR. INICIO]],1)</f>
        <v>3.2638888888888884E-2</v>
      </c>
      <c r="G1238" s="16" t="s">
        <v>128</v>
      </c>
      <c r="H1238" s="343" t="str">
        <f>IFERROR(VLOOKUP(G1238,DATOS!$M$2:$N$219,2,FALSE),"")</f>
        <v>Maquinaria</v>
      </c>
      <c r="I1238" s="115" t="s">
        <v>2325</v>
      </c>
      <c r="J1238" s="115" t="s">
        <v>92</v>
      </c>
      <c r="K1238" s="114" t="s">
        <v>93</v>
      </c>
      <c r="L1238" s="35" t="s">
        <v>2326</v>
      </c>
      <c r="M1238" s="35" t="s">
        <v>2327</v>
      </c>
      <c r="N1238" s="35" t="str" cm="1">
        <f t="array" ref="N1238">IFERROR(IF(Tabla8[[#This Row],[P/NP]]="NO PROGRAMADA","",_xlfn.TEXTJOIN(", ",TRUE,_xlfn._xlws.FILTER(Tabla4[[#All],[PIEZA]],ISNUMBER(SEARCH(Tabla4[[#All],[PCLAVE]],Tabla8[[#This Row],[DESCRIPCION DE TRABAJO]])),""))),"")</f>
        <v/>
      </c>
      <c r="O1238" s="35" t="str" cm="1">
        <f t="array" ref="O1238">_xlfn.TEXTJOIN(", ",TRUE,_xlfn._xlws.FILTER(Tabla28[[#All],[PARTE]],ISNUMBER(SEARCH(Tabla28[[#All],[PCLAVE2]],Tabla8[[#This Row],[DESCRIPCION DE TRABAJO]])),""))</f>
        <v/>
      </c>
      <c r="P1238" s="303" t="str">
        <f>IFERROR(LEFT(O1238, FIND(",", O1238)-1), O1238)</f>
        <v/>
      </c>
      <c r="Q1238" s="303" t="str">
        <f>IFERROR(IF(ISERROR(FIND(",", O1238, FIND(",", O1238)+1)), RIGHT(O1238, LEN(O1238)-FIND(",", O1238)-1), MID(O1238, FIND(",", O1238)+2, FIND(",", O1238, FIND(",", O1238)+1)-FIND(",", O1238)-2)), "")</f>
        <v/>
      </c>
      <c r="R1238" s="303" t="str">
        <f>IFERROR(RIGHT(O1238, LEN(O1238)-FIND(",", O1238, FIND(",", O1238)+1)-1), "")</f>
        <v/>
      </c>
      <c r="S1238" s="35" t="str" cm="1">
        <f t="array" ref="S1238">_xlfn.TEXTJOIN(", ",TRUE,_xlfn._xlws.FILTER(Tabla29[[#All],[PARTE]],ISNUMBER(SEARCH(Tabla29[[#All],[PCLAVE3]],Tabla8[[#This Row],[DESCRIPCION DE TRABAJO]])),""))</f>
        <v>Obstruido</v>
      </c>
      <c r="T1238" s="34" t="str">
        <f>IF(AND(Tabla8[[#This Row],[PIEZA]]="",Tabla8[[#This Row],[PARTE]]=""),"VACIO","OK")</f>
        <v>VACIO</v>
      </c>
      <c r="U1238" s="303" t="str">
        <f>+CONCATENATE(WEEKNUM(Tabla8[[#This Row],[FECHA]]),"-",YEAR(Tabla8[[#This Row],[FECHA]]))</f>
        <v>19-2026</v>
      </c>
    </row>
    <row r="1239" spans="1:21" ht="15" customHeight="1">
      <c r="A1239" s="22">
        <v>46149</v>
      </c>
      <c r="B1239" s="16" t="s">
        <v>111</v>
      </c>
      <c r="C1239" s="10" t="s">
        <v>36</v>
      </c>
      <c r="D1239" s="381" t="s">
        <v>884</v>
      </c>
      <c r="E1239" s="381" t="s">
        <v>1496</v>
      </c>
      <c r="F1239" s="380">
        <f>+MOD(Tabla8[[#This Row],[HR. FIN]]-Tabla8[[#This Row],[HR. INICIO]],1)</f>
        <v>2.430555555555558E-2</v>
      </c>
      <c r="G1239" s="16" t="s">
        <v>119</v>
      </c>
      <c r="H1239" s="343" t="str">
        <f>IFERROR(VLOOKUP(G1239,DATOS!$M$2:$N$219,2,FALSE),"")</f>
        <v>Maquinaria</v>
      </c>
      <c r="I1239" s="115" t="s">
        <v>32</v>
      </c>
      <c r="J1239" s="115" t="s">
        <v>157</v>
      </c>
      <c r="K1239" s="114"/>
      <c r="L1239" s="35" t="s">
        <v>2328</v>
      </c>
      <c r="M1239" s="35" t="s">
        <v>121</v>
      </c>
      <c r="N1239" s="35" t="str" cm="1">
        <f t="array" ref="N1239">IFERROR(IF(Tabla8[[#This Row],[P/NP]]="NO PROGRAMADA","",_xlfn.TEXTJOIN(", ",TRUE,_xlfn._xlws.FILTER(Tabla4[[#All],[PIEZA]],ISNUMBER(SEARCH(Tabla4[[#All],[PCLAVE]],Tabla8[[#This Row],[DESCRIPCION DE TRABAJO]])),""))),"")</f>
        <v/>
      </c>
      <c r="O1239" s="35" t="str" cm="1">
        <f t="array" ref="O1239">_xlfn.TEXTJOIN(", ",TRUE,_xlfn._xlws.FILTER(Tabla28[[#All],[PARTE]],ISNUMBER(SEARCH(Tabla28[[#All],[PCLAVE2]],Tabla8[[#This Row],[DESCRIPCION DE TRABAJO]])),""))</f>
        <v>Mds</v>
      </c>
      <c r="P1239" s="303" t="str">
        <f>IFERROR(LEFT(O1239, FIND(",", O1239)-1), O1239)</f>
        <v>Mds</v>
      </c>
      <c r="Q1239" s="303" t="str">
        <f>IFERROR(IF(ISERROR(FIND(",", O1239, FIND(",", O1239)+1)), RIGHT(O1239, LEN(O1239)-FIND(",", O1239)-1), MID(O1239, FIND(",", O1239)+2, FIND(",", O1239, FIND(",", O1239)+1)-FIND(",", O1239)-2)), "")</f>
        <v/>
      </c>
      <c r="R1239" s="303" t="str">
        <f>IFERROR(RIGHT(O1239, LEN(O1239)-FIND(",", O1239, FIND(",", O1239)+1)-1), "")</f>
        <v/>
      </c>
      <c r="S1239" s="35" t="str" cm="1">
        <f t="array" ref="S1239">_xlfn.TEXTJOIN(", ",TRUE,_xlfn._xlws.FILTER(Tabla29[[#All],[PARTE]],ISNUMBER(SEARCH(Tabla29[[#All],[PCLAVE3]],Tabla8[[#This Row],[DESCRIPCION DE TRABAJO]])),""))</f>
        <v/>
      </c>
      <c r="T1239" s="34" t="str">
        <f>IF(AND(Tabla8[[#This Row],[PIEZA]]="",Tabla8[[#This Row],[PARTE]]=""),"VACIO","OK")</f>
        <v>OK</v>
      </c>
      <c r="U1239" s="303" t="str">
        <f>+CONCATENATE(WEEKNUM(Tabla8[[#This Row],[FECHA]]),"-",YEAR(Tabla8[[#This Row],[FECHA]]))</f>
        <v>19-2026</v>
      </c>
    </row>
    <row r="1240" spans="1:21" ht="15" customHeight="1">
      <c r="A1240" s="22">
        <v>46149</v>
      </c>
      <c r="B1240" s="16" t="s">
        <v>191</v>
      </c>
      <c r="C1240" s="10" t="s">
        <v>39</v>
      </c>
      <c r="D1240" s="381" t="s">
        <v>2329</v>
      </c>
      <c r="E1240" s="381" t="s">
        <v>2330</v>
      </c>
      <c r="F1240" s="380">
        <f>+MOD(Tabla8[[#This Row],[HR. FIN]]-Tabla8[[#This Row],[HR. INICIO]],1)</f>
        <v>2.2222222222222254E-2</v>
      </c>
      <c r="G1240" s="16" t="s">
        <v>24</v>
      </c>
      <c r="H1240" s="343" t="str">
        <f>IFERROR(VLOOKUP(G1240,DATOS!$M$2:$N$219,2,FALSE),"")</f>
        <v>Maquinaria</v>
      </c>
      <c r="I1240" s="115" t="s">
        <v>2268</v>
      </c>
      <c r="J1240" s="115" t="s">
        <v>92</v>
      </c>
      <c r="K1240" s="114" t="s">
        <v>93</v>
      </c>
      <c r="L1240" s="35" t="s">
        <v>2331</v>
      </c>
      <c r="M1240" s="35" t="s">
        <v>2332</v>
      </c>
      <c r="N1240" s="35" t="str" cm="1">
        <f t="array" ref="N1240">IFERROR(IF(Tabla8[[#This Row],[P/NP]]="NO PROGRAMADA","",_xlfn.TEXTJOIN(", ",TRUE,_xlfn._xlws.FILTER(Tabla4[[#All],[PIEZA]],ISNUMBER(SEARCH(Tabla4[[#All],[PCLAVE]],Tabla8[[#This Row],[DESCRIPCION DE TRABAJO]])),""))),"")</f>
        <v/>
      </c>
      <c r="O1240" s="35" t="str" cm="1">
        <f t="array" ref="O1240">_xlfn.TEXTJOIN(", ",TRUE,_xlfn._xlws.FILTER(Tabla28[[#All],[PARTE]],ISNUMBER(SEARCH(Tabla28[[#All],[PCLAVE2]],Tabla8[[#This Row],[DESCRIPCION DE TRABAJO]])),""))</f>
        <v/>
      </c>
      <c r="P1240" s="303" t="str">
        <f>IFERROR(LEFT(O1240, FIND(",", O1240)-1), O1240)</f>
        <v/>
      </c>
      <c r="Q1240" s="303" t="str">
        <f>IFERROR(IF(ISERROR(FIND(",", O1240, FIND(",", O1240)+1)), RIGHT(O1240, LEN(O1240)-FIND(",", O1240)-1), MID(O1240, FIND(",", O1240)+2, FIND(",", O1240, FIND(",", O1240)+1)-FIND(",", O1240)-2)), "")</f>
        <v/>
      </c>
      <c r="R1240" s="303" t="str">
        <f>IFERROR(RIGHT(O1240, LEN(O1240)-FIND(",", O1240, FIND(",", O1240)+1)-1), "")</f>
        <v/>
      </c>
      <c r="S1240" s="35" t="str" cm="1">
        <f t="array" ref="S1240">_xlfn.TEXTJOIN(", ",TRUE,_xlfn._xlws.FILTER(Tabla29[[#All],[PARTE]],ISNUMBER(SEARCH(Tabla29[[#All],[PCLAVE3]],Tabla8[[#This Row],[DESCRIPCION DE TRABAJO]])),""))</f>
        <v/>
      </c>
      <c r="T1240" s="34" t="str">
        <f>IF(AND(Tabla8[[#This Row],[PIEZA]]="",Tabla8[[#This Row],[PARTE]]=""),"VACIO","OK")</f>
        <v>VACIO</v>
      </c>
      <c r="U1240" s="303" t="str">
        <f>+CONCATENATE(WEEKNUM(Tabla8[[#This Row],[FECHA]]),"-",YEAR(Tabla8[[#This Row],[FECHA]]))</f>
        <v>19-2026</v>
      </c>
    </row>
    <row r="1241" spans="1:21" ht="15" customHeight="1">
      <c r="A1241" s="22">
        <v>46149</v>
      </c>
      <c r="B1241" s="16" t="s">
        <v>191</v>
      </c>
      <c r="C1241" s="10" t="s">
        <v>39</v>
      </c>
      <c r="D1241" s="381" t="s">
        <v>2333</v>
      </c>
      <c r="E1241" s="381" t="s">
        <v>2334</v>
      </c>
      <c r="F1241" s="380">
        <f>+MOD(Tabla8[[#This Row],[HR. FIN]]-Tabla8[[#This Row],[HR. INICIO]],1)</f>
        <v>2.0138888888888887E-2</v>
      </c>
      <c r="G1241" s="16" t="s">
        <v>793</v>
      </c>
      <c r="H1241" s="343" t="str">
        <f>IFERROR(VLOOKUP(G1241,DATOS!$M$2:$N$219,2,FALSE),"")</f>
        <v>Maquinaria</v>
      </c>
      <c r="I1241" s="115" t="s">
        <v>390</v>
      </c>
      <c r="J1241" s="115" t="s">
        <v>92</v>
      </c>
      <c r="K1241" s="114" t="s">
        <v>93</v>
      </c>
      <c r="L1241" s="35" t="s">
        <v>2335</v>
      </c>
      <c r="M1241" s="35" t="s">
        <v>2336</v>
      </c>
      <c r="N1241" s="35" t="str" cm="1">
        <f t="array" ref="N1241">IFERROR(IF(Tabla8[[#This Row],[P/NP]]="NO PROGRAMADA","",_xlfn.TEXTJOIN(", ",TRUE,_xlfn._xlws.FILTER(Tabla4[[#All],[PIEZA]],ISNUMBER(SEARCH(Tabla4[[#All],[PCLAVE]],Tabla8[[#This Row],[DESCRIPCION DE TRABAJO]])),""))),"")</f>
        <v/>
      </c>
      <c r="O1241" s="35" t="str" cm="1">
        <f t="array" ref="O1241">_xlfn.TEXTJOIN(", ",TRUE,_xlfn._xlws.FILTER(Tabla28[[#All],[PARTE]],ISNUMBER(SEARCH(Tabla28[[#All],[PCLAVE2]],Tabla8[[#This Row],[DESCRIPCION DE TRABAJO]])),""))</f>
        <v/>
      </c>
      <c r="P1241" s="303" t="str">
        <f>IFERROR(LEFT(O1241, FIND(",", O1241)-1), O1241)</f>
        <v/>
      </c>
      <c r="Q1241" s="303" t="str">
        <f>IFERROR(IF(ISERROR(FIND(",", O1241, FIND(",", O1241)+1)), RIGHT(O1241, LEN(O1241)-FIND(",", O1241)-1), MID(O1241, FIND(",", O1241)+2, FIND(",", O1241, FIND(",", O1241)+1)-FIND(",", O1241)-2)), "")</f>
        <v/>
      </c>
      <c r="R1241" s="303" t="str">
        <f>IFERROR(RIGHT(O1241, LEN(O1241)-FIND(",", O1241, FIND(",", O1241)+1)-1), "")</f>
        <v/>
      </c>
      <c r="S1241" s="35" t="str" cm="1">
        <f t="array" ref="S1241">_xlfn.TEXTJOIN(", ",TRUE,_xlfn._xlws.FILTER(Tabla29[[#All],[PARTE]],ISNUMBER(SEARCH(Tabla29[[#All],[PCLAVE3]],Tabla8[[#This Row],[DESCRIPCION DE TRABAJO]])),""))</f>
        <v>Alarma, Lento, Muy Lento</v>
      </c>
      <c r="T1241" s="34" t="str">
        <f>IF(AND(Tabla8[[#This Row],[PIEZA]]="",Tabla8[[#This Row],[PARTE]]=""),"VACIO","OK")</f>
        <v>VACIO</v>
      </c>
      <c r="U1241" s="303" t="str">
        <f>+CONCATENATE(WEEKNUM(Tabla8[[#This Row],[FECHA]]),"-",YEAR(Tabla8[[#This Row],[FECHA]]))</f>
        <v>19-2026</v>
      </c>
    </row>
    <row r="1242" spans="1:21" ht="15" customHeight="1">
      <c r="A1242" s="22">
        <v>46149</v>
      </c>
      <c r="B1242" s="16" t="s">
        <v>191</v>
      </c>
      <c r="C1242" s="10" t="s">
        <v>39</v>
      </c>
      <c r="D1242" s="381" t="s">
        <v>2337</v>
      </c>
      <c r="E1242" s="381" t="s">
        <v>1271</v>
      </c>
      <c r="F1242" s="380">
        <f>+MOD(Tabla8[[#This Row],[HR. FIN]]-Tabla8[[#This Row],[HR. INICIO]],1)</f>
        <v>1.9444444444444486E-2</v>
      </c>
      <c r="G1242" s="16" t="s">
        <v>182</v>
      </c>
      <c r="H1242" s="343" t="str">
        <f>IFERROR(VLOOKUP(G1242,DATOS!$M$2:$N$219,2,FALSE),"")</f>
        <v>Maquinaria</v>
      </c>
      <c r="I1242" s="115" t="s">
        <v>2272</v>
      </c>
      <c r="J1242" s="115" t="s">
        <v>92</v>
      </c>
      <c r="K1242" s="114" t="s">
        <v>93</v>
      </c>
      <c r="L1242" s="35" t="s">
        <v>2338</v>
      </c>
      <c r="M1242" s="35" t="s">
        <v>2339</v>
      </c>
      <c r="N1242" s="35" t="str" cm="1">
        <f t="array" ref="N1242">IFERROR(IF(Tabla8[[#This Row],[P/NP]]="NO PROGRAMADA","",_xlfn.TEXTJOIN(", ",TRUE,_xlfn._xlws.FILTER(Tabla4[[#All],[PIEZA]],ISNUMBER(SEARCH(Tabla4[[#All],[PCLAVE]],Tabla8[[#This Row],[DESCRIPCION DE TRABAJO]])),""))),"")</f>
        <v/>
      </c>
      <c r="O1242" s="35" t="str" cm="1">
        <f t="array" ref="O1242">_xlfn.TEXTJOIN(", ",TRUE,_xlfn._xlws.FILTER(Tabla28[[#All],[PARTE]],ISNUMBER(SEARCH(Tabla28[[#All],[PCLAVE2]],Tabla8[[#This Row],[DESCRIPCION DE TRABAJO]])),""))</f>
        <v/>
      </c>
      <c r="P1242" s="303" t="str">
        <f>IFERROR(LEFT(O1242, FIND(",", O1242)-1), O1242)</f>
        <v/>
      </c>
      <c r="Q1242" s="303" t="str">
        <f>IFERROR(IF(ISERROR(FIND(",", O1242, FIND(",", O1242)+1)), RIGHT(O1242, LEN(O1242)-FIND(",", O1242)-1), MID(O1242, FIND(",", O1242)+2, FIND(",", O1242, FIND(",", O1242)+1)-FIND(",", O1242)-2)), "")</f>
        <v/>
      </c>
      <c r="R1242" s="303" t="str">
        <f>IFERROR(RIGHT(O1242, LEN(O1242)-FIND(",", O1242, FIND(",", O1242)+1)-1), "")</f>
        <v/>
      </c>
      <c r="S1242" s="35" t="str" cm="1">
        <f t="array" ref="S1242">_xlfn.TEXTJOIN(", ",TRUE,_xlfn._xlws.FILTER(Tabla29[[#All],[PARTE]],ISNUMBER(SEARCH(Tabla29[[#All],[PCLAVE3]],Tabla8[[#This Row],[DESCRIPCION DE TRABAJO]])),""))</f>
        <v>Fuera De Posicion, Se Pegan</v>
      </c>
      <c r="T1242" s="34" t="str">
        <f>IF(AND(Tabla8[[#This Row],[PIEZA]]="",Tabla8[[#This Row],[PARTE]]=""),"VACIO","OK")</f>
        <v>VACIO</v>
      </c>
      <c r="U1242" s="303" t="str">
        <f>+CONCATENATE(WEEKNUM(Tabla8[[#This Row],[FECHA]]),"-",YEAR(Tabla8[[#This Row],[FECHA]]))</f>
        <v>19-2026</v>
      </c>
    </row>
    <row r="1243" spans="1:21" ht="15" customHeight="1">
      <c r="A1243" s="22">
        <v>46149</v>
      </c>
      <c r="B1243" s="16" t="s">
        <v>111</v>
      </c>
      <c r="C1243" s="10" t="s">
        <v>36</v>
      </c>
      <c r="D1243" s="381" t="s">
        <v>1529</v>
      </c>
      <c r="E1243" s="381" t="s">
        <v>1592</v>
      </c>
      <c r="F1243" s="380">
        <f>+MOD(Tabla8[[#This Row],[HR. FIN]]-Tabla8[[#This Row],[HR. INICIO]],1)</f>
        <v>1.7361111111111105E-2</v>
      </c>
      <c r="G1243" s="16" t="s">
        <v>119</v>
      </c>
      <c r="H1243" s="343" t="str">
        <f>IFERROR(VLOOKUP(G1243,DATOS!$M$2:$N$219,2,FALSE),"")</f>
        <v>Maquinaria</v>
      </c>
      <c r="I1243" s="115" t="s">
        <v>32</v>
      </c>
      <c r="J1243" s="115" t="s">
        <v>157</v>
      </c>
      <c r="K1243" s="114"/>
      <c r="L1243" s="35" t="s">
        <v>2340</v>
      </c>
      <c r="M1243" s="35" t="s">
        <v>121</v>
      </c>
      <c r="N1243" s="35" t="str" cm="1">
        <f t="array" ref="N1243">IFERROR(IF(Tabla8[[#This Row],[P/NP]]="NO PROGRAMADA","",_xlfn.TEXTJOIN(", ",TRUE,_xlfn._xlws.FILTER(Tabla4[[#All],[PIEZA]],ISNUMBER(SEARCH(Tabla4[[#All],[PCLAVE]],Tabla8[[#This Row],[DESCRIPCION DE TRABAJO]])),""))),"")</f>
        <v/>
      </c>
      <c r="O1243" s="35" t="str" cm="1">
        <f t="array" ref="O1243">_xlfn.TEXTJOIN(", ",TRUE,_xlfn._xlws.FILTER(Tabla28[[#All],[PARTE]],ISNUMBER(SEARCH(Tabla28[[#All],[PCLAVE2]],Tabla8[[#This Row],[DESCRIPCION DE TRABAJO]])),""))</f>
        <v>Mds</v>
      </c>
      <c r="P1243" s="303" t="str">
        <f>IFERROR(LEFT(O1243, FIND(",", O1243)-1), O1243)</f>
        <v>Mds</v>
      </c>
      <c r="Q1243" s="303" t="str">
        <f>IFERROR(IF(ISERROR(FIND(",", O1243, FIND(",", O1243)+1)), RIGHT(O1243, LEN(O1243)-FIND(",", O1243)-1), MID(O1243, FIND(",", O1243)+2, FIND(",", O1243, FIND(",", O1243)+1)-FIND(",", O1243)-2)), "")</f>
        <v/>
      </c>
      <c r="R1243" s="303" t="str">
        <f>IFERROR(RIGHT(O1243, LEN(O1243)-FIND(",", O1243, FIND(",", O1243)+1)-1), "")</f>
        <v/>
      </c>
      <c r="S1243" s="35" t="str" cm="1">
        <f t="array" ref="S1243">_xlfn.TEXTJOIN(", ",TRUE,_xlfn._xlws.FILTER(Tabla29[[#All],[PARTE]],ISNUMBER(SEARCH(Tabla29[[#All],[PCLAVE3]],Tabla8[[#This Row],[DESCRIPCION DE TRABAJO]])),""))</f>
        <v/>
      </c>
      <c r="T1243" s="34" t="str">
        <f>IF(AND(Tabla8[[#This Row],[PIEZA]]="",Tabla8[[#This Row],[PARTE]]=""),"VACIO","OK")</f>
        <v>OK</v>
      </c>
      <c r="U1243" s="303" t="str">
        <f>+CONCATENATE(WEEKNUM(Tabla8[[#This Row],[FECHA]]),"-",YEAR(Tabla8[[#This Row],[FECHA]]))</f>
        <v>19-2026</v>
      </c>
    </row>
    <row r="1244" spans="1:21" ht="15" customHeight="1">
      <c r="A1244" s="22">
        <v>46149</v>
      </c>
      <c r="B1244" s="16" t="s">
        <v>111</v>
      </c>
      <c r="C1244" s="10" t="s">
        <v>36</v>
      </c>
      <c r="D1244" s="381" t="s">
        <v>488</v>
      </c>
      <c r="E1244" s="381" t="s">
        <v>447</v>
      </c>
      <c r="F1244" s="380">
        <f>+MOD(Tabla8[[#This Row],[HR. FIN]]-Tabla8[[#This Row],[HR. INICIO]],1)</f>
        <v>1.7361111111111105E-2</v>
      </c>
      <c r="G1244" s="16" t="s">
        <v>236</v>
      </c>
      <c r="H1244" s="343" t="str">
        <f>IFERROR(VLOOKUP(G1244,DATOS!$M$2:$N$219,2,FALSE),"")</f>
        <v>Sistema</v>
      </c>
      <c r="I1244" s="115" t="s">
        <v>186</v>
      </c>
      <c r="J1244" s="115" t="s">
        <v>92</v>
      </c>
      <c r="K1244" s="114" t="s">
        <v>93</v>
      </c>
      <c r="L1244" s="35" t="s">
        <v>2341</v>
      </c>
      <c r="M1244" s="35" t="s">
        <v>2342</v>
      </c>
      <c r="N1244" s="35" t="str" cm="1">
        <f t="array" ref="N1244">IFERROR(IF(Tabla8[[#This Row],[P/NP]]="NO PROGRAMADA","",_xlfn.TEXTJOIN(", ",TRUE,_xlfn._xlws.FILTER(Tabla4[[#All],[PIEZA]],ISNUMBER(SEARCH(Tabla4[[#All],[PCLAVE]],Tabla8[[#This Row],[DESCRIPCION DE TRABAJO]])),""))),"")</f>
        <v/>
      </c>
      <c r="O1244" s="35" t="str" cm="1">
        <f t="array" ref="O1244">_xlfn.TEXTJOIN(", ",TRUE,_xlfn._xlws.FILTER(Tabla28[[#All],[PARTE]],ISNUMBER(SEARCH(Tabla28[[#All],[PCLAVE2]],Tabla8[[#This Row],[DESCRIPCION DE TRABAJO]])),""))</f>
        <v/>
      </c>
      <c r="P1244" s="303" t="str">
        <f>IFERROR(LEFT(O1244, FIND(",", O1244)-1), O1244)</f>
        <v/>
      </c>
      <c r="Q1244" s="303" t="str">
        <f>IFERROR(IF(ISERROR(FIND(",", O1244, FIND(",", O1244)+1)), RIGHT(O1244, LEN(O1244)-FIND(",", O1244)-1), MID(O1244, FIND(",", O1244)+2, FIND(",", O1244, FIND(",", O1244)+1)-FIND(",", O1244)-2)), "")</f>
        <v/>
      </c>
      <c r="R1244" s="303" t="str">
        <f>IFERROR(RIGHT(O1244, LEN(O1244)-FIND(",", O1244, FIND(",", O1244)+1)-1), "")</f>
        <v/>
      </c>
      <c r="S1244" s="35" t="str" cm="1">
        <f t="array" ref="S1244">_xlfn.TEXTJOIN(", ",TRUE,_xlfn._xlws.FILTER(Tabla29[[#All],[PARTE]],ISNUMBER(SEARCH(Tabla29[[#All],[PCLAVE3]],Tabla8[[#This Row],[DESCRIPCION DE TRABAJO]])),""))</f>
        <v/>
      </c>
      <c r="T1244" s="34" t="str">
        <f>IF(AND(Tabla8[[#This Row],[PIEZA]]="",Tabla8[[#This Row],[PARTE]]=""),"VACIO","OK")</f>
        <v>VACIO</v>
      </c>
      <c r="U1244" s="303" t="str">
        <f>+CONCATENATE(WEEKNUM(Tabla8[[#This Row],[FECHA]]),"-",YEAR(Tabla8[[#This Row],[FECHA]]))</f>
        <v>19-2026</v>
      </c>
    </row>
    <row r="1245" spans="1:21" ht="15" customHeight="1">
      <c r="A1245" s="22">
        <v>46149</v>
      </c>
      <c r="B1245" s="16" t="s">
        <v>111</v>
      </c>
      <c r="C1245" s="10" t="s">
        <v>36</v>
      </c>
      <c r="D1245" s="381" t="s">
        <v>1510</v>
      </c>
      <c r="E1245" s="381" t="s">
        <v>89</v>
      </c>
      <c r="F1245" s="380">
        <f>+MOD(Tabla8[[#This Row],[HR. FIN]]-Tabla8[[#This Row],[HR. INICIO]],1)</f>
        <v>1.3888888888888895E-2</v>
      </c>
      <c r="G1245" s="16" t="s">
        <v>119</v>
      </c>
      <c r="H1245" s="343" t="str">
        <f>IFERROR(VLOOKUP(G1245,DATOS!$M$2:$N$219,2,FALSE),"")</f>
        <v>Maquinaria</v>
      </c>
      <c r="I1245" s="115" t="s">
        <v>32</v>
      </c>
      <c r="J1245" s="115" t="s">
        <v>157</v>
      </c>
      <c r="K1245" s="114"/>
      <c r="L1245" s="35" t="s">
        <v>2111</v>
      </c>
      <c r="M1245" s="35" t="s">
        <v>121</v>
      </c>
      <c r="N1245" s="35" t="str" cm="1">
        <f t="array" ref="N1245">IFERROR(IF(Tabla8[[#This Row],[P/NP]]="NO PROGRAMADA","",_xlfn.TEXTJOIN(", ",TRUE,_xlfn._xlws.FILTER(Tabla4[[#All],[PIEZA]],ISNUMBER(SEARCH(Tabla4[[#All],[PCLAVE]],Tabla8[[#This Row],[DESCRIPCION DE TRABAJO]])),""))),"")</f>
        <v/>
      </c>
      <c r="O1245" s="35" t="str" cm="1">
        <f t="array" ref="O1245">_xlfn.TEXTJOIN(", ",TRUE,_xlfn._xlws.FILTER(Tabla28[[#All],[PARTE]],ISNUMBER(SEARCH(Tabla28[[#All],[PCLAVE2]],Tabla8[[#This Row],[DESCRIPCION DE TRABAJO]])),""))</f>
        <v>Mds</v>
      </c>
      <c r="P1245" s="303" t="str">
        <f>IFERROR(LEFT(O1245, FIND(",", O1245)-1), O1245)</f>
        <v>Mds</v>
      </c>
      <c r="Q1245" s="303" t="str">
        <f>IFERROR(IF(ISERROR(FIND(",", O1245, FIND(",", O1245)+1)), RIGHT(O1245, LEN(O1245)-FIND(",", O1245)-1), MID(O1245, FIND(",", O1245)+2, FIND(",", O1245, FIND(",", O1245)+1)-FIND(",", O1245)-2)), "")</f>
        <v/>
      </c>
      <c r="R1245" s="303" t="str">
        <f>IFERROR(RIGHT(O1245, LEN(O1245)-FIND(",", O1245, FIND(",", O1245)+1)-1), "")</f>
        <v/>
      </c>
      <c r="S1245" s="35" t="str" cm="1">
        <f t="array" ref="S1245">_xlfn.TEXTJOIN(", ",TRUE,_xlfn._xlws.FILTER(Tabla29[[#All],[PARTE]],ISNUMBER(SEARCH(Tabla29[[#All],[PCLAVE3]],Tabla8[[#This Row],[DESCRIPCION DE TRABAJO]])),""))</f>
        <v/>
      </c>
      <c r="T1245" s="34" t="str">
        <f>IF(AND(Tabla8[[#This Row],[PIEZA]]="",Tabla8[[#This Row],[PARTE]]=""),"VACIO","OK")</f>
        <v>OK</v>
      </c>
      <c r="U1245" s="303" t="str">
        <f>+CONCATENATE(WEEKNUM(Tabla8[[#This Row],[FECHA]]),"-",YEAR(Tabla8[[#This Row],[FECHA]]))</f>
        <v>19-2026</v>
      </c>
    </row>
    <row r="1246" spans="1:21" ht="15" customHeight="1">
      <c r="A1246" s="22">
        <v>46149</v>
      </c>
      <c r="B1246" s="16" t="s">
        <v>111</v>
      </c>
      <c r="C1246" s="10" t="s">
        <v>36</v>
      </c>
      <c r="D1246" s="381" t="s">
        <v>672</v>
      </c>
      <c r="E1246" s="381" t="s">
        <v>585</v>
      </c>
      <c r="F1246" s="380">
        <f>+MOD(Tabla8[[#This Row],[HR. FIN]]-Tabla8[[#This Row],[HR. INICIO]],1)</f>
        <v>1.3888888888888895E-2</v>
      </c>
      <c r="G1246" s="16" t="s">
        <v>24</v>
      </c>
      <c r="H1246" s="343" t="str">
        <f>IFERROR(VLOOKUP(G1246,DATOS!$M$2:$N$219,2,FALSE),"")</f>
        <v>Maquinaria</v>
      </c>
      <c r="I1246" s="115" t="s">
        <v>57</v>
      </c>
      <c r="J1246" s="115" t="s">
        <v>92</v>
      </c>
      <c r="K1246" s="114" t="s">
        <v>93</v>
      </c>
      <c r="L1246" s="35" t="s">
        <v>2343</v>
      </c>
      <c r="M1246" s="35" t="s">
        <v>2344</v>
      </c>
      <c r="N1246" s="35" t="str" cm="1">
        <f t="array" ref="N1246">IFERROR(IF(Tabla8[[#This Row],[P/NP]]="NO PROGRAMADA","",_xlfn.TEXTJOIN(", ",TRUE,_xlfn._xlws.FILTER(Tabla4[[#All],[PIEZA]],ISNUMBER(SEARCH(Tabla4[[#All],[PCLAVE]],Tabla8[[#This Row],[DESCRIPCION DE TRABAJO]])),""))),"")</f>
        <v/>
      </c>
      <c r="O1246" s="35" t="str" cm="1">
        <f t="array" ref="O1246">_xlfn.TEXTJOIN(", ",TRUE,_xlfn._xlws.FILTER(Tabla28[[#All],[PARTE]],ISNUMBER(SEARCH(Tabla28[[#All],[PCLAVE2]],Tabla8[[#This Row],[DESCRIPCION DE TRABAJO]])),""))</f>
        <v/>
      </c>
      <c r="P1246" s="303" t="str">
        <f>IFERROR(LEFT(O1246, FIND(",", O1246)-1), O1246)</f>
        <v/>
      </c>
      <c r="Q1246" s="303" t="str">
        <f>IFERROR(IF(ISERROR(FIND(",", O1246, FIND(",", O1246)+1)), RIGHT(O1246, LEN(O1246)-FIND(",", O1246)-1), MID(O1246, FIND(",", O1246)+2, FIND(",", O1246, FIND(",", O1246)+1)-FIND(",", O1246)-2)), "")</f>
        <v/>
      </c>
      <c r="R1246" s="303" t="str">
        <f>IFERROR(RIGHT(O1246, LEN(O1246)-FIND(",", O1246, FIND(",", O1246)+1)-1), "")</f>
        <v/>
      </c>
      <c r="S1246" s="35" t="str" cm="1">
        <f t="array" ref="S1246">_xlfn.TEXTJOIN(", ",TRUE,_xlfn._xlws.FILTER(Tabla29[[#All],[PARTE]],ISNUMBER(SEARCH(Tabla29[[#All],[PCLAVE3]],Tabla8[[#This Row],[DESCRIPCION DE TRABAJO]])),""))</f>
        <v/>
      </c>
      <c r="T1246" s="34" t="str">
        <f>IF(AND(Tabla8[[#This Row],[PIEZA]]="",Tabla8[[#This Row],[PARTE]]=""),"VACIO","OK")</f>
        <v>VACIO</v>
      </c>
      <c r="U1246" s="303" t="str">
        <f>+CONCATENATE(WEEKNUM(Tabla8[[#This Row],[FECHA]]),"-",YEAR(Tabla8[[#This Row],[FECHA]]))</f>
        <v>19-2026</v>
      </c>
    </row>
    <row r="1247" spans="1:21" ht="15" customHeight="1">
      <c r="A1247" s="22">
        <v>46149</v>
      </c>
      <c r="B1247" s="16" t="s">
        <v>191</v>
      </c>
      <c r="C1247" s="10" t="s">
        <v>39</v>
      </c>
      <c r="D1247" s="381" t="s">
        <v>2345</v>
      </c>
      <c r="E1247" s="381" t="s">
        <v>2346</v>
      </c>
      <c r="F1247" s="380">
        <f>+MOD(Tabla8[[#This Row],[HR. FIN]]-Tabla8[[#This Row],[HR. INICIO]],1)</f>
        <v>1.1111111111111113E-2</v>
      </c>
      <c r="G1247" s="16" t="s">
        <v>182</v>
      </c>
      <c r="H1247" s="343" t="str">
        <f>IFERROR(VLOOKUP(G1247,DATOS!$M$2:$N$219,2,FALSE),"")</f>
        <v>Maquinaria</v>
      </c>
      <c r="I1247" s="115" t="s">
        <v>32</v>
      </c>
      <c r="J1247" s="115" t="s">
        <v>157</v>
      </c>
      <c r="K1247" s="114"/>
      <c r="L1247" s="35" t="s">
        <v>2147</v>
      </c>
      <c r="M1247" s="35" t="s">
        <v>121</v>
      </c>
      <c r="N1247" s="35" t="str" cm="1">
        <f t="array" ref="N1247">IFERROR(IF(Tabla8[[#This Row],[P/NP]]="NO PROGRAMADA","",_xlfn.TEXTJOIN(", ",TRUE,_xlfn._xlws.FILTER(Tabla4[[#All],[PIEZA]],ISNUMBER(SEARCH(Tabla4[[#All],[PCLAVE]],Tabla8[[#This Row],[DESCRIPCION DE TRABAJO]])),""))),"")</f>
        <v>Bobina</v>
      </c>
      <c r="O1247" s="35" t="str" cm="1">
        <f t="array" ref="O1247">_xlfn.TEXTJOIN(", ",TRUE,_xlfn._xlws.FILTER(Tabla28[[#All],[PARTE]],ISNUMBER(SEARCH(Tabla28[[#All],[PCLAVE2]],Tabla8[[#This Row],[DESCRIPCION DE TRABAJO]])),""))</f>
        <v/>
      </c>
      <c r="P1247" s="303" t="str">
        <f>IFERROR(LEFT(O1247, FIND(",", O1247)-1), O1247)</f>
        <v/>
      </c>
      <c r="Q1247" s="303" t="str">
        <f>IFERROR(IF(ISERROR(FIND(",", O1247, FIND(",", O1247)+1)), RIGHT(O1247, LEN(O1247)-FIND(",", O1247)-1), MID(O1247, FIND(",", O1247)+2, FIND(",", O1247, FIND(",", O1247)+1)-FIND(",", O1247)-2)), "")</f>
        <v/>
      </c>
      <c r="R1247" s="303" t="str">
        <f>IFERROR(RIGHT(O1247, LEN(O1247)-FIND(",", O1247, FIND(",", O1247)+1)-1), "")</f>
        <v/>
      </c>
      <c r="S1247" s="35" t="str" cm="1">
        <f t="array" ref="S1247">_xlfn.TEXTJOIN(", ",TRUE,_xlfn._xlws.FILTER(Tabla29[[#All],[PARTE]],ISNUMBER(SEARCH(Tabla29[[#All],[PCLAVE3]],Tabla8[[#This Row],[DESCRIPCION DE TRABAJO]])),""))</f>
        <v/>
      </c>
      <c r="T1247" s="34" t="str">
        <f>IF(AND(Tabla8[[#This Row],[PIEZA]]="",Tabla8[[#This Row],[PARTE]]=""),"VACIO","OK")</f>
        <v>OK</v>
      </c>
      <c r="U1247" s="303" t="str">
        <f>+CONCATENATE(WEEKNUM(Tabla8[[#This Row],[FECHA]]),"-",YEAR(Tabla8[[#This Row],[FECHA]]))</f>
        <v>19-2026</v>
      </c>
    </row>
    <row r="1248" spans="1:21" ht="15" customHeight="1">
      <c r="A1248" s="22">
        <v>46149</v>
      </c>
      <c r="B1248" s="16" t="s">
        <v>191</v>
      </c>
      <c r="C1248" s="10" t="s">
        <v>39</v>
      </c>
      <c r="D1248" s="381" t="s">
        <v>2305</v>
      </c>
      <c r="E1248" s="381" t="s">
        <v>2260</v>
      </c>
      <c r="F1248" s="380">
        <f>+MOD(Tabla8[[#This Row],[HR. FIN]]-Tabla8[[#This Row],[HR. INICIO]],1)</f>
        <v>1.1111111111111072E-2</v>
      </c>
      <c r="G1248" s="16" t="s">
        <v>1575</v>
      </c>
      <c r="H1248" s="343" t="str">
        <f>IFERROR(VLOOKUP(G1248,DATOS!$M$2:$N$219,2,FALSE),"")</f>
        <v>Sistema</v>
      </c>
      <c r="I1248" s="115" t="s">
        <v>2325</v>
      </c>
      <c r="J1248" s="115" t="s">
        <v>92</v>
      </c>
      <c r="K1248" s="114" t="s">
        <v>93</v>
      </c>
      <c r="L1248" s="35" t="s">
        <v>2347</v>
      </c>
      <c r="M1248" s="35" t="s">
        <v>2348</v>
      </c>
      <c r="N1248" s="35" t="str" cm="1">
        <f t="array" ref="N1248">IFERROR(IF(Tabla8[[#This Row],[P/NP]]="NO PROGRAMADA","",_xlfn.TEXTJOIN(", ",TRUE,_xlfn._xlws.FILTER(Tabla4[[#All],[PIEZA]],ISNUMBER(SEARCH(Tabla4[[#All],[PCLAVE]],Tabla8[[#This Row],[DESCRIPCION DE TRABAJO]])),""))),"")</f>
        <v/>
      </c>
      <c r="O1248" s="35" t="str" cm="1">
        <f t="array" ref="O1248">_xlfn.TEXTJOIN(", ",TRUE,_xlfn._xlws.FILTER(Tabla28[[#All],[PARTE]],ISNUMBER(SEARCH(Tabla28[[#All],[PCLAVE2]],Tabla8[[#This Row],[DESCRIPCION DE TRABAJO]])),""))</f>
        <v/>
      </c>
      <c r="P1248" s="303" t="str">
        <f>IFERROR(LEFT(O1248, FIND(",", O1248)-1), O1248)</f>
        <v/>
      </c>
      <c r="Q1248" s="303" t="str">
        <f>IFERROR(IF(ISERROR(FIND(",", O1248, FIND(",", O1248)+1)), RIGHT(O1248, LEN(O1248)-FIND(",", O1248)-1), MID(O1248, FIND(",", O1248)+2, FIND(",", O1248, FIND(",", O1248)+1)-FIND(",", O1248)-2)), "")</f>
        <v/>
      </c>
      <c r="R1248" s="303" t="str">
        <f>IFERROR(RIGHT(O1248, LEN(O1248)-FIND(",", O1248, FIND(",", O1248)+1)-1), "")</f>
        <v/>
      </c>
      <c r="S1248" s="35" t="str" cm="1">
        <f t="array" ref="S1248">_xlfn.TEXTJOIN(", ",TRUE,_xlfn._xlws.FILTER(Tabla29[[#All],[PARTE]],ISNUMBER(SEARCH(Tabla29[[#All],[PCLAVE3]],Tabla8[[#This Row],[DESCRIPCION DE TRABAJO]])),""))</f>
        <v>Falla De Presion</v>
      </c>
      <c r="T1248" s="34" t="str">
        <f>IF(AND(Tabla8[[#This Row],[PIEZA]]="",Tabla8[[#This Row],[PARTE]]=""),"VACIO","OK")</f>
        <v>VACIO</v>
      </c>
      <c r="U1248" s="303" t="str">
        <f>+CONCATENATE(WEEKNUM(Tabla8[[#This Row],[FECHA]]),"-",YEAR(Tabla8[[#This Row],[FECHA]]))</f>
        <v>19-2026</v>
      </c>
    </row>
    <row r="1249" spans="1:21" ht="15" customHeight="1">
      <c r="A1249" s="22">
        <v>46149</v>
      </c>
      <c r="B1249" s="16" t="s">
        <v>111</v>
      </c>
      <c r="C1249" s="10" t="s">
        <v>36</v>
      </c>
      <c r="D1249" s="381" t="s">
        <v>404</v>
      </c>
      <c r="E1249" s="381" t="s">
        <v>586</v>
      </c>
      <c r="F1249" s="380">
        <f>+MOD(Tabla8[[#This Row],[HR. FIN]]-Tabla8[[#This Row],[HR. INICIO]],1)</f>
        <v>1.0416666666666685E-2</v>
      </c>
      <c r="G1249" s="16" t="s">
        <v>119</v>
      </c>
      <c r="H1249" s="343" t="str">
        <f>IFERROR(VLOOKUP(G1249,DATOS!$M$2:$N$219,2,FALSE),"")</f>
        <v>Maquinaria</v>
      </c>
      <c r="I1249" s="115" t="s">
        <v>32</v>
      </c>
      <c r="J1249" s="115" t="s">
        <v>157</v>
      </c>
      <c r="K1249" s="114"/>
      <c r="L1249" s="35" t="s">
        <v>2349</v>
      </c>
      <c r="M1249" s="35" t="s">
        <v>121</v>
      </c>
      <c r="N1249" s="35" t="str" cm="1">
        <f t="array" ref="N1249">IFERROR(IF(Tabla8[[#This Row],[P/NP]]="NO PROGRAMADA","",_xlfn.TEXTJOIN(", ",TRUE,_xlfn._xlws.FILTER(Tabla4[[#All],[PIEZA]],ISNUMBER(SEARCH(Tabla4[[#All],[PCLAVE]],Tabla8[[#This Row],[DESCRIPCION DE TRABAJO]])),""))),"")</f>
        <v>Piston(es), Planchas</v>
      </c>
      <c r="O1249" s="35" t="str" cm="1">
        <f t="array" ref="O1249">_xlfn.TEXTJOIN(", ",TRUE,_xlfn._xlws.FILTER(Tabla28[[#All],[PARTE]],ISNUMBER(SEARCH(Tabla28[[#All],[PCLAVE2]],Tabla8[[#This Row],[DESCRIPCION DE TRABAJO]])),""))</f>
        <v>Mds</v>
      </c>
      <c r="P1249" s="303" t="str">
        <f>IFERROR(LEFT(O1249, FIND(",", O1249)-1), O1249)</f>
        <v>Mds</v>
      </c>
      <c r="Q1249" s="303" t="str">
        <f>IFERROR(IF(ISERROR(FIND(",", O1249, FIND(",", O1249)+1)), RIGHT(O1249, LEN(O1249)-FIND(",", O1249)-1), MID(O1249, FIND(",", O1249)+2, FIND(",", O1249, FIND(",", O1249)+1)-FIND(",", O1249)-2)), "")</f>
        <v/>
      </c>
      <c r="R1249" s="303" t="str">
        <f>IFERROR(RIGHT(O1249, LEN(O1249)-FIND(",", O1249, FIND(",", O1249)+1)-1), "")</f>
        <v/>
      </c>
      <c r="S1249" s="35" t="str" cm="1">
        <f t="array" ref="S1249">_xlfn.TEXTJOIN(", ",TRUE,_xlfn._xlws.FILTER(Tabla29[[#All],[PARTE]],ISNUMBER(SEARCH(Tabla29[[#All],[PCLAVE3]],Tabla8[[#This Row],[DESCRIPCION DE TRABAJO]])),""))</f>
        <v/>
      </c>
      <c r="T1249" s="34" t="str">
        <f>IF(AND(Tabla8[[#This Row],[PIEZA]]="",Tabla8[[#This Row],[PARTE]]=""),"VACIO","OK")</f>
        <v>OK</v>
      </c>
      <c r="U1249" s="303" t="str">
        <f>+CONCATENATE(WEEKNUM(Tabla8[[#This Row],[FECHA]]),"-",YEAR(Tabla8[[#This Row],[FECHA]]))</f>
        <v>19-2026</v>
      </c>
    </row>
    <row r="1250" spans="1:21" ht="15" customHeight="1">
      <c r="A1250" s="22">
        <v>46149</v>
      </c>
      <c r="B1250" s="16" t="s">
        <v>191</v>
      </c>
      <c r="C1250" s="10" t="s">
        <v>39</v>
      </c>
      <c r="D1250" s="381" t="s">
        <v>681</v>
      </c>
      <c r="E1250" s="381" t="s">
        <v>425</v>
      </c>
      <c r="F1250" s="380">
        <f>+MOD(Tabla8[[#This Row],[HR. FIN]]-Tabla8[[#This Row],[HR. INICIO]],1)</f>
        <v>9.7222222222222987E-3</v>
      </c>
      <c r="G1250" s="16" t="s">
        <v>215</v>
      </c>
      <c r="H1250" s="343" t="str">
        <f>IFERROR(VLOOKUP(G1250,DATOS!$M$2:$N$219,2,FALSE),"")</f>
        <v>Equipos auxiliares</v>
      </c>
      <c r="I1250" s="115" t="s">
        <v>54</v>
      </c>
      <c r="J1250" s="115" t="s">
        <v>157</v>
      </c>
      <c r="K1250" s="114"/>
      <c r="L1250" s="35" t="s">
        <v>1751</v>
      </c>
      <c r="M1250" s="35" t="s">
        <v>121</v>
      </c>
      <c r="N1250" s="35" t="str" cm="1">
        <f t="array" ref="N1250">IFERROR(IF(Tabla8[[#This Row],[P/NP]]="NO PROGRAMADA","",_xlfn.TEXTJOIN(", ",TRUE,_xlfn._xlws.FILTER(Tabla4[[#All],[PIEZA]],ISNUMBER(SEARCH(Tabla4[[#All],[PCLAVE]],Tabla8[[#This Row],[DESCRIPCION DE TRABAJO]])),""))),"")</f>
        <v/>
      </c>
      <c r="O1250" s="35" t="str" cm="1">
        <f t="array" ref="O1250">_xlfn.TEXTJOIN(", ",TRUE,_xlfn._xlws.FILTER(Tabla28[[#All],[PARTE]],ISNUMBER(SEARCH(Tabla28[[#All],[PCLAVE2]],Tabla8[[#This Row],[DESCRIPCION DE TRABAJO]])),""))</f>
        <v/>
      </c>
      <c r="P1250" s="303" t="str">
        <f>IFERROR(LEFT(O1250, FIND(",", O1250)-1), O1250)</f>
        <v/>
      </c>
      <c r="Q1250" s="303" t="str">
        <f>IFERROR(IF(ISERROR(FIND(",", O1250, FIND(",", O1250)+1)), RIGHT(O1250, LEN(O1250)-FIND(",", O1250)-1), MID(O1250, FIND(",", O1250)+2, FIND(",", O1250, FIND(",", O1250)+1)-FIND(",", O1250)-2)), "")</f>
        <v/>
      </c>
      <c r="R1250" s="303" t="str">
        <f>IFERROR(RIGHT(O1250, LEN(O1250)-FIND(",", O1250, FIND(",", O1250)+1)-1), "")</f>
        <v/>
      </c>
      <c r="S1250" s="35" t="str" cm="1">
        <f t="array" ref="S1250">_xlfn.TEXTJOIN(", ",TRUE,_xlfn._xlws.FILTER(Tabla29[[#All],[PARTE]],ISNUMBER(SEARCH(Tabla29[[#All],[PCLAVE3]],Tabla8[[#This Row],[DESCRIPCION DE TRABAJO]])),""))</f>
        <v/>
      </c>
      <c r="T1250" s="34" t="str">
        <f>IF(AND(Tabla8[[#This Row],[PIEZA]]="",Tabla8[[#This Row],[PARTE]]=""),"VACIO","OK")</f>
        <v>VACIO</v>
      </c>
      <c r="U1250" s="303" t="str">
        <f>+CONCATENATE(WEEKNUM(Tabla8[[#This Row],[FECHA]]),"-",YEAR(Tabla8[[#This Row],[FECHA]]))</f>
        <v>19-2026</v>
      </c>
    </row>
    <row r="1251" spans="1:21" ht="15" customHeight="1">
      <c r="A1251" s="22">
        <v>46149</v>
      </c>
      <c r="B1251" s="16" t="s">
        <v>111</v>
      </c>
      <c r="C1251" s="10" t="s">
        <v>36</v>
      </c>
      <c r="D1251" s="381" t="s">
        <v>2350</v>
      </c>
      <c r="E1251" s="381" t="s">
        <v>1991</v>
      </c>
      <c r="F1251" s="380">
        <f>+MOD(Tabla8[[#This Row],[HR. FIN]]-Tabla8[[#This Row],[HR. INICIO]],1)</f>
        <v>6.9444444444444198E-3</v>
      </c>
      <c r="G1251" s="16" t="s">
        <v>169</v>
      </c>
      <c r="H1251" s="343" t="str">
        <f>IFERROR(VLOOKUP(G1251,DATOS!$M$2:$N$219,2,FALSE),"")</f>
        <v>Maquinaria</v>
      </c>
      <c r="I1251" s="115" t="s">
        <v>32</v>
      </c>
      <c r="J1251" s="115" t="s">
        <v>157</v>
      </c>
      <c r="K1251" s="114"/>
      <c r="L1251" s="35" t="s">
        <v>449</v>
      </c>
      <c r="M1251" s="35" t="s">
        <v>121</v>
      </c>
      <c r="N1251" s="35" t="str" cm="1">
        <f t="array" ref="N1251">IFERROR(IF(Tabla8[[#This Row],[P/NP]]="NO PROGRAMADA","",_xlfn.TEXTJOIN(", ",TRUE,_xlfn._xlws.FILTER(Tabla4[[#All],[PIEZA]],ISNUMBER(SEARCH(Tabla4[[#All],[PCLAVE]],Tabla8[[#This Row],[DESCRIPCION DE TRABAJO]])),""))),"")</f>
        <v/>
      </c>
      <c r="O1251" s="35" t="str" cm="1">
        <f t="array" ref="O1251">_xlfn.TEXTJOIN(", ",TRUE,_xlfn._xlws.FILTER(Tabla28[[#All],[PARTE]],ISNUMBER(SEARCH(Tabla28[[#All],[PCLAVE2]],Tabla8[[#This Row],[DESCRIPCION DE TRABAJO]])),""))</f>
        <v/>
      </c>
      <c r="P1251" s="303" t="str">
        <f>IFERROR(LEFT(O1251, FIND(",", O1251)-1), O1251)</f>
        <v/>
      </c>
      <c r="Q1251" s="303" t="str">
        <f>IFERROR(IF(ISERROR(FIND(",", O1251, FIND(",", O1251)+1)), RIGHT(O1251, LEN(O1251)-FIND(",", O1251)-1), MID(O1251, FIND(",", O1251)+2, FIND(",", O1251, FIND(",", O1251)+1)-FIND(",", O1251)-2)), "")</f>
        <v/>
      </c>
      <c r="R1251" s="303" t="str">
        <f>IFERROR(RIGHT(O1251, LEN(O1251)-FIND(",", O1251, FIND(",", O1251)+1)-1), "")</f>
        <v/>
      </c>
      <c r="S1251" s="35" t="str" cm="1">
        <f t="array" ref="S1251">_xlfn.TEXTJOIN(", ",TRUE,_xlfn._xlws.FILTER(Tabla29[[#All],[PARTE]],ISNUMBER(SEARCH(Tabla29[[#All],[PCLAVE3]],Tabla8[[#This Row],[DESCRIPCION DE TRABAJO]])),""))</f>
        <v/>
      </c>
      <c r="T1251" s="34" t="str">
        <f>IF(AND(Tabla8[[#This Row],[PIEZA]]="",Tabla8[[#This Row],[PARTE]]=""),"VACIO","OK")</f>
        <v>VACIO</v>
      </c>
      <c r="U1251" s="303" t="str">
        <f>+CONCATENATE(WEEKNUM(Tabla8[[#This Row],[FECHA]]),"-",YEAR(Tabla8[[#This Row],[FECHA]]))</f>
        <v>19-2026</v>
      </c>
    </row>
    <row r="1252" spans="1:21" ht="15" customHeight="1">
      <c r="A1252" s="22">
        <v>46149</v>
      </c>
      <c r="B1252" s="16" t="s">
        <v>111</v>
      </c>
      <c r="C1252" s="10" t="s">
        <v>36</v>
      </c>
      <c r="D1252" s="381" t="s">
        <v>605</v>
      </c>
      <c r="E1252" s="381" t="s">
        <v>531</v>
      </c>
      <c r="F1252" s="380">
        <f>+MOD(Tabla8[[#This Row],[HR. FIN]]-Tabla8[[#This Row],[HR. INICIO]],1)</f>
        <v>6.9444444444444198E-3</v>
      </c>
      <c r="G1252" s="16" t="s">
        <v>169</v>
      </c>
      <c r="H1252" s="343" t="str">
        <f>IFERROR(VLOOKUP(G1252,DATOS!$M$2:$N$219,2,FALSE),"")</f>
        <v>Maquinaria</v>
      </c>
      <c r="I1252" s="115" t="s">
        <v>32</v>
      </c>
      <c r="J1252" s="115" t="s">
        <v>157</v>
      </c>
      <c r="K1252" s="114"/>
      <c r="L1252" s="35" t="s">
        <v>960</v>
      </c>
      <c r="M1252" s="35" t="s">
        <v>121</v>
      </c>
      <c r="N1252" s="35" t="str" cm="1">
        <f t="array" ref="N1252">IFERROR(IF(Tabla8[[#This Row],[P/NP]]="NO PROGRAMADA","",_xlfn.TEXTJOIN(", ",TRUE,_xlfn._xlws.FILTER(Tabla4[[#All],[PIEZA]],ISNUMBER(SEARCH(Tabla4[[#All],[PCLAVE]],Tabla8[[#This Row],[DESCRIPCION DE TRABAJO]])),""))),"")</f>
        <v/>
      </c>
      <c r="O1252" s="35" t="str" cm="1">
        <f t="array" ref="O1252">_xlfn.TEXTJOIN(", ",TRUE,_xlfn._xlws.FILTER(Tabla28[[#All],[PARTE]],ISNUMBER(SEARCH(Tabla28[[#All],[PCLAVE2]],Tabla8[[#This Row],[DESCRIPCION DE TRABAJO]])),""))</f>
        <v/>
      </c>
      <c r="P1252" s="303" t="str">
        <f>IFERROR(LEFT(O1252, FIND(",", O1252)-1), O1252)</f>
        <v/>
      </c>
      <c r="Q1252" s="303" t="str">
        <f>IFERROR(IF(ISERROR(FIND(",", O1252, FIND(",", O1252)+1)), RIGHT(O1252, LEN(O1252)-FIND(",", O1252)-1), MID(O1252, FIND(",", O1252)+2, FIND(",", O1252, FIND(",", O1252)+1)-FIND(",", O1252)-2)), "")</f>
        <v/>
      </c>
      <c r="R1252" s="303" t="str">
        <f>IFERROR(RIGHT(O1252, LEN(O1252)-FIND(",", O1252, FIND(",", O1252)+1)-1), "")</f>
        <v/>
      </c>
      <c r="S1252" s="35" t="str" cm="1">
        <f t="array" ref="S1252">_xlfn.TEXTJOIN(", ",TRUE,_xlfn._xlws.FILTER(Tabla29[[#All],[PARTE]],ISNUMBER(SEARCH(Tabla29[[#All],[PCLAVE3]],Tabla8[[#This Row],[DESCRIPCION DE TRABAJO]])),""))</f>
        <v/>
      </c>
      <c r="T1252" s="34" t="str">
        <f>IF(AND(Tabla8[[#This Row],[PIEZA]]="",Tabla8[[#This Row],[PARTE]]=""),"VACIO","OK")</f>
        <v>VACIO</v>
      </c>
      <c r="U1252" s="303" t="str">
        <f>+CONCATENATE(WEEKNUM(Tabla8[[#This Row],[FECHA]]),"-",YEAR(Tabla8[[#This Row],[FECHA]]))</f>
        <v>19-2026</v>
      </c>
    </row>
    <row r="1253" spans="1:21" ht="15" customHeight="1">
      <c r="A1253" s="22">
        <v>46153</v>
      </c>
      <c r="B1253" s="16" t="s">
        <v>88</v>
      </c>
      <c r="C1253" s="10" t="s">
        <v>36</v>
      </c>
      <c r="D1253" s="381">
        <v>0.47916666666666669</v>
      </c>
      <c r="E1253" s="381">
        <v>0.54166666666666663</v>
      </c>
      <c r="F1253" s="380">
        <f>+MOD(Tabla8[[#This Row],[HR. FIN]]-Tabla8[[#This Row],[HR. INICIO]],1)</f>
        <v>6.2499999999999944E-2</v>
      </c>
      <c r="G1253" s="16" t="s">
        <v>140</v>
      </c>
      <c r="H1253" s="343" t="str">
        <f>IFERROR(VLOOKUP(G1253,DATOS!$M$2:$N$219,2,FALSE),"")</f>
        <v>Maquinaria</v>
      </c>
      <c r="I1253" s="115" t="s">
        <v>57</v>
      </c>
      <c r="J1253" s="115" t="s">
        <v>92</v>
      </c>
      <c r="K1253" s="114" t="s">
        <v>93</v>
      </c>
      <c r="L1253" s="35" t="s">
        <v>2351</v>
      </c>
      <c r="M1253" s="35" t="s">
        <v>2352</v>
      </c>
      <c r="N1253" s="35" t="str" cm="1">
        <f t="array" ref="N1253">IFERROR(IF(Tabla8[[#This Row],[P/NP]]="NO PROGRAMADA","",_xlfn.TEXTJOIN(", ",TRUE,_xlfn._xlws.FILTER(Tabla4[[#All],[PIEZA]],ISNUMBER(SEARCH(Tabla4[[#All],[PCLAVE]],Tabla8[[#This Row],[DESCRIPCION DE TRABAJO]])),""))),"")</f>
        <v/>
      </c>
      <c r="O1253" s="35" t="str" cm="1">
        <f t="array" ref="O1253">_xlfn.TEXTJOIN(", ",TRUE,_xlfn._xlws.FILTER(Tabla28[[#All],[PARTE]],ISNUMBER(SEARCH(Tabla28[[#All],[PCLAVE2]],Tabla8[[#This Row],[DESCRIPCION DE TRABAJO]])),""))</f>
        <v/>
      </c>
      <c r="P1253" s="303" t="str">
        <f>IFERROR(LEFT(O1253, FIND(",", O1253)-1), O1253)</f>
        <v/>
      </c>
      <c r="Q1253" s="303" t="str">
        <f>IFERROR(IF(ISERROR(FIND(",", O1253, FIND(",", O1253)+1)), RIGHT(O1253, LEN(O1253)-FIND(",", O1253)-1), MID(O1253, FIND(",", O1253)+2, FIND(",", O1253, FIND(",", O1253)+1)-FIND(",", O1253)-2)), "")</f>
        <v/>
      </c>
      <c r="R1253" s="303" t="str">
        <f>IFERROR(RIGHT(O1253, LEN(O1253)-FIND(",", O1253, FIND(",", O1253)+1)-1), "")</f>
        <v/>
      </c>
      <c r="S1253" s="35" t="str" cm="1">
        <f t="array" ref="S1253">_xlfn.TEXTJOIN(", ",TRUE,_xlfn._xlws.FILTER(Tabla29[[#All],[PARTE]],ISNUMBER(SEARCH(Tabla29[[#All],[PCLAVE3]],Tabla8[[#This Row],[DESCRIPCION DE TRABAJO]])),""))</f>
        <v>Golpea, Laminado, Rotura, Ruido</v>
      </c>
      <c r="T1253" s="34" t="str">
        <f>IF(AND(Tabla8[[#This Row],[PIEZA]]="",Tabla8[[#This Row],[PARTE]]=""),"VACIO","OK")</f>
        <v>VACIO</v>
      </c>
      <c r="U1253" s="303" t="str">
        <f>+CONCATENATE(WEEKNUM(Tabla8[[#This Row],[FECHA]]),"-",YEAR(Tabla8[[#This Row],[FECHA]]))</f>
        <v>20-2026</v>
      </c>
    </row>
    <row r="1254" spans="1:21" ht="15" customHeight="1">
      <c r="A1254" s="22">
        <v>46153</v>
      </c>
      <c r="B1254" s="16" t="s">
        <v>88</v>
      </c>
      <c r="C1254" s="10" t="s">
        <v>36</v>
      </c>
      <c r="D1254" s="381">
        <v>0.33333333333333331</v>
      </c>
      <c r="E1254" s="381">
        <v>0.38541666666666669</v>
      </c>
      <c r="F1254" s="380">
        <f>+MOD(Tabla8[[#This Row],[HR. FIN]]-Tabla8[[#This Row],[HR. INICIO]],1)</f>
        <v>5.208333333333337E-2</v>
      </c>
      <c r="G1254" s="16" t="s">
        <v>458</v>
      </c>
      <c r="H1254" s="343" t="str">
        <f>IFERROR(VLOOKUP(G1254,DATOS!$M$2:$N$219,2,FALSE),"")</f>
        <v>Maquinaria</v>
      </c>
      <c r="I1254" s="115" t="s">
        <v>186</v>
      </c>
      <c r="J1254" s="115" t="s">
        <v>92</v>
      </c>
      <c r="K1254" s="114" t="s">
        <v>93</v>
      </c>
      <c r="L1254" s="35" t="s">
        <v>2353</v>
      </c>
      <c r="M1254" s="35" t="s">
        <v>2354</v>
      </c>
      <c r="N1254" s="35" t="str" cm="1">
        <f t="array" ref="N1254">IFERROR(IF(Tabla8[[#This Row],[P/NP]]="NO PROGRAMADA","",_xlfn.TEXTJOIN(", ",TRUE,_xlfn._xlws.FILTER(Tabla4[[#All],[PIEZA]],ISNUMBER(SEARCH(Tabla4[[#All],[PCLAVE]],Tabla8[[#This Row],[DESCRIPCION DE TRABAJO]])),""))),"")</f>
        <v/>
      </c>
      <c r="O1254" s="35" t="str" cm="1">
        <f t="array" ref="O1254">_xlfn.TEXTJOIN(", ",TRUE,_xlfn._xlws.FILTER(Tabla28[[#All],[PARTE]],ISNUMBER(SEARCH(Tabla28[[#All],[PCLAVE2]],Tabla8[[#This Row],[DESCRIPCION DE TRABAJO]])),""))</f>
        <v/>
      </c>
      <c r="P1254" s="303" t="str">
        <f>IFERROR(LEFT(O1254, FIND(",", O1254)-1), O1254)</f>
        <v/>
      </c>
      <c r="Q1254" s="303" t="str">
        <f>IFERROR(IF(ISERROR(FIND(",", O1254, FIND(",", O1254)+1)), RIGHT(O1254, LEN(O1254)-FIND(",", O1254)-1), MID(O1254, FIND(",", O1254)+2, FIND(",", O1254, FIND(",", O1254)+1)-FIND(",", O1254)-2)), "")</f>
        <v/>
      </c>
      <c r="R1254" s="303" t="str">
        <f>IFERROR(RIGHT(O1254, LEN(O1254)-FIND(",", O1254, FIND(",", O1254)+1)-1), "")</f>
        <v/>
      </c>
      <c r="S1254" s="35" t="str" cm="1">
        <f t="array" ref="S1254">_xlfn.TEXTJOIN(", ",TRUE,_xlfn._xlws.FILTER(Tabla29[[#All],[PARTE]],ISNUMBER(SEARCH(Tabla29[[#All],[PCLAVE3]],Tabla8[[#This Row],[DESCRIPCION DE TRABAJO]])),""))</f>
        <v>Rotura, Ruido</v>
      </c>
      <c r="T1254" s="34" t="str">
        <f>IF(AND(Tabla8[[#This Row],[PIEZA]]="",Tabla8[[#This Row],[PARTE]]=""),"VACIO","OK")</f>
        <v>VACIO</v>
      </c>
      <c r="U1254" s="303" t="str">
        <f>+CONCATENATE(WEEKNUM(Tabla8[[#This Row],[FECHA]]),"-",YEAR(Tabla8[[#This Row],[FECHA]]))</f>
        <v>20-2026</v>
      </c>
    </row>
    <row r="1255" spans="1:21" ht="15" customHeight="1">
      <c r="A1255" s="22">
        <v>46153</v>
      </c>
      <c r="B1255" s="16" t="s">
        <v>88</v>
      </c>
      <c r="C1255" s="10" t="s">
        <v>36</v>
      </c>
      <c r="D1255" s="381">
        <v>0.22916666666666666</v>
      </c>
      <c r="E1255" s="381">
        <v>0.27083333333333331</v>
      </c>
      <c r="F1255" s="380">
        <f>+MOD(Tabla8[[#This Row],[HR. FIN]]-Tabla8[[#This Row],[HR. INICIO]],1)</f>
        <v>4.1666666666666657E-2</v>
      </c>
      <c r="G1255" s="16" t="s">
        <v>103</v>
      </c>
      <c r="H1255" s="343" t="str">
        <f>IFERROR(VLOOKUP(G1255,DATOS!$M$2:$N$219,2,FALSE),"")</f>
        <v>Area</v>
      </c>
      <c r="I1255" s="115" t="s">
        <v>43</v>
      </c>
      <c r="J1255" s="115" t="s">
        <v>157</v>
      </c>
      <c r="K1255" s="114"/>
      <c r="L1255" s="35" t="s">
        <v>446</v>
      </c>
      <c r="M1255" s="35" t="s">
        <v>2355</v>
      </c>
      <c r="N1255" s="35" t="str" cm="1">
        <f t="array" ref="N1255">IFERROR(IF(Tabla8[[#This Row],[P/NP]]="NO PROGRAMADA","",_xlfn.TEXTJOIN(", ",TRUE,_xlfn._xlws.FILTER(Tabla4[[#All],[PIEZA]],ISNUMBER(SEARCH(Tabla4[[#All],[PCLAVE]],Tabla8[[#This Row],[DESCRIPCION DE TRABAJO]])),""))),"")</f>
        <v/>
      </c>
      <c r="O1255" s="35" t="str" cm="1">
        <f t="array" ref="O1255">_xlfn.TEXTJOIN(", ",TRUE,_xlfn._xlws.FILTER(Tabla28[[#All],[PARTE]],ISNUMBER(SEARCH(Tabla28[[#All],[PCLAVE2]],Tabla8[[#This Row],[DESCRIPCION DE TRABAJO]])),""))</f>
        <v/>
      </c>
      <c r="P1255" s="303" t="str">
        <f>IFERROR(LEFT(O1255, FIND(",", O1255)-1), O1255)</f>
        <v/>
      </c>
      <c r="Q1255" s="303" t="str">
        <f>IFERROR(IF(ISERROR(FIND(",", O1255, FIND(",", O1255)+1)), RIGHT(O1255, LEN(O1255)-FIND(",", O1255)-1), MID(O1255, FIND(",", O1255)+2, FIND(",", O1255, FIND(",", O1255)+1)-FIND(",", O1255)-2)), "")</f>
        <v/>
      </c>
      <c r="R1255" s="303" t="str">
        <f>IFERROR(RIGHT(O1255, LEN(O1255)-FIND(",", O1255, FIND(",", O1255)+1)-1), "")</f>
        <v/>
      </c>
      <c r="S1255" s="35" t="str" cm="1">
        <f t="array" ref="S1255">_xlfn.TEXTJOIN(", ",TRUE,_xlfn._xlws.FILTER(Tabla29[[#All],[PARTE]],ISNUMBER(SEARCH(Tabla29[[#All],[PCLAVE3]],Tabla8[[#This Row],[DESCRIPCION DE TRABAJO]])),""))</f>
        <v/>
      </c>
      <c r="T1255" s="34" t="str">
        <f>IF(AND(Tabla8[[#This Row],[PIEZA]]="",Tabla8[[#This Row],[PARTE]]=""),"VACIO","OK")</f>
        <v>VACIO</v>
      </c>
      <c r="U1255" s="303" t="str">
        <f>+CONCATENATE(WEEKNUM(Tabla8[[#This Row],[FECHA]]),"-",YEAR(Tabla8[[#This Row],[FECHA]]))</f>
        <v>20-2026</v>
      </c>
    </row>
    <row r="1256" spans="1:21" ht="15" customHeight="1">
      <c r="A1256" s="22">
        <v>46153</v>
      </c>
      <c r="B1256" s="16" t="s">
        <v>179</v>
      </c>
      <c r="C1256" s="10" t="s">
        <v>23</v>
      </c>
      <c r="D1256" s="381">
        <v>0.73958333333333337</v>
      </c>
      <c r="E1256" s="381">
        <v>0.77083333333333337</v>
      </c>
      <c r="F1256" s="380">
        <f>+MOD(Tabla8[[#This Row],[HR. FIN]]-Tabla8[[#This Row],[HR. INICIO]],1)</f>
        <v>3.125E-2</v>
      </c>
      <c r="G1256" s="16" t="s">
        <v>182</v>
      </c>
      <c r="H1256" s="343" t="str">
        <f>IFERROR(VLOOKUP(G1256,DATOS!$M$2:$N$219,2,FALSE),"")</f>
        <v>Maquinaria</v>
      </c>
      <c r="I1256" s="115" t="s">
        <v>32</v>
      </c>
      <c r="J1256" s="115" t="s">
        <v>157</v>
      </c>
      <c r="K1256" s="114"/>
      <c r="L1256" s="35" t="s">
        <v>2356</v>
      </c>
      <c r="M1256" s="35" t="s">
        <v>121</v>
      </c>
      <c r="N1256" s="35" t="str" cm="1">
        <f t="array" ref="N1256">IFERROR(IF(Tabla8[[#This Row],[P/NP]]="NO PROGRAMADA","",_xlfn.TEXTJOIN(", ",TRUE,_xlfn._xlws.FILTER(Tabla4[[#All],[PIEZA]],ISNUMBER(SEARCH(Tabla4[[#All],[PCLAVE]],Tabla8[[#This Row],[DESCRIPCION DE TRABAJO]])),""))),"")</f>
        <v/>
      </c>
      <c r="O1256" s="35" t="str" cm="1">
        <f t="array" ref="O1256">_xlfn.TEXTJOIN(", ",TRUE,_xlfn._xlws.FILTER(Tabla28[[#All],[PARTE]],ISNUMBER(SEARCH(Tabla28[[#All],[PCLAVE2]],Tabla8[[#This Row],[DESCRIPCION DE TRABAJO]])),""))</f>
        <v/>
      </c>
      <c r="P1256" s="303" t="str">
        <f>IFERROR(LEFT(O1256, FIND(",", O1256)-1), O1256)</f>
        <v/>
      </c>
      <c r="Q1256" s="303" t="str">
        <f>IFERROR(IF(ISERROR(FIND(",", O1256, FIND(",", O1256)+1)), RIGHT(O1256, LEN(O1256)-FIND(",", O1256)-1), MID(O1256, FIND(",", O1256)+2, FIND(",", O1256, FIND(",", O1256)+1)-FIND(",", O1256)-2)), "")</f>
        <v/>
      </c>
      <c r="R1256" s="303" t="str">
        <f>IFERROR(RIGHT(O1256, LEN(O1256)-FIND(",", O1256, FIND(",", O1256)+1)-1), "")</f>
        <v/>
      </c>
      <c r="S1256" s="35" t="str" cm="1">
        <f t="array" ref="S1256">_xlfn.TEXTJOIN(", ",TRUE,_xlfn._xlws.FILTER(Tabla29[[#All],[PARTE]],ISNUMBER(SEARCH(Tabla29[[#All],[PCLAVE3]],Tabla8[[#This Row],[DESCRIPCION DE TRABAJO]])),""))</f>
        <v>Cambio De Formato</v>
      </c>
      <c r="T1256" s="34" t="str">
        <f>IF(AND(Tabla8[[#This Row],[PIEZA]]="",Tabla8[[#This Row],[PARTE]]=""),"VACIO","OK")</f>
        <v>VACIO</v>
      </c>
      <c r="U1256" s="303" t="str">
        <f>+CONCATENATE(WEEKNUM(Tabla8[[#This Row],[FECHA]]),"-",YEAR(Tabla8[[#This Row],[FECHA]]))</f>
        <v>20-2026</v>
      </c>
    </row>
    <row r="1257" spans="1:21" ht="15" customHeight="1">
      <c r="A1257" s="22">
        <v>46153</v>
      </c>
      <c r="B1257" s="16" t="s">
        <v>131</v>
      </c>
      <c r="C1257" s="10" t="s">
        <v>36</v>
      </c>
      <c r="D1257" s="381">
        <v>0.31597222222222221</v>
      </c>
      <c r="E1257" s="381">
        <v>0.34722222222222221</v>
      </c>
      <c r="F1257" s="380">
        <f>+MOD(Tabla8[[#This Row],[HR. FIN]]-Tabla8[[#This Row],[HR. INICIO]],1)</f>
        <v>3.125E-2</v>
      </c>
      <c r="G1257" s="16" t="s">
        <v>24</v>
      </c>
      <c r="H1257" s="343" t="str">
        <f>IFERROR(VLOOKUP(G1257,DATOS!$M$2:$N$219,2,FALSE),"")</f>
        <v>Maquinaria</v>
      </c>
      <c r="I1257" s="115" t="s">
        <v>32</v>
      </c>
      <c r="J1257" s="115" t="s">
        <v>157</v>
      </c>
      <c r="K1257" s="114"/>
      <c r="L1257" s="35" t="s">
        <v>2357</v>
      </c>
      <c r="M1257" s="35" t="s">
        <v>2358</v>
      </c>
      <c r="N1257" s="35" t="str" cm="1">
        <f t="array" ref="N1257">IFERROR(IF(Tabla8[[#This Row],[P/NP]]="NO PROGRAMADA","",_xlfn.TEXTJOIN(", ",TRUE,_xlfn._xlws.FILTER(Tabla4[[#All],[PIEZA]],ISNUMBER(SEARCH(Tabla4[[#All],[PCLAVE]],Tabla8[[#This Row],[DESCRIPCION DE TRABAJO]])),""))),"")</f>
        <v/>
      </c>
      <c r="O1257" s="35" t="str" cm="1">
        <f t="array" ref="O1257">_xlfn.TEXTJOIN(", ",TRUE,_xlfn._xlws.FILTER(Tabla28[[#All],[PARTE]],ISNUMBER(SEARCH(Tabla28[[#All],[PCLAVE2]],Tabla8[[#This Row],[DESCRIPCION DE TRABAJO]])),""))</f>
        <v/>
      </c>
      <c r="P1257" s="303" t="str">
        <f>IFERROR(LEFT(O1257, FIND(",", O1257)-1), O1257)</f>
        <v/>
      </c>
      <c r="Q1257" s="303" t="str">
        <f>IFERROR(IF(ISERROR(FIND(",", O1257, FIND(",", O1257)+1)), RIGHT(O1257, LEN(O1257)-FIND(",", O1257)-1), MID(O1257, FIND(",", O1257)+2, FIND(",", O1257, FIND(",", O1257)+1)-FIND(",", O1257)-2)), "")</f>
        <v/>
      </c>
      <c r="R1257" s="303" t="str">
        <f>IFERROR(RIGHT(O1257, LEN(O1257)-FIND(",", O1257, FIND(",", O1257)+1)-1), "")</f>
        <v/>
      </c>
      <c r="S1257" s="35" t="str" cm="1">
        <f t="array" ref="S1257">_xlfn.TEXTJOIN(", ",TRUE,_xlfn._xlws.FILTER(Tabla29[[#All],[PARTE]],ISNUMBER(SEARCH(Tabla29[[#All],[PCLAVE3]],Tabla8[[#This Row],[DESCRIPCION DE TRABAJO]])),""))</f>
        <v/>
      </c>
      <c r="T1257" s="34" t="str">
        <f>IF(AND(Tabla8[[#This Row],[PIEZA]]="",Tabla8[[#This Row],[PARTE]]=""),"VACIO","OK")</f>
        <v>VACIO</v>
      </c>
      <c r="U1257" s="303" t="str">
        <f>+CONCATENATE(WEEKNUM(Tabla8[[#This Row],[FECHA]]),"-",YEAR(Tabla8[[#This Row],[FECHA]]))</f>
        <v>20-2026</v>
      </c>
    </row>
    <row r="1258" spans="1:21" ht="15" customHeight="1">
      <c r="A1258" s="22">
        <v>46153</v>
      </c>
      <c r="B1258" s="16" t="s">
        <v>179</v>
      </c>
      <c r="C1258" s="10" t="s">
        <v>23</v>
      </c>
      <c r="D1258" s="381">
        <v>0.70138888888888884</v>
      </c>
      <c r="E1258" s="381">
        <v>0.72916666666666663</v>
      </c>
      <c r="F1258" s="380">
        <f>+MOD(Tabla8[[#This Row],[HR. FIN]]-Tabla8[[#This Row],[HR. INICIO]],1)</f>
        <v>2.777777777777779E-2</v>
      </c>
      <c r="G1258" s="16" t="s">
        <v>182</v>
      </c>
      <c r="H1258" s="343" t="str">
        <f>IFERROR(VLOOKUP(G1258,DATOS!$M$2:$N$219,2,FALSE),"")</f>
        <v>Maquinaria</v>
      </c>
      <c r="I1258" s="115" t="s">
        <v>28</v>
      </c>
      <c r="J1258" s="115" t="s">
        <v>92</v>
      </c>
      <c r="K1258" s="114" t="s">
        <v>93</v>
      </c>
      <c r="L1258" s="35" t="s">
        <v>2359</v>
      </c>
      <c r="M1258" s="35" t="s">
        <v>2360</v>
      </c>
      <c r="N1258" s="35" t="str" cm="1">
        <f t="array" ref="N1258">IFERROR(IF(Tabla8[[#This Row],[P/NP]]="NO PROGRAMADA","",_xlfn.TEXTJOIN(", ",TRUE,_xlfn._xlws.FILTER(Tabla4[[#All],[PIEZA]],ISNUMBER(SEARCH(Tabla4[[#All],[PCLAVE]],Tabla8[[#This Row],[DESCRIPCION DE TRABAJO]])),""))),"")</f>
        <v/>
      </c>
      <c r="O1258" s="35" t="str" cm="1">
        <f t="array" ref="O1258">_xlfn.TEXTJOIN(", ",TRUE,_xlfn._xlws.FILTER(Tabla28[[#All],[PARTE]],ISNUMBER(SEARCH(Tabla28[[#All],[PCLAVE2]],Tabla8[[#This Row],[DESCRIPCION DE TRABAJO]])),""))</f>
        <v/>
      </c>
      <c r="P1258" s="303" t="str">
        <f>IFERROR(LEFT(O1258, FIND(",", O1258)-1), O1258)</f>
        <v/>
      </c>
      <c r="Q1258" s="303" t="str">
        <f>IFERROR(IF(ISERROR(FIND(",", O1258, FIND(",", O1258)+1)), RIGHT(O1258, LEN(O1258)-FIND(",", O1258)-1), MID(O1258, FIND(",", O1258)+2, FIND(",", O1258, FIND(",", O1258)+1)-FIND(",", O1258)-2)), "")</f>
        <v/>
      </c>
      <c r="R1258" s="303" t="str">
        <f>IFERROR(RIGHT(O1258, LEN(O1258)-FIND(",", O1258, FIND(",", O1258)+1)-1), "")</f>
        <v/>
      </c>
      <c r="S1258" s="35" t="str" cm="1">
        <f t="array" ref="S1258">_xlfn.TEXTJOIN(", ",TRUE,_xlfn._xlws.FILTER(Tabla29[[#All],[PARTE]],ISNUMBER(SEARCH(Tabla29[[#All],[PCLAVE3]],Tabla8[[#This Row],[DESCRIPCION DE TRABAJO]])),""))</f>
        <v>Rotura</v>
      </c>
      <c r="T1258" s="34" t="str">
        <f>IF(AND(Tabla8[[#This Row],[PIEZA]]="",Tabla8[[#This Row],[PARTE]]=""),"VACIO","OK")</f>
        <v>VACIO</v>
      </c>
      <c r="U1258" s="303" t="str">
        <f>+CONCATENATE(WEEKNUM(Tabla8[[#This Row],[FECHA]]),"-",YEAR(Tabla8[[#This Row],[FECHA]]))</f>
        <v>20-2026</v>
      </c>
    </row>
    <row r="1259" spans="1:21" ht="15" customHeight="1">
      <c r="A1259" s="22">
        <v>46153</v>
      </c>
      <c r="B1259" s="16" t="s">
        <v>131</v>
      </c>
      <c r="C1259" s="10" t="s">
        <v>36</v>
      </c>
      <c r="D1259" s="381">
        <v>0.2326388888888889</v>
      </c>
      <c r="E1259" s="381">
        <v>0.26041666666666669</v>
      </c>
      <c r="F1259" s="380">
        <f>+MOD(Tabla8[[#This Row],[HR. FIN]]-Tabla8[[#This Row],[HR. INICIO]],1)</f>
        <v>2.777777777777779E-2</v>
      </c>
      <c r="G1259" s="16" t="s">
        <v>103</v>
      </c>
      <c r="H1259" s="343" t="str">
        <f>IFERROR(VLOOKUP(G1259,DATOS!$M$2:$N$219,2,FALSE),"")</f>
        <v>Area</v>
      </c>
      <c r="I1259" s="115" t="s">
        <v>43</v>
      </c>
      <c r="J1259" s="115" t="s">
        <v>157</v>
      </c>
      <c r="K1259" s="114"/>
      <c r="L1259" s="35" t="s">
        <v>2361</v>
      </c>
      <c r="M1259" s="35" t="s">
        <v>121</v>
      </c>
      <c r="N1259" s="35" t="str" cm="1">
        <f t="array" ref="N1259">IFERROR(IF(Tabla8[[#This Row],[P/NP]]="NO PROGRAMADA","",_xlfn.TEXTJOIN(", ",TRUE,_xlfn._xlws.FILTER(Tabla4[[#All],[PIEZA]],ISNUMBER(SEARCH(Tabla4[[#All],[PCLAVE]],Tabla8[[#This Row],[DESCRIPCION DE TRABAJO]])),""))),"")</f>
        <v/>
      </c>
      <c r="O1259" s="35" t="str" cm="1">
        <f t="array" ref="O1259">_xlfn.TEXTJOIN(", ",TRUE,_xlfn._xlws.FILTER(Tabla28[[#All],[PARTE]],ISNUMBER(SEARCH(Tabla28[[#All],[PCLAVE2]],Tabla8[[#This Row],[DESCRIPCION DE TRABAJO]])),""))</f>
        <v/>
      </c>
      <c r="P1259" s="303" t="str">
        <f>IFERROR(LEFT(O1259, FIND(",", O1259)-1), O1259)</f>
        <v/>
      </c>
      <c r="Q1259" s="303" t="str">
        <f>IFERROR(IF(ISERROR(FIND(",", O1259, FIND(",", O1259)+1)), RIGHT(O1259, LEN(O1259)-FIND(",", O1259)-1), MID(O1259, FIND(",", O1259)+2, FIND(",", O1259, FIND(",", O1259)+1)-FIND(",", O1259)-2)), "")</f>
        <v/>
      </c>
      <c r="R1259" s="303" t="str">
        <f>IFERROR(RIGHT(O1259, LEN(O1259)-FIND(",", O1259, FIND(",", O1259)+1)-1), "")</f>
        <v/>
      </c>
      <c r="S1259" s="35" t="str" cm="1">
        <f t="array" ref="S1259">_xlfn.TEXTJOIN(", ",TRUE,_xlfn._xlws.FILTER(Tabla29[[#All],[PARTE]],ISNUMBER(SEARCH(Tabla29[[#All],[PCLAVE3]],Tabla8[[#This Row],[DESCRIPCION DE TRABAJO]])),""))</f>
        <v/>
      </c>
      <c r="T1259" s="34" t="str">
        <f>IF(AND(Tabla8[[#This Row],[PIEZA]]="",Tabla8[[#This Row],[PARTE]]=""),"VACIO","OK")</f>
        <v>VACIO</v>
      </c>
      <c r="U1259" s="303" t="str">
        <f>+CONCATENATE(WEEKNUM(Tabla8[[#This Row],[FECHA]]),"-",YEAR(Tabla8[[#This Row],[FECHA]]))</f>
        <v>20-2026</v>
      </c>
    </row>
    <row r="1260" spans="1:21" ht="15" customHeight="1">
      <c r="A1260" s="22">
        <v>46153</v>
      </c>
      <c r="B1260" s="16" t="s">
        <v>179</v>
      </c>
      <c r="C1260" s="10" t="s">
        <v>23</v>
      </c>
      <c r="D1260" s="381">
        <v>0.52777777777777779</v>
      </c>
      <c r="E1260" s="381">
        <v>0.55208333333333337</v>
      </c>
      <c r="F1260" s="380">
        <f>+MOD(Tabla8[[#This Row],[HR. FIN]]-Tabla8[[#This Row],[HR. INICIO]],1)</f>
        <v>2.430555555555558E-2</v>
      </c>
      <c r="G1260" s="16" t="s">
        <v>119</v>
      </c>
      <c r="H1260" s="343" t="str">
        <f>IFERROR(VLOOKUP(G1260,DATOS!$M$2:$N$219,2,FALSE),"")</f>
        <v>Maquinaria</v>
      </c>
      <c r="I1260" s="115" t="s">
        <v>186</v>
      </c>
      <c r="J1260" s="115" t="s">
        <v>92</v>
      </c>
      <c r="K1260" s="114" t="s">
        <v>93</v>
      </c>
      <c r="L1260" s="35" t="s">
        <v>2362</v>
      </c>
      <c r="M1260" s="35" t="s">
        <v>2363</v>
      </c>
      <c r="N1260" s="35" t="str" cm="1">
        <f t="array" ref="N1260">IFERROR(IF(Tabla8[[#This Row],[P/NP]]="NO PROGRAMADA","",_xlfn.TEXTJOIN(", ",TRUE,_xlfn._xlws.FILTER(Tabla4[[#All],[PIEZA]],ISNUMBER(SEARCH(Tabla4[[#All],[PCLAVE]],Tabla8[[#This Row],[DESCRIPCION DE TRABAJO]])),""))),"")</f>
        <v/>
      </c>
      <c r="O1260" s="35" t="str" cm="1">
        <f t="array" ref="O1260">_xlfn.TEXTJOIN(", ",TRUE,_xlfn._xlws.FILTER(Tabla28[[#All],[PARTE]],ISNUMBER(SEARCH(Tabla28[[#All],[PCLAVE2]],Tabla8[[#This Row],[DESCRIPCION DE TRABAJO]])),""))</f>
        <v>Temperadora</v>
      </c>
      <c r="P1260" s="303" t="str">
        <f>IFERROR(LEFT(O1260, FIND(",", O1260)-1), O1260)</f>
        <v>Temperadora</v>
      </c>
      <c r="Q1260" s="303" t="str">
        <f>IFERROR(IF(ISERROR(FIND(",", O1260, FIND(",", O1260)+1)), RIGHT(O1260, LEN(O1260)-FIND(",", O1260)-1), MID(O1260, FIND(",", O1260)+2, FIND(",", O1260, FIND(",", O1260)+1)-FIND(",", O1260)-2)), "")</f>
        <v/>
      </c>
      <c r="R1260" s="303" t="str">
        <f>IFERROR(RIGHT(O1260, LEN(O1260)-FIND(",", O1260, FIND(",", O1260)+1)-1), "")</f>
        <v/>
      </c>
      <c r="S1260" s="35" t="str" cm="1">
        <f t="array" ref="S1260">_xlfn.TEXTJOIN(", ",TRUE,_xlfn._xlws.FILTER(Tabla29[[#All],[PARTE]],ISNUMBER(SEARCH(Tabla29[[#All],[PCLAVE3]],Tabla8[[#This Row],[DESCRIPCION DE TRABAJO]])),""))</f>
        <v/>
      </c>
      <c r="T1260" s="34" t="str">
        <f>IF(AND(Tabla8[[#This Row],[PIEZA]]="",Tabla8[[#This Row],[PARTE]]=""),"VACIO","OK")</f>
        <v>OK</v>
      </c>
      <c r="U1260" s="303" t="str">
        <f>+CONCATENATE(WEEKNUM(Tabla8[[#This Row],[FECHA]]),"-",YEAR(Tabla8[[#This Row],[FECHA]]))</f>
        <v>20-2026</v>
      </c>
    </row>
    <row r="1261" spans="1:21" ht="15" customHeight="1">
      <c r="A1261" s="22">
        <v>46153</v>
      </c>
      <c r="B1261" s="16" t="s">
        <v>179</v>
      </c>
      <c r="C1261" s="10" t="s">
        <v>23</v>
      </c>
      <c r="D1261" s="381">
        <v>0.5625</v>
      </c>
      <c r="E1261" s="381">
        <v>0.58333333333333337</v>
      </c>
      <c r="F1261" s="380">
        <f>+MOD(Tabla8[[#This Row],[HR. FIN]]-Tabla8[[#This Row],[HR. INICIO]],1)</f>
        <v>2.083333333333337E-2</v>
      </c>
      <c r="G1261" s="16" t="s">
        <v>119</v>
      </c>
      <c r="H1261" s="343" t="str">
        <f>IFERROR(VLOOKUP(G1261,DATOS!$M$2:$N$219,2,FALSE),"")</f>
        <v>Maquinaria</v>
      </c>
      <c r="I1261" s="115" t="s">
        <v>57</v>
      </c>
      <c r="J1261" s="115" t="s">
        <v>92</v>
      </c>
      <c r="K1261" s="114" t="s">
        <v>93</v>
      </c>
      <c r="L1261" s="35" t="s">
        <v>2364</v>
      </c>
      <c r="M1261" s="35" t="s">
        <v>2365</v>
      </c>
      <c r="N1261" s="35" t="str" cm="1">
        <f t="array" ref="N1261">IFERROR(IF(Tabla8[[#This Row],[P/NP]]="NO PROGRAMADA","",_xlfn.TEXTJOIN(", ",TRUE,_xlfn._xlws.FILTER(Tabla4[[#All],[PIEZA]],ISNUMBER(SEARCH(Tabla4[[#All],[PCLAVE]],Tabla8[[#This Row],[DESCRIPCION DE TRABAJO]])),""))),"")</f>
        <v/>
      </c>
      <c r="O1261" s="35" t="str" cm="1">
        <f t="array" ref="O1261">_xlfn.TEXTJOIN(", ",TRUE,_xlfn._xlws.FILTER(Tabla28[[#All],[PARTE]],ISNUMBER(SEARCH(Tabla28[[#All],[PCLAVE2]],Tabla8[[#This Row],[DESCRIPCION DE TRABAJO]])),""))</f>
        <v>Robot</v>
      </c>
      <c r="P1261" s="303" t="str">
        <f>IFERROR(LEFT(O1261, FIND(",", O1261)-1), O1261)</f>
        <v>Robot</v>
      </c>
      <c r="Q1261" s="303" t="str">
        <f>IFERROR(IF(ISERROR(FIND(",", O1261, FIND(",", O1261)+1)), RIGHT(O1261, LEN(O1261)-FIND(",", O1261)-1), MID(O1261, FIND(",", O1261)+2, FIND(",", O1261, FIND(",", O1261)+1)-FIND(",", O1261)-2)), "")</f>
        <v/>
      </c>
      <c r="R1261" s="303" t="str">
        <f>IFERROR(RIGHT(O1261, LEN(O1261)-FIND(",", O1261, FIND(",", O1261)+1)-1), "")</f>
        <v/>
      </c>
      <c r="S1261" s="35" t="str" cm="1">
        <f t="array" ref="S1261">_xlfn.TEXTJOIN(", ",TRUE,_xlfn._xlws.FILTER(Tabla29[[#All],[PARTE]],ISNUMBER(SEARCH(Tabla29[[#All],[PCLAVE3]],Tabla8[[#This Row],[DESCRIPCION DE TRABAJO]])),""))</f>
        <v>Desmolde</v>
      </c>
      <c r="T1261" s="34" t="str">
        <f>IF(AND(Tabla8[[#This Row],[PIEZA]]="",Tabla8[[#This Row],[PARTE]]=""),"VACIO","OK")</f>
        <v>OK</v>
      </c>
      <c r="U1261" s="303" t="str">
        <f>+CONCATENATE(WEEKNUM(Tabla8[[#This Row],[FECHA]]),"-",YEAR(Tabla8[[#This Row],[FECHA]]))</f>
        <v>20-2026</v>
      </c>
    </row>
    <row r="1262" spans="1:21" ht="15" customHeight="1">
      <c r="A1262" s="22">
        <v>46153</v>
      </c>
      <c r="B1262" s="16" t="s">
        <v>131</v>
      </c>
      <c r="C1262" s="10" t="s">
        <v>36</v>
      </c>
      <c r="D1262" s="381">
        <v>0.34861111111111109</v>
      </c>
      <c r="E1262" s="381">
        <v>0.36805555555555558</v>
      </c>
      <c r="F1262" s="380">
        <f>+MOD(Tabla8[[#This Row],[HR. FIN]]-Tabla8[[#This Row],[HR. INICIO]],1)</f>
        <v>1.9444444444444486E-2</v>
      </c>
      <c r="G1262" s="16" t="s">
        <v>270</v>
      </c>
      <c r="H1262" s="343" t="str">
        <f>IFERROR(VLOOKUP(G1262,DATOS!$M$2:$N$219,2,FALSE),"")</f>
        <v>Maquinaria</v>
      </c>
      <c r="I1262" s="115" t="s">
        <v>57</v>
      </c>
      <c r="J1262" s="115" t="s">
        <v>92</v>
      </c>
      <c r="K1262" s="114" t="s">
        <v>93</v>
      </c>
      <c r="L1262" s="35" t="s">
        <v>2366</v>
      </c>
      <c r="M1262" s="35" t="s">
        <v>2367</v>
      </c>
      <c r="N1262" s="35" t="str" cm="1">
        <f t="array" ref="N1262">IFERROR(IF(Tabla8[[#This Row],[P/NP]]="NO PROGRAMADA","",_xlfn.TEXTJOIN(", ",TRUE,_xlfn._xlws.FILTER(Tabla4[[#All],[PIEZA]],ISNUMBER(SEARCH(Tabla4[[#All],[PCLAVE]],Tabla8[[#This Row],[DESCRIPCION DE TRABAJO]])),""))),"")</f>
        <v/>
      </c>
      <c r="O1262" s="35" t="str" cm="1">
        <f t="array" ref="O1262">_xlfn.TEXTJOIN(", ",TRUE,_xlfn._xlws.FILTER(Tabla28[[#All],[PARTE]],ISNUMBER(SEARCH(Tabla28[[#All],[PCLAVE2]],Tabla8[[#This Row],[DESCRIPCION DE TRABAJO]])),""))</f>
        <v>Intercambiador De Moldes</v>
      </c>
      <c r="P1262" s="303" t="str">
        <f>IFERROR(LEFT(O1262, FIND(",", O1262)-1), O1262)</f>
        <v>Intercambiador De Moldes</v>
      </c>
      <c r="Q1262" s="303" t="str">
        <f>IFERROR(IF(ISERROR(FIND(",", O1262, FIND(",", O1262)+1)), RIGHT(O1262, LEN(O1262)-FIND(",", O1262)-1), MID(O1262, FIND(",", O1262)+2, FIND(",", O1262, FIND(",", O1262)+1)-FIND(",", O1262)-2)), "")</f>
        <v/>
      </c>
      <c r="R1262" s="303" t="str">
        <f>IFERROR(RIGHT(O1262, LEN(O1262)-FIND(",", O1262, FIND(",", O1262)+1)-1), "")</f>
        <v/>
      </c>
      <c r="S1262" s="35" t="str" cm="1">
        <f t="array" ref="S1262">_xlfn.TEXTJOIN(", ",TRUE,_xlfn._xlws.FILTER(Tabla29[[#All],[PARTE]],ISNUMBER(SEARCH(Tabla29[[#All],[PCLAVE3]],Tabla8[[#This Row],[DESCRIPCION DE TRABAJO]])),""))</f>
        <v>Error, No Avanza</v>
      </c>
      <c r="T1262" s="34" t="str">
        <f>IF(AND(Tabla8[[#This Row],[PIEZA]]="",Tabla8[[#This Row],[PARTE]]=""),"VACIO","OK")</f>
        <v>OK</v>
      </c>
      <c r="U1262" s="303" t="str">
        <f>+CONCATENATE(WEEKNUM(Tabla8[[#This Row],[FECHA]]),"-",YEAR(Tabla8[[#This Row],[FECHA]]))</f>
        <v>20-2026</v>
      </c>
    </row>
    <row r="1263" spans="1:21" ht="15" customHeight="1">
      <c r="A1263" s="22">
        <v>46153</v>
      </c>
      <c r="B1263" s="16" t="s">
        <v>88</v>
      </c>
      <c r="C1263" s="10" t="s">
        <v>36</v>
      </c>
      <c r="D1263" s="381">
        <v>0.27430555555555558</v>
      </c>
      <c r="E1263" s="381">
        <v>0.29166666666666669</v>
      </c>
      <c r="F1263" s="380">
        <f>+MOD(Tabla8[[#This Row],[HR. FIN]]-Tabla8[[#This Row],[HR. INICIO]],1)</f>
        <v>1.7361111111111105E-2</v>
      </c>
      <c r="G1263" s="16" t="s">
        <v>114</v>
      </c>
      <c r="H1263" s="343" t="str">
        <f>IFERROR(VLOOKUP(G1263,DATOS!$M$2:$N$219,2,FALSE),"")</f>
        <v>Maquinaria</v>
      </c>
      <c r="I1263" s="115" t="s">
        <v>32</v>
      </c>
      <c r="J1263" s="115" t="s">
        <v>157</v>
      </c>
      <c r="K1263" s="114"/>
      <c r="L1263" s="35" t="s">
        <v>1168</v>
      </c>
      <c r="M1263" s="35" t="s">
        <v>368</v>
      </c>
      <c r="N1263" s="35" t="str" cm="1">
        <f t="array" ref="N1263">IFERROR(IF(Tabla8[[#This Row],[P/NP]]="NO PROGRAMADA","",_xlfn.TEXTJOIN(", ",TRUE,_xlfn._xlws.FILTER(Tabla4[[#All],[PIEZA]],ISNUMBER(SEARCH(Tabla4[[#All],[PCLAVE]],Tabla8[[#This Row],[DESCRIPCION DE TRABAJO]])),""))),"")</f>
        <v/>
      </c>
      <c r="O1263" s="35" t="str" cm="1">
        <f t="array" ref="O1263">_xlfn.TEXTJOIN(", ",TRUE,_xlfn._xlws.FILTER(Tabla28[[#All],[PARTE]],ISNUMBER(SEARCH(Tabla28[[#All],[PCLAVE2]],Tabla8[[#This Row],[DESCRIPCION DE TRABAJO]])),""))</f>
        <v/>
      </c>
      <c r="P1263" s="303" t="str">
        <f>IFERROR(LEFT(O1263, FIND(",", O1263)-1), O1263)</f>
        <v/>
      </c>
      <c r="Q1263" s="303" t="str">
        <f>IFERROR(IF(ISERROR(FIND(",", O1263, FIND(",", O1263)+1)), RIGHT(O1263, LEN(O1263)-FIND(",", O1263)-1), MID(O1263, FIND(",", O1263)+2, FIND(",", O1263, FIND(",", O1263)+1)-FIND(",", O1263)-2)), "")</f>
        <v/>
      </c>
      <c r="R1263" s="303" t="str">
        <f>IFERROR(RIGHT(O1263, LEN(O1263)-FIND(",", O1263, FIND(",", O1263)+1)-1), "")</f>
        <v/>
      </c>
      <c r="S1263" s="35" t="str" cm="1">
        <f t="array" ref="S1263">_xlfn.TEXTJOIN(", ",TRUE,_xlfn._xlws.FILTER(Tabla29[[#All],[PARTE]],ISNUMBER(SEARCH(Tabla29[[#All],[PCLAVE3]],Tabla8[[#This Row],[DESCRIPCION DE TRABAJO]])),""))</f>
        <v/>
      </c>
      <c r="T1263" s="34" t="str">
        <f>IF(AND(Tabla8[[#This Row],[PIEZA]]="",Tabla8[[#This Row],[PARTE]]=""),"VACIO","OK")</f>
        <v>VACIO</v>
      </c>
      <c r="U1263" s="303" t="str">
        <f>+CONCATENATE(WEEKNUM(Tabla8[[#This Row],[FECHA]]),"-",YEAR(Tabla8[[#This Row],[FECHA]]))</f>
        <v>20-2026</v>
      </c>
    </row>
    <row r="1264" spans="1:21" ht="15" customHeight="1">
      <c r="A1264" s="22">
        <v>46153</v>
      </c>
      <c r="B1264" s="16" t="s">
        <v>88</v>
      </c>
      <c r="C1264" s="10" t="s">
        <v>36</v>
      </c>
      <c r="D1264" s="381">
        <v>0.29166666666666669</v>
      </c>
      <c r="E1264" s="381">
        <v>0.30902777777777779</v>
      </c>
      <c r="F1264" s="380">
        <f>+MOD(Tabla8[[#This Row],[HR. FIN]]-Tabla8[[#This Row],[HR. INICIO]],1)</f>
        <v>1.7361111111111105E-2</v>
      </c>
      <c r="G1264" s="16" t="s">
        <v>312</v>
      </c>
      <c r="H1264" s="343" t="str">
        <f>IFERROR(VLOOKUP(G1264,DATOS!$M$2:$N$219,2,FALSE),"")</f>
        <v>Maquinaria</v>
      </c>
      <c r="I1264" s="115" t="s">
        <v>32</v>
      </c>
      <c r="J1264" s="115" t="s">
        <v>157</v>
      </c>
      <c r="K1264" s="114"/>
      <c r="L1264" s="35" t="s">
        <v>1168</v>
      </c>
      <c r="M1264" s="35" t="s">
        <v>1166</v>
      </c>
      <c r="N1264" s="35" t="str" cm="1">
        <f t="array" ref="N1264">IFERROR(IF(Tabla8[[#This Row],[P/NP]]="NO PROGRAMADA","",_xlfn.TEXTJOIN(", ",TRUE,_xlfn._xlws.FILTER(Tabla4[[#All],[PIEZA]],ISNUMBER(SEARCH(Tabla4[[#All],[PCLAVE]],Tabla8[[#This Row],[DESCRIPCION DE TRABAJO]])),""))),"")</f>
        <v/>
      </c>
      <c r="O1264" s="35" t="str" cm="1">
        <f t="array" ref="O1264">_xlfn.TEXTJOIN(", ",TRUE,_xlfn._xlws.FILTER(Tabla28[[#All],[PARTE]],ISNUMBER(SEARCH(Tabla28[[#All],[PCLAVE2]],Tabla8[[#This Row],[DESCRIPCION DE TRABAJO]])),""))</f>
        <v/>
      </c>
      <c r="P1264" s="303" t="str">
        <f>IFERROR(LEFT(O1264, FIND(",", O1264)-1), O1264)</f>
        <v/>
      </c>
      <c r="Q1264" s="303" t="str">
        <f>IFERROR(IF(ISERROR(FIND(",", O1264, FIND(",", O1264)+1)), RIGHT(O1264, LEN(O1264)-FIND(",", O1264)-1), MID(O1264, FIND(",", O1264)+2, FIND(",", O1264, FIND(",", O1264)+1)-FIND(",", O1264)-2)), "")</f>
        <v/>
      </c>
      <c r="R1264" s="303" t="str">
        <f>IFERROR(RIGHT(O1264, LEN(O1264)-FIND(",", O1264, FIND(",", O1264)+1)-1), "")</f>
        <v/>
      </c>
      <c r="S1264" s="35" t="str" cm="1">
        <f t="array" ref="S1264">_xlfn.TEXTJOIN(", ",TRUE,_xlfn._xlws.FILTER(Tabla29[[#All],[PARTE]],ISNUMBER(SEARCH(Tabla29[[#All],[PCLAVE3]],Tabla8[[#This Row],[DESCRIPCION DE TRABAJO]])),""))</f>
        <v/>
      </c>
      <c r="T1264" s="34" t="str">
        <f>IF(AND(Tabla8[[#This Row],[PIEZA]]="",Tabla8[[#This Row],[PARTE]]=""),"VACIO","OK")</f>
        <v>VACIO</v>
      </c>
      <c r="U1264" s="303" t="str">
        <f>+CONCATENATE(WEEKNUM(Tabla8[[#This Row],[FECHA]]),"-",YEAR(Tabla8[[#This Row],[FECHA]]))</f>
        <v>20-2026</v>
      </c>
    </row>
    <row r="1265" spans="1:21" ht="15" customHeight="1">
      <c r="A1265" s="22">
        <v>46153</v>
      </c>
      <c r="B1265" s="16" t="s">
        <v>131</v>
      </c>
      <c r="C1265" s="10" t="s">
        <v>36</v>
      </c>
      <c r="D1265" s="381">
        <v>0.27430555555555558</v>
      </c>
      <c r="E1265" s="381">
        <v>0.29166666666666669</v>
      </c>
      <c r="F1265" s="380">
        <f>+MOD(Tabla8[[#This Row],[HR. FIN]]-Tabla8[[#This Row],[HR. INICIO]],1)</f>
        <v>1.7361111111111105E-2</v>
      </c>
      <c r="G1265" s="16" t="s">
        <v>114</v>
      </c>
      <c r="H1265" s="343" t="str">
        <f>IFERROR(VLOOKUP(G1265,DATOS!$M$2:$N$219,2,FALSE),"")</f>
        <v>Maquinaria</v>
      </c>
      <c r="I1265" s="115" t="s">
        <v>32</v>
      </c>
      <c r="J1265" s="115" t="s">
        <v>157</v>
      </c>
      <c r="K1265" s="114"/>
      <c r="L1265" s="35" t="s">
        <v>375</v>
      </c>
      <c r="M1265" s="35" t="s">
        <v>121</v>
      </c>
      <c r="N1265" s="35" t="str" cm="1">
        <f t="array" ref="N1265">IFERROR(IF(Tabla8[[#This Row],[P/NP]]="NO PROGRAMADA","",_xlfn.TEXTJOIN(", ",TRUE,_xlfn._xlws.FILTER(Tabla4[[#All],[PIEZA]],ISNUMBER(SEARCH(Tabla4[[#All],[PCLAVE]],Tabla8[[#This Row],[DESCRIPCION DE TRABAJO]])),""))),"")</f>
        <v/>
      </c>
      <c r="O1265" s="35" t="str" cm="1">
        <f t="array" ref="O1265">_xlfn.TEXTJOIN(", ",TRUE,_xlfn._xlws.FILTER(Tabla28[[#All],[PARTE]],ISNUMBER(SEARCH(Tabla28[[#All],[PCLAVE2]],Tabla8[[#This Row],[DESCRIPCION DE TRABAJO]])),""))</f>
        <v/>
      </c>
      <c r="P1265" s="303" t="str">
        <f>IFERROR(LEFT(O1265, FIND(",", O1265)-1), O1265)</f>
        <v/>
      </c>
      <c r="Q1265" s="303" t="str">
        <f>IFERROR(IF(ISERROR(FIND(",", O1265, FIND(",", O1265)+1)), RIGHT(O1265, LEN(O1265)-FIND(",", O1265)-1), MID(O1265, FIND(",", O1265)+2, FIND(",", O1265, FIND(",", O1265)+1)-FIND(",", O1265)-2)), "")</f>
        <v/>
      </c>
      <c r="R1265" s="303" t="str">
        <f>IFERROR(RIGHT(O1265, LEN(O1265)-FIND(",", O1265, FIND(",", O1265)+1)-1), "")</f>
        <v/>
      </c>
      <c r="S1265" s="35" t="str" cm="1">
        <f t="array" ref="S1265">_xlfn.TEXTJOIN(", ",TRUE,_xlfn._xlws.FILTER(Tabla29[[#All],[PARTE]],ISNUMBER(SEARCH(Tabla29[[#All],[PCLAVE3]],Tabla8[[#This Row],[DESCRIPCION DE TRABAJO]])),""))</f>
        <v/>
      </c>
      <c r="T1265" s="34" t="str">
        <f>IF(AND(Tabla8[[#This Row],[PIEZA]]="",Tabla8[[#This Row],[PARTE]]=""),"VACIO","OK")</f>
        <v>VACIO</v>
      </c>
      <c r="U1265" s="303" t="str">
        <f>+CONCATENATE(WEEKNUM(Tabla8[[#This Row],[FECHA]]),"-",YEAR(Tabla8[[#This Row],[FECHA]]))</f>
        <v>20-2026</v>
      </c>
    </row>
    <row r="1266" spans="1:21" ht="15" customHeight="1">
      <c r="A1266" s="22">
        <v>46153</v>
      </c>
      <c r="B1266" s="16" t="s">
        <v>131</v>
      </c>
      <c r="C1266" s="10" t="s">
        <v>36</v>
      </c>
      <c r="D1266" s="381">
        <v>0.2951388888888889</v>
      </c>
      <c r="E1266" s="381">
        <v>0.3125</v>
      </c>
      <c r="F1266" s="380">
        <f>+MOD(Tabla8[[#This Row],[HR. FIN]]-Tabla8[[#This Row],[HR. INICIO]],1)</f>
        <v>1.7361111111111105E-2</v>
      </c>
      <c r="G1266" s="16" t="s">
        <v>119</v>
      </c>
      <c r="H1266" s="343" t="str">
        <f>IFERROR(VLOOKUP(G1266,DATOS!$M$2:$N$219,2,FALSE),"")</f>
        <v>Maquinaria</v>
      </c>
      <c r="I1266" s="115" t="s">
        <v>32</v>
      </c>
      <c r="J1266" s="115" t="s">
        <v>157</v>
      </c>
      <c r="K1266" s="114"/>
      <c r="L1266" s="35" t="s">
        <v>2368</v>
      </c>
      <c r="M1266" s="35" t="s">
        <v>2369</v>
      </c>
      <c r="N1266" s="35" t="str" cm="1">
        <f t="array" ref="N1266">IFERROR(IF(Tabla8[[#This Row],[P/NP]]="NO PROGRAMADA","",_xlfn.TEXTJOIN(", ",TRUE,_xlfn._xlws.FILTER(Tabla4[[#All],[PIEZA]],ISNUMBER(SEARCH(Tabla4[[#All],[PCLAVE]],Tabla8[[#This Row],[DESCRIPCION DE TRABAJO]])),""))),"")</f>
        <v>Producto</v>
      </c>
      <c r="O1266" s="35" t="str" cm="1">
        <f t="array" ref="O1266">_xlfn.TEXTJOIN(", ",TRUE,_xlfn._xlws.FILTER(Tabla28[[#All],[PARTE]],ISNUMBER(SEARCH(Tabla28[[#All],[PCLAVE2]],Tabla8[[#This Row],[DESCRIPCION DE TRABAJO]])),""))</f>
        <v>Sammfill</v>
      </c>
      <c r="P1266" s="303" t="str">
        <f>IFERROR(LEFT(O1266, FIND(",", O1266)-1), O1266)</f>
        <v>Sammfill</v>
      </c>
      <c r="Q1266" s="303" t="str">
        <f>IFERROR(IF(ISERROR(FIND(",", O1266, FIND(",", O1266)+1)), RIGHT(O1266, LEN(O1266)-FIND(",", O1266)-1), MID(O1266, FIND(",", O1266)+2, FIND(",", O1266, FIND(",", O1266)+1)-FIND(",", O1266)-2)), "")</f>
        <v/>
      </c>
      <c r="R1266" s="303" t="str">
        <f>IFERROR(RIGHT(O1266, LEN(O1266)-FIND(",", O1266, FIND(",", O1266)+1)-1), "")</f>
        <v/>
      </c>
      <c r="S1266" s="35" t="str" cm="1">
        <f t="array" ref="S1266">_xlfn.TEXTJOIN(", ",TRUE,_xlfn._xlws.FILTER(Tabla29[[#All],[PARTE]],ISNUMBER(SEARCH(Tabla29[[#All],[PCLAVE3]],Tabla8[[#This Row],[DESCRIPCION DE TRABAJO]])),""))</f>
        <v/>
      </c>
      <c r="T1266" s="34" t="str">
        <f>IF(AND(Tabla8[[#This Row],[PIEZA]]="",Tabla8[[#This Row],[PARTE]]=""),"VACIO","OK")</f>
        <v>OK</v>
      </c>
      <c r="U1266" s="303" t="str">
        <f>+CONCATENATE(WEEKNUM(Tabla8[[#This Row],[FECHA]]),"-",YEAR(Tabla8[[#This Row],[FECHA]]))</f>
        <v>20-2026</v>
      </c>
    </row>
    <row r="1267" spans="1:21" ht="15" customHeight="1">
      <c r="A1267" s="22">
        <v>46153</v>
      </c>
      <c r="B1267" s="16" t="s">
        <v>179</v>
      </c>
      <c r="C1267" s="10" t="s">
        <v>23</v>
      </c>
      <c r="D1267" s="381">
        <v>0.69444444444444442</v>
      </c>
      <c r="E1267" s="381">
        <v>0.70833333333333337</v>
      </c>
      <c r="F1267" s="380">
        <f>+MOD(Tabla8[[#This Row],[HR. FIN]]-Tabla8[[#This Row],[HR. INICIO]],1)</f>
        <v>1.3888888888888951E-2</v>
      </c>
      <c r="G1267" s="16" t="s">
        <v>793</v>
      </c>
      <c r="H1267" s="343" t="str">
        <f>IFERROR(VLOOKUP(G1267,DATOS!$M$2:$N$219,2,FALSE),"")</f>
        <v>Maquinaria</v>
      </c>
      <c r="I1267" s="115" t="s">
        <v>32</v>
      </c>
      <c r="J1267" s="115" t="s">
        <v>157</v>
      </c>
      <c r="K1267" s="114"/>
      <c r="L1267" s="35" t="s">
        <v>2370</v>
      </c>
      <c r="M1267" s="35" t="s">
        <v>2371</v>
      </c>
      <c r="N1267" s="35" t="str" cm="1">
        <f t="array" ref="N1267">IFERROR(IF(Tabla8[[#This Row],[P/NP]]="NO PROGRAMADA","",_xlfn.TEXTJOIN(", ",TRUE,_xlfn._xlws.FILTER(Tabla4[[#All],[PIEZA]],ISNUMBER(SEARCH(Tabla4[[#All],[PCLAVE]],Tabla8[[#This Row],[DESCRIPCION DE TRABAJO]])),""))),"")</f>
        <v>Sensor</v>
      </c>
      <c r="O1267" s="35" t="str" cm="1">
        <f t="array" ref="O1267">_xlfn.TEXTJOIN(", ",TRUE,_xlfn._xlws.FILTER(Tabla28[[#All],[PARTE]],ISNUMBER(SEARCH(Tabla28[[#All],[PCLAVE2]],Tabla8[[#This Row],[DESCRIPCION DE TRABAJO]])),""))</f>
        <v/>
      </c>
      <c r="P1267" s="303" t="str">
        <f>IFERROR(LEFT(O1267, FIND(",", O1267)-1), O1267)</f>
        <v/>
      </c>
      <c r="Q1267" s="303" t="str">
        <f>IFERROR(IF(ISERROR(FIND(",", O1267, FIND(",", O1267)+1)), RIGHT(O1267, LEN(O1267)-FIND(",", O1267)-1), MID(O1267, FIND(",", O1267)+2, FIND(",", O1267, FIND(",", O1267)+1)-FIND(",", O1267)-2)), "")</f>
        <v/>
      </c>
      <c r="R1267" s="303" t="str">
        <f>IFERROR(RIGHT(O1267, LEN(O1267)-FIND(",", O1267, FIND(",", O1267)+1)-1), "")</f>
        <v/>
      </c>
      <c r="S1267" s="35" t="str" cm="1">
        <f t="array" ref="S1267">_xlfn.TEXTJOIN(", ",TRUE,_xlfn._xlws.FILTER(Tabla29[[#All],[PARTE]],ISNUMBER(SEARCH(Tabla29[[#All],[PCLAVE3]],Tabla8[[#This Row],[DESCRIPCION DE TRABAJO]])),""))</f>
        <v/>
      </c>
      <c r="T1267" s="34" t="str">
        <f>IF(AND(Tabla8[[#This Row],[PIEZA]]="",Tabla8[[#This Row],[PARTE]]=""),"VACIO","OK")</f>
        <v>OK</v>
      </c>
      <c r="U1267" s="303" t="str">
        <f>+CONCATENATE(WEEKNUM(Tabla8[[#This Row],[FECHA]]),"-",YEAR(Tabla8[[#This Row],[FECHA]]))</f>
        <v>20-2026</v>
      </c>
    </row>
    <row r="1268" spans="1:21" ht="15" customHeight="1">
      <c r="A1268" s="22">
        <v>46153</v>
      </c>
      <c r="B1268" s="16" t="s">
        <v>179</v>
      </c>
      <c r="C1268" s="10" t="s">
        <v>23</v>
      </c>
      <c r="D1268" s="381">
        <v>0.85416666666666663</v>
      </c>
      <c r="E1268" s="381">
        <v>0.86458333333333337</v>
      </c>
      <c r="F1268" s="380">
        <f>+MOD(Tabla8[[#This Row],[HR. FIN]]-Tabla8[[#This Row],[HR. INICIO]],1)</f>
        <v>1.0416666666666741E-2</v>
      </c>
      <c r="G1268" s="16" t="s">
        <v>1305</v>
      </c>
      <c r="H1268" s="343" t="str">
        <f>IFERROR(VLOOKUP(G1268,DATOS!$M$2:$N$219,2,FALSE),"")</f>
        <v>Area</v>
      </c>
      <c r="I1268" s="115" t="s">
        <v>32</v>
      </c>
      <c r="J1268" s="115" t="s">
        <v>157</v>
      </c>
      <c r="K1268" s="114"/>
      <c r="L1268" s="35" t="s">
        <v>2372</v>
      </c>
      <c r="M1268" s="35" t="s">
        <v>121</v>
      </c>
      <c r="N1268" s="35" t="str" cm="1">
        <f t="array" ref="N1268">IFERROR(IF(Tabla8[[#This Row],[P/NP]]="NO PROGRAMADA","",_xlfn.TEXTJOIN(", ",TRUE,_xlfn._xlws.FILTER(Tabla4[[#All],[PIEZA]],ISNUMBER(SEARCH(Tabla4[[#All],[PCLAVE]],Tabla8[[#This Row],[DESCRIPCION DE TRABAJO]])),""))),"")</f>
        <v>Tapa</v>
      </c>
      <c r="O1268" s="35" t="str" cm="1">
        <f t="array" ref="O1268">_xlfn.TEXTJOIN(", ",TRUE,_xlfn._xlws.FILTER(Tabla28[[#All],[PARTE]],ISNUMBER(SEARCH(Tabla28[[#All],[PCLAVE2]],Tabla8[[#This Row],[DESCRIPCION DE TRABAJO]])),""))</f>
        <v/>
      </c>
      <c r="P1268" s="303" t="str">
        <f>IFERROR(LEFT(O1268, FIND(",", O1268)-1), O1268)</f>
        <v/>
      </c>
      <c r="Q1268" s="303" t="str">
        <f>IFERROR(IF(ISERROR(FIND(",", O1268, FIND(",", O1268)+1)), RIGHT(O1268, LEN(O1268)-FIND(",", O1268)-1), MID(O1268, FIND(",", O1268)+2, FIND(",", O1268, FIND(",", O1268)+1)-FIND(",", O1268)-2)), "")</f>
        <v/>
      </c>
      <c r="R1268" s="303" t="str">
        <f>IFERROR(RIGHT(O1268, LEN(O1268)-FIND(",", O1268, FIND(",", O1268)+1)-1), "")</f>
        <v/>
      </c>
      <c r="S1268" s="35" t="str" cm="1">
        <f t="array" ref="S1268">_xlfn.TEXTJOIN(", ",TRUE,_xlfn._xlws.FILTER(Tabla29[[#All],[PARTE]],ISNUMBER(SEARCH(Tabla29[[#All],[PCLAVE3]],Tabla8[[#This Row],[DESCRIPCION DE TRABAJO]])),""))</f>
        <v/>
      </c>
      <c r="T1268" s="34" t="str">
        <f>IF(AND(Tabla8[[#This Row],[PIEZA]]="",Tabla8[[#This Row],[PARTE]]=""),"VACIO","OK")</f>
        <v>OK</v>
      </c>
      <c r="U1268" s="303" t="str">
        <f>+CONCATENATE(WEEKNUM(Tabla8[[#This Row],[FECHA]]),"-",YEAR(Tabla8[[#This Row],[FECHA]]))</f>
        <v>20-2026</v>
      </c>
    </row>
    <row r="1269" spans="1:21" ht="15" customHeight="1">
      <c r="A1269" s="22">
        <v>46153</v>
      </c>
      <c r="B1269" s="16" t="s">
        <v>88</v>
      </c>
      <c r="C1269" s="10" t="s">
        <v>36</v>
      </c>
      <c r="D1269" s="381">
        <v>0.3125</v>
      </c>
      <c r="E1269" s="381">
        <v>0.32291666666666669</v>
      </c>
      <c r="F1269" s="380">
        <f>+MOD(Tabla8[[#This Row],[HR. FIN]]-Tabla8[[#This Row],[HR. INICIO]],1)</f>
        <v>1.0416666666666685E-2</v>
      </c>
      <c r="G1269" s="16" t="s">
        <v>331</v>
      </c>
      <c r="H1269" s="343" t="str">
        <f>IFERROR(VLOOKUP(G1269,DATOS!$M$2:$N$219,2,FALSE),"")</f>
        <v>Maquinaria</v>
      </c>
      <c r="I1269" s="115" t="s">
        <v>32</v>
      </c>
      <c r="J1269" s="115" t="s">
        <v>157</v>
      </c>
      <c r="K1269" s="114"/>
      <c r="L1269" s="35" t="s">
        <v>2373</v>
      </c>
      <c r="M1269" s="35" t="s">
        <v>368</v>
      </c>
      <c r="N1269" s="35" t="str" cm="1">
        <f t="array" ref="N1269">IFERROR(IF(Tabla8[[#This Row],[P/NP]]="NO PROGRAMADA","",_xlfn.TEXTJOIN(", ",TRUE,_xlfn._xlws.FILTER(Tabla4[[#All],[PIEZA]],ISNUMBER(SEARCH(Tabla4[[#All],[PCLAVE]],Tabla8[[#This Row],[DESCRIPCION DE TRABAJO]])),""))),"")</f>
        <v/>
      </c>
      <c r="O1269" s="35" t="str" cm="1">
        <f t="array" ref="O1269">_xlfn.TEXTJOIN(", ",TRUE,_xlfn._xlws.FILTER(Tabla28[[#All],[PARTE]],ISNUMBER(SEARCH(Tabla28[[#All],[PCLAVE2]],Tabla8[[#This Row],[DESCRIPCION DE TRABAJO]])),""))</f>
        <v/>
      </c>
      <c r="P1269" s="303" t="str">
        <f>IFERROR(LEFT(O1269, FIND(",", O1269)-1), O1269)</f>
        <v/>
      </c>
      <c r="Q1269" s="303" t="str">
        <f>IFERROR(IF(ISERROR(FIND(",", O1269, FIND(",", O1269)+1)), RIGHT(O1269, LEN(O1269)-FIND(",", O1269)-1), MID(O1269, FIND(",", O1269)+2, FIND(",", O1269, FIND(",", O1269)+1)-FIND(",", O1269)-2)), "")</f>
        <v/>
      </c>
      <c r="R1269" s="303" t="str">
        <f>IFERROR(RIGHT(O1269, LEN(O1269)-FIND(",", O1269, FIND(",", O1269)+1)-1), "")</f>
        <v/>
      </c>
      <c r="S1269" s="35" t="str" cm="1">
        <f t="array" ref="S1269">_xlfn.TEXTJOIN(", ",TRUE,_xlfn._xlws.FILTER(Tabla29[[#All],[PARTE]],ISNUMBER(SEARCH(Tabla29[[#All],[PCLAVE3]],Tabla8[[#This Row],[DESCRIPCION DE TRABAJO]])),""))</f>
        <v/>
      </c>
      <c r="T1269" s="34" t="str">
        <f>IF(AND(Tabla8[[#This Row],[PIEZA]]="",Tabla8[[#This Row],[PARTE]]=""),"VACIO","OK")</f>
        <v>VACIO</v>
      </c>
      <c r="U1269" s="303" t="str">
        <f>+CONCATENATE(WEEKNUM(Tabla8[[#This Row],[FECHA]]),"-",YEAR(Tabla8[[#This Row],[FECHA]]))</f>
        <v>20-2026</v>
      </c>
    </row>
    <row r="1270" spans="1:21" ht="15" customHeight="1">
      <c r="A1270" s="22">
        <v>46153</v>
      </c>
      <c r="B1270" s="16" t="s">
        <v>179</v>
      </c>
      <c r="C1270" s="10" t="s">
        <v>36</v>
      </c>
      <c r="D1270" s="381">
        <v>0.78125</v>
      </c>
      <c r="E1270" s="381">
        <v>0.79166666666666663</v>
      </c>
      <c r="F1270" s="380">
        <f>+MOD(Tabla8[[#This Row],[HR. FIN]]-Tabla8[[#This Row],[HR. INICIO]],1)</f>
        <v>1.041666666666663E-2</v>
      </c>
      <c r="G1270" s="16" t="s">
        <v>793</v>
      </c>
      <c r="H1270" s="343" t="str">
        <f>IFERROR(VLOOKUP(G1270,DATOS!$M$2:$N$219,2,FALSE),"")</f>
        <v>Maquinaria</v>
      </c>
      <c r="I1270" s="115" t="s">
        <v>57</v>
      </c>
      <c r="J1270" s="115" t="s">
        <v>92</v>
      </c>
      <c r="K1270" s="114" t="s">
        <v>148</v>
      </c>
      <c r="L1270" s="35" t="s">
        <v>2374</v>
      </c>
      <c r="M1270" s="35" t="s">
        <v>2375</v>
      </c>
      <c r="N1270" s="35" t="str" cm="1">
        <f t="array" ref="N1270">IFERROR(IF(Tabla8[[#This Row],[P/NP]]="NO PROGRAMADA","",_xlfn.TEXTJOIN(", ",TRUE,_xlfn._xlws.FILTER(Tabla4[[#All],[PIEZA]],ISNUMBER(SEARCH(Tabla4[[#All],[PCLAVE]],Tabla8[[#This Row],[DESCRIPCION DE TRABAJO]])),""))),"")</f>
        <v/>
      </c>
      <c r="O1270" s="35" t="str" cm="1">
        <f t="array" ref="O1270">_xlfn.TEXTJOIN(", ",TRUE,_xlfn._xlws.FILTER(Tabla28[[#All],[PARTE]],ISNUMBER(SEARCH(Tabla28[[#All],[PCLAVE2]],Tabla8[[#This Row],[DESCRIPCION DE TRABAJO]])),""))</f>
        <v/>
      </c>
      <c r="P1270" s="303" t="str">
        <f>IFERROR(LEFT(O1270, FIND(",", O1270)-1), O1270)</f>
        <v/>
      </c>
      <c r="Q1270" s="303" t="str">
        <f>IFERROR(IF(ISERROR(FIND(",", O1270, FIND(",", O1270)+1)), RIGHT(O1270, LEN(O1270)-FIND(",", O1270)-1), MID(O1270, FIND(",", O1270)+2, FIND(",", O1270, FIND(",", O1270)+1)-FIND(",", O1270)-2)), "")</f>
        <v/>
      </c>
      <c r="R1270" s="303" t="str">
        <f>IFERROR(RIGHT(O1270, LEN(O1270)-FIND(",", O1270, FIND(",", O1270)+1)-1), "")</f>
        <v/>
      </c>
      <c r="S1270" s="35" t="str" cm="1">
        <f t="array" ref="S1270">_xlfn.TEXTJOIN(", ",TRUE,_xlfn._xlws.FILTER(Tabla29[[#All],[PARTE]],ISNUMBER(SEARCH(Tabla29[[#All],[PCLAVE3]],Tabla8[[#This Row],[DESCRIPCION DE TRABAJO]])),""))</f>
        <v/>
      </c>
      <c r="T1270" s="34" t="str">
        <f>IF(AND(Tabla8[[#This Row],[PIEZA]]="",Tabla8[[#This Row],[PARTE]]=""),"VACIO","OK")</f>
        <v>VACIO</v>
      </c>
      <c r="U1270" s="303" t="str">
        <f>+CONCATENATE(WEEKNUM(Tabla8[[#This Row],[FECHA]]),"-",YEAR(Tabla8[[#This Row],[FECHA]]))</f>
        <v>20-2026</v>
      </c>
    </row>
    <row r="1271" spans="1:21" ht="15" customHeight="1">
      <c r="A1271" s="22">
        <v>46153</v>
      </c>
      <c r="B1271" s="16" t="s">
        <v>179</v>
      </c>
      <c r="C1271" s="10" t="s">
        <v>23</v>
      </c>
      <c r="D1271" s="381">
        <v>0.61805555555555558</v>
      </c>
      <c r="E1271" s="381">
        <v>0.625</v>
      </c>
      <c r="F1271" s="380">
        <f>+MOD(Tabla8[[#This Row],[HR. FIN]]-Tabla8[[#This Row],[HR. INICIO]],1)</f>
        <v>6.9444444444444198E-3</v>
      </c>
      <c r="G1271" s="16" t="s">
        <v>1063</v>
      </c>
      <c r="H1271" s="343" t="str">
        <f>IFERROR(VLOOKUP(G1271,DATOS!$M$2:$N$219,2,FALSE),"")</f>
        <v>Maquinaria</v>
      </c>
      <c r="I1271" s="115" t="s">
        <v>186</v>
      </c>
      <c r="J1271" s="115" t="s">
        <v>92</v>
      </c>
      <c r="K1271" s="114" t="s">
        <v>93</v>
      </c>
      <c r="L1271" s="35" t="s">
        <v>2376</v>
      </c>
      <c r="M1271" s="35" t="s">
        <v>2377</v>
      </c>
      <c r="N1271" s="35" t="str" cm="1">
        <f t="array" ref="N1271">IFERROR(IF(Tabla8[[#This Row],[P/NP]]="NO PROGRAMADA","",_xlfn.TEXTJOIN(", ",TRUE,_xlfn._xlws.FILTER(Tabla4[[#All],[PIEZA]],ISNUMBER(SEARCH(Tabla4[[#All],[PCLAVE]],Tabla8[[#This Row],[DESCRIPCION DE TRABAJO]])),""))),"")</f>
        <v/>
      </c>
      <c r="O1271" s="35" t="str" cm="1">
        <f t="array" ref="O1271">_xlfn.TEXTJOIN(", ",TRUE,_xlfn._xlws.FILTER(Tabla28[[#All],[PARTE]],ISNUMBER(SEARCH(Tabla28[[#All],[PCLAVE2]],Tabla8[[#This Row],[DESCRIPCION DE TRABAJO]])),""))</f>
        <v/>
      </c>
      <c r="P1271" s="303" t="str">
        <f>IFERROR(LEFT(O1271, FIND(",", O1271)-1), O1271)</f>
        <v/>
      </c>
      <c r="Q1271" s="303" t="str">
        <f>IFERROR(IF(ISERROR(FIND(",", O1271, FIND(",", O1271)+1)), RIGHT(O1271, LEN(O1271)-FIND(",", O1271)-1), MID(O1271, FIND(",", O1271)+2, FIND(",", O1271, FIND(",", O1271)+1)-FIND(",", O1271)-2)), "")</f>
        <v/>
      </c>
      <c r="R1271" s="303" t="str">
        <f>IFERROR(RIGHT(O1271, LEN(O1271)-FIND(",", O1271, FIND(",", O1271)+1)-1), "")</f>
        <v/>
      </c>
      <c r="S1271" s="35" t="str" cm="1">
        <f t="array" ref="S1271">_xlfn.TEXTJOIN(", ",TRUE,_xlfn._xlws.FILTER(Tabla29[[#All],[PARTE]],ISNUMBER(SEARCH(Tabla29[[#All],[PCLAVE3]],Tabla8[[#This Row],[DESCRIPCION DE TRABAJO]])),""))</f>
        <v>Rotura</v>
      </c>
      <c r="T1271" s="34" t="str">
        <f>IF(AND(Tabla8[[#This Row],[PIEZA]]="",Tabla8[[#This Row],[PARTE]]=""),"VACIO","OK")</f>
        <v>VACIO</v>
      </c>
      <c r="U1271" s="303" t="str">
        <f>+CONCATENATE(WEEKNUM(Tabla8[[#This Row],[FECHA]]),"-",YEAR(Tabla8[[#This Row],[FECHA]]))</f>
        <v>20-2026</v>
      </c>
    </row>
    <row r="1272" spans="1:21" ht="15" customHeight="1">
      <c r="A1272" s="22">
        <v>46154</v>
      </c>
      <c r="B1272" s="16" t="s">
        <v>179</v>
      </c>
      <c r="C1272" s="10" t="s">
        <v>23</v>
      </c>
      <c r="D1272" s="381" t="s">
        <v>450</v>
      </c>
      <c r="E1272" s="381" t="s">
        <v>1707</v>
      </c>
      <c r="F1272" s="380">
        <f>+MOD(Tabla8[[#This Row],[HR. FIN]]-Tabla8[[#This Row],[HR. INICIO]],1)</f>
        <v>0.1875</v>
      </c>
      <c r="G1272" s="16" t="s">
        <v>42</v>
      </c>
      <c r="H1272" s="343" t="str">
        <f>IFERROR(VLOOKUP(G1272,DATOS!$M$2:$N$219,2,FALSE),"")</f>
        <v>Maquinaria</v>
      </c>
      <c r="I1272" s="115" t="s">
        <v>57</v>
      </c>
      <c r="J1272" s="115" t="s">
        <v>92</v>
      </c>
      <c r="K1272" s="114" t="s">
        <v>93</v>
      </c>
      <c r="L1272" s="35" t="s">
        <v>2378</v>
      </c>
      <c r="M1272" s="35" t="s">
        <v>2379</v>
      </c>
      <c r="N1272" s="35" t="str" cm="1">
        <f t="array" ref="N1272">IFERROR(IF(Tabla8[[#This Row],[P/NP]]="NO PROGRAMADA","",_xlfn.TEXTJOIN(", ",TRUE,_xlfn._xlws.FILTER(Tabla4[[#All],[PIEZA]],ISNUMBER(SEARCH(Tabla4[[#All],[PCLAVE]],Tabla8[[#This Row],[DESCRIPCION DE TRABAJO]])),""))),"")</f>
        <v/>
      </c>
      <c r="O1272" s="35" t="str" cm="1">
        <f t="array" ref="O1272">_xlfn.TEXTJOIN(", ",TRUE,_xlfn._xlws.FILTER(Tabla28[[#All],[PARTE]],ISNUMBER(SEARCH(Tabla28[[#All],[PCLAVE2]],Tabla8[[#This Row],[DESCRIPCION DE TRABAJO]])),""))</f>
        <v/>
      </c>
      <c r="P1272" s="303" t="str">
        <f>IFERROR(LEFT(O1272, FIND(",", O1272)-1), O1272)</f>
        <v/>
      </c>
      <c r="Q1272" s="303" t="str">
        <f>IFERROR(IF(ISERROR(FIND(",", O1272, FIND(",", O1272)+1)), RIGHT(O1272, LEN(O1272)-FIND(",", O1272)-1), MID(O1272, FIND(",", O1272)+2, FIND(",", O1272, FIND(",", O1272)+1)-FIND(",", O1272)-2)), "")</f>
        <v/>
      </c>
      <c r="R1272" s="303" t="str">
        <f>IFERROR(RIGHT(O1272, LEN(O1272)-FIND(",", O1272, FIND(",", O1272)+1)-1), "")</f>
        <v/>
      </c>
      <c r="S1272" s="35" t="str" cm="1">
        <f t="array" ref="S1272">_xlfn.TEXTJOIN(", ",TRUE,_xlfn._xlws.FILTER(Tabla29[[#All],[PARTE]],ISNUMBER(SEARCH(Tabla29[[#All],[PCLAVE3]],Tabla8[[#This Row],[DESCRIPCION DE TRABAJO]])),""))</f>
        <v/>
      </c>
      <c r="T1272" s="34" t="str">
        <f>IF(AND(Tabla8[[#This Row],[PIEZA]]="",Tabla8[[#This Row],[PARTE]]=""),"VACIO","OK")</f>
        <v>VACIO</v>
      </c>
      <c r="U1272" s="303" t="str">
        <f>+CONCATENATE(WEEKNUM(Tabla8[[#This Row],[FECHA]]),"-",YEAR(Tabla8[[#This Row],[FECHA]]))</f>
        <v>20-2026</v>
      </c>
    </row>
    <row r="1273" spans="1:21" ht="15" customHeight="1">
      <c r="A1273" s="22">
        <v>46154</v>
      </c>
      <c r="B1273" s="16" t="s">
        <v>88</v>
      </c>
      <c r="C1273" s="10" t="s">
        <v>36</v>
      </c>
      <c r="D1273" s="381" t="s">
        <v>96</v>
      </c>
      <c r="E1273" s="381" t="s">
        <v>586</v>
      </c>
      <c r="F1273" s="380">
        <f>+MOD(Tabla8[[#This Row],[HR. FIN]]-Tabla8[[#This Row],[HR. INICIO]],1)</f>
        <v>8.3333333333333315E-2</v>
      </c>
      <c r="G1273" s="16" t="s">
        <v>140</v>
      </c>
      <c r="H1273" s="343" t="str">
        <f>IFERROR(VLOOKUP(G1273,DATOS!$M$2:$N$219,2,FALSE),"")</f>
        <v>Maquinaria</v>
      </c>
      <c r="I1273" s="115" t="s">
        <v>186</v>
      </c>
      <c r="J1273" s="115" t="s">
        <v>92</v>
      </c>
      <c r="K1273" s="114" t="s">
        <v>93</v>
      </c>
      <c r="L1273" s="35" t="s">
        <v>2380</v>
      </c>
      <c r="M1273" s="35" t="s">
        <v>2381</v>
      </c>
      <c r="N1273" s="35" t="str" cm="1">
        <f t="array" ref="N1273">IFERROR(IF(Tabla8[[#This Row],[P/NP]]="NO PROGRAMADA","",_xlfn.TEXTJOIN(", ",TRUE,_xlfn._xlws.FILTER(Tabla4[[#All],[PIEZA]],ISNUMBER(SEARCH(Tabla4[[#All],[PCLAVE]],Tabla8[[#This Row],[DESCRIPCION DE TRABAJO]])),""))),"")</f>
        <v/>
      </c>
      <c r="O1273" s="35" t="str" cm="1">
        <f t="array" ref="O1273">_xlfn.TEXTJOIN(", ",TRUE,_xlfn._xlws.FILTER(Tabla28[[#All],[PARTE]],ISNUMBER(SEARCH(Tabla28[[#All],[PCLAVE2]],Tabla8[[#This Row],[DESCRIPCION DE TRABAJO]])),""))</f>
        <v/>
      </c>
      <c r="P1273" s="303" t="str">
        <f>IFERROR(LEFT(O1273, FIND(",", O1273)-1), O1273)</f>
        <v/>
      </c>
      <c r="Q1273" s="303" t="str">
        <f>IFERROR(IF(ISERROR(FIND(",", O1273, FIND(",", O1273)+1)), RIGHT(O1273, LEN(O1273)-FIND(",", O1273)-1), MID(O1273, FIND(",", O1273)+2, FIND(",", O1273, FIND(",", O1273)+1)-FIND(",", O1273)-2)), "")</f>
        <v/>
      </c>
      <c r="R1273" s="303" t="str">
        <f>IFERROR(RIGHT(O1273, LEN(O1273)-FIND(",", O1273, FIND(",", O1273)+1)-1), "")</f>
        <v/>
      </c>
      <c r="S1273" s="35" t="str" cm="1">
        <f t="array" ref="S1273">_xlfn.TEXTJOIN(", ",TRUE,_xlfn._xlws.FILTER(Tabla29[[#All],[PARTE]],ISNUMBER(SEARCH(Tabla29[[#All],[PCLAVE3]],Tabla8[[#This Row],[DESCRIPCION DE TRABAJO]])),""))</f>
        <v>Golpea, Ruido</v>
      </c>
      <c r="T1273" s="34" t="str">
        <f>IF(AND(Tabla8[[#This Row],[PIEZA]]="",Tabla8[[#This Row],[PARTE]]=""),"VACIO","OK")</f>
        <v>VACIO</v>
      </c>
      <c r="U1273" s="303" t="str">
        <f>+CONCATENATE(WEEKNUM(Tabla8[[#This Row],[FECHA]]),"-",YEAR(Tabla8[[#This Row],[FECHA]]))</f>
        <v>20-2026</v>
      </c>
    </row>
    <row r="1274" spans="1:21" ht="15" customHeight="1">
      <c r="A1274" s="22">
        <v>46154</v>
      </c>
      <c r="B1274" s="16" t="s">
        <v>111</v>
      </c>
      <c r="C1274" s="10" t="s">
        <v>39</v>
      </c>
      <c r="D1274" s="381" t="s">
        <v>1805</v>
      </c>
      <c r="E1274" s="381" t="s">
        <v>397</v>
      </c>
      <c r="F1274" s="380">
        <f>+MOD(Tabla8[[#This Row],[HR. FIN]]-Tabla8[[#This Row],[HR. INICIO]],1)</f>
        <v>6.25E-2</v>
      </c>
      <c r="G1274" s="16" t="s">
        <v>136</v>
      </c>
      <c r="H1274" s="343" t="str">
        <f>IFERROR(VLOOKUP(G1274,DATOS!$M$2:$N$219,2,FALSE),"")</f>
        <v>Maquinaria</v>
      </c>
      <c r="I1274" s="115" t="s">
        <v>54</v>
      </c>
      <c r="J1274" s="115" t="s">
        <v>92</v>
      </c>
      <c r="K1274" s="114" t="s">
        <v>148</v>
      </c>
      <c r="L1274" s="35" t="s">
        <v>2382</v>
      </c>
      <c r="M1274" s="35" t="s">
        <v>2383</v>
      </c>
      <c r="N1274" s="35" t="str" cm="1">
        <f t="array" ref="N1274">IFERROR(IF(Tabla8[[#This Row],[P/NP]]="NO PROGRAMADA","",_xlfn.TEXTJOIN(", ",TRUE,_xlfn._xlws.FILTER(Tabla4[[#All],[PIEZA]],ISNUMBER(SEARCH(Tabla4[[#All],[PCLAVE]],Tabla8[[#This Row],[DESCRIPCION DE TRABAJO]])),""))),"")</f>
        <v/>
      </c>
      <c r="O1274" s="35" t="str" cm="1">
        <f t="array" ref="O1274">_xlfn.TEXTJOIN(", ",TRUE,_xlfn._xlws.FILTER(Tabla28[[#All],[PARTE]],ISNUMBER(SEARCH(Tabla28[[#All],[PCLAVE2]],Tabla8[[#This Row],[DESCRIPCION DE TRABAJO]])),""))</f>
        <v/>
      </c>
      <c r="P1274" s="303" t="str">
        <f>IFERROR(LEFT(O1274, FIND(",", O1274)-1), O1274)</f>
        <v/>
      </c>
      <c r="Q1274" s="303" t="str">
        <f>IFERROR(IF(ISERROR(FIND(",", O1274, FIND(",", O1274)+1)), RIGHT(O1274, LEN(O1274)-FIND(",", O1274)-1), MID(O1274, FIND(",", O1274)+2, FIND(",", O1274, FIND(",", O1274)+1)-FIND(",", O1274)-2)), "")</f>
        <v/>
      </c>
      <c r="R1274" s="303" t="str">
        <f>IFERROR(RIGHT(O1274, LEN(O1274)-FIND(",", O1274, FIND(",", O1274)+1)-1), "")</f>
        <v/>
      </c>
      <c r="S1274" s="35" t="str" cm="1">
        <f t="array" ref="S1274">_xlfn.TEXTJOIN(", ",TRUE,_xlfn._xlws.FILTER(Tabla29[[#All],[PARTE]],ISNUMBER(SEARCH(Tabla29[[#All],[PCLAVE3]],Tabla8[[#This Row],[DESCRIPCION DE TRABAJO]])),""))</f>
        <v/>
      </c>
      <c r="T1274" s="34" t="str">
        <f>IF(AND(Tabla8[[#This Row],[PIEZA]]="",Tabla8[[#This Row],[PARTE]]=""),"VACIO","OK")</f>
        <v>VACIO</v>
      </c>
      <c r="U1274" s="303" t="str">
        <f>+CONCATENATE(WEEKNUM(Tabla8[[#This Row],[FECHA]]),"-",YEAR(Tabla8[[#This Row],[FECHA]]))</f>
        <v>20-2026</v>
      </c>
    </row>
    <row r="1275" spans="1:21" ht="15" customHeight="1">
      <c r="A1275" s="22">
        <v>46154</v>
      </c>
      <c r="B1275" s="16" t="s">
        <v>111</v>
      </c>
      <c r="C1275" s="10" t="s">
        <v>39</v>
      </c>
      <c r="D1275" s="381" t="s">
        <v>1169</v>
      </c>
      <c r="E1275" s="381" t="s">
        <v>900</v>
      </c>
      <c r="F1275" s="380">
        <f>+MOD(Tabla8[[#This Row],[HR. FIN]]-Tabla8[[#This Row],[HR. INICIO]],1)</f>
        <v>4.8611111111111049E-2</v>
      </c>
      <c r="G1275" s="16" t="s">
        <v>312</v>
      </c>
      <c r="H1275" s="343" t="str">
        <f>IFERROR(VLOOKUP(G1275,DATOS!$M$2:$N$219,2,FALSE),"")</f>
        <v>Maquinaria</v>
      </c>
      <c r="I1275" s="115" t="s">
        <v>28</v>
      </c>
      <c r="J1275" s="115" t="s">
        <v>92</v>
      </c>
      <c r="K1275" s="114" t="s">
        <v>93</v>
      </c>
      <c r="L1275" s="35" t="s">
        <v>2384</v>
      </c>
      <c r="M1275" s="35" t="s">
        <v>2385</v>
      </c>
      <c r="N1275" s="35" t="str" cm="1">
        <f t="array" ref="N1275">IFERROR(IF(Tabla8[[#This Row],[P/NP]]="NO PROGRAMADA","",_xlfn.TEXTJOIN(", ",TRUE,_xlfn._xlws.FILTER(Tabla4[[#All],[PIEZA]],ISNUMBER(SEARCH(Tabla4[[#All],[PCLAVE]],Tabla8[[#This Row],[DESCRIPCION DE TRABAJO]])),""))),"")</f>
        <v/>
      </c>
      <c r="O1275" s="35" t="str" cm="1">
        <f t="array" ref="O1275">_xlfn.TEXTJOIN(", ",TRUE,_xlfn._xlws.FILTER(Tabla28[[#All],[PARTE]],ISNUMBER(SEARCH(Tabla28[[#All],[PCLAVE2]],Tabla8[[#This Row],[DESCRIPCION DE TRABAJO]])),""))</f>
        <v/>
      </c>
      <c r="P1275" s="303" t="str">
        <f>IFERROR(LEFT(O1275, FIND(",", O1275)-1), O1275)</f>
        <v/>
      </c>
      <c r="Q1275" s="303" t="str">
        <f>IFERROR(IF(ISERROR(FIND(",", O1275, FIND(",", O1275)+1)), RIGHT(O1275, LEN(O1275)-FIND(",", O1275)-1), MID(O1275, FIND(",", O1275)+2, FIND(",", O1275, FIND(",", O1275)+1)-FIND(",", O1275)-2)), "")</f>
        <v/>
      </c>
      <c r="R1275" s="303" t="str">
        <f>IFERROR(RIGHT(O1275, LEN(O1275)-FIND(",", O1275, FIND(",", O1275)+1)-1), "")</f>
        <v/>
      </c>
      <c r="S1275" s="35" t="str" cm="1">
        <f t="array" ref="S1275">_xlfn.TEXTJOIN(", ",TRUE,_xlfn._xlws.FILTER(Tabla29[[#All],[PARTE]],ISNUMBER(SEARCH(Tabla29[[#All],[PCLAVE3]],Tabla8[[#This Row],[DESCRIPCION DE TRABAJO]])),""))</f>
        <v>Rotura</v>
      </c>
      <c r="T1275" s="34" t="str">
        <f>IF(AND(Tabla8[[#This Row],[PIEZA]]="",Tabla8[[#This Row],[PARTE]]=""),"VACIO","OK")</f>
        <v>VACIO</v>
      </c>
      <c r="U1275" s="303" t="str">
        <f>+CONCATENATE(WEEKNUM(Tabla8[[#This Row],[FECHA]]),"-",YEAR(Tabla8[[#This Row],[FECHA]]))</f>
        <v>20-2026</v>
      </c>
    </row>
    <row r="1276" spans="1:21" ht="15" customHeight="1">
      <c r="A1276" s="22">
        <v>46154</v>
      </c>
      <c r="B1276" s="16" t="s">
        <v>131</v>
      </c>
      <c r="C1276" s="10" t="s">
        <v>36</v>
      </c>
      <c r="D1276" s="381" t="s">
        <v>2386</v>
      </c>
      <c r="E1276" s="381" t="s">
        <v>123</v>
      </c>
      <c r="F1276" s="380">
        <f>+MOD(Tabla8[[#This Row],[HR. FIN]]-Tabla8[[#This Row],[HR. INICIO]],1)</f>
        <v>4.4444444444444453E-2</v>
      </c>
      <c r="G1276" s="16" t="s">
        <v>2256</v>
      </c>
      <c r="H1276" s="343" t="str">
        <f>IFERROR(VLOOKUP(G1276,DATOS!$M$2:$N$219,2,FALSE),"")</f>
        <v>Maquinaria</v>
      </c>
      <c r="I1276" s="115" t="s">
        <v>57</v>
      </c>
      <c r="J1276" s="115" t="s">
        <v>92</v>
      </c>
      <c r="K1276" s="114" t="s">
        <v>148</v>
      </c>
      <c r="L1276" s="35" t="s">
        <v>2387</v>
      </c>
      <c r="M1276" s="35" t="s">
        <v>2388</v>
      </c>
      <c r="N1276" s="35" t="str" cm="1">
        <f t="array" ref="N1276">IFERROR(IF(Tabla8[[#This Row],[P/NP]]="NO PROGRAMADA","",_xlfn.TEXTJOIN(", ",TRUE,_xlfn._xlws.FILTER(Tabla4[[#All],[PIEZA]],ISNUMBER(SEARCH(Tabla4[[#All],[PCLAVE]],Tabla8[[#This Row],[DESCRIPCION DE TRABAJO]])),""))),"")</f>
        <v/>
      </c>
      <c r="O1276" s="35" t="str" cm="1">
        <f t="array" ref="O1276">_xlfn.TEXTJOIN(", ",TRUE,_xlfn._xlws.FILTER(Tabla28[[#All],[PARTE]],ISNUMBER(SEARCH(Tabla28[[#All],[PCLAVE2]],Tabla8[[#This Row],[DESCRIPCION DE TRABAJO]])),""))</f>
        <v/>
      </c>
      <c r="P1276" s="303" t="str">
        <f>IFERROR(LEFT(O1276, FIND(",", O1276)-1), O1276)</f>
        <v/>
      </c>
      <c r="Q1276" s="303" t="str">
        <f>IFERROR(IF(ISERROR(FIND(",", O1276, FIND(",", O1276)+1)), RIGHT(O1276, LEN(O1276)-FIND(",", O1276)-1), MID(O1276, FIND(",", O1276)+2, FIND(",", O1276, FIND(",", O1276)+1)-FIND(",", O1276)-2)), "")</f>
        <v/>
      </c>
      <c r="R1276" s="303" t="str">
        <f>IFERROR(RIGHT(O1276, LEN(O1276)-FIND(",", O1276, FIND(",", O1276)+1)-1), "")</f>
        <v/>
      </c>
      <c r="S1276" s="35" t="str" cm="1">
        <f t="array" ref="S1276">_xlfn.TEXTJOIN(", ",TRUE,_xlfn._xlws.FILTER(Tabla29[[#All],[PARTE]],ISNUMBER(SEARCH(Tabla29[[#All],[PCLAVE3]],Tabla8[[#This Row],[DESCRIPCION DE TRABAJO]])),""))</f>
        <v>Temperatura, Temperatura</v>
      </c>
      <c r="T1276" s="34" t="str">
        <f>IF(AND(Tabla8[[#This Row],[PIEZA]]="",Tabla8[[#This Row],[PARTE]]=""),"VACIO","OK")</f>
        <v>VACIO</v>
      </c>
      <c r="U1276" s="303" t="str">
        <f>+CONCATENATE(WEEKNUM(Tabla8[[#This Row],[FECHA]]),"-",YEAR(Tabla8[[#This Row],[FECHA]]))</f>
        <v>20-2026</v>
      </c>
    </row>
    <row r="1277" spans="1:21" ht="15" customHeight="1">
      <c r="A1277" s="22">
        <v>46154</v>
      </c>
      <c r="B1277" s="16" t="s">
        <v>88</v>
      </c>
      <c r="C1277" s="10" t="s">
        <v>36</v>
      </c>
      <c r="D1277" s="381" t="s">
        <v>858</v>
      </c>
      <c r="E1277" s="381" t="s">
        <v>608</v>
      </c>
      <c r="F1277" s="380">
        <f>+MOD(Tabla8[[#This Row],[HR. FIN]]-Tabla8[[#This Row],[HR. INICIO]],1)</f>
        <v>3.125E-2</v>
      </c>
      <c r="G1277" s="16" t="s">
        <v>2282</v>
      </c>
      <c r="H1277" s="343" t="str">
        <f>IFERROR(VLOOKUP(G1277,DATOS!$M$2:$N$219,2,FALSE),"")</f>
        <v>Area</v>
      </c>
      <c r="I1277" s="115"/>
      <c r="J1277" s="115"/>
      <c r="K1277" s="114"/>
      <c r="L1277" s="35" t="s">
        <v>2283</v>
      </c>
      <c r="M1277" s="35" t="s">
        <v>2283</v>
      </c>
      <c r="N1277" s="35" t="str" cm="1">
        <f t="array" ref="N1277">IFERROR(IF(Tabla8[[#This Row],[P/NP]]="NO PROGRAMADA","",_xlfn.TEXTJOIN(", ",TRUE,_xlfn._xlws.FILTER(Tabla4[[#All],[PIEZA]],ISNUMBER(SEARCH(Tabla4[[#All],[PCLAVE]],Tabla8[[#This Row],[DESCRIPCION DE TRABAJO]])),""))),"")</f>
        <v/>
      </c>
      <c r="O1277" s="35" t="str" cm="1">
        <f t="array" ref="O1277">_xlfn.TEXTJOIN(", ",TRUE,_xlfn._xlws.FILTER(Tabla28[[#All],[PARTE]],ISNUMBER(SEARCH(Tabla28[[#All],[PCLAVE2]],Tabla8[[#This Row],[DESCRIPCION DE TRABAJO]])),""))</f>
        <v/>
      </c>
      <c r="P1277" s="303" t="str">
        <f>IFERROR(LEFT(O1277, FIND(",", O1277)-1), O1277)</f>
        <v/>
      </c>
      <c r="Q1277" s="303" t="str">
        <f>IFERROR(IF(ISERROR(FIND(",", O1277, FIND(",", O1277)+1)), RIGHT(O1277, LEN(O1277)-FIND(",", O1277)-1), MID(O1277, FIND(",", O1277)+2, FIND(",", O1277, FIND(",", O1277)+1)-FIND(",", O1277)-2)), "")</f>
        <v/>
      </c>
      <c r="R1277" s="303" t="str">
        <f>IFERROR(RIGHT(O1277, LEN(O1277)-FIND(",", O1277, FIND(",", O1277)+1)-1), "")</f>
        <v/>
      </c>
      <c r="S1277" s="35" t="str" cm="1">
        <f t="array" ref="S1277">_xlfn.TEXTJOIN(", ",TRUE,_xlfn._xlws.FILTER(Tabla29[[#All],[PARTE]],ISNUMBER(SEARCH(Tabla29[[#All],[PCLAVE3]],Tabla8[[#This Row],[DESCRIPCION DE TRABAJO]])),""))</f>
        <v/>
      </c>
      <c r="T1277" s="34" t="str">
        <f>IF(AND(Tabla8[[#This Row],[PIEZA]]="",Tabla8[[#This Row],[PARTE]]=""),"VACIO","OK")</f>
        <v>VACIO</v>
      </c>
      <c r="U1277" s="303" t="str">
        <f>+CONCATENATE(WEEKNUM(Tabla8[[#This Row],[FECHA]]),"-",YEAR(Tabla8[[#This Row],[FECHA]]))</f>
        <v>20-2026</v>
      </c>
    </row>
    <row r="1278" spans="1:21" ht="15" customHeight="1">
      <c r="A1278" s="22">
        <v>46154</v>
      </c>
      <c r="B1278" s="16" t="s">
        <v>191</v>
      </c>
      <c r="C1278" s="10" t="s">
        <v>23</v>
      </c>
      <c r="D1278" s="381" t="s">
        <v>1261</v>
      </c>
      <c r="E1278" s="381" t="s">
        <v>776</v>
      </c>
      <c r="F1278" s="380">
        <f>+MOD(Tabla8[[#This Row],[HR. FIN]]-Tabla8[[#This Row],[HR. INICIO]],1)</f>
        <v>2.3611111111111138E-2</v>
      </c>
      <c r="G1278" s="16" t="s">
        <v>42</v>
      </c>
      <c r="H1278" s="343" t="str">
        <f>IFERROR(VLOOKUP(G1278,DATOS!$M$2:$N$219,2,FALSE),"")</f>
        <v>Maquinaria</v>
      </c>
      <c r="I1278" s="115" t="s">
        <v>186</v>
      </c>
      <c r="J1278" s="115" t="s">
        <v>92</v>
      </c>
      <c r="K1278" s="114" t="s">
        <v>93</v>
      </c>
      <c r="L1278" s="35" t="s">
        <v>2389</v>
      </c>
      <c r="M1278" s="35" t="s">
        <v>2390</v>
      </c>
      <c r="N1278" s="35" t="str" cm="1">
        <f t="array" ref="N1278">IFERROR(IF(Tabla8[[#This Row],[P/NP]]="NO PROGRAMADA","",_xlfn.TEXTJOIN(", ",TRUE,_xlfn._xlws.FILTER(Tabla4[[#All],[PIEZA]],ISNUMBER(SEARCH(Tabla4[[#All],[PCLAVE]],Tabla8[[#This Row],[DESCRIPCION DE TRABAJO]])),""))),"")</f>
        <v/>
      </c>
      <c r="O1278" s="35" t="str" cm="1">
        <f t="array" ref="O1278">_xlfn.TEXTJOIN(", ",TRUE,_xlfn._xlws.FILTER(Tabla28[[#All],[PARTE]],ISNUMBER(SEARCH(Tabla28[[#All],[PCLAVE2]],Tabla8[[#This Row],[DESCRIPCION DE TRABAJO]])),""))</f>
        <v/>
      </c>
      <c r="P1278" s="303" t="str">
        <f>IFERROR(LEFT(O1278, FIND(",", O1278)-1), O1278)</f>
        <v/>
      </c>
      <c r="Q1278" s="303" t="str">
        <f>IFERROR(IF(ISERROR(FIND(",", O1278, FIND(",", O1278)+1)), RIGHT(O1278, LEN(O1278)-FIND(",", O1278)-1), MID(O1278, FIND(",", O1278)+2, FIND(",", O1278, FIND(",", O1278)+1)-FIND(",", O1278)-2)), "")</f>
        <v/>
      </c>
      <c r="R1278" s="303" t="str">
        <f>IFERROR(RIGHT(O1278, LEN(O1278)-FIND(",", O1278, FIND(",", O1278)+1)-1), "")</f>
        <v/>
      </c>
      <c r="S1278" s="35" t="str" cm="1">
        <f t="array" ref="S1278">_xlfn.TEXTJOIN(", ",TRUE,_xlfn._xlws.FILTER(Tabla29[[#All],[PARTE]],ISNUMBER(SEARCH(Tabla29[[#All],[PCLAVE3]],Tabla8[[#This Row],[DESCRIPCION DE TRABAJO]])),""))</f>
        <v/>
      </c>
      <c r="T1278" s="34" t="str">
        <f>IF(AND(Tabla8[[#This Row],[PIEZA]]="",Tabla8[[#This Row],[PARTE]]=""),"VACIO","OK")</f>
        <v>VACIO</v>
      </c>
      <c r="U1278" s="303" t="str">
        <f>+CONCATENATE(WEEKNUM(Tabla8[[#This Row],[FECHA]]),"-",YEAR(Tabla8[[#This Row],[FECHA]]))</f>
        <v>20-2026</v>
      </c>
    </row>
    <row r="1279" spans="1:21" ht="15" customHeight="1">
      <c r="A1279" s="22">
        <v>46154</v>
      </c>
      <c r="B1279" s="16" t="s">
        <v>88</v>
      </c>
      <c r="C1279" s="10" t="s">
        <v>36</v>
      </c>
      <c r="D1279" s="381" t="s">
        <v>122</v>
      </c>
      <c r="E1279" s="381" t="s">
        <v>123</v>
      </c>
      <c r="F1279" s="380">
        <f>+MOD(Tabla8[[#This Row],[HR. FIN]]-Tabla8[[#This Row],[HR. INICIO]],1)</f>
        <v>2.083333333333337E-2</v>
      </c>
      <c r="G1279" s="16" t="s">
        <v>98</v>
      </c>
      <c r="H1279" s="343" t="str">
        <f>IFERROR(VLOOKUP(G1279,DATOS!$M$2:$N$219,2,FALSE),"")</f>
        <v>Maquinaria</v>
      </c>
      <c r="I1279" s="115" t="s">
        <v>61</v>
      </c>
      <c r="J1279" s="115" t="s">
        <v>92</v>
      </c>
      <c r="K1279" s="114" t="s">
        <v>93</v>
      </c>
      <c r="L1279" s="35" t="s">
        <v>2391</v>
      </c>
      <c r="M1279" s="35" t="s">
        <v>2392</v>
      </c>
      <c r="N1279" s="35" t="str" cm="1">
        <f t="array" ref="N1279">IFERROR(IF(Tabla8[[#This Row],[P/NP]]="NO PROGRAMADA","",_xlfn.TEXTJOIN(", ",TRUE,_xlfn._xlws.FILTER(Tabla4[[#All],[PIEZA]],ISNUMBER(SEARCH(Tabla4[[#All],[PCLAVE]],Tabla8[[#This Row],[DESCRIPCION DE TRABAJO]])),""))),"")</f>
        <v/>
      </c>
      <c r="O1279" s="35" t="str" cm="1">
        <f t="array" ref="O1279">_xlfn.TEXTJOIN(", ",TRUE,_xlfn._xlws.FILTER(Tabla28[[#All],[PARTE]],ISNUMBER(SEARCH(Tabla28[[#All],[PCLAVE2]],Tabla8[[#This Row],[DESCRIPCION DE TRABAJO]])),""))</f>
        <v/>
      </c>
      <c r="P1279" s="303" t="str">
        <f>IFERROR(LEFT(O1279, FIND(",", O1279)-1), O1279)</f>
        <v/>
      </c>
      <c r="Q1279" s="303" t="str">
        <f>IFERROR(IF(ISERROR(FIND(",", O1279, FIND(",", O1279)+1)), RIGHT(O1279, LEN(O1279)-FIND(",", O1279)-1), MID(O1279, FIND(",", O1279)+2, FIND(",", O1279, FIND(",", O1279)+1)-FIND(",", O1279)-2)), "")</f>
        <v/>
      </c>
      <c r="R1279" s="303" t="str">
        <f>IFERROR(RIGHT(O1279, LEN(O1279)-FIND(",", O1279, FIND(",", O1279)+1)-1), "")</f>
        <v/>
      </c>
      <c r="S1279" s="35" t="str" cm="1">
        <f t="array" ref="S1279">_xlfn.TEXTJOIN(", ",TRUE,_xlfn._xlws.FILTER(Tabla29[[#All],[PARTE]],ISNUMBER(SEARCH(Tabla29[[#All],[PCLAVE3]],Tabla8[[#This Row],[DESCRIPCION DE TRABAJO]])),""))</f>
        <v/>
      </c>
      <c r="T1279" s="34" t="str">
        <f>IF(AND(Tabla8[[#This Row],[PIEZA]]="",Tabla8[[#This Row],[PARTE]]=""),"VACIO","OK")</f>
        <v>VACIO</v>
      </c>
      <c r="U1279" s="303" t="str">
        <f>+CONCATENATE(WEEKNUM(Tabla8[[#This Row],[FECHA]]),"-",YEAR(Tabla8[[#This Row],[FECHA]]))</f>
        <v>20-2026</v>
      </c>
    </row>
    <row r="1280" spans="1:21" ht="15" customHeight="1">
      <c r="A1280" s="22">
        <v>46154</v>
      </c>
      <c r="B1280" s="16" t="s">
        <v>179</v>
      </c>
      <c r="C1280" s="10" t="s">
        <v>23</v>
      </c>
      <c r="D1280" s="381" t="s">
        <v>468</v>
      </c>
      <c r="E1280" s="381" t="s">
        <v>107</v>
      </c>
      <c r="F1280" s="380">
        <f>+MOD(Tabla8[[#This Row],[HR. FIN]]-Tabla8[[#This Row],[HR. INICIO]],1)</f>
        <v>2.083333333333337E-2</v>
      </c>
      <c r="G1280" s="16" t="s">
        <v>192</v>
      </c>
      <c r="H1280" s="343" t="str">
        <f>IFERROR(VLOOKUP(G1280,DATOS!$M$2:$N$219,2,FALSE),"")</f>
        <v>Maquinaria</v>
      </c>
      <c r="I1280" s="115" t="s">
        <v>57</v>
      </c>
      <c r="J1280" s="115" t="s">
        <v>92</v>
      </c>
      <c r="K1280" s="114" t="s">
        <v>93</v>
      </c>
      <c r="L1280" s="35" t="s">
        <v>622</v>
      </c>
      <c r="M1280" s="35" t="s">
        <v>2393</v>
      </c>
      <c r="N1280" s="35" t="str" cm="1">
        <f t="array" ref="N1280">IFERROR(IF(Tabla8[[#This Row],[P/NP]]="NO PROGRAMADA","",_xlfn.TEXTJOIN(", ",TRUE,_xlfn._xlws.FILTER(Tabla4[[#All],[PIEZA]],ISNUMBER(SEARCH(Tabla4[[#All],[PCLAVE]],Tabla8[[#This Row],[DESCRIPCION DE TRABAJO]])),""))),"")</f>
        <v/>
      </c>
      <c r="O1280" s="35" t="str" cm="1">
        <f t="array" ref="O1280">_xlfn.TEXTJOIN(", ",TRUE,_xlfn._xlws.FILTER(Tabla28[[#All],[PARTE]],ISNUMBER(SEARCH(Tabla28[[#All],[PCLAVE2]],Tabla8[[#This Row],[DESCRIPCION DE TRABAJO]])),""))</f>
        <v/>
      </c>
      <c r="P1280" s="303" t="str">
        <f>IFERROR(LEFT(O1280, FIND(",", O1280)-1), O1280)</f>
        <v/>
      </c>
      <c r="Q1280" s="303" t="str">
        <f>IFERROR(IF(ISERROR(FIND(",", O1280, FIND(",", O1280)+1)), RIGHT(O1280, LEN(O1280)-FIND(",", O1280)-1), MID(O1280, FIND(",", O1280)+2, FIND(",", O1280, FIND(",", O1280)+1)-FIND(",", O1280)-2)), "")</f>
        <v/>
      </c>
      <c r="R1280" s="303" t="str">
        <f>IFERROR(RIGHT(O1280, LEN(O1280)-FIND(",", O1280, FIND(",", O1280)+1)-1), "")</f>
        <v/>
      </c>
      <c r="S1280" s="35" t="str" cm="1">
        <f t="array" ref="S1280">_xlfn.TEXTJOIN(", ",TRUE,_xlfn._xlws.FILTER(Tabla29[[#All],[PARTE]],ISNUMBER(SEARCH(Tabla29[[#All],[PCLAVE3]],Tabla8[[#This Row],[DESCRIPCION DE TRABAJO]])),""))</f>
        <v>Laminado, No Corta</v>
      </c>
      <c r="T1280" s="34" t="str">
        <f>IF(AND(Tabla8[[#This Row],[PIEZA]]="",Tabla8[[#This Row],[PARTE]]=""),"VACIO","OK")</f>
        <v>VACIO</v>
      </c>
      <c r="U1280" s="303" t="str">
        <f>+CONCATENATE(WEEKNUM(Tabla8[[#This Row],[FECHA]]),"-",YEAR(Tabla8[[#This Row],[FECHA]]))</f>
        <v>20-2026</v>
      </c>
    </row>
    <row r="1281" spans="1:21" ht="15" customHeight="1">
      <c r="A1281" s="22">
        <v>46154</v>
      </c>
      <c r="B1281" s="16" t="s">
        <v>179</v>
      </c>
      <c r="C1281" s="10" t="s">
        <v>23</v>
      </c>
      <c r="D1281" s="381" t="s">
        <v>393</v>
      </c>
      <c r="E1281" s="381" t="s">
        <v>457</v>
      </c>
      <c r="F1281" s="380">
        <f>+MOD(Tabla8[[#This Row],[HR. FIN]]-Tabla8[[#This Row],[HR. INICIO]],1)</f>
        <v>2.083333333333337E-2</v>
      </c>
      <c r="G1281" s="16" t="s">
        <v>42</v>
      </c>
      <c r="H1281" s="343" t="str">
        <f>IFERROR(VLOOKUP(G1281,DATOS!$M$2:$N$219,2,FALSE),"")</f>
        <v>Maquinaria</v>
      </c>
      <c r="I1281" s="115" t="s">
        <v>186</v>
      </c>
      <c r="J1281" s="115" t="s">
        <v>92</v>
      </c>
      <c r="K1281" s="114" t="s">
        <v>93</v>
      </c>
      <c r="L1281" s="35" t="s">
        <v>2394</v>
      </c>
      <c r="M1281" s="35" t="s">
        <v>2395</v>
      </c>
      <c r="N1281" s="35" t="str" cm="1">
        <f t="array" ref="N1281">IFERROR(IF(Tabla8[[#This Row],[P/NP]]="NO PROGRAMADA","",_xlfn.TEXTJOIN(", ",TRUE,_xlfn._xlws.FILTER(Tabla4[[#All],[PIEZA]],ISNUMBER(SEARCH(Tabla4[[#All],[PCLAVE]],Tabla8[[#This Row],[DESCRIPCION DE TRABAJO]])),""))),"")</f>
        <v/>
      </c>
      <c r="O1281" s="35" t="str" cm="1">
        <f t="array" ref="O1281">_xlfn.TEXTJOIN(", ",TRUE,_xlfn._xlws.FILTER(Tabla28[[#All],[PARTE]],ISNUMBER(SEARCH(Tabla28[[#All],[PCLAVE2]],Tabla8[[#This Row],[DESCRIPCION DE TRABAJO]])),""))</f>
        <v/>
      </c>
      <c r="P1281" s="303" t="str">
        <f>IFERROR(LEFT(O1281, FIND(",", O1281)-1), O1281)</f>
        <v/>
      </c>
      <c r="Q1281" s="303" t="str">
        <f>IFERROR(IF(ISERROR(FIND(",", O1281, FIND(",", O1281)+1)), RIGHT(O1281, LEN(O1281)-FIND(",", O1281)-1), MID(O1281, FIND(",", O1281)+2, FIND(",", O1281, FIND(",", O1281)+1)-FIND(",", O1281)-2)), "")</f>
        <v/>
      </c>
      <c r="R1281" s="303" t="str">
        <f>IFERROR(RIGHT(O1281, LEN(O1281)-FIND(",", O1281, FIND(",", O1281)+1)-1), "")</f>
        <v/>
      </c>
      <c r="S1281" s="35" t="str" cm="1">
        <f t="array" ref="S1281">_xlfn.TEXTJOIN(", ",TRUE,_xlfn._xlws.FILTER(Tabla29[[#All],[PARTE]],ISNUMBER(SEARCH(Tabla29[[#All],[PCLAVE3]],Tabla8[[#This Row],[DESCRIPCION DE TRABAJO]])),""))</f>
        <v/>
      </c>
      <c r="T1281" s="34" t="str">
        <f>IF(AND(Tabla8[[#This Row],[PIEZA]]="",Tabla8[[#This Row],[PARTE]]=""),"VACIO","OK")</f>
        <v>VACIO</v>
      </c>
      <c r="U1281" s="303" t="str">
        <f>+CONCATENATE(WEEKNUM(Tabla8[[#This Row],[FECHA]]),"-",YEAR(Tabla8[[#This Row],[FECHA]]))</f>
        <v>20-2026</v>
      </c>
    </row>
    <row r="1282" spans="1:21" ht="15" customHeight="1">
      <c r="A1282" s="22">
        <v>46154</v>
      </c>
      <c r="B1282" s="16" t="s">
        <v>179</v>
      </c>
      <c r="C1282" s="10" t="s">
        <v>23</v>
      </c>
      <c r="D1282" s="381" t="s">
        <v>282</v>
      </c>
      <c r="E1282" s="381" t="s">
        <v>493</v>
      </c>
      <c r="F1282" s="380">
        <f>+MOD(Tabla8[[#This Row],[HR. FIN]]-Tabla8[[#This Row],[HR. INICIO]],1)</f>
        <v>2.083333333333337E-2</v>
      </c>
      <c r="G1282" s="16" t="s">
        <v>119</v>
      </c>
      <c r="H1282" s="343" t="str">
        <f>IFERROR(VLOOKUP(G1282,DATOS!$M$2:$N$219,2,FALSE),"")</f>
        <v>Maquinaria</v>
      </c>
      <c r="I1282" s="115" t="s">
        <v>390</v>
      </c>
      <c r="J1282" s="115" t="s">
        <v>92</v>
      </c>
      <c r="K1282" s="114" t="s">
        <v>93</v>
      </c>
      <c r="L1282" s="35" t="s">
        <v>2396</v>
      </c>
      <c r="M1282" s="35" t="s">
        <v>2397</v>
      </c>
      <c r="N1282" s="35" t="str" cm="1">
        <f t="array" ref="N1282">IFERROR(IF(Tabla8[[#This Row],[P/NP]]="NO PROGRAMADA","",_xlfn.TEXTJOIN(", ",TRUE,_xlfn._xlws.FILTER(Tabla4[[#All],[PIEZA]],ISNUMBER(SEARCH(Tabla4[[#All],[PCLAVE]],Tabla8[[#This Row],[DESCRIPCION DE TRABAJO]])),""))),"")</f>
        <v/>
      </c>
      <c r="O1282" s="35" t="str" cm="1">
        <f t="array" ref="O1282">_xlfn.TEXTJOIN(", ",TRUE,_xlfn._xlws.FILTER(Tabla28[[#All],[PARTE]],ISNUMBER(SEARCH(Tabla28[[#All],[PCLAVE2]],Tabla8[[#This Row],[DESCRIPCION DE TRABAJO]])),""))</f>
        <v>Tanque</v>
      </c>
      <c r="P1282" s="303" t="str">
        <f>IFERROR(LEFT(O1282, FIND(",", O1282)-1), O1282)</f>
        <v>Tanque</v>
      </c>
      <c r="Q1282" s="303" t="str">
        <f>IFERROR(IF(ISERROR(FIND(",", O1282, FIND(",", O1282)+1)), RIGHT(O1282, LEN(O1282)-FIND(",", O1282)-1), MID(O1282, FIND(",", O1282)+2, FIND(",", O1282, FIND(",", O1282)+1)-FIND(",", O1282)-2)), "")</f>
        <v/>
      </c>
      <c r="R1282" s="303" t="str">
        <f>IFERROR(RIGHT(O1282, LEN(O1282)-FIND(",", O1282, FIND(",", O1282)+1)-1), "")</f>
        <v/>
      </c>
      <c r="S1282" s="35" t="str" cm="1">
        <f t="array" ref="S1282">_xlfn.TEXTJOIN(", ",TRUE,_xlfn._xlws.FILTER(Tabla29[[#All],[PARTE]],ISNUMBER(SEARCH(Tabla29[[#All],[PCLAVE3]],Tabla8[[#This Row],[DESCRIPCION DE TRABAJO]])),""))</f>
        <v>Fuga, Fuga De Aceite</v>
      </c>
      <c r="T1282" s="34" t="str">
        <f>IF(AND(Tabla8[[#This Row],[PIEZA]]="",Tabla8[[#This Row],[PARTE]]=""),"VACIO","OK")</f>
        <v>OK</v>
      </c>
      <c r="U1282" s="303" t="str">
        <f>+CONCATENATE(WEEKNUM(Tabla8[[#This Row],[FECHA]]),"-",YEAR(Tabla8[[#This Row],[FECHA]]))</f>
        <v>20-2026</v>
      </c>
    </row>
    <row r="1283" spans="1:21" ht="15" customHeight="1">
      <c r="A1283" s="22">
        <v>46154</v>
      </c>
      <c r="B1283" s="16" t="s">
        <v>88</v>
      </c>
      <c r="C1283" s="10" t="s">
        <v>36</v>
      </c>
      <c r="D1283" s="381" t="s">
        <v>1951</v>
      </c>
      <c r="E1283" s="381" t="s">
        <v>699</v>
      </c>
      <c r="F1283" s="380">
        <f>+MOD(Tabla8[[#This Row],[HR. FIN]]-Tabla8[[#This Row],[HR. INICIO]],1)</f>
        <v>2.0833333333333343E-2</v>
      </c>
      <c r="G1283" s="16" t="s">
        <v>103</v>
      </c>
      <c r="H1283" s="343" t="str">
        <f>IFERROR(VLOOKUP(G1283,DATOS!$M$2:$N$219,2,FALSE),"")</f>
        <v>Area</v>
      </c>
      <c r="I1283" s="115" t="s">
        <v>54</v>
      </c>
      <c r="J1283" s="115" t="s">
        <v>157</v>
      </c>
      <c r="K1283" s="114"/>
      <c r="L1283" s="35" t="s">
        <v>2398</v>
      </c>
      <c r="M1283" s="35" t="s">
        <v>2399</v>
      </c>
      <c r="N1283" s="35" t="str" cm="1">
        <f t="array" ref="N1283">IFERROR(IF(Tabla8[[#This Row],[P/NP]]="NO PROGRAMADA","",_xlfn.TEXTJOIN(", ",TRUE,_xlfn._xlws.FILTER(Tabla4[[#All],[PIEZA]],ISNUMBER(SEARCH(Tabla4[[#All],[PCLAVE]],Tabla8[[#This Row],[DESCRIPCION DE TRABAJO]])),""))),"")</f>
        <v/>
      </c>
      <c r="O1283" s="35" t="str" cm="1">
        <f t="array" ref="O1283">_xlfn.TEXTJOIN(", ",TRUE,_xlfn._xlws.FILTER(Tabla28[[#All],[PARTE]],ISNUMBER(SEARCH(Tabla28[[#All],[PCLAVE2]],Tabla8[[#This Row],[DESCRIPCION DE TRABAJO]])),""))</f>
        <v/>
      </c>
      <c r="P1283" s="303" t="str">
        <f>IFERROR(LEFT(O1283, FIND(",", O1283)-1), O1283)</f>
        <v/>
      </c>
      <c r="Q1283" s="303" t="str">
        <f>IFERROR(IF(ISERROR(FIND(",", O1283, FIND(",", O1283)+1)), RIGHT(O1283, LEN(O1283)-FIND(",", O1283)-1), MID(O1283, FIND(",", O1283)+2, FIND(",", O1283, FIND(",", O1283)+1)-FIND(",", O1283)-2)), "")</f>
        <v/>
      </c>
      <c r="R1283" s="303" t="str">
        <f>IFERROR(RIGHT(O1283, LEN(O1283)-FIND(",", O1283, FIND(",", O1283)+1)-1), "")</f>
        <v/>
      </c>
      <c r="S1283" s="35" t="str" cm="1">
        <f t="array" ref="S1283">_xlfn.TEXTJOIN(", ",TRUE,_xlfn._xlws.FILTER(Tabla29[[#All],[PARTE]],ISNUMBER(SEARCH(Tabla29[[#All],[PCLAVE3]],Tabla8[[#This Row],[DESCRIPCION DE TRABAJO]])),""))</f>
        <v/>
      </c>
      <c r="T1283" s="34" t="str">
        <f>IF(AND(Tabla8[[#This Row],[PIEZA]]="",Tabla8[[#This Row],[PARTE]]=""),"VACIO","OK")</f>
        <v>VACIO</v>
      </c>
      <c r="U1283" s="303" t="str">
        <f>+CONCATENATE(WEEKNUM(Tabla8[[#This Row],[FECHA]]),"-",YEAR(Tabla8[[#This Row],[FECHA]]))</f>
        <v>20-2026</v>
      </c>
    </row>
    <row r="1284" spans="1:21" ht="15" customHeight="1">
      <c r="A1284" s="22">
        <v>46154</v>
      </c>
      <c r="B1284" s="16" t="s">
        <v>111</v>
      </c>
      <c r="C1284" s="10" t="s">
        <v>39</v>
      </c>
      <c r="D1284" s="381" t="s">
        <v>2084</v>
      </c>
      <c r="E1284" s="381" t="s">
        <v>710</v>
      </c>
      <c r="F1284" s="380">
        <f>+MOD(Tabla8[[#This Row],[HR. FIN]]-Tabla8[[#This Row],[HR. INICIO]],1)</f>
        <v>2.0833333333333329E-2</v>
      </c>
      <c r="G1284" s="16" t="s">
        <v>119</v>
      </c>
      <c r="H1284" s="343" t="str">
        <f>IFERROR(VLOOKUP(G1284,DATOS!$M$2:$N$219,2,FALSE),"")</f>
        <v>Maquinaria</v>
      </c>
      <c r="I1284" s="115" t="s">
        <v>28</v>
      </c>
      <c r="J1284" s="115" t="s">
        <v>92</v>
      </c>
      <c r="K1284" s="114" t="s">
        <v>93</v>
      </c>
      <c r="L1284" s="35" t="s">
        <v>2400</v>
      </c>
      <c r="M1284" s="35" t="s">
        <v>2401</v>
      </c>
      <c r="N1284" s="35" t="str" cm="1">
        <f t="array" ref="N1284">IFERROR(IF(Tabla8[[#This Row],[P/NP]]="NO PROGRAMADA","",_xlfn.TEXTJOIN(", ",TRUE,_xlfn._xlws.FILTER(Tabla4[[#All],[PIEZA]],ISNUMBER(SEARCH(Tabla4[[#All],[PCLAVE]],Tabla8[[#This Row],[DESCRIPCION DE TRABAJO]])),""))),"")</f>
        <v/>
      </c>
      <c r="O1284" s="35" t="str" cm="1">
        <f t="array" ref="O1284">_xlfn.TEXTJOIN(", ",TRUE,_xlfn._xlws.FILTER(Tabla28[[#All],[PARTE]],ISNUMBER(SEARCH(Tabla28[[#All],[PCLAVE2]],Tabla8[[#This Row],[DESCRIPCION DE TRABAJO]])),""))</f>
        <v>Robot</v>
      </c>
      <c r="P1284" s="303" t="str">
        <f>IFERROR(LEFT(O1284, FIND(",", O1284)-1), O1284)</f>
        <v>Robot</v>
      </c>
      <c r="Q1284" s="303" t="str">
        <f>IFERROR(IF(ISERROR(FIND(",", O1284, FIND(",", O1284)+1)), RIGHT(O1284, LEN(O1284)-FIND(",", O1284)-1), MID(O1284, FIND(",", O1284)+2, FIND(",", O1284, FIND(",", O1284)+1)-FIND(",", O1284)-2)), "")</f>
        <v/>
      </c>
      <c r="R1284" s="303" t="str">
        <f>IFERROR(RIGHT(O1284, LEN(O1284)-FIND(",", O1284, FIND(",", O1284)+1)-1), "")</f>
        <v/>
      </c>
      <c r="S1284" s="35" t="str" cm="1">
        <f t="array" ref="S1284">_xlfn.TEXTJOIN(", ",TRUE,_xlfn._xlws.FILTER(Tabla29[[#All],[PARTE]],ISNUMBER(SEARCH(Tabla29[[#All],[PCLAVE3]],Tabla8[[#This Row],[DESCRIPCION DE TRABAJO]])),""))</f>
        <v>Desmolde, No Desmolda</v>
      </c>
      <c r="T1284" s="34" t="str">
        <f>IF(AND(Tabla8[[#This Row],[PIEZA]]="",Tabla8[[#This Row],[PARTE]]=""),"VACIO","OK")</f>
        <v>OK</v>
      </c>
      <c r="U1284" s="303" t="str">
        <f>+CONCATENATE(WEEKNUM(Tabla8[[#This Row],[FECHA]]),"-",YEAR(Tabla8[[#This Row],[FECHA]]))</f>
        <v>20-2026</v>
      </c>
    </row>
    <row r="1285" spans="1:21" ht="15" customHeight="1">
      <c r="A1285" s="22">
        <v>46154</v>
      </c>
      <c r="B1285" s="16" t="s">
        <v>88</v>
      </c>
      <c r="C1285" s="10" t="s">
        <v>36</v>
      </c>
      <c r="D1285" s="381" t="s">
        <v>126</v>
      </c>
      <c r="E1285" s="381" t="s">
        <v>127</v>
      </c>
      <c r="F1285" s="380">
        <f>+MOD(Tabla8[[#This Row],[HR. FIN]]-Tabla8[[#This Row],[HR. INICIO]],1)</f>
        <v>2.0833333333333315E-2</v>
      </c>
      <c r="G1285" s="16" t="s">
        <v>119</v>
      </c>
      <c r="H1285" s="343" t="str">
        <f>IFERROR(VLOOKUP(G1285,DATOS!$M$2:$N$219,2,FALSE),"")</f>
        <v>Maquinaria</v>
      </c>
      <c r="I1285" s="115" t="s">
        <v>390</v>
      </c>
      <c r="J1285" s="115" t="s">
        <v>157</v>
      </c>
      <c r="K1285" s="114"/>
      <c r="L1285" s="35" t="s">
        <v>1103</v>
      </c>
      <c r="M1285" s="35" t="s">
        <v>214</v>
      </c>
      <c r="N1285" s="35" t="str" cm="1">
        <f t="array" ref="N1285">IFERROR(IF(Tabla8[[#This Row],[P/NP]]="NO PROGRAMADA","",_xlfn.TEXTJOIN(", ",TRUE,_xlfn._xlws.FILTER(Tabla4[[#All],[PIEZA]],ISNUMBER(SEARCH(Tabla4[[#All],[PCLAVE]],Tabla8[[#This Row],[DESCRIPCION DE TRABAJO]])),""))),"")</f>
        <v/>
      </c>
      <c r="O1285" s="35" t="str" cm="1">
        <f t="array" ref="O1285">_xlfn.TEXTJOIN(", ",TRUE,_xlfn._xlws.FILTER(Tabla28[[#All],[PARTE]],ISNUMBER(SEARCH(Tabla28[[#All],[PCLAVE2]],Tabla8[[#This Row],[DESCRIPCION DE TRABAJO]])),""))</f>
        <v/>
      </c>
      <c r="P1285" s="303" t="str">
        <f>IFERROR(LEFT(O1285, FIND(",", O1285)-1), O1285)</f>
        <v/>
      </c>
      <c r="Q1285" s="303" t="str">
        <f>IFERROR(IF(ISERROR(FIND(",", O1285, FIND(",", O1285)+1)), RIGHT(O1285, LEN(O1285)-FIND(",", O1285)-1), MID(O1285, FIND(",", O1285)+2, FIND(",", O1285, FIND(",", O1285)+1)-FIND(",", O1285)-2)), "")</f>
        <v/>
      </c>
      <c r="R1285" s="303" t="str">
        <f>IFERROR(RIGHT(O1285, LEN(O1285)-FIND(",", O1285, FIND(",", O1285)+1)-1), "")</f>
        <v/>
      </c>
      <c r="S1285" s="35" t="str" cm="1">
        <f t="array" ref="S1285">_xlfn.TEXTJOIN(", ",TRUE,_xlfn._xlws.FILTER(Tabla29[[#All],[PARTE]],ISNUMBER(SEARCH(Tabla29[[#All],[PCLAVE3]],Tabla8[[#This Row],[DESCRIPCION DE TRABAJO]])),""))</f>
        <v/>
      </c>
      <c r="T1285" s="34" t="str">
        <f>IF(AND(Tabla8[[#This Row],[PIEZA]]="",Tabla8[[#This Row],[PARTE]]=""),"VACIO","OK")</f>
        <v>VACIO</v>
      </c>
      <c r="U1285" s="303" t="str">
        <f>+CONCATENATE(WEEKNUM(Tabla8[[#This Row],[FECHA]]),"-",YEAR(Tabla8[[#This Row],[FECHA]]))</f>
        <v>20-2026</v>
      </c>
    </row>
    <row r="1286" spans="1:21" ht="15" customHeight="1">
      <c r="A1286" s="22">
        <v>46154</v>
      </c>
      <c r="B1286" s="16" t="s">
        <v>88</v>
      </c>
      <c r="C1286" s="10" t="s">
        <v>36</v>
      </c>
      <c r="D1286" s="381" t="s">
        <v>556</v>
      </c>
      <c r="E1286" s="381" t="s">
        <v>557</v>
      </c>
      <c r="F1286" s="380">
        <f>+MOD(Tabla8[[#This Row],[HR. FIN]]-Tabla8[[#This Row],[HR. INICIO]],1)</f>
        <v>2.0833333333333315E-2</v>
      </c>
      <c r="G1286" s="16" t="s">
        <v>1305</v>
      </c>
      <c r="H1286" s="343" t="str">
        <f>IFERROR(VLOOKUP(G1286,DATOS!$M$2:$N$219,2,FALSE),"")</f>
        <v>Area</v>
      </c>
      <c r="I1286" s="115" t="s">
        <v>348</v>
      </c>
      <c r="J1286" s="115" t="s">
        <v>157</v>
      </c>
      <c r="K1286" s="114"/>
      <c r="L1286" s="35" t="s">
        <v>2402</v>
      </c>
      <c r="M1286" s="35" t="s">
        <v>2403</v>
      </c>
      <c r="N1286" s="35" t="str" cm="1">
        <f t="array" ref="N1286">IFERROR(IF(Tabla8[[#This Row],[P/NP]]="NO PROGRAMADA","",_xlfn.TEXTJOIN(", ",TRUE,_xlfn._xlws.FILTER(Tabla4[[#All],[PIEZA]],ISNUMBER(SEARCH(Tabla4[[#All],[PCLAVE]],Tabla8[[#This Row],[DESCRIPCION DE TRABAJO]])),""))),"")</f>
        <v/>
      </c>
      <c r="O1286" s="35" t="str" cm="1">
        <f t="array" ref="O1286">_xlfn.TEXTJOIN(", ",TRUE,_xlfn._xlws.FILTER(Tabla28[[#All],[PARTE]],ISNUMBER(SEARCH(Tabla28[[#All],[PCLAVE2]],Tabla8[[#This Row],[DESCRIPCION DE TRABAJO]])),""))</f>
        <v/>
      </c>
      <c r="P1286" s="303" t="str">
        <f>IFERROR(LEFT(O1286, FIND(",", O1286)-1), O1286)</f>
        <v/>
      </c>
      <c r="Q1286" s="303" t="str">
        <f>IFERROR(IF(ISERROR(FIND(",", O1286, FIND(",", O1286)+1)), RIGHT(O1286, LEN(O1286)-FIND(",", O1286)-1), MID(O1286, FIND(",", O1286)+2, FIND(",", O1286, FIND(",", O1286)+1)-FIND(",", O1286)-2)), "")</f>
        <v/>
      </c>
      <c r="R1286" s="303" t="str">
        <f>IFERROR(RIGHT(O1286, LEN(O1286)-FIND(",", O1286, FIND(",", O1286)+1)-1), "")</f>
        <v/>
      </c>
      <c r="S1286" s="35" t="str" cm="1">
        <f t="array" ref="S1286">_xlfn.TEXTJOIN(", ",TRUE,_xlfn._xlws.FILTER(Tabla29[[#All],[PARTE]],ISNUMBER(SEARCH(Tabla29[[#All],[PCLAVE3]],Tabla8[[#This Row],[DESCRIPCION DE TRABAJO]])),""))</f>
        <v/>
      </c>
      <c r="T1286" s="34" t="str">
        <f>IF(AND(Tabla8[[#This Row],[PIEZA]]="",Tabla8[[#This Row],[PARTE]]=""),"VACIO","OK")</f>
        <v>VACIO</v>
      </c>
      <c r="U1286" s="303" t="str">
        <f>+CONCATENATE(WEEKNUM(Tabla8[[#This Row],[FECHA]]),"-",YEAR(Tabla8[[#This Row],[FECHA]]))</f>
        <v>20-2026</v>
      </c>
    </row>
    <row r="1287" spans="1:21" ht="15" customHeight="1">
      <c r="A1287" s="22">
        <v>46154</v>
      </c>
      <c r="B1287" s="16" t="s">
        <v>191</v>
      </c>
      <c r="C1287" s="10" t="s">
        <v>23</v>
      </c>
      <c r="D1287" s="381" t="s">
        <v>2404</v>
      </c>
      <c r="E1287" s="381" t="s">
        <v>2405</v>
      </c>
      <c r="F1287" s="380">
        <f>+MOD(Tabla8[[#This Row],[HR. FIN]]-Tabla8[[#This Row],[HR. INICIO]],1)</f>
        <v>2.0833333333333259E-2</v>
      </c>
      <c r="G1287" s="16" t="s">
        <v>270</v>
      </c>
      <c r="H1287" s="343" t="str">
        <f>IFERROR(VLOOKUP(G1287,DATOS!$M$2:$N$219,2,FALSE),"")</f>
        <v>Maquinaria</v>
      </c>
      <c r="I1287" s="115" t="s">
        <v>57</v>
      </c>
      <c r="J1287" s="115" t="s">
        <v>92</v>
      </c>
      <c r="K1287" s="114" t="s">
        <v>93</v>
      </c>
      <c r="L1287" s="35" t="s">
        <v>2406</v>
      </c>
      <c r="M1287" s="35" t="s">
        <v>2407</v>
      </c>
      <c r="N1287" s="35" t="str" cm="1">
        <f t="array" ref="N1287">IFERROR(IF(Tabla8[[#This Row],[P/NP]]="NO PROGRAMADA","",_xlfn.TEXTJOIN(", ",TRUE,_xlfn._xlws.FILTER(Tabla4[[#All],[PIEZA]],ISNUMBER(SEARCH(Tabla4[[#All],[PCLAVE]],Tabla8[[#This Row],[DESCRIPCION DE TRABAJO]])),""))),"")</f>
        <v/>
      </c>
      <c r="O1287" s="35" t="str" cm="1">
        <f t="array" ref="O1287">_xlfn.TEXTJOIN(", ",TRUE,_xlfn._xlws.FILTER(Tabla28[[#All],[PARTE]],ISNUMBER(SEARCH(Tabla28[[#All],[PCLAVE2]],Tabla8[[#This Row],[DESCRIPCION DE TRABAJO]])),""))</f>
        <v>Columna</v>
      </c>
      <c r="P1287" s="303" t="str">
        <f>IFERROR(LEFT(O1287, FIND(",", O1287)-1), O1287)</f>
        <v>Columna</v>
      </c>
      <c r="Q1287" s="303" t="str">
        <f>IFERROR(IF(ISERROR(FIND(",", O1287, FIND(",", O1287)+1)), RIGHT(O1287, LEN(O1287)-FIND(",", O1287)-1), MID(O1287, FIND(",", O1287)+2, FIND(",", O1287, FIND(",", O1287)+1)-FIND(",", O1287)-2)), "")</f>
        <v/>
      </c>
      <c r="R1287" s="303" t="str">
        <f>IFERROR(RIGHT(O1287, LEN(O1287)-FIND(",", O1287, FIND(",", O1287)+1)-1), "")</f>
        <v/>
      </c>
      <c r="S1287" s="35" t="str" cm="1">
        <f t="array" ref="S1287">_xlfn.TEXTJOIN(", ",TRUE,_xlfn._xlws.FILTER(Tabla29[[#All],[PARTE]],ISNUMBER(SEARCH(Tabla29[[#All],[PCLAVE3]],Tabla8[[#This Row],[DESCRIPCION DE TRABAJO]])),""))</f>
        <v>Obstruido</v>
      </c>
      <c r="T1287" s="34" t="str">
        <f>IF(AND(Tabla8[[#This Row],[PIEZA]]="",Tabla8[[#This Row],[PARTE]]=""),"VACIO","OK")</f>
        <v>OK</v>
      </c>
      <c r="U1287" s="303" t="str">
        <f>+CONCATENATE(WEEKNUM(Tabla8[[#This Row],[FECHA]]),"-",YEAR(Tabla8[[#This Row],[FECHA]]))</f>
        <v>20-2026</v>
      </c>
    </row>
    <row r="1288" spans="1:21" ht="15" customHeight="1">
      <c r="A1288" s="22">
        <v>46154</v>
      </c>
      <c r="B1288" s="16" t="s">
        <v>191</v>
      </c>
      <c r="C1288" s="10" t="s">
        <v>23</v>
      </c>
      <c r="D1288" s="381" t="s">
        <v>260</v>
      </c>
      <c r="E1288" s="381" t="s">
        <v>2408</v>
      </c>
      <c r="F1288" s="380">
        <f>+MOD(Tabla8[[#This Row],[HR. FIN]]-Tabla8[[#This Row],[HR. INICIO]],1)</f>
        <v>1.9444444444444375E-2</v>
      </c>
      <c r="G1288" s="16" t="s">
        <v>192</v>
      </c>
      <c r="H1288" s="343" t="str">
        <f>IFERROR(VLOOKUP(G1288,DATOS!$M$2:$N$219,2,FALSE),"")</f>
        <v>Maquinaria</v>
      </c>
      <c r="I1288" s="115" t="s">
        <v>57</v>
      </c>
      <c r="J1288" s="115" t="s">
        <v>92</v>
      </c>
      <c r="K1288" s="114" t="s">
        <v>93</v>
      </c>
      <c r="L1288" s="35" t="s">
        <v>2409</v>
      </c>
      <c r="M1288" s="35" t="s">
        <v>2410</v>
      </c>
      <c r="N1288" s="35" t="str" cm="1">
        <f t="array" ref="N1288">IFERROR(IF(Tabla8[[#This Row],[P/NP]]="NO PROGRAMADA","",_xlfn.TEXTJOIN(", ",TRUE,_xlfn._xlws.FILTER(Tabla4[[#All],[PIEZA]],ISNUMBER(SEARCH(Tabla4[[#All],[PCLAVE]],Tabla8[[#This Row],[DESCRIPCION DE TRABAJO]])),""))),"")</f>
        <v/>
      </c>
      <c r="O1288" s="35" t="str" cm="1">
        <f t="array" ref="O1288">_xlfn.TEXTJOIN(", ",TRUE,_xlfn._xlws.FILTER(Tabla28[[#All],[PARTE]],ISNUMBER(SEARCH(Tabla28[[#All],[PCLAVE2]],Tabla8[[#This Row],[DESCRIPCION DE TRABAJO]])),""))</f>
        <v/>
      </c>
      <c r="P1288" s="303" t="str">
        <f>IFERROR(LEFT(O1288, FIND(",", O1288)-1), O1288)</f>
        <v/>
      </c>
      <c r="Q1288" s="303" t="str">
        <f>IFERROR(IF(ISERROR(FIND(",", O1288, FIND(",", O1288)+1)), RIGHT(O1288, LEN(O1288)-FIND(",", O1288)-1), MID(O1288, FIND(",", O1288)+2, FIND(",", O1288, FIND(",", O1288)+1)-FIND(",", O1288)-2)), "")</f>
        <v/>
      </c>
      <c r="R1288" s="303" t="str">
        <f>IFERROR(RIGHT(O1288, LEN(O1288)-FIND(",", O1288, FIND(",", O1288)+1)-1), "")</f>
        <v/>
      </c>
      <c r="S1288" s="35" t="str" cm="1">
        <f t="array" ref="S1288">_xlfn.TEXTJOIN(", ",TRUE,_xlfn._xlws.FILTER(Tabla29[[#All],[PARTE]],ISNUMBER(SEARCH(Tabla29[[#All],[PCLAVE3]],Tabla8[[#This Row],[DESCRIPCION DE TRABAJO]])),""))</f>
        <v>No Corta, Obstruido</v>
      </c>
      <c r="T1288" s="34" t="str">
        <f>IF(AND(Tabla8[[#This Row],[PIEZA]]="",Tabla8[[#This Row],[PARTE]]=""),"VACIO","OK")</f>
        <v>VACIO</v>
      </c>
      <c r="U1288" s="303" t="str">
        <f>+CONCATENATE(WEEKNUM(Tabla8[[#This Row],[FECHA]]),"-",YEAR(Tabla8[[#This Row],[FECHA]]))</f>
        <v>20-2026</v>
      </c>
    </row>
    <row r="1289" spans="1:21" ht="15" customHeight="1">
      <c r="A1289" s="22">
        <v>46154</v>
      </c>
      <c r="B1289" s="16" t="s">
        <v>191</v>
      </c>
      <c r="C1289" s="10" t="s">
        <v>23</v>
      </c>
      <c r="D1289" s="381" t="s">
        <v>2411</v>
      </c>
      <c r="E1289" s="381" t="s">
        <v>2412</v>
      </c>
      <c r="F1289" s="380">
        <f>+MOD(Tabla8[[#This Row],[HR. FIN]]-Tabla8[[#This Row],[HR. INICIO]],1)</f>
        <v>1.8750000000000044E-2</v>
      </c>
      <c r="G1289" s="16" t="s">
        <v>153</v>
      </c>
      <c r="H1289" s="343" t="str">
        <f>IFERROR(VLOOKUP(G1289,DATOS!$M$2:$N$219,2,FALSE),"")</f>
        <v>Maquinaria</v>
      </c>
      <c r="I1289" s="115" t="s">
        <v>57</v>
      </c>
      <c r="J1289" s="115" t="s">
        <v>92</v>
      </c>
      <c r="K1289" s="114" t="s">
        <v>93</v>
      </c>
      <c r="L1289" s="35" t="s">
        <v>2413</v>
      </c>
      <c r="M1289" s="35" t="s">
        <v>2414</v>
      </c>
      <c r="N1289" s="35" t="str" cm="1">
        <f t="array" ref="N1289">IFERROR(IF(Tabla8[[#This Row],[P/NP]]="NO PROGRAMADA","",_xlfn.TEXTJOIN(", ",TRUE,_xlfn._xlws.FILTER(Tabla4[[#All],[PIEZA]],ISNUMBER(SEARCH(Tabla4[[#All],[PCLAVE]],Tabla8[[#This Row],[DESCRIPCION DE TRABAJO]])),""))),"")</f>
        <v/>
      </c>
      <c r="O1289" s="35" t="str" cm="1">
        <f t="array" ref="O1289">_xlfn.TEXTJOIN(", ",TRUE,_xlfn._xlws.FILTER(Tabla28[[#All],[PARTE]],ISNUMBER(SEARCH(Tabla28[[#All],[PCLAVE2]],Tabla8[[#This Row],[DESCRIPCION DE TRABAJO]])),""))</f>
        <v/>
      </c>
      <c r="P1289" s="303" t="str">
        <f>IFERROR(LEFT(O1289, FIND(",", O1289)-1), O1289)</f>
        <v/>
      </c>
      <c r="Q1289" s="303" t="str">
        <f>IFERROR(IF(ISERROR(FIND(",", O1289, FIND(",", O1289)+1)), RIGHT(O1289, LEN(O1289)-FIND(",", O1289)-1), MID(O1289, FIND(",", O1289)+2, FIND(",", O1289, FIND(",", O1289)+1)-FIND(",", O1289)-2)), "")</f>
        <v/>
      </c>
      <c r="R1289" s="303" t="str">
        <f>IFERROR(RIGHT(O1289, LEN(O1289)-FIND(",", O1289, FIND(",", O1289)+1)-1), "")</f>
        <v/>
      </c>
      <c r="S1289" s="35" t="str" cm="1">
        <f t="array" ref="S1289">_xlfn.TEXTJOIN(", ",TRUE,_xlfn._xlws.FILTER(Tabla29[[#All],[PARTE]],ISNUMBER(SEARCH(Tabla29[[#All],[PCLAVE3]],Tabla8[[#This Row],[DESCRIPCION DE TRABAJO]])),""))</f>
        <v/>
      </c>
      <c r="T1289" s="34" t="str">
        <f>IF(AND(Tabla8[[#This Row],[PIEZA]]="",Tabla8[[#This Row],[PARTE]]=""),"VACIO","OK")</f>
        <v>VACIO</v>
      </c>
      <c r="U1289" s="303" t="str">
        <f>+CONCATENATE(WEEKNUM(Tabla8[[#This Row],[FECHA]]),"-",YEAR(Tabla8[[#This Row],[FECHA]]))</f>
        <v>20-2026</v>
      </c>
    </row>
    <row r="1290" spans="1:21" ht="15" customHeight="1">
      <c r="A1290" s="22">
        <v>46154</v>
      </c>
      <c r="B1290" s="16" t="s">
        <v>191</v>
      </c>
      <c r="C1290" s="10" t="s">
        <v>23</v>
      </c>
      <c r="D1290" s="381" t="s">
        <v>2415</v>
      </c>
      <c r="E1290" s="381" t="s">
        <v>2416</v>
      </c>
      <c r="F1290" s="380">
        <f>+MOD(Tabla8[[#This Row],[HR. FIN]]-Tabla8[[#This Row],[HR. INICIO]],1)</f>
        <v>1.4583333333333393E-2</v>
      </c>
      <c r="G1290" s="16" t="s">
        <v>119</v>
      </c>
      <c r="H1290" s="343" t="str">
        <f>IFERROR(VLOOKUP(G1290,DATOS!$M$2:$N$219,2,FALSE),"")</f>
        <v>Maquinaria</v>
      </c>
      <c r="I1290" s="115" t="s">
        <v>61</v>
      </c>
      <c r="J1290" s="115" t="s">
        <v>92</v>
      </c>
      <c r="K1290" s="114" t="s">
        <v>93</v>
      </c>
      <c r="L1290" s="35" t="s">
        <v>2417</v>
      </c>
      <c r="M1290" s="35" t="s">
        <v>2418</v>
      </c>
      <c r="N1290" s="35" t="str" cm="1">
        <f t="array" ref="N1290">IFERROR(IF(Tabla8[[#This Row],[P/NP]]="NO PROGRAMADA","",_xlfn.TEXTJOIN(", ",TRUE,_xlfn._xlws.FILTER(Tabla4[[#All],[PIEZA]],ISNUMBER(SEARCH(Tabla4[[#All],[PCLAVE]],Tabla8[[#This Row],[DESCRIPCION DE TRABAJO]])),""))),"")</f>
        <v/>
      </c>
      <c r="O1290" s="35" t="str" cm="1">
        <f t="array" ref="O1290">_xlfn.TEXTJOIN(", ",TRUE,_xlfn._xlws.FILTER(Tabla28[[#All],[PARTE]],ISNUMBER(SEARCH(Tabla28[[#All],[PCLAVE2]],Tabla8[[#This Row],[DESCRIPCION DE TRABAJO]])),""))</f>
        <v/>
      </c>
      <c r="P1290" s="303" t="str">
        <f>IFERROR(LEFT(O1290, FIND(",", O1290)-1), O1290)</f>
        <v/>
      </c>
      <c r="Q1290" s="303" t="str">
        <f>IFERROR(IF(ISERROR(FIND(",", O1290, FIND(",", O1290)+1)), RIGHT(O1290, LEN(O1290)-FIND(",", O1290)-1), MID(O1290, FIND(",", O1290)+2, FIND(",", O1290, FIND(",", O1290)+1)-FIND(",", O1290)-2)), "")</f>
        <v/>
      </c>
      <c r="R1290" s="303" t="str">
        <f>IFERROR(RIGHT(O1290, LEN(O1290)-FIND(",", O1290, FIND(",", O1290)+1)-1), "")</f>
        <v/>
      </c>
      <c r="S1290" s="35" t="str" cm="1">
        <f t="array" ref="S1290">_xlfn.TEXTJOIN(", ",TRUE,_xlfn._xlws.FILTER(Tabla29[[#All],[PARTE]],ISNUMBER(SEARCH(Tabla29[[#All],[PCLAVE3]],Tabla8[[#This Row],[DESCRIPCION DE TRABAJO]])),""))</f>
        <v>Presencia De Grasa</v>
      </c>
      <c r="T1290" s="34" t="str">
        <f>IF(AND(Tabla8[[#This Row],[PIEZA]]="",Tabla8[[#This Row],[PARTE]]=""),"VACIO","OK")</f>
        <v>VACIO</v>
      </c>
      <c r="U1290" s="303" t="str">
        <f>+CONCATENATE(WEEKNUM(Tabla8[[#This Row],[FECHA]]),"-",YEAR(Tabla8[[#This Row],[FECHA]]))</f>
        <v>20-2026</v>
      </c>
    </row>
    <row r="1291" spans="1:21" ht="15" customHeight="1">
      <c r="A1291" s="22">
        <v>46154</v>
      </c>
      <c r="B1291" s="16" t="s">
        <v>191</v>
      </c>
      <c r="C1291" s="10" t="s">
        <v>23</v>
      </c>
      <c r="D1291" s="381" t="s">
        <v>2419</v>
      </c>
      <c r="E1291" s="381" t="s">
        <v>2420</v>
      </c>
      <c r="F1291" s="380">
        <f>+MOD(Tabla8[[#This Row],[HR. FIN]]-Tabla8[[#This Row],[HR. INICIO]],1)</f>
        <v>1.4583333333333282E-2</v>
      </c>
      <c r="G1291" s="16" t="s">
        <v>215</v>
      </c>
      <c r="H1291" s="343" t="str">
        <f>IFERROR(VLOOKUP(G1291,DATOS!$M$2:$N$219,2,FALSE),"")</f>
        <v>Equipos auxiliares</v>
      </c>
      <c r="I1291" s="115" t="s">
        <v>54</v>
      </c>
      <c r="J1291" s="115" t="s">
        <v>157</v>
      </c>
      <c r="K1291" s="114"/>
      <c r="L1291" s="35" t="s">
        <v>248</v>
      </c>
      <c r="M1291" s="35" t="s">
        <v>121</v>
      </c>
      <c r="N1291" s="35" t="str" cm="1">
        <f t="array" ref="N1291">IFERROR(IF(Tabla8[[#This Row],[P/NP]]="NO PROGRAMADA","",_xlfn.TEXTJOIN(", ",TRUE,_xlfn._xlws.FILTER(Tabla4[[#All],[PIEZA]],ISNUMBER(SEARCH(Tabla4[[#All],[PCLAVE]],Tabla8[[#This Row],[DESCRIPCION DE TRABAJO]])),""))),"")</f>
        <v/>
      </c>
      <c r="O1291" s="35" t="str" cm="1">
        <f t="array" ref="O1291">_xlfn.TEXTJOIN(", ",TRUE,_xlfn._xlws.FILTER(Tabla28[[#All],[PARTE]],ISNUMBER(SEARCH(Tabla28[[#All],[PCLAVE2]],Tabla8[[#This Row],[DESCRIPCION DE TRABAJO]])),""))</f>
        <v/>
      </c>
      <c r="P1291" s="303" t="str">
        <f>IFERROR(LEFT(O1291, FIND(",", O1291)-1), O1291)</f>
        <v/>
      </c>
      <c r="Q1291" s="303" t="str">
        <f>IFERROR(IF(ISERROR(FIND(",", O1291, FIND(",", O1291)+1)), RIGHT(O1291, LEN(O1291)-FIND(",", O1291)-1), MID(O1291, FIND(",", O1291)+2, FIND(",", O1291, FIND(",", O1291)+1)-FIND(",", O1291)-2)), "")</f>
        <v/>
      </c>
      <c r="R1291" s="303" t="str">
        <f>IFERROR(RIGHT(O1291, LEN(O1291)-FIND(",", O1291, FIND(",", O1291)+1)-1), "")</f>
        <v/>
      </c>
      <c r="S1291" s="35" t="str" cm="1">
        <f t="array" ref="S1291">_xlfn.TEXTJOIN(", ",TRUE,_xlfn._xlws.FILTER(Tabla29[[#All],[PARTE]],ISNUMBER(SEARCH(Tabla29[[#All],[PCLAVE3]],Tabla8[[#This Row],[DESCRIPCION DE TRABAJO]])),""))</f>
        <v/>
      </c>
      <c r="T1291" s="34" t="str">
        <f>IF(AND(Tabla8[[#This Row],[PIEZA]]="",Tabla8[[#This Row],[PARTE]]=""),"VACIO","OK")</f>
        <v>VACIO</v>
      </c>
      <c r="U1291" s="303" t="str">
        <f>+CONCATENATE(WEEKNUM(Tabla8[[#This Row],[FECHA]]),"-",YEAR(Tabla8[[#This Row],[FECHA]]))</f>
        <v>20-2026</v>
      </c>
    </row>
    <row r="1292" spans="1:21" ht="15" customHeight="1">
      <c r="A1292" s="22">
        <v>46154</v>
      </c>
      <c r="B1292" s="16" t="s">
        <v>111</v>
      </c>
      <c r="C1292" s="10" t="s">
        <v>39</v>
      </c>
      <c r="D1292" s="381" t="s">
        <v>1604</v>
      </c>
      <c r="E1292" s="381" t="s">
        <v>396</v>
      </c>
      <c r="F1292" s="380">
        <f>+MOD(Tabla8[[#This Row],[HR. FIN]]-Tabla8[[#This Row],[HR. INICIO]],1)</f>
        <v>1.3888888888888951E-2</v>
      </c>
      <c r="G1292" s="16" t="s">
        <v>270</v>
      </c>
      <c r="H1292" s="343" t="str">
        <f>IFERROR(VLOOKUP(G1292,DATOS!$M$2:$N$219,2,FALSE),"")</f>
        <v>Maquinaria</v>
      </c>
      <c r="I1292" s="115" t="s">
        <v>57</v>
      </c>
      <c r="J1292" s="115" t="s">
        <v>92</v>
      </c>
      <c r="K1292" s="114" t="s">
        <v>93</v>
      </c>
      <c r="L1292" s="35" t="s">
        <v>2421</v>
      </c>
      <c r="M1292" s="35" t="s">
        <v>2422</v>
      </c>
      <c r="N1292" s="35" t="str" cm="1">
        <f t="array" ref="N1292">IFERROR(IF(Tabla8[[#This Row],[P/NP]]="NO PROGRAMADA","",_xlfn.TEXTJOIN(", ",TRUE,_xlfn._xlws.FILTER(Tabla4[[#All],[PIEZA]],ISNUMBER(SEARCH(Tabla4[[#All],[PCLAVE]],Tabla8[[#This Row],[DESCRIPCION DE TRABAJO]])),""))),"")</f>
        <v/>
      </c>
      <c r="O1292" s="35" t="str" cm="1">
        <f t="array" ref="O1292">_xlfn.TEXTJOIN(", ",TRUE,_xlfn._xlws.FILTER(Tabla28[[#All],[PARTE]],ISNUMBER(SEARCH(Tabla28[[#All],[PCLAVE2]],Tabla8[[#This Row],[DESCRIPCION DE TRABAJO]])),""))</f>
        <v>Intercambiador De Moldes</v>
      </c>
      <c r="P1292" s="303" t="str">
        <f>IFERROR(LEFT(O1292, FIND(",", O1292)-1), O1292)</f>
        <v>Intercambiador De Moldes</v>
      </c>
      <c r="Q1292" s="303" t="str">
        <f>IFERROR(IF(ISERROR(FIND(",", O1292, FIND(",", O1292)+1)), RIGHT(O1292, LEN(O1292)-FIND(",", O1292)-1), MID(O1292, FIND(",", O1292)+2, FIND(",", O1292, FIND(",", O1292)+1)-FIND(",", O1292)-2)), "")</f>
        <v/>
      </c>
      <c r="R1292" s="303" t="str">
        <f>IFERROR(RIGHT(O1292, LEN(O1292)-FIND(",", O1292, FIND(",", O1292)+1)-1), "")</f>
        <v/>
      </c>
      <c r="S1292" s="35" t="str" cm="1">
        <f t="array" ref="S1292">_xlfn.TEXTJOIN(", ",TRUE,_xlfn._xlws.FILTER(Tabla29[[#All],[PARTE]],ISNUMBER(SEARCH(Tabla29[[#All],[PCLAVE3]],Tabla8[[#This Row],[DESCRIPCION DE TRABAJO]])),""))</f>
        <v/>
      </c>
      <c r="T1292" s="34" t="str">
        <f>IF(AND(Tabla8[[#This Row],[PIEZA]]="",Tabla8[[#This Row],[PARTE]]=""),"VACIO","OK")</f>
        <v>OK</v>
      </c>
      <c r="U1292" s="303" t="str">
        <f>+CONCATENATE(WEEKNUM(Tabla8[[#This Row],[FECHA]]),"-",YEAR(Tabla8[[#This Row],[FECHA]]))</f>
        <v>20-2026</v>
      </c>
    </row>
    <row r="1293" spans="1:21" ht="15" customHeight="1">
      <c r="A1293" s="22">
        <v>46154</v>
      </c>
      <c r="B1293" s="16" t="s">
        <v>179</v>
      </c>
      <c r="C1293" s="10" t="s">
        <v>23</v>
      </c>
      <c r="D1293" s="381" t="s">
        <v>655</v>
      </c>
      <c r="E1293" s="381" t="s">
        <v>560</v>
      </c>
      <c r="F1293" s="380">
        <f>+MOD(Tabla8[[#This Row],[HR. FIN]]-Tabla8[[#This Row],[HR. INICIO]],1)</f>
        <v>1.3888888888888951E-2</v>
      </c>
      <c r="G1293" s="16" t="s">
        <v>119</v>
      </c>
      <c r="H1293" s="343" t="str">
        <f>IFERROR(VLOOKUP(G1293,DATOS!$M$2:$N$219,2,FALSE),"")</f>
        <v>Maquinaria</v>
      </c>
      <c r="I1293" s="115" t="s">
        <v>54</v>
      </c>
      <c r="J1293" s="115" t="s">
        <v>157</v>
      </c>
      <c r="K1293" s="114"/>
      <c r="L1293" s="35" t="s">
        <v>2423</v>
      </c>
      <c r="M1293" s="35" t="s">
        <v>121</v>
      </c>
      <c r="N1293" s="35" t="str" cm="1">
        <f t="array" ref="N1293">IFERROR(IF(Tabla8[[#This Row],[P/NP]]="NO PROGRAMADA","",_xlfn.TEXTJOIN(", ",TRUE,_xlfn._xlws.FILTER(Tabla4[[#All],[PIEZA]],ISNUMBER(SEARCH(Tabla4[[#All],[PCLAVE]],Tabla8[[#This Row],[DESCRIPCION DE TRABAJO]])),""))),"")</f>
        <v/>
      </c>
      <c r="O1293" s="35" t="str" cm="1">
        <f t="array" ref="O1293">_xlfn.TEXTJOIN(", ",TRUE,_xlfn._xlws.FILTER(Tabla28[[#All],[PARTE]],ISNUMBER(SEARCH(Tabla28[[#All],[PCLAVE2]],Tabla8[[#This Row],[DESCRIPCION DE TRABAJO]])),""))</f>
        <v>Temperadora</v>
      </c>
      <c r="P1293" s="303" t="str">
        <f>IFERROR(LEFT(O1293, FIND(",", O1293)-1), O1293)</f>
        <v>Temperadora</v>
      </c>
      <c r="Q1293" s="303" t="str">
        <f>IFERROR(IF(ISERROR(FIND(",", O1293, FIND(",", O1293)+1)), RIGHT(O1293, LEN(O1293)-FIND(",", O1293)-1), MID(O1293, FIND(",", O1293)+2, FIND(",", O1293, FIND(",", O1293)+1)-FIND(",", O1293)-2)), "")</f>
        <v/>
      </c>
      <c r="R1293" s="303" t="str">
        <f>IFERROR(RIGHT(O1293, LEN(O1293)-FIND(",", O1293, FIND(",", O1293)+1)-1), "")</f>
        <v/>
      </c>
      <c r="S1293" s="35" t="str" cm="1">
        <f t="array" ref="S1293">_xlfn.TEXTJOIN(", ",TRUE,_xlfn._xlws.FILTER(Tabla29[[#All],[PARTE]],ISNUMBER(SEARCH(Tabla29[[#All],[PCLAVE3]],Tabla8[[#This Row],[DESCRIPCION DE TRABAJO]])),""))</f>
        <v/>
      </c>
      <c r="T1293" s="34" t="str">
        <f>IF(AND(Tabla8[[#This Row],[PIEZA]]="",Tabla8[[#This Row],[PARTE]]=""),"VACIO","OK")</f>
        <v>OK</v>
      </c>
      <c r="U1293" s="303" t="str">
        <f>+CONCATENATE(WEEKNUM(Tabla8[[#This Row],[FECHA]]),"-",YEAR(Tabla8[[#This Row],[FECHA]]))</f>
        <v>20-2026</v>
      </c>
    </row>
    <row r="1294" spans="1:21" ht="15" customHeight="1">
      <c r="A1294" s="22">
        <v>46154</v>
      </c>
      <c r="B1294" s="16" t="s">
        <v>111</v>
      </c>
      <c r="C1294" s="10" t="s">
        <v>39</v>
      </c>
      <c r="D1294" s="381" t="s">
        <v>415</v>
      </c>
      <c r="E1294" s="381" t="s">
        <v>612</v>
      </c>
      <c r="F1294" s="380">
        <f>+MOD(Tabla8[[#This Row],[HR. FIN]]-Tabla8[[#This Row],[HR. INICIO]],1)</f>
        <v>1.041666666666663E-2</v>
      </c>
      <c r="G1294" s="16" t="s">
        <v>153</v>
      </c>
      <c r="H1294" s="343" t="str">
        <f>IFERROR(VLOOKUP(G1294,DATOS!$M$2:$N$219,2,FALSE),"")</f>
        <v>Maquinaria</v>
      </c>
      <c r="I1294" s="115" t="s">
        <v>57</v>
      </c>
      <c r="J1294" s="115" t="s">
        <v>157</v>
      </c>
      <c r="K1294" s="114"/>
      <c r="L1294" s="35" t="s">
        <v>2424</v>
      </c>
      <c r="M1294" s="35" t="s">
        <v>121</v>
      </c>
      <c r="N1294" s="35" t="str" cm="1">
        <f t="array" ref="N1294">IFERROR(IF(Tabla8[[#This Row],[P/NP]]="NO PROGRAMADA","",_xlfn.TEXTJOIN(", ",TRUE,_xlfn._xlws.FILTER(Tabla4[[#All],[PIEZA]],ISNUMBER(SEARCH(Tabla4[[#All],[PCLAVE]],Tabla8[[#This Row],[DESCRIPCION DE TRABAJO]])),""))),"")</f>
        <v>Producto, Sensor</v>
      </c>
      <c r="O1294" s="35" t="str" cm="1">
        <f t="array" ref="O1294">_xlfn.TEXTJOIN(", ",TRUE,_xlfn._xlws.FILTER(Tabla28[[#All],[PARTE]],ISNUMBER(SEARCH(Tabla28[[#All],[PCLAVE2]],Tabla8[[#This Row],[DESCRIPCION DE TRABAJO]])),""))</f>
        <v/>
      </c>
      <c r="P1294" s="303" t="str">
        <f>IFERROR(LEFT(O1294, FIND(",", O1294)-1), O1294)</f>
        <v/>
      </c>
      <c r="Q1294" s="303" t="str">
        <f>IFERROR(IF(ISERROR(FIND(",", O1294, FIND(",", O1294)+1)), RIGHT(O1294, LEN(O1294)-FIND(",", O1294)-1), MID(O1294, FIND(",", O1294)+2, FIND(",", O1294, FIND(",", O1294)+1)-FIND(",", O1294)-2)), "")</f>
        <v/>
      </c>
      <c r="R1294" s="303" t="str">
        <f>IFERROR(RIGHT(O1294, LEN(O1294)-FIND(",", O1294, FIND(",", O1294)+1)-1), "")</f>
        <v/>
      </c>
      <c r="S1294" s="35" t="str" cm="1">
        <f t="array" ref="S1294">_xlfn.TEXTJOIN(", ",TRUE,_xlfn._xlws.FILTER(Tabla29[[#All],[PARTE]],ISNUMBER(SEARCH(Tabla29[[#All],[PCLAVE3]],Tabla8[[#This Row],[DESCRIPCION DE TRABAJO]])),""))</f>
        <v>Calibracion</v>
      </c>
      <c r="T1294" s="34" t="str">
        <f>IF(AND(Tabla8[[#This Row],[PIEZA]]="",Tabla8[[#This Row],[PARTE]]=""),"VACIO","OK")</f>
        <v>OK</v>
      </c>
      <c r="U1294" s="303" t="str">
        <f>+CONCATENATE(WEEKNUM(Tabla8[[#This Row],[FECHA]]),"-",YEAR(Tabla8[[#This Row],[FECHA]]))</f>
        <v>20-2026</v>
      </c>
    </row>
    <row r="1295" spans="1:21" ht="15" customHeight="1">
      <c r="A1295" s="22">
        <v>46154</v>
      </c>
      <c r="B1295" s="16" t="s">
        <v>191</v>
      </c>
      <c r="C1295" s="10" t="s">
        <v>23</v>
      </c>
      <c r="D1295" s="381" t="s">
        <v>2425</v>
      </c>
      <c r="E1295" s="381" t="s">
        <v>2426</v>
      </c>
      <c r="F1295" s="380">
        <f>+MOD(Tabla8[[#This Row],[HR. FIN]]-Tabla8[[#This Row],[HR. INICIO]],1)</f>
        <v>1.041666666666663E-2</v>
      </c>
      <c r="G1295" s="16" t="s">
        <v>192</v>
      </c>
      <c r="H1295" s="343" t="str">
        <f>IFERROR(VLOOKUP(G1295,DATOS!$M$2:$N$219,2,FALSE),"")</f>
        <v>Maquinaria</v>
      </c>
      <c r="I1295" s="115" t="s">
        <v>57</v>
      </c>
      <c r="J1295" s="115" t="s">
        <v>92</v>
      </c>
      <c r="K1295" s="114" t="s">
        <v>93</v>
      </c>
      <c r="L1295" s="35" t="s">
        <v>2427</v>
      </c>
      <c r="M1295" s="35" t="s">
        <v>2428</v>
      </c>
      <c r="N1295" s="35" t="str" cm="1">
        <f t="array" ref="N1295">IFERROR(IF(Tabla8[[#This Row],[P/NP]]="NO PROGRAMADA","",_xlfn.TEXTJOIN(", ",TRUE,_xlfn._xlws.FILTER(Tabla4[[#All],[PIEZA]],ISNUMBER(SEARCH(Tabla4[[#All],[PCLAVE]],Tabla8[[#This Row],[DESCRIPCION DE TRABAJO]])),""))),"")</f>
        <v/>
      </c>
      <c r="O1295" s="35" t="str" cm="1">
        <f t="array" ref="O1295">_xlfn.TEXTJOIN(", ",TRUE,_xlfn._xlws.FILTER(Tabla28[[#All],[PARTE]],ISNUMBER(SEARCH(Tabla28[[#All],[PCLAVE2]],Tabla8[[#This Row],[DESCRIPCION DE TRABAJO]])),""))</f>
        <v/>
      </c>
      <c r="P1295" s="303" t="str">
        <f>IFERROR(LEFT(O1295, FIND(",", O1295)-1), O1295)</f>
        <v/>
      </c>
      <c r="Q1295" s="303" t="str">
        <f>IFERROR(IF(ISERROR(FIND(",", O1295, FIND(",", O1295)+1)), RIGHT(O1295, LEN(O1295)-FIND(",", O1295)-1), MID(O1295, FIND(",", O1295)+2, FIND(",", O1295, FIND(",", O1295)+1)-FIND(",", O1295)-2)), "")</f>
        <v/>
      </c>
      <c r="R1295" s="303" t="str">
        <f>IFERROR(RIGHT(O1295, LEN(O1295)-FIND(",", O1295, FIND(",", O1295)+1)-1), "")</f>
        <v/>
      </c>
      <c r="S1295" s="35" t="str" cm="1">
        <f t="array" ref="S1295">_xlfn.TEXTJOIN(", ",TRUE,_xlfn._xlws.FILTER(Tabla29[[#All],[PARTE]],ISNUMBER(SEARCH(Tabla29[[#All],[PCLAVE3]],Tabla8[[#This Row],[DESCRIPCION DE TRABAJO]])),""))</f>
        <v/>
      </c>
      <c r="T1295" s="34" t="str">
        <f>IF(AND(Tabla8[[#This Row],[PIEZA]]="",Tabla8[[#This Row],[PARTE]]=""),"VACIO","OK")</f>
        <v>VACIO</v>
      </c>
      <c r="U1295" s="303" t="str">
        <f>+CONCATENATE(WEEKNUM(Tabla8[[#This Row],[FECHA]]),"-",YEAR(Tabla8[[#This Row],[FECHA]]))</f>
        <v>20-2026</v>
      </c>
    </row>
    <row r="1296" spans="1:21" ht="15" customHeight="1">
      <c r="A1296" s="22">
        <v>46154</v>
      </c>
      <c r="B1296" s="16" t="s">
        <v>179</v>
      </c>
      <c r="C1296" s="10" t="s">
        <v>23</v>
      </c>
      <c r="D1296" s="381" t="s">
        <v>106</v>
      </c>
      <c r="E1296" s="381" t="s">
        <v>2061</v>
      </c>
      <c r="F1296" s="380">
        <f>+MOD(Tabla8[[#This Row],[HR. FIN]]-Tabla8[[#This Row],[HR. INICIO]],1)</f>
        <v>6.9444444444444198E-3</v>
      </c>
      <c r="G1296" s="16" t="s">
        <v>256</v>
      </c>
      <c r="H1296" s="343" t="str">
        <f>IFERROR(VLOOKUP(G1296,DATOS!$M$2:$N$219,2,FALSE),"")</f>
        <v>Maquinaria</v>
      </c>
      <c r="I1296" s="115" t="s">
        <v>32</v>
      </c>
      <c r="J1296" s="115" t="s">
        <v>157</v>
      </c>
      <c r="K1296" s="114"/>
      <c r="L1296" s="35" t="s">
        <v>2429</v>
      </c>
      <c r="M1296" s="35" t="s">
        <v>121</v>
      </c>
      <c r="N1296" s="35" t="str" cm="1">
        <f t="array" ref="N1296">IFERROR(IF(Tabla8[[#This Row],[P/NP]]="NO PROGRAMADA","",_xlfn.TEXTJOIN(", ",TRUE,_xlfn._xlws.FILTER(Tabla4[[#All],[PIEZA]],ISNUMBER(SEARCH(Tabla4[[#All],[PCLAVE]],Tabla8[[#This Row],[DESCRIPCION DE TRABAJO]])),""))),"")</f>
        <v/>
      </c>
      <c r="O1296" s="35" t="str" cm="1">
        <f t="array" ref="O1296">_xlfn.TEXTJOIN(", ",TRUE,_xlfn._xlws.FILTER(Tabla28[[#All],[PARTE]],ISNUMBER(SEARCH(Tabla28[[#All],[PCLAVE2]],Tabla8[[#This Row],[DESCRIPCION DE TRABAJO]])),""))</f>
        <v/>
      </c>
      <c r="P1296" s="303" t="str">
        <f>IFERROR(LEFT(O1296, FIND(",", O1296)-1), O1296)</f>
        <v/>
      </c>
      <c r="Q1296" s="303" t="str">
        <f>IFERROR(IF(ISERROR(FIND(",", O1296, FIND(",", O1296)+1)), RIGHT(O1296, LEN(O1296)-FIND(",", O1296)-1), MID(O1296, FIND(",", O1296)+2, FIND(",", O1296, FIND(",", O1296)+1)-FIND(",", O1296)-2)), "")</f>
        <v/>
      </c>
      <c r="R1296" s="303" t="str">
        <f>IFERROR(RIGHT(O1296, LEN(O1296)-FIND(",", O1296, FIND(",", O1296)+1)-1), "")</f>
        <v/>
      </c>
      <c r="S1296" s="35" t="str" cm="1">
        <f t="array" ref="S1296">_xlfn.TEXTJOIN(", ",TRUE,_xlfn._xlws.FILTER(Tabla29[[#All],[PARTE]],ISNUMBER(SEARCH(Tabla29[[#All],[PCLAVE3]],Tabla8[[#This Row],[DESCRIPCION DE TRABAJO]])),""))</f>
        <v>Sustitucion</v>
      </c>
      <c r="T1296" s="34" t="str">
        <f>IF(AND(Tabla8[[#This Row],[PIEZA]]="",Tabla8[[#This Row],[PARTE]]=""),"VACIO","OK")</f>
        <v>VACIO</v>
      </c>
      <c r="U1296" s="303" t="str">
        <f>+CONCATENATE(WEEKNUM(Tabla8[[#This Row],[FECHA]]),"-",YEAR(Tabla8[[#This Row],[FECHA]]))</f>
        <v>20-2026</v>
      </c>
    </row>
    <row r="1297" spans="1:21" ht="15" customHeight="1">
      <c r="A1297" s="22">
        <v>46155</v>
      </c>
      <c r="B1297" s="16" t="s">
        <v>131</v>
      </c>
      <c r="C1297" s="10" t="s">
        <v>36</v>
      </c>
      <c r="D1297" s="381" t="s">
        <v>1246</v>
      </c>
      <c r="E1297" s="381" t="s">
        <v>123</v>
      </c>
      <c r="F1297" s="380">
        <f>+MOD(Tabla8[[#This Row],[HR. FIN]]-Tabla8[[#This Row],[HR. INICIO]],1)</f>
        <v>4.8611111111111133E-2</v>
      </c>
      <c r="G1297" s="16" t="s">
        <v>2256</v>
      </c>
      <c r="H1297" s="343" t="str">
        <f>IFERROR(VLOOKUP(G1297,DATOS!$M$2:$N$219,2,FALSE),"")</f>
        <v>Maquinaria</v>
      </c>
      <c r="I1297" s="115" t="s">
        <v>57</v>
      </c>
      <c r="J1297" s="115" t="s">
        <v>92</v>
      </c>
      <c r="K1297" s="114" t="s">
        <v>148</v>
      </c>
      <c r="L1297" s="35" t="s">
        <v>2430</v>
      </c>
      <c r="M1297" s="35" t="s">
        <v>2431</v>
      </c>
      <c r="N1297" s="35" t="str" cm="1">
        <f t="array" ref="N1297">IFERROR(IF(Tabla8[[#This Row],[P/NP]]="NO PROGRAMADA","",_xlfn.TEXTJOIN(", ",TRUE,_xlfn._xlws.FILTER(Tabla4[[#All],[PIEZA]],ISNUMBER(SEARCH(Tabla4[[#All],[PCLAVE]],Tabla8[[#This Row],[DESCRIPCION DE TRABAJO]])),""))),"")</f>
        <v/>
      </c>
      <c r="O1297" s="35" t="str" cm="1">
        <f t="array" ref="O1297">_xlfn.TEXTJOIN(", ",TRUE,_xlfn._xlws.FILTER(Tabla28[[#All],[PARTE]],ISNUMBER(SEARCH(Tabla28[[#All],[PCLAVE2]],Tabla8[[#This Row],[DESCRIPCION DE TRABAJO]])),""))</f>
        <v/>
      </c>
      <c r="P1297" s="303" t="str">
        <f>IFERROR(LEFT(O1297, FIND(",", O1297)-1), O1297)</f>
        <v/>
      </c>
      <c r="Q1297" s="303" t="str">
        <f>IFERROR(IF(ISERROR(FIND(",", O1297, FIND(",", O1297)+1)), RIGHT(O1297, LEN(O1297)-FIND(",", O1297)-1), MID(O1297, FIND(",", O1297)+2, FIND(",", O1297, FIND(",", O1297)+1)-FIND(",", O1297)-2)), "")</f>
        <v/>
      </c>
      <c r="R1297" s="303" t="str">
        <f>IFERROR(RIGHT(O1297, LEN(O1297)-FIND(",", O1297, FIND(",", O1297)+1)-1), "")</f>
        <v/>
      </c>
      <c r="S1297" s="35" t="str" cm="1">
        <f t="array" ref="S1297">_xlfn.TEXTJOIN(", ",TRUE,_xlfn._xlws.FILTER(Tabla29[[#All],[PARTE]],ISNUMBER(SEARCH(Tabla29[[#All],[PCLAVE3]],Tabla8[[#This Row],[DESCRIPCION DE TRABAJO]])),""))</f>
        <v>Error</v>
      </c>
      <c r="T1297" s="34" t="str">
        <f>IF(AND(Tabla8[[#This Row],[PIEZA]]="",Tabla8[[#This Row],[PARTE]]=""),"VACIO","OK")</f>
        <v>VACIO</v>
      </c>
      <c r="U1297" s="303" t="str">
        <f>+CONCATENATE(WEEKNUM(Tabla8[[#This Row],[FECHA]]),"-",YEAR(Tabla8[[#This Row],[FECHA]]))</f>
        <v>20-2026</v>
      </c>
    </row>
    <row r="1298" spans="1:21" ht="15" customHeight="1">
      <c r="A1298" s="22">
        <v>46155</v>
      </c>
      <c r="B1298" s="16" t="s">
        <v>88</v>
      </c>
      <c r="C1298" s="10" t="s">
        <v>36</v>
      </c>
      <c r="D1298" s="381" t="s">
        <v>399</v>
      </c>
      <c r="E1298" s="381" t="s">
        <v>2432</v>
      </c>
      <c r="F1298" s="380">
        <f>+MOD(Tabla8[[#This Row],[HR. FIN]]-Tabla8[[#This Row],[HR. INICIO]],1)</f>
        <v>4.0972222222222188E-2</v>
      </c>
      <c r="G1298" s="16" t="s">
        <v>119</v>
      </c>
      <c r="H1298" s="343" t="str">
        <f>IFERROR(VLOOKUP(G1298,DATOS!$M$2:$N$219,2,FALSE),"")</f>
        <v>Maquinaria</v>
      </c>
      <c r="I1298" s="115" t="s">
        <v>186</v>
      </c>
      <c r="J1298" s="115" t="s">
        <v>92</v>
      </c>
      <c r="K1298" s="114" t="s">
        <v>93</v>
      </c>
      <c r="L1298" s="35" t="s">
        <v>2433</v>
      </c>
      <c r="M1298" s="35" t="s">
        <v>2434</v>
      </c>
      <c r="N1298" s="35" t="str" cm="1">
        <f t="array" ref="N1298">IFERROR(IF(Tabla8[[#This Row],[P/NP]]="NO PROGRAMADA","",_xlfn.TEXTJOIN(", ",TRUE,_xlfn._xlws.FILTER(Tabla4[[#All],[PIEZA]],ISNUMBER(SEARCH(Tabla4[[#All],[PCLAVE]],Tabla8[[#This Row],[DESCRIPCION DE TRABAJO]])),""))),"")</f>
        <v/>
      </c>
      <c r="O1298" s="35" t="str" cm="1">
        <f t="array" ref="O1298">_xlfn.TEXTJOIN(", ",TRUE,_xlfn._xlws.FILTER(Tabla28[[#All],[PARTE]],ISNUMBER(SEARCH(Tabla28[[#All],[PCLAVE2]],Tabla8[[#This Row],[DESCRIPCION DE TRABAJO]])),""))</f>
        <v>Columna, Temperadora</v>
      </c>
      <c r="P1298" s="303" t="str">
        <f>IFERROR(LEFT(O1298, FIND(",", O1298)-1), O1298)</f>
        <v>Columna</v>
      </c>
      <c r="Q1298" s="303" t="str">
        <f>IFERROR(IF(ISERROR(FIND(",", O1298, FIND(",", O1298)+1)), RIGHT(O1298, LEN(O1298)-FIND(",", O1298)-1), MID(O1298, FIND(",", O1298)+2, FIND(",", O1298, FIND(",", O1298)+1)-FIND(",", O1298)-2)), "")</f>
        <v>Temperadora</v>
      </c>
      <c r="R1298" s="303" t="str">
        <f>IFERROR(RIGHT(O1298, LEN(O1298)-FIND(",", O1298, FIND(",", O1298)+1)-1), "")</f>
        <v/>
      </c>
      <c r="S1298" s="35" t="str" cm="1">
        <f t="array" ref="S1298">_xlfn.TEXTJOIN(", ",TRUE,_xlfn._xlws.FILTER(Tabla29[[#All],[PARTE]],ISNUMBER(SEARCH(Tabla29[[#All],[PCLAVE3]],Tabla8[[#This Row],[DESCRIPCION DE TRABAJO]])),""))</f>
        <v>Bloqueado</v>
      </c>
      <c r="T1298" s="34" t="str">
        <f>IF(AND(Tabla8[[#This Row],[PIEZA]]="",Tabla8[[#This Row],[PARTE]]=""),"VACIO","OK")</f>
        <v>OK</v>
      </c>
      <c r="U1298" s="303" t="str">
        <f>+CONCATENATE(WEEKNUM(Tabla8[[#This Row],[FECHA]]),"-",YEAR(Tabla8[[#This Row],[FECHA]]))</f>
        <v>20-2026</v>
      </c>
    </row>
    <row r="1299" spans="1:21" ht="15" customHeight="1">
      <c r="A1299" s="22">
        <v>46155</v>
      </c>
      <c r="B1299" s="16" t="s">
        <v>111</v>
      </c>
      <c r="C1299" s="10" t="s">
        <v>39</v>
      </c>
      <c r="D1299" s="381" t="s">
        <v>1520</v>
      </c>
      <c r="E1299" s="381" t="s">
        <v>1662</v>
      </c>
      <c r="F1299" s="380">
        <f>+MOD(Tabla8[[#This Row],[HR. FIN]]-Tabla8[[#This Row],[HR. INICIO]],1)</f>
        <v>3.8194444444444448E-2</v>
      </c>
      <c r="G1299" s="16" t="s">
        <v>119</v>
      </c>
      <c r="H1299" s="343" t="str">
        <f>IFERROR(VLOOKUP(G1299,DATOS!$M$2:$N$219,2,FALSE),"")</f>
        <v>Maquinaria</v>
      </c>
      <c r="I1299" s="115" t="s">
        <v>32</v>
      </c>
      <c r="J1299" s="115" t="s">
        <v>157</v>
      </c>
      <c r="K1299" s="114"/>
      <c r="L1299" s="35" t="s">
        <v>2435</v>
      </c>
      <c r="M1299" s="35" t="s">
        <v>121</v>
      </c>
      <c r="N1299" s="35" t="str" cm="1">
        <f t="array" ref="N1299">IFERROR(IF(Tabla8[[#This Row],[P/NP]]="NO PROGRAMADA","",_xlfn.TEXTJOIN(", ",TRUE,_xlfn._xlws.FILTER(Tabla4[[#All],[PIEZA]],ISNUMBER(SEARCH(Tabla4[[#All],[PCLAVE]],Tabla8[[#This Row],[DESCRIPCION DE TRABAJO]])),""))),"")</f>
        <v/>
      </c>
      <c r="O1299" s="35" t="str" cm="1">
        <f t="array" ref="O1299">_xlfn.TEXTJOIN(", ",TRUE,_xlfn._xlws.FILTER(Tabla28[[#All],[PARTE]],ISNUMBER(SEARCH(Tabla28[[#All],[PCLAVE2]],Tabla8[[#This Row],[DESCRIPCION DE TRABAJO]])),""))</f>
        <v>Mds</v>
      </c>
      <c r="P1299" s="303" t="str">
        <f>IFERROR(LEFT(O1299, FIND(",", O1299)-1), O1299)</f>
        <v>Mds</v>
      </c>
      <c r="Q1299" s="303" t="str">
        <f>IFERROR(IF(ISERROR(FIND(",", O1299, FIND(",", O1299)+1)), RIGHT(O1299, LEN(O1299)-FIND(",", O1299)-1), MID(O1299, FIND(",", O1299)+2, FIND(",", O1299, FIND(",", O1299)+1)-FIND(",", O1299)-2)), "")</f>
        <v/>
      </c>
      <c r="R1299" s="303" t="str">
        <f>IFERROR(RIGHT(O1299, LEN(O1299)-FIND(",", O1299, FIND(",", O1299)+1)-1), "")</f>
        <v/>
      </c>
      <c r="S1299" s="35" t="str" cm="1">
        <f t="array" ref="S1299">_xlfn.TEXTJOIN(", ",TRUE,_xlfn._xlws.FILTER(Tabla29[[#All],[PARTE]],ISNUMBER(SEARCH(Tabla29[[#All],[PCLAVE3]],Tabla8[[#This Row],[DESCRIPCION DE TRABAJO]])),""))</f>
        <v/>
      </c>
      <c r="T1299" s="34" t="str">
        <f>IF(AND(Tabla8[[#This Row],[PIEZA]]="",Tabla8[[#This Row],[PARTE]]=""),"VACIO","OK")</f>
        <v>OK</v>
      </c>
      <c r="U1299" s="303" t="str">
        <f>+CONCATENATE(WEEKNUM(Tabla8[[#This Row],[FECHA]]),"-",YEAR(Tabla8[[#This Row],[FECHA]]))</f>
        <v>20-2026</v>
      </c>
    </row>
    <row r="1300" spans="1:21" ht="15" customHeight="1">
      <c r="A1300" s="22">
        <v>46155</v>
      </c>
      <c r="B1300" s="16" t="s">
        <v>111</v>
      </c>
      <c r="C1300" s="10" t="s">
        <v>39</v>
      </c>
      <c r="D1300" s="381" t="s">
        <v>2084</v>
      </c>
      <c r="E1300" s="381" t="s">
        <v>1920</v>
      </c>
      <c r="F1300" s="380">
        <f>+MOD(Tabla8[[#This Row],[HR. FIN]]-Tabla8[[#This Row],[HR. INICIO]],1)</f>
        <v>3.4722222222222224E-2</v>
      </c>
      <c r="G1300" s="16" t="s">
        <v>128</v>
      </c>
      <c r="H1300" s="343" t="str">
        <f>IFERROR(VLOOKUP(G1300,DATOS!$M$2:$N$219,2,FALSE),"")</f>
        <v>Maquinaria</v>
      </c>
      <c r="I1300" s="115" t="s">
        <v>186</v>
      </c>
      <c r="J1300" s="115" t="s">
        <v>92</v>
      </c>
      <c r="K1300" s="114" t="s">
        <v>93</v>
      </c>
      <c r="L1300" s="35" t="s">
        <v>2436</v>
      </c>
      <c r="M1300" s="35" t="s">
        <v>2437</v>
      </c>
      <c r="N1300" s="35" t="str" cm="1">
        <f t="array" ref="N1300">IFERROR(IF(Tabla8[[#This Row],[P/NP]]="NO PROGRAMADA","",_xlfn.TEXTJOIN(", ",TRUE,_xlfn._xlws.FILTER(Tabla4[[#All],[PIEZA]],ISNUMBER(SEARCH(Tabla4[[#All],[PCLAVE]],Tabla8[[#This Row],[DESCRIPCION DE TRABAJO]])),""))),"")</f>
        <v/>
      </c>
      <c r="O1300" s="35" t="str" cm="1">
        <f t="array" ref="O1300">_xlfn.TEXTJOIN(", ",TRUE,_xlfn._xlws.FILTER(Tabla28[[#All],[PARTE]],ISNUMBER(SEARCH(Tabla28[[#All],[PCLAVE2]],Tabla8[[#This Row],[DESCRIPCION DE TRABAJO]])),""))</f>
        <v/>
      </c>
      <c r="P1300" s="303" t="str">
        <f>IFERROR(LEFT(O1300, FIND(",", O1300)-1), O1300)</f>
        <v/>
      </c>
      <c r="Q1300" s="303" t="str">
        <f>IFERROR(IF(ISERROR(FIND(",", O1300, FIND(",", O1300)+1)), RIGHT(O1300, LEN(O1300)-FIND(",", O1300)-1), MID(O1300, FIND(",", O1300)+2, FIND(",", O1300, FIND(",", O1300)+1)-FIND(",", O1300)-2)), "")</f>
        <v/>
      </c>
      <c r="R1300" s="303" t="str">
        <f>IFERROR(RIGHT(O1300, LEN(O1300)-FIND(",", O1300, FIND(",", O1300)+1)-1), "")</f>
        <v/>
      </c>
      <c r="S1300" s="35" t="str" cm="1">
        <f t="array" ref="S1300">_xlfn.TEXTJOIN(", ",TRUE,_xlfn._xlws.FILTER(Tabla29[[#All],[PARTE]],ISNUMBER(SEARCH(Tabla29[[#All],[PCLAVE3]],Tabla8[[#This Row],[DESCRIPCION DE TRABAJO]])),""))</f>
        <v>Laminado, Rotura, Sellado</v>
      </c>
      <c r="T1300" s="34" t="str">
        <f>IF(AND(Tabla8[[#This Row],[PIEZA]]="",Tabla8[[#This Row],[PARTE]]=""),"VACIO","OK")</f>
        <v>VACIO</v>
      </c>
      <c r="U1300" s="303" t="str">
        <f>+CONCATENATE(WEEKNUM(Tabla8[[#This Row],[FECHA]]),"-",YEAR(Tabla8[[#This Row],[FECHA]]))</f>
        <v>20-2026</v>
      </c>
    </row>
    <row r="1301" spans="1:21" ht="15" customHeight="1">
      <c r="A1301" s="22">
        <v>46155</v>
      </c>
      <c r="B1301" s="16" t="s">
        <v>131</v>
      </c>
      <c r="C1301" s="10" t="s">
        <v>36</v>
      </c>
      <c r="D1301" s="381" t="s">
        <v>495</v>
      </c>
      <c r="E1301" s="381" t="s">
        <v>557</v>
      </c>
      <c r="F1301" s="380">
        <f>+MOD(Tabla8[[#This Row],[HR. FIN]]-Tabla8[[#This Row],[HR. INICIO]],1)</f>
        <v>3.472222222222221E-2</v>
      </c>
      <c r="G1301" s="16" t="s">
        <v>328</v>
      </c>
      <c r="H1301" s="343" t="str">
        <f>IFERROR(VLOOKUP(G1301,DATOS!$M$2:$N$219,2,FALSE),"")</f>
        <v>Area</v>
      </c>
      <c r="I1301" s="115" t="s">
        <v>405</v>
      </c>
      <c r="J1301" s="115" t="s">
        <v>157</v>
      </c>
      <c r="K1301" s="114"/>
      <c r="L1301" s="35" t="s">
        <v>2438</v>
      </c>
      <c r="M1301" s="35" t="s">
        <v>121</v>
      </c>
      <c r="N1301" s="35" t="str" cm="1">
        <f t="array" ref="N1301">IFERROR(IF(Tabla8[[#This Row],[P/NP]]="NO PROGRAMADA","",_xlfn.TEXTJOIN(", ",TRUE,_xlfn._xlws.FILTER(Tabla4[[#All],[PIEZA]],ISNUMBER(SEARCH(Tabla4[[#All],[PCLAVE]],Tabla8[[#This Row],[DESCRIPCION DE TRABAJO]])),""))),"")</f>
        <v/>
      </c>
      <c r="O1301" s="35" t="str" cm="1">
        <f t="array" ref="O1301">_xlfn.TEXTJOIN(", ",TRUE,_xlfn._xlws.FILTER(Tabla28[[#All],[PARTE]],ISNUMBER(SEARCH(Tabla28[[#All],[PCLAVE2]],Tabla8[[#This Row],[DESCRIPCION DE TRABAJO]])),""))</f>
        <v>Codificador</v>
      </c>
      <c r="P1301" s="303" t="str">
        <f>IFERROR(LEFT(O1301, FIND(",", O1301)-1), O1301)</f>
        <v>Codificador</v>
      </c>
      <c r="Q1301" s="303" t="str">
        <f>IFERROR(IF(ISERROR(FIND(",", O1301, FIND(",", O1301)+1)), RIGHT(O1301, LEN(O1301)-FIND(",", O1301)-1), MID(O1301, FIND(",", O1301)+2, FIND(",", O1301, FIND(",", O1301)+1)-FIND(",", O1301)-2)), "")</f>
        <v/>
      </c>
      <c r="R1301" s="303" t="str">
        <f>IFERROR(RIGHT(O1301, LEN(O1301)-FIND(",", O1301, FIND(",", O1301)+1)-1), "")</f>
        <v/>
      </c>
      <c r="S1301" s="35" t="str" cm="1">
        <f t="array" ref="S1301">_xlfn.TEXTJOIN(", ",TRUE,_xlfn._xlws.FILTER(Tabla29[[#All],[PARTE]],ISNUMBER(SEARCH(Tabla29[[#All],[PCLAVE3]],Tabla8[[#This Row],[DESCRIPCION DE TRABAJO]])),""))</f>
        <v/>
      </c>
      <c r="T1301" s="34" t="str">
        <f>IF(AND(Tabla8[[#This Row],[PIEZA]]="",Tabla8[[#This Row],[PARTE]]=""),"VACIO","OK")</f>
        <v>OK</v>
      </c>
      <c r="U1301" s="303" t="str">
        <f>+CONCATENATE(WEEKNUM(Tabla8[[#This Row],[FECHA]]),"-",YEAR(Tabla8[[#This Row],[FECHA]]))</f>
        <v>20-2026</v>
      </c>
    </row>
    <row r="1302" spans="1:21" ht="15" customHeight="1">
      <c r="A1302" s="22">
        <v>46155</v>
      </c>
      <c r="B1302" s="16" t="s">
        <v>88</v>
      </c>
      <c r="C1302" s="10" t="s">
        <v>36</v>
      </c>
      <c r="D1302" s="381" t="s">
        <v>531</v>
      </c>
      <c r="E1302" s="381" t="s">
        <v>468</v>
      </c>
      <c r="F1302" s="380">
        <f>+MOD(Tabla8[[#This Row],[HR. FIN]]-Tabla8[[#This Row],[HR. INICIO]],1)</f>
        <v>3.125E-2</v>
      </c>
      <c r="G1302" s="16" t="s">
        <v>182</v>
      </c>
      <c r="H1302" s="343" t="str">
        <f>IFERROR(VLOOKUP(G1302,DATOS!$M$2:$N$219,2,FALSE),"")</f>
        <v>Maquinaria</v>
      </c>
      <c r="I1302" s="115" t="s">
        <v>57</v>
      </c>
      <c r="J1302" s="115" t="s">
        <v>92</v>
      </c>
      <c r="K1302" s="114" t="s">
        <v>93</v>
      </c>
      <c r="L1302" s="35" t="s">
        <v>2439</v>
      </c>
      <c r="M1302" s="35" t="s">
        <v>2440</v>
      </c>
      <c r="N1302" s="35" t="str" cm="1">
        <f t="array" ref="N1302">IFERROR(IF(Tabla8[[#This Row],[P/NP]]="NO PROGRAMADA","",_xlfn.TEXTJOIN(", ",TRUE,_xlfn._xlws.FILTER(Tabla4[[#All],[PIEZA]],ISNUMBER(SEARCH(Tabla4[[#All],[PCLAVE]],Tabla8[[#This Row],[DESCRIPCION DE TRABAJO]])),""))),"")</f>
        <v/>
      </c>
      <c r="O1302" s="35" t="str" cm="1">
        <f t="array" ref="O1302">_xlfn.TEXTJOIN(", ",TRUE,_xlfn._xlws.FILTER(Tabla28[[#All],[PARTE]],ISNUMBER(SEARCH(Tabla28[[#All],[PCLAVE2]],Tabla8[[#This Row],[DESCRIPCION DE TRABAJO]])),""))</f>
        <v/>
      </c>
      <c r="P1302" s="303" t="str">
        <f>IFERROR(LEFT(O1302, FIND(",", O1302)-1), O1302)</f>
        <v/>
      </c>
      <c r="Q1302" s="303" t="str">
        <f>IFERROR(IF(ISERROR(FIND(",", O1302, FIND(",", O1302)+1)), RIGHT(O1302, LEN(O1302)-FIND(",", O1302)-1), MID(O1302, FIND(",", O1302)+2, FIND(",", O1302, FIND(",", O1302)+1)-FIND(",", O1302)-2)), "")</f>
        <v/>
      </c>
      <c r="R1302" s="303" t="str">
        <f>IFERROR(RIGHT(O1302, LEN(O1302)-FIND(",", O1302, FIND(",", O1302)+1)-1), "")</f>
        <v/>
      </c>
      <c r="S1302" s="35" t="str" cm="1">
        <f t="array" ref="S1302">_xlfn.TEXTJOIN(", ",TRUE,_xlfn._xlws.FILTER(Tabla29[[#All],[PARTE]],ISNUMBER(SEARCH(Tabla29[[#All],[PCLAVE3]],Tabla8[[#This Row],[DESCRIPCION DE TRABAJO]])),""))</f>
        <v/>
      </c>
      <c r="T1302" s="34" t="str">
        <f>IF(AND(Tabla8[[#This Row],[PIEZA]]="",Tabla8[[#This Row],[PARTE]]=""),"VACIO","OK")</f>
        <v>VACIO</v>
      </c>
      <c r="U1302" s="303" t="str">
        <f>+CONCATENATE(WEEKNUM(Tabla8[[#This Row],[FECHA]]),"-",YEAR(Tabla8[[#This Row],[FECHA]]))</f>
        <v>20-2026</v>
      </c>
    </row>
    <row r="1303" spans="1:21" ht="15" customHeight="1">
      <c r="A1303" s="22">
        <v>46155</v>
      </c>
      <c r="B1303" s="16" t="s">
        <v>131</v>
      </c>
      <c r="C1303" s="10" t="s">
        <v>36</v>
      </c>
      <c r="D1303" s="381" t="s">
        <v>447</v>
      </c>
      <c r="E1303" s="381" t="s">
        <v>1611</v>
      </c>
      <c r="F1303" s="380">
        <f>+MOD(Tabla8[[#This Row],[HR. FIN]]-Tabla8[[#This Row],[HR. INICIO]],1)</f>
        <v>2.9166666666666674E-2</v>
      </c>
      <c r="G1303" s="16" t="s">
        <v>192</v>
      </c>
      <c r="H1303" s="343" t="str">
        <f>IFERROR(VLOOKUP(G1303,DATOS!$M$2:$N$219,2,FALSE),"")</f>
        <v>Maquinaria</v>
      </c>
      <c r="I1303" s="115" t="s">
        <v>32</v>
      </c>
      <c r="J1303" s="115" t="s">
        <v>157</v>
      </c>
      <c r="K1303" s="114"/>
      <c r="L1303" s="35" t="s">
        <v>2441</v>
      </c>
      <c r="M1303" s="35" t="s">
        <v>121</v>
      </c>
      <c r="N1303" s="35" t="str" cm="1">
        <f t="array" ref="N1303">IFERROR(IF(Tabla8[[#This Row],[P/NP]]="NO PROGRAMADA","",_xlfn.TEXTJOIN(", ",TRUE,_xlfn._xlws.FILTER(Tabla4[[#All],[PIEZA]],ISNUMBER(SEARCH(Tabla4[[#All],[PCLAVE]],Tabla8[[#This Row],[DESCRIPCION DE TRABAJO]])),""))),"")</f>
        <v/>
      </c>
      <c r="O1303" s="35" t="str" cm="1">
        <f t="array" ref="O1303">_xlfn.TEXTJOIN(", ",TRUE,_xlfn._xlws.FILTER(Tabla28[[#All],[PARTE]],ISNUMBER(SEARCH(Tabla28[[#All],[PCLAVE2]],Tabla8[[#This Row],[DESCRIPCION DE TRABAJO]])),""))</f>
        <v/>
      </c>
      <c r="P1303" s="303" t="str">
        <f>IFERROR(LEFT(O1303, FIND(",", O1303)-1), O1303)</f>
        <v/>
      </c>
      <c r="Q1303" s="303" t="str">
        <f>IFERROR(IF(ISERROR(FIND(",", O1303, FIND(",", O1303)+1)), RIGHT(O1303, LEN(O1303)-FIND(",", O1303)-1), MID(O1303, FIND(",", O1303)+2, FIND(",", O1303, FIND(",", O1303)+1)-FIND(",", O1303)-2)), "")</f>
        <v/>
      </c>
      <c r="R1303" s="303" t="str">
        <f>IFERROR(RIGHT(O1303, LEN(O1303)-FIND(",", O1303, FIND(",", O1303)+1)-1), "")</f>
        <v/>
      </c>
      <c r="S1303" s="35" t="str" cm="1">
        <f t="array" ref="S1303">_xlfn.TEXTJOIN(", ",TRUE,_xlfn._xlws.FILTER(Tabla29[[#All],[PARTE]],ISNUMBER(SEARCH(Tabla29[[#All],[PCLAVE3]],Tabla8[[#This Row],[DESCRIPCION DE TRABAJO]])),""))</f>
        <v>Cambio De Formato</v>
      </c>
      <c r="T1303" s="34" t="str">
        <f>IF(AND(Tabla8[[#This Row],[PIEZA]]="",Tabla8[[#This Row],[PARTE]]=""),"VACIO","OK")</f>
        <v>VACIO</v>
      </c>
      <c r="U1303" s="303" t="str">
        <f>+CONCATENATE(WEEKNUM(Tabla8[[#This Row],[FECHA]]),"-",YEAR(Tabla8[[#This Row],[FECHA]]))</f>
        <v>20-2026</v>
      </c>
    </row>
    <row r="1304" spans="1:21" ht="15.75" customHeight="1">
      <c r="A1304" s="22">
        <v>46155</v>
      </c>
      <c r="B1304" s="16" t="s">
        <v>88</v>
      </c>
      <c r="C1304" s="10" t="s">
        <v>36</v>
      </c>
      <c r="D1304" s="381" t="s">
        <v>400</v>
      </c>
      <c r="E1304" s="381" t="s">
        <v>2442</v>
      </c>
      <c r="F1304" s="380">
        <f>+MOD(Tabla8[[#This Row],[HR. FIN]]-Tabla8[[#This Row],[HR. INICIO]],1)</f>
        <v>2.430555555555558E-2</v>
      </c>
      <c r="G1304" s="16" t="s">
        <v>147</v>
      </c>
      <c r="H1304" s="343" t="str">
        <f>IFERROR(VLOOKUP(G1304,DATOS!$M$2:$N$219,2,FALSE),"")</f>
        <v>Maquinaria</v>
      </c>
      <c r="I1304" s="115" t="s">
        <v>186</v>
      </c>
      <c r="J1304" s="115" t="s">
        <v>92</v>
      </c>
      <c r="K1304" s="114" t="s">
        <v>93</v>
      </c>
      <c r="L1304" s="35" t="s">
        <v>2443</v>
      </c>
      <c r="M1304" s="35" t="s">
        <v>2444</v>
      </c>
      <c r="N1304" s="35" t="str" cm="1">
        <f t="array" ref="N1304">IFERROR(IF(Tabla8[[#This Row],[P/NP]]="NO PROGRAMADA","",_xlfn.TEXTJOIN(", ",TRUE,_xlfn._xlws.FILTER(Tabla4[[#All],[PIEZA]],ISNUMBER(SEARCH(Tabla4[[#All],[PCLAVE]],Tabla8[[#This Row],[DESCRIPCION DE TRABAJO]])),""))),"")</f>
        <v/>
      </c>
      <c r="O1304" s="35" t="str" cm="1">
        <f t="array" ref="O1304">_xlfn.TEXTJOIN(", ",TRUE,_xlfn._xlws.FILTER(Tabla28[[#All],[PARTE]],ISNUMBER(SEARCH(Tabla28[[#All],[PCLAVE2]],Tabla8[[#This Row],[DESCRIPCION DE TRABAJO]])),""))</f>
        <v/>
      </c>
      <c r="P1304" s="303" t="str">
        <f>IFERROR(LEFT(O1304, FIND(",", O1304)-1), O1304)</f>
        <v/>
      </c>
      <c r="Q1304" s="303" t="str">
        <f>IFERROR(IF(ISERROR(FIND(",", O1304, FIND(",", O1304)+1)), RIGHT(O1304, LEN(O1304)-FIND(",", O1304)-1), MID(O1304, FIND(",", O1304)+2, FIND(",", O1304, FIND(",", O1304)+1)-FIND(",", O1304)-2)), "")</f>
        <v/>
      </c>
      <c r="R1304" s="303" t="str">
        <f>IFERROR(RIGHT(O1304, LEN(O1304)-FIND(",", O1304, FIND(",", O1304)+1)-1), "")</f>
        <v/>
      </c>
      <c r="S1304" s="35" t="str" cm="1">
        <f t="array" ref="S1304">_xlfn.TEXTJOIN(", ",TRUE,_xlfn._xlws.FILTER(Tabla29[[#All],[PARTE]],ISNUMBER(SEARCH(Tabla29[[#All],[PCLAVE3]],Tabla8[[#This Row],[DESCRIPCION DE TRABAJO]])),""))</f>
        <v>Dañado</v>
      </c>
      <c r="T1304" s="34" t="str">
        <f>IF(AND(Tabla8[[#This Row],[PIEZA]]="",Tabla8[[#This Row],[PARTE]]=""),"VACIO","OK")</f>
        <v>VACIO</v>
      </c>
      <c r="U1304" s="303" t="str">
        <f>+CONCATENATE(WEEKNUM(Tabla8[[#This Row],[FECHA]]),"-",YEAR(Tabla8[[#This Row],[FECHA]]))</f>
        <v>20-2026</v>
      </c>
    </row>
    <row r="1305" spans="1:21" ht="15" customHeight="1">
      <c r="A1305" s="22">
        <v>46155</v>
      </c>
      <c r="B1305" s="16" t="s">
        <v>111</v>
      </c>
      <c r="C1305" s="10" t="s">
        <v>39</v>
      </c>
      <c r="D1305" s="381" t="s">
        <v>1264</v>
      </c>
      <c r="E1305" s="381" t="s">
        <v>1559</v>
      </c>
      <c r="F1305" s="380">
        <f>+MOD(Tabla8[[#This Row],[HR. FIN]]-Tabla8[[#This Row],[HR. INICIO]],1)</f>
        <v>2.0833333333333336E-2</v>
      </c>
      <c r="G1305" s="16" t="s">
        <v>119</v>
      </c>
      <c r="H1305" s="343" t="str">
        <f>IFERROR(VLOOKUP(G1305,DATOS!$M$2:$N$219,2,FALSE),"")</f>
        <v>Maquinaria</v>
      </c>
      <c r="I1305" s="115" t="s">
        <v>32</v>
      </c>
      <c r="J1305" s="115" t="s">
        <v>157</v>
      </c>
      <c r="K1305" s="114"/>
      <c r="L1305" s="35" t="s">
        <v>2445</v>
      </c>
      <c r="M1305" s="35" t="s">
        <v>121</v>
      </c>
      <c r="N1305" s="35" t="str" cm="1">
        <f t="array" ref="N1305">IFERROR(IF(Tabla8[[#This Row],[P/NP]]="NO PROGRAMADA","",_xlfn.TEXTJOIN(", ",TRUE,_xlfn._xlws.FILTER(Tabla4[[#All],[PIEZA]],ISNUMBER(SEARCH(Tabla4[[#All],[PCLAVE]],Tabla8[[#This Row],[DESCRIPCION DE TRABAJO]])),""))),"")</f>
        <v>Husillo, Husillo, Planchas</v>
      </c>
      <c r="O1305" s="35" t="str" cm="1">
        <f t="array" ref="O1305">_xlfn.TEXTJOIN(", ",TRUE,_xlfn._xlws.FILTER(Tabla28[[#All],[PARTE]],ISNUMBER(SEARCH(Tabla28[[#All],[PCLAVE2]],Tabla8[[#This Row],[DESCRIPCION DE TRABAJO]])),""))</f>
        <v>Mds</v>
      </c>
      <c r="P1305" s="303" t="str">
        <f>IFERROR(LEFT(O1305, FIND(",", O1305)-1), O1305)</f>
        <v>Mds</v>
      </c>
      <c r="Q1305" s="303" t="str">
        <f>IFERROR(IF(ISERROR(FIND(",", O1305, FIND(",", O1305)+1)), RIGHT(O1305, LEN(O1305)-FIND(",", O1305)-1), MID(O1305, FIND(",", O1305)+2, FIND(",", O1305, FIND(",", O1305)+1)-FIND(",", O1305)-2)), "")</f>
        <v/>
      </c>
      <c r="R1305" s="303" t="str">
        <f>IFERROR(RIGHT(O1305, LEN(O1305)-FIND(",", O1305, FIND(",", O1305)+1)-1), "")</f>
        <v/>
      </c>
      <c r="S1305" s="35" t="str" cm="1">
        <f t="array" ref="S1305">_xlfn.TEXTJOIN(", ",TRUE,_xlfn._xlws.FILTER(Tabla29[[#All],[PARTE]],ISNUMBER(SEARCH(Tabla29[[#All],[PCLAVE3]],Tabla8[[#This Row],[DESCRIPCION DE TRABAJO]])),""))</f>
        <v>Sustitucion</v>
      </c>
      <c r="T1305" s="34" t="str">
        <f>IF(AND(Tabla8[[#This Row],[PIEZA]]="",Tabla8[[#This Row],[PARTE]]=""),"VACIO","OK")</f>
        <v>OK</v>
      </c>
      <c r="U1305" s="303" t="str">
        <f>+CONCATENATE(WEEKNUM(Tabla8[[#This Row],[FECHA]]),"-",YEAR(Tabla8[[#This Row],[FECHA]]))</f>
        <v>20-2026</v>
      </c>
    </row>
    <row r="1306" spans="1:21" ht="15" customHeight="1">
      <c r="A1306" s="22">
        <v>46155</v>
      </c>
      <c r="B1306" s="16" t="s">
        <v>111</v>
      </c>
      <c r="C1306" s="10" t="s">
        <v>39</v>
      </c>
      <c r="D1306" s="381" t="s">
        <v>1805</v>
      </c>
      <c r="E1306" s="381" t="s">
        <v>167</v>
      </c>
      <c r="F1306" s="380">
        <f>+MOD(Tabla8[[#This Row],[HR. FIN]]-Tabla8[[#This Row],[HR. INICIO]],1)</f>
        <v>2.0833333333333332E-2</v>
      </c>
      <c r="G1306" s="16" t="s">
        <v>942</v>
      </c>
      <c r="H1306" s="343" t="str">
        <f>IFERROR(VLOOKUP(G1306,DATOS!$M$2:$N$219,2,FALSE),"")</f>
        <v>Maquinaria</v>
      </c>
      <c r="I1306" s="115" t="s">
        <v>57</v>
      </c>
      <c r="J1306" s="115" t="s">
        <v>92</v>
      </c>
      <c r="K1306" s="114" t="s">
        <v>148</v>
      </c>
      <c r="L1306" s="35" t="s">
        <v>2446</v>
      </c>
      <c r="M1306" s="35" t="s">
        <v>2447</v>
      </c>
      <c r="N1306" s="35" t="str" cm="1">
        <f t="array" ref="N1306">IFERROR(IF(Tabla8[[#This Row],[P/NP]]="NO PROGRAMADA","",_xlfn.TEXTJOIN(", ",TRUE,_xlfn._xlws.FILTER(Tabla4[[#All],[PIEZA]],ISNUMBER(SEARCH(Tabla4[[#All],[PCLAVE]],Tabla8[[#This Row],[DESCRIPCION DE TRABAJO]])),""))),"")</f>
        <v/>
      </c>
      <c r="O1306" s="35" t="str" cm="1">
        <f t="array" ref="O1306">_xlfn.TEXTJOIN(", ",TRUE,_xlfn._xlws.FILTER(Tabla28[[#All],[PARTE]],ISNUMBER(SEARCH(Tabla28[[#All],[PCLAVE2]],Tabla8[[#This Row],[DESCRIPCION DE TRABAJO]])),""))</f>
        <v/>
      </c>
      <c r="P1306" s="303" t="str">
        <f>IFERROR(LEFT(O1306, FIND(",", O1306)-1), O1306)</f>
        <v/>
      </c>
      <c r="Q1306" s="303" t="str">
        <f>IFERROR(IF(ISERROR(FIND(",", O1306, FIND(",", O1306)+1)), RIGHT(O1306, LEN(O1306)-FIND(",", O1306)-1), MID(O1306, FIND(",", O1306)+2, FIND(",", O1306, FIND(",", O1306)+1)-FIND(",", O1306)-2)), "")</f>
        <v/>
      </c>
      <c r="R1306" s="303" t="str">
        <f>IFERROR(RIGHT(O1306, LEN(O1306)-FIND(",", O1306, FIND(",", O1306)+1)-1), "")</f>
        <v/>
      </c>
      <c r="S1306" s="35" t="str" cm="1">
        <f t="array" ref="S1306">_xlfn.TEXTJOIN(", ",TRUE,_xlfn._xlws.FILTER(Tabla29[[#All],[PARTE]],ISNUMBER(SEARCH(Tabla29[[#All],[PCLAVE3]],Tabla8[[#This Row],[DESCRIPCION DE TRABAJO]])),""))</f>
        <v/>
      </c>
      <c r="T1306" s="34" t="str">
        <f>IF(AND(Tabla8[[#This Row],[PIEZA]]="",Tabla8[[#This Row],[PARTE]]=""),"VACIO","OK")</f>
        <v>VACIO</v>
      </c>
      <c r="U1306" s="303" t="str">
        <f>+CONCATENATE(WEEKNUM(Tabla8[[#This Row],[FECHA]]),"-",YEAR(Tabla8[[#This Row],[FECHA]]))</f>
        <v>20-2026</v>
      </c>
    </row>
    <row r="1307" spans="1:21" ht="15" customHeight="1">
      <c r="A1307" s="22">
        <v>46155</v>
      </c>
      <c r="B1307" s="16" t="s">
        <v>111</v>
      </c>
      <c r="C1307" s="10" t="s">
        <v>39</v>
      </c>
      <c r="D1307" s="381" t="s">
        <v>411</v>
      </c>
      <c r="E1307" s="381" t="s">
        <v>145</v>
      </c>
      <c r="F1307" s="380">
        <f>+MOD(Tabla8[[#This Row],[HR. FIN]]-Tabla8[[#This Row],[HR. INICIO]],1)</f>
        <v>1.7361111111111105E-2</v>
      </c>
      <c r="G1307" s="16" t="s">
        <v>182</v>
      </c>
      <c r="H1307" s="343" t="str">
        <f>IFERROR(VLOOKUP(G1307,DATOS!$M$2:$N$219,2,FALSE),"")</f>
        <v>Maquinaria</v>
      </c>
      <c r="I1307" s="115" t="s">
        <v>57</v>
      </c>
      <c r="J1307" s="115" t="s">
        <v>92</v>
      </c>
      <c r="K1307" s="114" t="s">
        <v>93</v>
      </c>
      <c r="L1307" s="35" t="s">
        <v>2448</v>
      </c>
      <c r="M1307" s="35" t="s">
        <v>2449</v>
      </c>
      <c r="N1307" s="35" t="str" cm="1">
        <f t="array" ref="N1307">IFERROR(IF(Tabla8[[#This Row],[P/NP]]="NO PROGRAMADA","",_xlfn.TEXTJOIN(", ",TRUE,_xlfn._xlws.FILTER(Tabla4[[#All],[PIEZA]],ISNUMBER(SEARCH(Tabla4[[#All],[PCLAVE]],Tabla8[[#This Row],[DESCRIPCION DE TRABAJO]])),""))),"")</f>
        <v/>
      </c>
      <c r="O1307" s="35" t="str" cm="1">
        <f t="array" ref="O1307">_xlfn.TEXTJOIN(", ",TRUE,_xlfn._xlws.FILTER(Tabla28[[#All],[PARTE]],ISNUMBER(SEARCH(Tabla28[[#All],[PCLAVE2]],Tabla8[[#This Row],[DESCRIPCION DE TRABAJO]])),""))</f>
        <v/>
      </c>
      <c r="P1307" s="303" t="str">
        <f>IFERROR(LEFT(O1307, FIND(",", O1307)-1), O1307)</f>
        <v/>
      </c>
      <c r="Q1307" s="303" t="str">
        <f>IFERROR(IF(ISERROR(FIND(",", O1307, FIND(",", O1307)+1)), RIGHT(O1307, LEN(O1307)-FIND(",", O1307)-1), MID(O1307, FIND(",", O1307)+2, FIND(",", O1307, FIND(",", O1307)+1)-FIND(",", O1307)-2)), "")</f>
        <v/>
      </c>
      <c r="R1307" s="303" t="str">
        <f>IFERROR(RIGHT(O1307, LEN(O1307)-FIND(",", O1307, FIND(",", O1307)+1)-1), "")</f>
        <v/>
      </c>
      <c r="S1307" s="35" t="str" cm="1">
        <f t="array" ref="S1307">_xlfn.TEXTJOIN(", ",TRUE,_xlfn._xlws.FILTER(Tabla29[[#All],[PARTE]],ISNUMBER(SEARCH(Tabla29[[#All],[PCLAVE3]],Tabla8[[#This Row],[DESCRIPCION DE TRABAJO]])),""))</f>
        <v/>
      </c>
      <c r="T1307" s="34" t="str">
        <f>IF(AND(Tabla8[[#This Row],[PIEZA]]="",Tabla8[[#This Row],[PARTE]]=""),"VACIO","OK")</f>
        <v>VACIO</v>
      </c>
      <c r="U1307" s="303" t="str">
        <f>+CONCATENATE(WEEKNUM(Tabla8[[#This Row],[FECHA]]),"-",YEAR(Tabla8[[#This Row],[FECHA]]))</f>
        <v>20-2026</v>
      </c>
    </row>
    <row r="1308" spans="1:21" ht="15" customHeight="1">
      <c r="A1308" s="22">
        <v>46155</v>
      </c>
      <c r="B1308" s="16" t="s">
        <v>131</v>
      </c>
      <c r="C1308" s="10" t="s">
        <v>36</v>
      </c>
      <c r="D1308" s="381" t="s">
        <v>448</v>
      </c>
      <c r="E1308" s="381" t="s">
        <v>2450</v>
      </c>
      <c r="F1308" s="380">
        <f>+MOD(Tabla8[[#This Row],[HR. FIN]]-Tabla8[[#This Row],[HR. INICIO]],1)</f>
        <v>1.5972222222222221E-2</v>
      </c>
      <c r="G1308" s="16" t="s">
        <v>119</v>
      </c>
      <c r="H1308" s="343" t="str">
        <f>IFERROR(VLOOKUP(G1308,DATOS!$M$2:$N$219,2,FALSE),"")</f>
        <v>Maquinaria</v>
      </c>
      <c r="I1308" s="115" t="s">
        <v>32</v>
      </c>
      <c r="J1308" s="115" t="s">
        <v>157</v>
      </c>
      <c r="K1308" s="114"/>
      <c r="L1308" s="35" t="s">
        <v>2451</v>
      </c>
      <c r="M1308" s="35" t="s">
        <v>2452</v>
      </c>
      <c r="N1308" s="35" t="str" cm="1">
        <f t="array" ref="N1308">IFERROR(IF(Tabla8[[#This Row],[P/NP]]="NO PROGRAMADA","",_xlfn.TEXTJOIN(", ",TRUE,_xlfn._xlws.FILTER(Tabla4[[#All],[PIEZA]],ISNUMBER(SEARCH(Tabla4[[#All],[PCLAVE]],Tabla8[[#This Row],[DESCRIPCION DE TRABAJO]])),""))),"")</f>
        <v/>
      </c>
      <c r="O1308" s="35" t="str" cm="1">
        <f t="array" ref="O1308">_xlfn.TEXTJOIN(", ",TRUE,_xlfn._xlws.FILTER(Tabla28[[#All],[PARTE]],ISNUMBER(SEARCH(Tabla28[[#All],[PCLAVE2]],Tabla8[[#This Row],[DESCRIPCION DE TRABAJO]])),""))</f>
        <v/>
      </c>
      <c r="P1308" s="303" t="str">
        <f>IFERROR(LEFT(O1308, FIND(",", O1308)-1), O1308)</f>
        <v/>
      </c>
      <c r="Q1308" s="303" t="str">
        <f>IFERROR(IF(ISERROR(FIND(",", O1308, FIND(",", O1308)+1)), RIGHT(O1308, LEN(O1308)-FIND(",", O1308)-1), MID(O1308, FIND(",", O1308)+2, FIND(",", O1308, FIND(",", O1308)+1)-FIND(",", O1308)-2)), "")</f>
        <v/>
      </c>
      <c r="R1308" s="303" t="str">
        <f>IFERROR(RIGHT(O1308, LEN(O1308)-FIND(",", O1308, FIND(",", O1308)+1)-1), "")</f>
        <v/>
      </c>
      <c r="S1308" s="35" t="str" cm="1">
        <f t="array" ref="S1308">_xlfn.TEXTJOIN(", ",TRUE,_xlfn._xlws.FILTER(Tabla29[[#All],[PARTE]],ISNUMBER(SEARCH(Tabla29[[#All],[PCLAVE3]],Tabla8[[#This Row],[DESCRIPCION DE TRABAJO]])),""))</f>
        <v>Cambio De Formato</v>
      </c>
      <c r="T1308" s="34" t="str">
        <f>IF(AND(Tabla8[[#This Row],[PIEZA]]="",Tabla8[[#This Row],[PARTE]]=""),"VACIO","OK")</f>
        <v>VACIO</v>
      </c>
      <c r="U1308" s="303" t="str">
        <f>+CONCATENATE(WEEKNUM(Tabla8[[#This Row],[FECHA]]),"-",YEAR(Tabla8[[#This Row],[FECHA]]))</f>
        <v>20-2026</v>
      </c>
    </row>
    <row r="1309" spans="1:21" ht="15" customHeight="1">
      <c r="A1309" s="22">
        <v>46155</v>
      </c>
      <c r="B1309" s="16" t="s">
        <v>131</v>
      </c>
      <c r="C1309" s="10" t="s">
        <v>36</v>
      </c>
      <c r="D1309" s="381" t="s">
        <v>468</v>
      </c>
      <c r="E1309" s="381" t="s">
        <v>653</v>
      </c>
      <c r="F1309" s="380">
        <f>+MOD(Tabla8[[#This Row],[HR. FIN]]-Tabla8[[#This Row],[HR. INICIO]],1)</f>
        <v>1.3888888888888951E-2</v>
      </c>
      <c r="G1309" s="16" t="s">
        <v>98</v>
      </c>
      <c r="H1309" s="343" t="str">
        <f>IFERROR(VLOOKUP(G1309,DATOS!$M$2:$N$219,2,FALSE),"")</f>
        <v>Maquinaria</v>
      </c>
      <c r="I1309" s="115" t="s">
        <v>54</v>
      </c>
      <c r="J1309" s="115" t="s">
        <v>157</v>
      </c>
      <c r="K1309" s="114"/>
      <c r="L1309" s="35" t="s">
        <v>2453</v>
      </c>
      <c r="M1309" s="35" t="s">
        <v>121</v>
      </c>
      <c r="N1309" s="35" t="str" cm="1">
        <f t="array" ref="N1309">IFERROR(IF(Tabla8[[#This Row],[P/NP]]="NO PROGRAMADA","",_xlfn.TEXTJOIN(", ",TRUE,_xlfn._xlws.FILTER(Tabla4[[#All],[PIEZA]],ISNUMBER(SEARCH(Tabla4[[#All],[PCLAVE]],Tabla8[[#This Row],[DESCRIPCION DE TRABAJO]])),""))),"")</f>
        <v/>
      </c>
      <c r="O1309" s="35" t="str" cm="1">
        <f t="array" ref="O1309">_xlfn.TEXTJOIN(", ",TRUE,_xlfn._xlws.FILTER(Tabla28[[#All],[PARTE]],ISNUMBER(SEARCH(Tabla28[[#All],[PCLAVE2]],Tabla8[[#This Row],[DESCRIPCION DE TRABAJO]])),""))</f>
        <v/>
      </c>
      <c r="P1309" s="303" t="str">
        <f>IFERROR(LEFT(O1309, FIND(",", O1309)-1), O1309)</f>
        <v/>
      </c>
      <c r="Q1309" s="303" t="str">
        <f>IFERROR(IF(ISERROR(FIND(",", O1309, FIND(",", O1309)+1)), RIGHT(O1309, LEN(O1309)-FIND(",", O1309)-1), MID(O1309, FIND(",", O1309)+2, FIND(",", O1309, FIND(",", O1309)+1)-FIND(",", O1309)-2)), "")</f>
        <v/>
      </c>
      <c r="R1309" s="303" t="str">
        <f>IFERROR(RIGHT(O1309, LEN(O1309)-FIND(",", O1309, FIND(",", O1309)+1)-1), "")</f>
        <v/>
      </c>
      <c r="S1309" s="35" t="str" cm="1">
        <f t="array" ref="S1309">_xlfn.TEXTJOIN(", ",TRUE,_xlfn._xlws.FILTER(Tabla29[[#All],[PARTE]],ISNUMBER(SEARCH(Tabla29[[#All],[PCLAVE3]],Tabla8[[#This Row],[DESCRIPCION DE TRABAJO]])),""))</f>
        <v/>
      </c>
      <c r="T1309" s="34" t="str">
        <f>IF(AND(Tabla8[[#This Row],[PIEZA]]="",Tabla8[[#This Row],[PARTE]]=""),"VACIO","OK")</f>
        <v>VACIO</v>
      </c>
      <c r="U1309" s="303" t="str">
        <f>+CONCATENATE(WEEKNUM(Tabla8[[#This Row],[FECHA]]),"-",YEAR(Tabla8[[#This Row],[FECHA]]))</f>
        <v>20-2026</v>
      </c>
    </row>
    <row r="1310" spans="1:21" ht="15" customHeight="1">
      <c r="A1310" s="22">
        <v>46155</v>
      </c>
      <c r="B1310" s="16" t="s">
        <v>131</v>
      </c>
      <c r="C1310" s="10" t="s">
        <v>36</v>
      </c>
      <c r="D1310" s="381" t="s">
        <v>1176</v>
      </c>
      <c r="E1310" s="381" t="s">
        <v>126</v>
      </c>
      <c r="F1310" s="380">
        <f>+MOD(Tabla8[[#This Row],[HR. FIN]]-Tabla8[[#This Row],[HR. INICIO]],1)</f>
        <v>1.3888888888888895E-2</v>
      </c>
      <c r="G1310" s="16" t="s">
        <v>114</v>
      </c>
      <c r="H1310" s="343" t="str">
        <f>IFERROR(VLOOKUP(G1310,DATOS!$M$2:$N$219,2,FALSE),"")</f>
        <v>Maquinaria</v>
      </c>
      <c r="I1310" s="115" t="s">
        <v>54</v>
      </c>
      <c r="J1310" s="115" t="s">
        <v>92</v>
      </c>
      <c r="K1310" s="114" t="s">
        <v>148</v>
      </c>
      <c r="L1310" s="35" t="s">
        <v>2454</v>
      </c>
      <c r="M1310" s="35" t="s">
        <v>2455</v>
      </c>
      <c r="N1310" s="35" t="str" cm="1">
        <f t="array" ref="N1310">IFERROR(IF(Tabla8[[#This Row],[P/NP]]="NO PROGRAMADA","",_xlfn.TEXTJOIN(", ",TRUE,_xlfn._xlws.FILTER(Tabla4[[#All],[PIEZA]],ISNUMBER(SEARCH(Tabla4[[#All],[PCLAVE]],Tabla8[[#This Row],[DESCRIPCION DE TRABAJO]])),""))),"")</f>
        <v/>
      </c>
      <c r="O1310" s="35" t="str" cm="1">
        <f t="array" ref="O1310">_xlfn.TEXTJOIN(", ",TRUE,_xlfn._xlws.FILTER(Tabla28[[#All],[PARTE]],ISNUMBER(SEARCH(Tabla28[[#All],[PCLAVE2]],Tabla8[[#This Row],[DESCRIPCION DE TRABAJO]])),""))</f>
        <v/>
      </c>
      <c r="P1310" s="303" t="str">
        <f>IFERROR(LEFT(O1310, FIND(",", O1310)-1), O1310)</f>
        <v/>
      </c>
      <c r="Q1310" s="303" t="str">
        <f>IFERROR(IF(ISERROR(FIND(",", O1310, FIND(",", O1310)+1)), RIGHT(O1310, LEN(O1310)-FIND(",", O1310)-1), MID(O1310, FIND(",", O1310)+2, FIND(",", O1310, FIND(",", O1310)+1)-FIND(",", O1310)-2)), "")</f>
        <v/>
      </c>
      <c r="R1310" s="303" t="str">
        <f>IFERROR(RIGHT(O1310, LEN(O1310)-FIND(",", O1310, FIND(",", O1310)+1)-1), "")</f>
        <v/>
      </c>
      <c r="S1310" s="35" t="str" cm="1">
        <f t="array" ref="S1310">_xlfn.TEXTJOIN(", ",TRUE,_xlfn._xlws.FILTER(Tabla29[[#All],[PARTE]],ISNUMBER(SEARCH(Tabla29[[#All],[PCLAVE3]],Tabla8[[#This Row],[DESCRIPCION DE TRABAJO]])),""))</f>
        <v>No Enciende</v>
      </c>
      <c r="T1310" s="34" t="str">
        <f>IF(AND(Tabla8[[#This Row],[PIEZA]]="",Tabla8[[#This Row],[PARTE]]=""),"VACIO","OK")</f>
        <v>VACIO</v>
      </c>
      <c r="U1310" s="303" t="str">
        <f>+CONCATENATE(WEEKNUM(Tabla8[[#This Row],[FECHA]]),"-",YEAR(Tabla8[[#This Row],[FECHA]]))</f>
        <v>20-2026</v>
      </c>
    </row>
    <row r="1311" spans="1:21" ht="15" customHeight="1">
      <c r="A1311" s="22">
        <v>46155</v>
      </c>
      <c r="B1311" s="16" t="s">
        <v>131</v>
      </c>
      <c r="C1311" s="10" t="s">
        <v>36</v>
      </c>
      <c r="D1311" s="381" t="s">
        <v>462</v>
      </c>
      <c r="E1311" s="381" t="s">
        <v>159</v>
      </c>
      <c r="F1311" s="380">
        <f>+MOD(Tabla8[[#This Row],[HR. FIN]]-Tabla8[[#This Row],[HR. INICIO]],1)</f>
        <v>1.3888888888888895E-2</v>
      </c>
      <c r="G1311" s="16" t="s">
        <v>147</v>
      </c>
      <c r="H1311" s="343" t="str">
        <f>IFERROR(VLOOKUP(G1311,DATOS!$M$2:$N$219,2,FALSE),"")</f>
        <v>Maquinaria</v>
      </c>
      <c r="I1311" s="115" t="s">
        <v>186</v>
      </c>
      <c r="J1311" s="115" t="s">
        <v>92</v>
      </c>
      <c r="K1311" s="114" t="s">
        <v>93</v>
      </c>
      <c r="L1311" s="35" t="s">
        <v>2456</v>
      </c>
      <c r="M1311" s="35" t="s">
        <v>2457</v>
      </c>
      <c r="N1311" s="35" t="str" cm="1">
        <f t="array" ref="N1311">IFERROR(IF(Tabla8[[#This Row],[P/NP]]="NO PROGRAMADA","",_xlfn.TEXTJOIN(", ",TRUE,_xlfn._xlws.FILTER(Tabla4[[#All],[PIEZA]],ISNUMBER(SEARCH(Tabla4[[#All],[PCLAVE]],Tabla8[[#This Row],[DESCRIPCION DE TRABAJO]])),""))),"")</f>
        <v/>
      </c>
      <c r="O1311" s="35" t="str" cm="1">
        <f t="array" ref="O1311">_xlfn.TEXTJOIN(", ",TRUE,_xlfn._xlws.FILTER(Tabla28[[#All],[PARTE]],ISNUMBER(SEARCH(Tabla28[[#All],[PCLAVE2]],Tabla8[[#This Row],[DESCRIPCION DE TRABAJO]])),""))</f>
        <v>Codificador</v>
      </c>
      <c r="P1311" s="303" t="str">
        <f>IFERROR(LEFT(O1311, FIND(",", O1311)-1), O1311)</f>
        <v>Codificador</v>
      </c>
      <c r="Q1311" s="303" t="str">
        <f>IFERROR(IF(ISERROR(FIND(",", O1311, FIND(",", O1311)+1)), RIGHT(O1311, LEN(O1311)-FIND(",", O1311)-1), MID(O1311, FIND(",", O1311)+2, FIND(",", O1311, FIND(",", O1311)+1)-FIND(",", O1311)-2)), "")</f>
        <v/>
      </c>
      <c r="R1311" s="303" t="str">
        <f>IFERROR(RIGHT(O1311, LEN(O1311)-FIND(",", O1311, FIND(",", O1311)+1)-1), "")</f>
        <v/>
      </c>
      <c r="S1311" s="35" t="str" cm="1">
        <f t="array" ref="S1311">_xlfn.TEXTJOIN(", ",TRUE,_xlfn._xlws.FILTER(Tabla29[[#All],[PARTE]],ISNUMBER(SEARCH(Tabla29[[#All],[PCLAVE3]],Tabla8[[#This Row],[DESCRIPCION DE TRABAJO]])),""))</f>
        <v>Dañado, Soltura</v>
      </c>
      <c r="T1311" s="34" t="str">
        <f>IF(AND(Tabla8[[#This Row],[PIEZA]]="",Tabla8[[#This Row],[PARTE]]=""),"VACIO","OK")</f>
        <v>OK</v>
      </c>
      <c r="U1311" s="303" t="str">
        <f>+CONCATENATE(WEEKNUM(Tabla8[[#This Row],[FECHA]]),"-",YEAR(Tabla8[[#This Row],[FECHA]]))</f>
        <v>20-2026</v>
      </c>
    </row>
    <row r="1312" spans="1:21" ht="15" customHeight="1">
      <c r="A1312" s="22">
        <v>46155</v>
      </c>
      <c r="B1312" s="16" t="s">
        <v>131</v>
      </c>
      <c r="C1312" s="10" t="s">
        <v>36</v>
      </c>
      <c r="D1312" s="381" t="s">
        <v>2252</v>
      </c>
      <c r="E1312" s="381" t="s">
        <v>96</v>
      </c>
      <c r="F1312" s="380">
        <f>+MOD(Tabla8[[#This Row],[HR. FIN]]-Tabla8[[#This Row],[HR. INICIO]],1)</f>
        <v>1.3888888888888895E-2</v>
      </c>
      <c r="G1312" s="16" t="s">
        <v>128</v>
      </c>
      <c r="H1312" s="343" t="str">
        <f>IFERROR(VLOOKUP(G1312,DATOS!$M$2:$N$219,2,FALSE),"")</f>
        <v>Maquinaria</v>
      </c>
      <c r="I1312" s="115" t="s">
        <v>28</v>
      </c>
      <c r="J1312" s="115" t="s">
        <v>92</v>
      </c>
      <c r="K1312" s="114" t="s">
        <v>148</v>
      </c>
      <c r="L1312" s="35" t="s">
        <v>2458</v>
      </c>
      <c r="M1312" s="35" t="s">
        <v>2459</v>
      </c>
      <c r="N1312" s="35" t="str" cm="1">
        <f t="array" ref="N1312">IFERROR(IF(Tabla8[[#This Row],[P/NP]]="NO PROGRAMADA","",_xlfn.TEXTJOIN(", ",TRUE,_xlfn._xlws.FILTER(Tabla4[[#All],[PIEZA]],ISNUMBER(SEARCH(Tabla4[[#All],[PCLAVE]],Tabla8[[#This Row],[DESCRIPCION DE TRABAJO]])),""))),"")</f>
        <v/>
      </c>
      <c r="O1312" s="35" t="str" cm="1">
        <f t="array" ref="O1312">_xlfn.TEXTJOIN(", ",TRUE,_xlfn._xlws.FILTER(Tabla28[[#All],[PARTE]],ISNUMBER(SEARCH(Tabla28[[#All],[PCLAVE2]],Tabla8[[#This Row],[DESCRIPCION DE TRABAJO]])),""))</f>
        <v/>
      </c>
      <c r="P1312" s="303" t="str">
        <f>IFERROR(LEFT(O1312, FIND(",", O1312)-1), O1312)</f>
        <v/>
      </c>
      <c r="Q1312" s="303" t="str">
        <f>IFERROR(IF(ISERROR(FIND(",", O1312, FIND(",", O1312)+1)), RIGHT(O1312, LEN(O1312)-FIND(",", O1312)-1), MID(O1312, FIND(",", O1312)+2, FIND(",", O1312, FIND(",", O1312)+1)-FIND(",", O1312)-2)), "")</f>
        <v/>
      </c>
      <c r="R1312" s="303" t="str">
        <f>IFERROR(RIGHT(O1312, LEN(O1312)-FIND(",", O1312, FIND(",", O1312)+1)-1), "")</f>
        <v/>
      </c>
      <c r="S1312" s="35" t="str" cm="1">
        <f t="array" ref="S1312">_xlfn.TEXTJOIN(", ",TRUE,_xlfn._xlws.FILTER(Tabla29[[#All],[PARTE]],ISNUMBER(SEARCH(Tabla29[[#All],[PCLAVE3]],Tabla8[[#This Row],[DESCRIPCION DE TRABAJO]])),""))</f>
        <v/>
      </c>
      <c r="T1312" s="34" t="str">
        <f>IF(AND(Tabla8[[#This Row],[PIEZA]]="",Tabla8[[#This Row],[PARTE]]=""),"VACIO","OK")</f>
        <v>VACIO</v>
      </c>
      <c r="U1312" s="303" t="str">
        <f>+CONCATENATE(WEEKNUM(Tabla8[[#This Row],[FECHA]]),"-",YEAR(Tabla8[[#This Row],[FECHA]]))</f>
        <v>20-2026</v>
      </c>
    </row>
    <row r="1313" spans="1:21" ht="15" customHeight="1">
      <c r="A1313" s="22">
        <v>46155</v>
      </c>
      <c r="B1313" s="16" t="s">
        <v>88</v>
      </c>
      <c r="C1313" s="10" t="s">
        <v>36</v>
      </c>
      <c r="D1313" s="381" t="s">
        <v>468</v>
      </c>
      <c r="E1313" s="381" t="s">
        <v>608</v>
      </c>
      <c r="F1313" s="380">
        <f>+MOD(Tabla8[[#This Row],[HR. FIN]]-Tabla8[[#This Row],[HR. INICIO]],1)</f>
        <v>1.0416666666666741E-2</v>
      </c>
      <c r="G1313" s="16" t="s">
        <v>192</v>
      </c>
      <c r="H1313" s="343" t="str">
        <f>IFERROR(VLOOKUP(G1313,DATOS!$M$2:$N$219,2,FALSE),"")</f>
        <v>Maquinaria</v>
      </c>
      <c r="I1313" s="115" t="s">
        <v>57</v>
      </c>
      <c r="J1313" s="115" t="s">
        <v>92</v>
      </c>
      <c r="K1313" s="114" t="s">
        <v>148</v>
      </c>
      <c r="L1313" s="35" t="s">
        <v>2460</v>
      </c>
      <c r="M1313" s="35" t="s">
        <v>2461</v>
      </c>
      <c r="N1313" s="35" t="str" cm="1">
        <f t="array" ref="N1313">IFERROR(IF(Tabla8[[#This Row],[P/NP]]="NO PROGRAMADA","",_xlfn.TEXTJOIN(", ",TRUE,_xlfn._xlws.FILTER(Tabla4[[#All],[PIEZA]],ISNUMBER(SEARCH(Tabla4[[#All],[PCLAVE]],Tabla8[[#This Row],[DESCRIPCION DE TRABAJO]])),""))),"")</f>
        <v/>
      </c>
      <c r="O1313" s="35" t="str" cm="1">
        <f t="array" ref="O1313">_xlfn.TEXTJOIN(", ",TRUE,_xlfn._xlws.FILTER(Tabla28[[#All],[PARTE]],ISNUMBER(SEARCH(Tabla28[[#All],[PCLAVE2]],Tabla8[[#This Row],[DESCRIPCION DE TRABAJO]])),""))</f>
        <v/>
      </c>
      <c r="P1313" s="303" t="str">
        <f>IFERROR(LEFT(O1313, FIND(",", O1313)-1), O1313)</f>
        <v/>
      </c>
      <c r="Q1313" s="303" t="str">
        <f>IFERROR(IF(ISERROR(FIND(",", O1313, FIND(",", O1313)+1)), RIGHT(O1313, LEN(O1313)-FIND(",", O1313)-1), MID(O1313, FIND(",", O1313)+2, FIND(",", O1313, FIND(",", O1313)+1)-FIND(",", O1313)-2)), "")</f>
        <v/>
      </c>
      <c r="R1313" s="303" t="str">
        <f>IFERROR(RIGHT(O1313, LEN(O1313)-FIND(",", O1313, FIND(",", O1313)+1)-1), "")</f>
        <v/>
      </c>
      <c r="S1313" s="35" t="str" cm="1">
        <f t="array" ref="S1313">_xlfn.TEXTJOIN(", ",TRUE,_xlfn._xlws.FILTER(Tabla29[[#All],[PARTE]],ISNUMBER(SEARCH(Tabla29[[#All],[PCLAVE3]],Tabla8[[#This Row],[DESCRIPCION DE TRABAJO]])),""))</f>
        <v/>
      </c>
      <c r="T1313" s="34" t="str">
        <f>IF(AND(Tabla8[[#This Row],[PIEZA]]="",Tabla8[[#This Row],[PARTE]]=""),"VACIO","OK")</f>
        <v>VACIO</v>
      </c>
      <c r="U1313" s="303" t="str">
        <f>+CONCATENATE(WEEKNUM(Tabla8[[#This Row],[FECHA]]),"-",YEAR(Tabla8[[#This Row],[FECHA]]))</f>
        <v>20-2026</v>
      </c>
    </row>
    <row r="1314" spans="1:21" ht="15" customHeight="1">
      <c r="A1314" s="22">
        <v>46155</v>
      </c>
      <c r="B1314" s="16" t="s">
        <v>88</v>
      </c>
      <c r="C1314" s="10" t="s">
        <v>36</v>
      </c>
      <c r="D1314" s="381" t="s">
        <v>96</v>
      </c>
      <c r="E1314" s="381" t="s">
        <v>523</v>
      </c>
      <c r="F1314" s="380">
        <f>+MOD(Tabla8[[#This Row],[HR. FIN]]-Tabla8[[#This Row],[HR. INICIO]],1)</f>
        <v>1.041666666666663E-2</v>
      </c>
      <c r="G1314" s="16" t="s">
        <v>192</v>
      </c>
      <c r="H1314" s="343" t="str">
        <f>IFERROR(VLOOKUP(G1314,DATOS!$M$2:$N$219,2,FALSE),"")</f>
        <v>Maquinaria</v>
      </c>
      <c r="I1314" s="115" t="s">
        <v>57</v>
      </c>
      <c r="J1314" s="115" t="s">
        <v>157</v>
      </c>
      <c r="K1314" s="114"/>
      <c r="L1314" s="35" t="s">
        <v>2462</v>
      </c>
      <c r="M1314" s="35" t="s">
        <v>2463</v>
      </c>
      <c r="N1314" s="35" t="str" cm="1">
        <f t="array" ref="N1314">IFERROR(IF(Tabla8[[#This Row],[P/NP]]="NO PROGRAMADA","",_xlfn.TEXTJOIN(", ",TRUE,_xlfn._xlws.FILTER(Tabla4[[#All],[PIEZA]],ISNUMBER(SEARCH(Tabla4[[#All],[PCLAVE]],Tabla8[[#This Row],[DESCRIPCION DE TRABAJO]])),""))),"")</f>
        <v>Gomas</v>
      </c>
      <c r="O1314" s="35" t="str" cm="1">
        <f t="array" ref="O1314">_xlfn.TEXTJOIN(", ",TRUE,_xlfn._xlws.FILTER(Tabla28[[#All],[PARTE]],ISNUMBER(SEARCH(Tabla28[[#All],[PCLAVE2]],Tabla8[[#This Row],[DESCRIPCION DE TRABAJO]])),""))</f>
        <v/>
      </c>
      <c r="P1314" s="303" t="str">
        <f>IFERROR(LEFT(O1314, FIND(",", O1314)-1), O1314)</f>
        <v/>
      </c>
      <c r="Q1314" s="303" t="str">
        <f>IFERROR(IF(ISERROR(FIND(",", O1314, FIND(",", O1314)+1)), RIGHT(O1314, LEN(O1314)-FIND(",", O1314)-1), MID(O1314, FIND(",", O1314)+2, FIND(",", O1314, FIND(",", O1314)+1)-FIND(",", O1314)-2)), "")</f>
        <v/>
      </c>
      <c r="R1314" s="303" t="str">
        <f>IFERROR(RIGHT(O1314, LEN(O1314)-FIND(",", O1314, FIND(",", O1314)+1)-1), "")</f>
        <v/>
      </c>
      <c r="S1314" s="35" t="str" cm="1">
        <f t="array" ref="S1314">_xlfn.TEXTJOIN(", ",TRUE,_xlfn._xlws.FILTER(Tabla29[[#All],[PARTE]],ISNUMBER(SEARCH(Tabla29[[#All],[PCLAVE3]],Tabla8[[#This Row],[DESCRIPCION DE TRABAJO]])),""))</f>
        <v>Calibracion</v>
      </c>
      <c r="T1314" s="34" t="str">
        <f>IF(AND(Tabla8[[#This Row],[PIEZA]]="",Tabla8[[#This Row],[PARTE]]=""),"VACIO","OK")</f>
        <v>OK</v>
      </c>
      <c r="U1314" s="303" t="str">
        <f>+CONCATENATE(WEEKNUM(Tabla8[[#This Row],[FECHA]]),"-",YEAR(Tabla8[[#This Row],[FECHA]]))</f>
        <v>20-2026</v>
      </c>
    </row>
    <row r="1315" spans="1:21" ht="15" customHeight="1">
      <c r="A1315" s="22">
        <v>46155</v>
      </c>
      <c r="B1315" s="16" t="s">
        <v>131</v>
      </c>
      <c r="C1315" s="10" t="s">
        <v>36</v>
      </c>
      <c r="D1315" s="381" t="s">
        <v>670</v>
      </c>
      <c r="E1315" s="381" t="s">
        <v>2112</v>
      </c>
      <c r="F1315" s="380">
        <f>+MOD(Tabla8[[#This Row],[HR. FIN]]-Tabla8[[#This Row],[HR. INICIO]],1)</f>
        <v>9.7222222222222432E-3</v>
      </c>
      <c r="G1315" s="16" t="s">
        <v>128</v>
      </c>
      <c r="H1315" s="343" t="str">
        <f>IFERROR(VLOOKUP(G1315,DATOS!$M$2:$N$219,2,FALSE),"")</f>
        <v>Maquinaria</v>
      </c>
      <c r="I1315" s="115" t="s">
        <v>57</v>
      </c>
      <c r="J1315" s="115" t="s">
        <v>92</v>
      </c>
      <c r="K1315" s="114" t="s">
        <v>93</v>
      </c>
      <c r="L1315" s="35" t="s">
        <v>2464</v>
      </c>
      <c r="M1315" s="35" t="s">
        <v>2465</v>
      </c>
      <c r="N1315" s="35" t="str" cm="1">
        <f t="array" ref="N1315">IFERROR(IF(Tabla8[[#This Row],[P/NP]]="NO PROGRAMADA","",_xlfn.TEXTJOIN(", ",TRUE,_xlfn._xlws.FILTER(Tabla4[[#All],[PIEZA]],ISNUMBER(SEARCH(Tabla4[[#All],[PCLAVE]],Tabla8[[#This Row],[DESCRIPCION DE TRABAJO]])),""))),"")</f>
        <v/>
      </c>
      <c r="O1315" s="35" t="str" cm="1">
        <f t="array" ref="O1315">_xlfn.TEXTJOIN(", ",TRUE,_xlfn._xlws.FILTER(Tabla28[[#All],[PARTE]],ISNUMBER(SEARCH(Tabla28[[#All],[PCLAVE2]],Tabla8[[#This Row],[DESCRIPCION DE TRABAJO]])),""))</f>
        <v/>
      </c>
      <c r="P1315" s="303" t="str">
        <f>IFERROR(LEFT(O1315, FIND(",", O1315)-1), O1315)</f>
        <v/>
      </c>
      <c r="Q1315" s="303" t="str">
        <f>IFERROR(IF(ISERROR(FIND(",", O1315, FIND(",", O1315)+1)), RIGHT(O1315, LEN(O1315)-FIND(",", O1315)-1), MID(O1315, FIND(",", O1315)+2, FIND(",", O1315, FIND(",", O1315)+1)-FIND(",", O1315)-2)), "")</f>
        <v/>
      </c>
      <c r="R1315" s="303" t="str">
        <f>IFERROR(RIGHT(O1315, LEN(O1315)-FIND(",", O1315, FIND(",", O1315)+1)-1), "")</f>
        <v/>
      </c>
      <c r="S1315" s="35" t="str" cm="1">
        <f t="array" ref="S1315">_xlfn.TEXTJOIN(", ",TRUE,_xlfn._xlws.FILTER(Tabla29[[#All],[PARTE]],ISNUMBER(SEARCH(Tabla29[[#All],[PCLAVE3]],Tabla8[[#This Row],[DESCRIPCION DE TRABAJO]])),""))</f>
        <v>Laminado, No Corta</v>
      </c>
      <c r="T1315" s="34" t="str">
        <f>IF(AND(Tabla8[[#This Row],[PIEZA]]="",Tabla8[[#This Row],[PARTE]]=""),"VACIO","OK")</f>
        <v>VACIO</v>
      </c>
      <c r="U1315" s="303" t="str">
        <f>+CONCATENATE(WEEKNUM(Tabla8[[#This Row],[FECHA]]),"-",YEAR(Tabla8[[#This Row],[FECHA]]))</f>
        <v>20-2026</v>
      </c>
    </row>
    <row r="1316" spans="1:21" ht="15" customHeight="1">
      <c r="A1316" s="22">
        <v>46155</v>
      </c>
      <c r="B1316" s="16" t="s">
        <v>131</v>
      </c>
      <c r="C1316" s="10" t="s">
        <v>36</v>
      </c>
      <c r="D1316" s="381" t="s">
        <v>2466</v>
      </c>
      <c r="E1316" s="381" t="s">
        <v>1167</v>
      </c>
      <c r="F1316" s="380">
        <f>+MOD(Tabla8[[#This Row],[HR. FIN]]-Tabla8[[#This Row],[HR. INICIO]],1)</f>
        <v>8.3333333333333592E-3</v>
      </c>
      <c r="G1316" s="16" t="s">
        <v>2256</v>
      </c>
      <c r="H1316" s="343" t="str">
        <f>IFERROR(VLOOKUP(G1316,DATOS!$M$2:$N$219,2,FALSE),"")</f>
        <v>Maquinaria</v>
      </c>
      <c r="I1316" s="115" t="s">
        <v>390</v>
      </c>
      <c r="J1316" s="115" t="s">
        <v>92</v>
      </c>
      <c r="K1316" s="114" t="s">
        <v>148</v>
      </c>
      <c r="L1316" s="35" t="s">
        <v>2467</v>
      </c>
      <c r="M1316" s="35" t="s">
        <v>2468</v>
      </c>
      <c r="N1316" s="35" t="str" cm="1">
        <f t="array" ref="N1316">IFERROR(IF(Tabla8[[#This Row],[P/NP]]="NO PROGRAMADA","",_xlfn.TEXTJOIN(", ",TRUE,_xlfn._xlws.FILTER(Tabla4[[#All],[PIEZA]],ISNUMBER(SEARCH(Tabla4[[#All],[PCLAVE]],Tabla8[[#This Row],[DESCRIPCION DE TRABAJO]])),""))),"")</f>
        <v/>
      </c>
      <c r="O1316" s="35" t="str" cm="1">
        <f t="array" ref="O1316">_xlfn.TEXTJOIN(", ",TRUE,_xlfn._xlws.FILTER(Tabla28[[#All],[PARTE]],ISNUMBER(SEARCH(Tabla28[[#All],[PCLAVE2]],Tabla8[[#This Row],[DESCRIPCION DE TRABAJO]])),""))</f>
        <v/>
      </c>
      <c r="P1316" s="303" t="str">
        <f>IFERROR(LEFT(O1316, FIND(",", O1316)-1), O1316)</f>
        <v/>
      </c>
      <c r="Q1316" s="303" t="str">
        <f>IFERROR(IF(ISERROR(FIND(",", O1316, FIND(",", O1316)+1)), RIGHT(O1316, LEN(O1316)-FIND(",", O1316)-1), MID(O1316, FIND(",", O1316)+2, FIND(",", O1316, FIND(",", O1316)+1)-FIND(",", O1316)-2)), "")</f>
        <v/>
      </c>
      <c r="R1316" s="303" t="str">
        <f>IFERROR(RIGHT(O1316, LEN(O1316)-FIND(",", O1316, FIND(",", O1316)+1)-1), "")</f>
        <v/>
      </c>
      <c r="S1316" s="35" t="str" cm="1">
        <f t="array" ref="S1316">_xlfn.TEXTJOIN(", ",TRUE,_xlfn._xlws.FILTER(Tabla29[[#All],[PARTE]],ISNUMBER(SEARCH(Tabla29[[#All],[PCLAVE3]],Tabla8[[#This Row],[DESCRIPCION DE TRABAJO]])),""))</f>
        <v/>
      </c>
      <c r="T1316" s="34" t="str">
        <f>IF(AND(Tabla8[[#This Row],[PIEZA]]="",Tabla8[[#This Row],[PARTE]]=""),"VACIO","OK")</f>
        <v>VACIO</v>
      </c>
      <c r="U1316" s="303" t="str">
        <f>+CONCATENATE(WEEKNUM(Tabla8[[#This Row],[FECHA]]),"-",YEAR(Tabla8[[#This Row],[FECHA]]))</f>
        <v>20-2026</v>
      </c>
    </row>
    <row r="1317" spans="1:21" ht="15" customHeight="1">
      <c r="A1317" s="22">
        <v>46155</v>
      </c>
      <c r="B1317" s="16" t="s">
        <v>111</v>
      </c>
      <c r="C1317" s="10" t="s">
        <v>39</v>
      </c>
      <c r="D1317" s="381" t="s">
        <v>1278</v>
      </c>
      <c r="E1317" s="381" t="s">
        <v>397</v>
      </c>
      <c r="F1317" s="380">
        <f>+MOD(Tabla8[[#This Row],[HR. FIN]]-Tabla8[[#This Row],[HR. INICIO]],1)</f>
        <v>6.9444444444444475E-3</v>
      </c>
      <c r="G1317" s="16" t="s">
        <v>169</v>
      </c>
      <c r="H1317" s="343" t="str">
        <f>IFERROR(VLOOKUP(G1317,DATOS!$M$2:$N$219,2,FALSE),"")</f>
        <v>Maquinaria</v>
      </c>
      <c r="I1317" s="115" t="s">
        <v>32</v>
      </c>
      <c r="J1317" s="115" t="s">
        <v>157</v>
      </c>
      <c r="K1317" s="114"/>
      <c r="L1317" s="35" t="s">
        <v>960</v>
      </c>
      <c r="M1317" s="35" t="s">
        <v>121</v>
      </c>
      <c r="N1317" s="35" t="str" cm="1">
        <f t="array" ref="N1317">IFERROR(IF(Tabla8[[#This Row],[P/NP]]="NO PROGRAMADA","",_xlfn.TEXTJOIN(", ",TRUE,_xlfn._xlws.FILTER(Tabla4[[#All],[PIEZA]],ISNUMBER(SEARCH(Tabla4[[#All],[PCLAVE]],Tabla8[[#This Row],[DESCRIPCION DE TRABAJO]])),""))),"")</f>
        <v/>
      </c>
      <c r="O1317" s="35" t="str" cm="1">
        <f t="array" ref="O1317">_xlfn.TEXTJOIN(", ",TRUE,_xlfn._xlws.FILTER(Tabla28[[#All],[PARTE]],ISNUMBER(SEARCH(Tabla28[[#All],[PCLAVE2]],Tabla8[[#This Row],[DESCRIPCION DE TRABAJO]])),""))</f>
        <v/>
      </c>
      <c r="P1317" s="303" t="str">
        <f>IFERROR(LEFT(O1317, FIND(",", O1317)-1), O1317)</f>
        <v/>
      </c>
      <c r="Q1317" s="303" t="str">
        <f>IFERROR(IF(ISERROR(FIND(",", O1317, FIND(",", O1317)+1)), RIGHT(O1317, LEN(O1317)-FIND(",", O1317)-1), MID(O1317, FIND(",", O1317)+2, FIND(",", O1317, FIND(",", O1317)+1)-FIND(",", O1317)-2)), "")</f>
        <v/>
      </c>
      <c r="R1317" s="303" t="str">
        <f>IFERROR(RIGHT(O1317, LEN(O1317)-FIND(",", O1317, FIND(",", O1317)+1)-1), "")</f>
        <v/>
      </c>
      <c r="S1317" s="35" t="str" cm="1">
        <f t="array" ref="S1317">_xlfn.TEXTJOIN(", ",TRUE,_xlfn._xlws.FILTER(Tabla29[[#All],[PARTE]],ISNUMBER(SEARCH(Tabla29[[#All],[PCLAVE3]],Tabla8[[#This Row],[DESCRIPCION DE TRABAJO]])),""))</f>
        <v/>
      </c>
      <c r="T1317" s="34" t="str">
        <f>IF(AND(Tabla8[[#This Row],[PIEZA]]="",Tabla8[[#This Row],[PARTE]]=""),"VACIO","OK")</f>
        <v>VACIO</v>
      </c>
      <c r="U1317" s="303" t="str">
        <f>+CONCATENATE(WEEKNUM(Tabla8[[#This Row],[FECHA]]),"-",YEAR(Tabla8[[#This Row],[FECHA]]))</f>
        <v>20-2026</v>
      </c>
    </row>
    <row r="1318" spans="1:21" ht="15" customHeight="1">
      <c r="A1318" s="22">
        <v>46156</v>
      </c>
      <c r="B1318" s="16" t="s">
        <v>179</v>
      </c>
      <c r="C1318" s="10" t="s">
        <v>36</v>
      </c>
      <c r="D1318" s="381">
        <v>0.625</v>
      </c>
      <c r="E1318" s="381" t="s">
        <v>957</v>
      </c>
      <c r="F1318" s="380">
        <f>+MOD(Tabla8[[#This Row],[HR. FIN]]-Tabla8[[#This Row],[HR. INICIO]],1)</f>
        <v>0.125</v>
      </c>
      <c r="G1318" s="16" t="s">
        <v>119</v>
      </c>
      <c r="H1318" s="343" t="str">
        <f>IFERROR(VLOOKUP(G1318,DATOS!$M$2:$N$219,2,FALSE),"")</f>
        <v>Maquinaria</v>
      </c>
      <c r="I1318" s="115" t="s">
        <v>57</v>
      </c>
      <c r="J1318" s="115" t="s">
        <v>92</v>
      </c>
      <c r="K1318" s="114" t="s">
        <v>93</v>
      </c>
      <c r="L1318" s="35" t="s">
        <v>2469</v>
      </c>
      <c r="M1318" s="35" t="s">
        <v>2470</v>
      </c>
      <c r="N1318" s="35" t="str" cm="1">
        <f t="array" ref="N1318">IFERROR(IF(Tabla8[[#This Row],[P/NP]]="NO PROGRAMADA","",_xlfn.TEXTJOIN(", ",TRUE,_xlfn._xlws.FILTER(Tabla4[[#All],[PIEZA]],ISNUMBER(SEARCH(Tabla4[[#All],[PCLAVE]],Tabla8[[#This Row],[DESCRIPCION DE TRABAJO]])),""))),"")</f>
        <v/>
      </c>
      <c r="O1318" s="35" t="str" cm="1">
        <f t="array" ref="O1318">_xlfn.TEXTJOIN(", ",TRUE,_xlfn._xlws.FILTER(Tabla28[[#All],[PARTE]],ISNUMBER(SEARCH(Tabla28[[#All],[PCLAVE2]],Tabla8[[#This Row],[DESCRIPCION DE TRABAJO]])),""))</f>
        <v>Temperadora</v>
      </c>
      <c r="P1318" s="303" t="str">
        <f>IFERROR(LEFT(O1318, FIND(",", O1318)-1), O1318)</f>
        <v>Temperadora</v>
      </c>
      <c r="Q1318" s="303" t="str">
        <f>IFERROR(IF(ISERROR(FIND(",", O1318, FIND(",", O1318)+1)), RIGHT(O1318, LEN(O1318)-FIND(",", O1318)-1), MID(O1318, FIND(",", O1318)+2, FIND(",", O1318, FIND(",", O1318)+1)-FIND(",", O1318)-2)), "")</f>
        <v/>
      </c>
      <c r="R1318" s="303" t="str">
        <f>IFERROR(RIGHT(O1318, LEN(O1318)-FIND(",", O1318, FIND(",", O1318)+1)-1), "")</f>
        <v/>
      </c>
      <c r="S1318" s="35" t="str" cm="1">
        <f t="array" ref="S1318">_xlfn.TEXTJOIN(", ",TRUE,_xlfn._xlws.FILTER(Tabla29[[#All],[PARTE]],ISNUMBER(SEARCH(Tabla29[[#All],[PCLAVE3]],Tabla8[[#This Row],[DESCRIPCION DE TRABAJO]])),""))</f>
        <v>Amarrado</v>
      </c>
      <c r="T1318" s="34" t="str">
        <f>IF(AND(Tabla8[[#This Row],[PIEZA]]="",Tabla8[[#This Row],[PARTE]]=""),"VACIO","OK")</f>
        <v>OK</v>
      </c>
      <c r="U1318" s="303" t="str">
        <f>+CONCATENATE(WEEKNUM(Tabla8[[#This Row],[FECHA]]),"-",YEAR(Tabla8[[#This Row],[FECHA]]))</f>
        <v>20-2026</v>
      </c>
    </row>
    <row r="1319" spans="1:21" ht="15" customHeight="1">
      <c r="A1319" s="22">
        <v>46156</v>
      </c>
      <c r="B1319" s="16" t="s">
        <v>88</v>
      </c>
      <c r="C1319" s="10" t="s">
        <v>36</v>
      </c>
      <c r="D1319" s="381" t="s">
        <v>127</v>
      </c>
      <c r="E1319" s="381" t="s">
        <v>482</v>
      </c>
      <c r="F1319" s="380">
        <f>+MOD(Tabla8[[#This Row],[HR. FIN]]-Tabla8[[#This Row],[HR. INICIO]],1)</f>
        <v>7.2916666666666685E-2</v>
      </c>
      <c r="G1319" s="16" t="s">
        <v>140</v>
      </c>
      <c r="H1319" s="343" t="str">
        <f>IFERROR(VLOOKUP(G1319,DATOS!$M$2:$N$219,2,FALSE),"")</f>
        <v>Maquinaria</v>
      </c>
      <c r="I1319" s="115" t="s">
        <v>186</v>
      </c>
      <c r="J1319" s="115" t="s">
        <v>92</v>
      </c>
      <c r="K1319" s="114" t="s">
        <v>93</v>
      </c>
      <c r="L1319" s="35" t="s">
        <v>2471</v>
      </c>
      <c r="M1319" s="35" t="s">
        <v>2472</v>
      </c>
      <c r="N1319" s="35" t="str" cm="1">
        <f t="array" ref="N1319">IFERROR(IF(Tabla8[[#This Row],[P/NP]]="NO PROGRAMADA","",_xlfn.TEXTJOIN(", ",TRUE,_xlfn._xlws.FILTER(Tabla4[[#All],[PIEZA]],ISNUMBER(SEARCH(Tabla4[[#All],[PCLAVE]],Tabla8[[#This Row],[DESCRIPCION DE TRABAJO]])),""))),"")</f>
        <v/>
      </c>
      <c r="O1319" s="35" t="str" cm="1">
        <f t="array" ref="O1319">_xlfn.TEXTJOIN(", ",TRUE,_xlfn._xlws.FILTER(Tabla28[[#All],[PARTE]],ISNUMBER(SEARCH(Tabla28[[#All],[PCLAVE2]],Tabla8[[#This Row],[DESCRIPCION DE TRABAJO]])),""))</f>
        <v/>
      </c>
      <c r="P1319" s="303" t="str">
        <f>IFERROR(LEFT(O1319, FIND(",", O1319)-1), O1319)</f>
        <v/>
      </c>
      <c r="Q1319" s="303" t="str">
        <f>IFERROR(IF(ISERROR(FIND(",", O1319, FIND(",", O1319)+1)), RIGHT(O1319, LEN(O1319)-FIND(",", O1319)-1), MID(O1319, FIND(",", O1319)+2, FIND(",", O1319, FIND(",", O1319)+1)-FIND(",", O1319)-2)), "")</f>
        <v/>
      </c>
      <c r="R1319" s="303" t="str">
        <f>IFERROR(RIGHT(O1319, LEN(O1319)-FIND(",", O1319, FIND(",", O1319)+1)-1), "")</f>
        <v/>
      </c>
      <c r="S1319" s="35" t="str" cm="1">
        <f t="array" ref="S1319">_xlfn.TEXTJOIN(", ",TRUE,_xlfn._xlws.FILTER(Tabla29[[#All],[PARTE]],ISNUMBER(SEARCH(Tabla29[[#All],[PCLAVE3]],Tabla8[[#This Row],[DESCRIPCION DE TRABAJO]])),""))</f>
        <v>Calibracion, Dañado</v>
      </c>
      <c r="T1319" s="34" t="str">
        <f>IF(AND(Tabla8[[#This Row],[PIEZA]]="",Tabla8[[#This Row],[PARTE]]=""),"VACIO","OK")</f>
        <v>VACIO</v>
      </c>
      <c r="U1319" s="303" t="str">
        <f>+CONCATENATE(WEEKNUM(Tabla8[[#This Row],[FECHA]]),"-",YEAR(Tabla8[[#This Row],[FECHA]]))</f>
        <v>20-2026</v>
      </c>
    </row>
    <row r="1320" spans="1:21" ht="15" customHeight="1">
      <c r="A1320" s="22">
        <v>46156</v>
      </c>
      <c r="B1320" s="16" t="s">
        <v>179</v>
      </c>
      <c r="C1320" s="10" t="s">
        <v>23</v>
      </c>
      <c r="D1320" s="381" t="s">
        <v>456</v>
      </c>
      <c r="E1320" s="381" t="s">
        <v>2473</v>
      </c>
      <c r="F1320" s="380">
        <f>+MOD(Tabla8[[#This Row],[HR. FIN]]-Tabla8[[#This Row],[HR. INICIO]],1)</f>
        <v>2.5000000000000022E-2</v>
      </c>
      <c r="G1320" s="16" t="s">
        <v>182</v>
      </c>
      <c r="H1320" s="343" t="str">
        <f>IFERROR(VLOOKUP(G1320,DATOS!$M$2:$N$219,2,FALSE),"")</f>
        <v>Maquinaria</v>
      </c>
      <c r="I1320" s="115" t="s">
        <v>57</v>
      </c>
      <c r="J1320" s="115" t="s">
        <v>92</v>
      </c>
      <c r="K1320" s="114" t="s">
        <v>93</v>
      </c>
      <c r="L1320" s="35" t="s">
        <v>2474</v>
      </c>
      <c r="M1320" s="35" t="s">
        <v>2475</v>
      </c>
      <c r="N1320" s="35" t="str" cm="1">
        <f t="array" ref="N1320">IFERROR(IF(Tabla8[[#This Row],[P/NP]]="NO PROGRAMADA","",_xlfn.TEXTJOIN(", ",TRUE,_xlfn._xlws.FILTER(Tabla4[[#All],[PIEZA]],ISNUMBER(SEARCH(Tabla4[[#All],[PCLAVE]],Tabla8[[#This Row],[DESCRIPCION DE TRABAJO]])),""))),"")</f>
        <v/>
      </c>
      <c r="O1320" s="35" t="str" cm="1">
        <f t="array" ref="O1320">_xlfn.TEXTJOIN(", ",TRUE,_xlfn._xlws.FILTER(Tabla28[[#All],[PARTE]],ISNUMBER(SEARCH(Tabla28[[#All],[PCLAVE2]],Tabla8[[#This Row],[DESCRIPCION DE TRABAJO]])),""))</f>
        <v/>
      </c>
      <c r="P1320" s="303" t="str">
        <f>IFERROR(LEFT(O1320, FIND(",", O1320)-1), O1320)</f>
        <v/>
      </c>
      <c r="Q1320" s="303" t="str">
        <f>IFERROR(IF(ISERROR(FIND(",", O1320, FIND(",", O1320)+1)), RIGHT(O1320, LEN(O1320)-FIND(",", O1320)-1), MID(O1320, FIND(",", O1320)+2, FIND(",", O1320, FIND(",", O1320)+1)-FIND(",", O1320)-2)), "")</f>
        <v/>
      </c>
      <c r="R1320" s="303" t="str">
        <f>IFERROR(RIGHT(O1320, LEN(O1320)-FIND(",", O1320, FIND(",", O1320)+1)-1), "")</f>
        <v/>
      </c>
      <c r="S1320" s="35" t="str" cm="1">
        <f t="array" ref="S1320">_xlfn.TEXTJOIN(", ",TRUE,_xlfn._xlws.FILTER(Tabla29[[#All],[PARTE]],ISNUMBER(SEARCH(Tabla29[[#All],[PCLAVE3]],Tabla8[[#This Row],[DESCRIPCION DE TRABAJO]])),""))</f>
        <v>Laminado, Se Pegan</v>
      </c>
      <c r="T1320" s="34" t="str">
        <f>IF(AND(Tabla8[[#This Row],[PIEZA]]="",Tabla8[[#This Row],[PARTE]]=""),"VACIO","OK")</f>
        <v>VACIO</v>
      </c>
      <c r="U1320" s="303" t="str">
        <f>+CONCATENATE(WEEKNUM(Tabla8[[#This Row],[FECHA]]),"-",YEAR(Tabla8[[#This Row],[FECHA]]))</f>
        <v>20-2026</v>
      </c>
    </row>
    <row r="1321" spans="1:21" ht="15" customHeight="1">
      <c r="A1321" s="22">
        <v>46156</v>
      </c>
      <c r="B1321" s="16" t="s">
        <v>179</v>
      </c>
      <c r="C1321" s="10" t="s">
        <v>23</v>
      </c>
      <c r="D1321" s="381" t="s">
        <v>468</v>
      </c>
      <c r="E1321" s="381" t="s">
        <v>107</v>
      </c>
      <c r="F1321" s="380">
        <f>+MOD(Tabla8[[#This Row],[HR. FIN]]-Tabla8[[#This Row],[HR. INICIO]],1)</f>
        <v>2.083333333333337E-2</v>
      </c>
      <c r="G1321" s="16" t="s">
        <v>119</v>
      </c>
      <c r="H1321" s="343" t="str">
        <f>IFERROR(VLOOKUP(G1321,DATOS!$M$2:$N$219,2,FALSE),"")</f>
        <v>Maquinaria</v>
      </c>
      <c r="I1321" s="115" t="s">
        <v>186</v>
      </c>
      <c r="J1321" s="115" t="s">
        <v>92</v>
      </c>
      <c r="K1321" s="114" t="s">
        <v>93</v>
      </c>
      <c r="L1321" s="35" t="s">
        <v>2476</v>
      </c>
      <c r="M1321" s="35" t="s">
        <v>2477</v>
      </c>
      <c r="N1321" s="35" t="str" cm="1">
        <f t="array" ref="N1321">IFERROR(IF(Tabla8[[#This Row],[P/NP]]="NO PROGRAMADA","",_xlfn.TEXTJOIN(", ",TRUE,_xlfn._xlws.FILTER(Tabla4[[#All],[PIEZA]],ISNUMBER(SEARCH(Tabla4[[#All],[PCLAVE]],Tabla8[[#This Row],[DESCRIPCION DE TRABAJO]])),""))),"")</f>
        <v/>
      </c>
      <c r="O1321" s="35" t="str" cm="1">
        <f t="array" ref="O1321">_xlfn.TEXTJOIN(", ",TRUE,_xlfn._xlws.FILTER(Tabla28[[#All],[PARTE]],ISNUMBER(SEARCH(Tabla28[[#All],[PCLAVE2]],Tabla8[[#This Row],[DESCRIPCION DE TRABAJO]])),""))</f>
        <v>Temperadora</v>
      </c>
      <c r="P1321" s="303" t="str">
        <f>IFERROR(LEFT(O1321, FIND(",", O1321)-1), O1321)</f>
        <v>Temperadora</v>
      </c>
      <c r="Q1321" s="303" t="str">
        <f>IFERROR(IF(ISERROR(FIND(",", O1321, FIND(",", O1321)+1)), RIGHT(O1321, LEN(O1321)-FIND(",", O1321)-1), MID(O1321, FIND(",", O1321)+2, FIND(",", O1321, FIND(",", O1321)+1)-FIND(",", O1321)-2)), "")</f>
        <v/>
      </c>
      <c r="R1321" s="303" t="str">
        <f>IFERROR(RIGHT(O1321, LEN(O1321)-FIND(",", O1321, FIND(",", O1321)+1)-1), "")</f>
        <v/>
      </c>
      <c r="S1321" s="35" t="str" cm="1">
        <f t="array" ref="S1321">_xlfn.TEXTJOIN(", ",TRUE,_xlfn._xlws.FILTER(Tabla29[[#All],[PARTE]],ISNUMBER(SEARCH(Tabla29[[#All],[PCLAVE3]],Tabla8[[#This Row],[DESCRIPCION DE TRABAJO]])),""))</f>
        <v>Amarrado</v>
      </c>
      <c r="T1321" s="34" t="str">
        <f>IF(AND(Tabla8[[#This Row],[PIEZA]]="",Tabla8[[#This Row],[PARTE]]=""),"VACIO","OK")</f>
        <v>OK</v>
      </c>
      <c r="U1321" s="303" t="str">
        <f>+CONCATENATE(WEEKNUM(Tabla8[[#This Row],[FECHA]]),"-",YEAR(Tabla8[[#This Row],[FECHA]]))</f>
        <v>20-2026</v>
      </c>
    </row>
    <row r="1322" spans="1:21" ht="15" customHeight="1">
      <c r="A1322" s="22">
        <v>46156</v>
      </c>
      <c r="B1322" s="16" t="s">
        <v>179</v>
      </c>
      <c r="C1322" s="10" t="s">
        <v>23</v>
      </c>
      <c r="D1322" s="381" t="s">
        <v>577</v>
      </c>
      <c r="E1322" s="381" t="s">
        <v>1707</v>
      </c>
      <c r="F1322" s="380">
        <f>+MOD(Tabla8[[#This Row],[HR. FIN]]-Tabla8[[#This Row],[HR. INICIO]],1)</f>
        <v>2.083333333333337E-2</v>
      </c>
      <c r="G1322" s="16" t="s">
        <v>103</v>
      </c>
      <c r="H1322" s="343" t="str">
        <f>IFERROR(VLOOKUP(G1322,DATOS!$M$2:$N$219,2,FALSE),"")</f>
        <v>Area</v>
      </c>
      <c r="I1322" s="115" t="s">
        <v>54</v>
      </c>
      <c r="J1322" s="115" t="s">
        <v>92</v>
      </c>
      <c r="K1322" s="114" t="s">
        <v>148</v>
      </c>
      <c r="L1322" s="35" t="s">
        <v>2478</v>
      </c>
      <c r="M1322" s="35" t="s">
        <v>2479</v>
      </c>
      <c r="N1322" s="35" t="str" cm="1">
        <f t="array" ref="N1322">IFERROR(IF(Tabla8[[#This Row],[P/NP]]="NO PROGRAMADA","",_xlfn.TEXTJOIN(", ",TRUE,_xlfn._xlws.FILTER(Tabla4[[#All],[PIEZA]],ISNUMBER(SEARCH(Tabla4[[#All],[PCLAVE]],Tabla8[[#This Row],[DESCRIPCION DE TRABAJO]])),""))),"")</f>
        <v/>
      </c>
      <c r="O1322" s="35" t="str" cm="1">
        <f t="array" ref="O1322">_xlfn.TEXTJOIN(", ",TRUE,_xlfn._xlws.FILTER(Tabla28[[#All],[PARTE]],ISNUMBER(SEARCH(Tabla28[[#All],[PCLAVE2]],Tabla8[[#This Row],[DESCRIPCION DE TRABAJO]])),""))</f>
        <v/>
      </c>
      <c r="P1322" s="303" t="str">
        <f>IFERROR(LEFT(O1322, FIND(",", O1322)-1), O1322)</f>
        <v/>
      </c>
      <c r="Q1322" s="303" t="str">
        <f>IFERROR(IF(ISERROR(FIND(",", O1322, FIND(",", O1322)+1)), RIGHT(O1322, LEN(O1322)-FIND(",", O1322)-1), MID(O1322, FIND(",", O1322)+2, FIND(",", O1322, FIND(",", O1322)+1)-FIND(",", O1322)-2)), "")</f>
        <v/>
      </c>
      <c r="R1322" s="303" t="str">
        <f>IFERROR(RIGHT(O1322, LEN(O1322)-FIND(",", O1322, FIND(",", O1322)+1)-1), "")</f>
        <v/>
      </c>
      <c r="S1322" s="35" t="str" cm="1">
        <f t="array" ref="S1322">_xlfn.TEXTJOIN(", ",TRUE,_xlfn._xlws.FILTER(Tabla29[[#All],[PARTE]],ISNUMBER(SEARCH(Tabla29[[#All],[PCLAVE3]],Tabla8[[#This Row],[DESCRIPCION DE TRABAJO]])),""))</f>
        <v/>
      </c>
      <c r="T1322" s="34" t="str">
        <f>IF(AND(Tabla8[[#This Row],[PIEZA]]="",Tabla8[[#This Row],[PARTE]]=""),"VACIO","OK")</f>
        <v>VACIO</v>
      </c>
      <c r="U1322" s="303" t="str">
        <f>+CONCATENATE(WEEKNUM(Tabla8[[#This Row],[FECHA]]),"-",YEAR(Tabla8[[#This Row],[FECHA]]))</f>
        <v>20-2026</v>
      </c>
    </row>
    <row r="1323" spans="1:21" ht="15" customHeight="1">
      <c r="A1323" s="22">
        <v>46156</v>
      </c>
      <c r="B1323" s="16" t="s">
        <v>131</v>
      </c>
      <c r="C1323" s="10" t="s">
        <v>36</v>
      </c>
      <c r="D1323" s="381" t="s">
        <v>102</v>
      </c>
      <c r="E1323" s="381" t="s">
        <v>1496</v>
      </c>
      <c r="F1323" s="380">
        <f>+MOD(Tabla8[[#This Row],[HR. FIN]]-Tabla8[[#This Row],[HR. INICIO]],1)</f>
        <v>1.7361111111111105E-2</v>
      </c>
      <c r="G1323" s="16" t="s">
        <v>24</v>
      </c>
      <c r="H1323" s="343" t="str">
        <f>IFERROR(VLOOKUP(G1323,DATOS!$M$2:$N$219,2,FALSE),"")</f>
        <v>Maquinaria</v>
      </c>
      <c r="I1323" s="115" t="s">
        <v>390</v>
      </c>
      <c r="J1323" s="115" t="s">
        <v>157</v>
      </c>
      <c r="K1323" s="114"/>
      <c r="L1323" s="35" t="s">
        <v>821</v>
      </c>
      <c r="M1323" s="35" t="s">
        <v>121</v>
      </c>
      <c r="N1323" s="35" t="str" cm="1">
        <f t="array" ref="N1323">IFERROR(IF(Tabla8[[#This Row],[P/NP]]="NO PROGRAMADA","",_xlfn.TEXTJOIN(", ",TRUE,_xlfn._xlws.FILTER(Tabla4[[#All],[PIEZA]],ISNUMBER(SEARCH(Tabla4[[#All],[PCLAVE]],Tabla8[[#This Row],[DESCRIPCION DE TRABAJO]])),""))),"")</f>
        <v/>
      </c>
      <c r="O1323" s="35" t="str" cm="1">
        <f t="array" ref="O1323">_xlfn.TEXTJOIN(", ",TRUE,_xlfn._xlws.FILTER(Tabla28[[#All],[PARTE]],ISNUMBER(SEARCH(Tabla28[[#All],[PCLAVE2]],Tabla8[[#This Row],[DESCRIPCION DE TRABAJO]])),""))</f>
        <v/>
      </c>
      <c r="P1323" s="303" t="str">
        <f>IFERROR(LEFT(O1323, FIND(",", O1323)-1), O1323)</f>
        <v/>
      </c>
      <c r="Q1323" s="303" t="str">
        <f>IFERROR(IF(ISERROR(FIND(",", O1323, FIND(",", O1323)+1)), RIGHT(O1323, LEN(O1323)-FIND(",", O1323)-1), MID(O1323, FIND(",", O1323)+2, FIND(",", O1323, FIND(",", O1323)+1)-FIND(",", O1323)-2)), "")</f>
        <v/>
      </c>
      <c r="R1323" s="303" t="str">
        <f>IFERROR(RIGHT(O1323, LEN(O1323)-FIND(",", O1323, FIND(",", O1323)+1)-1), "")</f>
        <v/>
      </c>
      <c r="S1323" s="35" t="str" cm="1">
        <f t="array" ref="S1323">_xlfn.TEXTJOIN(", ",TRUE,_xlfn._xlws.FILTER(Tabla29[[#All],[PARTE]],ISNUMBER(SEARCH(Tabla29[[#All],[PCLAVE3]],Tabla8[[#This Row],[DESCRIPCION DE TRABAJO]])),""))</f>
        <v/>
      </c>
      <c r="T1323" s="34" t="str">
        <f>IF(AND(Tabla8[[#This Row],[PIEZA]]="",Tabla8[[#This Row],[PARTE]]=""),"VACIO","OK")</f>
        <v>VACIO</v>
      </c>
      <c r="U1323" s="303" t="str">
        <f>+CONCATENATE(WEEKNUM(Tabla8[[#This Row],[FECHA]]),"-",YEAR(Tabla8[[#This Row],[FECHA]]))</f>
        <v>20-2026</v>
      </c>
    </row>
    <row r="1324" spans="1:21" ht="15" customHeight="1">
      <c r="A1324" s="22">
        <v>46156</v>
      </c>
      <c r="B1324" s="16" t="s">
        <v>191</v>
      </c>
      <c r="C1324" s="10" t="s">
        <v>23</v>
      </c>
      <c r="D1324" s="381" t="s">
        <v>2480</v>
      </c>
      <c r="E1324" s="381" t="s">
        <v>2481</v>
      </c>
      <c r="F1324" s="380">
        <f>+MOD(Tabla8[[#This Row],[HR. FIN]]-Tabla8[[#This Row],[HR. INICIO]],1)</f>
        <v>1.6666666666666718E-2</v>
      </c>
      <c r="G1324" s="16" t="s">
        <v>215</v>
      </c>
      <c r="H1324" s="343" t="str">
        <f>IFERROR(VLOOKUP(G1324,DATOS!$M$2:$N$219,2,FALSE),"")</f>
        <v>Equipos auxiliares</v>
      </c>
      <c r="I1324" s="115" t="s">
        <v>54</v>
      </c>
      <c r="J1324" s="115" t="s">
        <v>157</v>
      </c>
      <c r="K1324" s="114"/>
      <c r="L1324" s="35" t="s">
        <v>1751</v>
      </c>
      <c r="M1324" s="35" t="s">
        <v>121</v>
      </c>
      <c r="N1324" s="35" t="str" cm="1">
        <f t="array" ref="N1324">IFERROR(IF(Tabla8[[#This Row],[P/NP]]="NO PROGRAMADA","",_xlfn.TEXTJOIN(", ",TRUE,_xlfn._xlws.FILTER(Tabla4[[#All],[PIEZA]],ISNUMBER(SEARCH(Tabla4[[#All],[PCLAVE]],Tabla8[[#This Row],[DESCRIPCION DE TRABAJO]])),""))),"")</f>
        <v/>
      </c>
      <c r="O1324" s="35" t="str" cm="1">
        <f t="array" ref="O1324">_xlfn.TEXTJOIN(", ",TRUE,_xlfn._xlws.FILTER(Tabla28[[#All],[PARTE]],ISNUMBER(SEARCH(Tabla28[[#All],[PCLAVE2]],Tabla8[[#This Row],[DESCRIPCION DE TRABAJO]])),""))</f>
        <v/>
      </c>
      <c r="P1324" s="303" t="str">
        <f>IFERROR(LEFT(O1324, FIND(",", O1324)-1), O1324)</f>
        <v/>
      </c>
      <c r="Q1324" s="303" t="str">
        <f>IFERROR(IF(ISERROR(FIND(",", O1324, FIND(",", O1324)+1)), RIGHT(O1324, LEN(O1324)-FIND(",", O1324)-1), MID(O1324, FIND(",", O1324)+2, FIND(",", O1324, FIND(",", O1324)+1)-FIND(",", O1324)-2)), "")</f>
        <v/>
      </c>
      <c r="R1324" s="303" t="str">
        <f>IFERROR(RIGHT(O1324, LEN(O1324)-FIND(",", O1324, FIND(",", O1324)+1)-1), "")</f>
        <v/>
      </c>
      <c r="S1324" s="35" t="str" cm="1">
        <f t="array" ref="S1324">_xlfn.TEXTJOIN(", ",TRUE,_xlfn._xlws.FILTER(Tabla29[[#All],[PARTE]],ISNUMBER(SEARCH(Tabla29[[#All],[PCLAVE3]],Tabla8[[#This Row],[DESCRIPCION DE TRABAJO]])),""))</f>
        <v/>
      </c>
      <c r="T1324" s="34" t="str">
        <f>IF(AND(Tabla8[[#This Row],[PIEZA]]="",Tabla8[[#This Row],[PARTE]]=""),"VACIO","OK")</f>
        <v>VACIO</v>
      </c>
      <c r="U1324" s="303" t="str">
        <f>+CONCATENATE(WEEKNUM(Tabla8[[#This Row],[FECHA]]),"-",YEAR(Tabla8[[#This Row],[FECHA]]))</f>
        <v>20-2026</v>
      </c>
    </row>
    <row r="1325" spans="1:21" ht="15" customHeight="1">
      <c r="A1325" s="22">
        <v>46156</v>
      </c>
      <c r="B1325" s="16" t="s">
        <v>191</v>
      </c>
      <c r="C1325" s="10" t="s">
        <v>23</v>
      </c>
      <c r="D1325" s="381" t="s">
        <v>2482</v>
      </c>
      <c r="E1325" s="381" t="s">
        <v>2483</v>
      </c>
      <c r="F1325" s="380">
        <f>+MOD(Tabla8[[#This Row],[HR. FIN]]-Tabla8[[#This Row],[HR. INICIO]],1)</f>
        <v>1.5972222222222165E-2</v>
      </c>
      <c r="G1325" s="16" t="s">
        <v>328</v>
      </c>
      <c r="H1325" s="343" t="str">
        <f>IFERROR(VLOOKUP(G1325,DATOS!$M$2:$N$219,2,FALSE),"")</f>
        <v>Area</v>
      </c>
      <c r="I1325" s="115" t="s">
        <v>61</v>
      </c>
      <c r="J1325" s="115" t="s">
        <v>157</v>
      </c>
      <c r="K1325" s="114"/>
      <c r="L1325" s="35" t="s">
        <v>2484</v>
      </c>
      <c r="M1325" s="35" t="s">
        <v>121</v>
      </c>
      <c r="N1325" s="35" t="str" cm="1">
        <f t="array" ref="N1325">IFERROR(IF(Tabla8[[#This Row],[P/NP]]="NO PROGRAMADA","",_xlfn.TEXTJOIN(", ",TRUE,_xlfn._xlws.FILTER(Tabla4[[#All],[PIEZA]],ISNUMBER(SEARCH(Tabla4[[#All],[PCLAVE]],Tabla8[[#This Row],[DESCRIPCION DE TRABAJO]])),""))),"")</f>
        <v>Mesa</v>
      </c>
      <c r="O1325" s="35" t="str" cm="1">
        <f t="array" ref="O1325">_xlfn.TEXTJOIN(", ",TRUE,_xlfn._xlws.FILTER(Tabla28[[#All],[PARTE]],ISNUMBER(SEARCH(Tabla28[[#All],[PCLAVE2]],Tabla8[[#This Row],[DESCRIPCION DE TRABAJO]])),""))</f>
        <v/>
      </c>
      <c r="P1325" s="303" t="str">
        <f>IFERROR(LEFT(O1325, FIND(",", O1325)-1), O1325)</f>
        <v/>
      </c>
      <c r="Q1325" s="303" t="str">
        <f>IFERROR(IF(ISERROR(FIND(",", O1325, FIND(",", O1325)+1)), RIGHT(O1325, LEN(O1325)-FIND(",", O1325)-1), MID(O1325, FIND(",", O1325)+2, FIND(",", O1325, FIND(",", O1325)+1)-FIND(",", O1325)-2)), "")</f>
        <v/>
      </c>
      <c r="R1325" s="303" t="str">
        <f>IFERROR(RIGHT(O1325, LEN(O1325)-FIND(",", O1325, FIND(",", O1325)+1)-1), "")</f>
        <v/>
      </c>
      <c r="S1325" s="35" t="str" cm="1">
        <f t="array" ref="S1325">_xlfn.TEXTJOIN(", ",TRUE,_xlfn._xlws.FILTER(Tabla29[[#All],[PARTE]],ISNUMBER(SEARCH(Tabla29[[#All],[PCLAVE3]],Tabla8[[#This Row],[DESCRIPCION DE TRABAJO]])),""))</f>
        <v/>
      </c>
      <c r="T1325" s="34" t="str">
        <f>IF(AND(Tabla8[[#This Row],[PIEZA]]="",Tabla8[[#This Row],[PARTE]]=""),"VACIO","OK")</f>
        <v>OK</v>
      </c>
      <c r="U1325" s="303" t="str">
        <f>+CONCATENATE(WEEKNUM(Tabla8[[#This Row],[FECHA]]),"-",YEAR(Tabla8[[#This Row],[FECHA]]))</f>
        <v>20-2026</v>
      </c>
    </row>
    <row r="1326" spans="1:21" ht="15" customHeight="1">
      <c r="A1326" s="22">
        <v>46156</v>
      </c>
      <c r="B1326" s="16" t="s">
        <v>179</v>
      </c>
      <c r="C1326" s="10" t="s">
        <v>36</v>
      </c>
      <c r="D1326" s="381" t="s">
        <v>297</v>
      </c>
      <c r="E1326" s="381" t="s">
        <v>590</v>
      </c>
      <c r="F1326" s="380">
        <f>+MOD(Tabla8[[#This Row],[HR. FIN]]-Tabla8[[#This Row],[HR. INICIO]],1)</f>
        <v>1.3888888888888951E-2</v>
      </c>
      <c r="G1326" s="16" t="s">
        <v>24</v>
      </c>
      <c r="H1326" s="343" t="str">
        <f>IFERROR(VLOOKUP(G1326,DATOS!$M$2:$N$219,2,FALSE),"")</f>
        <v>Maquinaria</v>
      </c>
      <c r="I1326" s="115" t="s">
        <v>28</v>
      </c>
      <c r="J1326" s="115" t="s">
        <v>92</v>
      </c>
      <c r="K1326" s="114" t="s">
        <v>93</v>
      </c>
      <c r="L1326" s="35" t="s">
        <v>2485</v>
      </c>
      <c r="M1326" s="35" t="s">
        <v>2486</v>
      </c>
      <c r="N1326" s="35" t="str" cm="1">
        <f t="array" ref="N1326">IFERROR(IF(Tabla8[[#This Row],[P/NP]]="NO PROGRAMADA","",_xlfn.TEXTJOIN(", ",TRUE,_xlfn._xlws.FILTER(Tabla4[[#All],[PIEZA]],ISNUMBER(SEARCH(Tabla4[[#All],[PCLAVE]],Tabla8[[#This Row],[DESCRIPCION DE TRABAJO]])),""))),"")</f>
        <v/>
      </c>
      <c r="O1326" s="35" t="str" cm="1">
        <f t="array" ref="O1326">_xlfn.TEXTJOIN(", ",TRUE,_xlfn._xlws.FILTER(Tabla28[[#All],[PARTE]],ISNUMBER(SEARCH(Tabla28[[#All],[PCLAVE2]],Tabla8[[#This Row],[DESCRIPCION DE TRABAJO]])),""))</f>
        <v/>
      </c>
      <c r="P1326" s="303" t="str">
        <f>IFERROR(LEFT(O1326, FIND(",", O1326)-1), O1326)</f>
        <v/>
      </c>
      <c r="Q1326" s="303" t="str">
        <f>IFERROR(IF(ISERROR(FIND(",", O1326, FIND(",", O1326)+1)), RIGHT(O1326, LEN(O1326)-FIND(",", O1326)-1), MID(O1326, FIND(",", O1326)+2, FIND(",", O1326, FIND(",", O1326)+1)-FIND(",", O1326)-2)), "")</f>
        <v/>
      </c>
      <c r="R1326" s="303" t="str">
        <f>IFERROR(RIGHT(O1326, LEN(O1326)-FIND(",", O1326, FIND(",", O1326)+1)-1), "")</f>
        <v/>
      </c>
      <c r="S1326" s="35" t="str" cm="1">
        <f t="array" ref="S1326">_xlfn.TEXTJOIN(", ",TRUE,_xlfn._xlws.FILTER(Tabla29[[#All],[PARTE]],ISNUMBER(SEARCH(Tabla29[[#All],[PCLAVE3]],Tabla8[[#This Row],[DESCRIPCION DE TRABAJO]])),""))</f>
        <v>Desgaste</v>
      </c>
      <c r="T1326" s="34" t="str">
        <f>IF(AND(Tabla8[[#This Row],[PIEZA]]="",Tabla8[[#This Row],[PARTE]]=""),"VACIO","OK")</f>
        <v>VACIO</v>
      </c>
      <c r="U1326" s="303" t="str">
        <f>+CONCATENATE(WEEKNUM(Tabla8[[#This Row],[FECHA]]),"-",YEAR(Tabla8[[#This Row],[FECHA]]))</f>
        <v>20-2026</v>
      </c>
    </row>
    <row r="1327" spans="1:21" ht="15" customHeight="1">
      <c r="A1327" s="22">
        <v>46156</v>
      </c>
      <c r="B1327" s="16" t="s">
        <v>88</v>
      </c>
      <c r="C1327" s="10" t="s">
        <v>36</v>
      </c>
      <c r="D1327" s="381" t="s">
        <v>123</v>
      </c>
      <c r="E1327" s="381" t="s">
        <v>399</v>
      </c>
      <c r="F1327" s="380">
        <f>+MOD(Tabla8[[#This Row],[HR. FIN]]-Tabla8[[#This Row],[HR. INICIO]],1)</f>
        <v>1.3888888888888895E-2</v>
      </c>
      <c r="G1327" s="16" t="s">
        <v>270</v>
      </c>
      <c r="H1327" s="343" t="str">
        <f>IFERROR(VLOOKUP(G1327,DATOS!$M$2:$N$219,2,FALSE),"")</f>
        <v>Maquinaria</v>
      </c>
      <c r="I1327" s="115" t="s">
        <v>390</v>
      </c>
      <c r="J1327" s="115" t="s">
        <v>157</v>
      </c>
      <c r="K1327" s="114"/>
      <c r="L1327" s="35" t="s">
        <v>1040</v>
      </c>
      <c r="M1327" s="35" t="s">
        <v>341</v>
      </c>
      <c r="N1327" s="35" t="str" cm="1">
        <f t="array" ref="N1327">IFERROR(IF(Tabla8[[#This Row],[P/NP]]="NO PROGRAMADA","",_xlfn.TEXTJOIN(", ",TRUE,_xlfn._xlws.FILTER(Tabla4[[#All],[PIEZA]],ISNUMBER(SEARCH(Tabla4[[#All],[PCLAVE]],Tabla8[[#This Row],[DESCRIPCION DE TRABAJO]])),""))),"")</f>
        <v/>
      </c>
      <c r="O1327" s="35" t="str" cm="1">
        <f t="array" ref="O1327">_xlfn.TEXTJOIN(", ",TRUE,_xlfn._xlws.FILTER(Tabla28[[#All],[PARTE]],ISNUMBER(SEARCH(Tabla28[[#All],[PCLAVE2]],Tabla8[[#This Row],[DESCRIPCION DE TRABAJO]])),""))</f>
        <v/>
      </c>
      <c r="P1327" s="303" t="str">
        <f>IFERROR(LEFT(O1327, FIND(",", O1327)-1), O1327)</f>
        <v/>
      </c>
      <c r="Q1327" s="303" t="str">
        <f>IFERROR(IF(ISERROR(FIND(",", O1327, FIND(",", O1327)+1)), RIGHT(O1327, LEN(O1327)-FIND(",", O1327)-1), MID(O1327, FIND(",", O1327)+2, FIND(",", O1327, FIND(",", O1327)+1)-FIND(",", O1327)-2)), "")</f>
        <v/>
      </c>
      <c r="R1327" s="303" t="str">
        <f>IFERROR(RIGHT(O1327, LEN(O1327)-FIND(",", O1327, FIND(",", O1327)+1)-1), "")</f>
        <v/>
      </c>
      <c r="S1327" s="35" t="str" cm="1">
        <f t="array" ref="S1327">_xlfn.TEXTJOIN(", ",TRUE,_xlfn._xlws.FILTER(Tabla29[[#All],[PARTE]],ISNUMBER(SEARCH(Tabla29[[#All],[PCLAVE3]],Tabla8[[#This Row],[DESCRIPCION DE TRABAJO]])),""))</f>
        <v/>
      </c>
      <c r="T1327" s="34" t="str">
        <f>IF(AND(Tabla8[[#This Row],[PIEZA]]="",Tabla8[[#This Row],[PARTE]]=""),"VACIO","OK")</f>
        <v>VACIO</v>
      </c>
      <c r="U1327" s="303" t="str">
        <f>+CONCATENATE(WEEKNUM(Tabla8[[#This Row],[FECHA]]),"-",YEAR(Tabla8[[#This Row],[FECHA]]))</f>
        <v>20-2026</v>
      </c>
    </row>
    <row r="1328" spans="1:21" ht="15" customHeight="1">
      <c r="A1328" s="22">
        <v>46156</v>
      </c>
      <c r="B1328" s="16" t="s">
        <v>88</v>
      </c>
      <c r="C1328" s="10" t="s">
        <v>36</v>
      </c>
      <c r="D1328" s="381" t="s">
        <v>585</v>
      </c>
      <c r="E1328" s="381" t="s">
        <v>586</v>
      </c>
      <c r="F1328" s="380">
        <f>+MOD(Tabla8[[#This Row],[HR. FIN]]-Tabla8[[#This Row],[HR. INICIO]],1)</f>
        <v>1.3888888888888895E-2</v>
      </c>
      <c r="G1328" s="16" t="s">
        <v>119</v>
      </c>
      <c r="H1328" s="343" t="str">
        <f>IFERROR(VLOOKUP(G1328,DATOS!$M$2:$N$219,2,FALSE),"")</f>
        <v>Maquinaria</v>
      </c>
      <c r="I1328" s="115" t="s">
        <v>186</v>
      </c>
      <c r="J1328" s="115" t="s">
        <v>157</v>
      </c>
      <c r="K1328" s="114"/>
      <c r="L1328" s="35" t="s">
        <v>2487</v>
      </c>
      <c r="M1328" s="35" t="s">
        <v>2488</v>
      </c>
      <c r="N1328" s="35" t="str" cm="1">
        <f t="array" ref="N1328">IFERROR(IF(Tabla8[[#This Row],[P/NP]]="NO PROGRAMADA","",_xlfn.TEXTJOIN(", ",TRUE,_xlfn._xlws.FILTER(Tabla4[[#All],[PIEZA]],ISNUMBER(SEARCH(Tabla4[[#All],[PCLAVE]],Tabla8[[#This Row],[DESCRIPCION DE TRABAJO]])),""))),"")</f>
        <v/>
      </c>
      <c r="O1328" s="35" t="str" cm="1">
        <f t="array" ref="O1328">_xlfn.TEXTJOIN(", ",TRUE,_xlfn._xlws.FILTER(Tabla28[[#All],[PARTE]],ISNUMBER(SEARCH(Tabla28[[#All],[PCLAVE2]],Tabla8[[#This Row],[DESCRIPCION DE TRABAJO]])),""))</f>
        <v>Mds</v>
      </c>
      <c r="P1328" s="303" t="str">
        <f>IFERROR(LEFT(O1328, FIND(",", O1328)-1), O1328)</f>
        <v>Mds</v>
      </c>
      <c r="Q1328" s="303" t="str">
        <f>IFERROR(IF(ISERROR(FIND(",", O1328, FIND(",", O1328)+1)), RIGHT(O1328, LEN(O1328)-FIND(",", O1328)-1), MID(O1328, FIND(",", O1328)+2, FIND(",", O1328, FIND(",", O1328)+1)-FIND(",", O1328)-2)), "")</f>
        <v/>
      </c>
      <c r="R1328" s="303" t="str">
        <f>IFERROR(RIGHT(O1328, LEN(O1328)-FIND(",", O1328, FIND(",", O1328)+1)-1), "")</f>
        <v/>
      </c>
      <c r="S1328" s="35" t="str" cm="1">
        <f t="array" ref="S1328">_xlfn.TEXTJOIN(", ",TRUE,_xlfn._xlws.FILTER(Tabla29[[#All],[PARTE]],ISNUMBER(SEARCH(Tabla29[[#All],[PCLAVE3]],Tabla8[[#This Row],[DESCRIPCION DE TRABAJO]])),""))</f>
        <v>Rotura</v>
      </c>
      <c r="T1328" s="34" t="str">
        <f>IF(AND(Tabla8[[#This Row],[PIEZA]]="",Tabla8[[#This Row],[PARTE]]=""),"VACIO","OK")</f>
        <v>OK</v>
      </c>
      <c r="U1328" s="303" t="str">
        <f>+CONCATENATE(WEEKNUM(Tabla8[[#This Row],[FECHA]]),"-",YEAR(Tabla8[[#This Row],[FECHA]]))</f>
        <v>20-2026</v>
      </c>
    </row>
    <row r="1329" spans="1:21" ht="15" customHeight="1">
      <c r="A1329" s="22">
        <v>46156</v>
      </c>
      <c r="B1329" s="16" t="s">
        <v>179</v>
      </c>
      <c r="C1329" s="10" t="s">
        <v>36</v>
      </c>
      <c r="D1329" s="381" t="s">
        <v>584</v>
      </c>
      <c r="E1329" s="381" t="s">
        <v>1960</v>
      </c>
      <c r="F1329" s="380">
        <f>+MOD(Tabla8[[#This Row],[HR. FIN]]-Tabla8[[#This Row],[HR. INICIO]],1)</f>
        <v>1.388888888888884E-2</v>
      </c>
      <c r="G1329" s="16" t="s">
        <v>153</v>
      </c>
      <c r="H1329" s="343" t="str">
        <f>IFERROR(VLOOKUP(G1329,DATOS!$M$2:$N$219,2,FALSE),"")</f>
        <v>Maquinaria</v>
      </c>
      <c r="I1329" s="115" t="s">
        <v>57</v>
      </c>
      <c r="J1329" s="115" t="s">
        <v>92</v>
      </c>
      <c r="K1329" s="114" t="s">
        <v>93</v>
      </c>
      <c r="L1329" s="35" t="s">
        <v>2489</v>
      </c>
      <c r="M1329" s="35" t="s">
        <v>2490</v>
      </c>
      <c r="N1329" s="35" t="str" cm="1">
        <f t="array" ref="N1329">IFERROR(IF(Tabla8[[#This Row],[P/NP]]="NO PROGRAMADA","",_xlfn.TEXTJOIN(", ",TRUE,_xlfn._xlws.FILTER(Tabla4[[#All],[PIEZA]],ISNUMBER(SEARCH(Tabla4[[#All],[PCLAVE]],Tabla8[[#This Row],[DESCRIPCION DE TRABAJO]])),""))),"")</f>
        <v/>
      </c>
      <c r="O1329" s="35" t="str" cm="1">
        <f t="array" ref="O1329">_xlfn.TEXTJOIN(", ",TRUE,_xlfn._xlws.FILTER(Tabla28[[#All],[PARTE]],ISNUMBER(SEARCH(Tabla28[[#All],[PCLAVE2]],Tabla8[[#This Row],[DESCRIPCION DE TRABAJO]])),""))</f>
        <v/>
      </c>
      <c r="P1329" s="303" t="str">
        <f>IFERROR(LEFT(O1329, FIND(",", O1329)-1), O1329)</f>
        <v/>
      </c>
      <c r="Q1329" s="303" t="str">
        <f>IFERROR(IF(ISERROR(FIND(",", O1329, FIND(",", O1329)+1)), RIGHT(O1329, LEN(O1329)-FIND(",", O1329)-1), MID(O1329, FIND(",", O1329)+2, FIND(",", O1329, FIND(",", O1329)+1)-FIND(",", O1329)-2)), "")</f>
        <v/>
      </c>
      <c r="R1329" s="303" t="str">
        <f>IFERROR(RIGHT(O1329, LEN(O1329)-FIND(",", O1329, FIND(",", O1329)+1)-1), "")</f>
        <v/>
      </c>
      <c r="S1329" s="35" t="str" cm="1">
        <f t="array" ref="S1329">_xlfn.TEXTJOIN(", ",TRUE,_xlfn._xlws.FILTER(Tabla29[[#All],[PARTE]],ISNUMBER(SEARCH(Tabla29[[#All],[PCLAVE3]],Tabla8[[#This Row],[DESCRIPCION DE TRABAJO]])),""))</f>
        <v>Desalineado</v>
      </c>
      <c r="T1329" s="34" t="str">
        <f>IF(AND(Tabla8[[#This Row],[PIEZA]]="",Tabla8[[#This Row],[PARTE]]=""),"VACIO","OK")</f>
        <v>VACIO</v>
      </c>
      <c r="U1329" s="303" t="str">
        <f>+CONCATENATE(WEEKNUM(Tabla8[[#This Row],[FECHA]]),"-",YEAR(Tabla8[[#This Row],[FECHA]]))</f>
        <v>20-2026</v>
      </c>
    </row>
    <row r="1330" spans="1:21" ht="15" customHeight="1">
      <c r="A1330" s="22">
        <v>46156</v>
      </c>
      <c r="B1330" s="16" t="s">
        <v>131</v>
      </c>
      <c r="C1330" s="10" t="s">
        <v>36</v>
      </c>
      <c r="D1330" s="381" t="s">
        <v>2491</v>
      </c>
      <c r="E1330" s="381" t="s">
        <v>1688</v>
      </c>
      <c r="F1330" s="380">
        <f>+MOD(Tabla8[[#This Row],[HR. FIN]]-Tabla8[[#This Row],[HR. INICIO]],1)</f>
        <v>1.2500000000000011E-2</v>
      </c>
      <c r="G1330" s="16" t="s">
        <v>192</v>
      </c>
      <c r="H1330" s="343" t="str">
        <f>IFERROR(VLOOKUP(G1330,DATOS!$M$2:$N$219,2,FALSE),"")</f>
        <v>Maquinaria</v>
      </c>
      <c r="I1330" s="115" t="s">
        <v>57</v>
      </c>
      <c r="J1330" s="115" t="s">
        <v>157</v>
      </c>
      <c r="K1330" s="114"/>
      <c r="L1330" s="35" t="s">
        <v>2492</v>
      </c>
      <c r="M1330" s="35" t="s">
        <v>2493</v>
      </c>
      <c r="N1330" s="35" t="str" cm="1">
        <f t="array" ref="N1330">IFERROR(IF(Tabla8[[#This Row],[P/NP]]="NO PROGRAMADA","",_xlfn.TEXTJOIN(", ",TRUE,_xlfn._xlws.FILTER(Tabla4[[#All],[PIEZA]],ISNUMBER(SEARCH(Tabla4[[#All],[PCLAVE]],Tabla8[[#This Row],[DESCRIPCION DE TRABAJO]])),""))),"")</f>
        <v/>
      </c>
      <c r="O1330" s="35" t="str" cm="1">
        <f t="array" ref="O1330">_xlfn.TEXTJOIN(", ",TRUE,_xlfn._xlws.FILTER(Tabla28[[#All],[PARTE]],ISNUMBER(SEARCH(Tabla28[[#All],[PCLAVE2]],Tabla8[[#This Row],[DESCRIPCION DE TRABAJO]])),""))</f>
        <v/>
      </c>
      <c r="P1330" s="303" t="str">
        <f>IFERROR(LEFT(O1330, FIND(",", O1330)-1), O1330)</f>
        <v/>
      </c>
      <c r="Q1330" s="303" t="str">
        <f>IFERROR(IF(ISERROR(FIND(",", O1330, FIND(",", O1330)+1)), RIGHT(O1330, LEN(O1330)-FIND(",", O1330)-1), MID(O1330, FIND(",", O1330)+2, FIND(",", O1330, FIND(",", O1330)+1)-FIND(",", O1330)-2)), "")</f>
        <v/>
      </c>
      <c r="R1330" s="303" t="str">
        <f>IFERROR(RIGHT(O1330, LEN(O1330)-FIND(",", O1330, FIND(",", O1330)+1)-1), "")</f>
        <v/>
      </c>
      <c r="S1330" s="35" t="str" cm="1">
        <f t="array" ref="S1330">_xlfn.TEXTJOIN(", ",TRUE,_xlfn._xlws.FILTER(Tabla29[[#All],[PARTE]],ISNUMBER(SEARCH(Tabla29[[#All],[PCLAVE3]],Tabla8[[#This Row],[DESCRIPCION DE TRABAJO]])),""))</f>
        <v>Juntos</v>
      </c>
      <c r="T1330" s="34" t="str">
        <f>IF(AND(Tabla8[[#This Row],[PIEZA]]="",Tabla8[[#This Row],[PARTE]]=""),"VACIO","OK")</f>
        <v>VACIO</v>
      </c>
      <c r="U1330" s="303" t="str">
        <f>+CONCATENATE(WEEKNUM(Tabla8[[#This Row],[FECHA]]),"-",YEAR(Tabla8[[#This Row],[FECHA]]))</f>
        <v>20-2026</v>
      </c>
    </row>
    <row r="1331" spans="1:21" ht="15" customHeight="1">
      <c r="A1331" s="22">
        <v>46156</v>
      </c>
      <c r="B1331" s="16" t="s">
        <v>88</v>
      </c>
      <c r="C1331" s="10" t="s">
        <v>36</v>
      </c>
      <c r="D1331" s="381" t="s">
        <v>176</v>
      </c>
      <c r="E1331" s="381" t="s">
        <v>127</v>
      </c>
      <c r="F1331" s="380">
        <f>+MOD(Tabla8[[#This Row],[HR. FIN]]-Tabla8[[#This Row],[HR. INICIO]],1)</f>
        <v>1.041666666666663E-2</v>
      </c>
      <c r="G1331" s="16" t="s">
        <v>103</v>
      </c>
      <c r="H1331" s="343" t="str">
        <f>IFERROR(VLOOKUP(G1331,DATOS!$M$2:$N$219,2,FALSE),"")</f>
        <v>Area</v>
      </c>
      <c r="I1331" s="115" t="s">
        <v>28</v>
      </c>
      <c r="J1331" s="115" t="s">
        <v>92</v>
      </c>
      <c r="K1331" s="114" t="s">
        <v>93</v>
      </c>
      <c r="L1331" s="35" t="s">
        <v>2494</v>
      </c>
      <c r="M1331" s="35" t="s">
        <v>2495</v>
      </c>
      <c r="N1331" s="35" t="str" cm="1">
        <f t="array" ref="N1331">IFERROR(IF(Tabla8[[#This Row],[P/NP]]="NO PROGRAMADA","",_xlfn.TEXTJOIN(", ",TRUE,_xlfn._xlws.FILTER(Tabla4[[#All],[PIEZA]],ISNUMBER(SEARCH(Tabla4[[#All],[PCLAVE]],Tabla8[[#This Row],[DESCRIPCION DE TRABAJO]])),""))),"")</f>
        <v/>
      </c>
      <c r="O1331" s="35" t="str" cm="1">
        <f t="array" ref="O1331">_xlfn.TEXTJOIN(", ",TRUE,_xlfn._xlws.FILTER(Tabla28[[#All],[PARTE]],ISNUMBER(SEARCH(Tabla28[[#All],[PCLAVE2]],Tabla8[[#This Row],[DESCRIPCION DE TRABAJO]])),""))</f>
        <v/>
      </c>
      <c r="P1331" s="303" t="str">
        <f>IFERROR(LEFT(O1331, FIND(",", O1331)-1), O1331)</f>
        <v/>
      </c>
      <c r="Q1331" s="303" t="str">
        <f>IFERROR(IF(ISERROR(FIND(",", O1331, FIND(",", O1331)+1)), RIGHT(O1331, LEN(O1331)-FIND(",", O1331)-1), MID(O1331, FIND(",", O1331)+2, FIND(",", O1331, FIND(",", O1331)+1)-FIND(",", O1331)-2)), "")</f>
        <v/>
      </c>
      <c r="R1331" s="303" t="str">
        <f>IFERROR(RIGHT(O1331, LEN(O1331)-FIND(",", O1331, FIND(",", O1331)+1)-1), "")</f>
        <v/>
      </c>
      <c r="S1331" s="35" t="str" cm="1">
        <f t="array" ref="S1331">_xlfn.TEXTJOIN(", ",TRUE,_xlfn._xlws.FILTER(Tabla29[[#All],[PARTE]],ISNUMBER(SEARCH(Tabla29[[#All],[PCLAVE3]],Tabla8[[#This Row],[DESCRIPCION DE TRABAJO]])),""))</f>
        <v>Fuga</v>
      </c>
      <c r="T1331" s="34" t="str">
        <f>IF(AND(Tabla8[[#This Row],[PIEZA]]="",Tabla8[[#This Row],[PARTE]]=""),"VACIO","OK")</f>
        <v>VACIO</v>
      </c>
      <c r="U1331" s="303" t="str">
        <f>+CONCATENATE(WEEKNUM(Tabla8[[#This Row],[FECHA]]),"-",YEAR(Tabla8[[#This Row],[FECHA]]))</f>
        <v>20-2026</v>
      </c>
    </row>
    <row r="1332" spans="1:21" ht="15" customHeight="1">
      <c r="A1332" s="22">
        <v>46157</v>
      </c>
      <c r="B1332" s="16" t="s">
        <v>111</v>
      </c>
      <c r="C1332" s="10" t="s">
        <v>39</v>
      </c>
      <c r="D1332" s="381" t="s">
        <v>1655</v>
      </c>
      <c r="E1332" s="381" t="s">
        <v>2496</v>
      </c>
      <c r="F1332" s="380">
        <f>+MOD(Tabla8[[#This Row],[HR. FIN]]-Tabla8[[#This Row],[HR. INICIO]],1)</f>
        <v>4.1666666666666664E-2</v>
      </c>
      <c r="G1332" s="16" t="s">
        <v>312</v>
      </c>
      <c r="H1332" s="343" t="str">
        <f>IFERROR(VLOOKUP(G1332,DATOS!$M$2:$N$219,2,FALSE),"")</f>
        <v>Maquinaria</v>
      </c>
      <c r="I1332" s="115" t="s">
        <v>28</v>
      </c>
      <c r="J1332" s="115" t="s">
        <v>92</v>
      </c>
      <c r="K1332" s="114" t="s">
        <v>93</v>
      </c>
      <c r="L1332" s="35" t="s">
        <v>2497</v>
      </c>
      <c r="M1332" s="35" t="s">
        <v>2498</v>
      </c>
      <c r="N1332" s="35" t="str" cm="1">
        <f t="array" ref="N1332">IFERROR(IF(Tabla8[[#This Row],[P/NP]]="NO PROGRAMADA","",_xlfn.TEXTJOIN(", ",TRUE,_xlfn._xlws.FILTER(Tabla4[[#All],[PIEZA]],ISNUMBER(SEARCH(Tabla4[[#All],[PCLAVE]],Tabla8[[#This Row],[DESCRIPCION DE TRABAJO]])),""))),"")</f>
        <v/>
      </c>
      <c r="O1332" s="35" t="str" cm="1">
        <f t="array" ref="O1332">_xlfn.TEXTJOIN(", ",TRUE,_xlfn._xlws.FILTER(Tabla28[[#All],[PARTE]],ISNUMBER(SEARCH(Tabla28[[#All],[PCLAVE2]],Tabla8[[#This Row],[DESCRIPCION DE TRABAJO]])),""))</f>
        <v/>
      </c>
      <c r="P1332" s="303" t="str">
        <f>IFERROR(LEFT(O1332, FIND(",", O1332)-1), O1332)</f>
        <v/>
      </c>
      <c r="Q1332" s="303" t="str">
        <f>IFERROR(IF(ISERROR(FIND(",", O1332, FIND(",", O1332)+1)), RIGHT(O1332, LEN(O1332)-FIND(",", O1332)-1), MID(O1332, FIND(",", O1332)+2, FIND(",", O1332, FIND(",", O1332)+1)-FIND(",", O1332)-2)), "")</f>
        <v/>
      </c>
      <c r="R1332" s="303" t="str">
        <f>IFERROR(RIGHT(O1332, LEN(O1332)-FIND(",", O1332, FIND(",", O1332)+1)-1), "")</f>
        <v/>
      </c>
      <c r="S1332" s="35" t="str" cm="1">
        <f t="array" ref="S1332">_xlfn.TEXTJOIN(", ",TRUE,_xlfn._xlws.FILTER(Tabla29[[#All],[PARTE]],ISNUMBER(SEARCH(Tabla29[[#All],[PCLAVE3]],Tabla8[[#This Row],[DESCRIPCION DE TRABAJO]])),""))</f>
        <v>Dañado, Rotura</v>
      </c>
      <c r="T1332" s="34" t="str">
        <f>IF(AND(Tabla8[[#This Row],[PIEZA]]="",Tabla8[[#This Row],[PARTE]]=""),"VACIO","OK")</f>
        <v>VACIO</v>
      </c>
      <c r="U1332" s="303" t="str">
        <f>+CONCATENATE(WEEKNUM(Tabla8[[#This Row],[FECHA]]),"-",YEAR(Tabla8[[#This Row],[FECHA]]))</f>
        <v>20-2026</v>
      </c>
    </row>
    <row r="1333" spans="1:21" ht="15" customHeight="1">
      <c r="A1333" s="22">
        <v>46157</v>
      </c>
      <c r="B1333" s="16" t="s">
        <v>111</v>
      </c>
      <c r="C1333" s="10" t="s">
        <v>39</v>
      </c>
      <c r="D1333" s="381" t="s">
        <v>167</v>
      </c>
      <c r="E1333" s="381" t="s">
        <v>112</v>
      </c>
      <c r="F1333" s="380">
        <f>+MOD(Tabla8[[#This Row],[HR. FIN]]-Tabla8[[#This Row],[HR. INICIO]],1)</f>
        <v>2.0833333333333332E-2</v>
      </c>
      <c r="G1333" s="16" t="s">
        <v>24</v>
      </c>
      <c r="H1333" s="343" t="str">
        <f>IFERROR(VLOOKUP(G1333,DATOS!$M$2:$N$219,2,FALSE),"")</f>
        <v>Maquinaria</v>
      </c>
      <c r="I1333" s="115" t="s">
        <v>186</v>
      </c>
      <c r="J1333" s="115" t="s">
        <v>92</v>
      </c>
      <c r="K1333" s="114" t="s">
        <v>93</v>
      </c>
      <c r="L1333" s="35" t="s">
        <v>2499</v>
      </c>
      <c r="M1333" s="35" t="s">
        <v>2500</v>
      </c>
      <c r="N1333" s="35" t="str" cm="1">
        <f t="array" ref="N1333">IFERROR(IF(Tabla8[[#This Row],[P/NP]]="NO PROGRAMADA","",_xlfn.TEXTJOIN(", ",TRUE,_xlfn._xlws.FILTER(Tabla4[[#All],[PIEZA]],ISNUMBER(SEARCH(Tabla4[[#All],[PCLAVE]],Tabla8[[#This Row],[DESCRIPCION DE TRABAJO]])),""))),"")</f>
        <v/>
      </c>
      <c r="O1333" s="35" t="str" cm="1">
        <f t="array" ref="O1333">_xlfn.TEXTJOIN(", ",TRUE,_xlfn._xlws.FILTER(Tabla28[[#All],[PARTE]],ISNUMBER(SEARCH(Tabla28[[#All],[PCLAVE2]],Tabla8[[#This Row],[DESCRIPCION DE TRABAJO]])),""))</f>
        <v/>
      </c>
      <c r="P1333" s="303" t="str">
        <f>IFERROR(LEFT(O1333, FIND(",", O1333)-1), O1333)</f>
        <v/>
      </c>
      <c r="Q1333" s="303" t="str">
        <f>IFERROR(IF(ISERROR(FIND(",", O1333, FIND(",", O1333)+1)), RIGHT(O1333, LEN(O1333)-FIND(",", O1333)-1), MID(O1333, FIND(",", O1333)+2, FIND(",", O1333, FIND(",", O1333)+1)-FIND(",", O1333)-2)), "")</f>
        <v/>
      </c>
      <c r="R1333" s="303" t="str">
        <f>IFERROR(RIGHT(O1333, LEN(O1333)-FIND(",", O1333, FIND(",", O1333)+1)-1), "")</f>
        <v/>
      </c>
      <c r="S1333" s="35" t="str" cm="1">
        <f t="array" ref="S1333">_xlfn.TEXTJOIN(", ",TRUE,_xlfn._xlws.FILTER(Tabla29[[#All],[PARTE]],ISNUMBER(SEARCH(Tabla29[[#All],[PCLAVE3]],Tabla8[[#This Row],[DESCRIPCION DE TRABAJO]])),""))</f>
        <v>Arrugado</v>
      </c>
      <c r="T1333" s="34" t="str">
        <f>IF(AND(Tabla8[[#This Row],[PIEZA]]="",Tabla8[[#This Row],[PARTE]]=""),"VACIO","OK")</f>
        <v>VACIO</v>
      </c>
      <c r="U1333" s="303" t="str">
        <f>+CONCATENATE(WEEKNUM(Tabla8[[#This Row],[FECHA]]),"-",YEAR(Tabla8[[#This Row],[FECHA]]))</f>
        <v>20-2026</v>
      </c>
    </row>
    <row r="1334" spans="1:21" ht="15" customHeight="1">
      <c r="A1334" s="22">
        <v>46157</v>
      </c>
      <c r="B1334" s="16" t="s">
        <v>111</v>
      </c>
      <c r="C1334" s="10" t="s">
        <v>39</v>
      </c>
      <c r="D1334" s="381" t="s">
        <v>171</v>
      </c>
      <c r="E1334" s="381" t="s">
        <v>426</v>
      </c>
      <c r="F1334" s="380">
        <f>+MOD(Tabla8[[#This Row],[HR. FIN]]-Tabla8[[#This Row],[HR. INICIO]],1)</f>
        <v>2.0833333333333259E-2</v>
      </c>
      <c r="G1334" s="16" t="s">
        <v>1543</v>
      </c>
      <c r="H1334" s="343" t="str">
        <f>IFERROR(VLOOKUP(G1334,DATOS!$M$2:$N$219,2,FALSE),"")</f>
        <v>Equipos auxiliares</v>
      </c>
      <c r="I1334" s="115" t="s">
        <v>54</v>
      </c>
      <c r="J1334" s="115" t="s">
        <v>157</v>
      </c>
      <c r="K1334" s="114"/>
      <c r="L1334" s="35" t="s">
        <v>2501</v>
      </c>
      <c r="M1334" s="35" t="s">
        <v>2502</v>
      </c>
      <c r="N1334" s="35" t="str" cm="1">
        <f t="array" ref="N1334">IFERROR(IF(Tabla8[[#This Row],[P/NP]]="NO PROGRAMADA","",_xlfn.TEXTJOIN(", ",TRUE,_xlfn._xlws.FILTER(Tabla4[[#All],[PIEZA]],ISNUMBER(SEARCH(Tabla4[[#All],[PCLAVE]],Tabla8[[#This Row],[DESCRIPCION DE TRABAJO]])),""))),"")</f>
        <v/>
      </c>
      <c r="O1334" s="35" t="str" cm="1">
        <f t="array" ref="O1334">_xlfn.TEXTJOIN(", ",TRUE,_xlfn._xlws.FILTER(Tabla28[[#All],[PARTE]],ISNUMBER(SEARCH(Tabla28[[#All],[PCLAVE2]],Tabla8[[#This Row],[DESCRIPCION DE TRABAJO]])),""))</f>
        <v/>
      </c>
      <c r="P1334" s="303" t="str">
        <f>IFERROR(LEFT(O1334, FIND(",", O1334)-1), O1334)</f>
        <v/>
      </c>
      <c r="Q1334" s="303" t="str">
        <f>IFERROR(IF(ISERROR(FIND(",", O1334, FIND(",", O1334)+1)), RIGHT(O1334, LEN(O1334)-FIND(",", O1334)-1), MID(O1334, FIND(",", O1334)+2, FIND(",", O1334, FIND(",", O1334)+1)-FIND(",", O1334)-2)), "")</f>
        <v/>
      </c>
      <c r="R1334" s="303" t="str">
        <f>IFERROR(RIGHT(O1334, LEN(O1334)-FIND(",", O1334, FIND(",", O1334)+1)-1), "")</f>
        <v/>
      </c>
      <c r="S1334" s="35" t="str" cm="1">
        <f t="array" ref="S1334">_xlfn.TEXTJOIN(", ",TRUE,_xlfn._xlws.FILTER(Tabla29[[#All],[PARTE]],ISNUMBER(SEARCH(Tabla29[[#All],[PCLAVE3]],Tabla8[[#This Row],[DESCRIPCION DE TRABAJO]])),""))</f>
        <v/>
      </c>
      <c r="T1334" s="34" t="str">
        <f>IF(AND(Tabla8[[#This Row],[PIEZA]]="",Tabla8[[#This Row],[PARTE]]=""),"VACIO","OK")</f>
        <v>VACIO</v>
      </c>
      <c r="U1334" s="303" t="str">
        <f>+CONCATENATE(WEEKNUM(Tabla8[[#This Row],[FECHA]]),"-",YEAR(Tabla8[[#This Row],[FECHA]]))</f>
        <v>20-2026</v>
      </c>
    </row>
    <row r="1335" spans="1:21" ht="15" customHeight="1">
      <c r="A1335" s="22">
        <v>46157</v>
      </c>
      <c r="B1335" s="16" t="s">
        <v>111</v>
      </c>
      <c r="C1335" s="10" t="s">
        <v>39</v>
      </c>
      <c r="D1335" s="381" t="s">
        <v>887</v>
      </c>
      <c r="E1335" s="381" t="s">
        <v>660</v>
      </c>
      <c r="F1335" s="380">
        <f>+MOD(Tabla8[[#This Row],[HR. FIN]]-Tabla8[[#This Row],[HR. INICIO]],1)</f>
        <v>1.736111111111116E-2</v>
      </c>
      <c r="G1335" s="16" t="s">
        <v>270</v>
      </c>
      <c r="H1335" s="343" t="str">
        <f>IFERROR(VLOOKUP(G1335,DATOS!$M$2:$N$219,2,FALSE),"")</f>
        <v>Maquinaria</v>
      </c>
      <c r="I1335" s="115" t="s">
        <v>57</v>
      </c>
      <c r="J1335" s="115" t="s">
        <v>92</v>
      </c>
      <c r="K1335" s="114" t="s">
        <v>93</v>
      </c>
      <c r="L1335" s="35" t="s">
        <v>2503</v>
      </c>
      <c r="M1335" s="35" t="s">
        <v>2504</v>
      </c>
      <c r="N1335" s="35" t="str" cm="1">
        <f t="array" ref="N1335">IFERROR(IF(Tabla8[[#This Row],[P/NP]]="NO PROGRAMADA","",_xlfn.TEXTJOIN(", ",TRUE,_xlfn._xlws.FILTER(Tabla4[[#All],[PIEZA]],ISNUMBER(SEARCH(Tabla4[[#All],[PCLAVE]],Tabla8[[#This Row],[DESCRIPCION DE TRABAJO]])),""))),"")</f>
        <v/>
      </c>
      <c r="O1335" s="35" t="str" cm="1">
        <f t="array" ref="O1335">_xlfn.TEXTJOIN(", ",TRUE,_xlfn._xlws.FILTER(Tabla28[[#All],[PARTE]],ISNUMBER(SEARCH(Tabla28[[#All],[PCLAVE2]],Tabla8[[#This Row],[DESCRIPCION DE TRABAJO]])),""))</f>
        <v>Temperadora</v>
      </c>
      <c r="P1335" s="303" t="str">
        <f>IFERROR(LEFT(O1335, FIND(",", O1335)-1), O1335)</f>
        <v>Temperadora</v>
      </c>
      <c r="Q1335" s="303" t="str">
        <f>IFERROR(IF(ISERROR(FIND(",", O1335, FIND(",", O1335)+1)), RIGHT(O1335, LEN(O1335)-FIND(",", O1335)-1), MID(O1335, FIND(",", O1335)+2, FIND(",", O1335, FIND(",", O1335)+1)-FIND(",", O1335)-2)), "")</f>
        <v/>
      </c>
      <c r="R1335" s="303" t="str">
        <f>IFERROR(RIGHT(O1335, LEN(O1335)-FIND(",", O1335, FIND(",", O1335)+1)-1), "")</f>
        <v/>
      </c>
      <c r="S1335" s="35" t="str" cm="1">
        <f t="array" ref="S1335">_xlfn.TEXTJOIN(", ",TRUE,_xlfn._xlws.FILTER(Tabla29[[#All],[PARTE]],ISNUMBER(SEARCH(Tabla29[[#All],[PCLAVE3]],Tabla8[[#This Row],[DESCRIPCION DE TRABAJO]])),""))</f>
        <v>Fuga, Fuga De Chocolate</v>
      </c>
      <c r="T1335" s="34" t="str">
        <f>IF(AND(Tabla8[[#This Row],[PIEZA]]="",Tabla8[[#This Row],[PARTE]]=""),"VACIO","OK")</f>
        <v>OK</v>
      </c>
      <c r="U1335" s="303" t="str">
        <f>+CONCATENATE(WEEKNUM(Tabla8[[#This Row],[FECHA]]),"-",YEAR(Tabla8[[#This Row],[FECHA]]))</f>
        <v>20-2026</v>
      </c>
    </row>
    <row r="1336" spans="1:21" ht="15" customHeight="1">
      <c r="A1336" s="22">
        <v>46157</v>
      </c>
      <c r="B1336" s="16" t="s">
        <v>111</v>
      </c>
      <c r="C1336" s="10" t="s">
        <v>39</v>
      </c>
      <c r="D1336" s="381" t="s">
        <v>1696</v>
      </c>
      <c r="E1336" s="381" t="s">
        <v>1697</v>
      </c>
      <c r="F1336" s="380">
        <f>+MOD(Tabla8[[#This Row],[HR. FIN]]-Tabla8[[#This Row],[HR. INICIO]],1)</f>
        <v>1.3888888888888951E-2</v>
      </c>
      <c r="G1336" s="16" t="s">
        <v>182</v>
      </c>
      <c r="H1336" s="343" t="str">
        <f>IFERROR(VLOOKUP(G1336,DATOS!$M$2:$N$219,2,FALSE),"")</f>
        <v>Maquinaria</v>
      </c>
      <c r="I1336" s="115" t="s">
        <v>57</v>
      </c>
      <c r="J1336" s="115" t="s">
        <v>157</v>
      </c>
      <c r="K1336" s="114"/>
      <c r="L1336" s="35" t="s">
        <v>2505</v>
      </c>
      <c r="M1336" s="35" t="s">
        <v>121</v>
      </c>
      <c r="N1336" s="35" t="str" cm="1">
        <f t="array" ref="N1336">IFERROR(IF(Tabla8[[#This Row],[P/NP]]="NO PROGRAMADA","",_xlfn.TEXTJOIN(", ",TRUE,_xlfn._xlws.FILTER(Tabla4[[#All],[PIEZA]],ISNUMBER(SEARCH(Tabla4[[#All],[PCLAVE]],Tabla8[[#This Row],[DESCRIPCION DE TRABAJO]])),""))),"")</f>
        <v>Abrefacil</v>
      </c>
      <c r="O1336" s="35" t="str" cm="1">
        <f t="array" ref="O1336">_xlfn.TEXTJOIN(", ",TRUE,_xlfn._xlws.FILTER(Tabla28[[#All],[PARTE]],ISNUMBER(SEARCH(Tabla28[[#All],[PCLAVE2]],Tabla8[[#This Row],[DESCRIPCION DE TRABAJO]])),""))</f>
        <v/>
      </c>
      <c r="P1336" s="303" t="str">
        <f>IFERROR(LEFT(O1336, FIND(",", O1336)-1), O1336)</f>
        <v/>
      </c>
      <c r="Q1336" s="303" t="str">
        <f>IFERROR(IF(ISERROR(FIND(",", O1336, FIND(",", O1336)+1)), RIGHT(O1336, LEN(O1336)-FIND(",", O1336)-1), MID(O1336, FIND(",", O1336)+2, FIND(",", O1336, FIND(",", O1336)+1)-FIND(",", O1336)-2)), "")</f>
        <v/>
      </c>
      <c r="R1336" s="303" t="str">
        <f>IFERROR(RIGHT(O1336, LEN(O1336)-FIND(",", O1336, FIND(",", O1336)+1)-1), "")</f>
        <v/>
      </c>
      <c r="S1336" s="35" t="str" cm="1">
        <f t="array" ref="S1336">_xlfn.TEXTJOIN(", ",TRUE,_xlfn._xlws.FILTER(Tabla29[[#All],[PARTE]],ISNUMBER(SEARCH(Tabla29[[#All],[PCLAVE3]],Tabla8[[#This Row],[DESCRIPCION DE TRABAJO]])),""))</f>
        <v>Calibracion</v>
      </c>
      <c r="T1336" s="34" t="str">
        <f>IF(AND(Tabla8[[#This Row],[PIEZA]]="",Tabla8[[#This Row],[PARTE]]=""),"VACIO","OK")</f>
        <v>OK</v>
      </c>
      <c r="U1336" s="303" t="str">
        <f>+CONCATENATE(WEEKNUM(Tabla8[[#This Row],[FECHA]]),"-",YEAR(Tabla8[[#This Row],[FECHA]]))</f>
        <v>20-2026</v>
      </c>
    </row>
    <row r="1337" spans="1:21" ht="15" customHeight="1">
      <c r="A1337" s="22">
        <v>46157</v>
      </c>
      <c r="B1337" s="16" t="s">
        <v>111</v>
      </c>
      <c r="C1337" s="10" t="s">
        <v>39</v>
      </c>
      <c r="D1337" s="381" t="s">
        <v>146</v>
      </c>
      <c r="E1337" s="381" t="s">
        <v>710</v>
      </c>
      <c r="F1337" s="380">
        <f>+MOD(Tabla8[[#This Row],[HR. FIN]]-Tabla8[[#This Row],[HR. INICIO]],1)</f>
        <v>1.3888888888888881E-2</v>
      </c>
      <c r="G1337" s="16" t="s">
        <v>182</v>
      </c>
      <c r="H1337" s="343" t="str">
        <f>IFERROR(VLOOKUP(G1337,DATOS!$M$2:$N$219,2,FALSE),"")</f>
        <v>Maquinaria</v>
      </c>
      <c r="I1337" s="115" t="s">
        <v>57</v>
      </c>
      <c r="J1337" s="115" t="s">
        <v>92</v>
      </c>
      <c r="K1337" s="114" t="s">
        <v>93</v>
      </c>
      <c r="L1337" s="35" t="s">
        <v>2506</v>
      </c>
      <c r="M1337" s="35" t="s">
        <v>2507</v>
      </c>
      <c r="N1337" s="35" t="str" cm="1">
        <f t="array" ref="N1337">IFERROR(IF(Tabla8[[#This Row],[P/NP]]="NO PROGRAMADA","",_xlfn.TEXTJOIN(", ",TRUE,_xlfn._xlws.FILTER(Tabla4[[#All],[PIEZA]],ISNUMBER(SEARCH(Tabla4[[#All],[PCLAVE]],Tabla8[[#This Row],[DESCRIPCION DE TRABAJO]])),""))),"")</f>
        <v/>
      </c>
      <c r="O1337" s="35" t="str" cm="1">
        <f t="array" ref="O1337">_xlfn.TEXTJOIN(", ",TRUE,_xlfn._xlws.FILTER(Tabla28[[#All],[PARTE]],ISNUMBER(SEARCH(Tabla28[[#All],[PCLAVE2]],Tabla8[[#This Row],[DESCRIPCION DE TRABAJO]])),""))</f>
        <v/>
      </c>
      <c r="P1337" s="303" t="str">
        <f>IFERROR(LEFT(O1337, FIND(",", O1337)-1), O1337)</f>
        <v/>
      </c>
      <c r="Q1337" s="303" t="str">
        <f>IFERROR(IF(ISERROR(FIND(",", O1337, FIND(",", O1337)+1)), RIGHT(O1337, LEN(O1337)-FIND(",", O1337)-1), MID(O1337, FIND(",", O1337)+2, FIND(",", O1337, FIND(",", O1337)+1)-FIND(",", O1337)-2)), "")</f>
        <v/>
      </c>
      <c r="R1337" s="303" t="str">
        <f>IFERROR(RIGHT(O1337, LEN(O1337)-FIND(",", O1337, FIND(",", O1337)+1)-1), "")</f>
        <v/>
      </c>
      <c r="S1337" s="35" t="str" cm="1">
        <f t="array" ref="S1337">_xlfn.TEXTJOIN(", ",TRUE,_xlfn._xlws.FILTER(Tabla29[[#All],[PARTE]],ISNUMBER(SEARCH(Tabla29[[#All],[PCLAVE3]],Tabla8[[#This Row],[DESCRIPCION DE TRABAJO]])),""))</f>
        <v>Sellado</v>
      </c>
      <c r="T1337" s="34" t="str">
        <f>IF(AND(Tabla8[[#This Row],[PIEZA]]="",Tabla8[[#This Row],[PARTE]]=""),"VACIO","OK")</f>
        <v>VACIO</v>
      </c>
      <c r="U1337" s="303" t="str">
        <f>+CONCATENATE(WEEKNUM(Tabla8[[#This Row],[FECHA]]),"-",YEAR(Tabla8[[#This Row],[FECHA]]))</f>
        <v>20-2026</v>
      </c>
    </row>
    <row r="1338" spans="1:21" ht="15" customHeight="1">
      <c r="A1338" s="22">
        <v>46157</v>
      </c>
      <c r="B1338" s="16" t="s">
        <v>111</v>
      </c>
      <c r="C1338" s="10" t="s">
        <v>39</v>
      </c>
      <c r="D1338" s="381" t="s">
        <v>415</v>
      </c>
      <c r="E1338" s="381" t="s">
        <v>901</v>
      </c>
      <c r="F1338" s="380">
        <f>+MOD(Tabla8[[#This Row],[HR. FIN]]-Tabla8[[#This Row],[HR. INICIO]],1)</f>
        <v>1.388888888888884E-2</v>
      </c>
      <c r="G1338" s="16" t="s">
        <v>205</v>
      </c>
      <c r="H1338" s="343" t="str">
        <f>IFERROR(VLOOKUP(G1338,DATOS!$M$2:$N$219,2,FALSE),"")</f>
        <v>Maquinaria</v>
      </c>
      <c r="I1338" s="115" t="s">
        <v>61</v>
      </c>
      <c r="J1338" s="115" t="s">
        <v>92</v>
      </c>
      <c r="K1338" s="114" t="s">
        <v>148</v>
      </c>
      <c r="L1338" s="35" t="s">
        <v>2508</v>
      </c>
      <c r="M1338" s="35" t="s">
        <v>2509</v>
      </c>
      <c r="N1338" s="35" t="str" cm="1">
        <f t="array" ref="N1338">IFERROR(IF(Tabla8[[#This Row],[P/NP]]="NO PROGRAMADA","",_xlfn.TEXTJOIN(", ",TRUE,_xlfn._xlws.FILTER(Tabla4[[#All],[PIEZA]],ISNUMBER(SEARCH(Tabla4[[#All],[PCLAVE]],Tabla8[[#This Row],[DESCRIPCION DE TRABAJO]])),""))),"")</f>
        <v/>
      </c>
      <c r="O1338" s="35" t="str" cm="1">
        <f t="array" ref="O1338">_xlfn.TEXTJOIN(", ",TRUE,_xlfn._xlws.FILTER(Tabla28[[#All],[PARTE]],ISNUMBER(SEARCH(Tabla28[[#All],[PCLAVE2]],Tabla8[[#This Row],[DESCRIPCION DE TRABAJO]])),""))</f>
        <v>Codificador</v>
      </c>
      <c r="P1338" s="303" t="str">
        <f>IFERROR(LEFT(O1338, FIND(",", O1338)-1), O1338)</f>
        <v>Codificador</v>
      </c>
      <c r="Q1338" s="303" t="str">
        <f>IFERROR(IF(ISERROR(FIND(",", O1338, FIND(",", O1338)+1)), RIGHT(O1338, LEN(O1338)-FIND(",", O1338)-1), MID(O1338, FIND(",", O1338)+2, FIND(",", O1338, FIND(",", O1338)+1)-FIND(",", O1338)-2)), "")</f>
        <v/>
      </c>
      <c r="R1338" s="303" t="str">
        <f>IFERROR(RIGHT(O1338, LEN(O1338)-FIND(",", O1338, FIND(",", O1338)+1)-1), "")</f>
        <v/>
      </c>
      <c r="S1338" s="35" t="str" cm="1">
        <f t="array" ref="S1338">_xlfn.TEXTJOIN(", ",TRUE,_xlfn._xlws.FILTER(Tabla29[[#All],[PARTE]],ISNUMBER(SEARCH(Tabla29[[#All],[PCLAVE3]],Tabla8[[#This Row],[DESCRIPCION DE TRABAJO]])),""))</f>
        <v>Borrosa</v>
      </c>
      <c r="T1338" s="34" t="str">
        <f>IF(AND(Tabla8[[#This Row],[PIEZA]]="",Tabla8[[#This Row],[PARTE]]=""),"VACIO","OK")</f>
        <v>OK</v>
      </c>
      <c r="U1338" s="303" t="str">
        <f>+CONCATENATE(WEEKNUM(Tabla8[[#This Row],[FECHA]]),"-",YEAR(Tabla8[[#This Row],[FECHA]]))</f>
        <v>20-2026</v>
      </c>
    </row>
    <row r="1339" spans="1:21" ht="15" customHeight="1">
      <c r="A1339" s="22">
        <v>46157</v>
      </c>
      <c r="B1339" s="16" t="s">
        <v>111</v>
      </c>
      <c r="C1339" s="10" t="s">
        <v>39</v>
      </c>
      <c r="D1339" s="381" t="s">
        <v>2510</v>
      </c>
      <c r="E1339" s="381" t="s">
        <v>143</v>
      </c>
      <c r="F1339" s="380">
        <f>+MOD(Tabla8[[#This Row],[HR. FIN]]-Tabla8[[#This Row],[HR. INICIO]],1)</f>
        <v>1.0416666666666671E-2</v>
      </c>
      <c r="G1339" s="16" t="s">
        <v>24</v>
      </c>
      <c r="H1339" s="343" t="str">
        <f>IFERROR(VLOOKUP(G1339,DATOS!$M$2:$N$219,2,FALSE),"")</f>
        <v>Maquinaria</v>
      </c>
      <c r="I1339" s="115" t="s">
        <v>186</v>
      </c>
      <c r="J1339" s="115" t="s">
        <v>92</v>
      </c>
      <c r="K1339" s="114" t="s">
        <v>93</v>
      </c>
      <c r="L1339" s="35" t="s">
        <v>2511</v>
      </c>
      <c r="M1339" s="35" t="s">
        <v>2512</v>
      </c>
      <c r="N1339" s="35" t="str" cm="1">
        <f t="array" ref="N1339">IFERROR(IF(Tabla8[[#This Row],[P/NP]]="NO PROGRAMADA","",_xlfn.TEXTJOIN(", ",TRUE,_xlfn._xlws.FILTER(Tabla4[[#All],[PIEZA]],ISNUMBER(SEARCH(Tabla4[[#All],[PCLAVE]],Tabla8[[#This Row],[DESCRIPCION DE TRABAJO]])),""))),"")</f>
        <v/>
      </c>
      <c r="O1339" s="35" t="str" cm="1">
        <f t="array" ref="O1339">_xlfn.TEXTJOIN(", ",TRUE,_xlfn._xlws.FILTER(Tabla28[[#All],[PARTE]],ISNUMBER(SEARCH(Tabla28[[#All],[PCLAVE2]],Tabla8[[#This Row],[DESCRIPCION DE TRABAJO]])),""))</f>
        <v/>
      </c>
      <c r="P1339" s="303" t="str">
        <f>IFERROR(LEFT(O1339, FIND(",", O1339)-1), O1339)</f>
        <v/>
      </c>
      <c r="Q1339" s="303" t="str">
        <f>IFERROR(IF(ISERROR(FIND(",", O1339, FIND(",", O1339)+1)), RIGHT(O1339, LEN(O1339)-FIND(",", O1339)-1), MID(O1339, FIND(",", O1339)+2, FIND(",", O1339, FIND(",", O1339)+1)-FIND(",", O1339)-2)), "")</f>
        <v/>
      </c>
      <c r="R1339" s="303" t="str">
        <f>IFERROR(RIGHT(O1339, LEN(O1339)-FIND(",", O1339, FIND(",", O1339)+1)-1), "")</f>
        <v/>
      </c>
      <c r="S1339" s="35" t="str" cm="1">
        <f t="array" ref="S1339">_xlfn.TEXTJOIN(", ",TRUE,_xlfn._xlws.FILTER(Tabla29[[#All],[PARTE]],ISNUMBER(SEARCH(Tabla29[[#All],[PCLAVE3]],Tabla8[[#This Row],[DESCRIPCION DE TRABAJO]])),""))</f>
        <v>Dañado</v>
      </c>
      <c r="T1339" s="34" t="str">
        <f>IF(AND(Tabla8[[#This Row],[PIEZA]]="",Tabla8[[#This Row],[PARTE]]=""),"VACIO","OK")</f>
        <v>VACIO</v>
      </c>
      <c r="U1339" s="303" t="str">
        <f>+CONCATENATE(WEEKNUM(Tabla8[[#This Row],[FECHA]]),"-",YEAR(Tabla8[[#This Row],[FECHA]]))</f>
        <v>20-2026</v>
      </c>
    </row>
    <row r="1340" spans="1:21" ht="15" customHeight="1">
      <c r="A1340" s="22">
        <v>46158</v>
      </c>
      <c r="B1340" s="16" t="s">
        <v>111</v>
      </c>
      <c r="C1340" s="10" t="s">
        <v>36</v>
      </c>
      <c r="D1340" s="381" t="s">
        <v>729</v>
      </c>
      <c r="E1340" s="381">
        <v>1.0166666666666666</v>
      </c>
      <c r="F1340" s="380">
        <f>+MOD(Tabla8[[#This Row],[HR. FIN]]-Tabla8[[#This Row],[HR. INICIO]],1)</f>
        <v>1.388888888888884E-2</v>
      </c>
      <c r="G1340" s="16" t="s">
        <v>24</v>
      </c>
      <c r="H1340" s="343" t="str">
        <f>IFERROR(VLOOKUP(G1340,DATOS!$M$2:$N$219,2,FALSE),"")</f>
        <v>Maquinaria</v>
      </c>
      <c r="I1340" s="115" t="s">
        <v>54</v>
      </c>
      <c r="J1340" s="115" t="s">
        <v>157</v>
      </c>
      <c r="K1340" s="114"/>
      <c r="L1340" s="35" t="s">
        <v>225</v>
      </c>
      <c r="M1340" s="35" t="s">
        <v>121</v>
      </c>
      <c r="N1340" s="35" t="str" cm="1">
        <f t="array" ref="N1340">IFERROR(IF(Tabla8[[#This Row],[P/NP]]="NO PROGRAMADA","",_xlfn.TEXTJOIN(", ",TRUE,_xlfn._xlws.FILTER(Tabla4[[#All],[PIEZA]],ISNUMBER(SEARCH(Tabla4[[#All],[PCLAVE]],Tabla8[[#This Row],[DESCRIPCION DE TRABAJO]])),""))),"")</f>
        <v/>
      </c>
      <c r="O1340" s="35" t="str" cm="1">
        <f t="array" ref="O1340">_xlfn.TEXTJOIN(", ",TRUE,_xlfn._xlws.FILTER(Tabla28[[#All],[PARTE]],ISNUMBER(SEARCH(Tabla28[[#All],[PCLAVE2]],Tabla8[[#This Row],[DESCRIPCION DE TRABAJO]])),""))</f>
        <v/>
      </c>
      <c r="P1340" s="303" t="str">
        <f>IFERROR(LEFT(O1340, FIND(",", O1340)-1), O1340)</f>
        <v/>
      </c>
      <c r="Q1340" s="303" t="str">
        <f>IFERROR(IF(ISERROR(FIND(",", O1340, FIND(",", O1340)+1)), RIGHT(O1340, LEN(O1340)-FIND(",", O1340)-1), MID(O1340, FIND(",", O1340)+2, FIND(",", O1340, FIND(",", O1340)+1)-FIND(",", O1340)-2)), "")</f>
        <v/>
      </c>
      <c r="R1340" s="303" t="str">
        <f>IFERROR(RIGHT(O1340, LEN(O1340)-FIND(",", O1340, FIND(",", O1340)+1)-1), "")</f>
        <v/>
      </c>
      <c r="S1340" s="35" t="str" cm="1">
        <f t="array" ref="S1340">_xlfn.TEXTJOIN(", ",TRUE,_xlfn._xlws.FILTER(Tabla29[[#All],[PARTE]],ISNUMBER(SEARCH(Tabla29[[#All],[PCLAVE3]],Tabla8[[#This Row],[DESCRIPCION DE TRABAJO]])),""))</f>
        <v/>
      </c>
      <c r="T1340" s="34" t="str">
        <f>IF(AND(Tabla8[[#This Row],[PIEZA]]="",Tabla8[[#This Row],[PARTE]]=""),"VACIO","OK")</f>
        <v>VACIO</v>
      </c>
      <c r="U1340" s="303" t="str">
        <f>+CONCATENATE(WEEKNUM(Tabla8[[#This Row],[FECHA]]),"-",YEAR(Tabla8[[#This Row],[FECHA]]))</f>
        <v>20-2026</v>
      </c>
    </row>
    <row r="1341" spans="1:21" ht="15" customHeight="1">
      <c r="A1341" s="22">
        <v>46158</v>
      </c>
      <c r="B1341" s="16" t="s">
        <v>191</v>
      </c>
      <c r="C1341" s="10" t="s">
        <v>23</v>
      </c>
      <c r="D1341" s="381" t="s">
        <v>2513</v>
      </c>
      <c r="E1341" s="381" t="s">
        <v>1224</v>
      </c>
      <c r="F1341" s="380">
        <f>+MOD(Tabla8[[#This Row],[HR. FIN]]-Tabla8[[#This Row],[HR. INICIO]],1)</f>
        <v>2.777777777777779E-2</v>
      </c>
      <c r="G1341" s="16" t="s">
        <v>192</v>
      </c>
      <c r="H1341" s="343" t="str">
        <f>IFERROR(VLOOKUP(G1341,DATOS!$M$2:$N$219,2,FALSE),"")</f>
        <v>Maquinaria</v>
      </c>
      <c r="I1341" s="115" t="s">
        <v>32</v>
      </c>
      <c r="J1341" s="115" t="s">
        <v>157</v>
      </c>
      <c r="K1341" s="114"/>
      <c r="L1341" s="35" t="s">
        <v>2514</v>
      </c>
      <c r="M1341" s="35" t="s">
        <v>121</v>
      </c>
      <c r="N1341" s="35" t="str" cm="1">
        <f t="array" ref="N1341">IFERROR(IF(Tabla8[[#This Row],[P/NP]]="NO PROGRAMADA","",_xlfn.TEXTJOIN(", ",TRUE,_xlfn._xlws.FILTER(Tabla4[[#All],[PIEZA]],ISNUMBER(SEARCH(Tabla4[[#All],[PCLAVE]],Tabla8[[#This Row],[DESCRIPCION DE TRABAJO]])),""))),"")</f>
        <v/>
      </c>
      <c r="O1341" s="35" t="str" cm="1">
        <f t="array" ref="O1341">_xlfn.TEXTJOIN(", ",TRUE,_xlfn._xlws.FILTER(Tabla28[[#All],[PARTE]],ISNUMBER(SEARCH(Tabla28[[#All],[PCLAVE2]],Tabla8[[#This Row],[DESCRIPCION DE TRABAJO]])),""))</f>
        <v/>
      </c>
      <c r="P1341" s="303" t="str">
        <f>IFERROR(LEFT(O1341, FIND(",", O1341)-1), O1341)</f>
        <v/>
      </c>
      <c r="Q1341" s="303" t="str">
        <f>IFERROR(IF(ISERROR(FIND(",", O1341, FIND(",", O1341)+1)), RIGHT(O1341, LEN(O1341)-FIND(",", O1341)-1), MID(O1341, FIND(",", O1341)+2, FIND(",", O1341, FIND(",", O1341)+1)-FIND(",", O1341)-2)), "")</f>
        <v/>
      </c>
      <c r="R1341" s="303" t="str">
        <f>IFERROR(RIGHT(O1341, LEN(O1341)-FIND(",", O1341, FIND(",", O1341)+1)-1), "")</f>
        <v/>
      </c>
      <c r="S1341" s="35" t="str" cm="1">
        <f t="array" ref="S1341">_xlfn.TEXTJOIN(", ",TRUE,_xlfn._xlws.FILTER(Tabla29[[#All],[PARTE]],ISNUMBER(SEARCH(Tabla29[[#All],[PCLAVE3]],Tabla8[[#This Row],[DESCRIPCION DE TRABAJO]])),""))</f>
        <v>Cambio De Formato</v>
      </c>
      <c r="T1341" s="34" t="str">
        <f>IF(AND(Tabla8[[#This Row],[PIEZA]]="",Tabla8[[#This Row],[PARTE]]=""),"VACIO","OK")</f>
        <v>VACIO</v>
      </c>
      <c r="U1341" s="303" t="str">
        <f>+CONCATENATE(WEEKNUM(Tabla8[[#This Row],[FECHA]]),"-",YEAR(Tabla8[[#This Row],[FECHA]]))</f>
        <v>20-2026</v>
      </c>
    </row>
    <row r="1342" spans="1:21" ht="15" customHeight="1">
      <c r="A1342" s="22">
        <v>46158</v>
      </c>
      <c r="B1342" s="16" t="s">
        <v>191</v>
      </c>
      <c r="C1342" s="10" t="s">
        <v>23</v>
      </c>
      <c r="D1342" s="381" t="s">
        <v>2515</v>
      </c>
      <c r="E1342" s="381" t="s">
        <v>2516</v>
      </c>
      <c r="F1342" s="380">
        <f>+MOD(Tabla8[[#This Row],[HR. FIN]]-Tabla8[[#This Row],[HR. INICIO]],1)</f>
        <v>2.2222222222222254E-2</v>
      </c>
      <c r="G1342" s="16" t="s">
        <v>24</v>
      </c>
      <c r="H1342" s="343" t="str">
        <f>IFERROR(VLOOKUP(G1342,DATOS!$M$2:$N$219,2,FALSE),"")</f>
        <v>Maquinaria</v>
      </c>
      <c r="I1342" s="115" t="s">
        <v>32</v>
      </c>
      <c r="J1342" s="115" t="s">
        <v>157</v>
      </c>
      <c r="K1342" s="114"/>
      <c r="L1342" s="35" t="s">
        <v>2517</v>
      </c>
      <c r="M1342" s="35" t="s">
        <v>121</v>
      </c>
      <c r="N1342" s="35" t="str" cm="1">
        <f t="array" ref="N1342">IFERROR(IF(Tabla8[[#This Row],[P/NP]]="NO PROGRAMADA","",_xlfn.TEXTJOIN(", ",TRUE,_xlfn._xlws.FILTER(Tabla4[[#All],[PIEZA]],ISNUMBER(SEARCH(Tabla4[[#All],[PCLAVE]],Tabla8[[#This Row],[DESCRIPCION DE TRABAJO]])),""))),"")</f>
        <v>Cuchilla</v>
      </c>
      <c r="O1342" s="35" t="str" cm="1">
        <f t="array" ref="O1342">_xlfn.TEXTJOIN(", ",TRUE,_xlfn._xlws.FILTER(Tabla28[[#All],[PARTE]],ISNUMBER(SEARCH(Tabla28[[#All],[PCLAVE2]],Tabla8[[#This Row],[DESCRIPCION DE TRABAJO]])),""))</f>
        <v/>
      </c>
      <c r="P1342" s="303" t="str">
        <f>IFERROR(LEFT(O1342, FIND(",", O1342)-1), O1342)</f>
        <v/>
      </c>
      <c r="Q1342" s="303" t="str">
        <f>IFERROR(IF(ISERROR(FIND(",", O1342, FIND(",", O1342)+1)), RIGHT(O1342, LEN(O1342)-FIND(",", O1342)-1), MID(O1342, FIND(",", O1342)+2, FIND(",", O1342, FIND(",", O1342)+1)-FIND(",", O1342)-2)), "")</f>
        <v/>
      </c>
      <c r="R1342" s="303" t="str">
        <f>IFERROR(RIGHT(O1342, LEN(O1342)-FIND(",", O1342, FIND(",", O1342)+1)-1), "")</f>
        <v/>
      </c>
      <c r="S1342" s="35" t="str" cm="1">
        <f t="array" ref="S1342">_xlfn.TEXTJOIN(", ",TRUE,_xlfn._xlws.FILTER(Tabla29[[#All],[PARTE]],ISNUMBER(SEARCH(Tabla29[[#All],[PCLAVE3]],Tabla8[[#This Row],[DESCRIPCION DE TRABAJO]])),""))</f>
        <v>Setup</v>
      </c>
      <c r="T1342" s="34" t="str">
        <f>IF(AND(Tabla8[[#This Row],[PIEZA]]="",Tabla8[[#This Row],[PARTE]]=""),"VACIO","OK")</f>
        <v>OK</v>
      </c>
      <c r="U1342" s="303" t="str">
        <f>+CONCATENATE(WEEKNUM(Tabla8[[#This Row],[FECHA]]),"-",YEAR(Tabla8[[#This Row],[FECHA]]))</f>
        <v>20-2026</v>
      </c>
    </row>
    <row r="1343" spans="1:21" ht="15" customHeight="1">
      <c r="A1343" s="22">
        <v>46158</v>
      </c>
      <c r="B1343" s="16" t="s">
        <v>191</v>
      </c>
      <c r="C1343" s="10" t="s">
        <v>23</v>
      </c>
      <c r="D1343" s="381" t="s">
        <v>1250</v>
      </c>
      <c r="E1343" s="381" t="s">
        <v>2404</v>
      </c>
      <c r="F1343" s="380">
        <f>+MOD(Tabla8[[#This Row],[HR. FIN]]-Tabla8[[#This Row],[HR. INICIO]],1)</f>
        <v>1.8055555555555602E-2</v>
      </c>
      <c r="G1343" s="16" t="s">
        <v>205</v>
      </c>
      <c r="H1343" s="343" t="str">
        <f>IFERROR(VLOOKUP(G1343,DATOS!$M$2:$N$219,2,FALSE),"")</f>
        <v>Maquinaria</v>
      </c>
      <c r="I1343" s="115" t="s">
        <v>61</v>
      </c>
      <c r="J1343" s="115" t="s">
        <v>92</v>
      </c>
      <c r="K1343" s="114" t="s">
        <v>148</v>
      </c>
      <c r="L1343" s="35" t="s">
        <v>2518</v>
      </c>
      <c r="M1343" s="35" t="s">
        <v>2519</v>
      </c>
      <c r="N1343" s="35" t="str" cm="1">
        <f t="array" ref="N1343">IFERROR(IF(Tabla8[[#This Row],[P/NP]]="NO PROGRAMADA","",_xlfn.TEXTJOIN(", ",TRUE,_xlfn._xlws.FILTER(Tabla4[[#All],[PIEZA]],ISNUMBER(SEARCH(Tabla4[[#All],[PCLAVE]],Tabla8[[#This Row],[DESCRIPCION DE TRABAJO]])),""))),"")</f>
        <v/>
      </c>
      <c r="O1343" s="35" t="str" cm="1">
        <f t="array" ref="O1343">_xlfn.TEXTJOIN(", ",TRUE,_xlfn._xlws.FILTER(Tabla28[[#All],[PARTE]],ISNUMBER(SEARCH(Tabla28[[#All],[PCLAVE2]],Tabla8[[#This Row],[DESCRIPCION DE TRABAJO]])),""))</f>
        <v/>
      </c>
      <c r="P1343" s="303" t="str">
        <f>IFERROR(LEFT(O1343, FIND(",", O1343)-1), O1343)</f>
        <v/>
      </c>
      <c r="Q1343" s="303" t="str">
        <f>IFERROR(IF(ISERROR(FIND(",", O1343, FIND(",", O1343)+1)), RIGHT(O1343, LEN(O1343)-FIND(",", O1343)-1), MID(O1343, FIND(",", O1343)+2, FIND(",", O1343, FIND(",", O1343)+1)-FIND(",", O1343)-2)), "")</f>
        <v/>
      </c>
      <c r="R1343" s="303" t="str">
        <f>IFERROR(RIGHT(O1343, LEN(O1343)-FIND(",", O1343, FIND(",", O1343)+1)-1), "")</f>
        <v/>
      </c>
      <c r="S1343" s="35" t="str" cm="1">
        <f t="array" ref="S1343">_xlfn.TEXTJOIN(", ",TRUE,_xlfn._xlws.FILTER(Tabla29[[#All],[PARTE]],ISNUMBER(SEARCH(Tabla29[[#All],[PCLAVE3]],Tabla8[[#This Row],[DESCRIPCION DE TRABAJO]])),""))</f>
        <v>Borrosa</v>
      </c>
      <c r="T1343" s="34" t="str">
        <f>IF(AND(Tabla8[[#This Row],[PIEZA]]="",Tabla8[[#This Row],[PARTE]]=""),"VACIO","OK")</f>
        <v>VACIO</v>
      </c>
      <c r="U1343" s="303" t="str">
        <f>+CONCATENATE(WEEKNUM(Tabla8[[#This Row],[FECHA]]),"-",YEAR(Tabla8[[#This Row],[FECHA]]))</f>
        <v>20-2026</v>
      </c>
    </row>
    <row r="1344" spans="1:21" ht="15" customHeight="1">
      <c r="A1344" s="22">
        <v>46158</v>
      </c>
      <c r="B1344" s="16" t="s">
        <v>191</v>
      </c>
      <c r="C1344" s="10" t="s">
        <v>23</v>
      </c>
      <c r="D1344" s="381" t="s">
        <v>2426</v>
      </c>
      <c r="E1344" s="381" t="s">
        <v>2520</v>
      </c>
      <c r="F1344" s="380">
        <f>+MOD(Tabla8[[#This Row],[HR. FIN]]-Tabla8[[#This Row],[HR. INICIO]],1)</f>
        <v>1.736111111111116E-2</v>
      </c>
      <c r="G1344" s="16" t="s">
        <v>182</v>
      </c>
      <c r="H1344" s="343" t="str">
        <f>IFERROR(VLOOKUP(G1344,DATOS!$M$2:$N$219,2,FALSE),"")</f>
        <v>Maquinaria</v>
      </c>
      <c r="I1344" s="115" t="s">
        <v>57</v>
      </c>
      <c r="J1344" s="115" t="s">
        <v>92</v>
      </c>
      <c r="K1344" s="114" t="s">
        <v>93</v>
      </c>
      <c r="L1344" s="35" t="s">
        <v>2521</v>
      </c>
      <c r="M1344" s="35" t="s">
        <v>2522</v>
      </c>
      <c r="N1344" s="35" t="str" cm="1">
        <f t="array" ref="N1344">IFERROR(IF(Tabla8[[#This Row],[P/NP]]="NO PROGRAMADA","",_xlfn.TEXTJOIN(", ",TRUE,_xlfn._xlws.FILTER(Tabla4[[#All],[PIEZA]],ISNUMBER(SEARCH(Tabla4[[#All],[PCLAVE]],Tabla8[[#This Row],[DESCRIPCION DE TRABAJO]])),""))),"")</f>
        <v/>
      </c>
      <c r="O1344" s="35" t="str" cm="1">
        <f t="array" ref="O1344">_xlfn.TEXTJOIN(", ",TRUE,_xlfn._xlws.FILTER(Tabla28[[#All],[PARTE]],ISNUMBER(SEARCH(Tabla28[[#All],[PCLAVE2]],Tabla8[[#This Row],[DESCRIPCION DE TRABAJO]])),""))</f>
        <v/>
      </c>
      <c r="P1344" s="303" t="str">
        <f>IFERROR(LEFT(O1344, FIND(",", O1344)-1), O1344)</f>
        <v/>
      </c>
      <c r="Q1344" s="303" t="str">
        <f>IFERROR(IF(ISERROR(FIND(",", O1344, FIND(",", O1344)+1)), RIGHT(O1344, LEN(O1344)-FIND(",", O1344)-1), MID(O1344, FIND(",", O1344)+2, FIND(",", O1344, FIND(",", O1344)+1)-FIND(",", O1344)-2)), "")</f>
        <v/>
      </c>
      <c r="R1344" s="303" t="str">
        <f>IFERROR(RIGHT(O1344, LEN(O1344)-FIND(",", O1344, FIND(",", O1344)+1)-1), "")</f>
        <v/>
      </c>
      <c r="S1344" s="35" t="str" cm="1">
        <f t="array" ref="S1344">_xlfn.TEXTJOIN(", ",TRUE,_xlfn._xlws.FILTER(Tabla29[[#All],[PARTE]],ISNUMBER(SEARCH(Tabla29[[#All],[PCLAVE3]],Tabla8[[#This Row],[DESCRIPCION DE TRABAJO]])),""))</f>
        <v>No Sella, Se Pegan</v>
      </c>
      <c r="T1344" s="34" t="str">
        <f>IF(AND(Tabla8[[#This Row],[PIEZA]]="",Tabla8[[#This Row],[PARTE]]=""),"VACIO","OK")</f>
        <v>VACIO</v>
      </c>
      <c r="U1344" s="303" t="str">
        <f>+CONCATENATE(WEEKNUM(Tabla8[[#This Row],[FECHA]]),"-",YEAR(Tabla8[[#This Row],[FECHA]]))</f>
        <v>20-2026</v>
      </c>
    </row>
    <row r="1345" spans="1:21" ht="15" customHeight="1">
      <c r="A1345" s="22">
        <v>46158</v>
      </c>
      <c r="B1345" s="16" t="s">
        <v>111</v>
      </c>
      <c r="C1345" s="10" t="s">
        <v>39</v>
      </c>
      <c r="D1345" s="381" t="s">
        <v>1805</v>
      </c>
      <c r="E1345" s="381" t="s">
        <v>730</v>
      </c>
      <c r="F1345" s="380">
        <f>+MOD(Tabla8[[#This Row],[HR. FIN]]-Tabla8[[#This Row],[HR. INICIO]],1)</f>
        <v>1.7361111111111112E-2</v>
      </c>
      <c r="G1345" s="16" t="s">
        <v>270</v>
      </c>
      <c r="H1345" s="343" t="str">
        <f>IFERROR(VLOOKUP(G1345,DATOS!$M$2:$N$219,2,FALSE),"")</f>
        <v>Maquinaria</v>
      </c>
      <c r="I1345" s="115" t="s">
        <v>61</v>
      </c>
      <c r="J1345" s="115" t="s">
        <v>157</v>
      </c>
      <c r="K1345" s="114"/>
      <c r="L1345" s="35" t="s">
        <v>2523</v>
      </c>
      <c r="M1345" s="35" t="s">
        <v>121</v>
      </c>
      <c r="N1345" s="35" t="str" cm="1">
        <f t="array" ref="N1345">IFERROR(IF(Tabla8[[#This Row],[P/NP]]="NO PROGRAMADA","",_xlfn.TEXTJOIN(", ",TRUE,_xlfn._xlws.FILTER(Tabla4[[#All],[PIEZA]],ISNUMBER(SEARCH(Tabla4[[#All],[PCLAVE]],Tabla8[[#This Row],[DESCRIPCION DE TRABAJO]])),""))),"")</f>
        <v/>
      </c>
      <c r="O1345" s="35" t="str" cm="1">
        <f t="array" ref="O1345">_xlfn.TEXTJOIN(", ",TRUE,_xlfn._xlws.FILTER(Tabla28[[#All],[PARTE]],ISNUMBER(SEARCH(Tabla28[[#All],[PCLAVE2]],Tabla8[[#This Row],[DESCRIPCION DE TRABAJO]])),""))</f>
        <v>Temperadora</v>
      </c>
      <c r="P1345" s="303" t="str">
        <f>IFERROR(LEFT(O1345, FIND(",", O1345)-1), O1345)</f>
        <v>Temperadora</v>
      </c>
      <c r="Q1345" s="303" t="str">
        <f>IFERROR(IF(ISERROR(FIND(",", O1345, FIND(",", O1345)+1)), RIGHT(O1345, LEN(O1345)-FIND(",", O1345)-1), MID(O1345, FIND(",", O1345)+2, FIND(",", O1345, FIND(",", O1345)+1)-FIND(",", O1345)-2)), "")</f>
        <v/>
      </c>
      <c r="R1345" s="303" t="str">
        <f>IFERROR(RIGHT(O1345, LEN(O1345)-FIND(",", O1345, FIND(",", O1345)+1)-1), "")</f>
        <v/>
      </c>
      <c r="S1345" s="35" t="str" cm="1">
        <f t="array" ref="S1345">_xlfn.TEXTJOIN(", ",TRUE,_xlfn._xlws.FILTER(Tabla29[[#All],[PARTE]],ISNUMBER(SEARCH(Tabla29[[#All],[PCLAVE3]],Tabla8[[#This Row],[DESCRIPCION DE TRABAJO]])),""))</f>
        <v/>
      </c>
      <c r="T1345" s="34" t="str">
        <f>IF(AND(Tabla8[[#This Row],[PIEZA]]="",Tabla8[[#This Row],[PARTE]]=""),"VACIO","OK")</f>
        <v>OK</v>
      </c>
      <c r="U1345" s="303" t="str">
        <f>+CONCATENATE(WEEKNUM(Tabla8[[#This Row],[FECHA]]),"-",YEAR(Tabla8[[#This Row],[FECHA]]))</f>
        <v>20-2026</v>
      </c>
    </row>
    <row r="1346" spans="1:21" ht="15" customHeight="1">
      <c r="A1346" s="22">
        <v>46158</v>
      </c>
      <c r="B1346" s="16" t="s">
        <v>191</v>
      </c>
      <c r="C1346" s="10" t="s">
        <v>23</v>
      </c>
      <c r="D1346" s="381" t="s">
        <v>2419</v>
      </c>
      <c r="E1346" s="381" t="s">
        <v>1171</v>
      </c>
      <c r="F1346" s="380">
        <f>+MOD(Tabla8[[#This Row],[HR. FIN]]-Tabla8[[#This Row],[HR. INICIO]],1)</f>
        <v>1.5277777777777724E-2</v>
      </c>
      <c r="G1346" s="16" t="s">
        <v>215</v>
      </c>
      <c r="H1346" s="343" t="str">
        <f>IFERROR(VLOOKUP(G1346,DATOS!$M$2:$N$219,2,FALSE),"")</f>
        <v>Equipos auxiliares</v>
      </c>
      <c r="I1346" s="115" t="s">
        <v>54</v>
      </c>
      <c r="J1346" s="115" t="s">
        <v>157</v>
      </c>
      <c r="K1346" s="114"/>
      <c r="L1346" s="35" t="s">
        <v>248</v>
      </c>
      <c r="M1346" s="35" t="s">
        <v>121</v>
      </c>
      <c r="N1346" s="35" t="str" cm="1">
        <f t="array" ref="N1346">IFERROR(IF(Tabla8[[#This Row],[P/NP]]="NO PROGRAMADA","",_xlfn.TEXTJOIN(", ",TRUE,_xlfn._xlws.FILTER(Tabla4[[#All],[PIEZA]],ISNUMBER(SEARCH(Tabla4[[#All],[PCLAVE]],Tabla8[[#This Row],[DESCRIPCION DE TRABAJO]])),""))),"")</f>
        <v/>
      </c>
      <c r="O1346" s="35" t="str" cm="1">
        <f t="array" ref="O1346">_xlfn.TEXTJOIN(", ",TRUE,_xlfn._xlws.FILTER(Tabla28[[#All],[PARTE]],ISNUMBER(SEARCH(Tabla28[[#All],[PCLAVE2]],Tabla8[[#This Row],[DESCRIPCION DE TRABAJO]])),""))</f>
        <v/>
      </c>
      <c r="P1346" s="303" t="str">
        <f>IFERROR(LEFT(O1346, FIND(",", O1346)-1), O1346)</f>
        <v/>
      </c>
      <c r="Q1346" s="303" t="str">
        <f>IFERROR(IF(ISERROR(FIND(",", O1346, FIND(",", O1346)+1)), RIGHT(O1346, LEN(O1346)-FIND(",", O1346)-1), MID(O1346, FIND(",", O1346)+2, FIND(",", O1346, FIND(",", O1346)+1)-FIND(",", O1346)-2)), "")</f>
        <v/>
      </c>
      <c r="R1346" s="303" t="str">
        <f>IFERROR(RIGHT(O1346, LEN(O1346)-FIND(",", O1346, FIND(",", O1346)+1)-1), "")</f>
        <v/>
      </c>
      <c r="S1346" s="35" t="str" cm="1">
        <f t="array" ref="S1346">_xlfn.TEXTJOIN(", ",TRUE,_xlfn._xlws.FILTER(Tabla29[[#All],[PARTE]],ISNUMBER(SEARCH(Tabla29[[#All],[PCLAVE3]],Tabla8[[#This Row],[DESCRIPCION DE TRABAJO]])),""))</f>
        <v/>
      </c>
      <c r="T1346" s="34" t="str">
        <f>IF(AND(Tabla8[[#This Row],[PIEZA]]="",Tabla8[[#This Row],[PARTE]]=""),"VACIO","OK")</f>
        <v>VACIO</v>
      </c>
      <c r="U1346" s="303" t="str">
        <f>+CONCATENATE(WEEKNUM(Tabla8[[#This Row],[FECHA]]),"-",YEAR(Tabla8[[#This Row],[FECHA]]))</f>
        <v>20-2026</v>
      </c>
    </row>
    <row r="1347" spans="1:21" ht="15" customHeight="1">
      <c r="A1347" s="22">
        <v>46158</v>
      </c>
      <c r="B1347" s="16" t="s">
        <v>191</v>
      </c>
      <c r="C1347" s="10" t="s">
        <v>23</v>
      </c>
      <c r="D1347" s="381" t="s">
        <v>882</v>
      </c>
      <c r="E1347" s="381" t="s">
        <v>456</v>
      </c>
      <c r="F1347" s="380">
        <f>+MOD(Tabla8[[#This Row],[HR. FIN]]-Tabla8[[#This Row],[HR. INICIO]],1)</f>
        <v>1.4583333333333282E-2</v>
      </c>
      <c r="G1347" s="16" t="s">
        <v>266</v>
      </c>
      <c r="H1347" s="343" t="str">
        <f>IFERROR(VLOOKUP(G1347,DATOS!$M$2:$N$219,2,FALSE),"")</f>
        <v>Maquinaria</v>
      </c>
      <c r="I1347" s="115" t="s">
        <v>61</v>
      </c>
      <c r="J1347" s="115" t="s">
        <v>157</v>
      </c>
      <c r="K1347" s="114"/>
      <c r="L1347" s="35" t="s">
        <v>2524</v>
      </c>
      <c r="M1347" s="35" t="s">
        <v>121</v>
      </c>
      <c r="N1347" s="35" t="str" cm="1">
        <f t="array" ref="N1347">IFERROR(IF(Tabla8[[#This Row],[P/NP]]="NO PROGRAMADA","",_xlfn.TEXTJOIN(", ",TRUE,_xlfn._xlws.FILTER(Tabla4[[#All],[PIEZA]],ISNUMBER(SEARCH(Tabla4[[#All],[PCLAVE]],Tabla8[[#This Row],[DESCRIPCION DE TRABAJO]])),""))),"")</f>
        <v>Producto</v>
      </c>
      <c r="O1347" s="35" t="str" cm="1">
        <f t="array" ref="O1347">_xlfn.TEXTJOIN(", ",TRUE,_xlfn._xlws.FILTER(Tabla28[[#All],[PARTE]],ISNUMBER(SEARCH(Tabla28[[#All],[PCLAVE2]],Tabla8[[#This Row],[DESCRIPCION DE TRABAJO]])),""))</f>
        <v/>
      </c>
      <c r="P1347" s="303" t="str">
        <f>IFERROR(LEFT(O1347, FIND(",", O1347)-1), O1347)</f>
        <v/>
      </c>
      <c r="Q1347" s="303" t="str">
        <f>IFERROR(IF(ISERROR(FIND(",", O1347, FIND(",", O1347)+1)), RIGHT(O1347, LEN(O1347)-FIND(",", O1347)-1), MID(O1347, FIND(",", O1347)+2, FIND(",", O1347, FIND(",", O1347)+1)-FIND(",", O1347)-2)), "")</f>
        <v/>
      </c>
      <c r="R1347" s="303" t="str">
        <f>IFERROR(RIGHT(O1347, LEN(O1347)-FIND(",", O1347, FIND(",", O1347)+1)-1), "")</f>
        <v/>
      </c>
      <c r="S1347" s="35" t="str" cm="1">
        <f t="array" ref="S1347">_xlfn.TEXTJOIN(", ",TRUE,_xlfn._xlws.FILTER(Tabla29[[#All],[PARTE]],ISNUMBER(SEARCH(Tabla29[[#All],[PCLAVE3]],Tabla8[[#This Row],[DESCRIPCION DE TRABAJO]])),""))</f>
        <v>Sustitucion</v>
      </c>
      <c r="T1347" s="34" t="str">
        <f>IF(AND(Tabla8[[#This Row],[PIEZA]]="",Tabla8[[#This Row],[PARTE]]=""),"VACIO","OK")</f>
        <v>OK</v>
      </c>
      <c r="U1347" s="303" t="str">
        <f>+CONCATENATE(WEEKNUM(Tabla8[[#This Row],[FECHA]]),"-",YEAR(Tabla8[[#This Row],[FECHA]]))</f>
        <v>20-2026</v>
      </c>
    </row>
    <row r="1348" spans="1:21" ht="15" customHeight="1">
      <c r="A1348" s="22">
        <v>46158</v>
      </c>
      <c r="B1348" s="16" t="s">
        <v>191</v>
      </c>
      <c r="C1348" s="10" t="s">
        <v>23</v>
      </c>
      <c r="D1348" s="381" t="s">
        <v>2525</v>
      </c>
      <c r="E1348" s="381" t="s">
        <v>2526</v>
      </c>
      <c r="F1348" s="380">
        <f>+MOD(Tabla8[[#This Row],[HR. FIN]]-Tabla8[[#This Row],[HR. INICIO]],1)</f>
        <v>9.7222222222222987E-3</v>
      </c>
      <c r="G1348" s="16" t="s">
        <v>438</v>
      </c>
      <c r="H1348" s="343" t="str">
        <f>IFERROR(VLOOKUP(G1348,DATOS!$M$2:$N$219,2,FALSE),"")</f>
        <v>Maquinaria</v>
      </c>
      <c r="I1348" s="115" t="s">
        <v>186</v>
      </c>
      <c r="J1348" s="115" t="s">
        <v>92</v>
      </c>
      <c r="K1348" s="114" t="s">
        <v>93</v>
      </c>
      <c r="L1348" s="35" t="s">
        <v>2527</v>
      </c>
      <c r="M1348" s="35" t="s">
        <v>2528</v>
      </c>
      <c r="N1348" s="35" t="str" cm="1">
        <f t="array" ref="N1348">IFERROR(IF(Tabla8[[#This Row],[P/NP]]="NO PROGRAMADA","",_xlfn.TEXTJOIN(", ",TRUE,_xlfn._xlws.FILTER(Tabla4[[#All],[PIEZA]],ISNUMBER(SEARCH(Tabla4[[#All],[PCLAVE]],Tabla8[[#This Row],[DESCRIPCION DE TRABAJO]])),""))),"")</f>
        <v/>
      </c>
      <c r="O1348" s="35" t="str" cm="1">
        <f t="array" ref="O1348">_xlfn.TEXTJOIN(", ",TRUE,_xlfn._xlws.FILTER(Tabla28[[#All],[PARTE]],ISNUMBER(SEARCH(Tabla28[[#All],[PCLAVE2]],Tabla8[[#This Row],[DESCRIPCION DE TRABAJO]])),""))</f>
        <v/>
      </c>
      <c r="P1348" s="303" t="str">
        <f>IFERROR(LEFT(O1348, FIND(",", O1348)-1), O1348)</f>
        <v/>
      </c>
      <c r="Q1348" s="303" t="str">
        <f>IFERROR(IF(ISERROR(FIND(",", O1348, FIND(",", O1348)+1)), RIGHT(O1348, LEN(O1348)-FIND(",", O1348)-1), MID(O1348, FIND(",", O1348)+2, FIND(",", O1348, FIND(",", O1348)+1)-FIND(",", O1348)-2)), "")</f>
        <v/>
      </c>
      <c r="R1348" s="303" t="str">
        <f>IFERROR(RIGHT(O1348, LEN(O1348)-FIND(",", O1348, FIND(",", O1348)+1)-1), "")</f>
        <v/>
      </c>
      <c r="S1348" s="35" t="str" cm="1">
        <f t="array" ref="S1348">_xlfn.TEXTJOIN(", ",TRUE,_xlfn._xlws.FILTER(Tabla29[[#All],[PARTE]],ISNUMBER(SEARCH(Tabla29[[#All],[PCLAVE3]],Tabla8[[#This Row],[DESCRIPCION DE TRABAJO]])),""))</f>
        <v>Temperatura</v>
      </c>
      <c r="T1348" s="34" t="str">
        <f>IF(AND(Tabla8[[#This Row],[PIEZA]]="",Tabla8[[#This Row],[PARTE]]=""),"VACIO","OK")</f>
        <v>VACIO</v>
      </c>
      <c r="U1348" s="303" t="str">
        <f>+CONCATENATE(WEEKNUM(Tabla8[[#This Row],[FECHA]]),"-",YEAR(Tabla8[[#This Row],[FECHA]]))</f>
        <v>20-2026</v>
      </c>
    </row>
    <row r="1349" spans="1:21" ht="15" customHeight="1">
      <c r="A1349" s="22">
        <v>46158</v>
      </c>
      <c r="B1349" s="16" t="s">
        <v>191</v>
      </c>
      <c r="C1349" s="10" t="s">
        <v>23</v>
      </c>
      <c r="D1349" s="381" t="s">
        <v>2529</v>
      </c>
      <c r="E1349" s="381" t="s">
        <v>2530</v>
      </c>
      <c r="F1349" s="380">
        <f>+MOD(Tabla8[[#This Row],[HR. FIN]]-Tabla8[[#This Row],[HR. INICIO]],1)</f>
        <v>5.5555555555555358E-3</v>
      </c>
      <c r="G1349" s="16" t="s">
        <v>182</v>
      </c>
      <c r="H1349" s="343" t="str">
        <f>IFERROR(VLOOKUP(G1349,DATOS!$M$2:$N$219,2,FALSE),"")</f>
        <v>Maquinaria</v>
      </c>
      <c r="I1349" s="115" t="s">
        <v>57</v>
      </c>
      <c r="J1349" s="115" t="s">
        <v>92</v>
      </c>
      <c r="K1349" s="114" t="s">
        <v>93</v>
      </c>
      <c r="L1349" s="35" t="s">
        <v>2531</v>
      </c>
      <c r="M1349" s="35" t="s">
        <v>2532</v>
      </c>
      <c r="N1349" s="35" t="str" cm="1">
        <f t="array" ref="N1349">IFERROR(IF(Tabla8[[#This Row],[P/NP]]="NO PROGRAMADA","",_xlfn.TEXTJOIN(", ",TRUE,_xlfn._xlws.FILTER(Tabla4[[#All],[PIEZA]],ISNUMBER(SEARCH(Tabla4[[#All],[PCLAVE]],Tabla8[[#This Row],[DESCRIPCION DE TRABAJO]])),""))),"")</f>
        <v/>
      </c>
      <c r="O1349" s="35" t="str" cm="1">
        <f t="array" ref="O1349">_xlfn.TEXTJOIN(", ",TRUE,_xlfn._xlws.FILTER(Tabla28[[#All],[PARTE]],ISNUMBER(SEARCH(Tabla28[[#All],[PCLAVE2]],Tabla8[[#This Row],[DESCRIPCION DE TRABAJO]])),""))</f>
        <v/>
      </c>
      <c r="P1349" s="303" t="str">
        <f>IFERROR(LEFT(O1349, FIND(",", O1349)-1), O1349)</f>
        <v/>
      </c>
      <c r="Q1349" s="303" t="str">
        <f>IFERROR(IF(ISERROR(FIND(",", O1349, FIND(",", O1349)+1)), RIGHT(O1349, LEN(O1349)-FIND(",", O1349)-1), MID(O1349, FIND(",", O1349)+2, FIND(",", O1349, FIND(",", O1349)+1)-FIND(",", O1349)-2)), "")</f>
        <v/>
      </c>
      <c r="R1349" s="303" t="str">
        <f>IFERROR(RIGHT(O1349, LEN(O1349)-FIND(",", O1349, FIND(",", O1349)+1)-1), "")</f>
        <v/>
      </c>
      <c r="S1349" s="35" t="str" cm="1">
        <f t="array" ref="S1349">_xlfn.TEXTJOIN(", ",TRUE,_xlfn._xlws.FILTER(Tabla29[[#All],[PARTE]],ISNUMBER(SEARCH(Tabla29[[#All],[PCLAVE3]],Tabla8[[#This Row],[DESCRIPCION DE TRABAJO]])),""))</f>
        <v/>
      </c>
      <c r="T1349" s="34" t="str">
        <f>IF(AND(Tabla8[[#This Row],[PIEZA]]="",Tabla8[[#This Row],[PARTE]]=""),"VACIO","OK")</f>
        <v>VACIO</v>
      </c>
      <c r="U1349" s="303" t="str">
        <f>+CONCATENATE(WEEKNUM(Tabla8[[#This Row],[FECHA]]),"-",YEAR(Tabla8[[#This Row],[FECHA]]))</f>
        <v>20-2026</v>
      </c>
    </row>
    <row r="1350" spans="1:21" ht="15" customHeight="1">
      <c r="A1350" s="22">
        <v>46160</v>
      </c>
      <c r="B1350" s="16" t="s">
        <v>88</v>
      </c>
      <c r="C1350" s="10" t="s">
        <v>36</v>
      </c>
      <c r="D1350" s="381" t="s">
        <v>97</v>
      </c>
      <c r="E1350" s="381" t="s">
        <v>858</v>
      </c>
      <c r="F1350" s="380">
        <f>+MOD(Tabla8[[#This Row],[HR. FIN]]-Tabla8[[#This Row],[HR. INICIO]],1)</f>
        <v>6.2500000000000056E-2</v>
      </c>
      <c r="G1350" s="16" t="s">
        <v>31</v>
      </c>
      <c r="H1350" s="343" t="str">
        <f>IFERROR(VLOOKUP(G1350,DATOS!$M$2:$N$219,2,FALSE),"")</f>
        <v>Maquinaria</v>
      </c>
      <c r="I1350" s="115" t="s">
        <v>32</v>
      </c>
      <c r="J1350" s="115" t="s">
        <v>157</v>
      </c>
      <c r="K1350" s="114"/>
      <c r="L1350" s="35" t="s">
        <v>2533</v>
      </c>
      <c r="M1350" s="35" t="s">
        <v>2534</v>
      </c>
      <c r="N1350" s="35" t="str" cm="1">
        <f t="array" ref="N1350">IFERROR(IF(Tabla8[[#This Row],[P/NP]]="NO PROGRAMADA","",_xlfn.TEXTJOIN(", ",TRUE,_xlfn._xlws.FILTER(Tabla4[[#All],[PIEZA]],ISNUMBER(SEARCH(Tabla4[[#All],[PCLAVE]],Tabla8[[#This Row],[DESCRIPCION DE TRABAJO]])),""))),"")</f>
        <v/>
      </c>
      <c r="O1350" s="35" t="str" cm="1">
        <f t="array" ref="O1350">_xlfn.TEXTJOIN(", ",TRUE,_xlfn._xlws.FILTER(Tabla28[[#All],[PARTE]],ISNUMBER(SEARCH(Tabla28[[#All],[PCLAVE2]],Tabla8[[#This Row],[DESCRIPCION DE TRABAJO]])),""))</f>
        <v/>
      </c>
      <c r="P1350" s="303" t="str">
        <f>IFERROR(LEFT(O1350, FIND(",", O1350)-1), O1350)</f>
        <v/>
      </c>
      <c r="Q1350" s="303" t="str">
        <f>IFERROR(IF(ISERROR(FIND(",", O1350, FIND(",", O1350)+1)), RIGHT(O1350, LEN(O1350)-FIND(",", O1350)-1), MID(O1350, FIND(",", O1350)+2, FIND(",", O1350, FIND(",", O1350)+1)-FIND(",", O1350)-2)), "")</f>
        <v/>
      </c>
      <c r="R1350" s="303" t="str">
        <f>IFERROR(RIGHT(O1350, LEN(O1350)-FIND(",", O1350, FIND(",", O1350)+1)-1), "")</f>
        <v/>
      </c>
      <c r="S1350" s="35" t="str" cm="1">
        <f t="array" ref="S1350">_xlfn.TEXTJOIN(", ",TRUE,_xlfn._xlws.FILTER(Tabla29[[#All],[PARTE]],ISNUMBER(SEARCH(Tabla29[[#All],[PCLAVE3]],Tabla8[[#This Row],[DESCRIPCION DE TRABAJO]])),""))</f>
        <v>Cambio De Formato</v>
      </c>
      <c r="T1350" s="34" t="str">
        <f>IF(AND(Tabla8[[#This Row],[PIEZA]]="",Tabla8[[#This Row],[PARTE]]=""),"VACIO","OK")</f>
        <v>VACIO</v>
      </c>
      <c r="U1350" s="303" t="str">
        <f>+CONCATENATE(WEEKNUM(Tabla8[[#This Row],[FECHA]]),"-",YEAR(Tabla8[[#This Row],[FECHA]]))</f>
        <v>21-2026</v>
      </c>
    </row>
    <row r="1351" spans="1:21" ht="15" customHeight="1">
      <c r="A1351" s="22">
        <v>46160</v>
      </c>
      <c r="B1351" s="16" t="s">
        <v>191</v>
      </c>
      <c r="C1351" s="10" t="s">
        <v>36</v>
      </c>
      <c r="D1351" s="381" t="s">
        <v>2535</v>
      </c>
      <c r="E1351" s="381" t="s">
        <v>701</v>
      </c>
      <c r="F1351" s="380">
        <f>+MOD(Tabla8[[#This Row],[HR. FIN]]-Tabla8[[#This Row],[HR. INICIO]],1)</f>
        <v>4.6527777777777779E-2</v>
      </c>
      <c r="G1351" s="16" t="s">
        <v>103</v>
      </c>
      <c r="H1351" s="343" t="str">
        <f>IFERROR(VLOOKUP(G1351,DATOS!$M$2:$N$219,2,FALSE),"")</f>
        <v>Area</v>
      </c>
      <c r="I1351" s="115" t="s">
        <v>43</v>
      </c>
      <c r="J1351" s="115" t="s">
        <v>157</v>
      </c>
      <c r="K1351" s="114"/>
      <c r="L1351" s="35" t="s">
        <v>2536</v>
      </c>
      <c r="M1351" s="35" t="s">
        <v>121</v>
      </c>
      <c r="N1351" s="35" t="str" cm="1">
        <f t="array" ref="N1351">IFERROR(IF(Tabla8[[#This Row],[P/NP]]="NO PROGRAMADA","",_xlfn.TEXTJOIN(", ",TRUE,_xlfn._xlws.FILTER(Tabla4[[#All],[PIEZA]],ISNUMBER(SEARCH(Tabla4[[#All],[PCLAVE]],Tabla8[[#This Row],[DESCRIPCION DE TRABAJO]])),""))),"")</f>
        <v/>
      </c>
      <c r="O1351" s="35" t="str" cm="1">
        <f t="array" ref="O1351">_xlfn.TEXTJOIN(", ",TRUE,_xlfn._xlws.FILTER(Tabla28[[#All],[PARTE]],ISNUMBER(SEARCH(Tabla28[[#All],[PCLAVE2]],Tabla8[[#This Row],[DESCRIPCION DE TRABAJO]])),""))</f>
        <v/>
      </c>
      <c r="P1351" s="303" t="str">
        <f>IFERROR(LEFT(O1351, FIND(",", O1351)-1), O1351)</f>
        <v/>
      </c>
      <c r="Q1351" s="303" t="str">
        <f>IFERROR(IF(ISERROR(FIND(",", O1351, FIND(",", O1351)+1)), RIGHT(O1351, LEN(O1351)-FIND(",", O1351)-1), MID(O1351, FIND(",", O1351)+2, FIND(",", O1351, FIND(",", O1351)+1)-FIND(",", O1351)-2)), "")</f>
        <v/>
      </c>
      <c r="R1351" s="303" t="str">
        <f>IFERROR(RIGHT(O1351, LEN(O1351)-FIND(",", O1351, FIND(",", O1351)+1)-1), "")</f>
        <v/>
      </c>
      <c r="S1351" s="35" t="str" cm="1">
        <f t="array" ref="S1351">_xlfn.TEXTJOIN(", ",TRUE,_xlfn._xlws.FILTER(Tabla29[[#All],[PARTE]],ISNUMBER(SEARCH(Tabla29[[#All],[PCLAVE3]],Tabla8[[#This Row],[DESCRIPCION DE TRABAJO]])),""))</f>
        <v/>
      </c>
      <c r="T1351" s="34" t="str">
        <f>IF(AND(Tabla8[[#This Row],[PIEZA]]="",Tabla8[[#This Row],[PARTE]]=""),"VACIO","OK")</f>
        <v>VACIO</v>
      </c>
      <c r="U1351" s="303" t="str">
        <f>+CONCATENATE(WEEKNUM(Tabla8[[#This Row],[FECHA]]),"-",YEAR(Tabla8[[#This Row],[FECHA]]))</f>
        <v>21-2026</v>
      </c>
    </row>
    <row r="1352" spans="1:21" ht="15" customHeight="1">
      <c r="A1352" s="22">
        <v>46160</v>
      </c>
      <c r="B1352" s="16" t="s">
        <v>131</v>
      </c>
      <c r="C1352" s="10" t="s">
        <v>39</v>
      </c>
      <c r="D1352" s="381" t="s">
        <v>433</v>
      </c>
      <c r="E1352" s="381" t="s">
        <v>316</v>
      </c>
      <c r="F1352" s="380">
        <f>+MOD(Tabla8[[#This Row],[HR. FIN]]-Tabla8[[#This Row],[HR. INICIO]],1)</f>
        <v>4.5138888888888895E-2</v>
      </c>
      <c r="G1352" s="16" t="s">
        <v>119</v>
      </c>
      <c r="H1352" s="343" t="str">
        <f>IFERROR(VLOOKUP(G1352,DATOS!$M$2:$N$219,2,FALSE),"")</f>
        <v>Maquinaria</v>
      </c>
      <c r="I1352" s="115" t="s">
        <v>57</v>
      </c>
      <c r="J1352" s="115" t="s">
        <v>92</v>
      </c>
      <c r="K1352" s="114" t="s">
        <v>148</v>
      </c>
      <c r="L1352" s="35" t="s">
        <v>2537</v>
      </c>
      <c r="M1352" s="35" t="s">
        <v>2538</v>
      </c>
      <c r="N1352" s="35" t="str" cm="1">
        <f t="array" ref="N1352">IFERROR(IF(Tabla8[[#This Row],[P/NP]]="NO PROGRAMADA","",_xlfn.TEXTJOIN(", ",TRUE,_xlfn._xlws.FILTER(Tabla4[[#All],[PIEZA]],ISNUMBER(SEARCH(Tabla4[[#All],[PCLAVE]],Tabla8[[#This Row],[DESCRIPCION DE TRABAJO]])),""))),"")</f>
        <v/>
      </c>
      <c r="O1352" s="35" t="str" cm="1">
        <f t="array" ref="O1352">_xlfn.TEXTJOIN(", ",TRUE,_xlfn._xlws.FILTER(Tabla28[[#All],[PARTE]],ISNUMBER(SEARCH(Tabla28[[#All],[PCLAVE2]],Tabla8[[#This Row],[DESCRIPCION DE TRABAJO]])),""))</f>
        <v/>
      </c>
      <c r="P1352" s="303" t="str">
        <f>IFERROR(LEFT(O1352, FIND(",", O1352)-1), O1352)</f>
        <v/>
      </c>
      <c r="Q1352" s="303" t="str">
        <f>IFERROR(IF(ISERROR(FIND(",", O1352, FIND(",", O1352)+1)), RIGHT(O1352, LEN(O1352)-FIND(",", O1352)-1), MID(O1352, FIND(",", O1352)+2, FIND(",", O1352, FIND(",", O1352)+1)-FIND(",", O1352)-2)), "")</f>
        <v/>
      </c>
      <c r="R1352" s="303" t="str">
        <f>IFERROR(RIGHT(O1352, LEN(O1352)-FIND(",", O1352, FIND(",", O1352)+1)-1), "")</f>
        <v/>
      </c>
      <c r="S1352" s="35" t="str" cm="1">
        <f t="array" ref="S1352">_xlfn.TEXTJOIN(", ",TRUE,_xlfn._xlws.FILTER(Tabla29[[#All],[PARTE]],ISNUMBER(SEARCH(Tabla29[[#All],[PCLAVE3]],Tabla8[[#This Row],[DESCRIPCION DE TRABAJO]])),""))</f>
        <v/>
      </c>
      <c r="T1352" s="34" t="str">
        <f>IF(AND(Tabla8[[#This Row],[PIEZA]]="",Tabla8[[#This Row],[PARTE]]=""),"VACIO","OK")</f>
        <v>VACIO</v>
      </c>
      <c r="U1352" s="303" t="str">
        <f>+CONCATENATE(WEEKNUM(Tabla8[[#This Row],[FECHA]]),"-",YEAR(Tabla8[[#This Row],[FECHA]]))</f>
        <v>21-2026</v>
      </c>
    </row>
    <row r="1353" spans="1:21" ht="15" customHeight="1">
      <c r="A1353" s="22">
        <v>46160</v>
      </c>
      <c r="B1353" s="16" t="s">
        <v>88</v>
      </c>
      <c r="C1353" s="10" t="s">
        <v>36</v>
      </c>
      <c r="D1353" s="381" t="s">
        <v>122</v>
      </c>
      <c r="E1353" s="381" t="s">
        <v>126</v>
      </c>
      <c r="F1353" s="380">
        <f>+MOD(Tabla8[[#This Row],[HR. FIN]]-Tabla8[[#This Row],[HR. INICIO]],1)</f>
        <v>4.1666666666666685E-2</v>
      </c>
      <c r="G1353" s="16" t="s">
        <v>266</v>
      </c>
      <c r="H1353" s="343" t="str">
        <f>IFERROR(VLOOKUP(G1353,DATOS!$M$2:$N$219,2,FALSE),"")</f>
        <v>Maquinaria</v>
      </c>
      <c r="I1353" s="115" t="s">
        <v>32</v>
      </c>
      <c r="J1353" s="115" t="s">
        <v>157</v>
      </c>
      <c r="K1353" s="114"/>
      <c r="L1353" s="35" t="s">
        <v>1168</v>
      </c>
      <c r="M1353" s="35" t="s">
        <v>2539</v>
      </c>
      <c r="N1353" s="35" t="str" cm="1">
        <f t="array" ref="N1353">IFERROR(IF(Tabla8[[#This Row],[P/NP]]="NO PROGRAMADA","",_xlfn.TEXTJOIN(", ",TRUE,_xlfn._xlws.FILTER(Tabla4[[#All],[PIEZA]],ISNUMBER(SEARCH(Tabla4[[#All],[PCLAVE]],Tabla8[[#This Row],[DESCRIPCION DE TRABAJO]])),""))),"")</f>
        <v/>
      </c>
      <c r="O1353" s="35" t="str" cm="1">
        <f t="array" ref="O1353">_xlfn.TEXTJOIN(", ",TRUE,_xlfn._xlws.FILTER(Tabla28[[#All],[PARTE]],ISNUMBER(SEARCH(Tabla28[[#All],[PCLAVE2]],Tabla8[[#This Row],[DESCRIPCION DE TRABAJO]])),""))</f>
        <v/>
      </c>
      <c r="P1353" s="303" t="str">
        <f>IFERROR(LEFT(O1353, FIND(",", O1353)-1), O1353)</f>
        <v/>
      </c>
      <c r="Q1353" s="303" t="str">
        <f>IFERROR(IF(ISERROR(FIND(",", O1353, FIND(",", O1353)+1)), RIGHT(O1353, LEN(O1353)-FIND(",", O1353)-1), MID(O1353, FIND(",", O1353)+2, FIND(",", O1353, FIND(",", O1353)+1)-FIND(",", O1353)-2)), "")</f>
        <v/>
      </c>
      <c r="R1353" s="303" t="str">
        <f>IFERROR(RIGHT(O1353, LEN(O1353)-FIND(",", O1353, FIND(",", O1353)+1)-1), "")</f>
        <v/>
      </c>
      <c r="S1353" s="35" t="str" cm="1">
        <f t="array" ref="S1353">_xlfn.TEXTJOIN(", ",TRUE,_xlfn._xlws.FILTER(Tabla29[[#All],[PARTE]],ISNUMBER(SEARCH(Tabla29[[#All],[PCLAVE3]],Tabla8[[#This Row],[DESCRIPCION DE TRABAJO]])),""))</f>
        <v/>
      </c>
      <c r="T1353" s="34" t="str">
        <f>IF(AND(Tabla8[[#This Row],[PIEZA]]="",Tabla8[[#This Row],[PARTE]]=""),"VACIO","OK")</f>
        <v>VACIO</v>
      </c>
      <c r="U1353" s="303" t="str">
        <f>+CONCATENATE(WEEKNUM(Tabla8[[#This Row],[FECHA]]),"-",YEAR(Tabla8[[#This Row],[FECHA]]))</f>
        <v>21-2026</v>
      </c>
    </row>
    <row r="1354" spans="1:21" ht="15" customHeight="1">
      <c r="A1354" s="22">
        <v>46160</v>
      </c>
      <c r="B1354" s="16" t="s">
        <v>88</v>
      </c>
      <c r="C1354" s="10" t="s">
        <v>36</v>
      </c>
      <c r="D1354" s="381" t="s">
        <v>127</v>
      </c>
      <c r="E1354" s="381" t="s">
        <v>556</v>
      </c>
      <c r="F1354" s="380">
        <f>+MOD(Tabla8[[#This Row],[HR. FIN]]-Tabla8[[#This Row],[HR. INICIO]],1)</f>
        <v>4.1666666666666685E-2</v>
      </c>
      <c r="G1354" s="16" t="s">
        <v>31</v>
      </c>
      <c r="H1354" s="343" t="str">
        <f>IFERROR(VLOOKUP(G1354,DATOS!$M$2:$N$219,2,FALSE),"")</f>
        <v>Maquinaria</v>
      </c>
      <c r="I1354" s="115" t="s">
        <v>32</v>
      </c>
      <c r="J1354" s="115" t="s">
        <v>157</v>
      </c>
      <c r="K1354" s="114"/>
      <c r="L1354" s="35" t="s">
        <v>2540</v>
      </c>
      <c r="M1354" s="35" t="s">
        <v>2541</v>
      </c>
      <c r="N1354" s="35" t="str" cm="1">
        <f t="array" ref="N1354">IFERROR(IF(Tabla8[[#This Row],[P/NP]]="NO PROGRAMADA","",_xlfn.TEXTJOIN(", ",TRUE,_xlfn._xlws.FILTER(Tabla4[[#All],[PIEZA]],ISNUMBER(SEARCH(Tabla4[[#All],[PCLAVE]],Tabla8[[#This Row],[DESCRIPCION DE TRABAJO]])),""))),"")</f>
        <v>Mordaza, Cadena</v>
      </c>
      <c r="O1354" s="35" t="str" cm="1">
        <f t="array" ref="O1354">_xlfn.TEXTJOIN(", ",TRUE,_xlfn._xlws.FILTER(Tabla28[[#All],[PARTE]],ISNUMBER(SEARCH(Tabla28[[#All],[PCLAVE2]],Tabla8[[#This Row],[DESCRIPCION DE TRABAJO]])),""))</f>
        <v/>
      </c>
      <c r="P1354" s="303" t="str">
        <f>IFERROR(LEFT(O1354, FIND(",", O1354)-1), O1354)</f>
        <v/>
      </c>
      <c r="Q1354" s="303" t="str">
        <f>IFERROR(IF(ISERROR(FIND(",", O1354, FIND(",", O1354)+1)), RIGHT(O1354, LEN(O1354)-FIND(",", O1354)-1), MID(O1354, FIND(",", O1354)+2, FIND(",", O1354, FIND(",", O1354)+1)-FIND(",", O1354)-2)), "")</f>
        <v/>
      </c>
      <c r="R1354" s="303" t="str">
        <f>IFERROR(RIGHT(O1354, LEN(O1354)-FIND(",", O1354, FIND(",", O1354)+1)-1), "")</f>
        <v/>
      </c>
      <c r="S1354" s="35" t="str" cm="1">
        <f t="array" ref="S1354">_xlfn.TEXTJOIN(", ",TRUE,_xlfn._xlws.FILTER(Tabla29[[#All],[PARTE]],ISNUMBER(SEARCH(Tabla29[[#All],[PCLAVE3]],Tabla8[[#This Row],[DESCRIPCION DE TRABAJO]])),""))</f>
        <v>Sustitucion</v>
      </c>
      <c r="T1354" s="34" t="str">
        <f>IF(AND(Tabla8[[#This Row],[PIEZA]]="",Tabla8[[#This Row],[PARTE]]=""),"VACIO","OK")</f>
        <v>OK</v>
      </c>
      <c r="U1354" s="303" t="str">
        <f>+CONCATENATE(WEEKNUM(Tabla8[[#This Row],[FECHA]]),"-",YEAR(Tabla8[[#This Row],[FECHA]]))</f>
        <v>21-2026</v>
      </c>
    </row>
    <row r="1355" spans="1:21" ht="15" customHeight="1">
      <c r="A1355" s="22">
        <v>46160</v>
      </c>
      <c r="B1355" s="16" t="s">
        <v>191</v>
      </c>
      <c r="C1355" s="10" t="s">
        <v>36</v>
      </c>
      <c r="D1355" s="381" t="s">
        <v>2129</v>
      </c>
      <c r="E1355" s="381" t="s">
        <v>1528</v>
      </c>
      <c r="F1355" s="380">
        <f>+MOD(Tabla8[[#This Row],[HR. FIN]]-Tabla8[[#This Row],[HR. INICIO]],1)</f>
        <v>3.8888888888888862E-2</v>
      </c>
      <c r="G1355" s="16" t="s">
        <v>98</v>
      </c>
      <c r="H1355" s="343" t="str">
        <f>IFERROR(VLOOKUP(G1355,DATOS!$M$2:$N$219,2,FALSE),"")</f>
        <v>Maquinaria</v>
      </c>
      <c r="I1355" s="115" t="s">
        <v>32</v>
      </c>
      <c r="J1355" s="115" t="s">
        <v>157</v>
      </c>
      <c r="K1355" s="114"/>
      <c r="L1355" s="35" t="s">
        <v>2542</v>
      </c>
      <c r="M1355" s="35" t="s">
        <v>121</v>
      </c>
      <c r="N1355" s="35" t="str" cm="1">
        <f t="array" ref="N1355">IFERROR(IF(Tabla8[[#This Row],[P/NP]]="NO PROGRAMADA","",_xlfn.TEXTJOIN(", ",TRUE,_xlfn._xlws.FILTER(Tabla4[[#All],[PIEZA]],ISNUMBER(SEARCH(Tabla4[[#All],[PCLAVE]],Tabla8[[#This Row],[DESCRIPCION DE TRABAJO]])),""))),"")</f>
        <v/>
      </c>
      <c r="O1355" s="35" t="str" cm="1">
        <f t="array" ref="O1355">_xlfn.TEXTJOIN(", ",TRUE,_xlfn._xlws.FILTER(Tabla28[[#All],[PARTE]],ISNUMBER(SEARCH(Tabla28[[#All],[PCLAVE2]],Tabla8[[#This Row],[DESCRIPCION DE TRABAJO]])),""))</f>
        <v/>
      </c>
      <c r="P1355" s="303" t="str">
        <f>IFERROR(LEFT(O1355, FIND(",", O1355)-1), O1355)</f>
        <v/>
      </c>
      <c r="Q1355" s="303" t="str">
        <f>IFERROR(IF(ISERROR(FIND(",", O1355, FIND(",", O1355)+1)), RIGHT(O1355, LEN(O1355)-FIND(",", O1355)-1), MID(O1355, FIND(",", O1355)+2, FIND(",", O1355, FIND(",", O1355)+1)-FIND(",", O1355)-2)), "")</f>
        <v/>
      </c>
      <c r="R1355" s="303" t="str">
        <f>IFERROR(RIGHT(O1355, LEN(O1355)-FIND(",", O1355, FIND(",", O1355)+1)-1), "")</f>
        <v/>
      </c>
      <c r="S1355" s="35" t="str" cm="1">
        <f t="array" ref="S1355">_xlfn.TEXTJOIN(", ",TRUE,_xlfn._xlws.FILTER(Tabla29[[#All],[PARTE]],ISNUMBER(SEARCH(Tabla29[[#All],[PCLAVE3]],Tabla8[[#This Row],[DESCRIPCION DE TRABAJO]])),""))</f>
        <v/>
      </c>
      <c r="T1355" s="34" t="str">
        <f>IF(AND(Tabla8[[#This Row],[PIEZA]]="",Tabla8[[#This Row],[PARTE]]=""),"VACIO","OK")</f>
        <v>VACIO</v>
      </c>
      <c r="U1355" s="303" t="str">
        <f>+CONCATENATE(WEEKNUM(Tabla8[[#This Row],[FECHA]]),"-",YEAR(Tabla8[[#This Row],[FECHA]]))</f>
        <v>21-2026</v>
      </c>
    </row>
    <row r="1356" spans="1:21" ht="15" customHeight="1">
      <c r="A1356" s="22">
        <v>46160</v>
      </c>
      <c r="B1356" s="16" t="s">
        <v>131</v>
      </c>
      <c r="C1356" s="10" t="s">
        <v>39</v>
      </c>
      <c r="D1356" s="381" t="s">
        <v>1104</v>
      </c>
      <c r="E1356" s="381" t="s">
        <v>612</v>
      </c>
      <c r="F1356" s="380">
        <f>+MOD(Tabla8[[#This Row],[HR. FIN]]-Tabla8[[#This Row],[HR. INICIO]],1)</f>
        <v>2.5000000000000022E-2</v>
      </c>
      <c r="G1356" s="16" t="s">
        <v>31</v>
      </c>
      <c r="H1356" s="343" t="str">
        <f>IFERROR(VLOOKUP(G1356,DATOS!$M$2:$N$219,2,FALSE),"")</f>
        <v>Maquinaria</v>
      </c>
      <c r="I1356" s="115" t="s">
        <v>390</v>
      </c>
      <c r="J1356" s="115" t="s">
        <v>157</v>
      </c>
      <c r="K1356" s="114"/>
      <c r="L1356" s="35" t="s">
        <v>2543</v>
      </c>
      <c r="M1356" s="35" t="s">
        <v>121</v>
      </c>
      <c r="N1356" s="35" t="str" cm="1">
        <f t="array" ref="N1356">IFERROR(IF(Tabla8[[#This Row],[P/NP]]="NO PROGRAMADA","",_xlfn.TEXTJOIN(", ",TRUE,_xlfn._xlws.FILTER(Tabla4[[#All],[PIEZA]],ISNUMBER(SEARCH(Tabla4[[#All],[PCLAVE]],Tabla8[[#This Row],[DESCRIPCION DE TRABAJO]])),""))),"")</f>
        <v>Laminado</v>
      </c>
      <c r="O1356" s="35" t="str" cm="1">
        <f t="array" ref="O1356">_xlfn.TEXTJOIN(", ",TRUE,_xlfn._xlws.FILTER(Tabla28[[#All],[PARTE]],ISNUMBER(SEARCH(Tabla28[[#All],[PCLAVE2]],Tabla8[[#This Row],[DESCRIPCION DE TRABAJO]])),""))</f>
        <v/>
      </c>
      <c r="P1356" s="303" t="str">
        <f>IFERROR(LEFT(O1356, FIND(",", O1356)-1), O1356)</f>
        <v/>
      </c>
      <c r="Q1356" s="303" t="str">
        <f>IFERROR(IF(ISERROR(FIND(",", O1356, FIND(",", O1356)+1)), RIGHT(O1356, LEN(O1356)-FIND(",", O1356)-1), MID(O1356, FIND(",", O1356)+2, FIND(",", O1356, FIND(",", O1356)+1)-FIND(",", O1356)-2)), "")</f>
        <v/>
      </c>
      <c r="R1356" s="303" t="str">
        <f>IFERROR(RIGHT(O1356, LEN(O1356)-FIND(",", O1356, FIND(",", O1356)+1)-1), "")</f>
        <v/>
      </c>
      <c r="S1356" s="35" t="str" cm="1">
        <f t="array" ref="S1356">_xlfn.TEXTJOIN(", ",TRUE,_xlfn._xlws.FILTER(Tabla29[[#All],[PARTE]],ISNUMBER(SEARCH(Tabla29[[#All],[PCLAVE3]],Tabla8[[#This Row],[DESCRIPCION DE TRABAJO]])),""))</f>
        <v>Laminado</v>
      </c>
      <c r="T1356" s="34" t="str">
        <f>IF(AND(Tabla8[[#This Row],[PIEZA]]="",Tabla8[[#This Row],[PARTE]]=""),"VACIO","OK")</f>
        <v>OK</v>
      </c>
      <c r="U1356" s="303" t="str">
        <f>+CONCATENATE(WEEKNUM(Tabla8[[#This Row],[FECHA]]),"-",YEAR(Tabla8[[#This Row],[FECHA]]))</f>
        <v>21-2026</v>
      </c>
    </row>
    <row r="1357" spans="1:21" ht="15" customHeight="1">
      <c r="A1357" s="22">
        <v>46160</v>
      </c>
      <c r="B1357" s="16" t="s">
        <v>131</v>
      </c>
      <c r="C1357" s="10" t="s">
        <v>39</v>
      </c>
      <c r="D1357" s="381" t="s">
        <v>598</v>
      </c>
      <c r="E1357" s="381" t="s">
        <v>2544</v>
      </c>
      <c r="F1357" s="380">
        <f>+MOD(Tabla8[[#This Row],[HR. FIN]]-Tabla8[[#This Row],[HR. INICIO]],1)</f>
        <v>2.4305555555555559E-2</v>
      </c>
      <c r="G1357" s="16" t="s">
        <v>119</v>
      </c>
      <c r="H1357" s="343" t="str">
        <f>IFERROR(VLOOKUP(G1357,DATOS!$M$2:$N$219,2,FALSE),"")</f>
        <v>Maquinaria</v>
      </c>
      <c r="I1357" s="115" t="s">
        <v>32</v>
      </c>
      <c r="J1357" s="115" t="s">
        <v>157</v>
      </c>
      <c r="K1357" s="114"/>
      <c r="L1357" s="35" t="s">
        <v>2545</v>
      </c>
      <c r="M1357" s="35" t="s">
        <v>121</v>
      </c>
      <c r="N1357" s="35" t="str" cm="1">
        <f t="array" ref="N1357">IFERROR(IF(Tabla8[[#This Row],[P/NP]]="NO PROGRAMADA","",_xlfn.TEXTJOIN(", ",TRUE,_xlfn._xlws.FILTER(Tabla4[[#All],[PIEZA]],ISNUMBER(SEARCH(Tabla4[[#All],[PCLAVE]],Tabla8[[#This Row],[DESCRIPCION DE TRABAJO]])),""))),"")</f>
        <v/>
      </c>
      <c r="O1357" s="35" t="str" cm="1">
        <f t="array" ref="O1357">_xlfn.TEXTJOIN(", ",TRUE,_xlfn._xlws.FILTER(Tabla28[[#All],[PARTE]],ISNUMBER(SEARCH(Tabla28[[#All],[PCLAVE2]],Tabla8[[#This Row],[DESCRIPCION DE TRABAJO]])),""))</f>
        <v>Mds</v>
      </c>
      <c r="P1357" s="303" t="str">
        <f>IFERROR(LEFT(O1357, FIND(",", O1357)-1), O1357)</f>
        <v>Mds</v>
      </c>
      <c r="Q1357" s="303" t="str">
        <f>IFERROR(IF(ISERROR(FIND(",", O1357, FIND(",", O1357)+1)), RIGHT(O1357, LEN(O1357)-FIND(",", O1357)-1), MID(O1357, FIND(",", O1357)+2, FIND(",", O1357, FIND(",", O1357)+1)-FIND(",", O1357)-2)), "")</f>
        <v/>
      </c>
      <c r="R1357" s="303" t="str">
        <f>IFERROR(RIGHT(O1357, LEN(O1357)-FIND(",", O1357, FIND(",", O1357)+1)-1), "")</f>
        <v/>
      </c>
      <c r="S1357" s="35" t="str" cm="1">
        <f t="array" ref="S1357">_xlfn.TEXTJOIN(", ",TRUE,_xlfn._xlws.FILTER(Tabla29[[#All],[PARTE]],ISNUMBER(SEARCH(Tabla29[[#All],[PCLAVE3]],Tabla8[[#This Row],[DESCRIPCION DE TRABAJO]])),""))</f>
        <v/>
      </c>
      <c r="T1357" s="34" t="str">
        <f>IF(AND(Tabla8[[#This Row],[PIEZA]]="",Tabla8[[#This Row],[PARTE]]=""),"VACIO","OK")</f>
        <v>OK</v>
      </c>
      <c r="U1357" s="303" t="str">
        <f>+CONCATENATE(WEEKNUM(Tabla8[[#This Row],[FECHA]]),"-",YEAR(Tabla8[[#This Row],[FECHA]]))</f>
        <v>21-2026</v>
      </c>
    </row>
    <row r="1358" spans="1:21" ht="15" customHeight="1">
      <c r="A1358" s="22">
        <v>46160</v>
      </c>
      <c r="B1358" s="16" t="s">
        <v>131</v>
      </c>
      <c r="C1358" s="10" t="s">
        <v>39</v>
      </c>
      <c r="D1358" s="381" t="s">
        <v>866</v>
      </c>
      <c r="E1358" s="381" t="s">
        <v>918</v>
      </c>
      <c r="F1358" s="380">
        <f>+MOD(Tabla8[[#This Row],[HR. FIN]]-Tabla8[[#This Row],[HR. INICIO]],1)</f>
        <v>2.4305555555555552E-2</v>
      </c>
      <c r="G1358" s="16" t="s">
        <v>182</v>
      </c>
      <c r="H1358" s="343" t="str">
        <f>IFERROR(VLOOKUP(G1358,DATOS!$M$2:$N$219,2,FALSE),"")</f>
        <v>Maquinaria</v>
      </c>
      <c r="I1358" s="115" t="s">
        <v>32</v>
      </c>
      <c r="J1358" s="115" t="s">
        <v>157</v>
      </c>
      <c r="K1358" s="114"/>
      <c r="L1358" s="35" t="s">
        <v>2546</v>
      </c>
      <c r="M1358" s="35" t="s">
        <v>121</v>
      </c>
      <c r="N1358" s="35" t="str" cm="1">
        <f t="array" ref="N1358">IFERROR(IF(Tabla8[[#This Row],[P/NP]]="NO PROGRAMADA","",_xlfn.TEXTJOIN(", ",TRUE,_xlfn._xlws.FILTER(Tabla4[[#All],[PIEZA]],ISNUMBER(SEARCH(Tabla4[[#All],[PCLAVE]],Tabla8[[#This Row],[DESCRIPCION DE TRABAJO]])),""))),"")</f>
        <v>Laminado, Producto</v>
      </c>
      <c r="O1358" s="35" t="str" cm="1">
        <f t="array" ref="O1358">_xlfn.TEXTJOIN(", ",TRUE,_xlfn._xlws.FILTER(Tabla28[[#All],[PARTE]],ISNUMBER(SEARCH(Tabla28[[#All],[PCLAVE2]],Tabla8[[#This Row],[DESCRIPCION DE TRABAJO]])),""))</f>
        <v/>
      </c>
      <c r="P1358" s="303" t="str">
        <f>IFERROR(LEFT(O1358, FIND(",", O1358)-1), O1358)</f>
        <v/>
      </c>
      <c r="Q1358" s="303" t="str">
        <f>IFERROR(IF(ISERROR(FIND(",", O1358, FIND(",", O1358)+1)), RIGHT(O1358, LEN(O1358)-FIND(",", O1358)-1), MID(O1358, FIND(",", O1358)+2, FIND(",", O1358, FIND(",", O1358)+1)-FIND(",", O1358)-2)), "")</f>
        <v/>
      </c>
      <c r="R1358" s="303" t="str">
        <f>IFERROR(RIGHT(O1358, LEN(O1358)-FIND(",", O1358, FIND(",", O1358)+1)-1), "")</f>
        <v/>
      </c>
      <c r="S1358" s="35" t="str" cm="1">
        <f t="array" ref="S1358">_xlfn.TEXTJOIN(", ",TRUE,_xlfn._xlws.FILTER(Tabla29[[#All],[PARTE]],ISNUMBER(SEARCH(Tabla29[[#All],[PCLAVE3]],Tabla8[[#This Row],[DESCRIPCION DE TRABAJO]])),""))</f>
        <v>Calibracion, Laminado</v>
      </c>
      <c r="T1358" s="34" t="str">
        <f>IF(AND(Tabla8[[#This Row],[PIEZA]]="",Tabla8[[#This Row],[PARTE]]=""),"VACIO","OK")</f>
        <v>OK</v>
      </c>
      <c r="U1358" s="303" t="str">
        <f>+CONCATENATE(WEEKNUM(Tabla8[[#This Row],[FECHA]]),"-",YEAR(Tabla8[[#This Row],[FECHA]]))</f>
        <v>21-2026</v>
      </c>
    </row>
    <row r="1359" spans="1:21" ht="15" customHeight="1">
      <c r="A1359" s="22">
        <v>46160</v>
      </c>
      <c r="B1359" s="16" t="s">
        <v>131</v>
      </c>
      <c r="C1359" s="10" t="s">
        <v>39</v>
      </c>
      <c r="D1359" s="381" t="s">
        <v>1805</v>
      </c>
      <c r="E1359" s="381" t="s">
        <v>2547</v>
      </c>
      <c r="F1359" s="380">
        <f>+MOD(Tabla8[[#This Row],[HR. FIN]]-Tabla8[[#This Row],[HR. INICIO]],1)</f>
        <v>2.361111111111111E-2</v>
      </c>
      <c r="G1359" s="16" t="s">
        <v>182</v>
      </c>
      <c r="H1359" s="343" t="str">
        <f>IFERROR(VLOOKUP(G1359,DATOS!$M$2:$N$219,2,FALSE),"")</f>
        <v>Maquinaria</v>
      </c>
      <c r="I1359" s="115" t="s">
        <v>32</v>
      </c>
      <c r="J1359" s="115" t="s">
        <v>157</v>
      </c>
      <c r="K1359" s="114"/>
      <c r="L1359" s="35" t="s">
        <v>2548</v>
      </c>
      <c r="M1359" s="35" t="s">
        <v>2549</v>
      </c>
      <c r="N1359" s="35" t="str" cm="1">
        <f t="array" ref="N1359">IFERROR(IF(Tabla8[[#This Row],[P/NP]]="NO PROGRAMADA","",_xlfn.TEXTJOIN(", ",TRUE,_xlfn._xlws.FILTER(Tabla4[[#All],[PIEZA]],ISNUMBER(SEARCH(Tabla4[[#All],[PCLAVE]],Tabla8[[#This Row],[DESCRIPCION DE TRABAJO]])),""))),"")</f>
        <v/>
      </c>
      <c r="O1359" s="35" t="str" cm="1">
        <f t="array" ref="O1359">_xlfn.TEXTJOIN(", ",TRUE,_xlfn._xlws.FILTER(Tabla28[[#All],[PARTE]],ISNUMBER(SEARCH(Tabla28[[#All],[PCLAVE2]],Tabla8[[#This Row],[DESCRIPCION DE TRABAJO]])),""))</f>
        <v/>
      </c>
      <c r="P1359" s="303" t="str">
        <f>IFERROR(LEFT(O1359, FIND(",", O1359)-1), O1359)</f>
        <v/>
      </c>
      <c r="Q1359" s="303" t="str">
        <f>IFERROR(IF(ISERROR(FIND(",", O1359, FIND(",", O1359)+1)), RIGHT(O1359, LEN(O1359)-FIND(",", O1359)-1), MID(O1359, FIND(",", O1359)+2, FIND(",", O1359, FIND(",", O1359)+1)-FIND(",", O1359)-2)), "")</f>
        <v/>
      </c>
      <c r="R1359" s="303" t="str">
        <f>IFERROR(RIGHT(O1359, LEN(O1359)-FIND(",", O1359, FIND(",", O1359)+1)-1), "")</f>
        <v/>
      </c>
      <c r="S1359" s="35" t="str" cm="1">
        <f t="array" ref="S1359">_xlfn.TEXTJOIN(", ",TRUE,_xlfn._xlws.FILTER(Tabla29[[#All],[PARTE]],ISNUMBER(SEARCH(Tabla29[[#All],[PCLAVE3]],Tabla8[[#This Row],[DESCRIPCION DE TRABAJO]])),""))</f>
        <v/>
      </c>
      <c r="T1359" s="34" t="str">
        <f>IF(AND(Tabla8[[#This Row],[PIEZA]]="",Tabla8[[#This Row],[PARTE]]=""),"VACIO","OK")</f>
        <v>VACIO</v>
      </c>
      <c r="U1359" s="303" t="str">
        <f>+CONCATENATE(WEEKNUM(Tabla8[[#This Row],[FECHA]]),"-",YEAR(Tabla8[[#This Row],[FECHA]]))</f>
        <v>21-2026</v>
      </c>
    </row>
    <row r="1360" spans="1:21" ht="15" customHeight="1">
      <c r="A1360" s="22">
        <v>46160</v>
      </c>
      <c r="B1360" s="16" t="s">
        <v>88</v>
      </c>
      <c r="C1360" s="10" t="s">
        <v>36</v>
      </c>
      <c r="D1360" s="381" t="s">
        <v>126</v>
      </c>
      <c r="E1360" s="381" t="s">
        <v>127</v>
      </c>
      <c r="F1360" s="380">
        <f>+MOD(Tabla8[[#This Row],[HR. FIN]]-Tabla8[[#This Row],[HR. INICIO]],1)</f>
        <v>2.0833333333333315E-2</v>
      </c>
      <c r="G1360" s="16" t="s">
        <v>114</v>
      </c>
      <c r="H1360" s="343" t="str">
        <f>IFERROR(VLOOKUP(G1360,DATOS!$M$2:$N$219,2,FALSE),"")</f>
        <v>Maquinaria</v>
      </c>
      <c r="I1360" s="115" t="s">
        <v>32</v>
      </c>
      <c r="J1360" s="115" t="s">
        <v>157</v>
      </c>
      <c r="K1360" s="114"/>
      <c r="L1360" s="35" t="s">
        <v>1168</v>
      </c>
      <c r="M1360" s="35" t="s">
        <v>1166</v>
      </c>
      <c r="N1360" s="35" t="str" cm="1">
        <f t="array" ref="N1360">IFERROR(IF(Tabla8[[#This Row],[P/NP]]="NO PROGRAMADA","",_xlfn.TEXTJOIN(", ",TRUE,_xlfn._xlws.FILTER(Tabla4[[#All],[PIEZA]],ISNUMBER(SEARCH(Tabla4[[#All],[PCLAVE]],Tabla8[[#This Row],[DESCRIPCION DE TRABAJO]])),""))),"")</f>
        <v/>
      </c>
      <c r="O1360" s="35" t="str" cm="1">
        <f t="array" ref="O1360">_xlfn.TEXTJOIN(", ",TRUE,_xlfn._xlws.FILTER(Tabla28[[#All],[PARTE]],ISNUMBER(SEARCH(Tabla28[[#All],[PCLAVE2]],Tabla8[[#This Row],[DESCRIPCION DE TRABAJO]])),""))</f>
        <v/>
      </c>
      <c r="P1360" s="303" t="str">
        <f>IFERROR(LEFT(O1360, FIND(",", O1360)-1), O1360)</f>
        <v/>
      </c>
      <c r="Q1360" s="303" t="str">
        <f>IFERROR(IF(ISERROR(FIND(",", O1360, FIND(",", O1360)+1)), RIGHT(O1360, LEN(O1360)-FIND(",", O1360)-1), MID(O1360, FIND(",", O1360)+2, FIND(",", O1360, FIND(",", O1360)+1)-FIND(",", O1360)-2)), "")</f>
        <v/>
      </c>
      <c r="R1360" s="303" t="str">
        <f>IFERROR(RIGHT(O1360, LEN(O1360)-FIND(",", O1360, FIND(",", O1360)+1)-1), "")</f>
        <v/>
      </c>
      <c r="S1360" s="35" t="str" cm="1">
        <f t="array" ref="S1360">_xlfn.TEXTJOIN(", ",TRUE,_xlfn._xlws.FILTER(Tabla29[[#All],[PARTE]],ISNUMBER(SEARCH(Tabla29[[#All],[PCLAVE3]],Tabla8[[#This Row],[DESCRIPCION DE TRABAJO]])),""))</f>
        <v/>
      </c>
      <c r="T1360" s="34" t="str">
        <f>IF(AND(Tabla8[[#This Row],[PIEZA]]="",Tabla8[[#This Row],[PARTE]]=""),"VACIO","OK")</f>
        <v>VACIO</v>
      </c>
      <c r="U1360" s="303" t="str">
        <f>+CONCATENATE(WEEKNUM(Tabla8[[#This Row],[FECHA]]),"-",YEAR(Tabla8[[#This Row],[FECHA]]))</f>
        <v>21-2026</v>
      </c>
    </row>
    <row r="1361" spans="1:21" ht="15" customHeight="1">
      <c r="A1361" s="22">
        <v>46160</v>
      </c>
      <c r="B1361" s="16" t="s">
        <v>88</v>
      </c>
      <c r="C1361" s="10" t="s">
        <v>36</v>
      </c>
      <c r="D1361" s="381" t="s">
        <v>858</v>
      </c>
      <c r="E1361" s="381" t="s">
        <v>468</v>
      </c>
      <c r="F1361" s="380">
        <f>+MOD(Tabla8[[#This Row],[HR. FIN]]-Tabla8[[#This Row],[HR. INICIO]],1)</f>
        <v>2.0833333333333259E-2</v>
      </c>
      <c r="G1361" s="16" t="s">
        <v>192</v>
      </c>
      <c r="H1361" s="343" t="str">
        <f>IFERROR(VLOOKUP(G1361,DATOS!$M$2:$N$219,2,FALSE),"")</f>
        <v>Maquinaria</v>
      </c>
      <c r="I1361" s="115" t="s">
        <v>28</v>
      </c>
      <c r="J1361" s="115" t="s">
        <v>92</v>
      </c>
      <c r="K1361" s="114" t="s">
        <v>93</v>
      </c>
      <c r="L1361" s="35" t="s">
        <v>2550</v>
      </c>
      <c r="M1361" s="35" t="s">
        <v>2551</v>
      </c>
      <c r="N1361" s="35" t="str" cm="1">
        <f t="array" ref="N1361">IFERROR(IF(Tabla8[[#This Row],[P/NP]]="NO PROGRAMADA","",_xlfn.TEXTJOIN(", ",TRUE,_xlfn._xlws.FILTER(Tabla4[[#All],[PIEZA]],ISNUMBER(SEARCH(Tabla4[[#All],[PCLAVE]],Tabla8[[#This Row],[DESCRIPCION DE TRABAJO]])),""))),"")</f>
        <v/>
      </c>
      <c r="O1361" s="35" t="str" cm="1">
        <f t="array" ref="O1361">_xlfn.TEXTJOIN(", ",TRUE,_xlfn._xlws.FILTER(Tabla28[[#All],[PARTE]],ISNUMBER(SEARCH(Tabla28[[#All],[PCLAVE2]],Tabla8[[#This Row],[DESCRIPCION DE TRABAJO]])),""))</f>
        <v/>
      </c>
      <c r="P1361" s="303" t="str">
        <f>IFERROR(LEFT(O1361, FIND(",", O1361)-1), O1361)</f>
        <v/>
      </c>
      <c r="Q1361" s="303" t="str">
        <f>IFERROR(IF(ISERROR(FIND(",", O1361, FIND(",", O1361)+1)), RIGHT(O1361, LEN(O1361)-FIND(",", O1361)-1), MID(O1361, FIND(",", O1361)+2, FIND(",", O1361, FIND(",", O1361)+1)-FIND(",", O1361)-2)), "")</f>
        <v/>
      </c>
      <c r="R1361" s="303" t="str">
        <f>IFERROR(RIGHT(O1361, LEN(O1361)-FIND(",", O1361, FIND(",", O1361)+1)-1), "")</f>
        <v/>
      </c>
      <c r="S1361" s="35" t="str" cm="1">
        <f t="array" ref="S1361">_xlfn.TEXTJOIN(", ",TRUE,_xlfn._xlws.FILTER(Tabla29[[#All],[PARTE]],ISNUMBER(SEARCH(Tabla29[[#All],[PCLAVE3]],Tabla8[[#This Row],[DESCRIPCION DE TRABAJO]])),""))</f>
        <v>Dañado, Sellado</v>
      </c>
      <c r="T1361" s="34" t="str">
        <f>IF(AND(Tabla8[[#This Row],[PIEZA]]="",Tabla8[[#This Row],[PARTE]]=""),"VACIO","OK")</f>
        <v>VACIO</v>
      </c>
      <c r="U1361" s="303" t="str">
        <f>+CONCATENATE(WEEKNUM(Tabla8[[#This Row],[FECHA]]),"-",YEAR(Tabla8[[#This Row],[FECHA]]))</f>
        <v>21-2026</v>
      </c>
    </row>
    <row r="1362" spans="1:21" ht="15" customHeight="1">
      <c r="A1362" s="22">
        <v>46160</v>
      </c>
      <c r="B1362" s="16" t="s">
        <v>191</v>
      </c>
      <c r="C1362" s="10" t="s">
        <v>36</v>
      </c>
      <c r="D1362" s="381" t="s">
        <v>2552</v>
      </c>
      <c r="E1362" s="381" t="s">
        <v>1167</v>
      </c>
      <c r="F1362" s="380">
        <f>+MOD(Tabla8[[#This Row],[HR. FIN]]-Tabla8[[#This Row],[HR. INICIO]],1)</f>
        <v>2.0138888888888928E-2</v>
      </c>
      <c r="G1362" s="16" t="s">
        <v>205</v>
      </c>
      <c r="H1362" s="343" t="str">
        <f>IFERROR(VLOOKUP(G1362,DATOS!$M$2:$N$219,2,FALSE),"")</f>
        <v>Maquinaria</v>
      </c>
      <c r="I1362" s="115" t="s">
        <v>61</v>
      </c>
      <c r="J1362" s="115" t="s">
        <v>92</v>
      </c>
      <c r="K1362" s="114" t="s">
        <v>148</v>
      </c>
      <c r="L1362" s="35" t="s">
        <v>2553</v>
      </c>
      <c r="M1362" s="35" t="s">
        <v>2554</v>
      </c>
      <c r="N1362" s="35" t="str" cm="1">
        <f t="array" ref="N1362">IFERROR(IF(Tabla8[[#This Row],[P/NP]]="NO PROGRAMADA","",_xlfn.TEXTJOIN(", ",TRUE,_xlfn._xlws.FILTER(Tabla4[[#All],[PIEZA]],ISNUMBER(SEARCH(Tabla4[[#All],[PCLAVE]],Tabla8[[#This Row],[DESCRIPCION DE TRABAJO]])),""))),"")</f>
        <v/>
      </c>
      <c r="O1362" s="35" t="str" cm="1">
        <f t="array" ref="O1362">_xlfn.TEXTJOIN(", ",TRUE,_xlfn._xlws.FILTER(Tabla28[[#All],[PARTE]],ISNUMBER(SEARCH(Tabla28[[#All],[PCLAVE2]],Tabla8[[#This Row],[DESCRIPCION DE TRABAJO]])),""))</f>
        <v/>
      </c>
      <c r="P1362" s="303" t="str">
        <f>IFERROR(LEFT(O1362, FIND(",", O1362)-1), O1362)</f>
        <v/>
      </c>
      <c r="Q1362" s="303" t="str">
        <f>IFERROR(IF(ISERROR(FIND(",", O1362, FIND(",", O1362)+1)), RIGHT(O1362, LEN(O1362)-FIND(",", O1362)-1), MID(O1362, FIND(",", O1362)+2, FIND(",", O1362, FIND(",", O1362)+1)-FIND(",", O1362)-2)), "")</f>
        <v/>
      </c>
      <c r="R1362" s="303" t="str">
        <f>IFERROR(RIGHT(O1362, LEN(O1362)-FIND(",", O1362, FIND(",", O1362)+1)-1), "")</f>
        <v/>
      </c>
      <c r="S1362" s="35" t="str" cm="1">
        <f t="array" ref="S1362">_xlfn.TEXTJOIN(", ",TRUE,_xlfn._xlws.FILTER(Tabla29[[#All],[PARTE]],ISNUMBER(SEARCH(Tabla29[[#All],[PCLAVE3]],Tabla8[[#This Row],[DESCRIPCION DE TRABAJO]])),""))</f>
        <v>Borrosa</v>
      </c>
      <c r="T1362" s="34" t="str">
        <f>IF(AND(Tabla8[[#This Row],[PIEZA]]="",Tabla8[[#This Row],[PARTE]]=""),"VACIO","OK")</f>
        <v>VACIO</v>
      </c>
      <c r="U1362" s="303" t="str">
        <f>+CONCATENATE(WEEKNUM(Tabla8[[#This Row],[FECHA]]),"-",YEAR(Tabla8[[#This Row],[FECHA]]))</f>
        <v>21-2026</v>
      </c>
    </row>
    <row r="1363" spans="1:21" ht="15" customHeight="1">
      <c r="A1363" s="22">
        <v>46160</v>
      </c>
      <c r="B1363" s="16" t="s">
        <v>131</v>
      </c>
      <c r="C1363" s="10" t="s">
        <v>39</v>
      </c>
      <c r="D1363" s="381" t="s">
        <v>2555</v>
      </c>
      <c r="E1363" s="381" t="s">
        <v>1117</v>
      </c>
      <c r="F1363" s="380">
        <f>+MOD(Tabla8[[#This Row],[HR. FIN]]-Tabla8[[#This Row],[HR. INICIO]],1)</f>
        <v>2.0138888888888928E-2</v>
      </c>
      <c r="G1363" s="16" t="s">
        <v>205</v>
      </c>
      <c r="H1363" s="343" t="str">
        <f>IFERROR(VLOOKUP(G1363,DATOS!$M$2:$N$219,2,FALSE),"")</f>
        <v>Maquinaria</v>
      </c>
      <c r="I1363" s="115" t="s">
        <v>61</v>
      </c>
      <c r="J1363" s="115" t="s">
        <v>92</v>
      </c>
      <c r="K1363" s="114" t="s">
        <v>148</v>
      </c>
      <c r="L1363" s="35" t="s">
        <v>2556</v>
      </c>
      <c r="M1363" s="35" t="s">
        <v>2557</v>
      </c>
      <c r="N1363" s="35" t="str" cm="1">
        <f t="array" ref="N1363">IFERROR(IF(Tabla8[[#This Row],[P/NP]]="NO PROGRAMADA","",_xlfn.TEXTJOIN(", ",TRUE,_xlfn._xlws.FILTER(Tabla4[[#All],[PIEZA]],ISNUMBER(SEARCH(Tabla4[[#All],[PCLAVE]],Tabla8[[#This Row],[DESCRIPCION DE TRABAJO]])),""))),"")</f>
        <v/>
      </c>
      <c r="O1363" s="35" t="str" cm="1">
        <f t="array" ref="O1363">_xlfn.TEXTJOIN(", ",TRUE,_xlfn._xlws.FILTER(Tabla28[[#All],[PARTE]],ISNUMBER(SEARCH(Tabla28[[#All],[PCLAVE2]],Tabla8[[#This Row],[DESCRIPCION DE TRABAJO]])),""))</f>
        <v>Codificador</v>
      </c>
      <c r="P1363" s="303" t="str">
        <f>IFERROR(LEFT(O1363, FIND(",", O1363)-1), O1363)</f>
        <v>Codificador</v>
      </c>
      <c r="Q1363" s="303" t="str">
        <f>IFERROR(IF(ISERROR(FIND(",", O1363, FIND(",", O1363)+1)), RIGHT(O1363, LEN(O1363)-FIND(",", O1363)-1), MID(O1363, FIND(",", O1363)+2, FIND(",", O1363, FIND(",", O1363)+1)-FIND(",", O1363)-2)), "")</f>
        <v/>
      </c>
      <c r="R1363" s="303" t="str">
        <f>IFERROR(RIGHT(O1363, LEN(O1363)-FIND(",", O1363, FIND(",", O1363)+1)-1), "")</f>
        <v/>
      </c>
      <c r="S1363" s="35" t="str" cm="1">
        <f t="array" ref="S1363">_xlfn.TEXTJOIN(", ",TRUE,_xlfn._xlws.FILTER(Tabla29[[#All],[PARTE]],ISNUMBER(SEARCH(Tabla29[[#All],[PCLAVE3]],Tabla8[[#This Row],[DESCRIPCION DE TRABAJO]])),""))</f>
        <v>Borrosa</v>
      </c>
      <c r="T1363" s="34" t="str">
        <f>IF(AND(Tabla8[[#This Row],[PIEZA]]="",Tabla8[[#This Row],[PARTE]]=""),"VACIO","OK")</f>
        <v>OK</v>
      </c>
      <c r="U1363" s="303" t="str">
        <f>+CONCATENATE(WEEKNUM(Tabla8[[#This Row],[FECHA]]),"-",YEAR(Tabla8[[#This Row],[FECHA]]))</f>
        <v>21-2026</v>
      </c>
    </row>
    <row r="1364" spans="1:21" ht="15" customHeight="1">
      <c r="A1364" s="22">
        <v>46160</v>
      </c>
      <c r="B1364" s="16" t="s">
        <v>191</v>
      </c>
      <c r="C1364" s="10" t="s">
        <v>36</v>
      </c>
      <c r="D1364" s="381" t="s">
        <v>505</v>
      </c>
      <c r="E1364" s="381" t="s">
        <v>2558</v>
      </c>
      <c r="F1364" s="380">
        <f>+MOD(Tabla8[[#This Row],[HR. FIN]]-Tabla8[[#This Row],[HR. INICIO]],1)</f>
        <v>2.0138888888888873E-2</v>
      </c>
      <c r="G1364" s="16" t="s">
        <v>31</v>
      </c>
      <c r="H1364" s="343" t="str">
        <f>IFERROR(VLOOKUP(G1364,DATOS!$M$2:$N$219,2,FALSE),"")</f>
        <v>Maquinaria</v>
      </c>
      <c r="I1364" s="115" t="s">
        <v>32</v>
      </c>
      <c r="J1364" s="115" t="s">
        <v>157</v>
      </c>
      <c r="K1364" s="114"/>
      <c r="L1364" s="35" t="s">
        <v>2559</v>
      </c>
      <c r="M1364" s="35" t="s">
        <v>121</v>
      </c>
      <c r="N1364" s="35" t="str" cm="1">
        <f t="array" ref="N1364">IFERROR(IF(Tabla8[[#This Row],[P/NP]]="NO PROGRAMADA","",_xlfn.TEXTJOIN(", ",TRUE,_xlfn._xlws.FILTER(Tabla4[[#All],[PIEZA]],ISNUMBER(SEARCH(Tabla4[[#All],[PCLAVE]],Tabla8[[#This Row],[DESCRIPCION DE TRABAJO]])),""))),"")</f>
        <v>Mordaza</v>
      </c>
      <c r="O1364" s="35" t="str" cm="1">
        <f t="array" ref="O1364">_xlfn.TEXTJOIN(", ",TRUE,_xlfn._xlws.FILTER(Tabla28[[#All],[PARTE]],ISNUMBER(SEARCH(Tabla28[[#All],[PCLAVE2]],Tabla8[[#This Row],[DESCRIPCION DE TRABAJO]])),""))</f>
        <v/>
      </c>
      <c r="P1364" s="303" t="str">
        <f>IFERROR(LEFT(O1364, FIND(",", O1364)-1), O1364)</f>
        <v/>
      </c>
      <c r="Q1364" s="303" t="str">
        <f>IFERROR(IF(ISERROR(FIND(",", O1364, FIND(",", O1364)+1)), RIGHT(O1364, LEN(O1364)-FIND(",", O1364)-1), MID(O1364, FIND(",", O1364)+2, FIND(",", O1364, FIND(",", O1364)+1)-FIND(",", O1364)-2)), "")</f>
        <v/>
      </c>
      <c r="R1364" s="303" t="str">
        <f>IFERROR(RIGHT(O1364, LEN(O1364)-FIND(",", O1364, FIND(",", O1364)+1)-1), "")</f>
        <v/>
      </c>
      <c r="S1364" s="35" t="str" cm="1">
        <f t="array" ref="S1364">_xlfn.TEXTJOIN(", ",TRUE,_xlfn._xlws.FILTER(Tabla29[[#All],[PARTE]],ISNUMBER(SEARCH(Tabla29[[#All],[PCLAVE3]],Tabla8[[#This Row],[DESCRIPCION DE TRABAJO]])),""))</f>
        <v>Cambio De Formato</v>
      </c>
      <c r="T1364" s="34" t="str">
        <f>IF(AND(Tabla8[[#This Row],[PIEZA]]="",Tabla8[[#This Row],[PARTE]]=""),"VACIO","OK")</f>
        <v>OK</v>
      </c>
      <c r="U1364" s="303" t="str">
        <f>+CONCATENATE(WEEKNUM(Tabla8[[#This Row],[FECHA]]),"-",YEAR(Tabla8[[#This Row],[FECHA]]))</f>
        <v>21-2026</v>
      </c>
    </row>
    <row r="1365" spans="1:21" ht="15" customHeight="1">
      <c r="A1365" s="22">
        <v>46160</v>
      </c>
      <c r="B1365" s="16" t="s">
        <v>191</v>
      </c>
      <c r="C1365" s="10" t="s">
        <v>36</v>
      </c>
      <c r="D1365" s="381" t="s">
        <v>2560</v>
      </c>
      <c r="E1365" s="381" t="s">
        <v>2561</v>
      </c>
      <c r="F1365" s="380">
        <f>+MOD(Tabla8[[#This Row],[HR. FIN]]-Tabla8[[#This Row],[HR. INICIO]],1)</f>
        <v>1.9444444444444486E-2</v>
      </c>
      <c r="G1365" s="16" t="s">
        <v>1470</v>
      </c>
      <c r="H1365" s="343" t="str">
        <f>IFERROR(VLOOKUP(G1365,DATOS!$M$2:$N$219,2,FALSE),"")</f>
        <v>Maquinaria</v>
      </c>
      <c r="I1365" s="115" t="s">
        <v>57</v>
      </c>
      <c r="J1365" s="115" t="s">
        <v>92</v>
      </c>
      <c r="K1365" s="114" t="s">
        <v>93</v>
      </c>
      <c r="L1365" s="35" t="s">
        <v>2562</v>
      </c>
      <c r="M1365" s="35" t="s">
        <v>2563</v>
      </c>
      <c r="N1365" s="35" t="str" cm="1">
        <f t="array" ref="N1365">IFERROR(IF(Tabla8[[#This Row],[P/NP]]="NO PROGRAMADA","",_xlfn.TEXTJOIN(", ",TRUE,_xlfn._xlws.FILTER(Tabla4[[#All],[PIEZA]],ISNUMBER(SEARCH(Tabla4[[#All],[PCLAVE]],Tabla8[[#This Row],[DESCRIPCION DE TRABAJO]])),""))),"")</f>
        <v/>
      </c>
      <c r="O1365" s="35" t="str" cm="1">
        <f t="array" ref="O1365">_xlfn.TEXTJOIN(", ",TRUE,_xlfn._xlws.FILTER(Tabla28[[#All],[PARTE]],ISNUMBER(SEARCH(Tabla28[[#All],[PCLAVE2]],Tabla8[[#This Row],[DESCRIPCION DE TRABAJO]])),""))</f>
        <v/>
      </c>
      <c r="P1365" s="303" t="str">
        <f>IFERROR(LEFT(O1365, FIND(",", O1365)-1), O1365)</f>
        <v/>
      </c>
      <c r="Q1365" s="303" t="str">
        <f>IFERROR(IF(ISERROR(FIND(",", O1365, FIND(",", O1365)+1)), RIGHT(O1365, LEN(O1365)-FIND(",", O1365)-1), MID(O1365, FIND(",", O1365)+2, FIND(",", O1365, FIND(",", O1365)+1)-FIND(",", O1365)-2)), "")</f>
        <v/>
      </c>
      <c r="R1365" s="303" t="str">
        <f>IFERROR(RIGHT(O1365, LEN(O1365)-FIND(",", O1365, FIND(",", O1365)+1)-1), "")</f>
        <v/>
      </c>
      <c r="S1365" s="35" t="str" cm="1">
        <f t="array" ref="S1365">_xlfn.TEXTJOIN(", ",TRUE,_xlfn._xlws.FILTER(Tabla29[[#All],[PARTE]],ISNUMBER(SEARCH(Tabla29[[#All],[PCLAVE3]],Tabla8[[#This Row],[DESCRIPCION DE TRABAJO]])),""))</f>
        <v>No Acciona, No Corta</v>
      </c>
      <c r="T1365" s="34" t="str">
        <f>IF(AND(Tabla8[[#This Row],[PIEZA]]="",Tabla8[[#This Row],[PARTE]]=""),"VACIO","OK")</f>
        <v>VACIO</v>
      </c>
      <c r="U1365" s="303" t="str">
        <f>+CONCATENATE(WEEKNUM(Tabla8[[#This Row],[FECHA]]),"-",YEAR(Tabla8[[#This Row],[FECHA]]))</f>
        <v>21-2026</v>
      </c>
    </row>
    <row r="1366" spans="1:21" ht="15" customHeight="1">
      <c r="A1366" s="22">
        <v>46160</v>
      </c>
      <c r="B1366" s="16" t="s">
        <v>191</v>
      </c>
      <c r="C1366" s="10" t="s">
        <v>36</v>
      </c>
      <c r="D1366" s="381" t="s">
        <v>2564</v>
      </c>
      <c r="E1366" s="381" t="s">
        <v>2565</v>
      </c>
      <c r="F1366" s="380">
        <f>+MOD(Tabla8[[#This Row],[HR. FIN]]-Tabla8[[#This Row],[HR. INICIO]],1)</f>
        <v>1.6666666666666663E-2</v>
      </c>
      <c r="G1366" s="16" t="s">
        <v>211</v>
      </c>
      <c r="H1366" s="343" t="str">
        <f>IFERROR(VLOOKUP(G1366,DATOS!$M$2:$N$219,2,FALSE),"")</f>
        <v>Maquinaria</v>
      </c>
      <c r="I1366" s="115" t="s">
        <v>43</v>
      </c>
      <c r="J1366" s="115" t="s">
        <v>157</v>
      </c>
      <c r="K1366" s="114"/>
      <c r="L1366" s="35" t="s">
        <v>2566</v>
      </c>
      <c r="M1366" s="35" t="s">
        <v>121</v>
      </c>
      <c r="N1366" s="35" t="str" cm="1">
        <f t="array" ref="N1366">IFERROR(IF(Tabla8[[#This Row],[P/NP]]="NO PROGRAMADA","",_xlfn.TEXTJOIN(", ",TRUE,_xlfn._xlws.FILTER(Tabla4[[#All],[PIEZA]],ISNUMBER(SEARCH(Tabla4[[#All],[PCLAVE]],Tabla8[[#This Row],[DESCRIPCION DE TRABAJO]])),""))),"")</f>
        <v/>
      </c>
      <c r="O1366" s="35" t="str" cm="1">
        <f t="array" ref="O1366">_xlfn.TEXTJOIN(", ",TRUE,_xlfn._xlws.FILTER(Tabla28[[#All],[PARTE]],ISNUMBER(SEARCH(Tabla28[[#All],[PCLAVE2]],Tabla8[[#This Row],[DESCRIPCION DE TRABAJO]])),""))</f>
        <v/>
      </c>
      <c r="P1366" s="303" t="str">
        <f>IFERROR(LEFT(O1366, FIND(",", O1366)-1), O1366)</f>
        <v/>
      </c>
      <c r="Q1366" s="303" t="str">
        <f>IFERROR(IF(ISERROR(FIND(",", O1366, FIND(",", O1366)+1)), RIGHT(O1366, LEN(O1366)-FIND(",", O1366)-1), MID(O1366, FIND(",", O1366)+2, FIND(",", O1366, FIND(",", O1366)+1)-FIND(",", O1366)-2)), "")</f>
        <v/>
      </c>
      <c r="R1366" s="303" t="str">
        <f>IFERROR(RIGHT(O1366, LEN(O1366)-FIND(",", O1366, FIND(",", O1366)+1)-1), "")</f>
        <v/>
      </c>
      <c r="S1366" s="35" t="str" cm="1">
        <f t="array" ref="S1366">_xlfn.TEXTJOIN(", ",TRUE,_xlfn._xlws.FILTER(Tabla29[[#All],[PARTE]],ISNUMBER(SEARCH(Tabla29[[#All],[PCLAVE3]],Tabla8[[#This Row],[DESCRIPCION DE TRABAJO]])),""))</f>
        <v/>
      </c>
      <c r="T1366" s="34" t="str">
        <f>IF(AND(Tabla8[[#This Row],[PIEZA]]="",Tabla8[[#This Row],[PARTE]]=""),"VACIO","OK")</f>
        <v>VACIO</v>
      </c>
      <c r="U1366" s="303" t="str">
        <f>+CONCATENATE(WEEKNUM(Tabla8[[#This Row],[FECHA]]),"-",YEAR(Tabla8[[#This Row],[FECHA]]))</f>
        <v>21-2026</v>
      </c>
    </row>
    <row r="1367" spans="1:21" ht="15" customHeight="1">
      <c r="A1367" s="22">
        <v>46160</v>
      </c>
      <c r="B1367" s="16" t="s">
        <v>131</v>
      </c>
      <c r="C1367" s="10" t="s">
        <v>39</v>
      </c>
      <c r="D1367" s="381" t="s">
        <v>478</v>
      </c>
      <c r="E1367" s="381" t="s">
        <v>134</v>
      </c>
      <c r="F1367" s="380">
        <f>+MOD(Tabla8[[#This Row],[HR. FIN]]-Tabla8[[#This Row],[HR. INICIO]],1)</f>
        <v>1.5972222222222165E-2</v>
      </c>
      <c r="G1367" s="16" t="s">
        <v>31</v>
      </c>
      <c r="H1367" s="343" t="str">
        <f>IFERROR(VLOOKUP(G1367,DATOS!$M$2:$N$219,2,FALSE),"")</f>
        <v>Maquinaria</v>
      </c>
      <c r="I1367" s="115" t="s">
        <v>186</v>
      </c>
      <c r="J1367" s="115" t="s">
        <v>92</v>
      </c>
      <c r="K1367" s="114" t="s">
        <v>93</v>
      </c>
      <c r="L1367" s="35" t="s">
        <v>2567</v>
      </c>
      <c r="M1367" s="35" t="s">
        <v>2568</v>
      </c>
      <c r="N1367" s="35" t="str" cm="1">
        <f t="array" ref="N1367">IFERROR(IF(Tabla8[[#This Row],[P/NP]]="NO PROGRAMADA","",_xlfn.TEXTJOIN(", ",TRUE,_xlfn._xlws.FILTER(Tabla4[[#All],[PIEZA]],ISNUMBER(SEARCH(Tabla4[[#All],[PCLAVE]],Tabla8[[#This Row],[DESCRIPCION DE TRABAJO]])),""))),"")</f>
        <v/>
      </c>
      <c r="O1367" s="35" t="str" cm="1">
        <f t="array" ref="O1367">_xlfn.TEXTJOIN(", ",TRUE,_xlfn._xlws.FILTER(Tabla28[[#All],[PARTE]],ISNUMBER(SEARCH(Tabla28[[#All],[PCLAVE2]],Tabla8[[#This Row],[DESCRIPCION DE TRABAJO]])),""))</f>
        <v/>
      </c>
      <c r="P1367" s="303" t="str">
        <f>IFERROR(LEFT(O1367, FIND(",", O1367)-1), O1367)</f>
        <v/>
      </c>
      <c r="Q1367" s="303" t="str">
        <f>IFERROR(IF(ISERROR(FIND(",", O1367, FIND(",", O1367)+1)), RIGHT(O1367, LEN(O1367)-FIND(",", O1367)-1), MID(O1367, FIND(",", O1367)+2, FIND(",", O1367, FIND(",", O1367)+1)-FIND(",", O1367)-2)), "")</f>
        <v/>
      </c>
      <c r="R1367" s="303" t="str">
        <f>IFERROR(RIGHT(O1367, LEN(O1367)-FIND(",", O1367, FIND(",", O1367)+1)-1), "")</f>
        <v/>
      </c>
      <c r="S1367" s="35" t="str" cm="1">
        <f t="array" ref="S1367">_xlfn.TEXTJOIN(", ",TRUE,_xlfn._xlws.FILTER(Tabla29[[#All],[PARTE]],ISNUMBER(SEARCH(Tabla29[[#All],[PCLAVE3]],Tabla8[[#This Row],[DESCRIPCION DE TRABAJO]])),""))</f>
        <v>Doblada, Laminado</v>
      </c>
      <c r="T1367" s="34" t="str">
        <f>IF(AND(Tabla8[[#This Row],[PIEZA]]="",Tabla8[[#This Row],[PARTE]]=""),"VACIO","OK")</f>
        <v>VACIO</v>
      </c>
      <c r="U1367" s="303" t="str">
        <f>+CONCATENATE(WEEKNUM(Tabla8[[#This Row],[FECHA]]),"-",YEAR(Tabla8[[#This Row],[FECHA]]))</f>
        <v>21-2026</v>
      </c>
    </row>
    <row r="1368" spans="1:21" ht="15" customHeight="1">
      <c r="A1368" s="22">
        <v>46160</v>
      </c>
      <c r="B1368" s="16" t="s">
        <v>131</v>
      </c>
      <c r="C1368" s="10" t="s">
        <v>39</v>
      </c>
      <c r="D1368" s="381" t="s">
        <v>172</v>
      </c>
      <c r="E1368" s="381" t="s">
        <v>2569</v>
      </c>
      <c r="F1368" s="380">
        <f>+MOD(Tabla8[[#This Row],[HR. FIN]]-Tabla8[[#This Row],[HR. INICIO]],1)</f>
        <v>1.5277777777777724E-2</v>
      </c>
      <c r="G1368" s="16" t="s">
        <v>182</v>
      </c>
      <c r="H1368" s="343" t="str">
        <f>IFERROR(VLOOKUP(G1368,DATOS!$M$2:$N$219,2,FALSE),"")</f>
        <v>Maquinaria</v>
      </c>
      <c r="I1368" s="115" t="s">
        <v>32</v>
      </c>
      <c r="J1368" s="115" t="s">
        <v>157</v>
      </c>
      <c r="K1368" s="114"/>
      <c r="L1368" s="35" t="s">
        <v>2570</v>
      </c>
      <c r="M1368" s="35" t="s">
        <v>2571</v>
      </c>
      <c r="N1368" s="35" t="str" cm="1">
        <f t="array" ref="N1368">IFERROR(IF(Tabla8[[#This Row],[P/NP]]="NO PROGRAMADA","",_xlfn.TEXTJOIN(", ",TRUE,_xlfn._xlws.FILTER(Tabla4[[#All],[PIEZA]],ISNUMBER(SEARCH(Tabla4[[#All],[PCLAVE]],Tabla8[[#This Row],[DESCRIPCION DE TRABAJO]])),""))),"")</f>
        <v/>
      </c>
      <c r="O1368" s="35" t="str" cm="1">
        <f t="array" ref="O1368">_xlfn.TEXTJOIN(", ",TRUE,_xlfn._xlws.FILTER(Tabla28[[#All],[PARTE]],ISNUMBER(SEARCH(Tabla28[[#All],[PCLAVE2]],Tabla8[[#This Row],[DESCRIPCION DE TRABAJO]])),""))</f>
        <v/>
      </c>
      <c r="P1368" s="303" t="str">
        <f>IFERROR(LEFT(O1368, FIND(",", O1368)-1), O1368)</f>
        <v/>
      </c>
      <c r="Q1368" s="303" t="str">
        <f>IFERROR(IF(ISERROR(FIND(",", O1368, FIND(",", O1368)+1)), RIGHT(O1368, LEN(O1368)-FIND(",", O1368)-1), MID(O1368, FIND(",", O1368)+2, FIND(",", O1368, FIND(",", O1368)+1)-FIND(",", O1368)-2)), "")</f>
        <v/>
      </c>
      <c r="R1368" s="303" t="str">
        <f>IFERROR(RIGHT(O1368, LEN(O1368)-FIND(",", O1368, FIND(",", O1368)+1)-1), "")</f>
        <v/>
      </c>
      <c r="S1368" s="35" t="str" cm="1">
        <f t="array" ref="S1368">_xlfn.TEXTJOIN(", ",TRUE,_xlfn._xlws.FILTER(Tabla29[[#All],[PARTE]],ISNUMBER(SEARCH(Tabla29[[#All],[PCLAVE3]],Tabla8[[#This Row],[DESCRIPCION DE TRABAJO]])),""))</f>
        <v>Cambio De Formato</v>
      </c>
      <c r="T1368" s="34" t="str">
        <f>IF(AND(Tabla8[[#This Row],[PIEZA]]="",Tabla8[[#This Row],[PARTE]]=""),"VACIO","OK")</f>
        <v>VACIO</v>
      </c>
      <c r="U1368" s="303" t="str">
        <f>+CONCATENATE(WEEKNUM(Tabla8[[#This Row],[FECHA]]),"-",YEAR(Tabla8[[#This Row],[FECHA]]))</f>
        <v>21-2026</v>
      </c>
    </row>
    <row r="1369" spans="1:21" ht="15" customHeight="1">
      <c r="A1369" s="22">
        <v>46160</v>
      </c>
      <c r="B1369" s="16" t="s">
        <v>88</v>
      </c>
      <c r="C1369" s="10" t="s">
        <v>36</v>
      </c>
      <c r="D1369" s="381" t="s">
        <v>1592</v>
      </c>
      <c r="E1369" s="381" t="s">
        <v>557</v>
      </c>
      <c r="F1369" s="380">
        <f>+MOD(Tabla8[[#This Row],[HR. FIN]]-Tabla8[[#This Row],[HR. INICIO]],1)</f>
        <v>1.3888888888888895E-2</v>
      </c>
      <c r="G1369" s="16" t="s">
        <v>169</v>
      </c>
      <c r="H1369" s="343" t="str">
        <f>IFERROR(VLOOKUP(G1369,DATOS!$M$2:$N$219,2,FALSE),"")</f>
        <v>Maquinaria</v>
      </c>
      <c r="I1369" s="115" t="s">
        <v>32</v>
      </c>
      <c r="J1369" s="115" t="s">
        <v>157</v>
      </c>
      <c r="K1369" s="114"/>
      <c r="L1369" s="35" t="s">
        <v>1593</v>
      </c>
      <c r="M1369" s="35" t="s">
        <v>1129</v>
      </c>
      <c r="N1369" s="35" t="str" cm="1">
        <f t="array" ref="N1369">IFERROR(IF(Tabla8[[#This Row],[P/NP]]="NO PROGRAMADA","",_xlfn.TEXTJOIN(", ",TRUE,_xlfn._xlws.FILTER(Tabla4[[#All],[PIEZA]],ISNUMBER(SEARCH(Tabla4[[#All],[PCLAVE]],Tabla8[[#This Row],[DESCRIPCION DE TRABAJO]])),""))),"")</f>
        <v/>
      </c>
      <c r="O1369" s="35" t="str" cm="1">
        <f t="array" ref="O1369">_xlfn.TEXTJOIN(", ",TRUE,_xlfn._xlws.FILTER(Tabla28[[#All],[PARTE]],ISNUMBER(SEARCH(Tabla28[[#All],[PCLAVE2]],Tabla8[[#This Row],[DESCRIPCION DE TRABAJO]])),""))</f>
        <v/>
      </c>
      <c r="P1369" s="303" t="str">
        <f>IFERROR(LEFT(O1369, FIND(",", O1369)-1), O1369)</f>
        <v/>
      </c>
      <c r="Q1369" s="303" t="str">
        <f>IFERROR(IF(ISERROR(FIND(",", O1369, FIND(",", O1369)+1)), RIGHT(O1369, LEN(O1369)-FIND(",", O1369)-1), MID(O1369, FIND(",", O1369)+2, FIND(",", O1369, FIND(",", O1369)+1)-FIND(",", O1369)-2)), "")</f>
        <v/>
      </c>
      <c r="R1369" s="303" t="str">
        <f>IFERROR(RIGHT(O1369, LEN(O1369)-FIND(",", O1369, FIND(",", O1369)+1)-1), "")</f>
        <v/>
      </c>
      <c r="S1369" s="35" t="str" cm="1">
        <f t="array" ref="S1369">_xlfn.TEXTJOIN(", ",TRUE,_xlfn._xlws.FILTER(Tabla29[[#All],[PARTE]],ISNUMBER(SEARCH(Tabla29[[#All],[PCLAVE3]],Tabla8[[#This Row],[DESCRIPCION DE TRABAJO]])),""))</f>
        <v/>
      </c>
      <c r="T1369" s="34" t="str">
        <f>IF(AND(Tabla8[[#This Row],[PIEZA]]="",Tabla8[[#This Row],[PARTE]]=""),"VACIO","OK")</f>
        <v>VACIO</v>
      </c>
      <c r="U1369" s="303" t="str">
        <f>+CONCATENATE(WEEKNUM(Tabla8[[#This Row],[FECHA]]),"-",YEAR(Tabla8[[#This Row],[FECHA]]))</f>
        <v>21-2026</v>
      </c>
    </row>
    <row r="1370" spans="1:21" ht="15" customHeight="1">
      <c r="A1370" s="22">
        <v>46160</v>
      </c>
      <c r="B1370" s="16" t="s">
        <v>191</v>
      </c>
      <c r="C1370" s="10" t="s">
        <v>36</v>
      </c>
      <c r="D1370" s="381" t="s">
        <v>2572</v>
      </c>
      <c r="E1370" s="381" t="s">
        <v>2573</v>
      </c>
      <c r="F1370" s="380">
        <f>+MOD(Tabla8[[#This Row],[HR. FIN]]-Tabla8[[#This Row],[HR. INICIO]],1)</f>
        <v>1.3194444444444453E-2</v>
      </c>
      <c r="G1370" s="16" t="s">
        <v>119</v>
      </c>
      <c r="H1370" s="343" t="str">
        <f>IFERROR(VLOOKUP(G1370,DATOS!$M$2:$N$219,2,FALSE),"")</f>
        <v>Maquinaria</v>
      </c>
      <c r="I1370" s="115" t="s">
        <v>54</v>
      </c>
      <c r="J1370" s="115" t="s">
        <v>157</v>
      </c>
      <c r="K1370" s="114"/>
      <c r="L1370" s="35" t="s">
        <v>2574</v>
      </c>
      <c r="M1370" s="35" t="s">
        <v>121</v>
      </c>
      <c r="N1370" s="35" t="str" cm="1">
        <f t="array" ref="N1370">IFERROR(IF(Tabla8[[#This Row],[P/NP]]="NO PROGRAMADA","",_xlfn.TEXTJOIN(", ",TRUE,_xlfn._xlws.FILTER(Tabla4[[#All],[PIEZA]],ISNUMBER(SEARCH(Tabla4[[#All],[PCLAVE]],Tabla8[[#This Row],[DESCRIPCION DE TRABAJO]])),""))),"")</f>
        <v/>
      </c>
      <c r="O1370" s="35" t="str" cm="1">
        <f t="array" ref="O1370">_xlfn.TEXTJOIN(", ",TRUE,_xlfn._xlws.FILTER(Tabla28[[#All],[PARTE]],ISNUMBER(SEARCH(Tabla28[[#All],[PCLAVE2]],Tabla8[[#This Row],[DESCRIPCION DE TRABAJO]])),""))</f>
        <v>Temperadora</v>
      </c>
      <c r="P1370" s="303" t="str">
        <f>IFERROR(LEFT(O1370, FIND(",", O1370)-1), O1370)</f>
        <v>Temperadora</v>
      </c>
      <c r="Q1370" s="303" t="str">
        <f>IFERROR(IF(ISERROR(FIND(",", O1370, FIND(",", O1370)+1)), RIGHT(O1370, LEN(O1370)-FIND(",", O1370)-1), MID(O1370, FIND(",", O1370)+2, FIND(",", O1370, FIND(",", O1370)+1)-FIND(",", O1370)-2)), "")</f>
        <v/>
      </c>
      <c r="R1370" s="303" t="str">
        <f>IFERROR(RIGHT(O1370, LEN(O1370)-FIND(",", O1370, FIND(",", O1370)+1)-1), "")</f>
        <v/>
      </c>
      <c r="S1370" s="35" t="str" cm="1">
        <f t="array" ref="S1370">_xlfn.TEXTJOIN(", ",TRUE,_xlfn._xlws.FILTER(Tabla29[[#All],[PARTE]],ISNUMBER(SEARCH(Tabla29[[#All],[PCLAVE3]],Tabla8[[#This Row],[DESCRIPCION DE TRABAJO]])),""))</f>
        <v>Nivel</v>
      </c>
      <c r="T1370" s="34" t="str">
        <f>IF(AND(Tabla8[[#This Row],[PIEZA]]="",Tabla8[[#This Row],[PARTE]]=""),"VACIO","OK")</f>
        <v>OK</v>
      </c>
      <c r="U1370" s="303" t="str">
        <f>+CONCATENATE(WEEKNUM(Tabla8[[#This Row],[FECHA]]),"-",YEAR(Tabla8[[#This Row],[FECHA]]))</f>
        <v>21-2026</v>
      </c>
    </row>
    <row r="1371" spans="1:21" ht="15" customHeight="1">
      <c r="A1371" s="22">
        <v>46160</v>
      </c>
      <c r="B1371" s="16" t="s">
        <v>88</v>
      </c>
      <c r="C1371" s="10" t="s">
        <v>36</v>
      </c>
      <c r="D1371" s="381" t="s">
        <v>482</v>
      </c>
      <c r="E1371" s="381" t="s">
        <v>96</v>
      </c>
      <c r="F1371" s="380">
        <f>+MOD(Tabla8[[#This Row],[HR. FIN]]-Tabla8[[#This Row],[HR. INICIO]],1)</f>
        <v>1.0416666666666685E-2</v>
      </c>
      <c r="G1371" s="16" t="s">
        <v>331</v>
      </c>
      <c r="H1371" s="343" t="str">
        <f>IFERROR(VLOOKUP(G1371,DATOS!$M$2:$N$219,2,FALSE),"")</f>
        <v>Maquinaria</v>
      </c>
      <c r="I1371" s="115" t="s">
        <v>32</v>
      </c>
      <c r="J1371" s="115" t="s">
        <v>157</v>
      </c>
      <c r="K1371" s="114"/>
      <c r="L1371" s="35" t="s">
        <v>1168</v>
      </c>
      <c r="M1371" s="35" t="s">
        <v>2575</v>
      </c>
      <c r="N1371" s="35" t="str" cm="1">
        <f t="array" ref="N1371">IFERROR(IF(Tabla8[[#This Row],[P/NP]]="NO PROGRAMADA","",_xlfn.TEXTJOIN(", ",TRUE,_xlfn._xlws.FILTER(Tabla4[[#All],[PIEZA]],ISNUMBER(SEARCH(Tabla4[[#All],[PCLAVE]],Tabla8[[#This Row],[DESCRIPCION DE TRABAJO]])),""))),"")</f>
        <v/>
      </c>
      <c r="O1371" s="35" t="str" cm="1">
        <f t="array" ref="O1371">_xlfn.TEXTJOIN(", ",TRUE,_xlfn._xlws.FILTER(Tabla28[[#All],[PARTE]],ISNUMBER(SEARCH(Tabla28[[#All],[PCLAVE2]],Tabla8[[#This Row],[DESCRIPCION DE TRABAJO]])),""))</f>
        <v/>
      </c>
      <c r="P1371" s="303" t="str">
        <f>IFERROR(LEFT(O1371, FIND(",", O1371)-1), O1371)</f>
        <v/>
      </c>
      <c r="Q1371" s="303" t="str">
        <f>IFERROR(IF(ISERROR(FIND(",", O1371, FIND(",", O1371)+1)), RIGHT(O1371, LEN(O1371)-FIND(",", O1371)-1), MID(O1371, FIND(",", O1371)+2, FIND(",", O1371, FIND(",", O1371)+1)-FIND(",", O1371)-2)), "")</f>
        <v/>
      </c>
      <c r="R1371" s="303" t="str">
        <f>IFERROR(RIGHT(O1371, LEN(O1371)-FIND(",", O1371, FIND(",", O1371)+1)-1), "")</f>
        <v/>
      </c>
      <c r="S1371" s="35" t="str" cm="1">
        <f t="array" ref="S1371">_xlfn.TEXTJOIN(", ",TRUE,_xlfn._xlws.FILTER(Tabla29[[#All],[PARTE]],ISNUMBER(SEARCH(Tabla29[[#All],[PCLAVE3]],Tabla8[[#This Row],[DESCRIPCION DE TRABAJO]])),""))</f>
        <v/>
      </c>
      <c r="T1371" s="34" t="str">
        <f>IF(AND(Tabla8[[#This Row],[PIEZA]]="",Tabla8[[#This Row],[PARTE]]=""),"VACIO","OK")</f>
        <v>VACIO</v>
      </c>
      <c r="U1371" s="303" t="str">
        <f>+CONCATENATE(WEEKNUM(Tabla8[[#This Row],[FECHA]]),"-",YEAR(Tabla8[[#This Row],[FECHA]]))</f>
        <v>21-2026</v>
      </c>
    </row>
    <row r="1372" spans="1:21" ht="15" customHeight="1">
      <c r="A1372" s="22">
        <v>46160</v>
      </c>
      <c r="B1372" s="16" t="s">
        <v>131</v>
      </c>
      <c r="C1372" s="10" t="s">
        <v>39</v>
      </c>
      <c r="D1372" s="381" t="s">
        <v>1264</v>
      </c>
      <c r="E1372" s="381" t="s">
        <v>2576</v>
      </c>
      <c r="F1372" s="380">
        <f>+MOD(Tabla8[[#This Row],[HR. FIN]]-Tabla8[[#This Row],[HR. INICIO]],1)</f>
        <v>8.3333333333333315E-3</v>
      </c>
      <c r="G1372" s="16" t="s">
        <v>119</v>
      </c>
      <c r="H1372" s="343" t="str">
        <f>IFERROR(VLOOKUP(G1372,DATOS!$M$2:$N$219,2,FALSE),"")</f>
        <v>Maquinaria</v>
      </c>
      <c r="I1372" s="115" t="s">
        <v>57</v>
      </c>
      <c r="J1372" s="115" t="s">
        <v>92</v>
      </c>
      <c r="K1372" s="114" t="s">
        <v>93</v>
      </c>
      <c r="L1372" s="35" t="s">
        <v>2577</v>
      </c>
      <c r="M1372" s="35" t="s">
        <v>2578</v>
      </c>
      <c r="N1372" s="35" t="str" cm="1">
        <f t="array" ref="N1372">IFERROR(IF(Tabla8[[#This Row],[P/NP]]="NO PROGRAMADA","",_xlfn.TEXTJOIN(", ",TRUE,_xlfn._xlws.FILTER(Tabla4[[#All],[PIEZA]],ISNUMBER(SEARCH(Tabla4[[#All],[PCLAVE]],Tabla8[[#This Row],[DESCRIPCION DE TRABAJO]])),""))),"")</f>
        <v/>
      </c>
      <c r="O1372" s="35" t="str" cm="1">
        <f t="array" ref="O1372">_xlfn.TEXTJOIN(", ",TRUE,_xlfn._xlws.FILTER(Tabla28[[#All],[PARTE]],ISNUMBER(SEARCH(Tabla28[[#All],[PCLAVE2]],Tabla8[[#This Row],[DESCRIPCION DE TRABAJO]])),""))</f>
        <v/>
      </c>
      <c r="P1372" s="303" t="str">
        <f>IFERROR(LEFT(O1372, FIND(",", O1372)-1), O1372)</f>
        <v/>
      </c>
      <c r="Q1372" s="303" t="str">
        <f>IFERROR(IF(ISERROR(FIND(",", O1372, FIND(",", O1372)+1)), RIGHT(O1372, LEN(O1372)-FIND(",", O1372)-1), MID(O1372, FIND(",", O1372)+2, FIND(",", O1372, FIND(",", O1372)+1)-FIND(",", O1372)-2)), "")</f>
        <v/>
      </c>
      <c r="R1372" s="303" t="str">
        <f>IFERROR(RIGHT(O1372, LEN(O1372)-FIND(",", O1372, FIND(",", O1372)+1)-1), "")</f>
        <v/>
      </c>
      <c r="S1372" s="35" t="str" cm="1">
        <f t="array" ref="S1372">_xlfn.TEXTJOIN(", ",TRUE,_xlfn._xlws.FILTER(Tabla29[[#All],[PARTE]],ISNUMBER(SEARCH(Tabla29[[#All],[PCLAVE3]],Tabla8[[#This Row],[DESCRIPCION DE TRABAJO]])),""))</f>
        <v/>
      </c>
      <c r="T1372" s="34" t="str">
        <f>IF(AND(Tabla8[[#This Row],[PIEZA]]="",Tabla8[[#This Row],[PARTE]]=""),"VACIO","OK")</f>
        <v>VACIO</v>
      </c>
      <c r="U1372" s="303" t="str">
        <f>+CONCATENATE(WEEKNUM(Tabla8[[#This Row],[FECHA]]),"-",YEAR(Tabla8[[#This Row],[FECHA]]))</f>
        <v>21-2026</v>
      </c>
    </row>
    <row r="1373" spans="1:21" ht="15" customHeight="1">
      <c r="A1373" s="22">
        <v>46160</v>
      </c>
      <c r="B1373" s="16" t="s">
        <v>191</v>
      </c>
      <c r="C1373" s="10" t="s">
        <v>36</v>
      </c>
      <c r="D1373" s="381" t="s">
        <v>2579</v>
      </c>
      <c r="E1373" s="381" t="s">
        <v>495</v>
      </c>
      <c r="F1373" s="380">
        <f>+MOD(Tabla8[[#This Row],[HR. FIN]]-Tabla8[[#This Row],[HR. INICIO]],1)</f>
        <v>8.3333333333333037E-3</v>
      </c>
      <c r="G1373" s="16" t="s">
        <v>114</v>
      </c>
      <c r="H1373" s="343" t="str">
        <f>IFERROR(VLOOKUP(G1373,DATOS!$M$2:$N$219,2,FALSE),"")</f>
        <v>Maquinaria</v>
      </c>
      <c r="I1373" s="115" t="s">
        <v>32</v>
      </c>
      <c r="J1373" s="115" t="s">
        <v>157</v>
      </c>
      <c r="K1373" s="114"/>
      <c r="L1373" s="35" t="s">
        <v>2580</v>
      </c>
      <c r="M1373" s="35" t="s">
        <v>121</v>
      </c>
      <c r="N1373" s="35" t="str" cm="1">
        <f t="array" ref="N1373">IFERROR(IF(Tabla8[[#This Row],[P/NP]]="NO PROGRAMADA","",_xlfn.TEXTJOIN(", ",TRUE,_xlfn._xlws.FILTER(Tabla4[[#All],[PIEZA]],ISNUMBER(SEARCH(Tabla4[[#All],[PCLAVE]],Tabla8[[#This Row],[DESCRIPCION DE TRABAJO]])),""))),"")</f>
        <v/>
      </c>
      <c r="O1373" s="35" t="str" cm="1">
        <f t="array" ref="O1373">_xlfn.TEXTJOIN(", ",TRUE,_xlfn._xlws.FILTER(Tabla28[[#All],[PARTE]],ISNUMBER(SEARCH(Tabla28[[#All],[PCLAVE2]],Tabla8[[#This Row],[DESCRIPCION DE TRABAJO]])),""))</f>
        <v/>
      </c>
      <c r="P1373" s="303" t="str">
        <f>IFERROR(LEFT(O1373, FIND(",", O1373)-1), O1373)</f>
        <v/>
      </c>
      <c r="Q1373" s="303" t="str">
        <f>IFERROR(IF(ISERROR(FIND(",", O1373, FIND(",", O1373)+1)), RIGHT(O1373, LEN(O1373)-FIND(",", O1373)-1), MID(O1373, FIND(",", O1373)+2, FIND(",", O1373, FIND(",", O1373)+1)-FIND(",", O1373)-2)), "")</f>
        <v/>
      </c>
      <c r="R1373" s="303" t="str">
        <f>IFERROR(RIGHT(O1373, LEN(O1373)-FIND(",", O1373, FIND(",", O1373)+1)-1), "")</f>
        <v/>
      </c>
      <c r="S1373" s="35" t="str" cm="1">
        <f t="array" ref="S1373">_xlfn.TEXTJOIN(", ",TRUE,_xlfn._xlws.FILTER(Tabla29[[#All],[PARTE]],ISNUMBER(SEARCH(Tabla29[[#All],[PCLAVE3]],Tabla8[[#This Row],[DESCRIPCION DE TRABAJO]])),""))</f>
        <v/>
      </c>
      <c r="T1373" s="34" t="str">
        <f>IF(AND(Tabla8[[#This Row],[PIEZA]]="",Tabla8[[#This Row],[PARTE]]=""),"VACIO","OK")</f>
        <v>VACIO</v>
      </c>
      <c r="U1373" s="303" t="str">
        <f>+CONCATENATE(WEEKNUM(Tabla8[[#This Row],[FECHA]]),"-",YEAR(Tabla8[[#This Row],[FECHA]]))</f>
        <v>21-2026</v>
      </c>
    </row>
    <row r="1374" spans="1:21" ht="15" customHeight="1">
      <c r="A1374" s="22">
        <v>46160</v>
      </c>
      <c r="B1374" s="16" t="s">
        <v>191</v>
      </c>
      <c r="C1374" s="10" t="s">
        <v>36</v>
      </c>
      <c r="D1374" s="381" t="s">
        <v>1633</v>
      </c>
      <c r="E1374" s="381" t="s">
        <v>2581</v>
      </c>
      <c r="F1374" s="380">
        <f>+MOD(Tabla8[[#This Row],[HR. FIN]]-Tabla8[[#This Row],[HR. INICIO]],1)</f>
        <v>6.2500000000000333E-3</v>
      </c>
      <c r="G1374" s="16" t="s">
        <v>98</v>
      </c>
      <c r="H1374" s="343" t="str">
        <f>IFERROR(VLOOKUP(G1374,DATOS!$M$2:$N$219,2,FALSE),"")</f>
        <v>Maquinaria</v>
      </c>
      <c r="I1374" s="115" t="s">
        <v>186</v>
      </c>
      <c r="J1374" s="115" t="s">
        <v>92</v>
      </c>
      <c r="K1374" s="114" t="s">
        <v>93</v>
      </c>
      <c r="L1374" s="35" t="s">
        <v>2582</v>
      </c>
      <c r="M1374" s="35" t="s">
        <v>2583</v>
      </c>
      <c r="N1374" s="35" t="str" cm="1">
        <f t="array" ref="N1374">IFERROR(IF(Tabla8[[#This Row],[P/NP]]="NO PROGRAMADA","",_xlfn.TEXTJOIN(", ",TRUE,_xlfn._xlws.FILTER(Tabla4[[#All],[PIEZA]],ISNUMBER(SEARCH(Tabla4[[#All],[PCLAVE]],Tabla8[[#This Row],[DESCRIPCION DE TRABAJO]])),""))),"")</f>
        <v/>
      </c>
      <c r="O1374" s="35" t="str" cm="1">
        <f t="array" ref="O1374">_xlfn.TEXTJOIN(", ",TRUE,_xlfn._xlws.FILTER(Tabla28[[#All],[PARTE]],ISNUMBER(SEARCH(Tabla28[[#All],[PCLAVE2]],Tabla8[[#This Row],[DESCRIPCION DE TRABAJO]])),""))</f>
        <v/>
      </c>
      <c r="P1374" s="303" t="str">
        <f>IFERROR(LEFT(O1374, FIND(",", O1374)-1), O1374)</f>
        <v/>
      </c>
      <c r="Q1374" s="303" t="str">
        <f>IFERROR(IF(ISERROR(FIND(",", O1374, FIND(",", O1374)+1)), RIGHT(O1374, LEN(O1374)-FIND(",", O1374)-1), MID(O1374, FIND(",", O1374)+2, FIND(",", O1374, FIND(",", O1374)+1)-FIND(",", O1374)-2)), "")</f>
        <v/>
      </c>
      <c r="R1374" s="303" t="str">
        <f>IFERROR(RIGHT(O1374, LEN(O1374)-FIND(",", O1374, FIND(",", O1374)+1)-1), "")</f>
        <v/>
      </c>
      <c r="S1374" s="35" t="str" cm="1">
        <f t="array" ref="S1374">_xlfn.TEXTJOIN(", ",TRUE,_xlfn._xlws.FILTER(Tabla29[[#All],[PARTE]],ISNUMBER(SEARCH(Tabla29[[#All],[PCLAVE3]],Tabla8[[#This Row],[DESCRIPCION DE TRABAJO]])),""))</f>
        <v>Abierto</v>
      </c>
      <c r="T1374" s="34" t="str">
        <f>IF(AND(Tabla8[[#This Row],[PIEZA]]="",Tabla8[[#This Row],[PARTE]]=""),"VACIO","OK")</f>
        <v>VACIO</v>
      </c>
      <c r="U1374" s="303" t="str">
        <f>+CONCATENATE(WEEKNUM(Tabla8[[#This Row],[FECHA]]),"-",YEAR(Tabla8[[#This Row],[FECHA]]))</f>
        <v>21-2026</v>
      </c>
    </row>
    <row r="1375" spans="1:21" ht="15" customHeight="1">
      <c r="A1375" s="22">
        <v>46161</v>
      </c>
      <c r="B1375" s="16" t="s">
        <v>88</v>
      </c>
      <c r="C1375" s="10" t="s">
        <v>36</v>
      </c>
      <c r="D1375" s="381" t="s">
        <v>123</v>
      </c>
      <c r="E1375" s="381" t="s">
        <v>400</v>
      </c>
      <c r="F1375" s="380">
        <f>+MOD(Tabla8[[#This Row],[HR. FIN]]-Tabla8[[#This Row],[HR. INICIO]],1)</f>
        <v>5.5555555555555525E-2</v>
      </c>
      <c r="G1375" s="16" t="s">
        <v>182</v>
      </c>
      <c r="H1375" s="343" t="str">
        <f>IFERROR(VLOOKUP(G1375,DATOS!$M$2:$N$219,2,FALSE),"")</f>
        <v>Maquinaria</v>
      </c>
      <c r="I1375" s="115" t="s">
        <v>32</v>
      </c>
      <c r="J1375" s="115" t="s">
        <v>157</v>
      </c>
      <c r="K1375" s="114"/>
      <c r="L1375" s="35" t="s">
        <v>2584</v>
      </c>
      <c r="M1375" s="35" t="s">
        <v>2585</v>
      </c>
      <c r="N1375" s="35" t="str" cm="1">
        <f t="array" ref="N1375">IFERROR(IF(Tabla8[[#This Row],[P/NP]]="NO PROGRAMADA","",_xlfn.TEXTJOIN(", ",TRUE,_xlfn._xlws.FILTER(Tabla4[[#All],[PIEZA]],ISNUMBER(SEARCH(Tabla4[[#All],[PCLAVE]],Tabla8[[#This Row],[DESCRIPCION DE TRABAJO]])),""))),"")</f>
        <v/>
      </c>
      <c r="O1375" s="35" t="str" cm="1">
        <f t="array" ref="O1375">_xlfn.TEXTJOIN(", ",TRUE,_xlfn._xlws.FILTER(Tabla28[[#All],[PARTE]],ISNUMBER(SEARCH(Tabla28[[#All],[PCLAVE2]],Tabla8[[#This Row],[DESCRIPCION DE TRABAJO]])),""))</f>
        <v/>
      </c>
      <c r="P1375" s="303" t="str">
        <f>IFERROR(LEFT(O1375, FIND(",", O1375)-1), O1375)</f>
        <v/>
      </c>
      <c r="Q1375" s="303" t="str">
        <f>IFERROR(IF(ISERROR(FIND(",", O1375, FIND(",", O1375)+1)), RIGHT(O1375, LEN(O1375)-FIND(",", O1375)-1), MID(O1375, FIND(",", O1375)+2, FIND(",", O1375, FIND(",", O1375)+1)-FIND(",", O1375)-2)), "")</f>
        <v/>
      </c>
      <c r="R1375" s="303" t="str">
        <f>IFERROR(RIGHT(O1375, LEN(O1375)-FIND(",", O1375, FIND(",", O1375)+1)-1), "")</f>
        <v/>
      </c>
      <c r="S1375" s="35" t="str" cm="1">
        <f t="array" ref="S1375">_xlfn.TEXTJOIN(", ",TRUE,_xlfn._xlws.FILTER(Tabla29[[#All],[PARTE]],ISNUMBER(SEARCH(Tabla29[[#All],[PCLAVE3]],Tabla8[[#This Row],[DESCRIPCION DE TRABAJO]])),""))</f>
        <v>Cambio De Formato</v>
      </c>
      <c r="T1375" s="34" t="str">
        <f>IF(AND(Tabla8[[#This Row],[PIEZA]]="",Tabla8[[#This Row],[PARTE]]=""),"VACIO","OK")</f>
        <v>VACIO</v>
      </c>
      <c r="U1375" s="303" t="str">
        <f>+CONCATENATE(WEEKNUM(Tabla8[[#This Row],[FECHA]]),"-",YEAR(Tabla8[[#This Row],[FECHA]]))</f>
        <v>21-2026</v>
      </c>
    </row>
    <row r="1376" spans="1:21" ht="15" customHeight="1">
      <c r="A1376" s="22">
        <v>46161</v>
      </c>
      <c r="B1376" s="16" t="s">
        <v>191</v>
      </c>
      <c r="C1376" s="10" t="s">
        <v>36</v>
      </c>
      <c r="D1376" s="381" t="s">
        <v>2586</v>
      </c>
      <c r="E1376" s="381" t="s">
        <v>2587</v>
      </c>
      <c r="F1376" s="380">
        <f>+MOD(Tabla8[[#This Row],[HR. FIN]]-Tabla8[[#This Row],[HR. INICIO]],1)</f>
        <v>5.0694444444444486E-2</v>
      </c>
      <c r="G1376" s="16" t="s">
        <v>182</v>
      </c>
      <c r="H1376" s="343" t="str">
        <f>IFERROR(VLOOKUP(G1376,DATOS!$M$2:$N$219,2,FALSE),"")</f>
        <v>Maquinaria</v>
      </c>
      <c r="I1376" s="115" t="s">
        <v>32</v>
      </c>
      <c r="J1376" s="115" t="s">
        <v>157</v>
      </c>
      <c r="K1376" s="114"/>
      <c r="L1376" s="35" t="s">
        <v>968</v>
      </c>
      <c r="M1376" s="35" t="s">
        <v>121</v>
      </c>
      <c r="N1376" s="35" t="str" cm="1">
        <f t="array" ref="N1376">IFERROR(IF(Tabla8[[#This Row],[P/NP]]="NO PROGRAMADA","",_xlfn.TEXTJOIN(", ",TRUE,_xlfn._xlws.FILTER(Tabla4[[#All],[PIEZA]],ISNUMBER(SEARCH(Tabla4[[#All],[PCLAVE]],Tabla8[[#This Row],[DESCRIPCION DE TRABAJO]])),""))),"")</f>
        <v/>
      </c>
      <c r="O1376" s="35" t="str" cm="1">
        <f t="array" ref="O1376">_xlfn.TEXTJOIN(", ",TRUE,_xlfn._xlws.FILTER(Tabla28[[#All],[PARTE]],ISNUMBER(SEARCH(Tabla28[[#All],[PCLAVE2]],Tabla8[[#This Row],[DESCRIPCION DE TRABAJO]])),""))</f>
        <v/>
      </c>
      <c r="P1376" s="303" t="str">
        <f>IFERROR(LEFT(O1376, FIND(",", O1376)-1), O1376)</f>
        <v/>
      </c>
      <c r="Q1376" s="303" t="str">
        <f>IFERROR(IF(ISERROR(FIND(",", O1376, FIND(",", O1376)+1)), RIGHT(O1376, LEN(O1376)-FIND(",", O1376)-1), MID(O1376, FIND(",", O1376)+2, FIND(",", O1376, FIND(",", O1376)+1)-FIND(",", O1376)-2)), "")</f>
        <v/>
      </c>
      <c r="R1376" s="303" t="str">
        <f>IFERROR(RIGHT(O1376, LEN(O1376)-FIND(",", O1376, FIND(",", O1376)+1)-1), "")</f>
        <v/>
      </c>
      <c r="S1376" s="35" t="str" cm="1">
        <f t="array" ref="S1376">_xlfn.TEXTJOIN(", ",TRUE,_xlfn._xlws.FILTER(Tabla29[[#All],[PARTE]],ISNUMBER(SEARCH(Tabla29[[#All],[PCLAVE3]],Tabla8[[#This Row],[DESCRIPCION DE TRABAJO]])),""))</f>
        <v>Cambio De Formato</v>
      </c>
      <c r="T1376" s="34" t="str">
        <f>IF(AND(Tabla8[[#This Row],[PIEZA]]="",Tabla8[[#This Row],[PARTE]]=""),"VACIO","OK")</f>
        <v>VACIO</v>
      </c>
      <c r="U1376" s="303" t="str">
        <f>+CONCATENATE(WEEKNUM(Tabla8[[#This Row],[FECHA]]),"-",YEAR(Tabla8[[#This Row],[FECHA]]))</f>
        <v>21-2026</v>
      </c>
    </row>
    <row r="1377" spans="1:21" ht="15" customHeight="1">
      <c r="A1377" s="22">
        <v>46161</v>
      </c>
      <c r="B1377" s="16" t="s">
        <v>191</v>
      </c>
      <c r="C1377" s="10" t="s">
        <v>36</v>
      </c>
      <c r="D1377" s="381" t="s">
        <v>2588</v>
      </c>
      <c r="E1377" s="381" t="s">
        <v>2589</v>
      </c>
      <c r="F1377" s="380">
        <f>+MOD(Tabla8[[#This Row],[HR. FIN]]-Tabla8[[#This Row],[HR. INICIO]],1)</f>
        <v>4.9999999999999989E-2</v>
      </c>
      <c r="G1377" s="16" t="s">
        <v>81</v>
      </c>
      <c r="H1377" s="343" t="str">
        <f>IFERROR(VLOOKUP(G1377,DATOS!$M$2:$N$219,2,FALSE),"")</f>
        <v>Maquinaria</v>
      </c>
      <c r="I1377" s="115" t="s">
        <v>186</v>
      </c>
      <c r="J1377" s="115" t="s">
        <v>92</v>
      </c>
      <c r="K1377" s="114" t="s">
        <v>93</v>
      </c>
      <c r="L1377" s="35" t="s">
        <v>2590</v>
      </c>
      <c r="M1377" s="35" t="s">
        <v>2591</v>
      </c>
      <c r="N1377" s="35" t="str" cm="1">
        <f t="array" ref="N1377">IFERROR(IF(Tabla8[[#This Row],[P/NP]]="NO PROGRAMADA","",_xlfn.TEXTJOIN(", ",TRUE,_xlfn._xlws.FILTER(Tabla4[[#All],[PIEZA]],ISNUMBER(SEARCH(Tabla4[[#All],[PCLAVE]],Tabla8[[#This Row],[DESCRIPCION DE TRABAJO]])),""))),"")</f>
        <v/>
      </c>
      <c r="O1377" s="35" t="str" cm="1">
        <f t="array" ref="O1377">_xlfn.TEXTJOIN(", ",TRUE,_xlfn._xlws.FILTER(Tabla28[[#All],[PARTE]],ISNUMBER(SEARCH(Tabla28[[#All],[PCLAVE2]],Tabla8[[#This Row],[DESCRIPCION DE TRABAJO]])),""))</f>
        <v/>
      </c>
      <c r="P1377" s="303" t="str">
        <f>IFERROR(LEFT(O1377, FIND(",", O1377)-1), O1377)</f>
        <v/>
      </c>
      <c r="Q1377" s="303" t="str">
        <f>IFERROR(IF(ISERROR(FIND(",", O1377, FIND(",", O1377)+1)), RIGHT(O1377, LEN(O1377)-FIND(",", O1377)-1), MID(O1377, FIND(",", O1377)+2, FIND(",", O1377, FIND(",", O1377)+1)-FIND(",", O1377)-2)), "")</f>
        <v/>
      </c>
      <c r="R1377" s="303" t="str">
        <f>IFERROR(RIGHT(O1377, LEN(O1377)-FIND(",", O1377, FIND(",", O1377)+1)-1), "")</f>
        <v/>
      </c>
      <c r="S1377" s="35" t="str" cm="1">
        <f t="array" ref="S1377">_xlfn.TEXTJOIN(", ",TRUE,_xlfn._xlws.FILTER(Tabla29[[#All],[PARTE]],ISNUMBER(SEARCH(Tabla29[[#All],[PCLAVE3]],Tabla8[[#This Row],[DESCRIPCION DE TRABAJO]])),""))</f>
        <v>Colision, Desnivel, Nivel</v>
      </c>
      <c r="T1377" s="34" t="str">
        <f>IF(AND(Tabla8[[#This Row],[PIEZA]]="",Tabla8[[#This Row],[PARTE]]=""),"VACIO","OK")</f>
        <v>VACIO</v>
      </c>
      <c r="U1377" s="303" t="str">
        <f>+CONCATENATE(WEEKNUM(Tabla8[[#This Row],[FECHA]]),"-",YEAR(Tabla8[[#This Row],[FECHA]]))</f>
        <v>21-2026</v>
      </c>
    </row>
    <row r="1378" spans="1:21" ht="15" customHeight="1">
      <c r="A1378" s="22">
        <v>46161</v>
      </c>
      <c r="B1378" s="16" t="s">
        <v>131</v>
      </c>
      <c r="C1378" s="10" t="s">
        <v>39</v>
      </c>
      <c r="D1378" s="381" t="s">
        <v>2592</v>
      </c>
      <c r="E1378" s="381" t="s">
        <v>2593</v>
      </c>
      <c r="F1378" s="380">
        <f>+MOD(Tabla8[[#This Row],[HR. FIN]]-Tabla8[[#This Row],[HR. INICIO]],1)</f>
        <v>3.680555555555555E-2</v>
      </c>
      <c r="G1378" s="16" t="s">
        <v>31</v>
      </c>
      <c r="H1378" s="343" t="str">
        <f>IFERROR(VLOOKUP(G1378,DATOS!$M$2:$N$219,2,FALSE),"")</f>
        <v>Maquinaria</v>
      </c>
      <c r="I1378" s="115" t="s">
        <v>32</v>
      </c>
      <c r="J1378" s="115" t="s">
        <v>157</v>
      </c>
      <c r="K1378" s="114"/>
      <c r="L1378" s="35" t="s">
        <v>2594</v>
      </c>
      <c r="M1378" s="35" t="s">
        <v>2595</v>
      </c>
      <c r="N1378" s="35" t="str" cm="1">
        <f t="array" ref="N1378">IFERROR(IF(Tabla8[[#This Row],[P/NP]]="NO PROGRAMADA","",_xlfn.TEXTJOIN(", ",TRUE,_xlfn._xlws.FILTER(Tabla4[[#All],[PIEZA]],ISNUMBER(SEARCH(Tabla4[[#All],[PCLAVE]],Tabla8[[#This Row],[DESCRIPCION DE TRABAJO]])),""))),"")</f>
        <v/>
      </c>
      <c r="O1378" s="35" t="str" cm="1">
        <f t="array" ref="O1378">_xlfn.TEXTJOIN(", ",TRUE,_xlfn._xlws.FILTER(Tabla28[[#All],[PARTE]],ISNUMBER(SEARCH(Tabla28[[#All],[PCLAVE2]],Tabla8[[#This Row],[DESCRIPCION DE TRABAJO]])),""))</f>
        <v/>
      </c>
      <c r="P1378" s="303" t="str">
        <f>IFERROR(LEFT(O1378, FIND(",", O1378)-1), O1378)</f>
        <v/>
      </c>
      <c r="Q1378" s="303" t="str">
        <f>IFERROR(IF(ISERROR(FIND(",", O1378, FIND(",", O1378)+1)), RIGHT(O1378, LEN(O1378)-FIND(",", O1378)-1), MID(O1378, FIND(",", O1378)+2, FIND(",", O1378, FIND(",", O1378)+1)-FIND(",", O1378)-2)), "")</f>
        <v/>
      </c>
      <c r="R1378" s="303" t="str">
        <f>IFERROR(RIGHT(O1378, LEN(O1378)-FIND(",", O1378, FIND(",", O1378)+1)-1), "")</f>
        <v/>
      </c>
      <c r="S1378" s="35" t="str" cm="1">
        <f t="array" ref="S1378">_xlfn.TEXTJOIN(", ",TRUE,_xlfn._xlws.FILTER(Tabla29[[#All],[PARTE]],ISNUMBER(SEARCH(Tabla29[[#All],[PCLAVE3]],Tabla8[[#This Row],[DESCRIPCION DE TRABAJO]])),""))</f>
        <v>Cambio De Formato</v>
      </c>
      <c r="T1378" s="34" t="str">
        <f>IF(AND(Tabla8[[#This Row],[PIEZA]]="",Tabla8[[#This Row],[PARTE]]=""),"VACIO","OK")</f>
        <v>VACIO</v>
      </c>
      <c r="U1378" s="303" t="str">
        <f>+CONCATENATE(WEEKNUM(Tabla8[[#This Row],[FECHA]]),"-",YEAR(Tabla8[[#This Row],[FECHA]]))</f>
        <v>21-2026</v>
      </c>
    </row>
    <row r="1379" spans="1:21" ht="15" customHeight="1">
      <c r="A1379" s="22">
        <v>46161</v>
      </c>
      <c r="B1379" s="16" t="s">
        <v>191</v>
      </c>
      <c r="C1379" s="10" t="s">
        <v>36</v>
      </c>
      <c r="D1379" s="381" t="s">
        <v>2113</v>
      </c>
      <c r="E1379" s="381" t="s">
        <v>2450</v>
      </c>
      <c r="F1379" s="380">
        <f>+MOD(Tabla8[[#This Row],[HR. FIN]]-Tabla8[[#This Row],[HR. INICIO]],1)</f>
        <v>3.1944444444444442E-2</v>
      </c>
      <c r="G1379" s="16" t="s">
        <v>31</v>
      </c>
      <c r="H1379" s="343" t="str">
        <f>IFERROR(VLOOKUP(G1379,DATOS!$M$2:$N$219,2,FALSE),"")</f>
        <v>Maquinaria</v>
      </c>
      <c r="I1379" s="115" t="s">
        <v>57</v>
      </c>
      <c r="J1379" s="115" t="s">
        <v>92</v>
      </c>
      <c r="K1379" s="114" t="s">
        <v>93</v>
      </c>
      <c r="L1379" s="35" t="s">
        <v>2596</v>
      </c>
      <c r="M1379" s="35" t="s">
        <v>2597</v>
      </c>
      <c r="N1379" s="35" t="str" cm="1">
        <f t="array" ref="N1379">IFERROR(IF(Tabla8[[#This Row],[P/NP]]="NO PROGRAMADA","",_xlfn.TEXTJOIN(", ",TRUE,_xlfn._xlws.FILTER(Tabla4[[#All],[PIEZA]],ISNUMBER(SEARCH(Tabla4[[#All],[PCLAVE]],Tabla8[[#This Row],[DESCRIPCION DE TRABAJO]])),""))),"")</f>
        <v/>
      </c>
      <c r="O1379" s="35" t="str" cm="1">
        <f t="array" ref="O1379">_xlfn.TEXTJOIN(", ",TRUE,_xlfn._xlws.FILTER(Tabla28[[#All],[PARTE]],ISNUMBER(SEARCH(Tabla28[[#All],[PCLAVE2]],Tabla8[[#This Row],[DESCRIPCION DE TRABAJO]])),""))</f>
        <v/>
      </c>
      <c r="P1379" s="303" t="str">
        <f>IFERROR(LEFT(O1379, FIND(",", O1379)-1), O1379)</f>
        <v/>
      </c>
      <c r="Q1379" s="303" t="str">
        <f>IFERROR(IF(ISERROR(FIND(",", O1379, FIND(",", O1379)+1)), RIGHT(O1379, LEN(O1379)-FIND(",", O1379)-1), MID(O1379, FIND(",", O1379)+2, FIND(",", O1379, FIND(",", O1379)+1)-FIND(",", O1379)-2)), "")</f>
        <v/>
      </c>
      <c r="R1379" s="303" t="str">
        <f>IFERROR(RIGHT(O1379, LEN(O1379)-FIND(",", O1379, FIND(",", O1379)+1)-1), "")</f>
        <v/>
      </c>
      <c r="S1379" s="35" t="str" cm="1">
        <f t="array" ref="S1379">_xlfn.TEXTJOIN(", ",TRUE,_xlfn._xlws.FILTER(Tabla29[[#All],[PARTE]],ISNUMBER(SEARCH(Tabla29[[#All],[PCLAVE3]],Tabla8[[#This Row],[DESCRIPCION DE TRABAJO]])),""))</f>
        <v>Laminado</v>
      </c>
      <c r="T1379" s="34" t="str">
        <f>IF(AND(Tabla8[[#This Row],[PIEZA]]="",Tabla8[[#This Row],[PARTE]]=""),"VACIO","OK")</f>
        <v>VACIO</v>
      </c>
      <c r="U1379" s="303" t="str">
        <f>+CONCATENATE(WEEKNUM(Tabla8[[#This Row],[FECHA]]),"-",YEAR(Tabla8[[#This Row],[FECHA]]))</f>
        <v>21-2026</v>
      </c>
    </row>
    <row r="1380" spans="1:21" ht="15" customHeight="1">
      <c r="A1380" s="22">
        <v>46161</v>
      </c>
      <c r="B1380" s="16" t="s">
        <v>191</v>
      </c>
      <c r="C1380" s="10" t="s">
        <v>36</v>
      </c>
      <c r="D1380" s="381" t="s">
        <v>2598</v>
      </c>
      <c r="E1380" s="381" t="s">
        <v>2599</v>
      </c>
      <c r="F1380" s="380">
        <f>+MOD(Tabla8[[#This Row],[HR. FIN]]-Tabla8[[#This Row],[HR. INICIO]],1)</f>
        <v>2.9166666666666619E-2</v>
      </c>
      <c r="G1380" s="16" t="s">
        <v>312</v>
      </c>
      <c r="H1380" s="343" t="str">
        <f>IFERROR(VLOOKUP(G1380,DATOS!$M$2:$N$219,2,FALSE),"")</f>
        <v>Maquinaria</v>
      </c>
      <c r="I1380" s="115" t="s">
        <v>61</v>
      </c>
      <c r="J1380" s="115" t="s">
        <v>92</v>
      </c>
      <c r="K1380" s="114" t="s">
        <v>93</v>
      </c>
      <c r="L1380" s="35" t="s">
        <v>2121</v>
      </c>
      <c r="M1380" s="35" t="s">
        <v>2600</v>
      </c>
      <c r="N1380" s="35" t="str" cm="1">
        <f t="array" ref="N1380">IFERROR(IF(Tabla8[[#This Row],[P/NP]]="NO PROGRAMADA","",_xlfn.TEXTJOIN(", ",TRUE,_xlfn._xlws.FILTER(Tabla4[[#All],[PIEZA]],ISNUMBER(SEARCH(Tabla4[[#All],[PCLAVE]],Tabla8[[#This Row],[DESCRIPCION DE TRABAJO]])),""))),"")</f>
        <v/>
      </c>
      <c r="O1380" s="35" t="str" cm="1">
        <f t="array" ref="O1380">_xlfn.TEXTJOIN(", ",TRUE,_xlfn._xlws.FILTER(Tabla28[[#All],[PARTE]],ISNUMBER(SEARCH(Tabla28[[#All],[PCLAVE2]],Tabla8[[#This Row],[DESCRIPCION DE TRABAJO]])),""))</f>
        <v/>
      </c>
      <c r="P1380" s="303" t="str">
        <f>IFERROR(LEFT(O1380, FIND(",", O1380)-1), O1380)</f>
        <v/>
      </c>
      <c r="Q1380" s="303" t="str">
        <f>IFERROR(IF(ISERROR(FIND(",", O1380, FIND(",", O1380)+1)), RIGHT(O1380, LEN(O1380)-FIND(",", O1380)-1), MID(O1380, FIND(",", O1380)+2, FIND(",", O1380, FIND(",", O1380)+1)-FIND(",", O1380)-2)), "")</f>
        <v/>
      </c>
      <c r="R1380" s="303" t="str">
        <f>IFERROR(RIGHT(O1380, LEN(O1380)-FIND(",", O1380, FIND(",", O1380)+1)-1), "")</f>
        <v/>
      </c>
      <c r="S1380" s="35" t="str" cm="1">
        <f t="array" ref="S1380">_xlfn.TEXTJOIN(", ",TRUE,_xlfn._xlws.FILTER(Tabla29[[#All],[PARTE]],ISNUMBER(SEARCH(Tabla29[[#All],[PCLAVE3]],Tabla8[[#This Row],[DESCRIPCION DE TRABAJO]])),""))</f>
        <v>No Cae Producto</v>
      </c>
      <c r="T1380" s="34" t="str">
        <f>IF(AND(Tabla8[[#This Row],[PIEZA]]="",Tabla8[[#This Row],[PARTE]]=""),"VACIO","OK")</f>
        <v>VACIO</v>
      </c>
      <c r="U1380" s="303" t="str">
        <f>+CONCATENATE(WEEKNUM(Tabla8[[#This Row],[FECHA]]),"-",YEAR(Tabla8[[#This Row],[FECHA]]))</f>
        <v>21-2026</v>
      </c>
    </row>
    <row r="1381" spans="1:21" ht="15" customHeight="1">
      <c r="A1381" s="22">
        <v>46161</v>
      </c>
      <c r="B1381" s="16" t="s">
        <v>131</v>
      </c>
      <c r="C1381" s="10" t="s">
        <v>39</v>
      </c>
      <c r="D1381" s="381" t="s">
        <v>862</v>
      </c>
      <c r="E1381" s="381" t="s">
        <v>2601</v>
      </c>
      <c r="F1381" s="380">
        <f>+MOD(Tabla8[[#This Row],[HR. FIN]]-Tabla8[[#This Row],[HR. INICIO]],1)</f>
        <v>2.2916666666666665E-2</v>
      </c>
      <c r="G1381" s="16" t="s">
        <v>119</v>
      </c>
      <c r="H1381" s="343" t="str">
        <f>IFERROR(VLOOKUP(G1381,DATOS!$M$2:$N$219,2,FALSE),"")</f>
        <v>Maquinaria</v>
      </c>
      <c r="I1381" s="115" t="s">
        <v>61</v>
      </c>
      <c r="J1381" s="115" t="s">
        <v>92</v>
      </c>
      <c r="K1381" s="114" t="s">
        <v>93</v>
      </c>
      <c r="L1381" s="35" t="s">
        <v>2602</v>
      </c>
      <c r="M1381" s="35" t="s">
        <v>2603</v>
      </c>
      <c r="N1381" s="35" t="str" cm="1">
        <f t="array" ref="N1381">IFERROR(IF(Tabla8[[#This Row],[P/NP]]="NO PROGRAMADA","",_xlfn.TEXTJOIN(", ",TRUE,_xlfn._xlws.FILTER(Tabla4[[#All],[PIEZA]],ISNUMBER(SEARCH(Tabla4[[#All],[PCLAVE]],Tabla8[[#This Row],[DESCRIPCION DE TRABAJO]])),""))),"")</f>
        <v/>
      </c>
      <c r="O1381" s="35" t="str" cm="1">
        <f t="array" ref="O1381">_xlfn.TEXTJOIN(", ",TRUE,_xlfn._xlws.FILTER(Tabla28[[#All],[PARTE]],ISNUMBER(SEARCH(Tabla28[[#All],[PCLAVE2]],Tabla8[[#This Row],[DESCRIPCION DE TRABAJO]])),""))</f>
        <v/>
      </c>
      <c r="P1381" s="303" t="str">
        <f>IFERROR(LEFT(O1381, FIND(",", O1381)-1), O1381)</f>
        <v/>
      </c>
      <c r="Q1381" s="303" t="str">
        <f>IFERROR(IF(ISERROR(FIND(",", O1381, FIND(",", O1381)+1)), RIGHT(O1381, LEN(O1381)-FIND(",", O1381)-1), MID(O1381, FIND(",", O1381)+2, FIND(",", O1381, FIND(",", O1381)+1)-FIND(",", O1381)-2)), "")</f>
        <v/>
      </c>
      <c r="R1381" s="303" t="str">
        <f>IFERROR(RIGHT(O1381, LEN(O1381)-FIND(",", O1381, FIND(",", O1381)+1)-1), "")</f>
        <v/>
      </c>
      <c r="S1381" s="35" t="str" cm="1">
        <f t="array" ref="S1381">_xlfn.TEXTJOIN(", ",TRUE,_xlfn._xlws.FILTER(Tabla29[[#All],[PARTE]],ISNUMBER(SEARCH(Tabla29[[#All],[PCLAVE3]],Tabla8[[#This Row],[DESCRIPCION DE TRABAJO]])),""))</f>
        <v/>
      </c>
      <c r="T1381" s="34" t="str">
        <f>IF(AND(Tabla8[[#This Row],[PIEZA]]="",Tabla8[[#This Row],[PARTE]]=""),"VACIO","OK")</f>
        <v>VACIO</v>
      </c>
      <c r="U1381" s="303" t="str">
        <f>+CONCATENATE(WEEKNUM(Tabla8[[#This Row],[FECHA]]),"-",YEAR(Tabla8[[#This Row],[FECHA]]))</f>
        <v>21-2026</v>
      </c>
    </row>
    <row r="1382" spans="1:21" ht="15" customHeight="1">
      <c r="A1382" s="22">
        <v>46161</v>
      </c>
      <c r="B1382" s="16" t="s">
        <v>131</v>
      </c>
      <c r="C1382" s="10" t="s">
        <v>39</v>
      </c>
      <c r="D1382" s="381" t="s">
        <v>660</v>
      </c>
      <c r="E1382" s="381" t="s">
        <v>415</v>
      </c>
      <c r="F1382" s="380">
        <f>+MOD(Tabla8[[#This Row],[HR. FIN]]-Tabla8[[#This Row],[HR. INICIO]],1)</f>
        <v>2.083333333333337E-2</v>
      </c>
      <c r="G1382" s="16" t="s">
        <v>119</v>
      </c>
      <c r="H1382" s="343" t="str">
        <f>IFERROR(VLOOKUP(G1382,DATOS!$M$2:$N$219,2,FALSE),"")</f>
        <v>Maquinaria</v>
      </c>
      <c r="I1382" s="115" t="s">
        <v>32</v>
      </c>
      <c r="J1382" s="115" t="s">
        <v>157</v>
      </c>
      <c r="K1382" s="114"/>
      <c r="L1382" s="35" t="s">
        <v>2071</v>
      </c>
      <c r="M1382" s="35" t="s">
        <v>121</v>
      </c>
      <c r="N1382" s="35" t="str" cm="1">
        <f t="array" ref="N1382">IFERROR(IF(Tabla8[[#This Row],[P/NP]]="NO PROGRAMADA","",_xlfn.TEXTJOIN(", ",TRUE,_xlfn._xlws.FILTER(Tabla4[[#All],[PIEZA]],ISNUMBER(SEARCH(Tabla4[[#All],[PCLAVE]],Tabla8[[#This Row],[DESCRIPCION DE TRABAJO]])),""))),"")</f>
        <v/>
      </c>
      <c r="O1382" s="35" t="str" cm="1">
        <f t="array" ref="O1382">_xlfn.TEXTJOIN(", ",TRUE,_xlfn._xlws.FILTER(Tabla28[[#All],[PARTE]],ISNUMBER(SEARCH(Tabla28[[#All],[PCLAVE2]],Tabla8[[#This Row],[DESCRIPCION DE TRABAJO]])),""))</f>
        <v>Mds</v>
      </c>
      <c r="P1382" s="303" t="str">
        <f>IFERROR(LEFT(O1382, FIND(",", O1382)-1), O1382)</f>
        <v>Mds</v>
      </c>
      <c r="Q1382" s="303" t="str">
        <f>IFERROR(IF(ISERROR(FIND(",", O1382, FIND(",", O1382)+1)), RIGHT(O1382, LEN(O1382)-FIND(",", O1382)-1), MID(O1382, FIND(",", O1382)+2, FIND(",", O1382, FIND(",", O1382)+1)-FIND(",", O1382)-2)), "")</f>
        <v/>
      </c>
      <c r="R1382" s="303" t="str">
        <f>IFERROR(RIGHT(O1382, LEN(O1382)-FIND(",", O1382, FIND(",", O1382)+1)-1), "")</f>
        <v/>
      </c>
      <c r="S1382" s="35" t="str" cm="1">
        <f t="array" ref="S1382">_xlfn.TEXTJOIN(", ",TRUE,_xlfn._xlws.FILTER(Tabla29[[#All],[PARTE]],ISNUMBER(SEARCH(Tabla29[[#All],[PCLAVE3]],Tabla8[[#This Row],[DESCRIPCION DE TRABAJO]])),""))</f>
        <v/>
      </c>
      <c r="T1382" s="34" t="str">
        <f>IF(AND(Tabla8[[#This Row],[PIEZA]]="",Tabla8[[#This Row],[PARTE]]=""),"VACIO","OK")</f>
        <v>OK</v>
      </c>
      <c r="U1382" s="303" t="str">
        <f>+CONCATENATE(WEEKNUM(Tabla8[[#This Row],[FECHA]]),"-",YEAR(Tabla8[[#This Row],[FECHA]]))</f>
        <v>21-2026</v>
      </c>
    </row>
    <row r="1383" spans="1:21" ht="15" customHeight="1">
      <c r="A1383" s="22">
        <v>46161</v>
      </c>
      <c r="B1383" s="16" t="s">
        <v>131</v>
      </c>
      <c r="C1383" s="10" t="s">
        <v>39</v>
      </c>
      <c r="D1383" s="381" t="s">
        <v>689</v>
      </c>
      <c r="E1383" s="381" t="s">
        <v>113</v>
      </c>
      <c r="F1383" s="380">
        <f>+MOD(Tabla8[[#This Row],[HR. FIN]]-Tabla8[[#This Row],[HR. INICIO]],1)</f>
        <v>2.0833333333333336E-2</v>
      </c>
      <c r="G1383" s="16" t="s">
        <v>222</v>
      </c>
      <c r="H1383" s="343" t="str">
        <f>IFERROR(VLOOKUP(G1383,DATOS!$M$2:$N$219,2,FALSE),"")</f>
        <v>Maquinaria</v>
      </c>
      <c r="I1383" s="115" t="s">
        <v>54</v>
      </c>
      <c r="J1383" s="115" t="s">
        <v>157</v>
      </c>
      <c r="K1383" s="114"/>
      <c r="L1383" s="35" t="s">
        <v>154</v>
      </c>
      <c r="M1383" s="35" t="s">
        <v>121</v>
      </c>
      <c r="N1383" s="35" t="str" cm="1">
        <f t="array" ref="N1383">IFERROR(IF(Tabla8[[#This Row],[P/NP]]="NO PROGRAMADA","",_xlfn.TEXTJOIN(", ",TRUE,_xlfn._xlws.FILTER(Tabla4[[#All],[PIEZA]],ISNUMBER(SEARCH(Tabla4[[#All],[PCLAVE]],Tabla8[[#This Row],[DESCRIPCION DE TRABAJO]])),""))),"")</f>
        <v/>
      </c>
      <c r="O1383" s="35" t="str" cm="1">
        <f t="array" ref="O1383">_xlfn.TEXTJOIN(", ",TRUE,_xlfn._xlws.FILTER(Tabla28[[#All],[PARTE]],ISNUMBER(SEARCH(Tabla28[[#All],[PCLAVE2]],Tabla8[[#This Row],[DESCRIPCION DE TRABAJO]])),""))</f>
        <v/>
      </c>
      <c r="P1383" s="303" t="str">
        <f>IFERROR(LEFT(O1383, FIND(",", O1383)-1), O1383)</f>
        <v/>
      </c>
      <c r="Q1383" s="303" t="str">
        <f>IFERROR(IF(ISERROR(FIND(",", O1383, FIND(",", O1383)+1)), RIGHT(O1383, LEN(O1383)-FIND(",", O1383)-1), MID(O1383, FIND(",", O1383)+2, FIND(",", O1383, FIND(",", O1383)+1)-FIND(",", O1383)-2)), "")</f>
        <v/>
      </c>
      <c r="R1383" s="303" t="str">
        <f>IFERROR(RIGHT(O1383, LEN(O1383)-FIND(",", O1383, FIND(",", O1383)+1)-1), "")</f>
        <v/>
      </c>
      <c r="S1383" s="35" t="str" cm="1">
        <f t="array" ref="S1383">_xlfn.TEXTJOIN(", ",TRUE,_xlfn._xlws.FILTER(Tabla29[[#All],[PARTE]],ISNUMBER(SEARCH(Tabla29[[#All],[PCLAVE3]],Tabla8[[#This Row],[DESCRIPCION DE TRABAJO]])),""))</f>
        <v/>
      </c>
      <c r="T1383" s="34" t="str">
        <f>IF(AND(Tabla8[[#This Row],[PIEZA]]="",Tabla8[[#This Row],[PARTE]]=""),"VACIO","OK")</f>
        <v>VACIO</v>
      </c>
      <c r="U1383" s="303" t="str">
        <f>+CONCATENATE(WEEKNUM(Tabla8[[#This Row],[FECHA]]),"-",YEAR(Tabla8[[#This Row],[FECHA]]))</f>
        <v>21-2026</v>
      </c>
    </row>
    <row r="1384" spans="1:21" ht="15" customHeight="1">
      <c r="A1384" s="22">
        <v>46161</v>
      </c>
      <c r="B1384" s="16" t="s">
        <v>88</v>
      </c>
      <c r="C1384" s="10" t="s">
        <v>36</v>
      </c>
      <c r="D1384" s="381" t="s">
        <v>551</v>
      </c>
      <c r="E1384" s="381" t="s">
        <v>586</v>
      </c>
      <c r="F1384" s="380">
        <f>+MOD(Tabla8[[#This Row],[HR. FIN]]-Tabla8[[#This Row],[HR. INICIO]],1)</f>
        <v>2.0833333333333315E-2</v>
      </c>
      <c r="G1384" s="16" t="s">
        <v>119</v>
      </c>
      <c r="H1384" s="343" t="str">
        <f>IFERROR(VLOOKUP(G1384,DATOS!$M$2:$N$219,2,FALSE),"")</f>
        <v>Maquinaria</v>
      </c>
      <c r="I1384" s="115" t="s">
        <v>32</v>
      </c>
      <c r="J1384" s="115" t="s">
        <v>157</v>
      </c>
      <c r="K1384" s="114"/>
      <c r="L1384" s="35" t="s">
        <v>1900</v>
      </c>
      <c r="M1384" s="35" t="s">
        <v>2604</v>
      </c>
      <c r="N1384" s="35" t="str" cm="1">
        <f t="array" ref="N1384">IFERROR(IF(Tabla8[[#This Row],[P/NP]]="NO PROGRAMADA","",_xlfn.TEXTJOIN(", ",TRUE,_xlfn._xlws.FILTER(Tabla4[[#All],[PIEZA]],ISNUMBER(SEARCH(Tabla4[[#All],[PCLAVE]],Tabla8[[#This Row],[DESCRIPCION DE TRABAJO]])),""))),"")</f>
        <v/>
      </c>
      <c r="O1384" s="35" t="str" cm="1">
        <f t="array" ref="O1384">_xlfn.TEXTJOIN(", ",TRUE,_xlfn._xlws.FILTER(Tabla28[[#All],[PARTE]],ISNUMBER(SEARCH(Tabla28[[#All],[PCLAVE2]],Tabla8[[#This Row],[DESCRIPCION DE TRABAJO]])),""))</f>
        <v>Mds</v>
      </c>
      <c r="P1384" s="303" t="str">
        <f>IFERROR(LEFT(O1384, FIND(",", O1384)-1), O1384)</f>
        <v>Mds</v>
      </c>
      <c r="Q1384" s="303" t="str">
        <f>IFERROR(IF(ISERROR(FIND(",", O1384, FIND(",", O1384)+1)), RIGHT(O1384, LEN(O1384)-FIND(",", O1384)-1), MID(O1384, FIND(",", O1384)+2, FIND(",", O1384, FIND(",", O1384)+1)-FIND(",", O1384)-2)), "")</f>
        <v/>
      </c>
      <c r="R1384" s="303" t="str">
        <f>IFERROR(RIGHT(O1384, LEN(O1384)-FIND(",", O1384, FIND(",", O1384)+1)-1), "")</f>
        <v/>
      </c>
      <c r="S1384" s="35" t="str" cm="1">
        <f t="array" ref="S1384">_xlfn.TEXTJOIN(", ",TRUE,_xlfn._xlws.FILTER(Tabla29[[#All],[PARTE]],ISNUMBER(SEARCH(Tabla29[[#All],[PCLAVE3]],Tabla8[[#This Row],[DESCRIPCION DE TRABAJO]])),""))</f>
        <v/>
      </c>
      <c r="T1384" s="34" t="str">
        <f>IF(AND(Tabla8[[#This Row],[PIEZA]]="",Tabla8[[#This Row],[PARTE]]=""),"VACIO","OK")</f>
        <v>OK</v>
      </c>
      <c r="U1384" s="303" t="str">
        <f>+CONCATENATE(WEEKNUM(Tabla8[[#This Row],[FECHA]]),"-",YEAR(Tabla8[[#This Row],[FECHA]]))</f>
        <v>21-2026</v>
      </c>
    </row>
    <row r="1385" spans="1:21" ht="15" customHeight="1">
      <c r="A1385" s="22">
        <v>46161</v>
      </c>
      <c r="B1385" s="16" t="s">
        <v>131</v>
      </c>
      <c r="C1385" s="10" t="s">
        <v>39</v>
      </c>
      <c r="D1385" s="381" t="s">
        <v>1698</v>
      </c>
      <c r="E1385" s="381" t="s">
        <v>167</v>
      </c>
      <c r="F1385" s="380">
        <f>+MOD(Tabla8[[#This Row],[HR. FIN]]-Tabla8[[#This Row],[HR. INICIO]],1)</f>
        <v>1.7361111111111112E-2</v>
      </c>
      <c r="G1385" s="16" t="s">
        <v>182</v>
      </c>
      <c r="H1385" s="343" t="str">
        <f>IFERROR(VLOOKUP(G1385,DATOS!$M$2:$N$219,2,FALSE),"")</f>
        <v>Maquinaria</v>
      </c>
      <c r="I1385" s="115" t="s">
        <v>390</v>
      </c>
      <c r="J1385" s="115" t="s">
        <v>157</v>
      </c>
      <c r="K1385" s="114"/>
      <c r="L1385" s="35" t="s">
        <v>1998</v>
      </c>
      <c r="M1385" s="35" t="s">
        <v>121</v>
      </c>
      <c r="N1385" s="35" t="str" cm="1">
        <f t="array" ref="N1385">IFERROR(IF(Tabla8[[#This Row],[P/NP]]="NO PROGRAMADA","",_xlfn.TEXTJOIN(", ",TRUE,_xlfn._xlws.FILTER(Tabla4[[#All],[PIEZA]],ISNUMBER(SEARCH(Tabla4[[#All],[PCLAVE]],Tabla8[[#This Row],[DESCRIPCION DE TRABAJO]])),""))),"")</f>
        <v/>
      </c>
      <c r="O1385" s="35" t="str" cm="1">
        <f t="array" ref="O1385">_xlfn.TEXTJOIN(", ",TRUE,_xlfn._xlws.FILTER(Tabla28[[#All],[PARTE]],ISNUMBER(SEARCH(Tabla28[[#All],[PCLAVE2]],Tabla8[[#This Row],[DESCRIPCION DE TRABAJO]])),""))</f>
        <v/>
      </c>
      <c r="P1385" s="303" t="str">
        <f>IFERROR(LEFT(O1385, FIND(",", O1385)-1), O1385)</f>
        <v/>
      </c>
      <c r="Q1385" s="303" t="str">
        <f>IFERROR(IF(ISERROR(FIND(",", O1385, FIND(",", O1385)+1)), RIGHT(O1385, LEN(O1385)-FIND(",", O1385)-1), MID(O1385, FIND(",", O1385)+2, FIND(",", O1385, FIND(",", O1385)+1)-FIND(",", O1385)-2)), "")</f>
        <v/>
      </c>
      <c r="R1385" s="303" t="str">
        <f>IFERROR(RIGHT(O1385, LEN(O1385)-FIND(",", O1385, FIND(",", O1385)+1)-1), "")</f>
        <v/>
      </c>
      <c r="S1385" s="35" t="str" cm="1">
        <f t="array" ref="S1385">_xlfn.TEXTJOIN(", ",TRUE,_xlfn._xlws.FILTER(Tabla29[[#All],[PARTE]],ISNUMBER(SEARCH(Tabla29[[#All],[PCLAVE3]],Tabla8[[#This Row],[DESCRIPCION DE TRABAJO]])),""))</f>
        <v/>
      </c>
      <c r="T1385" s="34" t="str">
        <f>IF(AND(Tabla8[[#This Row],[PIEZA]]="",Tabla8[[#This Row],[PARTE]]=""),"VACIO","OK")</f>
        <v>VACIO</v>
      </c>
      <c r="U1385" s="303" t="str">
        <f>+CONCATENATE(WEEKNUM(Tabla8[[#This Row],[FECHA]]),"-",YEAR(Tabla8[[#This Row],[FECHA]]))</f>
        <v>21-2026</v>
      </c>
    </row>
    <row r="1386" spans="1:21" ht="15" customHeight="1">
      <c r="A1386" s="22">
        <v>46161</v>
      </c>
      <c r="B1386" s="16" t="s">
        <v>88</v>
      </c>
      <c r="C1386" s="10" t="s">
        <v>36</v>
      </c>
      <c r="D1386" s="381" t="s">
        <v>1529</v>
      </c>
      <c r="E1386" s="381" t="s">
        <v>1592</v>
      </c>
      <c r="F1386" s="380">
        <f>+MOD(Tabla8[[#This Row],[HR. FIN]]-Tabla8[[#This Row],[HR. INICIO]],1)</f>
        <v>1.7361111111111105E-2</v>
      </c>
      <c r="G1386" s="16" t="s">
        <v>153</v>
      </c>
      <c r="H1386" s="343" t="str">
        <f>IFERROR(VLOOKUP(G1386,DATOS!$M$2:$N$219,2,FALSE),"")</f>
        <v>Maquinaria</v>
      </c>
      <c r="I1386" s="115" t="s">
        <v>186</v>
      </c>
      <c r="J1386" s="115" t="s">
        <v>92</v>
      </c>
      <c r="K1386" s="114" t="s">
        <v>93</v>
      </c>
      <c r="L1386" s="35" t="s">
        <v>2605</v>
      </c>
      <c r="M1386" s="35" t="s">
        <v>2606</v>
      </c>
      <c r="N1386" s="35" t="str" cm="1">
        <f t="array" ref="N1386">IFERROR(IF(Tabla8[[#This Row],[P/NP]]="NO PROGRAMADA","",_xlfn.TEXTJOIN(", ",TRUE,_xlfn._xlws.FILTER(Tabla4[[#All],[PIEZA]],ISNUMBER(SEARCH(Tabla4[[#All],[PCLAVE]],Tabla8[[#This Row],[DESCRIPCION DE TRABAJO]])),""))),"")</f>
        <v/>
      </c>
      <c r="O1386" s="35" t="str" cm="1">
        <f t="array" ref="O1386">_xlfn.TEXTJOIN(", ",TRUE,_xlfn._xlws.FILTER(Tabla28[[#All],[PARTE]],ISNUMBER(SEARCH(Tabla28[[#All],[PCLAVE2]],Tabla8[[#This Row],[DESCRIPCION DE TRABAJO]])),""))</f>
        <v/>
      </c>
      <c r="P1386" s="303" t="str">
        <f>IFERROR(LEFT(O1386, FIND(",", O1386)-1), O1386)</f>
        <v/>
      </c>
      <c r="Q1386" s="303" t="str">
        <f>IFERROR(IF(ISERROR(FIND(",", O1386, FIND(",", O1386)+1)), RIGHT(O1386, LEN(O1386)-FIND(",", O1386)-1), MID(O1386, FIND(",", O1386)+2, FIND(",", O1386, FIND(",", O1386)+1)-FIND(",", O1386)-2)), "")</f>
        <v/>
      </c>
      <c r="R1386" s="303" t="str">
        <f>IFERROR(RIGHT(O1386, LEN(O1386)-FIND(",", O1386, FIND(",", O1386)+1)-1), "")</f>
        <v/>
      </c>
      <c r="S1386" s="35" t="str" cm="1">
        <f t="array" ref="S1386">_xlfn.TEXTJOIN(", ",TRUE,_xlfn._xlws.FILTER(Tabla29[[#All],[PARTE]],ISNUMBER(SEARCH(Tabla29[[#All],[PCLAVE3]],Tabla8[[#This Row],[DESCRIPCION DE TRABAJO]])),""))</f>
        <v>Colision</v>
      </c>
      <c r="T1386" s="34" t="str">
        <f>IF(AND(Tabla8[[#This Row],[PIEZA]]="",Tabla8[[#This Row],[PARTE]]=""),"VACIO","OK")</f>
        <v>VACIO</v>
      </c>
      <c r="U1386" s="303" t="str">
        <f>+CONCATENATE(WEEKNUM(Tabla8[[#This Row],[FECHA]]),"-",YEAR(Tabla8[[#This Row],[FECHA]]))</f>
        <v>21-2026</v>
      </c>
    </row>
    <row r="1387" spans="1:21" ht="15" customHeight="1">
      <c r="A1387" s="22">
        <v>46161</v>
      </c>
      <c r="B1387" s="16" t="s">
        <v>191</v>
      </c>
      <c r="C1387" s="10" t="s">
        <v>36</v>
      </c>
      <c r="D1387" s="381" t="s">
        <v>2115</v>
      </c>
      <c r="E1387" s="381" t="s">
        <v>934</v>
      </c>
      <c r="F1387" s="380">
        <f>+MOD(Tabla8[[#This Row],[HR. FIN]]-Tabla8[[#This Row],[HR. INICIO]],1)</f>
        <v>1.7361111111111105E-2</v>
      </c>
      <c r="G1387" s="16" t="s">
        <v>215</v>
      </c>
      <c r="H1387" s="343" t="str">
        <f>IFERROR(VLOOKUP(G1387,DATOS!$M$2:$N$219,2,FALSE),"")</f>
        <v>Equipos auxiliares</v>
      </c>
      <c r="I1387" s="115" t="s">
        <v>54</v>
      </c>
      <c r="J1387" s="115" t="s">
        <v>157</v>
      </c>
      <c r="K1387" s="114"/>
      <c r="L1387" s="35" t="s">
        <v>248</v>
      </c>
      <c r="M1387" s="35" t="s">
        <v>121</v>
      </c>
      <c r="N1387" s="35" t="str" cm="1">
        <f t="array" ref="N1387">IFERROR(IF(Tabla8[[#This Row],[P/NP]]="NO PROGRAMADA","",_xlfn.TEXTJOIN(", ",TRUE,_xlfn._xlws.FILTER(Tabla4[[#All],[PIEZA]],ISNUMBER(SEARCH(Tabla4[[#All],[PCLAVE]],Tabla8[[#This Row],[DESCRIPCION DE TRABAJO]])),""))),"")</f>
        <v/>
      </c>
      <c r="O1387" s="35" t="str" cm="1">
        <f t="array" ref="O1387">_xlfn.TEXTJOIN(", ",TRUE,_xlfn._xlws.FILTER(Tabla28[[#All],[PARTE]],ISNUMBER(SEARCH(Tabla28[[#All],[PCLAVE2]],Tabla8[[#This Row],[DESCRIPCION DE TRABAJO]])),""))</f>
        <v/>
      </c>
      <c r="P1387" s="303" t="str">
        <f>IFERROR(LEFT(O1387, FIND(",", O1387)-1), O1387)</f>
        <v/>
      </c>
      <c r="Q1387" s="303" t="str">
        <f>IFERROR(IF(ISERROR(FIND(",", O1387, FIND(",", O1387)+1)), RIGHT(O1387, LEN(O1387)-FIND(",", O1387)-1), MID(O1387, FIND(",", O1387)+2, FIND(",", O1387, FIND(",", O1387)+1)-FIND(",", O1387)-2)), "")</f>
        <v/>
      </c>
      <c r="R1387" s="303" t="str">
        <f>IFERROR(RIGHT(O1387, LEN(O1387)-FIND(",", O1387, FIND(",", O1387)+1)-1), "")</f>
        <v/>
      </c>
      <c r="S1387" s="35" t="str" cm="1">
        <f t="array" ref="S1387">_xlfn.TEXTJOIN(", ",TRUE,_xlfn._xlws.FILTER(Tabla29[[#All],[PARTE]],ISNUMBER(SEARCH(Tabla29[[#All],[PCLAVE3]],Tabla8[[#This Row],[DESCRIPCION DE TRABAJO]])),""))</f>
        <v/>
      </c>
      <c r="T1387" s="34" t="str">
        <f>IF(AND(Tabla8[[#This Row],[PIEZA]]="",Tabla8[[#This Row],[PARTE]]=""),"VACIO","OK")</f>
        <v>VACIO</v>
      </c>
      <c r="U1387" s="303" t="str">
        <f>+CONCATENATE(WEEKNUM(Tabla8[[#This Row],[FECHA]]),"-",YEAR(Tabla8[[#This Row],[FECHA]]))</f>
        <v>21-2026</v>
      </c>
    </row>
    <row r="1388" spans="1:21" ht="15" customHeight="1">
      <c r="A1388" s="22">
        <v>46161</v>
      </c>
      <c r="B1388" s="16" t="s">
        <v>191</v>
      </c>
      <c r="C1388" s="10" t="s">
        <v>36</v>
      </c>
      <c r="D1388" s="381" t="s">
        <v>90</v>
      </c>
      <c r="E1388" s="381" t="s">
        <v>523</v>
      </c>
      <c r="F1388" s="380">
        <f>+MOD(Tabla8[[#This Row],[HR. FIN]]-Tabla8[[#This Row],[HR. INICIO]],1)</f>
        <v>1.7361111111111105E-2</v>
      </c>
      <c r="G1388" s="16" t="s">
        <v>24</v>
      </c>
      <c r="H1388" s="343" t="str">
        <f>IFERROR(VLOOKUP(G1388,DATOS!$M$2:$N$219,2,FALSE),"")</f>
        <v>Maquinaria</v>
      </c>
      <c r="I1388" s="115" t="s">
        <v>32</v>
      </c>
      <c r="J1388" s="115" t="s">
        <v>157</v>
      </c>
      <c r="K1388" s="114"/>
      <c r="L1388" s="35" t="s">
        <v>2607</v>
      </c>
      <c r="M1388" s="35" t="s">
        <v>121</v>
      </c>
      <c r="N1388" s="35" t="str" cm="1">
        <f t="array" ref="N1388">IFERROR(IF(Tabla8[[#This Row],[P/NP]]="NO PROGRAMADA","",_xlfn.TEXTJOIN(", ",TRUE,_xlfn._xlws.FILTER(Tabla4[[#All],[PIEZA]],ISNUMBER(SEARCH(Tabla4[[#All],[PCLAVE]],Tabla8[[#This Row],[DESCRIPCION DE TRABAJO]])),""))),"")</f>
        <v/>
      </c>
      <c r="O1388" s="35" t="str" cm="1">
        <f t="array" ref="O1388">_xlfn.TEXTJOIN(", ",TRUE,_xlfn._xlws.FILTER(Tabla28[[#All],[PARTE]],ISNUMBER(SEARCH(Tabla28[[#All],[PCLAVE2]],Tabla8[[#This Row],[DESCRIPCION DE TRABAJO]])),""))</f>
        <v/>
      </c>
      <c r="P1388" s="303" t="str">
        <f>IFERROR(LEFT(O1388, FIND(",", O1388)-1), O1388)</f>
        <v/>
      </c>
      <c r="Q1388" s="303" t="str">
        <f>IFERROR(IF(ISERROR(FIND(",", O1388, FIND(",", O1388)+1)), RIGHT(O1388, LEN(O1388)-FIND(",", O1388)-1), MID(O1388, FIND(",", O1388)+2, FIND(",", O1388, FIND(",", O1388)+1)-FIND(",", O1388)-2)), "")</f>
        <v/>
      </c>
      <c r="R1388" s="303" t="str">
        <f>IFERROR(RIGHT(O1388, LEN(O1388)-FIND(",", O1388, FIND(",", O1388)+1)-1), "")</f>
        <v/>
      </c>
      <c r="S1388" s="35" t="str" cm="1">
        <f t="array" ref="S1388">_xlfn.TEXTJOIN(", ",TRUE,_xlfn._xlws.FILTER(Tabla29[[#All],[PARTE]],ISNUMBER(SEARCH(Tabla29[[#All],[PCLAVE3]],Tabla8[[#This Row],[DESCRIPCION DE TRABAJO]])),""))</f>
        <v/>
      </c>
      <c r="T1388" s="34" t="str">
        <f>IF(AND(Tabla8[[#This Row],[PIEZA]]="",Tabla8[[#This Row],[PARTE]]=""),"VACIO","OK")</f>
        <v>VACIO</v>
      </c>
      <c r="U1388" s="303" t="str">
        <f>+CONCATENATE(WEEKNUM(Tabla8[[#This Row],[FECHA]]),"-",YEAR(Tabla8[[#This Row],[FECHA]]))</f>
        <v>21-2026</v>
      </c>
    </row>
    <row r="1389" spans="1:21" ht="15" customHeight="1">
      <c r="A1389" s="22">
        <v>46161</v>
      </c>
      <c r="B1389" s="16" t="s">
        <v>131</v>
      </c>
      <c r="C1389" s="10" t="s">
        <v>39</v>
      </c>
      <c r="D1389" s="381" t="s">
        <v>171</v>
      </c>
      <c r="E1389" s="381" t="s">
        <v>117</v>
      </c>
      <c r="F1389" s="380">
        <f>+MOD(Tabla8[[#This Row],[HR. FIN]]-Tabla8[[#This Row],[HR. INICIO]],1)</f>
        <v>1.7361111111111049E-2</v>
      </c>
      <c r="G1389" s="16" t="s">
        <v>119</v>
      </c>
      <c r="H1389" s="343" t="str">
        <f>IFERROR(VLOOKUP(G1389,DATOS!$M$2:$N$219,2,FALSE),"")</f>
        <v>Maquinaria</v>
      </c>
      <c r="I1389" s="115" t="s">
        <v>32</v>
      </c>
      <c r="J1389" s="115" t="s">
        <v>157</v>
      </c>
      <c r="K1389" s="114"/>
      <c r="L1389" s="35" t="s">
        <v>2608</v>
      </c>
      <c r="M1389" s="35" t="s">
        <v>121</v>
      </c>
      <c r="N1389" s="35" t="str" cm="1">
        <f t="array" ref="N1389">IFERROR(IF(Tabla8[[#This Row],[P/NP]]="NO PROGRAMADA","",_xlfn.TEXTJOIN(", ",TRUE,_xlfn._xlws.FILTER(Tabla4[[#All],[PIEZA]],ISNUMBER(SEARCH(Tabla4[[#All],[PCLAVE]],Tabla8[[#This Row],[DESCRIPCION DE TRABAJO]])),""))),"")</f>
        <v/>
      </c>
      <c r="O1389" s="35" t="str" cm="1">
        <f t="array" ref="O1389">_xlfn.TEXTJOIN(", ",TRUE,_xlfn._xlws.FILTER(Tabla28[[#All],[PARTE]],ISNUMBER(SEARCH(Tabla28[[#All],[PCLAVE2]],Tabla8[[#This Row],[DESCRIPCION DE TRABAJO]])),""))</f>
        <v>Mds</v>
      </c>
      <c r="P1389" s="303" t="str">
        <f>IFERROR(LEFT(O1389, FIND(",", O1389)-1), O1389)</f>
        <v>Mds</v>
      </c>
      <c r="Q1389" s="303" t="str">
        <f>IFERROR(IF(ISERROR(FIND(",", O1389, FIND(",", O1389)+1)), RIGHT(O1389, LEN(O1389)-FIND(",", O1389)-1), MID(O1389, FIND(",", O1389)+2, FIND(",", O1389, FIND(",", O1389)+1)-FIND(",", O1389)-2)), "")</f>
        <v/>
      </c>
      <c r="R1389" s="303" t="str">
        <f>IFERROR(RIGHT(O1389, LEN(O1389)-FIND(",", O1389, FIND(",", O1389)+1)-1), "")</f>
        <v/>
      </c>
      <c r="S1389" s="35" t="str" cm="1">
        <f t="array" ref="S1389">_xlfn.TEXTJOIN(", ",TRUE,_xlfn._xlws.FILTER(Tabla29[[#All],[PARTE]],ISNUMBER(SEARCH(Tabla29[[#All],[PCLAVE3]],Tabla8[[#This Row],[DESCRIPCION DE TRABAJO]])),""))</f>
        <v/>
      </c>
      <c r="T1389" s="34" t="str">
        <f>IF(AND(Tabla8[[#This Row],[PIEZA]]="",Tabla8[[#This Row],[PARTE]]=""),"VACIO","OK")</f>
        <v>OK</v>
      </c>
      <c r="U1389" s="303" t="str">
        <f>+CONCATENATE(WEEKNUM(Tabla8[[#This Row],[FECHA]]),"-",YEAR(Tabla8[[#This Row],[FECHA]]))</f>
        <v>21-2026</v>
      </c>
    </row>
    <row r="1390" spans="1:21" ht="15" customHeight="1">
      <c r="A1390" s="22">
        <v>46161</v>
      </c>
      <c r="B1390" s="16" t="s">
        <v>131</v>
      </c>
      <c r="C1390" s="10" t="s">
        <v>39</v>
      </c>
      <c r="D1390" s="381" t="s">
        <v>421</v>
      </c>
      <c r="E1390" s="381" t="s">
        <v>2609</v>
      </c>
      <c r="F1390" s="380">
        <f>+MOD(Tabla8[[#This Row],[HR. FIN]]-Tabla8[[#This Row],[HR. INICIO]],1)</f>
        <v>1.5972222222222165E-2</v>
      </c>
      <c r="G1390" s="16" t="s">
        <v>1305</v>
      </c>
      <c r="H1390" s="343" t="str">
        <f>IFERROR(VLOOKUP(G1390,DATOS!$M$2:$N$219,2,FALSE),"")</f>
        <v>Area</v>
      </c>
      <c r="I1390" s="115" t="s">
        <v>32</v>
      </c>
      <c r="J1390" s="115" t="s">
        <v>157</v>
      </c>
      <c r="K1390" s="114"/>
      <c r="L1390" s="35" t="s">
        <v>2610</v>
      </c>
      <c r="M1390" s="35" t="s">
        <v>121</v>
      </c>
      <c r="N1390" s="35" t="str" cm="1">
        <f t="array" ref="N1390">IFERROR(IF(Tabla8[[#This Row],[P/NP]]="NO PROGRAMADA","",_xlfn.TEXTJOIN(", ",TRUE,_xlfn._xlws.FILTER(Tabla4[[#All],[PIEZA]],ISNUMBER(SEARCH(Tabla4[[#All],[PCLAVE]],Tabla8[[#This Row],[DESCRIPCION DE TRABAJO]])),""))),"")</f>
        <v>Iman</v>
      </c>
      <c r="O1390" s="35" t="str" cm="1">
        <f t="array" ref="O1390">_xlfn.TEXTJOIN(", ",TRUE,_xlfn._xlws.FILTER(Tabla28[[#All],[PARTE]],ISNUMBER(SEARCH(Tabla28[[#All],[PCLAVE2]],Tabla8[[#This Row],[DESCRIPCION DE TRABAJO]])),""))</f>
        <v/>
      </c>
      <c r="P1390" s="303" t="str">
        <f>IFERROR(LEFT(O1390, FIND(",", O1390)-1), O1390)</f>
        <v/>
      </c>
      <c r="Q1390" s="303" t="str">
        <f>IFERROR(IF(ISERROR(FIND(",", O1390, FIND(",", O1390)+1)), RIGHT(O1390, LEN(O1390)-FIND(",", O1390)-1), MID(O1390, FIND(",", O1390)+2, FIND(",", O1390, FIND(",", O1390)+1)-FIND(",", O1390)-2)), "")</f>
        <v/>
      </c>
      <c r="R1390" s="303" t="str">
        <f>IFERROR(RIGHT(O1390, LEN(O1390)-FIND(",", O1390, FIND(",", O1390)+1)-1), "")</f>
        <v/>
      </c>
      <c r="S1390" s="35" t="str" cm="1">
        <f t="array" ref="S1390">_xlfn.TEXTJOIN(", ",TRUE,_xlfn._xlws.FILTER(Tabla29[[#All],[PARTE]],ISNUMBER(SEARCH(Tabla29[[#All],[PCLAVE3]],Tabla8[[#This Row],[DESCRIPCION DE TRABAJO]])),""))</f>
        <v/>
      </c>
      <c r="T1390" s="34" t="str">
        <f>IF(AND(Tabla8[[#This Row],[PIEZA]]="",Tabla8[[#This Row],[PARTE]]=""),"VACIO","OK")</f>
        <v>OK</v>
      </c>
      <c r="U1390" s="303" t="str">
        <f>+CONCATENATE(WEEKNUM(Tabla8[[#This Row],[FECHA]]),"-",YEAR(Tabla8[[#This Row],[FECHA]]))</f>
        <v>21-2026</v>
      </c>
    </row>
    <row r="1391" spans="1:21" ht="15" customHeight="1">
      <c r="A1391" s="22">
        <v>46161</v>
      </c>
      <c r="B1391" s="16" t="s">
        <v>88</v>
      </c>
      <c r="C1391" s="10" t="s">
        <v>36</v>
      </c>
      <c r="D1391" s="381" t="s">
        <v>2252</v>
      </c>
      <c r="E1391" s="381" t="s">
        <v>96</v>
      </c>
      <c r="F1391" s="380">
        <f>+MOD(Tabla8[[#This Row],[HR. FIN]]-Tabla8[[#This Row],[HR. INICIO]],1)</f>
        <v>1.3888888888888895E-2</v>
      </c>
      <c r="G1391" s="16" t="s">
        <v>31</v>
      </c>
      <c r="H1391" s="343" t="str">
        <f>IFERROR(VLOOKUP(G1391,DATOS!$M$2:$N$219,2,FALSE),"")</f>
        <v>Maquinaria</v>
      </c>
      <c r="I1391" s="115" t="s">
        <v>390</v>
      </c>
      <c r="J1391" s="115" t="s">
        <v>157</v>
      </c>
      <c r="K1391" s="114"/>
      <c r="L1391" s="35" t="s">
        <v>1040</v>
      </c>
      <c r="M1391" s="35" t="s">
        <v>341</v>
      </c>
      <c r="N1391" s="35" t="str" cm="1">
        <f t="array" ref="N1391">IFERROR(IF(Tabla8[[#This Row],[P/NP]]="NO PROGRAMADA","",_xlfn.TEXTJOIN(", ",TRUE,_xlfn._xlws.FILTER(Tabla4[[#All],[PIEZA]],ISNUMBER(SEARCH(Tabla4[[#All],[PCLAVE]],Tabla8[[#This Row],[DESCRIPCION DE TRABAJO]])),""))),"")</f>
        <v/>
      </c>
      <c r="O1391" s="35" t="str" cm="1">
        <f t="array" ref="O1391">_xlfn.TEXTJOIN(", ",TRUE,_xlfn._xlws.FILTER(Tabla28[[#All],[PARTE]],ISNUMBER(SEARCH(Tabla28[[#All],[PCLAVE2]],Tabla8[[#This Row],[DESCRIPCION DE TRABAJO]])),""))</f>
        <v/>
      </c>
      <c r="P1391" s="303" t="str">
        <f>IFERROR(LEFT(O1391, FIND(",", O1391)-1), O1391)</f>
        <v/>
      </c>
      <c r="Q1391" s="303" t="str">
        <f>IFERROR(IF(ISERROR(FIND(",", O1391, FIND(",", O1391)+1)), RIGHT(O1391, LEN(O1391)-FIND(",", O1391)-1), MID(O1391, FIND(",", O1391)+2, FIND(",", O1391, FIND(",", O1391)+1)-FIND(",", O1391)-2)), "")</f>
        <v/>
      </c>
      <c r="R1391" s="303" t="str">
        <f>IFERROR(RIGHT(O1391, LEN(O1391)-FIND(",", O1391, FIND(",", O1391)+1)-1), "")</f>
        <v/>
      </c>
      <c r="S1391" s="35" t="str" cm="1">
        <f t="array" ref="S1391">_xlfn.TEXTJOIN(", ",TRUE,_xlfn._xlws.FILTER(Tabla29[[#All],[PARTE]],ISNUMBER(SEARCH(Tabla29[[#All],[PCLAVE3]],Tabla8[[#This Row],[DESCRIPCION DE TRABAJO]])),""))</f>
        <v/>
      </c>
      <c r="T1391" s="34" t="str">
        <f>IF(AND(Tabla8[[#This Row],[PIEZA]]="",Tabla8[[#This Row],[PARTE]]=""),"VACIO","OK")</f>
        <v>VACIO</v>
      </c>
      <c r="U1391" s="303" t="str">
        <f>+CONCATENATE(WEEKNUM(Tabla8[[#This Row],[FECHA]]),"-",YEAR(Tabla8[[#This Row],[FECHA]]))</f>
        <v>21-2026</v>
      </c>
    </row>
    <row r="1392" spans="1:21" ht="15" customHeight="1">
      <c r="A1392" s="22">
        <v>46161</v>
      </c>
      <c r="B1392" s="16" t="s">
        <v>88</v>
      </c>
      <c r="C1392" s="10" t="s">
        <v>36</v>
      </c>
      <c r="D1392" s="381" t="s">
        <v>106</v>
      </c>
      <c r="E1392" s="381" t="s">
        <v>468</v>
      </c>
      <c r="F1392" s="380">
        <f>+MOD(Tabla8[[#This Row],[HR. FIN]]-Tabla8[[#This Row],[HR. INICIO]],1)</f>
        <v>1.388888888888884E-2</v>
      </c>
      <c r="G1392" s="16" t="s">
        <v>31</v>
      </c>
      <c r="H1392" s="343" t="str">
        <f>IFERROR(VLOOKUP(G1392,DATOS!$M$2:$N$219,2,FALSE),"")</f>
        <v>Maquinaria</v>
      </c>
      <c r="I1392" s="115" t="s">
        <v>390</v>
      </c>
      <c r="J1392" s="115" t="s">
        <v>157</v>
      </c>
      <c r="K1392" s="114"/>
      <c r="L1392" s="35" t="s">
        <v>257</v>
      </c>
      <c r="M1392" s="35" t="s">
        <v>2611</v>
      </c>
      <c r="N1392" s="35" t="str" cm="1">
        <f t="array" ref="N1392">IFERROR(IF(Tabla8[[#This Row],[P/NP]]="NO PROGRAMADA","",_xlfn.TEXTJOIN(", ",TRUE,_xlfn._xlws.FILTER(Tabla4[[#All],[PIEZA]],ISNUMBER(SEARCH(Tabla4[[#All],[PCLAVE]],Tabla8[[#This Row],[DESCRIPCION DE TRABAJO]])),""))),"")</f>
        <v/>
      </c>
      <c r="O1392" s="35" t="str" cm="1">
        <f t="array" ref="O1392">_xlfn.TEXTJOIN(", ",TRUE,_xlfn._xlws.FILTER(Tabla28[[#All],[PARTE]],ISNUMBER(SEARCH(Tabla28[[#All],[PCLAVE2]],Tabla8[[#This Row],[DESCRIPCION DE TRABAJO]])),""))</f>
        <v/>
      </c>
      <c r="P1392" s="303" t="str">
        <f>IFERROR(LEFT(O1392, FIND(",", O1392)-1), O1392)</f>
        <v/>
      </c>
      <c r="Q1392" s="303" t="str">
        <f>IFERROR(IF(ISERROR(FIND(",", O1392, FIND(",", O1392)+1)), RIGHT(O1392, LEN(O1392)-FIND(",", O1392)-1), MID(O1392, FIND(",", O1392)+2, FIND(",", O1392, FIND(",", O1392)+1)-FIND(",", O1392)-2)), "")</f>
        <v/>
      </c>
      <c r="R1392" s="303" t="str">
        <f>IFERROR(RIGHT(O1392, LEN(O1392)-FIND(",", O1392, FIND(",", O1392)+1)-1), "")</f>
        <v/>
      </c>
      <c r="S1392" s="35" t="str" cm="1">
        <f t="array" ref="S1392">_xlfn.TEXTJOIN(", ",TRUE,_xlfn._xlws.FILTER(Tabla29[[#All],[PARTE]],ISNUMBER(SEARCH(Tabla29[[#All],[PCLAVE3]],Tabla8[[#This Row],[DESCRIPCION DE TRABAJO]])),""))</f>
        <v/>
      </c>
      <c r="T1392" s="34" t="str">
        <f>IF(AND(Tabla8[[#This Row],[PIEZA]]="",Tabla8[[#This Row],[PARTE]]=""),"VACIO","OK")</f>
        <v>VACIO</v>
      </c>
      <c r="U1392" s="303" t="str">
        <f>+CONCATENATE(WEEKNUM(Tabla8[[#This Row],[FECHA]]),"-",YEAR(Tabla8[[#This Row],[FECHA]]))</f>
        <v>21-2026</v>
      </c>
    </row>
    <row r="1393" spans="1:21" ht="15" customHeight="1">
      <c r="A1393" s="22">
        <v>46161</v>
      </c>
      <c r="B1393" s="16" t="s">
        <v>131</v>
      </c>
      <c r="C1393" s="10" t="s">
        <v>39</v>
      </c>
      <c r="D1393" s="381" t="s">
        <v>2612</v>
      </c>
      <c r="E1393" s="381" t="s">
        <v>2613</v>
      </c>
      <c r="F1393" s="380">
        <f>+MOD(Tabla8[[#This Row],[HR. FIN]]-Tabla8[[#This Row],[HR. INICIO]],1)</f>
        <v>1.3194444444444425E-2</v>
      </c>
      <c r="G1393" s="16" t="s">
        <v>119</v>
      </c>
      <c r="H1393" s="343" t="str">
        <f>IFERROR(VLOOKUP(G1393,DATOS!$M$2:$N$219,2,FALSE),"")</f>
        <v>Maquinaria</v>
      </c>
      <c r="I1393" s="115" t="s">
        <v>32</v>
      </c>
      <c r="J1393" s="115" t="s">
        <v>157</v>
      </c>
      <c r="K1393" s="114"/>
      <c r="L1393" s="35" t="s">
        <v>2614</v>
      </c>
      <c r="M1393" s="35" t="s">
        <v>2615</v>
      </c>
      <c r="N1393" s="35" t="str" cm="1">
        <f t="array" ref="N1393">IFERROR(IF(Tabla8[[#This Row],[P/NP]]="NO PROGRAMADA","",_xlfn.TEXTJOIN(", ",TRUE,_xlfn._xlws.FILTER(Tabla4[[#All],[PIEZA]],ISNUMBER(SEARCH(Tabla4[[#All],[PCLAVE]],Tabla8[[#This Row],[DESCRIPCION DE TRABAJO]])),""))),"")</f>
        <v/>
      </c>
      <c r="O1393" s="35" t="str" cm="1">
        <f t="array" ref="O1393">_xlfn.TEXTJOIN(", ",TRUE,_xlfn._xlws.FILTER(Tabla28[[#All],[PARTE]],ISNUMBER(SEARCH(Tabla28[[#All],[PCLAVE2]],Tabla8[[#This Row],[DESCRIPCION DE TRABAJO]])),""))</f>
        <v/>
      </c>
      <c r="P1393" s="303" t="str">
        <f>IFERROR(LEFT(O1393, FIND(",", O1393)-1), O1393)</f>
        <v/>
      </c>
      <c r="Q1393" s="303" t="str">
        <f>IFERROR(IF(ISERROR(FIND(",", O1393, FIND(",", O1393)+1)), RIGHT(O1393, LEN(O1393)-FIND(",", O1393)-1), MID(O1393, FIND(",", O1393)+2, FIND(",", O1393, FIND(",", O1393)+1)-FIND(",", O1393)-2)), "")</f>
        <v/>
      </c>
      <c r="R1393" s="303" t="str">
        <f>IFERROR(RIGHT(O1393, LEN(O1393)-FIND(",", O1393, FIND(",", O1393)+1)-1), "")</f>
        <v/>
      </c>
      <c r="S1393" s="35" t="str" cm="1">
        <f t="array" ref="S1393">_xlfn.TEXTJOIN(", ",TRUE,_xlfn._xlws.FILTER(Tabla29[[#All],[PARTE]],ISNUMBER(SEARCH(Tabla29[[#All],[PCLAVE3]],Tabla8[[#This Row],[DESCRIPCION DE TRABAJO]])),""))</f>
        <v>Cambio De Formato</v>
      </c>
      <c r="T1393" s="34" t="str">
        <f>IF(AND(Tabla8[[#This Row],[PIEZA]]="",Tabla8[[#This Row],[PARTE]]=""),"VACIO","OK")</f>
        <v>VACIO</v>
      </c>
      <c r="U1393" s="303" t="str">
        <f>+CONCATENATE(WEEKNUM(Tabla8[[#This Row],[FECHA]]),"-",YEAR(Tabla8[[#This Row],[FECHA]]))</f>
        <v>21-2026</v>
      </c>
    </row>
    <row r="1394" spans="1:21" ht="15" customHeight="1">
      <c r="A1394" s="22">
        <v>46161</v>
      </c>
      <c r="B1394" s="16" t="s">
        <v>131</v>
      </c>
      <c r="C1394" s="10" t="s">
        <v>39</v>
      </c>
      <c r="D1394" s="381" t="s">
        <v>422</v>
      </c>
      <c r="E1394" s="381" t="s">
        <v>1271</v>
      </c>
      <c r="F1394" s="380">
        <f>+MOD(Tabla8[[#This Row],[HR. FIN]]-Tabla8[[#This Row],[HR. INICIO]],1)</f>
        <v>1.3194444444444398E-2</v>
      </c>
      <c r="G1394" s="16" t="s">
        <v>182</v>
      </c>
      <c r="H1394" s="343" t="str">
        <f>IFERROR(VLOOKUP(G1394,DATOS!$M$2:$N$219,2,FALSE),"")</f>
        <v>Maquinaria</v>
      </c>
      <c r="I1394" s="115" t="s">
        <v>57</v>
      </c>
      <c r="J1394" s="115" t="s">
        <v>92</v>
      </c>
      <c r="K1394" s="114" t="s">
        <v>93</v>
      </c>
      <c r="L1394" s="35" t="s">
        <v>2616</v>
      </c>
      <c r="M1394" s="35" t="s">
        <v>2617</v>
      </c>
      <c r="N1394" s="35" t="str" cm="1">
        <f t="array" ref="N1394">IFERROR(IF(Tabla8[[#This Row],[P/NP]]="NO PROGRAMADA","",_xlfn.TEXTJOIN(", ",TRUE,_xlfn._xlws.FILTER(Tabla4[[#All],[PIEZA]],ISNUMBER(SEARCH(Tabla4[[#All],[PCLAVE]],Tabla8[[#This Row],[DESCRIPCION DE TRABAJO]])),""))),"")</f>
        <v/>
      </c>
      <c r="O1394" s="35" t="str" cm="1">
        <f t="array" ref="O1394">_xlfn.TEXTJOIN(", ",TRUE,_xlfn._xlws.FILTER(Tabla28[[#All],[PARTE]],ISNUMBER(SEARCH(Tabla28[[#All],[PCLAVE2]],Tabla8[[#This Row],[DESCRIPCION DE TRABAJO]])),""))</f>
        <v/>
      </c>
      <c r="P1394" s="303" t="str">
        <f>IFERROR(LEFT(O1394, FIND(",", O1394)-1), O1394)</f>
        <v/>
      </c>
      <c r="Q1394" s="303" t="str">
        <f>IFERROR(IF(ISERROR(FIND(",", O1394, FIND(",", O1394)+1)), RIGHT(O1394, LEN(O1394)-FIND(",", O1394)-1), MID(O1394, FIND(",", O1394)+2, FIND(",", O1394, FIND(",", O1394)+1)-FIND(",", O1394)-2)), "")</f>
        <v/>
      </c>
      <c r="R1394" s="303" t="str">
        <f>IFERROR(RIGHT(O1394, LEN(O1394)-FIND(",", O1394, FIND(",", O1394)+1)-1), "")</f>
        <v/>
      </c>
      <c r="S1394" s="35" t="str" cm="1">
        <f t="array" ref="S1394">_xlfn.TEXTJOIN(", ",TRUE,_xlfn._xlws.FILTER(Tabla29[[#All],[PARTE]],ISNUMBER(SEARCH(Tabla29[[#All],[PCLAVE3]],Tabla8[[#This Row],[DESCRIPCION DE TRABAJO]])),""))</f>
        <v>Sellado</v>
      </c>
      <c r="T1394" s="34" t="str">
        <f>IF(AND(Tabla8[[#This Row],[PIEZA]]="",Tabla8[[#This Row],[PARTE]]=""),"VACIO","OK")</f>
        <v>VACIO</v>
      </c>
      <c r="U1394" s="303" t="str">
        <f>+CONCATENATE(WEEKNUM(Tabla8[[#This Row],[FECHA]]),"-",YEAR(Tabla8[[#This Row],[FECHA]]))</f>
        <v>21-2026</v>
      </c>
    </row>
    <row r="1395" spans="1:21" ht="15" customHeight="1">
      <c r="A1395" s="22">
        <v>46161</v>
      </c>
      <c r="B1395" s="16" t="s">
        <v>191</v>
      </c>
      <c r="C1395" s="10" t="s">
        <v>36</v>
      </c>
      <c r="D1395" s="381" t="s">
        <v>856</v>
      </c>
      <c r="E1395" s="381" t="s">
        <v>2564</v>
      </c>
      <c r="F1395" s="380">
        <f>+MOD(Tabla8[[#This Row],[HR. FIN]]-Tabla8[[#This Row],[HR. INICIO]],1)</f>
        <v>1.2500000000000011E-2</v>
      </c>
      <c r="G1395" s="16" t="s">
        <v>31</v>
      </c>
      <c r="H1395" s="343" t="str">
        <f>IFERROR(VLOOKUP(G1395,DATOS!$M$2:$N$219,2,FALSE),"")</f>
        <v>Maquinaria</v>
      </c>
      <c r="I1395" s="115" t="s">
        <v>57</v>
      </c>
      <c r="J1395" s="115" t="s">
        <v>157</v>
      </c>
      <c r="K1395" s="114"/>
      <c r="L1395" s="35" t="s">
        <v>2618</v>
      </c>
      <c r="M1395" s="35" t="s">
        <v>121</v>
      </c>
      <c r="N1395" s="35" t="str" cm="1">
        <f t="array" ref="N1395">IFERROR(IF(Tabla8[[#This Row],[P/NP]]="NO PROGRAMADA","",_xlfn.TEXTJOIN(", ",TRUE,_xlfn._xlws.FILTER(Tabla4[[#All],[PIEZA]],ISNUMBER(SEARCH(Tabla4[[#All],[PCLAVE]],Tabla8[[#This Row],[DESCRIPCION DE TRABAJO]])),""))),"")</f>
        <v>Laminado</v>
      </c>
      <c r="O1395" s="35" t="str" cm="1">
        <f t="array" ref="O1395">_xlfn.TEXTJOIN(", ",TRUE,_xlfn._xlws.FILTER(Tabla28[[#All],[PARTE]],ISNUMBER(SEARCH(Tabla28[[#All],[PCLAVE2]],Tabla8[[#This Row],[DESCRIPCION DE TRABAJO]])),""))</f>
        <v/>
      </c>
      <c r="P1395" s="303" t="str">
        <f>IFERROR(LEFT(O1395, FIND(",", O1395)-1), O1395)</f>
        <v/>
      </c>
      <c r="Q1395" s="303" t="str">
        <f>IFERROR(IF(ISERROR(FIND(",", O1395, FIND(",", O1395)+1)), RIGHT(O1395, LEN(O1395)-FIND(",", O1395)-1), MID(O1395, FIND(",", O1395)+2, FIND(",", O1395, FIND(",", O1395)+1)-FIND(",", O1395)-2)), "")</f>
        <v/>
      </c>
      <c r="R1395" s="303" t="str">
        <f>IFERROR(RIGHT(O1395, LEN(O1395)-FIND(",", O1395, FIND(",", O1395)+1)-1), "")</f>
        <v/>
      </c>
      <c r="S1395" s="35" t="str" cm="1">
        <f t="array" ref="S1395">_xlfn.TEXTJOIN(", ",TRUE,_xlfn._xlws.FILTER(Tabla29[[#All],[PARTE]],ISNUMBER(SEARCH(Tabla29[[#All],[PCLAVE3]],Tabla8[[#This Row],[DESCRIPCION DE TRABAJO]])),""))</f>
        <v>Calibracion, Falla De Presion, Laminado</v>
      </c>
      <c r="T1395" s="34" t="str">
        <f>IF(AND(Tabla8[[#This Row],[PIEZA]]="",Tabla8[[#This Row],[PARTE]]=""),"VACIO","OK")</f>
        <v>OK</v>
      </c>
      <c r="U1395" s="303" t="str">
        <f>+CONCATENATE(WEEKNUM(Tabla8[[#This Row],[FECHA]]),"-",YEAR(Tabla8[[#This Row],[FECHA]]))</f>
        <v>21-2026</v>
      </c>
    </row>
    <row r="1396" spans="1:21" ht="15" customHeight="1">
      <c r="A1396" s="22">
        <v>46161</v>
      </c>
      <c r="B1396" s="16" t="s">
        <v>191</v>
      </c>
      <c r="C1396" s="10" t="s">
        <v>36</v>
      </c>
      <c r="D1396" s="381" t="s">
        <v>1688</v>
      </c>
      <c r="E1396" s="381" t="s">
        <v>2619</v>
      </c>
      <c r="F1396" s="380">
        <f>+MOD(Tabla8[[#This Row],[HR. FIN]]-Tabla8[[#This Row],[HR. INICIO]],1)</f>
        <v>1.1111111111111072E-2</v>
      </c>
      <c r="G1396" s="16" t="s">
        <v>31</v>
      </c>
      <c r="H1396" s="343" t="str">
        <f>IFERROR(VLOOKUP(G1396,DATOS!$M$2:$N$219,2,FALSE),"")</f>
        <v>Maquinaria</v>
      </c>
      <c r="I1396" s="115" t="s">
        <v>57</v>
      </c>
      <c r="J1396" s="115" t="s">
        <v>92</v>
      </c>
      <c r="K1396" s="114" t="s">
        <v>148</v>
      </c>
      <c r="L1396" s="35" t="s">
        <v>2620</v>
      </c>
      <c r="M1396" s="35" t="s">
        <v>2621</v>
      </c>
      <c r="N1396" s="35" t="str" cm="1">
        <f t="array" ref="N1396">IFERROR(IF(Tabla8[[#This Row],[P/NP]]="NO PROGRAMADA","",_xlfn.TEXTJOIN(", ",TRUE,_xlfn._xlws.FILTER(Tabla4[[#All],[PIEZA]],ISNUMBER(SEARCH(Tabla4[[#All],[PCLAVE]],Tabla8[[#This Row],[DESCRIPCION DE TRABAJO]])),""))),"")</f>
        <v/>
      </c>
      <c r="O1396" s="35" t="str" cm="1">
        <f t="array" ref="O1396">_xlfn.TEXTJOIN(", ",TRUE,_xlfn._xlws.FILTER(Tabla28[[#All],[PARTE]],ISNUMBER(SEARCH(Tabla28[[#All],[PCLAVE2]],Tabla8[[#This Row],[DESCRIPCION DE TRABAJO]])),""))</f>
        <v>Codificador</v>
      </c>
      <c r="P1396" s="303" t="str">
        <f>IFERROR(LEFT(O1396, FIND(",", O1396)-1), O1396)</f>
        <v>Codificador</v>
      </c>
      <c r="Q1396" s="303" t="str">
        <f>IFERROR(IF(ISERROR(FIND(",", O1396, FIND(",", O1396)+1)), RIGHT(O1396, LEN(O1396)-FIND(",", O1396)-1), MID(O1396, FIND(",", O1396)+2, FIND(",", O1396, FIND(",", O1396)+1)-FIND(",", O1396)-2)), "")</f>
        <v/>
      </c>
      <c r="R1396" s="303" t="str">
        <f>IFERROR(RIGHT(O1396, LEN(O1396)-FIND(",", O1396, FIND(",", O1396)+1)-1), "")</f>
        <v/>
      </c>
      <c r="S1396" s="35" t="str" cm="1">
        <f t="array" ref="S1396">_xlfn.TEXTJOIN(", ",TRUE,_xlfn._xlws.FILTER(Tabla29[[#All],[PARTE]],ISNUMBER(SEARCH(Tabla29[[#All],[PCLAVE3]],Tabla8[[#This Row],[DESCRIPCION DE TRABAJO]])),""))</f>
        <v>No Codifica</v>
      </c>
      <c r="T1396" s="34" t="str">
        <f>IF(AND(Tabla8[[#This Row],[PIEZA]]="",Tabla8[[#This Row],[PARTE]]=""),"VACIO","OK")</f>
        <v>OK</v>
      </c>
      <c r="U1396" s="303" t="str">
        <f>+CONCATENATE(WEEKNUM(Tabla8[[#This Row],[FECHA]]),"-",YEAR(Tabla8[[#This Row],[FECHA]]))</f>
        <v>21-2026</v>
      </c>
    </row>
    <row r="1397" spans="1:21" ht="15" customHeight="1">
      <c r="A1397" s="22">
        <v>46161</v>
      </c>
      <c r="B1397" s="16" t="s">
        <v>131</v>
      </c>
      <c r="C1397" s="10" t="s">
        <v>39</v>
      </c>
      <c r="D1397" s="381" t="s">
        <v>426</v>
      </c>
      <c r="E1397" s="381" t="s">
        <v>498</v>
      </c>
      <c r="F1397" s="380">
        <f>+MOD(Tabla8[[#This Row],[HR. FIN]]-Tabla8[[#This Row],[HR. INICIO]],1)</f>
        <v>1.0416666666666741E-2</v>
      </c>
      <c r="G1397" s="16" t="s">
        <v>31</v>
      </c>
      <c r="H1397" s="343" t="str">
        <f>IFERROR(VLOOKUP(G1397,DATOS!$M$2:$N$219,2,FALSE),"")</f>
        <v>Maquinaria</v>
      </c>
      <c r="I1397" s="115" t="s">
        <v>390</v>
      </c>
      <c r="J1397" s="115" t="s">
        <v>157</v>
      </c>
      <c r="K1397" s="114"/>
      <c r="L1397" s="35" t="s">
        <v>821</v>
      </c>
      <c r="M1397" s="35" t="s">
        <v>121</v>
      </c>
      <c r="N1397" s="35" t="str" cm="1">
        <f t="array" ref="N1397">IFERROR(IF(Tabla8[[#This Row],[P/NP]]="NO PROGRAMADA","",_xlfn.TEXTJOIN(", ",TRUE,_xlfn._xlws.FILTER(Tabla4[[#All],[PIEZA]],ISNUMBER(SEARCH(Tabla4[[#All],[PCLAVE]],Tabla8[[#This Row],[DESCRIPCION DE TRABAJO]])),""))),"")</f>
        <v/>
      </c>
      <c r="O1397" s="35" t="str" cm="1">
        <f t="array" ref="O1397">_xlfn.TEXTJOIN(", ",TRUE,_xlfn._xlws.FILTER(Tabla28[[#All],[PARTE]],ISNUMBER(SEARCH(Tabla28[[#All],[PCLAVE2]],Tabla8[[#This Row],[DESCRIPCION DE TRABAJO]])),""))</f>
        <v/>
      </c>
      <c r="P1397" s="303" t="str">
        <f>IFERROR(LEFT(O1397, FIND(",", O1397)-1), O1397)</f>
        <v/>
      </c>
      <c r="Q1397" s="303" t="str">
        <f>IFERROR(IF(ISERROR(FIND(",", O1397, FIND(",", O1397)+1)), RIGHT(O1397, LEN(O1397)-FIND(",", O1397)-1), MID(O1397, FIND(",", O1397)+2, FIND(",", O1397, FIND(",", O1397)+1)-FIND(",", O1397)-2)), "")</f>
        <v/>
      </c>
      <c r="R1397" s="303" t="str">
        <f>IFERROR(RIGHT(O1397, LEN(O1397)-FIND(",", O1397, FIND(",", O1397)+1)-1), "")</f>
        <v/>
      </c>
      <c r="S1397" s="35" t="str" cm="1">
        <f t="array" ref="S1397">_xlfn.TEXTJOIN(", ",TRUE,_xlfn._xlws.FILTER(Tabla29[[#All],[PARTE]],ISNUMBER(SEARCH(Tabla29[[#All],[PCLAVE3]],Tabla8[[#This Row],[DESCRIPCION DE TRABAJO]])),""))</f>
        <v/>
      </c>
      <c r="T1397" s="34" t="str">
        <f>IF(AND(Tabla8[[#This Row],[PIEZA]]="",Tabla8[[#This Row],[PARTE]]=""),"VACIO","OK")</f>
        <v>VACIO</v>
      </c>
      <c r="U1397" s="303" t="str">
        <f>+CONCATENATE(WEEKNUM(Tabla8[[#This Row],[FECHA]]),"-",YEAR(Tabla8[[#This Row],[FECHA]]))</f>
        <v>21-2026</v>
      </c>
    </row>
    <row r="1398" spans="1:21" ht="15" customHeight="1">
      <c r="A1398" s="22">
        <v>46161</v>
      </c>
      <c r="B1398" s="16" t="s">
        <v>88</v>
      </c>
      <c r="C1398" s="10" t="s">
        <v>36</v>
      </c>
      <c r="D1398" s="381" t="s">
        <v>89</v>
      </c>
      <c r="E1398" s="381" t="s">
        <v>1529</v>
      </c>
      <c r="F1398" s="380">
        <f>+MOD(Tabla8[[#This Row],[HR. FIN]]-Tabla8[[#This Row],[HR. INICIO]],1)</f>
        <v>1.041666666666663E-2</v>
      </c>
      <c r="G1398" s="16" t="s">
        <v>266</v>
      </c>
      <c r="H1398" s="343" t="str">
        <f>IFERROR(VLOOKUP(G1398,DATOS!$M$2:$N$219,2,FALSE),"")</f>
        <v>Maquinaria</v>
      </c>
      <c r="I1398" s="115" t="s">
        <v>32</v>
      </c>
      <c r="J1398" s="115" t="s">
        <v>157</v>
      </c>
      <c r="K1398" s="114"/>
      <c r="L1398" s="35" t="s">
        <v>1168</v>
      </c>
      <c r="M1398" s="35" t="s">
        <v>2622</v>
      </c>
      <c r="N1398" s="35" t="str" cm="1">
        <f t="array" ref="N1398">IFERROR(IF(Tabla8[[#This Row],[P/NP]]="NO PROGRAMADA","",_xlfn.TEXTJOIN(", ",TRUE,_xlfn._xlws.FILTER(Tabla4[[#All],[PIEZA]],ISNUMBER(SEARCH(Tabla4[[#All],[PCLAVE]],Tabla8[[#This Row],[DESCRIPCION DE TRABAJO]])),""))),"")</f>
        <v/>
      </c>
      <c r="O1398" s="35" t="str" cm="1">
        <f t="array" ref="O1398">_xlfn.TEXTJOIN(", ",TRUE,_xlfn._xlws.FILTER(Tabla28[[#All],[PARTE]],ISNUMBER(SEARCH(Tabla28[[#All],[PCLAVE2]],Tabla8[[#This Row],[DESCRIPCION DE TRABAJO]])),""))</f>
        <v/>
      </c>
      <c r="P1398" s="303" t="str">
        <f>IFERROR(LEFT(O1398, FIND(",", O1398)-1), O1398)</f>
        <v/>
      </c>
      <c r="Q1398" s="303" t="str">
        <f>IFERROR(IF(ISERROR(FIND(",", O1398, FIND(",", O1398)+1)), RIGHT(O1398, LEN(O1398)-FIND(",", O1398)-1), MID(O1398, FIND(",", O1398)+2, FIND(",", O1398, FIND(",", O1398)+1)-FIND(",", O1398)-2)), "")</f>
        <v/>
      </c>
      <c r="R1398" s="303" t="str">
        <f>IFERROR(RIGHT(O1398, LEN(O1398)-FIND(",", O1398, FIND(",", O1398)+1)-1), "")</f>
        <v/>
      </c>
      <c r="S1398" s="35" t="str" cm="1">
        <f t="array" ref="S1398">_xlfn.TEXTJOIN(", ",TRUE,_xlfn._xlws.FILTER(Tabla29[[#All],[PARTE]],ISNUMBER(SEARCH(Tabla29[[#All],[PCLAVE3]],Tabla8[[#This Row],[DESCRIPCION DE TRABAJO]])),""))</f>
        <v/>
      </c>
      <c r="T1398" s="34" t="str">
        <f>IF(AND(Tabla8[[#This Row],[PIEZA]]="",Tabla8[[#This Row],[PARTE]]=""),"VACIO","OK")</f>
        <v>VACIO</v>
      </c>
      <c r="U1398" s="303" t="str">
        <f>+CONCATENATE(WEEKNUM(Tabla8[[#This Row],[FECHA]]),"-",YEAR(Tabla8[[#This Row],[FECHA]]))</f>
        <v>21-2026</v>
      </c>
    </row>
    <row r="1399" spans="1:21" ht="15" customHeight="1">
      <c r="A1399" s="22">
        <v>46161</v>
      </c>
      <c r="B1399" s="16" t="s">
        <v>191</v>
      </c>
      <c r="C1399" s="10" t="s">
        <v>36</v>
      </c>
      <c r="D1399" s="381" t="s">
        <v>903</v>
      </c>
      <c r="E1399" s="381" t="s">
        <v>2623</v>
      </c>
      <c r="F1399" s="380">
        <f>+MOD(Tabla8[[#This Row],[HR. FIN]]-Tabla8[[#This Row],[HR. INICIO]],1)</f>
        <v>9.0277777777778012E-3</v>
      </c>
      <c r="G1399" s="16" t="s">
        <v>81</v>
      </c>
      <c r="H1399" s="343" t="str">
        <f>IFERROR(VLOOKUP(G1399,DATOS!$M$2:$N$219,2,FALSE),"")</f>
        <v>Maquinaria</v>
      </c>
      <c r="I1399" s="115" t="s">
        <v>245</v>
      </c>
      <c r="J1399" s="115" t="s">
        <v>157</v>
      </c>
      <c r="K1399" s="114"/>
      <c r="L1399" s="35" t="s">
        <v>1393</v>
      </c>
      <c r="M1399" s="35" t="s">
        <v>121</v>
      </c>
      <c r="N1399" s="35" t="str" cm="1">
        <f t="array" ref="N1399">IFERROR(IF(Tabla8[[#This Row],[P/NP]]="NO PROGRAMADA","",_xlfn.TEXTJOIN(", ",TRUE,_xlfn._xlws.FILTER(Tabla4[[#All],[PIEZA]],ISNUMBER(SEARCH(Tabla4[[#All],[PCLAVE]],Tabla8[[#This Row],[DESCRIPCION DE TRABAJO]])),""))),"")</f>
        <v/>
      </c>
      <c r="O1399" s="35" t="str" cm="1">
        <f t="array" ref="O1399">_xlfn.TEXTJOIN(", ",TRUE,_xlfn._xlws.FILTER(Tabla28[[#All],[PARTE]],ISNUMBER(SEARCH(Tabla28[[#All],[PCLAVE2]],Tabla8[[#This Row],[DESCRIPCION DE TRABAJO]])),""))</f>
        <v/>
      </c>
      <c r="P1399" s="303" t="str">
        <f>IFERROR(LEFT(O1399, FIND(",", O1399)-1), O1399)</f>
        <v/>
      </c>
      <c r="Q1399" s="303" t="str">
        <f>IFERROR(IF(ISERROR(FIND(",", O1399, FIND(",", O1399)+1)), RIGHT(O1399, LEN(O1399)-FIND(",", O1399)-1), MID(O1399, FIND(",", O1399)+2, FIND(",", O1399, FIND(",", O1399)+1)-FIND(",", O1399)-2)), "")</f>
        <v/>
      </c>
      <c r="R1399" s="303" t="str">
        <f>IFERROR(RIGHT(O1399, LEN(O1399)-FIND(",", O1399, FIND(",", O1399)+1)-1), "")</f>
        <v/>
      </c>
      <c r="S1399" s="35" t="str" cm="1">
        <f t="array" ref="S1399">_xlfn.TEXTJOIN(", ",TRUE,_xlfn._xlws.FILTER(Tabla29[[#All],[PARTE]],ISNUMBER(SEARCH(Tabla29[[#All],[PCLAVE3]],Tabla8[[#This Row],[DESCRIPCION DE TRABAJO]])),""))</f>
        <v>Lubricacion</v>
      </c>
      <c r="T1399" s="34" t="str">
        <f>IF(AND(Tabla8[[#This Row],[PIEZA]]="",Tabla8[[#This Row],[PARTE]]=""),"VACIO","OK")</f>
        <v>VACIO</v>
      </c>
      <c r="U1399" s="303" t="str">
        <f>+CONCATENATE(WEEKNUM(Tabla8[[#This Row],[FECHA]]),"-",YEAR(Tabla8[[#This Row],[FECHA]]))</f>
        <v>21-2026</v>
      </c>
    </row>
    <row r="1400" spans="1:21" ht="15" customHeight="1">
      <c r="A1400" s="22">
        <v>46161</v>
      </c>
      <c r="B1400" s="16" t="s">
        <v>191</v>
      </c>
      <c r="C1400" s="10" t="s">
        <v>36</v>
      </c>
      <c r="D1400" s="381" t="s">
        <v>2120</v>
      </c>
      <c r="E1400" s="381" t="s">
        <v>2624</v>
      </c>
      <c r="F1400" s="380">
        <f>+MOD(Tabla8[[#This Row],[HR. FIN]]-Tabla8[[#This Row],[HR. INICIO]],1)</f>
        <v>9.0277777777777457E-3</v>
      </c>
      <c r="G1400" s="16" t="s">
        <v>244</v>
      </c>
      <c r="H1400" s="343" t="str">
        <f>IFERROR(VLOOKUP(G1400,DATOS!$M$2:$N$219,2,FALSE),"")</f>
        <v>Maquinaria</v>
      </c>
      <c r="I1400" s="115" t="s">
        <v>245</v>
      </c>
      <c r="J1400" s="115" t="s">
        <v>157</v>
      </c>
      <c r="K1400" s="114"/>
      <c r="L1400" s="35" t="s">
        <v>2625</v>
      </c>
      <c r="M1400" s="35" t="s">
        <v>121</v>
      </c>
      <c r="N1400" s="35" t="str" cm="1">
        <f t="array" ref="N1400">IFERROR(IF(Tabla8[[#This Row],[P/NP]]="NO PROGRAMADA","",_xlfn.TEXTJOIN(", ",TRUE,_xlfn._xlws.FILTER(Tabla4[[#All],[PIEZA]],ISNUMBER(SEARCH(Tabla4[[#All],[PCLAVE]],Tabla8[[#This Row],[DESCRIPCION DE TRABAJO]])),""))),"")</f>
        <v/>
      </c>
      <c r="O1400" s="35" t="str" cm="1">
        <f t="array" ref="O1400">_xlfn.TEXTJOIN(", ",TRUE,_xlfn._xlws.FILTER(Tabla28[[#All],[PARTE]],ISNUMBER(SEARCH(Tabla28[[#All],[PCLAVE2]],Tabla8[[#This Row],[DESCRIPCION DE TRABAJO]])),""))</f>
        <v/>
      </c>
      <c r="P1400" s="303" t="str">
        <f>IFERROR(LEFT(O1400, FIND(",", O1400)-1), O1400)</f>
        <v/>
      </c>
      <c r="Q1400" s="303" t="str">
        <f>IFERROR(IF(ISERROR(FIND(",", O1400, FIND(",", O1400)+1)), RIGHT(O1400, LEN(O1400)-FIND(",", O1400)-1), MID(O1400, FIND(",", O1400)+2, FIND(",", O1400, FIND(",", O1400)+1)-FIND(",", O1400)-2)), "")</f>
        <v/>
      </c>
      <c r="R1400" s="303" t="str">
        <f>IFERROR(RIGHT(O1400, LEN(O1400)-FIND(",", O1400, FIND(",", O1400)+1)-1), "")</f>
        <v/>
      </c>
      <c r="S1400" s="35" t="str" cm="1">
        <f t="array" ref="S1400">_xlfn.TEXTJOIN(", ",TRUE,_xlfn._xlws.FILTER(Tabla29[[#All],[PARTE]],ISNUMBER(SEARCH(Tabla29[[#All],[PCLAVE3]],Tabla8[[#This Row],[DESCRIPCION DE TRABAJO]])),""))</f>
        <v>Lubricacion</v>
      </c>
      <c r="T1400" s="34" t="str">
        <f>IF(AND(Tabla8[[#This Row],[PIEZA]]="",Tabla8[[#This Row],[PARTE]]=""),"VACIO","OK")</f>
        <v>VACIO</v>
      </c>
      <c r="U1400" s="303" t="str">
        <f>+CONCATENATE(WEEKNUM(Tabla8[[#This Row],[FECHA]]),"-",YEAR(Tabla8[[#This Row],[FECHA]]))</f>
        <v>21-2026</v>
      </c>
    </row>
    <row r="1401" spans="1:21" ht="15" customHeight="1">
      <c r="A1401" s="22">
        <v>46161</v>
      </c>
      <c r="B1401" s="16" t="s">
        <v>131</v>
      </c>
      <c r="C1401" s="10" t="s">
        <v>39</v>
      </c>
      <c r="D1401" s="381" t="s">
        <v>1519</v>
      </c>
      <c r="E1401" s="381" t="s">
        <v>2626</v>
      </c>
      <c r="F1401" s="380">
        <f>+MOD(Tabla8[[#This Row],[HR. FIN]]-Tabla8[[#This Row],[HR. INICIO]],1)</f>
        <v>8.3333333333333315E-3</v>
      </c>
      <c r="G1401" s="16" t="s">
        <v>31</v>
      </c>
      <c r="H1401" s="343" t="str">
        <f>IFERROR(VLOOKUP(G1401,DATOS!$M$2:$N$219,2,FALSE),"")</f>
        <v>Maquinaria</v>
      </c>
      <c r="I1401" s="115" t="s">
        <v>390</v>
      </c>
      <c r="J1401" s="115" t="s">
        <v>157</v>
      </c>
      <c r="K1401" s="114"/>
      <c r="L1401" s="35" t="s">
        <v>2627</v>
      </c>
      <c r="M1401" s="35" t="s">
        <v>121</v>
      </c>
      <c r="N1401" s="35" t="str" cm="1">
        <f t="array" ref="N1401">IFERROR(IF(Tabla8[[#This Row],[P/NP]]="NO PROGRAMADA","",_xlfn.TEXTJOIN(", ",TRUE,_xlfn._xlws.FILTER(Tabla4[[#All],[PIEZA]],ISNUMBER(SEARCH(Tabla4[[#All],[PCLAVE]],Tabla8[[#This Row],[DESCRIPCION DE TRABAJO]])),""))),"")</f>
        <v/>
      </c>
      <c r="O1401" s="35" t="str" cm="1">
        <f t="array" ref="O1401">_xlfn.TEXTJOIN(", ",TRUE,_xlfn._xlws.FILTER(Tabla28[[#All],[PARTE]],ISNUMBER(SEARCH(Tabla28[[#All],[PCLAVE2]],Tabla8[[#This Row],[DESCRIPCION DE TRABAJO]])),""))</f>
        <v/>
      </c>
      <c r="P1401" s="303" t="str">
        <f>IFERROR(LEFT(O1401, FIND(",", O1401)-1), O1401)</f>
        <v/>
      </c>
      <c r="Q1401" s="303" t="str">
        <f>IFERROR(IF(ISERROR(FIND(",", O1401, FIND(",", O1401)+1)), RIGHT(O1401, LEN(O1401)-FIND(",", O1401)-1), MID(O1401, FIND(",", O1401)+2, FIND(",", O1401, FIND(",", O1401)+1)-FIND(",", O1401)-2)), "")</f>
        <v/>
      </c>
      <c r="R1401" s="303" t="str">
        <f>IFERROR(RIGHT(O1401, LEN(O1401)-FIND(",", O1401, FIND(",", O1401)+1)-1), "")</f>
        <v/>
      </c>
      <c r="S1401" s="35" t="str" cm="1">
        <f t="array" ref="S1401">_xlfn.TEXTJOIN(", ",TRUE,_xlfn._xlws.FILTER(Tabla29[[#All],[PARTE]],ISNUMBER(SEARCH(Tabla29[[#All],[PCLAVE3]],Tabla8[[#This Row],[DESCRIPCION DE TRABAJO]])),""))</f>
        <v>Cambio De Formato</v>
      </c>
      <c r="T1401" s="34" t="str">
        <f>IF(AND(Tabla8[[#This Row],[PIEZA]]="",Tabla8[[#This Row],[PARTE]]=""),"VACIO","OK")</f>
        <v>VACIO</v>
      </c>
      <c r="U1401" s="303" t="str">
        <f>+CONCATENATE(WEEKNUM(Tabla8[[#This Row],[FECHA]]),"-",YEAR(Tabla8[[#This Row],[FECHA]]))</f>
        <v>21-2026</v>
      </c>
    </row>
    <row r="1402" spans="1:21" ht="15" customHeight="1">
      <c r="A1402" s="22">
        <v>46161</v>
      </c>
      <c r="B1402" s="16" t="s">
        <v>131</v>
      </c>
      <c r="C1402" s="10" t="s">
        <v>39</v>
      </c>
      <c r="D1402" s="381" t="s">
        <v>2628</v>
      </c>
      <c r="E1402" s="381" t="s">
        <v>2629</v>
      </c>
      <c r="F1402" s="380">
        <f>+MOD(Tabla8[[#This Row],[HR. FIN]]-Tabla8[[#This Row],[HR. INICIO]],1)</f>
        <v>6.9444444444444475E-3</v>
      </c>
      <c r="G1402" s="16" t="s">
        <v>31</v>
      </c>
      <c r="H1402" s="343" t="str">
        <f>IFERROR(VLOOKUP(G1402,DATOS!$M$2:$N$219,2,FALSE),"")</f>
        <v>Maquinaria</v>
      </c>
      <c r="I1402" s="115" t="s">
        <v>57</v>
      </c>
      <c r="J1402" s="115" t="s">
        <v>92</v>
      </c>
      <c r="K1402" s="114" t="s">
        <v>148</v>
      </c>
      <c r="L1402" s="35" t="s">
        <v>2630</v>
      </c>
      <c r="M1402" s="35" t="s">
        <v>2631</v>
      </c>
      <c r="N1402" s="35" t="str" cm="1">
        <f t="array" ref="N1402">IFERROR(IF(Tabla8[[#This Row],[P/NP]]="NO PROGRAMADA","",_xlfn.TEXTJOIN(", ",TRUE,_xlfn._xlws.FILTER(Tabla4[[#All],[PIEZA]],ISNUMBER(SEARCH(Tabla4[[#All],[PCLAVE]],Tabla8[[#This Row],[DESCRIPCION DE TRABAJO]])),""))),"")</f>
        <v/>
      </c>
      <c r="O1402" s="35" t="str" cm="1">
        <f t="array" ref="O1402">_xlfn.TEXTJOIN(", ",TRUE,_xlfn._xlws.FILTER(Tabla28[[#All],[PARTE]],ISNUMBER(SEARCH(Tabla28[[#All],[PCLAVE2]],Tabla8[[#This Row],[DESCRIPCION DE TRABAJO]])),""))</f>
        <v/>
      </c>
      <c r="P1402" s="303" t="str">
        <f>IFERROR(LEFT(O1402, FIND(",", O1402)-1), O1402)</f>
        <v/>
      </c>
      <c r="Q1402" s="303" t="str">
        <f>IFERROR(IF(ISERROR(FIND(",", O1402, FIND(",", O1402)+1)), RIGHT(O1402, LEN(O1402)-FIND(",", O1402)-1), MID(O1402, FIND(",", O1402)+2, FIND(",", O1402, FIND(",", O1402)+1)-FIND(",", O1402)-2)), "")</f>
        <v/>
      </c>
      <c r="R1402" s="303" t="str">
        <f>IFERROR(RIGHT(O1402, LEN(O1402)-FIND(",", O1402, FIND(",", O1402)+1)-1), "")</f>
        <v/>
      </c>
      <c r="S1402" s="35" t="str" cm="1">
        <f t="array" ref="S1402">_xlfn.TEXTJOIN(", ",TRUE,_xlfn._xlws.FILTER(Tabla29[[#All],[PARTE]],ISNUMBER(SEARCH(Tabla29[[#All],[PCLAVE3]],Tabla8[[#This Row],[DESCRIPCION DE TRABAJO]])),""))</f>
        <v>Juntos</v>
      </c>
      <c r="T1402" s="34" t="str">
        <f>IF(AND(Tabla8[[#This Row],[PIEZA]]="",Tabla8[[#This Row],[PARTE]]=""),"VACIO","OK")</f>
        <v>VACIO</v>
      </c>
      <c r="U1402" s="303" t="str">
        <f>+CONCATENATE(WEEKNUM(Tabla8[[#This Row],[FECHA]]),"-",YEAR(Tabla8[[#This Row],[FECHA]]))</f>
        <v>21-2026</v>
      </c>
    </row>
    <row r="1403" spans="1:21" ht="15" customHeight="1">
      <c r="A1403" s="22">
        <v>46162</v>
      </c>
      <c r="B1403" s="16" t="s">
        <v>179</v>
      </c>
      <c r="C1403" s="10" t="s">
        <v>23</v>
      </c>
      <c r="D1403" s="381" t="s">
        <v>571</v>
      </c>
      <c r="E1403" s="381" t="s">
        <v>265</v>
      </c>
      <c r="F1403" s="380">
        <f>+MOD(Tabla8[[#This Row],[HR. FIN]]-Tabla8[[#This Row],[HR. INICIO]],1)</f>
        <v>4.166666666666663E-2</v>
      </c>
      <c r="G1403" s="16" t="s">
        <v>965</v>
      </c>
      <c r="H1403" s="343" t="str">
        <f>IFERROR(VLOOKUP(G1403,DATOS!$M$2:$N$219,2,FALSE),"")</f>
        <v>Maquinaria</v>
      </c>
      <c r="I1403" s="115" t="s">
        <v>57</v>
      </c>
      <c r="J1403" s="115" t="s">
        <v>92</v>
      </c>
      <c r="K1403" s="114" t="s">
        <v>93</v>
      </c>
      <c r="L1403" s="35" t="s">
        <v>2632</v>
      </c>
      <c r="M1403" s="35" t="s">
        <v>2633</v>
      </c>
      <c r="N1403" s="35" t="str" cm="1">
        <f t="array" ref="N1403">IFERROR(IF(Tabla8[[#This Row],[P/NP]]="NO PROGRAMADA","",_xlfn.TEXTJOIN(", ",TRUE,_xlfn._xlws.FILTER(Tabla4[[#All],[PIEZA]],ISNUMBER(SEARCH(Tabla4[[#All],[PCLAVE]],Tabla8[[#This Row],[DESCRIPCION DE TRABAJO]])),""))),"")</f>
        <v/>
      </c>
      <c r="O1403" s="35" t="str" cm="1">
        <f t="array" ref="O1403">_xlfn.TEXTJOIN(", ",TRUE,_xlfn._xlws.FILTER(Tabla28[[#All],[PARTE]],ISNUMBER(SEARCH(Tabla28[[#All],[PCLAVE2]],Tabla8[[#This Row],[DESCRIPCION DE TRABAJO]])),""))</f>
        <v/>
      </c>
      <c r="P1403" s="303" t="str">
        <f>IFERROR(LEFT(O1403, FIND(",", O1403)-1), O1403)</f>
        <v/>
      </c>
      <c r="Q1403" s="303" t="str">
        <f>IFERROR(IF(ISERROR(FIND(",", O1403, FIND(",", O1403)+1)), RIGHT(O1403, LEN(O1403)-FIND(",", O1403)-1), MID(O1403, FIND(",", O1403)+2, FIND(",", O1403, FIND(",", O1403)+1)-FIND(",", O1403)-2)), "")</f>
        <v/>
      </c>
      <c r="R1403" s="303" t="str">
        <f>IFERROR(RIGHT(O1403, LEN(O1403)-FIND(",", O1403, FIND(",", O1403)+1)-1), "")</f>
        <v/>
      </c>
      <c r="S1403" s="35" t="str" cm="1">
        <f t="array" ref="S1403">_xlfn.TEXTJOIN(", ",TRUE,_xlfn._xlws.FILTER(Tabla29[[#All],[PARTE]],ISNUMBER(SEARCH(Tabla29[[#All],[PCLAVE3]],Tabla8[[#This Row],[DESCRIPCION DE TRABAJO]])),""))</f>
        <v>Laminado</v>
      </c>
      <c r="T1403" s="34" t="str">
        <f>IF(AND(Tabla8[[#This Row],[PIEZA]]="",Tabla8[[#This Row],[PARTE]]=""),"VACIO","OK")</f>
        <v>VACIO</v>
      </c>
      <c r="U1403" s="303" t="str">
        <f>+CONCATENATE(WEEKNUM(Tabla8[[#This Row],[FECHA]]),"-",YEAR(Tabla8[[#This Row],[FECHA]]))</f>
        <v>21-2026</v>
      </c>
    </row>
    <row r="1404" spans="1:21" ht="15" customHeight="1">
      <c r="A1404" s="22">
        <v>46162</v>
      </c>
      <c r="B1404" s="16" t="s">
        <v>131</v>
      </c>
      <c r="C1404" s="10" t="s">
        <v>39</v>
      </c>
      <c r="D1404" s="381" t="s">
        <v>473</v>
      </c>
      <c r="E1404" s="381">
        <v>0.99375000000000002</v>
      </c>
      <c r="F1404" s="380">
        <f>+MOD(Tabla8[[#This Row],[HR. FIN]]-Tabla8[[#This Row],[HR. INICIO]],1)</f>
        <v>2.9861111111111116E-2</v>
      </c>
      <c r="G1404" s="16" t="s">
        <v>192</v>
      </c>
      <c r="H1404" s="343" t="str">
        <f>IFERROR(VLOOKUP(G1404,DATOS!$M$2:$N$219,2,FALSE),"")</f>
        <v>Maquinaria</v>
      </c>
      <c r="I1404" s="115" t="s">
        <v>57</v>
      </c>
      <c r="J1404" s="115" t="s">
        <v>92</v>
      </c>
      <c r="K1404" s="114" t="s">
        <v>148</v>
      </c>
      <c r="L1404" s="35" t="s">
        <v>2634</v>
      </c>
      <c r="M1404" s="35" t="s">
        <v>2635</v>
      </c>
      <c r="N1404" s="35" t="str" cm="1">
        <f t="array" ref="N1404">IFERROR(IF(Tabla8[[#This Row],[P/NP]]="NO PROGRAMADA","",_xlfn.TEXTJOIN(", ",TRUE,_xlfn._xlws.FILTER(Tabla4[[#All],[PIEZA]],ISNUMBER(SEARCH(Tabla4[[#All],[PCLAVE]],Tabla8[[#This Row],[DESCRIPCION DE TRABAJO]])),""))),"")</f>
        <v/>
      </c>
      <c r="O1404" s="35" t="str" cm="1">
        <f t="array" ref="O1404">_xlfn.TEXTJOIN(", ",TRUE,_xlfn._xlws.FILTER(Tabla28[[#All],[PARTE]],ISNUMBER(SEARCH(Tabla28[[#All],[PCLAVE2]],Tabla8[[#This Row],[DESCRIPCION DE TRABAJO]])),""))</f>
        <v>Codificador</v>
      </c>
      <c r="P1404" s="303" t="str">
        <f>IFERROR(LEFT(O1404, FIND(",", O1404)-1), O1404)</f>
        <v>Codificador</v>
      </c>
      <c r="Q1404" s="303" t="str">
        <f>IFERROR(IF(ISERROR(FIND(",", O1404, FIND(",", O1404)+1)), RIGHT(O1404, LEN(O1404)-FIND(",", O1404)-1), MID(O1404, FIND(",", O1404)+2, FIND(",", O1404, FIND(",", O1404)+1)-FIND(",", O1404)-2)), "")</f>
        <v/>
      </c>
      <c r="R1404" s="303" t="str">
        <f>IFERROR(RIGHT(O1404, LEN(O1404)-FIND(",", O1404, FIND(",", O1404)+1)-1), "")</f>
        <v/>
      </c>
      <c r="S1404" s="35" t="str" cm="1">
        <f t="array" ref="S1404">_xlfn.TEXTJOIN(", ",TRUE,_xlfn._xlws.FILTER(Tabla29[[#All],[PARTE]],ISNUMBER(SEARCH(Tabla29[[#All],[PCLAVE3]],Tabla8[[#This Row],[DESCRIPCION DE TRABAJO]])),""))</f>
        <v>No Sella, Rotura</v>
      </c>
      <c r="T1404" s="34" t="str">
        <f>IF(AND(Tabla8[[#This Row],[PIEZA]]="",Tabla8[[#This Row],[PARTE]]=""),"VACIO","OK")</f>
        <v>OK</v>
      </c>
      <c r="U1404" s="303" t="str">
        <f>+CONCATENATE(WEEKNUM(Tabla8[[#This Row],[FECHA]]),"-",YEAR(Tabla8[[#This Row],[FECHA]]))</f>
        <v>21-2026</v>
      </c>
    </row>
    <row r="1405" spans="1:21" ht="15" customHeight="1">
      <c r="A1405" s="22">
        <v>46162</v>
      </c>
      <c r="B1405" s="16" t="s">
        <v>191</v>
      </c>
      <c r="C1405" s="10" t="s">
        <v>36</v>
      </c>
      <c r="D1405" s="381" t="s">
        <v>2598</v>
      </c>
      <c r="E1405" s="381" t="s">
        <v>2599</v>
      </c>
      <c r="F1405" s="380">
        <f>+MOD(Tabla8[[#This Row],[HR. FIN]]-Tabla8[[#This Row],[HR. INICIO]],1)</f>
        <v>2.9166666666666619E-2</v>
      </c>
      <c r="G1405" s="16" t="s">
        <v>312</v>
      </c>
      <c r="H1405" s="343" t="str">
        <f>IFERROR(VLOOKUP(G1405,DATOS!$M$2:$N$219,2,FALSE),"")</f>
        <v>Maquinaria</v>
      </c>
      <c r="I1405" s="115" t="s">
        <v>61</v>
      </c>
      <c r="J1405" s="115" t="s">
        <v>92</v>
      </c>
      <c r="K1405" s="114" t="s">
        <v>93</v>
      </c>
      <c r="L1405" s="35" t="s">
        <v>2121</v>
      </c>
      <c r="M1405" s="35" t="s">
        <v>2600</v>
      </c>
      <c r="N1405" s="35" t="str" cm="1">
        <f t="array" ref="N1405">IFERROR(IF(Tabla8[[#This Row],[P/NP]]="NO PROGRAMADA","",_xlfn.TEXTJOIN(", ",TRUE,_xlfn._xlws.FILTER(Tabla4[[#All],[PIEZA]],ISNUMBER(SEARCH(Tabla4[[#All],[PCLAVE]],Tabla8[[#This Row],[DESCRIPCION DE TRABAJO]])),""))),"")</f>
        <v/>
      </c>
      <c r="O1405" s="35" t="str" cm="1">
        <f t="array" ref="O1405">_xlfn.TEXTJOIN(", ",TRUE,_xlfn._xlws.FILTER(Tabla28[[#All],[PARTE]],ISNUMBER(SEARCH(Tabla28[[#All],[PCLAVE2]],Tabla8[[#This Row],[DESCRIPCION DE TRABAJO]])),""))</f>
        <v/>
      </c>
      <c r="P1405" s="303" t="str">
        <f>IFERROR(LEFT(O1405, FIND(",", O1405)-1), O1405)</f>
        <v/>
      </c>
      <c r="Q1405" s="303" t="str">
        <f>IFERROR(IF(ISERROR(FIND(",", O1405, FIND(",", O1405)+1)), RIGHT(O1405, LEN(O1405)-FIND(",", O1405)-1), MID(O1405, FIND(",", O1405)+2, FIND(",", O1405, FIND(",", O1405)+1)-FIND(",", O1405)-2)), "")</f>
        <v/>
      </c>
      <c r="R1405" s="303" t="str">
        <f>IFERROR(RIGHT(O1405, LEN(O1405)-FIND(",", O1405, FIND(",", O1405)+1)-1), "")</f>
        <v/>
      </c>
      <c r="S1405" s="35" t="str" cm="1">
        <f t="array" ref="S1405">_xlfn.TEXTJOIN(", ",TRUE,_xlfn._xlws.FILTER(Tabla29[[#All],[PARTE]],ISNUMBER(SEARCH(Tabla29[[#All],[PCLAVE3]],Tabla8[[#This Row],[DESCRIPCION DE TRABAJO]])),""))</f>
        <v>No Cae Producto</v>
      </c>
      <c r="T1405" s="34" t="str">
        <f>IF(AND(Tabla8[[#This Row],[PIEZA]]="",Tabla8[[#This Row],[PARTE]]=""),"VACIO","OK")</f>
        <v>VACIO</v>
      </c>
      <c r="U1405" s="303" t="str">
        <f>+CONCATENATE(WEEKNUM(Tabla8[[#This Row],[FECHA]]),"-",YEAR(Tabla8[[#This Row],[FECHA]]))</f>
        <v>21-2026</v>
      </c>
    </row>
    <row r="1406" spans="1:21" ht="15" customHeight="1">
      <c r="A1406" s="22">
        <v>46162</v>
      </c>
      <c r="B1406" s="16" t="s">
        <v>131</v>
      </c>
      <c r="C1406" s="10" t="s">
        <v>39</v>
      </c>
      <c r="D1406" s="381" t="s">
        <v>1493</v>
      </c>
      <c r="E1406" s="381" t="s">
        <v>2636</v>
      </c>
      <c r="F1406" s="380">
        <f>+MOD(Tabla8[[#This Row],[HR. FIN]]-Tabla8[[#This Row],[HR. INICIO]],1)</f>
        <v>2.2916666666666662E-2</v>
      </c>
      <c r="G1406" s="16" t="s">
        <v>119</v>
      </c>
      <c r="H1406" s="343" t="str">
        <f>IFERROR(VLOOKUP(G1406,DATOS!$M$2:$N$219,2,FALSE),"")</f>
        <v>Maquinaria</v>
      </c>
      <c r="I1406" s="115" t="s">
        <v>32</v>
      </c>
      <c r="J1406" s="115" t="s">
        <v>157</v>
      </c>
      <c r="K1406" s="114"/>
      <c r="L1406" s="35" t="s">
        <v>837</v>
      </c>
      <c r="M1406" s="35" t="s">
        <v>121</v>
      </c>
      <c r="N1406" s="35" t="str" cm="1">
        <f t="array" ref="N1406">IFERROR(IF(Tabla8[[#This Row],[P/NP]]="NO PROGRAMADA","",_xlfn.TEXTJOIN(", ",TRUE,_xlfn._xlws.FILTER(Tabla4[[#All],[PIEZA]],ISNUMBER(SEARCH(Tabla4[[#All],[PCLAVE]],Tabla8[[#This Row],[DESCRIPCION DE TRABAJO]])),""))),"")</f>
        <v/>
      </c>
      <c r="O1406" s="35" t="str" cm="1">
        <f t="array" ref="O1406">_xlfn.TEXTJOIN(", ",TRUE,_xlfn._xlws.FILTER(Tabla28[[#All],[PARTE]],ISNUMBER(SEARCH(Tabla28[[#All],[PCLAVE2]],Tabla8[[#This Row],[DESCRIPCION DE TRABAJO]])),""))</f>
        <v>Mds</v>
      </c>
      <c r="P1406" s="303" t="str">
        <f>IFERROR(LEFT(O1406, FIND(",", O1406)-1), O1406)</f>
        <v>Mds</v>
      </c>
      <c r="Q1406" s="303" t="str">
        <f>IFERROR(IF(ISERROR(FIND(",", O1406, FIND(",", O1406)+1)), RIGHT(O1406, LEN(O1406)-FIND(",", O1406)-1), MID(O1406, FIND(",", O1406)+2, FIND(",", O1406, FIND(",", O1406)+1)-FIND(",", O1406)-2)), "")</f>
        <v/>
      </c>
      <c r="R1406" s="303" t="str">
        <f>IFERROR(RIGHT(O1406, LEN(O1406)-FIND(",", O1406, FIND(",", O1406)+1)-1), "")</f>
        <v/>
      </c>
      <c r="S1406" s="35" t="str" cm="1">
        <f t="array" ref="S1406">_xlfn.TEXTJOIN(", ",TRUE,_xlfn._xlws.FILTER(Tabla29[[#All],[PARTE]],ISNUMBER(SEARCH(Tabla29[[#All],[PCLAVE3]],Tabla8[[#This Row],[DESCRIPCION DE TRABAJO]])),""))</f>
        <v/>
      </c>
      <c r="T1406" s="34" t="str">
        <f>IF(AND(Tabla8[[#This Row],[PIEZA]]="",Tabla8[[#This Row],[PARTE]]=""),"VACIO","OK")</f>
        <v>OK</v>
      </c>
      <c r="U1406" s="303" t="str">
        <f>+CONCATENATE(WEEKNUM(Tabla8[[#This Row],[FECHA]]),"-",YEAR(Tabla8[[#This Row],[FECHA]]))</f>
        <v>21-2026</v>
      </c>
    </row>
    <row r="1407" spans="1:21" ht="15" customHeight="1">
      <c r="A1407" s="22">
        <v>46162</v>
      </c>
      <c r="B1407" s="16" t="s">
        <v>131</v>
      </c>
      <c r="C1407" s="10" t="s">
        <v>39</v>
      </c>
      <c r="D1407" s="381" t="s">
        <v>117</v>
      </c>
      <c r="E1407" s="381" t="s">
        <v>414</v>
      </c>
      <c r="F1407" s="380">
        <f>+MOD(Tabla8[[#This Row],[HR. FIN]]-Tabla8[[#This Row],[HR. INICIO]],1)</f>
        <v>1.736111111111116E-2</v>
      </c>
      <c r="G1407" s="16" t="s">
        <v>192</v>
      </c>
      <c r="H1407" s="343" t="str">
        <f>IFERROR(VLOOKUP(G1407,DATOS!$M$2:$N$219,2,FALSE),"")</f>
        <v>Maquinaria</v>
      </c>
      <c r="I1407" s="115" t="s">
        <v>57</v>
      </c>
      <c r="J1407" s="115" t="s">
        <v>92</v>
      </c>
      <c r="K1407" s="114" t="s">
        <v>93</v>
      </c>
      <c r="L1407" s="35" t="s">
        <v>2637</v>
      </c>
      <c r="M1407" s="35" t="s">
        <v>2638</v>
      </c>
      <c r="N1407" s="35" t="str" cm="1">
        <f t="array" ref="N1407">IFERROR(IF(Tabla8[[#This Row],[P/NP]]="NO PROGRAMADA","",_xlfn.TEXTJOIN(", ",TRUE,_xlfn._xlws.FILTER(Tabla4[[#All],[PIEZA]],ISNUMBER(SEARCH(Tabla4[[#All],[PCLAVE]],Tabla8[[#This Row],[DESCRIPCION DE TRABAJO]])),""))),"")</f>
        <v/>
      </c>
      <c r="O1407" s="35" t="str" cm="1">
        <f t="array" ref="O1407">_xlfn.TEXTJOIN(", ",TRUE,_xlfn._xlws.FILTER(Tabla28[[#All],[PARTE]],ISNUMBER(SEARCH(Tabla28[[#All],[PCLAVE2]],Tabla8[[#This Row],[DESCRIPCION DE TRABAJO]])),""))</f>
        <v/>
      </c>
      <c r="P1407" s="303" t="str">
        <f>IFERROR(LEFT(O1407, FIND(",", O1407)-1), O1407)</f>
        <v/>
      </c>
      <c r="Q1407" s="303" t="str">
        <f>IFERROR(IF(ISERROR(FIND(",", O1407, FIND(",", O1407)+1)), RIGHT(O1407, LEN(O1407)-FIND(",", O1407)-1), MID(O1407, FIND(",", O1407)+2, FIND(",", O1407, FIND(",", O1407)+1)-FIND(",", O1407)-2)), "")</f>
        <v/>
      </c>
      <c r="R1407" s="303" t="str">
        <f>IFERROR(RIGHT(O1407, LEN(O1407)-FIND(",", O1407, FIND(",", O1407)+1)-1), "")</f>
        <v/>
      </c>
      <c r="S1407" s="35" t="str" cm="1">
        <f t="array" ref="S1407">_xlfn.TEXTJOIN(", ",TRUE,_xlfn._xlws.FILTER(Tabla29[[#All],[PARTE]],ISNUMBER(SEARCH(Tabla29[[#All],[PCLAVE3]],Tabla8[[#This Row],[DESCRIPCION DE TRABAJO]])),""))</f>
        <v>Calibracion, Desajustado, Desalineado, Laminado, Rotura, Se Pegan, Sellado, Soltura</v>
      </c>
      <c r="T1407" s="34" t="str">
        <f>IF(AND(Tabla8[[#This Row],[PIEZA]]="",Tabla8[[#This Row],[PARTE]]=""),"VACIO","OK")</f>
        <v>VACIO</v>
      </c>
      <c r="U1407" s="303" t="str">
        <f>+CONCATENATE(WEEKNUM(Tabla8[[#This Row],[FECHA]]),"-",YEAR(Tabla8[[#This Row],[FECHA]]))</f>
        <v>21-2026</v>
      </c>
    </row>
    <row r="1408" spans="1:21" ht="15" customHeight="1">
      <c r="A1408" s="22">
        <v>46162</v>
      </c>
      <c r="B1408" s="16" t="s">
        <v>131</v>
      </c>
      <c r="C1408" s="10" t="s">
        <v>39</v>
      </c>
      <c r="D1408" s="381" t="s">
        <v>660</v>
      </c>
      <c r="E1408" s="381" t="s">
        <v>2306</v>
      </c>
      <c r="F1408" s="380">
        <f>+MOD(Tabla8[[#This Row],[HR. FIN]]-Tabla8[[#This Row],[HR. INICIO]],1)</f>
        <v>1.736111111111116E-2</v>
      </c>
      <c r="G1408" s="16" t="s">
        <v>438</v>
      </c>
      <c r="H1408" s="343" t="str">
        <f>IFERROR(VLOOKUP(G1408,DATOS!$M$2:$N$219,2,FALSE),"")</f>
        <v>Maquinaria</v>
      </c>
      <c r="I1408" s="115" t="s">
        <v>28</v>
      </c>
      <c r="J1408" s="115" t="s">
        <v>92</v>
      </c>
      <c r="K1408" s="114" t="s">
        <v>93</v>
      </c>
      <c r="L1408" s="35" t="s">
        <v>2639</v>
      </c>
      <c r="M1408" s="35" t="s">
        <v>2640</v>
      </c>
      <c r="N1408" s="35" t="str" cm="1">
        <f t="array" ref="N1408">IFERROR(IF(Tabla8[[#This Row],[P/NP]]="NO PROGRAMADA","",_xlfn.TEXTJOIN(", ",TRUE,_xlfn._xlws.FILTER(Tabla4[[#All],[PIEZA]],ISNUMBER(SEARCH(Tabla4[[#All],[PCLAVE]],Tabla8[[#This Row],[DESCRIPCION DE TRABAJO]])),""))),"")</f>
        <v/>
      </c>
      <c r="O1408" s="35" t="str" cm="1">
        <f t="array" ref="O1408">_xlfn.TEXTJOIN(", ",TRUE,_xlfn._xlws.FILTER(Tabla28[[#All],[PARTE]],ISNUMBER(SEARCH(Tabla28[[#All],[PCLAVE2]],Tabla8[[#This Row],[DESCRIPCION DE TRABAJO]])),""))</f>
        <v/>
      </c>
      <c r="P1408" s="303" t="str">
        <f>IFERROR(LEFT(O1408, FIND(",", O1408)-1), O1408)</f>
        <v/>
      </c>
      <c r="Q1408" s="303" t="str">
        <f>IFERROR(IF(ISERROR(FIND(",", O1408, FIND(",", O1408)+1)), RIGHT(O1408, LEN(O1408)-FIND(",", O1408)-1), MID(O1408, FIND(",", O1408)+2, FIND(",", O1408, FIND(",", O1408)+1)-FIND(",", O1408)-2)), "")</f>
        <v/>
      </c>
      <c r="R1408" s="303" t="str">
        <f>IFERROR(RIGHT(O1408, LEN(O1408)-FIND(",", O1408, FIND(",", O1408)+1)-1), "")</f>
        <v/>
      </c>
      <c r="S1408" s="35" t="str" cm="1">
        <f t="array" ref="S1408">_xlfn.TEXTJOIN(", ",TRUE,_xlfn._xlws.FILTER(Tabla29[[#All],[PARTE]],ISNUMBER(SEARCH(Tabla29[[#All],[PCLAVE3]],Tabla8[[#This Row],[DESCRIPCION DE TRABAJO]])),""))</f>
        <v/>
      </c>
      <c r="T1408" s="34" t="str">
        <f>IF(AND(Tabla8[[#This Row],[PIEZA]]="",Tabla8[[#This Row],[PARTE]]=""),"VACIO","OK")</f>
        <v>VACIO</v>
      </c>
      <c r="U1408" s="303" t="str">
        <f>+CONCATENATE(WEEKNUM(Tabla8[[#This Row],[FECHA]]),"-",YEAR(Tabla8[[#This Row],[FECHA]]))</f>
        <v>21-2026</v>
      </c>
    </row>
    <row r="1409" spans="1:21" ht="15" customHeight="1">
      <c r="A1409" s="22">
        <v>46162</v>
      </c>
      <c r="B1409" s="16" t="s">
        <v>131</v>
      </c>
      <c r="C1409" s="10" t="s">
        <v>39</v>
      </c>
      <c r="D1409" s="381" t="s">
        <v>411</v>
      </c>
      <c r="E1409" s="381" t="s">
        <v>145</v>
      </c>
      <c r="F1409" s="380">
        <f>+MOD(Tabla8[[#This Row],[HR. FIN]]-Tabla8[[#This Row],[HR. INICIO]],1)</f>
        <v>1.7361111111111105E-2</v>
      </c>
      <c r="G1409" s="16" t="s">
        <v>31</v>
      </c>
      <c r="H1409" s="343" t="str">
        <f>IFERROR(VLOOKUP(G1409,DATOS!$M$2:$N$219,2,FALSE),"")</f>
        <v>Maquinaria</v>
      </c>
      <c r="I1409" s="115" t="s">
        <v>54</v>
      </c>
      <c r="J1409" s="115" t="s">
        <v>157</v>
      </c>
      <c r="K1409" s="114"/>
      <c r="L1409" s="35" t="s">
        <v>225</v>
      </c>
      <c r="M1409" s="35" t="s">
        <v>121</v>
      </c>
      <c r="N1409" s="35" t="str" cm="1">
        <f t="array" ref="N1409">IFERROR(IF(Tabla8[[#This Row],[P/NP]]="NO PROGRAMADA","",_xlfn.TEXTJOIN(", ",TRUE,_xlfn._xlws.FILTER(Tabla4[[#All],[PIEZA]],ISNUMBER(SEARCH(Tabla4[[#All],[PCLAVE]],Tabla8[[#This Row],[DESCRIPCION DE TRABAJO]])),""))),"")</f>
        <v/>
      </c>
      <c r="O1409" s="35" t="str" cm="1">
        <f t="array" ref="O1409">_xlfn.TEXTJOIN(", ",TRUE,_xlfn._xlws.FILTER(Tabla28[[#All],[PARTE]],ISNUMBER(SEARCH(Tabla28[[#All],[PCLAVE2]],Tabla8[[#This Row],[DESCRIPCION DE TRABAJO]])),""))</f>
        <v/>
      </c>
      <c r="P1409" s="303" t="str">
        <f>IFERROR(LEFT(O1409, FIND(",", O1409)-1), O1409)</f>
        <v/>
      </c>
      <c r="Q1409" s="303" t="str">
        <f>IFERROR(IF(ISERROR(FIND(",", O1409, FIND(",", O1409)+1)), RIGHT(O1409, LEN(O1409)-FIND(",", O1409)-1), MID(O1409, FIND(",", O1409)+2, FIND(",", O1409, FIND(",", O1409)+1)-FIND(",", O1409)-2)), "")</f>
        <v/>
      </c>
      <c r="R1409" s="303" t="str">
        <f>IFERROR(RIGHT(O1409, LEN(O1409)-FIND(",", O1409, FIND(",", O1409)+1)-1), "")</f>
        <v/>
      </c>
      <c r="S1409" s="35" t="str" cm="1">
        <f t="array" ref="S1409">_xlfn.TEXTJOIN(", ",TRUE,_xlfn._xlws.FILTER(Tabla29[[#All],[PARTE]],ISNUMBER(SEARCH(Tabla29[[#All],[PCLAVE3]],Tabla8[[#This Row],[DESCRIPCION DE TRABAJO]])),""))</f>
        <v/>
      </c>
      <c r="T1409" s="34" t="str">
        <f>IF(AND(Tabla8[[#This Row],[PIEZA]]="",Tabla8[[#This Row],[PARTE]]=""),"VACIO","OK")</f>
        <v>VACIO</v>
      </c>
      <c r="U1409" s="303" t="str">
        <f>+CONCATENATE(WEEKNUM(Tabla8[[#This Row],[FECHA]]),"-",YEAR(Tabla8[[#This Row],[FECHA]]))</f>
        <v>21-2026</v>
      </c>
    </row>
    <row r="1410" spans="1:21" ht="15" customHeight="1">
      <c r="A1410" s="22">
        <v>46162</v>
      </c>
      <c r="B1410" s="16" t="s">
        <v>131</v>
      </c>
      <c r="C1410" s="10" t="s">
        <v>39</v>
      </c>
      <c r="D1410" s="381" t="s">
        <v>2641</v>
      </c>
      <c r="E1410" s="381" t="s">
        <v>733</v>
      </c>
      <c r="F1410" s="380">
        <f>+MOD(Tabla8[[#This Row],[HR. FIN]]-Tabla8[[#This Row],[HR. INICIO]],1)</f>
        <v>1.666666666666667E-2</v>
      </c>
      <c r="G1410" s="16" t="s">
        <v>119</v>
      </c>
      <c r="H1410" s="343" t="str">
        <f>IFERROR(VLOOKUP(G1410,DATOS!$M$2:$N$219,2,FALSE),"")</f>
        <v>Maquinaria</v>
      </c>
      <c r="I1410" s="115" t="s">
        <v>32</v>
      </c>
      <c r="J1410" s="115" t="s">
        <v>157</v>
      </c>
      <c r="K1410" s="114"/>
      <c r="L1410" s="35" t="s">
        <v>2642</v>
      </c>
      <c r="M1410" s="35" t="s">
        <v>121</v>
      </c>
      <c r="N1410" s="35" t="str" cm="1">
        <f t="array" ref="N1410">IFERROR(IF(Tabla8[[#This Row],[P/NP]]="NO PROGRAMADA","",_xlfn.TEXTJOIN(", ",TRUE,_xlfn._xlws.FILTER(Tabla4[[#All],[PIEZA]],ISNUMBER(SEARCH(Tabla4[[#All],[PCLAVE]],Tabla8[[#This Row],[DESCRIPCION DE TRABAJO]])),""))),"")</f>
        <v/>
      </c>
      <c r="O1410" s="35" t="str" cm="1">
        <f t="array" ref="O1410">_xlfn.TEXTJOIN(", ",TRUE,_xlfn._xlws.FILTER(Tabla28[[#All],[PARTE]],ISNUMBER(SEARCH(Tabla28[[#All],[PCLAVE2]],Tabla8[[#This Row],[DESCRIPCION DE TRABAJO]])),""))</f>
        <v>Mds</v>
      </c>
      <c r="P1410" s="303" t="str">
        <f>IFERROR(LEFT(O1410, FIND(",", O1410)-1), O1410)</f>
        <v>Mds</v>
      </c>
      <c r="Q1410" s="303" t="str">
        <f>IFERROR(IF(ISERROR(FIND(",", O1410, FIND(",", O1410)+1)), RIGHT(O1410, LEN(O1410)-FIND(",", O1410)-1), MID(O1410, FIND(",", O1410)+2, FIND(",", O1410, FIND(",", O1410)+1)-FIND(",", O1410)-2)), "")</f>
        <v/>
      </c>
      <c r="R1410" s="303" t="str">
        <f>IFERROR(RIGHT(O1410, LEN(O1410)-FIND(",", O1410, FIND(",", O1410)+1)-1), "")</f>
        <v/>
      </c>
      <c r="S1410" s="35" t="str" cm="1">
        <f t="array" ref="S1410">_xlfn.TEXTJOIN(", ",TRUE,_xlfn._xlws.FILTER(Tabla29[[#All],[PARTE]],ISNUMBER(SEARCH(Tabla29[[#All],[PCLAVE3]],Tabla8[[#This Row],[DESCRIPCION DE TRABAJO]])),""))</f>
        <v>Cambio De Formato</v>
      </c>
      <c r="T1410" s="34" t="str">
        <f>IF(AND(Tabla8[[#This Row],[PIEZA]]="",Tabla8[[#This Row],[PARTE]]=""),"VACIO","OK")</f>
        <v>OK</v>
      </c>
      <c r="U1410" s="303" t="str">
        <f>+CONCATENATE(WEEKNUM(Tabla8[[#This Row],[FECHA]]),"-",YEAR(Tabla8[[#This Row],[FECHA]]))</f>
        <v>21-2026</v>
      </c>
    </row>
    <row r="1411" spans="1:21" ht="15" customHeight="1">
      <c r="A1411" s="22">
        <v>46162</v>
      </c>
      <c r="B1411" s="16" t="s">
        <v>191</v>
      </c>
      <c r="C1411" s="10" t="s">
        <v>36</v>
      </c>
      <c r="D1411" s="381" t="s">
        <v>883</v>
      </c>
      <c r="E1411" s="381" t="s">
        <v>934</v>
      </c>
      <c r="F1411" s="380">
        <f>+MOD(Tabla8[[#This Row],[HR. FIN]]-Tabla8[[#This Row],[HR. INICIO]],1)</f>
        <v>1.6666666666666663E-2</v>
      </c>
      <c r="G1411" s="16" t="s">
        <v>215</v>
      </c>
      <c r="H1411" s="343" t="str">
        <f>IFERROR(VLOOKUP(G1411,DATOS!$M$2:$N$219,2,FALSE),"")</f>
        <v>Equipos auxiliares</v>
      </c>
      <c r="I1411" s="115" t="s">
        <v>54</v>
      </c>
      <c r="J1411" s="115" t="s">
        <v>157</v>
      </c>
      <c r="K1411" s="114"/>
      <c r="L1411" s="35" t="s">
        <v>248</v>
      </c>
      <c r="M1411" s="35" t="s">
        <v>121</v>
      </c>
      <c r="N1411" s="35" t="str" cm="1">
        <f t="array" ref="N1411">IFERROR(IF(Tabla8[[#This Row],[P/NP]]="NO PROGRAMADA","",_xlfn.TEXTJOIN(", ",TRUE,_xlfn._xlws.FILTER(Tabla4[[#All],[PIEZA]],ISNUMBER(SEARCH(Tabla4[[#All],[PCLAVE]],Tabla8[[#This Row],[DESCRIPCION DE TRABAJO]])),""))),"")</f>
        <v/>
      </c>
      <c r="O1411" s="35" t="str" cm="1">
        <f t="array" ref="O1411">_xlfn.TEXTJOIN(", ",TRUE,_xlfn._xlws.FILTER(Tabla28[[#All],[PARTE]],ISNUMBER(SEARCH(Tabla28[[#All],[PCLAVE2]],Tabla8[[#This Row],[DESCRIPCION DE TRABAJO]])),""))</f>
        <v/>
      </c>
      <c r="P1411" s="303" t="str">
        <f>IFERROR(LEFT(O1411, FIND(",", O1411)-1), O1411)</f>
        <v/>
      </c>
      <c r="Q1411" s="303" t="str">
        <f>IFERROR(IF(ISERROR(FIND(",", O1411, FIND(",", O1411)+1)), RIGHT(O1411, LEN(O1411)-FIND(",", O1411)-1), MID(O1411, FIND(",", O1411)+2, FIND(",", O1411, FIND(",", O1411)+1)-FIND(",", O1411)-2)), "")</f>
        <v/>
      </c>
      <c r="R1411" s="303" t="str">
        <f>IFERROR(RIGHT(O1411, LEN(O1411)-FIND(",", O1411, FIND(",", O1411)+1)-1), "")</f>
        <v/>
      </c>
      <c r="S1411" s="35" t="str" cm="1">
        <f t="array" ref="S1411">_xlfn.TEXTJOIN(", ",TRUE,_xlfn._xlws.FILTER(Tabla29[[#All],[PARTE]],ISNUMBER(SEARCH(Tabla29[[#All],[PCLAVE3]],Tabla8[[#This Row],[DESCRIPCION DE TRABAJO]])),""))</f>
        <v/>
      </c>
      <c r="T1411" s="34" t="str">
        <f>IF(AND(Tabla8[[#This Row],[PIEZA]]="",Tabla8[[#This Row],[PARTE]]=""),"VACIO","OK")</f>
        <v>VACIO</v>
      </c>
      <c r="U1411" s="303" t="str">
        <f>+CONCATENATE(WEEKNUM(Tabla8[[#This Row],[FECHA]]),"-",YEAR(Tabla8[[#This Row],[FECHA]]))</f>
        <v>21-2026</v>
      </c>
    </row>
    <row r="1412" spans="1:21" ht="15" customHeight="1">
      <c r="A1412" s="22">
        <v>46162</v>
      </c>
      <c r="B1412" s="16" t="s">
        <v>191</v>
      </c>
      <c r="C1412" s="10" t="s">
        <v>36</v>
      </c>
      <c r="D1412" s="381" t="s">
        <v>2643</v>
      </c>
      <c r="E1412" s="381" t="s">
        <v>2644</v>
      </c>
      <c r="F1412" s="380">
        <f>+MOD(Tabla8[[#This Row],[HR. FIN]]-Tabla8[[#This Row],[HR. INICIO]],1)</f>
        <v>1.6666666666666663E-2</v>
      </c>
      <c r="G1412" s="16" t="s">
        <v>153</v>
      </c>
      <c r="H1412" s="343" t="str">
        <f>IFERROR(VLOOKUP(G1412,DATOS!$M$2:$N$219,2,FALSE),"")</f>
        <v>Maquinaria</v>
      </c>
      <c r="I1412" s="115" t="s">
        <v>186</v>
      </c>
      <c r="J1412" s="115" t="s">
        <v>92</v>
      </c>
      <c r="K1412" s="114" t="s">
        <v>93</v>
      </c>
      <c r="L1412" s="35" t="s">
        <v>2645</v>
      </c>
      <c r="M1412" s="35" t="s">
        <v>1743</v>
      </c>
      <c r="N1412" s="35" t="str" cm="1">
        <f t="array" ref="N1412">IFERROR(IF(Tabla8[[#This Row],[P/NP]]="NO PROGRAMADA","",_xlfn.TEXTJOIN(", ",TRUE,_xlfn._xlws.FILTER(Tabla4[[#All],[PIEZA]],ISNUMBER(SEARCH(Tabla4[[#All],[PCLAVE]],Tabla8[[#This Row],[DESCRIPCION DE TRABAJO]])),""))),"")</f>
        <v/>
      </c>
      <c r="O1412" s="35" t="str" cm="1">
        <f t="array" ref="O1412">_xlfn.TEXTJOIN(", ",TRUE,_xlfn._xlws.FILTER(Tabla28[[#All],[PARTE]],ISNUMBER(SEARCH(Tabla28[[#All],[PCLAVE2]],Tabla8[[#This Row],[DESCRIPCION DE TRABAJO]])),""))</f>
        <v>Contraelevador</v>
      </c>
      <c r="P1412" s="303" t="str">
        <f>IFERROR(LEFT(O1412, FIND(",", O1412)-1), O1412)</f>
        <v>Contraelevador</v>
      </c>
      <c r="Q1412" s="303" t="str">
        <f>IFERROR(IF(ISERROR(FIND(",", O1412, FIND(",", O1412)+1)), RIGHT(O1412, LEN(O1412)-FIND(",", O1412)-1), MID(O1412, FIND(",", O1412)+2, FIND(",", O1412, FIND(",", O1412)+1)-FIND(",", O1412)-2)), "")</f>
        <v/>
      </c>
      <c r="R1412" s="303" t="str">
        <f>IFERROR(RIGHT(O1412, LEN(O1412)-FIND(",", O1412, FIND(",", O1412)+1)-1), "")</f>
        <v/>
      </c>
      <c r="S1412" s="35" t="str" cm="1">
        <f t="array" ref="S1412">_xlfn.TEXTJOIN(", ",TRUE,_xlfn._xlws.FILTER(Tabla29[[#All],[PARTE]],ISNUMBER(SEARCH(Tabla29[[#All],[PCLAVE3]],Tabla8[[#This Row],[DESCRIPCION DE TRABAJO]])),""))</f>
        <v/>
      </c>
      <c r="T1412" s="34" t="str">
        <f>IF(AND(Tabla8[[#This Row],[PIEZA]]="",Tabla8[[#This Row],[PARTE]]=""),"VACIO","OK")</f>
        <v>OK</v>
      </c>
      <c r="U1412" s="303" t="str">
        <f>+CONCATENATE(WEEKNUM(Tabla8[[#This Row],[FECHA]]),"-",YEAR(Tabla8[[#This Row],[FECHA]]))</f>
        <v>21-2026</v>
      </c>
    </row>
    <row r="1413" spans="1:21" ht="15" customHeight="1">
      <c r="A1413" s="22">
        <v>46162</v>
      </c>
      <c r="B1413" s="16" t="s">
        <v>179</v>
      </c>
      <c r="C1413" s="10" t="s">
        <v>36</v>
      </c>
      <c r="D1413" s="381" t="s">
        <v>456</v>
      </c>
      <c r="E1413" s="381" t="s">
        <v>281</v>
      </c>
      <c r="F1413" s="380">
        <f>+MOD(Tabla8[[#This Row],[HR. FIN]]-Tabla8[[#This Row],[HR. INICIO]],1)</f>
        <v>1.3888888888888951E-2</v>
      </c>
      <c r="G1413" s="16" t="s">
        <v>438</v>
      </c>
      <c r="H1413" s="343" t="str">
        <f>IFERROR(VLOOKUP(G1413,DATOS!$M$2:$N$219,2,FALSE),"")</f>
        <v>Maquinaria</v>
      </c>
      <c r="I1413" s="115" t="s">
        <v>245</v>
      </c>
      <c r="J1413" s="115" t="s">
        <v>157</v>
      </c>
      <c r="K1413" s="114"/>
      <c r="L1413" s="35" t="s">
        <v>2646</v>
      </c>
      <c r="M1413" s="35" t="s">
        <v>2647</v>
      </c>
      <c r="N1413" s="35" t="str" cm="1">
        <f t="array" ref="N1413">IFERROR(IF(Tabla8[[#This Row],[P/NP]]="NO PROGRAMADA","",_xlfn.TEXTJOIN(", ",TRUE,_xlfn._xlws.FILTER(Tabla4[[#All],[PIEZA]],ISNUMBER(SEARCH(Tabla4[[#All],[PCLAVE]],Tabla8[[#This Row],[DESCRIPCION DE TRABAJO]])),""))),"")</f>
        <v>Cadena</v>
      </c>
      <c r="O1413" s="35" t="str" cm="1">
        <f t="array" ref="O1413">_xlfn.TEXTJOIN(", ",TRUE,_xlfn._xlws.FILTER(Tabla28[[#All],[PARTE]],ISNUMBER(SEARCH(Tabla28[[#All],[PCLAVE2]],Tabla8[[#This Row],[DESCRIPCION DE TRABAJO]])),""))</f>
        <v/>
      </c>
      <c r="P1413" s="303" t="str">
        <f>IFERROR(LEFT(O1413, FIND(",", O1413)-1), O1413)</f>
        <v/>
      </c>
      <c r="Q1413" s="303" t="str">
        <f>IFERROR(IF(ISERROR(FIND(",", O1413, FIND(",", O1413)+1)), RIGHT(O1413, LEN(O1413)-FIND(",", O1413)-1), MID(O1413, FIND(",", O1413)+2, FIND(",", O1413, FIND(",", O1413)+1)-FIND(",", O1413)-2)), "")</f>
        <v/>
      </c>
      <c r="R1413" s="303" t="str">
        <f>IFERROR(RIGHT(O1413, LEN(O1413)-FIND(",", O1413, FIND(",", O1413)+1)-1), "")</f>
        <v/>
      </c>
      <c r="S1413" s="35" t="str" cm="1">
        <f t="array" ref="S1413">_xlfn.TEXTJOIN(", ",TRUE,_xlfn._xlws.FILTER(Tabla29[[#All],[PARTE]],ISNUMBER(SEARCH(Tabla29[[#All],[PCLAVE3]],Tabla8[[#This Row],[DESCRIPCION DE TRABAJO]])),""))</f>
        <v>Lubricacion</v>
      </c>
      <c r="T1413" s="34" t="str">
        <f>IF(AND(Tabla8[[#This Row],[PIEZA]]="",Tabla8[[#This Row],[PARTE]]=""),"VACIO","OK")</f>
        <v>OK</v>
      </c>
      <c r="U1413" s="303" t="str">
        <f>+CONCATENATE(WEEKNUM(Tabla8[[#This Row],[FECHA]]),"-",YEAR(Tabla8[[#This Row],[FECHA]]))</f>
        <v>21-2026</v>
      </c>
    </row>
    <row r="1414" spans="1:21" ht="15" customHeight="1">
      <c r="A1414" s="22">
        <v>46162</v>
      </c>
      <c r="B1414" s="16" t="s">
        <v>179</v>
      </c>
      <c r="C1414" s="10" t="s">
        <v>23</v>
      </c>
      <c r="D1414" s="381" t="s">
        <v>453</v>
      </c>
      <c r="E1414" s="381" t="s">
        <v>296</v>
      </c>
      <c r="F1414" s="380">
        <f>+MOD(Tabla8[[#This Row],[HR. FIN]]-Tabla8[[#This Row],[HR. INICIO]],1)</f>
        <v>1.3888888888888951E-2</v>
      </c>
      <c r="G1414" s="16" t="s">
        <v>119</v>
      </c>
      <c r="H1414" s="343" t="str">
        <f>IFERROR(VLOOKUP(G1414,DATOS!$M$2:$N$219,2,FALSE),"")</f>
        <v>Maquinaria</v>
      </c>
      <c r="I1414" s="115" t="s">
        <v>57</v>
      </c>
      <c r="J1414" s="115" t="s">
        <v>92</v>
      </c>
      <c r="K1414" s="114" t="s">
        <v>93</v>
      </c>
      <c r="L1414" s="35" t="s">
        <v>2648</v>
      </c>
      <c r="M1414" s="35" t="s">
        <v>2649</v>
      </c>
      <c r="N1414" s="35" t="str" cm="1">
        <f t="array" ref="N1414">IFERROR(IF(Tabla8[[#This Row],[P/NP]]="NO PROGRAMADA","",_xlfn.TEXTJOIN(", ",TRUE,_xlfn._xlws.FILTER(Tabla4[[#All],[PIEZA]],ISNUMBER(SEARCH(Tabla4[[#All],[PCLAVE]],Tabla8[[#This Row],[DESCRIPCION DE TRABAJO]])),""))),"")</f>
        <v/>
      </c>
      <c r="O1414" s="35" t="str" cm="1">
        <f t="array" ref="O1414">_xlfn.TEXTJOIN(", ",TRUE,_xlfn._xlws.FILTER(Tabla28[[#All],[PARTE]],ISNUMBER(SEARCH(Tabla28[[#All],[PCLAVE2]],Tabla8[[#This Row],[DESCRIPCION DE TRABAJO]])),""))</f>
        <v/>
      </c>
      <c r="P1414" s="303" t="str">
        <f>IFERROR(LEFT(O1414, FIND(",", O1414)-1), O1414)</f>
        <v/>
      </c>
      <c r="Q1414" s="303" t="str">
        <f>IFERROR(IF(ISERROR(FIND(",", O1414, FIND(",", O1414)+1)), RIGHT(O1414, LEN(O1414)-FIND(",", O1414)-1), MID(O1414, FIND(",", O1414)+2, FIND(",", O1414, FIND(",", O1414)+1)-FIND(",", O1414)-2)), "")</f>
        <v/>
      </c>
      <c r="R1414" s="303" t="str">
        <f>IFERROR(RIGHT(O1414, LEN(O1414)-FIND(",", O1414, FIND(",", O1414)+1)-1), "")</f>
        <v/>
      </c>
      <c r="S1414" s="35" t="str" cm="1">
        <f t="array" ref="S1414">_xlfn.TEXTJOIN(", ",TRUE,_xlfn._xlws.FILTER(Tabla29[[#All],[PARTE]],ISNUMBER(SEARCH(Tabla29[[#All],[PCLAVE3]],Tabla8[[#This Row],[DESCRIPCION DE TRABAJO]])),""))</f>
        <v/>
      </c>
      <c r="T1414" s="34" t="str">
        <f>IF(AND(Tabla8[[#This Row],[PIEZA]]="",Tabla8[[#This Row],[PARTE]]=""),"VACIO","OK")</f>
        <v>VACIO</v>
      </c>
      <c r="U1414" s="303" t="str">
        <f>+CONCATENATE(WEEKNUM(Tabla8[[#This Row],[FECHA]]),"-",YEAR(Tabla8[[#This Row],[FECHA]]))</f>
        <v>21-2026</v>
      </c>
    </row>
    <row r="1415" spans="1:21" ht="15" customHeight="1">
      <c r="A1415" s="22">
        <v>46162</v>
      </c>
      <c r="B1415" s="16" t="s">
        <v>131</v>
      </c>
      <c r="C1415" s="10" t="s">
        <v>39</v>
      </c>
      <c r="D1415" s="381" t="s">
        <v>873</v>
      </c>
      <c r="E1415" s="381" t="s">
        <v>316</v>
      </c>
      <c r="F1415" s="380">
        <f>+MOD(Tabla8[[#This Row],[HR. FIN]]-Tabla8[[#This Row],[HR. INICIO]],1)</f>
        <v>1.3888888888888895E-2</v>
      </c>
      <c r="G1415" s="16" t="s">
        <v>438</v>
      </c>
      <c r="H1415" s="343" t="str">
        <f>IFERROR(VLOOKUP(G1415,DATOS!$M$2:$N$219,2,FALSE),"")</f>
        <v>Maquinaria</v>
      </c>
      <c r="I1415" s="115" t="s">
        <v>61</v>
      </c>
      <c r="J1415" s="115" t="s">
        <v>92</v>
      </c>
      <c r="K1415" s="114" t="s">
        <v>148</v>
      </c>
      <c r="L1415" s="35" t="s">
        <v>2650</v>
      </c>
      <c r="M1415" s="35" t="s">
        <v>2651</v>
      </c>
      <c r="N1415" s="35" t="str" cm="1">
        <f t="array" ref="N1415">IFERROR(IF(Tabla8[[#This Row],[P/NP]]="NO PROGRAMADA","",_xlfn.TEXTJOIN(", ",TRUE,_xlfn._xlws.FILTER(Tabla4[[#All],[PIEZA]],ISNUMBER(SEARCH(Tabla4[[#All],[PCLAVE]],Tabla8[[#This Row],[DESCRIPCION DE TRABAJO]])),""))),"")</f>
        <v/>
      </c>
      <c r="O1415" s="35" t="str" cm="1">
        <f t="array" ref="O1415">_xlfn.TEXTJOIN(", ",TRUE,_xlfn._xlws.FILTER(Tabla28[[#All],[PARTE]],ISNUMBER(SEARCH(Tabla28[[#All],[PCLAVE2]],Tabla8[[#This Row],[DESCRIPCION DE TRABAJO]])),""))</f>
        <v>Codificador</v>
      </c>
      <c r="P1415" s="303" t="str">
        <f>IFERROR(LEFT(O1415, FIND(",", O1415)-1), O1415)</f>
        <v>Codificador</v>
      </c>
      <c r="Q1415" s="303" t="str">
        <f>IFERROR(IF(ISERROR(FIND(",", O1415, FIND(",", O1415)+1)), RIGHT(O1415, LEN(O1415)-FIND(",", O1415)-1), MID(O1415, FIND(",", O1415)+2, FIND(",", O1415, FIND(",", O1415)+1)-FIND(",", O1415)-2)), "")</f>
        <v/>
      </c>
      <c r="R1415" s="303" t="str">
        <f>IFERROR(RIGHT(O1415, LEN(O1415)-FIND(",", O1415, FIND(",", O1415)+1)-1), "")</f>
        <v/>
      </c>
      <c r="S1415" s="35" t="str" cm="1">
        <f t="array" ref="S1415">_xlfn.TEXTJOIN(", ",TRUE,_xlfn._xlws.FILTER(Tabla29[[#All],[PARTE]],ISNUMBER(SEARCH(Tabla29[[#All],[PCLAVE3]],Tabla8[[#This Row],[DESCRIPCION DE TRABAJO]])),""))</f>
        <v>Borrosa</v>
      </c>
      <c r="T1415" s="34" t="str">
        <f>IF(AND(Tabla8[[#This Row],[PIEZA]]="",Tabla8[[#This Row],[PARTE]]=""),"VACIO","OK")</f>
        <v>OK</v>
      </c>
      <c r="U1415" s="303" t="str">
        <f>+CONCATENATE(WEEKNUM(Tabla8[[#This Row],[FECHA]]),"-",YEAR(Tabla8[[#This Row],[FECHA]]))</f>
        <v>21-2026</v>
      </c>
    </row>
    <row r="1416" spans="1:21" ht="15" customHeight="1">
      <c r="A1416" s="22">
        <v>46162</v>
      </c>
      <c r="B1416" s="16" t="s">
        <v>131</v>
      </c>
      <c r="C1416" s="10" t="s">
        <v>39</v>
      </c>
      <c r="D1416" s="381" t="s">
        <v>171</v>
      </c>
      <c r="E1416" s="381" t="s">
        <v>1620</v>
      </c>
      <c r="F1416" s="380">
        <f>+MOD(Tabla8[[#This Row],[HR. FIN]]-Tabla8[[#This Row],[HR. INICIO]],1)</f>
        <v>1.388888888888884E-2</v>
      </c>
      <c r="G1416" s="16" t="s">
        <v>31</v>
      </c>
      <c r="H1416" s="343" t="str">
        <f>IFERROR(VLOOKUP(G1416,DATOS!$M$2:$N$219,2,FALSE),"")</f>
        <v>Maquinaria</v>
      </c>
      <c r="I1416" s="115" t="s">
        <v>32</v>
      </c>
      <c r="J1416" s="115" t="s">
        <v>157</v>
      </c>
      <c r="K1416" s="114"/>
      <c r="L1416" s="35" t="s">
        <v>2652</v>
      </c>
      <c r="M1416" s="35" t="s">
        <v>2653</v>
      </c>
      <c r="N1416" s="35" t="str" cm="1">
        <f t="array" ref="N1416">IFERROR(IF(Tabla8[[#This Row],[P/NP]]="NO PROGRAMADA","",_xlfn.TEXTJOIN(", ",TRUE,_xlfn._xlws.FILTER(Tabla4[[#All],[PIEZA]],ISNUMBER(SEARCH(Tabla4[[#All],[PCLAVE]],Tabla8[[#This Row],[DESCRIPCION DE TRABAJO]])),""))),"")</f>
        <v/>
      </c>
      <c r="O1416" s="35" t="str" cm="1">
        <f t="array" ref="O1416">_xlfn.TEXTJOIN(", ",TRUE,_xlfn._xlws.FILTER(Tabla28[[#All],[PARTE]],ISNUMBER(SEARCH(Tabla28[[#All],[PCLAVE2]],Tabla8[[#This Row],[DESCRIPCION DE TRABAJO]])),""))</f>
        <v/>
      </c>
      <c r="P1416" s="303" t="str">
        <f>IFERROR(LEFT(O1416, FIND(",", O1416)-1), O1416)</f>
        <v/>
      </c>
      <c r="Q1416" s="303" t="str">
        <f>IFERROR(IF(ISERROR(FIND(",", O1416, FIND(",", O1416)+1)), RIGHT(O1416, LEN(O1416)-FIND(",", O1416)-1), MID(O1416, FIND(",", O1416)+2, FIND(",", O1416, FIND(",", O1416)+1)-FIND(",", O1416)-2)), "")</f>
        <v/>
      </c>
      <c r="R1416" s="303" t="str">
        <f>IFERROR(RIGHT(O1416, LEN(O1416)-FIND(",", O1416, FIND(",", O1416)+1)-1), "")</f>
        <v/>
      </c>
      <c r="S1416" s="35" t="str" cm="1">
        <f t="array" ref="S1416">_xlfn.TEXTJOIN(", ",TRUE,_xlfn._xlws.FILTER(Tabla29[[#All],[PARTE]],ISNUMBER(SEARCH(Tabla29[[#All],[PCLAVE3]],Tabla8[[#This Row],[DESCRIPCION DE TRABAJO]])),""))</f>
        <v>Cambio De Formato</v>
      </c>
      <c r="T1416" s="34" t="str">
        <f>IF(AND(Tabla8[[#This Row],[PIEZA]]="",Tabla8[[#This Row],[PARTE]]=""),"VACIO","OK")</f>
        <v>VACIO</v>
      </c>
      <c r="U1416" s="303" t="str">
        <f>+CONCATENATE(WEEKNUM(Tabla8[[#This Row],[FECHA]]),"-",YEAR(Tabla8[[#This Row],[FECHA]]))</f>
        <v>21-2026</v>
      </c>
    </row>
    <row r="1417" spans="1:21" ht="15" customHeight="1">
      <c r="A1417" s="22">
        <v>46162</v>
      </c>
      <c r="B1417" s="16" t="s">
        <v>191</v>
      </c>
      <c r="C1417" s="10" t="s">
        <v>36</v>
      </c>
      <c r="D1417" s="381" t="s">
        <v>1688</v>
      </c>
      <c r="E1417" s="381" t="s">
        <v>2619</v>
      </c>
      <c r="F1417" s="380">
        <f>+MOD(Tabla8[[#This Row],[HR. FIN]]-Tabla8[[#This Row],[HR. INICIO]],1)</f>
        <v>1.1111111111111072E-2</v>
      </c>
      <c r="G1417" s="16" t="s">
        <v>31</v>
      </c>
      <c r="H1417" s="343" t="str">
        <f>IFERROR(VLOOKUP(G1417,DATOS!$M$2:$N$219,2,FALSE),"")</f>
        <v>Maquinaria</v>
      </c>
      <c r="I1417" s="115" t="s">
        <v>57</v>
      </c>
      <c r="J1417" s="115" t="s">
        <v>92</v>
      </c>
      <c r="K1417" s="114" t="s">
        <v>148</v>
      </c>
      <c r="L1417" s="35" t="s">
        <v>2620</v>
      </c>
      <c r="M1417" s="35" t="s">
        <v>2621</v>
      </c>
      <c r="N1417" s="35" t="str" cm="1">
        <f t="array" ref="N1417">IFERROR(IF(Tabla8[[#This Row],[P/NP]]="NO PROGRAMADA","",_xlfn.TEXTJOIN(", ",TRUE,_xlfn._xlws.FILTER(Tabla4[[#All],[PIEZA]],ISNUMBER(SEARCH(Tabla4[[#All],[PCLAVE]],Tabla8[[#This Row],[DESCRIPCION DE TRABAJO]])),""))),"")</f>
        <v/>
      </c>
      <c r="O1417" s="35" t="str" cm="1">
        <f t="array" ref="O1417">_xlfn.TEXTJOIN(", ",TRUE,_xlfn._xlws.FILTER(Tabla28[[#All],[PARTE]],ISNUMBER(SEARCH(Tabla28[[#All],[PCLAVE2]],Tabla8[[#This Row],[DESCRIPCION DE TRABAJO]])),""))</f>
        <v>Codificador</v>
      </c>
      <c r="P1417" s="303" t="str">
        <f>IFERROR(LEFT(O1417, FIND(",", O1417)-1), O1417)</f>
        <v>Codificador</v>
      </c>
      <c r="Q1417" s="303" t="str">
        <f>IFERROR(IF(ISERROR(FIND(",", O1417, FIND(",", O1417)+1)), RIGHT(O1417, LEN(O1417)-FIND(",", O1417)-1), MID(O1417, FIND(",", O1417)+2, FIND(",", O1417, FIND(",", O1417)+1)-FIND(",", O1417)-2)), "")</f>
        <v/>
      </c>
      <c r="R1417" s="303" t="str">
        <f>IFERROR(RIGHT(O1417, LEN(O1417)-FIND(",", O1417, FIND(",", O1417)+1)-1), "")</f>
        <v/>
      </c>
      <c r="S1417" s="35" t="str" cm="1">
        <f t="array" ref="S1417">_xlfn.TEXTJOIN(", ",TRUE,_xlfn._xlws.FILTER(Tabla29[[#All],[PARTE]],ISNUMBER(SEARCH(Tabla29[[#All],[PCLAVE3]],Tabla8[[#This Row],[DESCRIPCION DE TRABAJO]])),""))</f>
        <v>No Codifica</v>
      </c>
      <c r="T1417" s="34" t="str">
        <f>IF(AND(Tabla8[[#This Row],[PIEZA]]="",Tabla8[[#This Row],[PARTE]]=""),"VACIO","OK")</f>
        <v>OK</v>
      </c>
      <c r="U1417" s="303" t="str">
        <f>+CONCATENATE(WEEKNUM(Tabla8[[#This Row],[FECHA]]),"-",YEAR(Tabla8[[#This Row],[FECHA]]))</f>
        <v>21-2026</v>
      </c>
    </row>
    <row r="1418" spans="1:21" ht="15" customHeight="1">
      <c r="A1418" s="22">
        <v>46162</v>
      </c>
      <c r="B1418" s="16" t="s">
        <v>131</v>
      </c>
      <c r="C1418" s="10" t="s">
        <v>39</v>
      </c>
      <c r="D1418" s="381" t="s">
        <v>155</v>
      </c>
      <c r="E1418" s="381" t="s">
        <v>1446</v>
      </c>
      <c r="F1418" s="380">
        <f>+MOD(Tabla8[[#This Row],[HR. FIN]]-Tabla8[[#This Row],[HR. INICIO]],1)</f>
        <v>1.0416666666666668E-2</v>
      </c>
      <c r="G1418" s="16" t="s">
        <v>1636</v>
      </c>
      <c r="H1418" s="343" t="str">
        <f>IFERROR(VLOOKUP(G1418,DATOS!$M$2:$N$219,2,FALSE),"")</f>
        <v>Maquinaria</v>
      </c>
      <c r="I1418" s="115" t="s">
        <v>186</v>
      </c>
      <c r="J1418" s="115" t="s">
        <v>92</v>
      </c>
      <c r="K1418" s="114" t="s">
        <v>93</v>
      </c>
      <c r="L1418" s="35" t="s">
        <v>2654</v>
      </c>
      <c r="M1418" s="35" t="s">
        <v>2655</v>
      </c>
      <c r="N1418" s="35" t="str" cm="1">
        <f t="array" ref="N1418">IFERROR(IF(Tabla8[[#This Row],[P/NP]]="NO PROGRAMADA","",_xlfn.TEXTJOIN(", ",TRUE,_xlfn._xlws.FILTER(Tabla4[[#All],[PIEZA]],ISNUMBER(SEARCH(Tabla4[[#All],[PCLAVE]],Tabla8[[#This Row],[DESCRIPCION DE TRABAJO]])),""))),"")</f>
        <v/>
      </c>
      <c r="O1418" s="35" t="str" cm="1">
        <f t="array" ref="O1418">_xlfn.TEXTJOIN(", ",TRUE,_xlfn._xlws.FILTER(Tabla28[[#All],[PARTE]],ISNUMBER(SEARCH(Tabla28[[#All],[PCLAVE2]],Tabla8[[#This Row],[DESCRIPCION DE TRABAJO]])),""))</f>
        <v>Columna</v>
      </c>
      <c r="P1418" s="303" t="str">
        <f>IFERROR(LEFT(O1418, FIND(",", O1418)-1), O1418)</f>
        <v>Columna</v>
      </c>
      <c r="Q1418" s="303" t="str">
        <f>IFERROR(IF(ISERROR(FIND(",", O1418, FIND(",", O1418)+1)), RIGHT(O1418, LEN(O1418)-FIND(",", O1418)-1), MID(O1418, FIND(",", O1418)+2, FIND(",", O1418, FIND(",", O1418)+1)-FIND(",", O1418)-2)), "")</f>
        <v/>
      </c>
      <c r="R1418" s="303" t="str">
        <f>IFERROR(RIGHT(O1418, LEN(O1418)-FIND(",", O1418, FIND(",", O1418)+1)-1), "")</f>
        <v/>
      </c>
      <c r="S1418" s="35" t="str" cm="1">
        <f t="array" ref="S1418">_xlfn.TEXTJOIN(", ",TRUE,_xlfn._xlws.FILTER(Tabla29[[#All],[PARTE]],ISNUMBER(SEARCH(Tabla29[[#All],[PCLAVE3]],Tabla8[[#This Row],[DESCRIPCION DE TRABAJO]])),""))</f>
        <v>Bloqueado, No Cae Producto</v>
      </c>
      <c r="T1418" s="34" t="str">
        <f>IF(AND(Tabla8[[#This Row],[PIEZA]]="",Tabla8[[#This Row],[PARTE]]=""),"VACIO","OK")</f>
        <v>OK</v>
      </c>
      <c r="U1418" s="303" t="str">
        <f>+CONCATENATE(WEEKNUM(Tabla8[[#This Row],[FECHA]]),"-",YEAR(Tabla8[[#This Row],[FECHA]]))</f>
        <v>21-2026</v>
      </c>
    </row>
    <row r="1419" spans="1:21" ht="15" customHeight="1">
      <c r="A1419" s="22">
        <v>46162</v>
      </c>
      <c r="B1419" s="16" t="s">
        <v>179</v>
      </c>
      <c r="C1419" s="10" t="s">
        <v>23</v>
      </c>
      <c r="D1419" s="381" t="s">
        <v>608</v>
      </c>
      <c r="E1419" s="381" t="s">
        <v>107</v>
      </c>
      <c r="F1419" s="380">
        <f>+MOD(Tabla8[[#This Row],[HR. FIN]]-Tabla8[[#This Row],[HR. INICIO]],1)</f>
        <v>1.041666666666663E-2</v>
      </c>
      <c r="G1419" s="16" t="s">
        <v>119</v>
      </c>
      <c r="H1419" s="343" t="str">
        <f>IFERROR(VLOOKUP(G1419,DATOS!$M$2:$N$219,2,FALSE),"")</f>
        <v>Maquinaria</v>
      </c>
      <c r="I1419" s="115" t="s">
        <v>54</v>
      </c>
      <c r="J1419" s="115" t="s">
        <v>157</v>
      </c>
      <c r="K1419" s="114"/>
      <c r="L1419" s="35" t="s">
        <v>2656</v>
      </c>
      <c r="M1419" s="35" t="s">
        <v>121</v>
      </c>
      <c r="N1419" s="35" t="str" cm="1">
        <f t="array" ref="N1419">IFERROR(IF(Tabla8[[#This Row],[P/NP]]="NO PROGRAMADA","",_xlfn.TEXTJOIN(", ",TRUE,_xlfn._xlws.FILTER(Tabla4[[#All],[PIEZA]],ISNUMBER(SEARCH(Tabla4[[#All],[PCLAVE]],Tabla8[[#This Row],[DESCRIPCION DE TRABAJO]])),""))),"")</f>
        <v/>
      </c>
      <c r="O1419" s="35" t="str" cm="1">
        <f t="array" ref="O1419">_xlfn.TEXTJOIN(", ",TRUE,_xlfn._xlws.FILTER(Tabla28[[#All],[PARTE]],ISNUMBER(SEARCH(Tabla28[[#All],[PCLAVE2]],Tabla8[[#This Row],[DESCRIPCION DE TRABAJO]])),""))</f>
        <v>Temperadora</v>
      </c>
      <c r="P1419" s="303" t="str">
        <f>IFERROR(LEFT(O1419, FIND(",", O1419)-1), O1419)</f>
        <v>Temperadora</v>
      </c>
      <c r="Q1419" s="303" t="str">
        <f>IFERROR(IF(ISERROR(FIND(",", O1419, FIND(",", O1419)+1)), RIGHT(O1419, LEN(O1419)-FIND(",", O1419)-1), MID(O1419, FIND(",", O1419)+2, FIND(",", O1419, FIND(",", O1419)+1)-FIND(",", O1419)-2)), "")</f>
        <v/>
      </c>
      <c r="R1419" s="303" t="str">
        <f>IFERROR(RIGHT(O1419, LEN(O1419)-FIND(",", O1419, FIND(",", O1419)+1)-1), "")</f>
        <v/>
      </c>
      <c r="S1419" s="35" t="str" cm="1">
        <f t="array" ref="S1419">_xlfn.TEXTJOIN(", ",TRUE,_xlfn._xlws.FILTER(Tabla29[[#All],[PARTE]],ISNUMBER(SEARCH(Tabla29[[#All],[PCLAVE3]],Tabla8[[#This Row],[DESCRIPCION DE TRABAJO]])),""))</f>
        <v/>
      </c>
      <c r="T1419" s="34" t="str">
        <f>IF(AND(Tabla8[[#This Row],[PIEZA]]="",Tabla8[[#This Row],[PARTE]]=""),"VACIO","OK")</f>
        <v>OK</v>
      </c>
      <c r="U1419" s="303" t="str">
        <f>+CONCATENATE(WEEKNUM(Tabla8[[#This Row],[FECHA]]),"-",YEAR(Tabla8[[#This Row],[FECHA]]))</f>
        <v>21-2026</v>
      </c>
    </row>
    <row r="1420" spans="1:21" ht="15" customHeight="1">
      <c r="A1420" s="22">
        <v>46162</v>
      </c>
      <c r="B1420" s="16" t="s">
        <v>131</v>
      </c>
      <c r="C1420" s="10" t="s">
        <v>39</v>
      </c>
      <c r="D1420" s="381" t="s">
        <v>2657</v>
      </c>
      <c r="E1420" s="381" t="s">
        <v>2658</v>
      </c>
      <c r="F1420" s="380">
        <f>+MOD(Tabla8[[#This Row],[HR. FIN]]-Tabla8[[#This Row],[HR. INICIO]],1)</f>
        <v>9.7222222222222154E-3</v>
      </c>
      <c r="G1420" s="16" t="s">
        <v>270</v>
      </c>
      <c r="H1420" s="343" t="str">
        <f>IFERROR(VLOOKUP(G1420,DATOS!$M$2:$N$219,2,FALSE),"")</f>
        <v>Maquinaria</v>
      </c>
      <c r="I1420" s="115" t="s">
        <v>57</v>
      </c>
      <c r="J1420" s="115" t="s">
        <v>92</v>
      </c>
      <c r="K1420" s="114" t="s">
        <v>148</v>
      </c>
      <c r="L1420" s="35" t="s">
        <v>2659</v>
      </c>
      <c r="M1420" s="35" t="s">
        <v>2660</v>
      </c>
      <c r="N1420" s="35" t="str" cm="1">
        <f t="array" ref="N1420">IFERROR(IF(Tabla8[[#This Row],[P/NP]]="NO PROGRAMADA","",_xlfn.TEXTJOIN(", ",TRUE,_xlfn._xlws.FILTER(Tabla4[[#All],[PIEZA]],ISNUMBER(SEARCH(Tabla4[[#All],[PCLAVE]],Tabla8[[#This Row],[DESCRIPCION DE TRABAJO]])),""))),"")</f>
        <v/>
      </c>
      <c r="O1420" s="35" t="str" cm="1">
        <f t="array" ref="O1420">_xlfn.TEXTJOIN(", ",TRUE,_xlfn._xlws.FILTER(Tabla28[[#All],[PARTE]],ISNUMBER(SEARCH(Tabla28[[#All],[PCLAVE2]],Tabla8[[#This Row],[DESCRIPCION DE TRABAJO]])),""))</f>
        <v>Robot</v>
      </c>
      <c r="P1420" s="303" t="str">
        <f>IFERROR(LEFT(O1420, FIND(",", O1420)-1), O1420)</f>
        <v>Robot</v>
      </c>
      <c r="Q1420" s="303" t="str">
        <f>IFERROR(IF(ISERROR(FIND(",", O1420, FIND(",", O1420)+1)), RIGHT(O1420, LEN(O1420)-FIND(",", O1420)-1), MID(O1420, FIND(",", O1420)+2, FIND(",", O1420, FIND(",", O1420)+1)-FIND(",", O1420)-2)), "")</f>
        <v/>
      </c>
      <c r="R1420" s="303" t="str">
        <f>IFERROR(RIGHT(O1420, LEN(O1420)-FIND(",", O1420, FIND(",", O1420)+1)-1), "")</f>
        <v/>
      </c>
      <c r="S1420" s="35" t="str" cm="1">
        <f t="array" ref="S1420">_xlfn.TEXTJOIN(", ",TRUE,_xlfn._xlws.FILTER(Tabla29[[#All],[PARTE]],ISNUMBER(SEARCH(Tabla29[[#All],[PCLAVE3]],Tabla8[[#This Row],[DESCRIPCION DE TRABAJO]])),""))</f>
        <v>Desmolde, No Desmolda</v>
      </c>
      <c r="T1420" s="34" t="str">
        <f>IF(AND(Tabla8[[#This Row],[PIEZA]]="",Tabla8[[#This Row],[PARTE]]=""),"VACIO","OK")</f>
        <v>OK</v>
      </c>
      <c r="U1420" s="303" t="str">
        <f>+CONCATENATE(WEEKNUM(Tabla8[[#This Row],[FECHA]]),"-",YEAR(Tabla8[[#This Row],[FECHA]]))</f>
        <v>21-2026</v>
      </c>
    </row>
    <row r="1421" spans="1:21" ht="15" customHeight="1">
      <c r="A1421" s="22">
        <v>46162</v>
      </c>
      <c r="B1421" s="16" t="s">
        <v>179</v>
      </c>
      <c r="C1421" s="10" t="s">
        <v>23</v>
      </c>
      <c r="D1421" s="381" t="s">
        <v>2061</v>
      </c>
      <c r="E1421" s="381" t="s">
        <v>468</v>
      </c>
      <c r="F1421" s="380">
        <f>+MOD(Tabla8[[#This Row],[HR. FIN]]-Tabla8[[#This Row],[HR. INICIO]],1)</f>
        <v>6.9444444444444198E-3</v>
      </c>
      <c r="G1421" s="16" t="s">
        <v>965</v>
      </c>
      <c r="H1421" s="343" t="str">
        <f>IFERROR(VLOOKUP(G1421,DATOS!$M$2:$N$219,2,FALSE),"")</f>
        <v>Maquinaria</v>
      </c>
      <c r="I1421" s="115" t="s">
        <v>390</v>
      </c>
      <c r="J1421" s="115" t="s">
        <v>92</v>
      </c>
      <c r="K1421" s="114" t="s">
        <v>93</v>
      </c>
      <c r="L1421" s="35" t="s">
        <v>2661</v>
      </c>
      <c r="M1421" s="35" t="s">
        <v>2662</v>
      </c>
      <c r="N1421" s="35" t="str" cm="1">
        <f t="array" ref="N1421">IFERROR(IF(Tabla8[[#This Row],[P/NP]]="NO PROGRAMADA","",_xlfn.TEXTJOIN(", ",TRUE,_xlfn._xlws.FILTER(Tabla4[[#All],[PIEZA]],ISNUMBER(SEARCH(Tabla4[[#All],[PCLAVE]],Tabla8[[#This Row],[DESCRIPCION DE TRABAJO]])),""))),"")</f>
        <v/>
      </c>
      <c r="O1421" s="35" t="str" cm="1">
        <f t="array" ref="O1421">_xlfn.TEXTJOIN(", ",TRUE,_xlfn._xlws.FILTER(Tabla28[[#All],[PARTE]],ISNUMBER(SEARCH(Tabla28[[#All],[PCLAVE2]],Tabla8[[#This Row],[DESCRIPCION DE TRABAJO]])),""))</f>
        <v/>
      </c>
      <c r="P1421" s="303" t="str">
        <f>IFERROR(LEFT(O1421, FIND(",", O1421)-1), O1421)</f>
        <v/>
      </c>
      <c r="Q1421" s="303" t="str">
        <f>IFERROR(IF(ISERROR(FIND(",", O1421, FIND(",", O1421)+1)), RIGHT(O1421, LEN(O1421)-FIND(",", O1421)-1), MID(O1421, FIND(",", O1421)+2, FIND(",", O1421, FIND(",", O1421)+1)-FIND(",", O1421)-2)), "")</f>
        <v/>
      </c>
      <c r="R1421" s="303" t="str">
        <f>IFERROR(RIGHT(O1421, LEN(O1421)-FIND(",", O1421, FIND(",", O1421)+1)-1), "")</f>
        <v/>
      </c>
      <c r="S1421" s="35" t="str" cm="1">
        <f t="array" ref="S1421">_xlfn.TEXTJOIN(", ",TRUE,_xlfn._xlws.FILTER(Tabla29[[#All],[PARTE]],ISNUMBER(SEARCH(Tabla29[[#All],[PCLAVE3]],Tabla8[[#This Row],[DESCRIPCION DE TRABAJO]])),""))</f>
        <v/>
      </c>
      <c r="T1421" s="34" t="str">
        <f>IF(AND(Tabla8[[#This Row],[PIEZA]]="",Tabla8[[#This Row],[PARTE]]=""),"VACIO","OK")</f>
        <v>VACIO</v>
      </c>
      <c r="U1421" s="303" t="str">
        <f>+CONCATENATE(WEEKNUM(Tabla8[[#This Row],[FECHA]]),"-",YEAR(Tabla8[[#This Row],[FECHA]]))</f>
        <v>21-2026</v>
      </c>
    </row>
    <row r="1422" spans="1:21" ht="15" customHeight="1">
      <c r="A1422" s="22">
        <v>46163</v>
      </c>
      <c r="B1422" s="16" t="s">
        <v>88</v>
      </c>
      <c r="C1422" s="10" t="s">
        <v>36</v>
      </c>
      <c r="D1422" s="381" t="s">
        <v>404</v>
      </c>
      <c r="E1422" s="381" t="s">
        <v>2415</v>
      </c>
      <c r="F1422" s="380">
        <f>+MOD(Tabla8[[#This Row],[HR. FIN]]-Tabla8[[#This Row],[HR. INICIO]],1)</f>
        <v>8.3333333333333315E-2</v>
      </c>
      <c r="G1422" s="16" t="s">
        <v>266</v>
      </c>
      <c r="H1422" s="343" t="str">
        <f>IFERROR(VLOOKUP(G1422,DATOS!$M$2:$N$219,2,FALSE),"")</f>
        <v>Maquinaria</v>
      </c>
      <c r="I1422" s="115" t="s">
        <v>32</v>
      </c>
      <c r="J1422" s="115" t="s">
        <v>157</v>
      </c>
      <c r="K1422" s="114"/>
      <c r="L1422" s="35" t="s">
        <v>2663</v>
      </c>
      <c r="M1422" s="35" t="s">
        <v>2664</v>
      </c>
      <c r="N1422" s="35" t="str" cm="1">
        <f t="array" ref="N1422">IFERROR(IF(Tabla8[[#This Row],[P/NP]]="NO PROGRAMADA","",_xlfn.TEXTJOIN(", ",TRUE,_xlfn._xlws.FILTER(Tabla4[[#All],[PIEZA]],ISNUMBER(SEARCH(Tabla4[[#All],[PCLAVE]],Tabla8[[#This Row],[DESCRIPCION DE TRABAJO]])),""))),"")</f>
        <v>Tuberias</v>
      </c>
      <c r="O1422" s="35" t="str" cm="1">
        <f t="array" ref="O1422">_xlfn.TEXTJOIN(", ",TRUE,_xlfn._xlws.FILTER(Tabla28[[#All],[PARTE]],ISNUMBER(SEARCH(Tabla28[[#All],[PCLAVE2]],Tabla8[[#This Row],[DESCRIPCION DE TRABAJO]])),""))</f>
        <v/>
      </c>
      <c r="P1422" s="303" t="str">
        <f>IFERROR(LEFT(O1422, FIND(",", O1422)-1), O1422)</f>
        <v/>
      </c>
      <c r="Q1422" s="303" t="str">
        <f>IFERROR(IF(ISERROR(FIND(",", O1422, FIND(",", O1422)+1)), RIGHT(O1422, LEN(O1422)-FIND(",", O1422)-1), MID(O1422, FIND(",", O1422)+2, FIND(",", O1422, FIND(",", O1422)+1)-FIND(",", O1422)-2)), "")</f>
        <v/>
      </c>
      <c r="R1422" s="303" t="str">
        <f>IFERROR(RIGHT(O1422, LEN(O1422)-FIND(",", O1422, FIND(",", O1422)+1)-1), "")</f>
        <v/>
      </c>
      <c r="S1422" s="35" t="str" cm="1">
        <f t="array" ref="S1422">_xlfn.TEXTJOIN(", ",TRUE,_xlfn._xlws.FILTER(Tabla29[[#All],[PARTE]],ISNUMBER(SEARCH(Tabla29[[#All],[PCLAVE3]],Tabla8[[#This Row],[DESCRIPCION DE TRABAJO]])),""))</f>
        <v/>
      </c>
      <c r="T1422" s="34" t="str">
        <f>IF(AND(Tabla8[[#This Row],[PIEZA]]="",Tabla8[[#This Row],[PARTE]]=""),"VACIO","OK")</f>
        <v>OK</v>
      </c>
      <c r="U1422" s="303" t="str">
        <f>+CONCATENATE(WEEKNUM(Tabla8[[#This Row],[FECHA]]),"-",YEAR(Tabla8[[#This Row],[FECHA]]))</f>
        <v>21-2026</v>
      </c>
    </row>
    <row r="1423" spans="1:21" ht="15" customHeight="1">
      <c r="A1423" s="22">
        <v>46163</v>
      </c>
      <c r="B1423" s="16" t="s">
        <v>191</v>
      </c>
      <c r="C1423" s="10" t="s">
        <v>36</v>
      </c>
      <c r="D1423" s="381" t="s">
        <v>2665</v>
      </c>
      <c r="E1423" s="381" t="s">
        <v>2666</v>
      </c>
      <c r="F1423" s="380">
        <f>+MOD(Tabla8[[#This Row],[HR. FIN]]-Tabla8[[#This Row],[HR. INICIO]],1)</f>
        <v>6.8750000000000089E-2</v>
      </c>
      <c r="G1423" s="16" t="s">
        <v>119</v>
      </c>
      <c r="H1423" s="343" t="str">
        <f>IFERROR(VLOOKUP(G1423,DATOS!$M$2:$N$219,2,FALSE),"")</f>
        <v>Maquinaria</v>
      </c>
      <c r="I1423" s="115" t="s">
        <v>186</v>
      </c>
      <c r="J1423" s="115" t="s">
        <v>92</v>
      </c>
      <c r="K1423" s="114" t="s">
        <v>93</v>
      </c>
      <c r="L1423" s="35" t="s">
        <v>2667</v>
      </c>
      <c r="M1423" s="35" t="s">
        <v>2668</v>
      </c>
      <c r="N1423" s="35" t="str" cm="1">
        <f t="array" ref="N1423">IFERROR(IF(Tabla8[[#This Row],[P/NP]]="NO PROGRAMADA","",_xlfn.TEXTJOIN(", ",TRUE,_xlfn._xlws.FILTER(Tabla4[[#All],[PIEZA]],ISNUMBER(SEARCH(Tabla4[[#All],[PCLAVE]],Tabla8[[#This Row],[DESCRIPCION DE TRABAJO]])),""))),"")</f>
        <v/>
      </c>
      <c r="O1423" s="35" t="str" cm="1">
        <f t="array" ref="O1423">_xlfn.TEXTJOIN(", ",TRUE,_xlfn._xlws.FILTER(Tabla28[[#All],[PARTE]],ISNUMBER(SEARCH(Tabla28[[#All],[PCLAVE2]],Tabla8[[#This Row],[DESCRIPCION DE TRABAJO]])),""))</f>
        <v>Temperadora</v>
      </c>
      <c r="P1423" s="303" t="str">
        <f>IFERROR(LEFT(O1423, FIND(",", O1423)-1), O1423)</f>
        <v>Temperadora</v>
      </c>
      <c r="Q1423" s="303" t="str">
        <f>IFERROR(IF(ISERROR(FIND(",", O1423, FIND(",", O1423)+1)), RIGHT(O1423, LEN(O1423)-FIND(",", O1423)-1), MID(O1423, FIND(",", O1423)+2, FIND(",", O1423, FIND(",", O1423)+1)-FIND(",", O1423)-2)), "")</f>
        <v/>
      </c>
      <c r="R1423" s="303" t="str">
        <f>IFERROR(RIGHT(O1423, LEN(O1423)-FIND(",", O1423, FIND(",", O1423)+1)-1), "")</f>
        <v/>
      </c>
      <c r="S1423" s="35" t="str" cm="1">
        <f t="array" ref="S1423">_xlfn.TEXTJOIN(", ",TRUE,_xlfn._xlws.FILTER(Tabla29[[#All],[PARTE]],ISNUMBER(SEARCH(Tabla29[[#All],[PCLAVE3]],Tabla8[[#This Row],[DESCRIPCION DE TRABAJO]])),""))</f>
        <v>No Tempera</v>
      </c>
      <c r="T1423" s="34" t="str">
        <f>IF(AND(Tabla8[[#This Row],[PIEZA]]="",Tabla8[[#This Row],[PARTE]]=""),"VACIO","OK")</f>
        <v>OK</v>
      </c>
      <c r="U1423" s="303" t="str">
        <f>+CONCATENATE(WEEKNUM(Tabla8[[#This Row],[FECHA]]),"-",YEAR(Tabla8[[#This Row],[FECHA]]))</f>
        <v>21-2026</v>
      </c>
    </row>
    <row r="1424" spans="1:21" ht="15" customHeight="1">
      <c r="A1424" s="22">
        <v>46163</v>
      </c>
      <c r="B1424" s="16" t="s">
        <v>88</v>
      </c>
      <c r="C1424" s="10" t="s">
        <v>36</v>
      </c>
      <c r="D1424" s="381" t="s">
        <v>430</v>
      </c>
      <c r="E1424" s="381" t="s">
        <v>126</v>
      </c>
      <c r="F1424" s="380">
        <f>+MOD(Tabla8[[#This Row],[HR. FIN]]-Tabla8[[#This Row],[HR. INICIO]],1)</f>
        <v>6.25E-2</v>
      </c>
      <c r="G1424" s="16" t="s">
        <v>182</v>
      </c>
      <c r="H1424" s="343" t="str">
        <f>IFERROR(VLOOKUP(G1424,DATOS!$M$2:$N$219,2,FALSE),"")</f>
        <v>Maquinaria</v>
      </c>
      <c r="I1424" s="115" t="s">
        <v>32</v>
      </c>
      <c r="J1424" s="115" t="s">
        <v>157</v>
      </c>
      <c r="K1424" s="114"/>
      <c r="L1424" s="35" t="s">
        <v>2669</v>
      </c>
      <c r="M1424" s="35" t="s">
        <v>2670</v>
      </c>
      <c r="N1424" s="35" t="str" cm="1">
        <f t="array" ref="N1424">IFERROR(IF(Tabla8[[#This Row],[P/NP]]="NO PROGRAMADA","",_xlfn.TEXTJOIN(", ",TRUE,_xlfn._xlws.FILTER(Tabla4[[#All],[PIEZA]],ISNUMBER(SEARCH(Tabla4[[#All],[PCLAVE]],Tabla8[[#This Row],[DESCRIPCION DE TRABAJO]])),""))),"")</f>
        <v/>
      </c>
      <c r="O1424" s="35" t="str" cm="1">
        <f t="array" ref="O1424">_xlfn.TEXTJOIN(", ",TRUE,_xlfn._xlws.FILTER(Tabla28[[#All],[PARTE]],ISNUMBER(SEARCH(Tabla28[[#All],[PCLAVE2]],Tabla8[[#This Row],[DESCRIPCION DE TRABAJO]])),""))</f>
        <v/>
      </c>
      <c r="P1424" s="303" t="str">
        <f>IFERROR(LEFT(O1424, FIND(",", O1424)-1), O1424)</f>
        <v/>
      </c>
      <c r="Q1424" s="303" t="str">
        <f>IFERROR(IF(ISERROR(FIND(",", O1424, FIND(",", O1424)+1)), RIGHT(O1424, LEN(O1424)-FIND(",", O1424)-1), MID(O1424, FIND(",", O1424)+2, FIND(",", O1424, FIND(",", O1424)+1)-FIND(",", O1424)-2)), "")</f>
        <v/>
      </c>
      <c r="R1424" s="303" t="str">
        <f>IFERROR(RIGHT(O1424, LEN(O1424)-FIND(",", O1424, FIND(",", O1424)+1)-1), "")</f>
        <v/>
      </c>
      <c r="S1424" s="35" t="str" cm="1">
        <f t="array" ref="S1424">_xlfn.TEXTJOIN(", ",TRUE,_xlfn._xlws.FILTER(Tabla29[[#All],[PARTE]],ISNUMBER(SEARCH(Tabla29[[#All],[PCLAVE3]],Tabla8[[#This Row],[DESCRIPCION DE TRABAJO]])),""))</f>
        <v>Cambio De Formato</v>
      </c>
      <c r="T1424" s="34" t="str">
        <f>IF(AND(Tabla8[[#This Row],[PIEZA]]="",Tabla8[[#This Row],[PARTE]]=""),"VACIO","OK")</f>
        <v>VACIO</v>
      </c>
      <c r="U1424" s="303" t="str">
        <f>+CONCATENATE(WEEKNUM(Tabla8[[#This Row],[FECHA]]),"-",YEAR(Tabla8[[#This Row],[FECHA]]))</f>
        <v>21-2026</v>
      </c>
    </row>
    <row r="1425" spans="1:21" ht="15" customHeight="1">
      <c r="A1425" s="22">
        <v>46163</v>
      </c>
      <c r="B1425" s="16" t="s">
        <v>191</v>
      </c>
      <c r="C1425" s="10" t="s">
        <v>36</v>
      </c>
      <c r="D1425" s="381" t="s">
        <v>2671</v>
      </c>
      <c r="E1425" s="381" t="s">
        <v>159</v>
      </c>
      <c r="F1425" s="380">
        <f>+MOD(Tabla8[[#This Row],[HR. FIN]]-Tabla8[[#This Row],[HR. INICIO]],1)</f>
        <v>4.3055555555555569E-2</v>
      </c>
      <c r="G1425" s="16" t="s">
        <v>270</v>
      </c>
      <c r="H1425" s="343" t="str">
        <f>IFERROR(VLOOKUP(G1425,DATOS!$M$2:$N$219,2,FALSE),"")</f>
        <v>Maquinaria</v>
      </c>
      <c r="I1425" s="115" t="s">
        <v>57</v>
      </c>
      <c r="J1425" s="115" t="s">
        <v>92</v>
      </c>
      <c r="K1425" s="114" t="s">
        <v>93</v>
      </c>
      <c r="L1425" s="35" t="s">
        <v>2672</v>
      </c>
      <c r="M1425" s="35" t="s">
        <v>2673</v>
      </c>
      <c r="N1425" s="35" t="str" cm="1">
        <f t="array" ref="N1425">IFERROR(IF(Tabla8[[#This Row],[P/NP]]="NO PROGRAMADA","",_xlfn.TEXTJOIN(", ",TRUE,_xlfn._xlws.FILTER(Tabla4[[#All],[PIEZA]],ISNUMBER(SEARCH(Tabla4[[#All],[PCLAVE]],Tabla8[[#This Row],[DESCRIPCION DE TRABAJO]])),""))),"")</f>
        <v/>
      </c>
      <c r="O1425" s="35" t="str" cm="1">
        <f t="array" ref="O1425">_xlfn.TEXTJOIN(", ",TRUE,_xlfn._xlws.FILTER(Tabla28[[#All],[PARTE]],ISNUMBER(SEARCH(Tabla28[[#All],[PCLAVE2]],Tabla8[[#This Row],[DESCRIPCION DE TRABAJO]])),""))</f>
        <v>Columna</v>
      </c>
      <c r="P1425" s="303" t="str">
        <f>IFERROR(LEFT(O1425, FIND(",", O1425)-1), O1425)</f>
        <v>Columna</v>
      </c>
      <c r="Q1425" s="303" t="str">
        <f>IFERROR(IF(ISERROR(FIND(",", O1425, FIND(",", O1425)+1)), RIGHT(O1425, LEN(O1425)-FIND(",", O1425)-1), MID(O1425, FIND(",", O1425)+2, FIND(",", O1425, FIND(",", O1425)+1)-FIND(",", O1425)-2)), "")</f>
        <v/>
      </c>
      <c r="R1425" s="303" t="str">
        <f>IFERROR(RIGHT(O1425, LEN(O1425)-FIND(",", O1425, FIND(",", O1425)+1)-1), "")</f>
        <v/>
      </c>
      <c r="S1425" s="35" t="str" cm="1">
        <f t="array" ref="S1425">_xlfn.TEXTJOIN(", ",TRUE,_xlfn._xlws.FILTER(Tabla29[[#All],[PARTE]],ISNUMBER(SEARCH(Tabla29[[#All],[PCLAVE3]],Tabla8[[#This Row],[DESCRIPCION DE TRABAJO]])),""))</f>
        <v>Sobretorque</v>
      </c>
      <c r="T1425" s="34" t="str">
        <f>IF(AND(Tabla8[[#This Row],[PIEZA]]="",Tabla8[[#This Row],[PARTE]]=""),"VACIO","OK")</f>
        <v>OK</v>
      </c>
      <c r="U1425" s="303" t="str">
        <f>+CONCATENATE(WEEKNUM(Tabla8[[#This Row],[FECHA]]),"-",YEAR(Tabla8[[#This Row],[FECHA]]))</f>
        <v>21-2026</v>
      </c>
    </row>
    <row r="1426" spans="1:21" ht="15" customHeight="1">
      <c r="A1426" s="22">
        <v>46163</v>
      </c>
      <c r="B1426" s="16" t="s">
        <v>111</v>
      </c>
      <c r="C1426" s="10" t="s">
        <v>23</v>
      </c>
      <c r="D1426" s="381" t="s">
        <v>268</v>
      </c>
      <c r="E1426" s="381" t="s">
        <v>584</v>
      </c>
      <c r="F1426" s="380">
        <f>+MOD(Tabla8[[#This Row],[HR. FIN]]-Tabla8[[#This Row],[HR. INICIO]],1)</f>
        <v>4.1666666666666741E-2</v>
      </c>
      <c r="G1426" s="16" t="s">
        <v>182</v>
      </c>
      <c r="H1426" s="343" t="str">
        <f>IFERROR(VLOOKUP(G1426,DATOS!$M$2:$N$219,2,FALSE),"")</f>
        <v>Maquinaria</v>
      </c>
      <c r="I1426" s="115" t="s">
        <v>32</v>
      </c>
      <c r="J1426" s="115" t="s">
        <v>157</v>
      </c>
      <c r="K1426" s="114"/>
      <c r="L1426" s="35" t="s">
        <v>2674</v>
      </c>
      <c r="M1426" s="35" t="s">
        <v>121</v>
      </c>
      <c r="N1426" s="35" t="str" cm="1">
        <f t="array" ref="N1426">IFERROR(IF(Tabla8[[#This Row],[P/NP]]="NO PROGRAMADA","",_xlfn.TEXTJOIN(", ",TRUE,_xlfn._xlws.FILTER(Tabla4[[#All],[PIEZA]],ISNUMBER(SEARCH(Tabla4[[#All],[PCLAVE]],Tabla8[[#This Row],[DESCRIPCION DE TRABAJO]])),""))),"")</f>
        <v/>
      </c>
      <c r="O1426" s="35" t="str" cm="1">
        <f t="array" ref="O1426">_xlfn.TEXTJOIN(", ",TRUE,_xlfn._xlws.FILTER(Tabla28[[#All],[PARTE]],ISNUMBER(SEARCH(Tabla28[[#All],[PCLAVE2]],Tabla8[[#This Row],[DESCRIPCION DE TRABAJO]])),""))</f>
        <v/>
      </c>
      <c r="P1426" s="303" t="str">
        <f>IFERROR(LEFT(O1426, FIND(",", O1426)-1), O1426)</f>
        <v/>
      </c>
      <c r="Q1426" s="303" t="str">
        <f>IFERROR(IF(ISERROR(FIND(",", O1426, FIND(",", O1426)+1)), RIGHT(O1426, LEN(O1426)-FIND(",", O1426)-1), MID(O1426, FIND(",", O1426)+2, FIND(",", O1426, FIND(",", O1426)+1)-FIND(",", O1426)-2)), "")</f>
        <v/>
      </c>
      <c r="R1426" s="303" t="str">
        <f>IFERROR(RIGHT(O1426, LEN(O1426)-FIND(",", O1426, FIND(",", O1426)+1)-1), "")</f>
        <v/>
      </c>
      <c r="S1426" s="35" t="str" cm="1">
        <f t="array" ref="S1426">_xlfn.TEXTJOIN(", ",TRUE,_xlfn._xlws.FILTER(Tabla29[[#All],[PARTE]],ISNUMBER(SEARCH(Tabla29[[#All],[PCLAVE3]],Tabla8[[#This Row],[DESCRIPCION DE TRABAJO]])),""))</f>
        <v>Cambio De Formato</v>
      </c>
      <c r="T1426" s="34" t="str">
        <f>IF(AND(Tabla8[[#This Row],[PIEZA]]="",Tabla8[[#This Row],[PARTE]]=""),"VACIO","OK")</f>
        <v>VACIO</v>
      </c>
      <c r="U1426" s="303" t="str">
        <f>+CONCATENATE(WEEKNUM(Tabla8[[#This Row],[FECHA]]),"-",YEAR(Tabla8[[#This Row],[FECHA]]))</f>
        <v>21-2026</v>
      </c>
    </row>
    <row r="1427" spans="1:21" ht="15" customHeight="1">
      <c r="A1427" s="22">
        <v>46163</v>
      </c>
      <c r="B1427" s="16" t="s">
        <v>111</v>
      </c>
      <c r="C1427" s="10" t="s">
        <v>23</v>
      </c>
      <c r="D1427" s="381" t="s">
        <v>2675</v>
      </c>
      <c r="E1427" s="381" t="s">
        <v>278</v>
      </c>
      <c r="F1427" s="380">
        <f>+MOD(Tabla8[[#This Row],[HR. FIN]]-Tabla8[[#This Row],[HR. INICIO]],1)</f>
        <v>3.125E-2</v>
      </c>
      <c r="G1427" s="16" t="s">
        <v>119</v>
      </c>
      <c r="H1427" s="343" t="str">
        <f>IFERROR(VLOOKUP(G1427,DATOS!$M$2:$N$219,2,FALSE),"")</f>
        <v>Maquinaria</v>
      </c>
      <c r="I1427" s="115" t="s">
        <v>32</v>
      </c>
      <c r="J1427" s="115" t="s">
        <v>157</v>
      </c>
      <c r="K1427" s="114"/>
      <c r="L1427" s="35" t="s">
        <v>2676</v>
      </c>
      <c r="M1427" s="35" t="s">
        <v>121</v>
      </c>
      <c r="N1427" s="35" t="str" cm="1">
        <f t="array" ref="N1427">IFERROR(IF(Tabla8[[#This Row],[P/NP]]="NO PROGRAMADA","",_xlfn.TEXTJOIN(", ",TRUE,_xlfn._xlws.FILTER(Tabla4[[#All],[PIEZA]],ISNUMBER(SEARCH(Tabla4[[#All],[PCLAVE]],Tabla8[[#This Row],[DESCRIPCION DE TRABAJO]])),""))),"")</f>
        <v/>
      </c>
      <c r="O1427" s="35" t="str" cm="1">
        <f t="array" ref="O1427">_xlfn.TEXTJOIN(", ",TRUE,_xlfn._xlws.FILTER(Tabla28[[#All],[PARTE]],ISNUMBER(SEARCH(Tabla28[[#All],[PCLAVE2]],Tabla8[[#This Row],[DESCRIPCION DE TRABAJO]])),""))</f>
        <v>Mds</v>
      </c>
      <c r="P1427" s="303" t="str">
        <f>IFERROR(LEFT(O1427, FIND(",", O1427)-1), O1427)</f>
        <v>Mds</v>
      </c>
      <c r="Q1427" s="303" t="str">
        <f>IFERROR(IF(ISERROR(FIND(",", O1427, FIND(",", O1427)+1)), RIGHT(O1427, LEN(O1427)-FIND(",", O1427)-1), MID(O1427, FIND(",", O1427)+2, FIND(",", O1427, FIND(",", O1427)+1)-FIND(",", O1427)-2)), "")</f>
        <v/>
      </c>
      <c r="R1427" s="303" t="str">
        <f>IFERROR(RIGHT(O1427, LEN(O1427)-FIND(",", O1427, FIND(",", O1427)+1)-1), "")</f>
        <v/>
      </c>
      <c r="S1427" s="35" t="str" cm="1">
        <f t="array" ref="S1427">_xlfn.TEXTJOIN(", ",TRUE,_xlfn._xlws.FILTER(Tabla29[[#All],[PARTE]],ISNUMBER(SEARCH(Tabla29[[#All],[PCLAVE3]],Tabla8[[#This Row],[DESCRIPCION DE TRABAJO]])),""))</f>
        <v>Cambio De Formato</v>
      </c>
      <c r="T1427" s="34" t="str">
        <f>IF(AND(Tabla8[[#This Row],[PIEZA]]="",Tabla8[[#This Row],[PARTE]]=""),"VACIO","OK")</f>
        <v>OK</v>
      </c>
      <c r="U1427" s="303" t="str">
        <f>+CONCATENATE(WEEKNUM(Tabla8[[#This Row],[FECHA]]),"-",YEAR(Tabla8[[#This Row],[FECHA]]))</f>
        <v>21-2026</v>
      </c>
    </row>
    <row r="1428" spans="1:21" ht="15" customHeight="1">
      <c r="A1428" s="22">
        <v>46163</v>
      </c>
      <c r="B1428" s="16" t="s">
        <v>88</v>
      </c>
      <c r="C1428" s="10" t="s">
        <v>36</v>
      </c>
      <c r="D1428" s="381" t="s">
        <v>408</v>
      </c>
      <c r="E1428" s="381" t="s">
        <v>96</v>
      </c>
      <c r="F1428" s="380">
        <f>+MOD(Tabla8[[#This Row],[HR. FIN]]-Tabla8[[#This Row],[HR. INICIO]],1)</f>
        <v>3.125E-2</v>
      </c>
      <c r="G1428" s="16" t="s">
        <v>2282</v>
      </c>
      <c r="H1428" s="343" t="str">
        <f>IFERROR(VLOOKUP(G1428,DATOS!$M$2:$N$219,2,FALSE),"")</f>
        <v>Area</v>
      </c>
      <c r="I1428" s="115"/>
      <c r="J1428" s="115"/>
      <c r="K1428" s="114"/>
      <c r="L1428" s="35" t="s">
        <v>2283</v>
      </c>
      <c r="M1428" s="35" t="s">
        <v>2677</v>
      </c>
      <c r="N1428" s="35" t="str" cm="1">
        <f t="array" ref="N1428">IFERROR(IF(Tabla8[[#This Row],[P/NP]]="NO PROGRAMADA","",_xlfn.TEXTJOIN(", ",TRUE,_xlfn._xlws.FILTER(Tabla4[[#All],[PIEZA]],ISNUMBER(SEARCH(Tabla4[[#All],[PCLAVE]],Tabla8[[#This Row],[DESCRIPCION DE TRABAJO]])),""))),"")</f>
        <v/>
      </c>
      <c r="O1428" s="35" t="str" cm="1">
        <f t="array" ref="O1428">_xlfn.TEXTJOIN(", ",TRUE,_xlfn._xlws.FILTER(Tabla28[[#All],[PARTE]],ISNUMBER(SEARCH(Tabla28[[#All],[PCLAVE2]],Tabla8[[#This Row],[DESCRIPCION DE TRABAJO]])),""))</f>
        <v/>
      </c>
      <c r="P1428" s="303" t="str">
        <f>IFERROR(LEFT(O1428, FIND(",", O1428)-1), O1428)</f>
        <v/>
      </c>
      <c r="Q1428" s="303" t="str">
        <f>IFERROR(IF(ISERROR(FIND(",", O1428, FIND(",", O1428)+1)), RIGHT(O1428, LEN(O1428)-FIND(",", O1428)-1), MID(O1428, FIND(",", O1428)+2, FIND(",", O1428, FIND(",", O1428)+1)-FIND(",", O1428)-2)), "")</f>
        <v/>
      </c>
      <c r="R1428" s="303" t="str">
        <f>IFERROR(RIGHT(O1428, LEN(O1428)-FIND(",", O1428, FIND(",", O1428)+1)-1), "")</f>
        <v/>
      </c>
      <c r="S1428" s="35" t="str" cm="1">
        <f t="array" ref="S1428">_xlfn.TEXTJOIN(", ",TRUE,_xlfn._xlws.FILTER(Tabla29[[#All],[PARTE]],ISNUMBER(SEARCH(Tabla29[[#All],[PCLAVE3]],Tabla8[[#This Row],[DESCRIPCION DE TRABAJO]])),""))</f>
        <v/>
      </c>
      <c r="T1428" s="34" t="str">
        <f>IF(AND(Tabla8[[#This Row],[PIEZA]]="",Tabla8[[#This Row],[PARTE]]=""),"VACIO","OK")</f>
        <v>VACIO</v>
      </c>
      <c r="U1428" s="303" t="str">
        <f>+CONCATENATE(WEEKNUM(Tabla8[[#This Row],[FECHA]]),"-",YEAR(Tabla8[[#This Row],[FECHA]]))</f>
        <v>21-2026</v>
      </c>
    </row>
    <row r="1429" spans="1:21" ht="15" customHeight="1">
      <c r="A1429" s="22">
        <v>46163</v>
      </c>
      <c r="B1429" s="16" t="s">
        <v>111</v>
      </c>
      <c r="C1429" s="10" t="s">
        <v>23</v>
      </c>
      <c r="D1429" s="381" t="s">
        <v>2420</v>
      </c>
      <c r="E1429" s="381" t="s">
        <v>2415</v>
      </c>
      <c r="F1429" s="380">
        <f>+MOD(Tabla8[[#This Row],[HR. FIN]]-Tabla8[[#This Row],[HR. INICIO]],1)</f>
        <v>2.777777777777779E-2</v>
      </c>
      <c r="G1429" s="16" t="s">
        <v>266</v>
      </c>
      <c r="H1429" s="343" t="str">
        <f>IFERROR(VLOOKUP(G1429,DATOS!$M$2:$N$219,2,FALSE),"")</f>
        <v>Maquinaria</v>
      </c>
      <c r="I1429" s="115" t="s">
        <v>32</v>
      </c>
      <c r="J1429" s="115" t="s">
        <v>157</v>
      </c>
      <c r="K1429" s="114"/>
      <c r="L1429" s="35" t="s">
        <v>2678</v>
      </c>
      <c r="M1429" s="35" t="s">
        <v>121</v>
      </c>
      <c r="N1429" s="35" t="str" cm="1">
        <f t="array" ref="N1429">IFERROR(IF(Tabla8[[#This Row],[P/NP]]="NO PROGRAMADA","",_xlfn.TEXTJOIN(", ",TRUE,_xlfn._xlws.FILTER(Tabla4[[#All],[PIEZA]],ISNUMBER(SEARCH(Tabla4[[#All],[PCLAVE]],Tabla8[[#This Row],[DESCRIPCION DE TRABAJO]])),""))),"")</f>
        <v/>
      </c>
      <c r="O1429" s="35" t="str" cm="1">
        <f t="array" ref="O1429">_xlfn.TEXTJOIN(", ",TRUE,_xlfn._xlws.FILTER(Tabla28[[#All],[PARTE]],ISNUMBER(SEARCH(Tabla28[[#All],[PCLAVE2]],Tabla8[[#This Row],[DESCRIPCION DE TRABAJO]])),""))</f>
        <v/>
      </c>
      <c r="P1429" s="303" t="str">
        <f>IFERROR(LEFT(O1429, FIND(",", O1429)-1), O1429)</f>
        <v/>
      </c>
      <c r="Q1429" s="303" t="str">
        <f>IFERROR(IF(ISERROR(FIND(",", O1429, FIND(",", O1429)+1)), RIGHT(O1429, LEN(O1429)-FIND(",", O1429)-1), MID(O1429, FIND(",", O1429)+2, FIND(",", O1429, FIND(",", O1429)+1)-FIND(",", O1429)-2)), "")</f>
        <v/>
      </c>
      <c r="R1429" s="303" t="str">
        <f>IFERROR(RIGHT(O1429, LEN(O1429)-FIND(",", O1429, FIND(",", O1429)+1)-1), "")</f>
        <v/>
      </c>
      <c r="S1429" s="35" t="str" cm="1">
        <f t="array" ref="S1429">_xlfn.TEXTJOIN(", ",TRUE,_xlfn._xlws.FILTER(Tabla29[[#All],[PARTE]],ISNUMBER(SEARCH(Tabla29[[#All],[PCLAVE3]],Tabla8[[#This Row],[DESCRIPCION DE TRABAJO]])),""))</f>
        <v/>
      </c>
      <c r="T1429" s="34" t="str">
        <f>IF(AND(Tabla8[[#This Row],[PIEZA]]="",Tabla8[[#This Row],[PARTE]]=""),"VACIO","OK")</f>
        <v>VACIO</v>
      </c>
      <c r="U1429" s="303" t="str">
        <f>+CONCATENATE(WEEKNUM(Tabla8[[#This Row],[FECHA]]),"-",YEAR(Tabla8[[#This Row],[FECHA]]))</f>
        <v>21-2026</v>
      </c>
    </row>
    <row r="1430" spans="1:21" ht="15" customHeight="1">
      <c r="A1430" s="22">
        <v>46163</v>
      </c>
      <c r="B1430" s="16" t="s">
        <v>111</v>
      </c>
      <c r="C1430" s="10" t="s">
        <v>23</v>
      </c>
      <c r="D1430" s="381" t="s">
        <v>686</v>
      </c>
      <c r="E1430" s="381" t="s">
        <v>274</v>
      </c>
      <c r="F1430" s="380">
        <f>+MOD(Tabla8[[#This Row],[HR. FIN]]-Tabla8[[#This Row],[HR. INICIO]],1)</f>
        <v>2.4305555555555469E-2</v>
      </c>
      <c r="G1430" s="16" t="s">
        <v>119</v>
      </c>
      <c r="H1430" s="343" t="str">
        <f>IFERROR(VLOOKUP(G1430,DATOS!$M$2:$N$219,2,FALSE),"")</f>
        <v>Maquinaria</v>
      </c>
      <c r="I1430" s="115" t="s">
        <v>186</v>
      </c>
      <c r="J1430" s="115" t="s">
        <v>92</v>
      </c>
      <c r="K1430" s="114" t="s">
        <v>93</v>
      </c>
      <c r="L1430" s="35" t="s">
        <v>2679</v>
      </c>
      <c r="M1430" s="35" t="s">
        <v>2680</v>
      </c>
      <c r="N1430" s="35" t="str" cm="1">
        <f t="array" ref="N1430">IFERROR(IF(Tabla8[[#This Row],[P/NP]]="NO PROGRAMADA","",_xlfn.TEXTJOIN(", ",TRUE,_xlfn._xlws.FILTER(Tabla4[[#All],[PIEZA]],ISNUMBER(SEARCH(Tabla4[[#All],[PCLAVE]],Tabla8[[#This Row],[DESCRIPCION DE TRABAJO]])),""))),"")</f>
        <v/>
      </c>
      <c r="O1430" s="35" t="str" cm="1">
        <f t="array" ref="O1430">_xlfn.TEXTJOIN(", ",TRUE,_xlfn._xlws.FILTER(Tabla28[[#All],[PARTE]],ISNUMBER(SEARCH(Tabla28[[#All],[PCLAVE2]],Tabla8[[#This Row],[DESCRIPCION DE TRABAJO]])),""))</f>
        <v/>
      </c>
      <c r="P1430" s="303" t="str">
        <f>IFERROR(LEFT(O1430, FIND(",", O1430)-1), O1430)</f>
        <v/>
      </c>
      <c r="Q1430" s="303" t="str">
        <f>IFERROR(IF(ISERROR(FIND(",", O1430, FIND(",", O1430)+1)), RIGHT(O1430, LEN(O1430)-FIND(",", O1430)-1), MID(O1430, FIND(",", O1430)+2, FIND(",", O1430, FIND(",", O1430)+1)-FIND(",", O1430)-2)), "")</f>
        <v/>
      </c>
      <c r="R1430" s="303" t="str">
        <f>IFERROR(RIGHT(O1430, LEN(O1430)-FIND(",", O1430, FIND(",", O1430)+1)-1), "")</f>
        <v/>
      </c>
      <c r="S1430" s="35" t="str" cm="1">
        <f t="array" ref="S1430">_xlfn.TEXTJOIN(", ",TRUE,_xlfn._xlws.FILTER(Tabla29[[#All],[PARTE]],ISNUMBER(SEARCH(Tabla29[[#All],[PCLAVE3]],Tabla8[[#This Row],[DESCRIPCION DE TRABAJO]])),""))</f>
        <v>Alta Temperatura, Seco, Temperatura</v>
      </c>
      <c r="T1430" s="34" t="str">
        <f>IF(AND(Tabla8[[#This Row],[PIEZA]]="",Tabla8[[#This Row],[PARTE]]=""),"VACIO","OK")</f>
        <v>VACIO</v>
      </c>
      <c r="U1430" s="303" t="str">
        <f>+CONCATENATE(WEEKNUM(Tabla8[[#This Row],[FECHA]]),"-",YEAR(Tabla8[[#This Row],[FECHA]]))</f>
        <v>21-2026</v>
      </c>
    </row>
    <row r="1431" spans="1:21" ht="15" customHeight="1">
      <c r="A1431" s="22">
        <v>46163</v>
      </c>
      <c r="B1431" s="16" t="s">
        <v>111</v>
      </c>
      <c r="C1431" s="10" t="s">
        <v>23</v>
      </c>
      <c r="D1431" s="381" t="s">
        <v>451</v>
      </c>
      <c r="E1431" s="381" t="s">
        <v>956</v>
      </c>
      <c r="F1431" s="380">
        <f>+MOD(Tabla8[[#This Row],[HR. FIN]]-Tabla8[[#This Row],[HR. INICIO]],1)</f>
        <v>2.083333333333337E-2</v>
      </c>
      <c r="G1431" s="16" t="s">
        <v>328</v>
      </c>
      <c r="H1431" s="343" t="str">
        <f>IFERROR(VLOOKUP(G1431,DATOS!$M$2:$N$219,2,FALSE),"")</f>
        <v>Area</v>
      </c>
      <c r="I1431" s="115" t="s">
        <v>390</v>
      </c>
      <c r="J1431" s="115" t="s">
        <v>157</v>
      </c>
      <c r="K1431" s="114"/>
      <c r="L1431" s="35" t="s">
        <v>2681</v>
      </c>
      <c r="M1431" s="35" t="s">
        <v>121</v>
      </c>
      <c r="N1431" s="35" t="str" cm="1">
        <f t="array" ref="N1431">IFERROR(IF(Tabla8[[#This Row],[P/NP]]="NO PROGRAMADA","",_xlfn.TEXTJOIN(", ",TRUE,_xlfn._xlws.FILTER(Tabla4[[#All],[PIEZA]],ISNUMBER(SEARCH(Tabla4[[#All],[PCLAVE]],Tabla8[[#This Row],[DESCRIPCION DE TRABAJO]])),""))),"")</f>
        <v/>
      </c>
      <c r="O1431" s="35" t="str" cm="1">
        <f t="array" ref="O1431">_xlfn.TEXTJOIN(", ",TRUE,_xlfn._xlws.FILTER(Tabla28[[#All],[PARTE]],ISNUMBER(SEARCH(Tabla28[[#All],[PCLAVE2]],Tabla8[[#This Row],[DESCRIPCION DE TRABAJO]])),""))</f>
        <v>Sammfill</v>
      </c>
      <c r="P1431" s="303" t="str">
        <f>IFERROR(LEFT(O1431, FIND(",", O1431)-1), O1431)</f>
        <v>Sammfill</v>
      </c>
      <c r="Q1431" s="303" t="str">
        <f>IFERROR(IF(ISERROR(FIND(",", O1431, FIND(",", O1431)+1)), RIGHT(O1431, LEN(O1431)-FIND(",", O1431)-1), MID(O1431, FIND(",", O1431)+2, FIND(",", O1431, FIND(",", O1431)+1)-FIND(",", O1431)-2)), "")</f>
        <v/>
      </c>
      <c r="R1431" s="303" t="str">
        <f>IFERROR(RIGHT(O1431, LEN(O1431)-FIND(",", O1431, FIND(",", O1431)+1)-1), "")</f>
        <v/>
      </c>
      <c r="S1431" s="35" t="str" cm="1">
        <f t="array" ref="S1431">_xlfn.TEXTJOIN(", ",TRUE,_xlfn._xlws.FILTER(Tabla29[[#All],[PARTE]],ISNUMBER(SEARCH(Tabla29[[#All],[PCLAVE3]],Tabla8[[#This Row],[DESCRIPCION DE TRABAJO]])),""))</f>
        <v>Temperatura</v>
      </c>
      <c r="T1431" s="34" t="str">
        <f>IF(AND(Tabla8[[#This Row],[PIEZA]]="",Tabla8[[#This Row],[PARTE]]=""),"VACIO","OK")</f>
        <v>OK</v>
      </c>
      <c r="U1431" s="303" t="str">
        <f>+CONCATENATE(WEEKNUM(Tabla8[[#This Row],[FECHA]]),"-",YEAR(Tabla8[[#This Row],[FECHA]]))</f>
        <v>21-2026</v>
      </c>
    </row>
    <row r="1432" spans="1:21" ht="15" customHeight="1">
      <c r="A1432" s="22">
        <v>46163</v>
      </c>
      <c r="B1432" s="16" t="s">
        <v>88</v>
      </c>
      <c r="C1432" s="10" t="s">
        <v>36</v>
      </c>
      <c r="D1432" s="381" t="s">
        <v>97</v>
      </c>
      <c r="E1432" s="381" t="s">
        <v>551</v>
      </c>
      <c r="F1432" s="380">
        <f>+MOD(Tabla8[[#This Row],[HR. FIN]]-Tabla8[[#This Row],[HR. INICIO]],1)</f>
        <v>2.083333333333337E-2</v>
      </c>
      <c r="G1432" s="16" t="s">
        <v>119</v>
      </c>
      <c r="H1432" s="343" t="str">
        <f>IFERROR(VLOOKUP(G1432,DATOS!$M$2:$N$219,2,FALSE),"")</f>
        <v>Maquinaria</v>
      </c>
      <c r="I1432" s="115" t="s">
        <v>32</v>
      </c>
      <c r="J1432" s="115" t="s">
        <v>157</v>
      </c>
      <c r="K1432" s="114"/>
      <c r="L1432" s="35" t="s">
        <v>2682</v>
      </c>
      <c r="M1432" s="35" t="s">
        <v>2683</v>
      </c>
      <c r="N1432" s="35" t="str" cm="1">
        <f t="array" ref="N1432">IFERROR(IF(Tabla8[[#This Row],[P/NP]]="NO PROGRAMADA","",_xlfn.TEXTJOIN(", ",TRUE,_xlfn._xlws.FILTER(Tabla4[[#All],[PIEZA]],ISNUMBER(SEARCH(Tabla4[[#All],[PCLAVE]],Tabla8[[#This Row],[DESCRIPCION DE TRABAJO]])),""))),"")</f>
        <v/>
      </c>
      <c r="O1432" s="35" t="str" cm="1">
        <f t="array" ref="O1432">_xlfn.TEXTJOIN(", ",TRUE,_xlfn._xlws.FILTER(Tabla28[[#All],[PARTE]],ISNUMBER(SEARCH(Tabla28[[#All],[PCLAVE2]],Tabla8[[#This Row],[DESCRIPCION DE TRABAJO]])),""))</f>
        <v>Mds</v>
      </c>
      <c r="P1432" s="303" t="str">
        <f>IFERROR(LEFT(O1432, FIND(",", O1432)-1), O1432)</f>
        <v>Mds</v>
      </c>
      <c r="Q1432" s="303" t="str">
        <f>IFERROR(IF(ISERROR(FIND(",", O1432, FIND(",", O1432)+1)), RIGHT(O1432, LEN(O1432)-FIND(",", O1432)-1), MID(O1432, FIND(",", O1432)+2, FIND(",", O1432, FIND(",", O1432)+1)-FIND(",", O1432)-2)), "")</f>
        <v/>
      </c>
      <c r="R1432" s="303" t="str">
        <f>IFERROR(RIGHT(O1432, LEN(O1432)-FIND(",", O1432, FIND(",", O1432)+1)-1), "")</f>
        <v/>
      </c>
      <c r="S1432" s="35" t="str" cm="1">
        <f t="array" ref="S1432">_xlfn.TEXTJOIN(", ",TRUE,_xlfn._xlws.FILTER(Tabla29[[#All],[PARTE]],ISNUMBER(SEARCH(Tabla29[[#All],[PCLAVE3]],Tabla8[[#This Row],[DESCRIPCION DE TRABAJO]])),""))</f>
        <v>Cambio De Formato</v>
      </c>
      <c r="T1432" s="34" t="str">
        <f>IF(AND(Tabla8[[#This Row],[PIEZA]]="",Tabla8[[#This Row],[PARTE]]=""),"VACIO","OK")</f>
        <v>OK</v>
      </c>
      <c r="U1432" s="303" t="str">
        <f>+CONCATENATE(WEEKNUM(Tabla8[[#This Row],[FECHA]]),"-",YEAR(Tabla8[[#This Row],[FECHA]]))</f>
        <v>21-2026</v>
      </c>
    </row>
    <row r="1433" spans="1:21" ht="15" customHeight="1">
      <c r="A1433" s="22">
        <v>46163</v>
      </c>
      <c r="B1433" s="16" t="s">
        <v>111</v>
      </c>
      <c r="C1433" s="10" t="s">
        <v>23</v>
      </c>
      <c r="D1433" s="381" t="s">
        <v>533</v>
      </c>
      <c r="E1433" s="381" t="s">
        <v>310</v>
      </c>
      <c r="F1433" s="380">
        <f>+MOD(Tabla8[[#This Row],[HR. FIN]]-Tabla8[[#This Row],[HR. INICIO]],1)</f>
        <v>2.0833333333333259E-2</v>
      </c>
      <c r="G1433" s="16" t="s">
        <v>552</v>
      </c>
      <c r="H1433" s="343" t="str">
        <f>IFERROR(VLOOKUP(G1433,DATOS!$M$2:$N$219,2,FALSE),"")</f>
        <v>Maquinaria</v>
      </c>
      <c r="I1433" s="115" t="s">
        <v>390</v>
      </c>
      <c r="J1433" s="115" t="s">
        <v>157</v>
      </c>
      <c r="K1433" s="114"/>
      <c r="L1433" s="35" t="s">
        <v>2684</v>
      </c>
      <c r="M1433" s="35" t="s">
        <v>121</v>
      </c>
      <c r="N1433" s="35" t="str" cm="1">
        <f t="array" ref="N1433">IFERROR(IF(Tabla8[[#This Row],[P/NP]]="NO PROGRAMADA","",_xlfn.TEXTJOIN(", ",TRUE,_xlfn._xlws.FILTER(Tabla4[[#All],[PIEZA]],ISNUMBER(SEARCH(Tabla4[[#All],[PCLAVE]],Tabla8[[#This Row],[DESCRIPCION DE TRABAJO]])),""))),"")</f>
        <v/>
      </c>
      <c r="O1433" s="35" t="str" cm="1">
        <f t="array" ref="O1433">_xlfn.TEXTJOIN(", ",TRUE,_xlfn._xlws.FILTER(Tabla28[[#All],[PARTE]],ISNUMBER(SEARCH(Tabla28[[#All],[PCLAVE2]],Tabla8[[#This Row],[DESCRIPCION DE TRABAJO]])),""))</f>
        <v/>
      </c>
      <c r="P1433" s="303" t="str">
        <f>IFERROR(LEFT(O1433, FIND(",", O1433)-1), O1433)</f>
        <v/>
      </c>
      <c r="Q1433" s="303" t="str">
        <f>IFERROR(IF(ISERROR(FIND(",", O1433, FIND(",", O1433)+1)), RIGHT(O1433, LEN(O1433)-FIND(",", O1433)-1), MID(O1433, FIND(",", O1433)+2, FIND(",", O1433, FIND(",", O1433)+1)-FIND(",", O1433)-2)), "")</f>
        <v/>
      </c>
      <c r="R1433" s="303" t="str">
        <f>IFERROR(RIGHT(O1433, LEN(O1433)-FIND(",", O1433, FIND(",", O1433)+1)-1), "")</f>
        <v/>
      </c>
      <c r="S1433" s="35" t="str" cm="1">
        <f t="array" ref="S1433">_xlfn.TEXTJOIN(", ",TRUE,_xlfn._xlws.FILTER(Tabla29[[#All],[PARTE]],ISNUMBER(SEARCH(Tabla29[[#All],[PCLAVE3]],Tabla8[[#This Row],[DESCRIPCION DE TRABAJO]])),""))</f>
        <v/>
      </c>
      <c r="T1433" s="34" t="str">
        <f>IF(AND(Tabla8[[#This Row],[PIEZA]]="",Tabla8[[#This Row],[PARTE]]=""),"VACIO","OK")</f>
        <v>VACIO</v>
      </c>
      <c r="U1433" s="303" t="str">
        <f>+CONCATENATE(WEEKNUM(Tabla8[[#This Row],[FECHA]]),"-",YEAR(Tabla8[[#This Row],[FECHA]]))</f>
        <v>21-2026</v>
      </c>
    </row>
    <row r="1434" spans="1:21" ht="15" customHeight="1">
      <c r="A1434" s="22">
        <v>46163</v>
      </c>
      <c r="B1434" s="16" t="s">
        <v>191</v>
      </c>
      <c r="C1434" s="10" t="s">
        <v>36</v>
      </c>
      <c r="D1434" s="381" t="s">
        <v>1661</v>
      </c>
      <c r="E1434" s="381" t="s">
        <v>934</v>
      </c>
      <c r="F1434" s="380">
        <f>+MOD(Tabla8[[#This Row],[HR. FIN]]-Tabla8[[#This Row],[HR. INICIO]],1)</f>
        <v>1.5972222222222221E-2</v>
      </c>
      <c r="G1434" s="16" t="s">
        <v>215</v>
      </c>
      <c r="H1434" s="343" t="str">
        <f>IFERROR(VLOOKUP(G1434,DATOS!$M$2:$N$219,2,FALSE),"")</f>
        <v>Equipos auxiliares</v>
      </c>
      <c r="I1434" s="115" t="s">
        <v>54</v>
      </c>
      <c r="J1434" s="115" t="s">
        <v>157</v>
      </c>
      <c r="K1434" s="114"/>
      <c r="L1434" s="35" t="s">
        <v>1751</v>
      </c>
      <c r="M1434" s="35" t="s">
        <v>121</v>
      </c>
      <c r="N1434" s="35" t="str" cm="1">
        <f t="array" ref="N1434">IFERROR(IF(Tabla8[[#This Row],[P/NP]]="NO PROGRAMADA","",_xlfn.TEXTJOIN(", ",TRUE,_xlfn._xlws.FILTER(Tabla4[[#All],[PIEZA]],ISNUMBER(SEARCH(Tabla4[[#All],[PCLAVE]],Tabla8[[#This Row],[DESCRIPCION DE TRABAJO]])),""))),"")</f>
        <v/>
      </c>
      <c r="O1434" s="35" t="str" cm="1">
        <f t="array" ref="O1434">_xlfn.TEXTJOIN(", ",TRUE,_xlfn._xlws.FILTER(Tabla28[[#All],[PARTE]],ISNUMBER(SEARCH(Tabla28[[#All],[PCLAVE2]],Tabla8[[#This Row],[DESCRIPCION DE TRABAJO]])),""))</f>
        <v/>
      </c>
      <c r="P1434" s="303" t="str">
        <f>IFERROR(LEFT(O1434, FIND(",", O1434)-1), O1434)</f>
        <v/>
      </c>
      <c r="Q1434" s="303" t="str">
        <f>IFERROR(IF(ISERROR(FIND(",", O1434, FIND(",", O1434)+1)), RIGHT(O1434, LEN(O1434)-FIND(",", O1434)-1), MID(O1434, FIND(",", O1434)+2, FIND(",", O1434, FIND(",", O1434)+1)-FIND(",", O1434)-2)), "")</f>
        <v/>
      </c>
      <c r="R1434" s="303" t="str">
        <f>IFERROR(RIGHT(O1434, LEN(O1434)-FIND(",", O1434, FIND(",", O1434)+1)-1), "")</f>
        <v/>
      </c>
      <c r="S1434" s="35" t="str" cm="1">
        <f t="array" ref="S1434">_xlfn.TEXTJOIN(", ",TRUE,_xlfn._xlws.FILTER(Tabla29[[#All],[PARTE]],ISNUMBER(SEARCH(Tabla29[[#All],[PCLAVE3]],Tabla8[[#This Row],[DESCRIPCION DE TRABAJO]])),""))</f>
        <v/>
      </c>
      <c r="T1434" s="34" t="str">
        <f>IF(AND(Tabla8[[#This Row],[PIEZA]]="",Tabla8[[#This Row],[PARTE]]=""),"VACIO","OK")</f>
        <v>VACIO</v>
      </c>
      <c r="U1434" s="303" t="str">
        <f>+CONCATENATE(WEEKNUM(Tabla8[[#This Row],[FECHA]]),"-",YEAR(Tabla8[[#This Row],[FECHA]]))</f>
        <v>21-2026</v>
      </c>
    </row>
    <row r="1435" spans="1:21" ht="15" customHeight="1">
      <c r="A1435" s="22">
        <v>46163</v>
      </c>
      <c r="B1435" s="16" t="s">
        <v>111</v>
      </c>
      <c r="C1435" s="10" t="s">
        <v>23</v>
      </c>
      <c r="D1435" s="381" t="s">
        <v>2685</v>
      </c>
      <c r="E1435" s="381" t="s">
        <v>579</v>
      </c>
      <c r="F1435" s="380">
        <f>+MOD(Tabla8[[#This Row],[HR. FIN]]-Tabla8[[#This Row],[HR. INICIO]],1)</f>
        <v>1.3888888888888951E-2</v>
      </c>
      <c r="G1435" s="16" t="s">
        <v>270</v>
      </c>
      <c r="H1435" s="343" t="str">
        <f>IFERROR(VLOOKUP(G1435,DATOS!$M$2:$N$219,2,FALSE),"")</f>
        <v>Maquinaria</v>
      </c>
      <c r="I1435" s="115" t="s">
        <v>54</v>
      </c>
      <c r="J1435" s="115" t="s">
        <v>92</v>
      </c>
      <c r="K1435" s="114" t="s">
        <v>148</v>
      </c>
      <c r="L1435" s="35" t="s">
        <v>2686</v>
      </c>
      <c r="M1435" s="35" t="s">
        <v>2687</v>
      </c>
      <c r="N1435" s="35" t="str" cm="1">
        <f t="array" ref="N1435">IFERROR(IF(Tabla8[[#This Row],[P/NP]]="NO PROGRAMADA","",_xlfn.TEXTJOIN(", ",TRUE,_xlfn._xlws.FILTER(Tabla4[[#All],[PIEZA]],ISNUMBER(SEARCH(Tabla4[[#All],[PCLAVE]],Tabla8[[#This Row],[DESCRIPCION DE TRABAJO]])),""))),"")</f>
        <v/>
      </c>
      <c r="O1435" s="35" t="str" cm="1">
        <f t="array" ref="O1435">_xlfn.TEXTJOIN(", ",TRUE,_xlfn._xlws.FILTER(Tabla28[[#All],[PARTE]],ISNUMBER(SEARCH(Tabla28[[#All],[PCLAVE2]],Tabla8[[#This Row],[DESCRIPCION DE TRABAJO]])),""))</f>
        <v/>
      </c>
      <c r="P1435" s="303" t="str">
        <f>IFERROR(LEFT(O1435, FIND(",", O1435)-1), O1435)</f>
        <v/>
      </c>
      <c r="Q1435" s="303" t="str">
        <f>IFERROR(IF(ISERROR(FIND(",", O1435, FIND(",", O1435)+1)), RIGHT(O1435, LEN(O1435)-FIND(",", O1435)-1), MID(O1435, FIND(",", O1435)+2, FIND(",", O1435, FIND(",", O1435)+1)-FIND(",", O1435)-2)), "")</f>
        <v/>
      </c>
      <c r="R1435" s="303" t="str">
        <f>IFERROR(RIGHT(O1435, LEN(O1435)-FIND(",", O1435, FIND(",", O1435)+1)-1), "")</f>
        <v/>
      </c>
      <c r="S1435" s="35" t="str" cm="1">
        <f t="array" ref="S1435">_xlfn.TEXTJOIN(", ",TRUE,_xlfn._xlws.FILTER(Tabla29[[#All],[PARTE]],ISNUMBER(SEARCH(Tabla29[[#All],[PCLAVE3]],Tabla8[[#This Row],[DESCRIPCION DE TRABAJO]])),""))</f>
        <v>Error, Lento, Muy Lento</v>
      </c>
      <c r="T1435" s="34" t="str">
        <f>IF(AND(Tabla8[[#This Row],[PIEZA]]="",Tabla8[[#This Row],[PARTE]]=""),"VACIO","OK")</f>
        <v>VACIO</v>
      </c>
      <c r="U1435" s="303" t="str">
        <f>+CONCATENATE(WEEKNUM(Tabla8[[#This Row],[FECHA]]),"-",YEAR(Tabla8[[#This Row],[FECHA]]))</f>
        <v>21-2026</v>
      </c>
    </row>
    <row r="1436" spans="1:21" ht="15" customHeight="1">
      <c r="A1436" s="22">
        <v>46163</v>
      </c>
      <c r="B1436" s="16" t="s">
        <v>88</v>
      </c>
      <c r="C1436" s="10" t="s">
        <v>36</v>
      </c>
      <c r="D1436" s="381" t="s">
        <v>127</v>
      </c>
      <c r="E1436" s="381" t="s">
        <v>400</v>
      </c>
      <c r="F1436" s="380">
        <f>+MOD(Tabla8[[#This Row],[HR. FIN]]-Tabla8[[#This Row],[HR. INICIO]],1)</f>
        <v>1.3888888888888895E-2</v>
      </c>
      <c r="G1436" s="16" t="s">
        <v>438</v>
      </c>
      <c r="H1436" s="343" t="str">
        <f>IFERROR(VLOOKUP(G1436,DATOS!$M$2:$N$219,2,FALSE),"")</f>
        <v>Maquinaria</v>
      </c>
      <c r="I1436" s="115" t="s">
        <v>61</v>
      </c>
      <c r="J1436" s="115" t="s">
        <v>157</v>
      </c>
      <c r="K1436" s="114"/>
      <c r="L1436" s="35" t="s">
        <v>2688</v>
      </c>
      <c r="M1436" s="35" t="s">
        <v>2689</v>
      </c>
      <c r="N1436" s="35" t="str" cm="1">
        <f t="array" ref="N1436">IFERROR(IF(Tabla8[[#This Row],[P/NP]]="NO PROGRAMADA","",_xlfn.TEXTJOIN(", ",TRUE,_xlfn._xlws.FILTER(Tabla4[[#All],[PIEZA]],ISNUMBER(SEARCH(Tabla4[[#All],[PCLAVE]],Tabla8[[#This Row],[DESCRIPCION DE TRABAJO]])),""))),"")</f>
        <v>Carbon</v>
      </c>
      <c r="O1436" s="35" t="str" cm="1">
        <f t="array" ref="O1436">_xlfn.TEXTJOIN(", ",TRUE,_xlfn._xlws.FILTER(Tabla28[[#All],[PARTE]],ISNUMBER(SEARCH(Tabla28[[#All],[PCLAVE2]],Tabla8[[#This Row],[DESCRIPCION DE TRABAJO]])),""))</f>
        <v/>
      </c>
      <c r="P1436" s="303" t="str">
        <f>IFERROR(LEFT(O1436, FIND(",", O1436)-1), O1436)</f>
        <v/>
      </c>
      <c r="Q1436" s="303" t="str">
        <f>IFERROR(IF(ISERROR(FIND(",", O1436, FIND(",", O1436)+1)), RIGHT(O1436, LEN(O1436)-FIND(",", O1436)-1), MID(O1436, FIND(",", O1436)+2, FIND(",", O1436, FIND(",", O1436)+1)-FIND(",", O1436)-2)), "")</f>
        <v/>
      </c>
      <c r="R1436" s="303" t="str">
        <f>IFERROR(RIGHT(O1436, LEN(O1436)-FIND(",", O1436, FIND(",", O1436)+1)-1), "")</f>
        <v/>
      </c>
      <c r="S1436" s="35" t="str" cm="1">
        <f t="array" ref="S1436">_xlfn.TEXTJOIN(", ",TRUE,_xlfn._xlws.FILTER(Tabla29[[#All],[PARTE]],ISNUMBER(SEARCH(Tabla29[[#All],[PCLAVE3]],Tabla8[[#This Row],[DESCRIPCION DE TRABAJO]])),""))</f>
        <v/>
      </c>
      <c r="T1436" s="34" t="str">
        <f>IF(AND(Tabla8[[#This Row],[PIEZA]]="",Tabla8[[#This Row],[PARTE]]=""),"VACIO","OK")</f>
        <v>OK</v>
      </c>
      <c r="U1436" s="303" t="str">
        <f>+CONCATENATE(WEEKNUM(Tabla8[[#This Row],[FECHA]]),"-",YEAR(Tabla8[[#This Row],[FECHA]]))</f>
        <v>21-2026</v>
      </c>
    </row>
    <row r="1437" spans="1:21" ht="15" customHeight="1">
      <c r="A1437" s="22">
        <v>46163</v>
      </c>
      <c r="B1437" s="16" t="s">
        <v>191</v>
      </c>
      <c r="C1437" s="10" t="s">
        <v>36</v>
      </c>
      <c r="D1437" s="381" t="s">
        <v>495</v>
      </c>
      <c r="E1437" s="381" t="s">
        <v>2690</v>
      </c>
      <c r="F1437" s="380">
        <f>+MOD(Tabla8[[#This Row],[HR. FIN]]-Tabla8[[#This Row],[HR. INICIO]],1)</f>
        <v>1.1805555555555569E-2</v>
      </c>
      <c r="G1437" s="16" t="s">
        <v>270</v>
      </c>
      <c r="H1437" s="343" t="str">
        <f>IFERROR(VLOOKUP(G1437,DATOS!$M$2:$N$219,2,FALSE),"")</f>
        <v>Maquinaria</v>
      </c>
      <c r="I1437" s="115" t="s">
        <v>390</v>
      </c>
      <c r="J1437" s="115" t="s">
        <v>157</v>
      </c>
      <c r="K1437" s="114"/>
      <c r="L1437" s="35" t="s">
        <v>1151</v>
      </c>
      <c r="M1437" s="35" t="s">
        <v>121</v>
      </c>
      <c r="N1437" s="35" t="str" cm="1">
        <f t="array" ref="N1437">IFERROR(IF(Tabla8[[#This Row],[P/NP]]="NO PROGRAMADA","",_xlfn.TEXTJOIN(", ",TRUE,_xlfn._xlws.FILTER(Tabla4[[#All],[PIEZA]],ISNUMBER(SEARCH(Tabla4[[#All],[PCLAVE]],Tabla8[[#This Row],[DESCRIPCION DE TRABAJO]])),""))),"")</f>
        <v/>
      </c>
      <c r="O1437" s="35" t="str" cm="1">
        <f t="array" ref="O1437">_xlfn.TEXTJOIN(", ",TRUE,_xlfn._xlws.FILTER(Tabla28[[#All],[PARTE]],ISNUMBER(SEARCH(Tabla28[[#All],[PCLAVE2]],Tabla8[[#This Row],[DESCRIPCION DE TRABAJO]])),""))</f>
        <v/>
      </c>
      <c r="P1437" s="303" t="str">
        <f>IFERROR(LEFT(O1437, FIND(",", O1437)-1), O1437)</f>
        <v/>
      </c>
      <c r="Q1437" s="303" t="str">
        <f>IFERROR(IF(ISERROR(FIND(",", O1437, FIND(",", O1437)+1)), RIGHT(O1437, LEN(O1437)-FIND(",", O1437)-1), MID(O1437, FIND(",", O1437)+2, FIND(",", O1437, FIND(",", O1437)+1)-FIND(",", O1437)-2)), "")</f>
        <v/>
      </c>
      <c r="R1437" s="303" t="str">
        <f>IFERROR(RIGHT(O1437, LEN(O1437)-FIND(",", O1437, FIND(",", O1437)+1)-1), "")</f>
        <v/>
      </c>
      <c r="S1437" s="35" t="str" cm="1">
        <f t="array" ref="S1437">_xlfn.TEXTJOIN(", ",TRUE,_xlfn._xlws.FILTER(Tabla29[[#All],[PARTE]],ISNUMBER(SEARCH(Tabla29[[#All],[PCLAVE3]],Tabla8[[#This Row],[DESCRIPCION DE TRABAJO]])),""))</f>
        <v/>
      </c>
      <c r="T1437" s="34" t="str">
        <f>IF(AND(Tabla8[[#This Row],[PIEZA]]="",Tabla8[[#This Row],[PARTE]]=""),"VACIO","OK")</f>
        <v>VACIO</v>
      </c>
      <c r="U1437" s="303" t="str">
        <f>+CONCATENATE(WEEKNUM(Tabla8[[#This Row],[FECHA]]),"-",YEAR(Tabla8[[#This Row],[FECHA]]))</f>
        <v>21-2026</v>
      </c>
    </row>
    <row r="1438" spans="1:21" ht="15" customHeight="1">
      <c r="A1438" s="22">
        <v>46163</v>
      </c>
      <c r="B1438" s="16" t="s">
        <v>111</v>
      </c>
      <c r="C1438" s="10" t="s">
        <v>23</v>
      </c>
      <c r="D1438" s="381" t="s">
        <v>393</v>
      </c>
      <c r="E1438" s="381" t="s">
        <v>1256</v>
      </c>
      <c r="F1438" s="380">
        <f>+MOD(Tabla8[[#This Row],[HR. FIN]]-Tabla8[[#This Row],[HR. INICIO]],1)</f>
        <v>1.0416666666666741E-2</v>
      </c>
      <c r="G1438" s="16" t="s">
        <v>236</v>
      </c>
      <c r="H1438" s="343" t="str">
        <f>IFERROR(VLOOKUP(G1438,DATOS!$M$2:$N$219,2,FALSE),"")</f>
        <v>Sistema</v>
      </c>
      <c r="I1438" s="115" t="s">
        <v>186</v>
      </c>
      <c r="J1438" s="115" t="s">
        <v>92</v>
      </c>
      <c r="K1438" s="114" t="s">
        <v>93</v>
      </c>
      <c r="L1438" s="35" t="s">
        <v>2242</v>
      </c>
      <c r="M1438" s="35" t="s">
        <v>2691</v>
      </c>
      <c r="N1438" s="35" t="str" cm="1">
        <f t="array" ref="N1438">IFERROR(IF(Tabla8[[#This Row],[P/NP]]="NO PROGRAMADA","",_xlfn.TEXTJOIN(", ",TRUE,_xlfn._xlws.FILTER(Tabla4[[#All],[PIEZA]],ISNUMBER(SEARCH(Tabla4[[#All],[PCLAVE]],Tabla8[[#This Row],[DESCRIPCION DE TRABAJO]])),""))),"")</f>
        <v/>
      </c>
      <c r="O1438" s="35" t="str" cm="1">
        <f t="array" ref="O1438">_xlfn.TEXTJOIN(", ",TRUE,_xlfn._xlws.FILTER(Tabla28[[#All],[PARTE]],ISNUMBER(SEARCH(Tabla28[[#All],[PCLAVE2]],Tabla8[[#This Row],[DESCRIPCION DE TRABAJO]])),""))</f>
        <v/>
      </c>
      <c r="P1438" s="303" t="str">
        <f>IFERROR(LEFT(O1438, FIND(",", O1438)-1), O1438)</f>
        <v/>
      </c>
      <c r="Q1438" s="303" t="str">
        <f>IFERROR(IF(ISERROR(FIND(",", O1438, FIND(",", O1438)+1)), RIGHT(O1438, LEN(O1438)-FIND(",", O1438)-1), MID(O1438, FIND(",", O1438)+2, FIND(",", O1438, FIND(",", O1438)+1)-FIND(",", O1438)-2)), "")</f>
        <v/>
      </c>
      <c r="R1438" s="303" t="str">
        <f>IFERROR(RIGHT(O1438, LEN(O1438)-FIND(",", O1438, FIND(",", O1438)+1)-1), "")</f>
        <v/>
      </c>
      <c r="S1438" s="35" t="str" cm="1">
        <f t="array" ref="S1438">_xlfn.TEXTJOIN(", ",TRUE,_xlfn._xlws.FILTER(Tabla29[[#All],[PARTE]],ISNUMBER(SEARCH(Tabla29[[#All],[PCLAVE3]],Tabla8[[#This Row],[DESCRIPCION DE TRABAJO]])),""))</f>
        <v/>
      </c>
      <c r="T1438" s="34" t="str">
        <f>IF(AND(Tabla8[[#This Row],[PIEZA]]="",Tabla8[[#This Row],[PARTE]]=""),"VACIO","OK")</f>
        <v>VACIO</v>
      </c>
      <c r="U1438" s="303" t="str">
        <f>+CONCATENATE(WEEKNUM(Tabla8[[#This Row],[FECHA]]),"-",YEAR(Tabla8[[#This Row],[FECHA]]))</f>
        <v>21-2026</v>
      </c>
    </row>
    <row r="1439" spans="1:21" ht="15" customHeight="1">
      <c r="A1439" s="22">
        <v>46163</v>
      </c>
      <c r="B1439" s="16" t="s">
        <v>88</v>
      </c>
      <c r="C1439" s="10" t="s">
        <v>36</v>
      </c>
      <c r="D1439" s="381" t="s">
        <v>1529</v>
      </c>
      <c r="E1439" s="381" t="s">
        <v>556</v>
      </c>
      <c r="F1439" s="380">
        <f>+MOD(Tabla8[[#This Row],[HR. FIN]]-Tabla8[[#This Row],[HR. INICIO]],1)</f>
        <v>1.0416666666666685E-2</v>
      </c>
      <c r="G1439" s="16" t="s">
        <v>552</v>
      </c>
      <c r="H1439" s="343" t="str">
        <f>IFERROR(VLOOKUP(G1439,DATOS!$M$2:$N$219,2,FALSE),"")</f>
        <v>Maquinaria</v>
      </c>
      <c r="I1439" s="115" t="s">
        <v>61</v>
      </c>
      <c r="J1439" s="115" t="s">
        <v>92</v>
      </c>
      <c r="K1439" s="114" t="s">
        <v>148</v>
      </c>
      <c r="L1439" s="35" t="s">
        <v>2692</v>
      </c>
      <c r="M1439" s="35" t="s">
        <v>2693</v>
      </c>
      <c r="N1439" s="35" t="str" cm="1">
        <f t="array" ref="N1439">IFERROR(IF(Tabla8[[#This Row],[P/NP]]="NO PROGRAMADA","",_xlfn.TEXTJOIN(", ",TRUE,_xlfn._xlws.FILTER(Tabla4[[#All],[PIEZA]],ISNUMBER(SEARCH(Tabla4[[#All],[PCLAVE]],Tabla8[[#This Row],[DESCRIPCION DE TRABAJO]])),""))),"")</f>
        <v/>
      </c>
      <c r="O1439" s="35" t="str" cm="1">
        <f t="array" ref="O1439">_xlfn.TEXTJOIN(", ",TRUE,_xlfn._xlws.FILTER(Tabla28[[#All],[PARTE]],ISNUMBER(SEARCH(Tabla28[[#All],[PCLAVE2]],Tabla8[[#This Row],[DESCRIPCION DE TRABAJO]])),""))</f>
        <v>Codificador, Impresora</v>
      </c>
      <c r="P1439" s="303" t="str">
        <f>IFERROR(LEFT(O1439, FIND(",", O1439)-1), O1439)</f>
        <v>Codificador</v>
      </c>
      <c r="Q1439" s="303" t="str">
        <f>IFERROR(IF(ISERROR(FIND(",", O1439, FIND(",", O1439)+1)), RIGHT(O1439, LEN(O1439)-FIND(",", O1439)-1), MID(O1439, FIND(",", O1439)+2, FIND(",", O1439, FIND(",", O1439)+1)-FIND(",", O1439)-2)), "")</f>
        <v>Impresora</v>
      </c>
      <c r="R1439" s="303" t="str">
        <f>IFERROR(RIGHT(O1439, LEN(O1439)-FIND(",", O1439, FIND(",", O1439)+1)-1), "")</f>
        <v/>
      </c>
      <c r="S1439" s="35" t="str" cm="1">
        <f t="array" ref="S1439">_xlfn.TEXTJOIN(", ",TRUE,_xlfn._xlws.FILTER(Tabla29[[#All],[PARTE]],ISNUMBER(SEARCH(Tabla29[[#All],[PCLAVE3]],Tabla8[[#This Row],[DESCRIPCION DE TRABAJO]])),""))</f>
        <v/>
      </c>
      <c r="T1439" s="34" t="str">
        <f>IF(AND(Tabla8[[#This Row],[PIEZA]]="",Tabla8[[#This Row],[PARTE]]=""),"VACIO","OK")</f>
        <v>OK</v>
      </c>
      <c r="U1439" s="303" t="str">
        <f>+CONCATENATE(WEEKNUM(Tabla8[[#This Row],[FECHA]]),"-",YEAR(Tabla8[[#This Row],[FECHA]]))</f>
        <v>21-2026</v>
      </c>
    </row>
    <row r="1440" spans="1:21" ht="15" customHeight="1">
      <c r="A1440" s="22">
        <v>46163</v>
      </c>
      <c r="B1440" s="16" t="s">
        <v>111</v>
      </c>
      <c r="C1440" s="10" t="s">
        <v>23</v>
      </c>
      <c r="D1440" s="381" t="s">
        <v>2694</v>
      </c>
      <c r="E1440" s="381">
        <v>0.54166666666666663</v>
      </c>
      <c r="F1440" s="380">
        <f>+MOD(Tabla8[[#This Row],[HR. FIN]]-Tabla8[[#This Row],[HR. INICIO]],1)</f>
        <v>1.041666666666663E-2</v>
      </c>
      <c r="G1440" s="16" t="s">
        <v>119</v>
      </c>
      <c r="H1440" s="343" t="str">
        <f>IFERROR(VLOOKUP(G1440,DATOS!$M$2:$N$219,2,FALSE),"")</f>
        <v>Maquinaria</v>
      </c>
      <c r="I1440" s="115" t="s">
        <v>54</v>
      </c>
      <c r="J1440" s="115" t="s">
        <v>157</v>
      </c>
      <c r="K1440" s="114"/>
      <c r="L1440" s="35" t="s">
        <v>2695</v>
      </c>
      <c r="M1440" s="35" t="s">
        <v>121</v>
      </c>
      <c r="N1440" s="35" t="str" cm="1">
        <f t="array" ref="N1440">IFERROR(IF(Tabla8[[#This Row],[P/NP]]="NO PROGRAMADA","",_xlfn.TEXTJOIN(", ",TRUE,_xlfn._xlws.FILTER(Tabla4[[#All],[PIEZA]],ISNUMBER(SEARCH(Tabla4[[#All],[PCLAVE]],Tabla8[[#This Row],[DESCRIPCION DE TRABAJO]])),""))),"")</f>
        <v/>
      </c>
      <c r="O1440" s="35" t="str" cm="1">
        <f t="array" ref="O1440">_xlfn.TEXTJOIN(", ",TRUE,_xlfn._xlws.FILTER(Tabla28[[#All],[PARTE]],ISNUMBER(SEARCH(Tabla28[[#All],[PCLAVE2]],Tabla8[[#This Row],[DESCRIPCION DE TRABAJO]])),""))</f>
        <v>Temperadora</v>
      </c>
      <c r="P1440" s="303" t="str">
        <f>IFERROR(LEFT(O1440, FIND(",", O1440)-1), O1440)</f>
        <v>Temperadora</v>
      </c>
      <c r="Q1440" s="303" t="str">
        <f>IFERROR(IF(ISERROR(FIND(",", O1440, FIND(",", O1440)+1)), RIGHT(O1440, LEN(O1440)-FIND(",", O1440)-1), MID(O1440, FIND(",", O1440)+2, FIND(",", O1440, FIND(",", O1440)+1)-FIND(",", O1440)-2)), "")</f>
        <v/>
      </c>
      <c r="R1440" s="303" t="str">
        <f>IFERROR(RIGHT(O1440, LEN(O1440)-FIND(",", O1440, FIND(",", O1440)+1)-1), "")</f>
        <v/>
      </c>
      <c r="S1440" s="35" t="str" cm="1">
        <f t="array" ref="S1440">_xlfn.TEXTJOIN(", ",TRUE,_xlfn._xlws.FILTER(Tabla29[[#All],[PARTE]],ISNUMBER(SEARCH(Tabla29[[#All],[PCLAVE3]],Tabla8[[#This Row],[DESCRIPCION DE TRABAJO]])),""))</f>
        <v/>
      </c>
      <c r="T1440" s="34" t="str">
        <f>IF(AND(Tabla8[[#This Row],[PIEZA]]="",Tabla8[[#This Row],[PARTE]]=""),"VACIO","OK")</f>
        <v>OK</v>
      </c>
      <c r="U1440" s="303" t="str">
        <f>+CONCATENATE(WEEKNUM(Tabla8[[#This Row],[FECHA]]),"-",YEAR(Tabla8[[#This Row],[FECHA]]))</f>
        <v>21-2026</v>
      </c>
    </row>
    <row r="1441" spans="1:21" ht="15" customHeight="1">
      <c r="A1441" s="22">
        <v>46163</v>
      </c>
      <c r="B1441" s="16" t="s">
        <v>111</v>
      </c>
      <c r="C1441" s="10" t="s">
        <v>23</v>
      </c>
      <c r="D1441" s="381" t="s">
        <v>457</v>
      </c>
      <c r="E1441" s="381" t="s">
        <v>2696</v>
      </c>
      <c r="F1441" s="380">
        <f>+MOD(Tabla8[[#This Row],[HR. FIN]]-Tabla8[[#This Row],[HR. INICIO]],1)</f>
        <v>1.041666666666663E-2</v>
      </c>
      <c r="G1441" s="16" t="s">
        <v>552</v>
      </c>
      <c r="H1441" s="343" t="str">
        <f>IFERROR(VLOOKUP(G1441,DATOS!$M$2:$N$219,2,FALSE),"")</f>
        <v>Maquinaria</v>
      </c>
      <c r="I1441" s="115" t="s">
        <v>390</v>
      </c>
      <c r="J1441" s="115" t="s">
        <v>157</v>
      </c>
      <c r="K1441" s="114"/>
      <c r="L1441" s="35" t="s">
        <v>2697</v>
      </c>
      <c r="M1441" s="35" t="s">
        <v>121</v>
      </c>
      <c r="N1441" s="35" t="str" cm="1">
        <f t="array" ref="N1441">IFERROR(IF(Tabla8[[#This Row],[P/NP]]="NO PROGRAMADA","",_xlfn.TEXTJOIN(", ",TRUE,_xlfn._xlws.FILTER(Tabla4[[#All],[PIEZA]],ISNUMBER(SEARCH(Tabla4[[#All],[PCLAVE]],Tabla8[[#This Row],[DESCRIPCION DE TRABAJO]])),""))),"")</f>
        <v/>
      </c>
      <c r="O1441" s="35" t="str" cm="1">
        <f t="array" ref="O1441">_xlfn.TEXTJOIN(", ",TRUE,_xlfn._xlws.FILTER(Tabla28[[#All],[PARTE]],ISNUMBER(SEARCH(Tabla28[[#All],[PCLAVE2]],Tabla8[[#This Row],[DESCRIPCION DE TRABAJO]])),""))</f>
        <v>Codificador</v>
      </c>
      <c r="P1441" s="303" t="str">
        <f>IFERROR(LEFT(O1441, FIND(",", O1441)-1), O1441)</f>
        <v>Codificador</v>
      </c>
      <c r="Q1441" s="303" t="str">
        <f>IFERROR(IF(ISERROR(FIND(",", O1441, FIND(",", O1441)+1)), RIGHT(O1441, LEN(O1441)-FIND(",", O1441)-1), MID(O1441, FIND(",", O1441)+2, FIND(",", O1441, FIND(",", O1441)+1)-FIND(",", O1441)-2)), "")</f>
        <v/>
      </c>
      <c r="R1441" s="303" t="str">
        <f>IFERROR(RIGHT(O1441, LEN(O1441)-FIND(",", O1441, FIND(",", O1441)+1)-1), "")</f>
        <v/>
      </c>
      <c r="S1441" s="35" t="str" cm="1">
        <f t="array" ref="S1441">_xlfn.TEXTJOIN(", ",TRUE,_xlfn._xlws.FILTER(Tabla29[[#All],[PARTE]],ISNUMBER(SEARCH(Tabla29[[#All],[PCLAVE3]],Tabla8[[#This Row],[DESCRIPCION DE TRABAJO]])),""))</f>
        <v/>
      </c>
      <c r="T1441" s="34" t="str">
        <f>IF(AND(Tabla8[[#This Row],[PIEZA]]="",Tabla8[[#This Row],[PARTE]]=""),"VACIO","OK")</f>
        <v>OK</v>
      </c>
      <c r="U1441" s="303" t="str">
        <f>+CONCATENATE(WEEKNUM(Tabla8[[#This Row],[FECHA]]),"-",YEAR(Tabla8[[#This Row],[FECHA]]))</f>
        <v>21-2026</v>
      </c>
    </row>
    <row r="1442" spans="1:21" ht="15" customHeight="1">
      <c r="A1442" s="22">
        <v>46163</v>
      </c>
      <c r="B1442" s="16" t="s">
        <v>111</v>
      </c>
      <c r="C1442" s="10" t="s">
        <v>23</v>
      </c>
      <c r="D1442" s="381" t="s">
        <v>1254</v>
      </c>
      <c r="E1442" s="381" t="s">
        <v>620</v>
      </c>
      <c r="F1442" s="380">
        <f>+MOD(Tabla8[[#This Row],[HR. FIN]]-Tabla8[[#This Row],[HR. INICIO]],1)</f>
        <v>1.041666666666663E-2</v>
      </c>
      <c r="G1442" s="16" t="s">
        <v>119</v>
      </c>
      <c r="H1442" s="343" t="str">
        <f>IFERROR(VLOOKUP(G1442,DATOS!$M$2:$N$219,2,FALSE),"")</f>
        <v>Maquinaria</v>
      </c>
      <c r="I1442" s="115" t="s">
        <v>32</v>
      </c>
      <c r="J1442" s="115" t="s">
        <v>157</v>
      </c>
      <c r="K1442" s="114"/>
      <c r="L1442" s="35" t="s">
        <v>2698</v>
      </c>
      <c r="M1442" s="35" t="s">
        <v>121</v>
      </c>
      <c r="N1442" s="35" t="str" cm="1">
        <f t="array" ref="N1442">IFERROR(IF(Tabla8[[#This Row],[P/NP]]="NO PROGRAMADA","",_xlfn.TEXTJOIN(", ",TRUE,_xlfn._xlws.FILTER(Tabla4[[#All],[PIEZA]],ISNUMBER(SEARCH(Tabla4[[#All],[PCLAVE]],Tabla8[[#This Row],[DESCRIPCION DE TRABAJO]])),""))),"")</f>
        <v>Ventilador</v>
      </c>
      <c r="O1442" s="35" t="str" cm="1">
        <f t="array" ref="O1442">_xlfn.TEXTJOIN(", ",TRUE,_xlfn._xlws.FILTER(Tabla28[[#All],[PARTE]],ISNUMBER(SEARCH(Tabla28[[#All],[PCLAVE2]],Tabla8[[#This Row],[DESCRIPCION DE TRABAJO]])),""))</f>
        <v/>
      </c>
      <c r="P1442" s="303" t="str">
        <f>IFERROR(LEFT(O1442, FIND(",", O1442)-1), O1442)</f>
        <v/>
      </c>
      <c r="Q1442" s="303" t="str">
        <f>IFERROR(IF(ISERROR(FIND(",", O1442, FIND(",", O1442)+1)), RIGHT(O1442, LEN(O1442)-FIND(",", O1442)-1), MID(O1442, FIND(",", O1442)+2, FIND(",", O1442, FIND(",", O1442)+1)-FIND(",", O1442)-2)), "")</f>
        <v/>
      </c>
      <c r="R1442" s="303" t="str">
        <f>IFERROR(RIGHT(O1442, LEN(O1442)-FIND(",", O1442, FIND(",", O1442)+1)-1), "")</f>
        <v/>
      </c>
      <c r="S1442" s="35" t="str" cm="1">
        <f t="array" ref="S1442">_xlfn.TEXTJOIN(", ",TRUE,_xlfn._xlws.FILTER(Tabla29[[#All],[PARTE]],ISNUMBER(SEARCH(Tabla29[[#All],[PCLAVE3]],Tabla8[[#This Row],[DESCRIPCION DE TRABAJO]])),""))</f>
        <v>Temperatura</v>
      </c>
      <c r="T1442" s="34" t="str">
        <f>IF(AND(Tabla8[[#This Row],[PIEZA]]="",Tabla8[[#This Row],[PARTE]]=""),"VACIO","OK")</f>
        <v>OK</v>
      </c>
      <c r="U1442" s="303" t="str">
        <f>+CONCATENATE(WEEKNUM(Tabla8[[#This Row],[FECHA]]),"-",YEAR(Tabla8[[#This Row],[FECHA]]))</f>
        <v>21-2026</v>
      </c>
    </row>
    <row r="1443" spans="1:21" ht="15" customHeight="1">
      <c r="A1443" s="22">
        <v>46163</v>
      </c>
      <c r="B1443" s="16" t="s">
        <v>111</v>
      </c>
      <c r="C1443" s="10" t="s">
        <v>23</v>
      </c>
      <c r="D1443" s="381" t="s">
        <v>2699</v>
      </c>
      <c r="E1443" s="381" t="s">
        <v>297</v>
      </c>
      <c r="F1443" s="380">
        <f>+MOD(Tabla8[[#This Row],[HR. FIN]]-Tabla8[[#This Row],[HR. INICIO]],1)</f>
        <v>1.041666666666663E-2</v>
      </c>
      <c r="G1443" s="16" t="s">
        <v>2700</v>
      </c>
      <c r="H1443" s="343" t="str">
        <f>IFERROR(VLOOKUP(G1443,DATOS!$M$2:$N$219,2,FALSE),"")</f>
        <v>Maquinaria</v>
      </c>
      <c r="I1443" s="115" t="s">
        <v>32</v>
      </c>
      <c r="J1443" s="115" t="s">
        <v>157</v>
      </c>
      <c r="K1443" s="114"/>
      <c r="L1443" s="35" t="s">
        <v>2701</v>
      </c>
      <c r="M1443" s="35" t="s">
        <v>121</v>
      </c>
      <c r="N1443" s="35" t="str" cm="1">
        <f t="array" ref="N1443">IFERROR(IF(Tabla8[[#This Row],[P/NP]]="NO PROGRAMADA","",_xlfn.TEXTJOIN(", ",TRUE,_xlfn._xlws.FILTER(Tabla4[[#All],[PIEZA]],ISNUMBER(SEARCH(Tabla4[[#All],[PCLAVE]],Tabla8[[#This Row],[DESCRIPCION DE TRABAJO]])),""))),"")</f>
        <v>Conector</v>
      </c>
      <c r="O1443" s="35" t="str" cm="1">
        <f t="array" ref="O1443">_xlfn.TEXTJOIN(", ",TRUE,_xlfn._xlws.FILTER(Tabla28[[#All],[PARTE]],ISNUMBER(SEARCH(Tabla28[[#All],[PCLAVE2]],Tabla8[[#This Row],[DESCRIPCION DE TRABAJO]])),""))</f>
        <v/>
      </c>
      <c r="P1443" s="303" t="str">
        <f>IFERROR(LEFT(O1443, FIND(",", O1443)-1), O1443)</f>
        <v/>
      </c>
      <c r="Q1443" s="303" t="str">
        <f>IFERROR(IF(ISERROR(FIND(",", O1443, FIND(",", O1443)+1)), RIGHT(O1443, LEN(O1443)-FIND(",", O1443)-1), MID(O1443, FIND(",", O1443)+2, FIND(",", O1443, FIND(",", O1443)+1)-FIND(",", O1443)-2)), "")</f>
        <v/>
      </c>
      <c r="R1443" s="303" t="str">
        <f>IFERROR(RIGHT(O1443, LEN(O1443)-FIND(",", O1443, FIND(",", O1443)+1)-1), "")</f>
        <v/>
      </c>
      <c r="S1443" s="35" t="str" cm="1">
        <f t="array" ref="S1443">_xlfn.TEXTJOIN(", ",TRUE,_xlfn._xlws.FILTER(Tabla29[[#All],[PARTE]],ISNUMBER(SEARCH(Tabla29[[#All],[PCLAVE3]],Tabla8[[#This Row],[DESCRIPCION DE TRABAJO]])),""))</f>
        <v/>
      </c>
      <c r="T1443" s="34" t="str">
        <f>IF(AND(Tabla8[[#This Row],[PIEZA]]="",Tabla8[[#This Row],[PARTE]]=""),"VACIO","OK")</f>
        <v>OK</v>
      </c>
      <c r="U1443" s="303" t="str">
        <f>+CONCATENATE(WEEKNUM(Tabla8[[#This Row],[FECHA]]),"-",YEAR(Tabla8[[#This Row],[FECHA]]))</f>
        <v>21-2026</v>
      </c>
    </row>
    <row r="1444" spans="1:21" ht="15" customHeight="1">
      <c r="A1444" s="22">
        <v>46163</v>
      </c>
      <c r="B1444" s="16" t="s">
        <v>111</v>
      </c>
      <c r="C1444" s="10" t="s">
        <v>23</v>
      </c>
      <c r="D1444" s="381" t="s">
        <v>1838</v>
      </c>
      <c r="E1444" s="381" t="s">
        <v>1960</v>
      </c>
      <c r="F1444" s="380">
        <f>+MOD(Tabla8[[#This Row],[HR. FIN]]-Tabla8[[#This Row],[HR. INICIO]],1)</f>
        <v>1.041666666666663E-2</v>
      </c>
      <c r="G1444" s="16" t="s">
        <v>31</v>
      </c>
      <c r="H1444" s="343" t="str">
        <f>IFERROR(VLOOKUP(G1444,DATOS!$M$2:$N$219,2,FALSE),"")</f>
        <v>Maquinaria</v>
      </c>
      <c r="I1444" s="115" t="s">
        <v>57</v>
      </c>
      <c r="J1444" s="115" t="s">
        <v>157</v>
      </c>
      <c r="K1444" s="114"/>
      <c r="L1444" s="35" t="s">
        <v>2702</v>
      </c>
      <c r="M1444" s="35" t="s">
        <v>121</v>
      </c>
      <c r="N1444" s="35" t="str" cm="1">
        <f t="array" ref="N1444">IFERROR(IF(Tabla8[[#This Row],[P/NP]]="NO PROGRAMADA","",_xlfn.TEXTJOIN(", ",TRUE,_xlfn._xlws.FILTER(Tabla4[[#All],[PIEZA]],ISNUMBER(SEARCH(Tabla4[[#All],[PCLAVE]],Tabla8[[#This Row],[DESCRIPCION DE TRABAJO]])),""))),"")</f>
        <v>Banda, Guias</v>
      </c>
      <c r="O1444" s="35" t="str" cm="1">
        <f t="array" ref="O1444">_xlfn.TEXTJOIN(", ",TRUE,_xlfn._xlws.FILTER(Tabla28[[#All],[PARTE]],ISNUMBER(SEARCH(Tabla28[[#All],[PCLAVE2]],Tabla8[[#This Row],[DESCRIPCION DE TRABAJO]])),""))</f>
        <v/>
      </c>
      <c r="P1444" s="303" t="str">
        <f>IFERROR(LEFT(O1444, FIND(",", O1444)-1), O1444)</f>
        <v/>
      </c>
      <c r="Q1444" s="303" t="str">
        <f>IFERROR(IF(ISERROR(FIND(",", O1444, FIND(",", O1444)+1)), RIGHT(O1444, LEN(O1444)-FIND(",", O1444)-1), MID(O1444, FIND(",", O1444)+2, FIND(",", O1444, FIND(",", O1444)+1)-FIND(",", O1444)-2)), "")</f>
        <v/>
      </c>
      <c r="R1444" s="303" t="str">
        <f>IFERROR(RIGHT(O1444, LEN(O1444)-FIND(",", O1444, FIND(",", O1444)+1)-1), "")</f>
        <v/>
      </c>
      <c r="S1444" s="35" t="str" cm="1">
        <f t="array" ref="S1444">_xlfn.TEXTJOIN(", ",TRUE,_xlfn._xlws.FILTER(Tabla29[[#All],[PARTE]],ISNUMBER(SEARCH(Tabla29[[#All],[PCLAVE3]],Tabla8[[#This Row],[DESCRIPCION DE TRABAJO]])),""))</f>
        <v>Falla En Velocid*, Velocidad</v>
      </c>
      <c r="T1444" s="34" t="str">
        <f>IF(AND(Tabla8[[#This Row],[PIEZA]]="",Tabla8[[#This Row],[PARTE]]=""),"VACIO","OK")</f>
        <v>OK</v>
      </c>
      <c r="U1444" s="303" t="str">
        <f>+CONCATENATE(WEEKNUM(Tabla8[[#This Row],[FECHA]]),"-",YEAR(Tabla8[[#This Row],[FECHA]]))</f>
        <v>21-2026</v>
      </c>
    </row>
    <row r="1445" spans="1:21" ht="15" customHeight="1">
      <c r="A1445" s="22">
        <v>46164</v>
      </c>
      <c r="B1445" s="16" t="s">
        <v>111</v>
      </c>
      <c r="C1445" s="10" t="s">
        <v>23</v>
      </c>
      <c r="D1445" s="381">
        <v>0.67708333333333337</v>
      </c>
      <c r="E1445" s="381">
        <v>0.75</v>
      </c>
      <c r="F1445" s="380">
        <f>+MOD(Tabla8[[#This Row],[HR. FIN]]-Tabla8[[#This Row],[HR. INICIO]],1)</f>
        <v>7.291666666666663E-2</v>
      </c>
      <c r="G1445" s="16" t="s">
        <v>250</v>
      </c>
      <c r="H1445" s="343" t="str">
        <f>IFERROR(VLOOKUP(G1445,DATOS!$M$2:$N$219,2,FALSE),"")</f>
        <v>Maquinaria</v>
      </c>
      <c r="I1445" s="115" t="s">
        <v>186</v>
      </c>
      <c r="J1445" s="115" t="s">
        <v>92</v>
      </c>
      <c r="K1445" s="114" t="s">
        <v>148</v>
      </c>
      <c r="L1445" s="35" t="s">
        <v>2679</v>
      </c>
      <c r="M1445" s="35" t="s">
        <v>2703</v>
      </c>
      <c r="N1445" s="35" t="str" cm="1">
        <f t="array" ref="N1445">IFERROR(IF(Tabla8[[#This Row],[P/NP]]="NO PROGRAMADA","",_xlfn.TEXTJOIN(", ",TRUE,_xlfn._xlws.FILTER(Tabla4[[#All],[PIEZA]],ISNUMBER(SEARCH(Tabla4[[#All],[PCLAVE]],Tabla8[[#This Row],[DESCRIPCION DE TRABAJO]])),""))),"")</f>
        <v/>
      </c>
      <c r="O1445" s="35" t="str" cm="1">
        <f t="array" ref="O1445">_xlfn.TEXTJOIN(", ",TRUE,_xlfn._xlws.FILTER(Tabla28[[#All],[PARTE]],ISNUMBER(SEARCH(Tabla28[[#All],[PCLAVE2]],Tabla8[[#This Row],[DESCRIPCION DE TRABAJO]])),""))</f>
        <v/>
      </c>
      <c r="P1445" s="303" t="str">
        <f>IFERROR(LEFT(O1445, FIND(",", O1445)-1), O1445)</f>
        <v/>
      </c>
      <c r="Q1445" s="303" t="str">
        <f>IFERROR(IF(ISERROR(FIND(",", O1445, FIND(",", O1445)+1)), RIGHT(O1445, LEN(O1445)-FIND(",", O1445)-1), MID(O1445, FIND(",", O1445)+2, FIND(",", O1445, FIND(",", O1445)+1)-FIND(",", O1445)-2)), "")</f>
        <v/>
      </c>
      <c r="R1445" s="303" t="str">
        <f>IFERROR(RIGHT(O1445, LEN(O1445)-FIND(",", O1445, FIND(",", O1445)+1)-1), "")</f>
        <v/>
      </c>
      <c r="S1445" s="35" t="str" cm="1">
        <f t="array" ref="S1445">_xlfn.TEXTJOIN(", ",TRUE,_xlfn._xlws.FILTER(Tabla29[[#All],[PARTE]],ISNUMBER(SEARCH(Tabla29[[#All],[PCLAVE3]],Tabla8[[#This Row],[DESCRIPCION DE TRABAJO]])),""))</f>
        <v>Alta Temperatura, Seco, Temperatura</v>
      </c>
      <c r="T1445" s="34" t="str">
        <f>IF(AND(Tabla8[[#This Row],[PIEZA]]="",Tabla8[[#This Row],[PARTE]]=""),"VACIO","OK")</f>
        <v>VACIO</v>
      </c>
      <c r="U1445" s="303" t="str">
        <f>+CONCATENATE(WEEKNUM(Tabla8[[#This Row],[FECHA]]),"-",YEAR(Tabla8[[#This Row],[FECHA]]))</f>
        <v>21-2026</v>
      </c>
    </row>
    <row r="1446" spans="1:21" ht="15" customHeight="1">
      <c r="A1446" s="22">
        <v>46164</v>
      </c>
      <c r="B1446" s="16" t="s">
        <v>111</v>
      </c>
      <c r="C1446" s="10" t="s">
        <v>23</v>
      </c>
      <c r="D1446" s="381">
        <v>0.82638888888888884</v>
      </c>
      <c r="E1446" s="381">
        <v>0.84375</v>
      </c>
      <c r="F1446" s="380">
        <f>+MOD(Tabla8[[#This Row],[HR. FIN]]-Tabla8[[#This Row],[HR. INICIO]],1)</f>
        <v>1.736111111111116E-2</v>
      </c>
      <c r="G1446" s="16" t="s">
        <v>24</v>
      </c>
      <c r="H1446" s="343" t="str">
        <f>IFERROR(VLOOKUP(G1446,DATOS!$M$2:$N$219,2,FALSE),"")</f>
        <v>Maquinaria</v>
      </c>
      <c r="I1446" s="115" t="s">
        <v>57</v>
      </c>
      <c r="J1446" s="115" t="s">
        <v>92</v>
      </c>
      <c r="K1446" s="114" t="s">
        <v>148</v>
      </c>
      <c r="L1446" s="35" t="s">
        <v>2704</v>
      </c>
      <c r="M1446" s="35" t="s">
        <v>2705</v>
      </c>
      <c r="N1446" s="35" t="str" cm="1">
        <f t="array" ref="N1446">IFERROR(IF(Tabla8[[#This Row],[P/NP]]="NO PROGRAMADA","",_xlfn.TEXTJOIN(", ",TRUE,_xlfn._xlws.FILTER(Tabla4[[#All],[PIEZA]],ISNUMBER(SEARCH(Tabla4[[#All],[PCLAVE]],Tabla8[[#This Row],[DESCRIPCION DE TRABAJO]])),""))),"")</f>
        <v/>
      </c>
      <c r="O1446" s="35" t="str" cm="1">
        <f t="array" ref="O1446">_xlfn.TEXTJOIN(", ",TRUE,_xlfn._xlws.FILTER(Tabla28[[#All],[PARTE]],ISNUMBER(SEARCH(Tabla28[[#All],[PCLAVE2]],Tabla8[[#This Row],[DESCRIPCION DE TRABAJO]])),""))</f>
        <v/>
      </c>
      <c r="P1446" s="303" t="str">
        <f>IFERROR(LEFT(O1446, FIND(",", O1446)-1), O1446)</f>
        <v/>
      </c>
      <c r="Q1446" s="303" t="str">
        <f>IFERROR(IF(ISERROR(FIND(",", O1446, FIND(",", O1446)+1)), RIGHT(O1446, LEN(O1446)-FIND(",", O1446)-1), MID(O1446, FIND(",", O1446)+2, FIND(",", O1446, FIND(",", O1446)+1)-FIND(",", O1446)-2)), "")</f>
        <v/>
      </c>
      <c r="R1446" s="303" t="str">
        <f>IFERROR(RIGHT(O1446, LEN(O1446)-FIND(",", O1446, FIND(",", O1446)+1)-1), "")</f>
        <v/>
      </c>
      <c r="S1446" s="35" t="str" cm="1">
        <f t="array" ref="S1446">_xlfn.TEXTJOIN(", ",TRUE,_xlfn._xlws.FILTER(Tabla29[[#All],[PARTE]],ISNUMBER(SEARCH(Tabla29[[#All],[PCLAVE3]],Tabla8[[#This Row],[DESCRIPCION DE TRABAJO]])),""))</f>
        <v>Error</v>
      </c>
      <c r="T1446" s="34" t="str">
        <f>IF(AND(Tabla8[[#This Row],[PIEZA]]="",Tabla8[[#This Row],[PARTE]]=""),"VACIO","OK")</f>
        <v>VACIO</v>
      </c>
      <c r="U1446" s="303" t="str">
        <f>+CONCATENATE(WEEKNUM(Tabla8[[#This Row],[FECHA]]),"-",YEAR(Tabla8[[#This Row],[FECHA]]))</f>
        <v>21-2026</v>
      </c>
    </row>
    <row r="1447" spans="1:21" ht="15" customHeight="1">
      <c r="A1447" s="22">
        <v>46164</v>
      </c>
      <c r="B1447" s="16" t="s">
        <v>111</v>
      </c>
      <c r="C1447" s="10" t="s">
        <v>23</v>
      </c>
      <c r="D1447" s="381">
        <v>0.61458333333333337</v>
      </c>
      <c r="E1447" s="381">
        <v>0.63194444444444442</v>
      </c>
      <c r="F1447" s="380">
        <f>+MOD(Tabla8[[#This Row],[HR. FIN]]-Tabla8[[#This Row],[HR. INICIO]],1)</f>
        <v>1.7361111111111049E-2</v>
      </c>
      <c r="G1447" s="16" t="s">
        <v>182</v>
      </c>
      <c r="H1447" s="343" t="str">
        <f>IFERROR(VLOOKUP(G1447,DATOS!$M$2:$N$219,2,FALSE),"")</f>
        <v>Maquinaria</v>
      </c>
      <c r="I1447" s="115" t="s">
        <v>57</v>
      </c>
      <c r="J1447" s="115" t="s">
        <v>92</v>
      </c>
      <c r="K1447" s="114" t="s">
        <v>93</v>
      </c>
      <c r="L1447" s="35" t="s">
        <v>2448</v>
      </c>
      <c r="M1447" s="35" t="s">
        <v>2706</v>
      </c>
      <c r="N1447" s="35" t="str" cm="1">
        <f t="array" ref="N1447">IFERROR(IF(Tabla8[[#This Row],[P/NP]]="NO PROGRAMADA","",_xlfn.TEXTJOIN(", ",TRUE,_xlfn._xlws.FILTER(Tabla4[[#All],[PIEZA]],ISNUMBER(SEARCH(Tabla4[[#All],[PCLAVE]],Tabla8[[#This Row],[DESCRIPCION DE TRABAJO]])),""))),"")</f>
        <v/>
      </c>
      <c r="O1447" s="35" t="str" cm="1">
        <f t="array" ref="O1447">_xlfn.TEXTJOIN(", ",TRUE,_xlfn._xlws.FILTER(Tabla28[[#All],[PARTE]],ISNUMBER(SEARCH(Tabla28[[#All],[PCLAVE2]],Tabla8[[#This Row],[DESCRIPCION DE TRABAJO]])),""))</f>
        <v/>
      </c>
      <c r="P1447" s="303" t="str">
        <f>IFERROR(LEFT(O1447, FIND(",", O1447)-1), O1447)</f>
        <v/>
      </c>
      <c r="Q1447" s="303" t="str">
        <f>IFERROR(IF(ISERROR(FIND(",", O1447, FIND(",", O1447)+1)), RIGHT(O1447, LEN(O1447)-FIND(",", O1447)-1), MID(O1447, FIND(",", O1447)+2, FIND(",", O1447, FIND(",", O1447)+1)-FIND(",", O1447)-2)), "")</f>
        <v/>
      </c>
      <c r="R1447" s="303" t="str">
        <f>IFERROR(RIGHT(O1447, LEN(O1447)-FIND(",", O1447, FIND(",", O1447)+1)-1), "")</f>
        <v/>
      </c>
      <c r="S1447" s="35" t="str" cm="1">
        <f t="array" ref="S1447">_xlfn.TEXTJOIN(", ",TRUE,_xlfn._xlws.FILTER(Tabla29[[#All],[PARTE]],ISNUMBER(SEARCH(Tabla29[[#All],[PCLAVE3]],Tabla8[[#This Row],[DESCRIPCION DE TRABAJO]])),""))</f>
        <v/>
      </c>
      <c r="T1447" s="34" t="str">
        <f>IF(AND(Tabla8[[#This Row],[PIEZA]]="",Tabla8[[#This Row],[PARTE]]=""),"VACIO","OK")</f>
        <v>VACIO</v>
      </c>
      <c r="U1447" s="303" t="str">
        <f>+CONCATENATE(WEEKNUM(Tabla8[[#This Row],[FECHA]]),"-",YEAR(Tabla8[[#This Row],[FECHA]]))</f>
        <v>21-2026</v>
      </c>
    </row>
    <row r="1448" spans="1:21" ht="15" customHeight="1">
      <c r="A1448" s="22">
        <v>46164</v>
      </c>
      <c r="B1448" s="16" t="s">
        <v>111</v>
      </c>
      <c r="C1448" s="10" t="s">
        <v>23</v>
      </c>
      <c r="D1448" s="381">
        <v>0.84583333333333333</v>
      </c>
      <c r="E1448" s="381">
        <v>0.86111111111111116</v>
      </c>
      <c r="F1448" s="380">
        <f>+MOD(Tabla8[[#This Row],[HR. FIN]]-Tabla8[[#This Row],[HR. INICIO]],1)</f>
        <v>1.5277777777777835E-2</v>
      </c>
      <c r="G1448" s="16" t="s">
        <v>205</v>
      </c>
      <c r="H1448" s="343" t="str">
        <f>IFERROR(VLOOKUP(G1448,DATOS!$M$2:$N$219,2,FALSE),"")</f>
        <v>Maquinaria</v>
      </c>
      <c r="I1448" s="115" t="s">
        <v>390</v>
      </c>
      <c r="J1448" s="115" t="s">
        <v>157</v>
      </c>
      <c r="K1448" s="114"/>
      <c r="L1448" s="35" t="s">
        <v>2707</v>
      </c>
      <c r="M1448" s="35" t="s">
        <v>121</v>
      </c>
      <c r="N1448" s="35" t="str" cm="1">
        <f t="array" ref="N1448">IFERROR(IF(Tabla8[[#This Row],[P/NP]]="NO PROGRAMADA","",_xlfn.TEXTJOIN(", ",TRUE,_xlfn._xlws.FILTER(Tabla4[[#All],[PIEZA]],ISNUMBER(SEARCH(Tabla4[[#All],[PCLAVE]],Tabla8[[#This Row],[DESCRIPCION DE TRABAJO]])),""))),"")</f>
        <v/>
      </c>
      <c r="O1448" s="35" t="str" cm="1">
        <f t="array" ref="O1448">_xlfn.TEXTJOIN(", ",TRUE,_xlfn._xlws.FILTER(Tabla28[[#All],[PARTE]],ISNUMBER(SEARCH(Tabla28[[#All],[PCLAVE2]],Tabla8[[#This Row],[DESCRIPCION DE TRABAJO]])),""))</f>
        <v>Codificador</v>
      </c>
      <c r="P1448" s="303" t="str">
        <f>IFERROR(LEFT(O1448, FIND(",", O1448)-1), O1448)</f>
        <v>Codificador</v>
      </c>
      <c r="Q1448" s="303" t="str">
        <f>IFERROR(IF(ISERROR(FIND(",", O1448, FIND(",", O1448)+1)), RIGHT(O1448, LEN(O1448)-FIND(",", O1448)-1), MID(O1448, FIND(",", O1448)+2, FIND(",", O1448, FIND(",", O1448)+1)-FIND(",", O1448)-2)), "")</f>
        <v/>
      </c>
      <c r="R1448" s="303" t="str">
        <f>IFERROR(RIGHT(O1448, LEN(O1448)-FIND(",", O1448, FIND(",", O1448)+1)-1), "")</f>
        <v/>
      </c>
      <c r="S1448" s="35" t="str" cm="1">
        <f t="array" ref="S1448">_xlfn.TEXTJOIN(", ",TRUE,_xlfn._xlws.FILTER(Tabla29[[#All],[PARTE]],ISNUMBER(SEARCH(Tabla29[[#All],[PCLAVE3]],Tabla8[[#This Row],[DESCRIPCION DE TRABAJO]])),""))</f>
        <v/>
      </c>
      <c r="T1448" s="34" t="str">
        <f>IF(AND(Tabla8[[#This Row],[PIEZA]]="",Tabla8[[#This Row],[PARTE]]=""),"VACIO","OK")</f>
        <v>OK</v>
      </c>
      <c r="U1448" s="303" t="str">
        <f>+CONCATENATE(WEEKNUM(Tabla8[[#This Row],[FECHA]]),"-",YEAR(Tabla8[[#This Row],[FECHA]]))</f>
        <v>21-2026</v>
      </c>
    </row>
    <row r="1449" spans="1:21" ht="15" customHeight="1">
      <c r="A1449" s="22">
        <v>46164</v>
      </c>
      <c r="B1449" s="16" t="s">
        <v>111</v>
      </c>
      <c r="C1449" s="10" t="s">
        <v>23</v>
      </c>
      <c r="D1449" s="381">
        <v>0.75694444444444442</v>
      </c>
      <c r="E1449" s="381">
        <v>0.77083333333333337</v>
      </c>
      <c r="F1449" s="380">
        <f>+MOD(Tabla8[[#This Row],[HR. FIN]]-Tabla8[[#This Row],[HR. INICIO]],1)</f>
        <v>1.3888888888888951E-2</v>
      </c>
      <c r="G1449" s="16" t="s">
        <v>24</v>
      </c>
      <c r="H1449" s="343" t="str">
        <f>IFERROR(VLOOKUP(G1449,DATOS!$M$2:$N$219,2,FALSE),"")</f>
        <v>Maquinaria</v>
      </c>
      <c r="I1449" s="115" t="s">
        <v>57</v>
      </c>
      <c r="J1449" s="115" t="s">
        <v>92</v>
      </c>
      <c r="K1449" s="114" t="s">
        <v>93</v>
      </c>
      <c r="L1449" s="35" t="s">
        <v>2708</v>
      </c>
      <c r="M1449" s="35" t="s">
        <v>2709</v>
      </c>
      <c r="N1449" s="35" t="str" cm="1">
        <f t="array" ref="N1449">IFERROR(IF(Tabla8[[#This Row],[P/NP]]="NO PROGRAMADA","",_xlfn.TEXTJOIN(", ",TRUE,_xlfn._xlws.FILTER(Tabla4[[#All],[PIEZA]],ISNUMBER(SEARCH(Tabla4[[#All],[PCLAVE]],Tabla8[[#This Row],[DESCRIPCION DE TRABAJO]])),""))),"")</f>
        <v/>
      </c>
      <c r="O1449" s="35" t="str" cm="1">
        <f t="array" ref="O1449">_xlfn.TEXTJOIN(", ",TRUE,_xlfn._xlws.FILTER(Tabla28[[#All],[PARTE]],ISNUMBER(SEARCH(Tabla28[[#All],[PCLAVE2]],Tabla8[[#This Row],[DESCRIPCION DE TRABAJO]])),""))</f>
        <v/>
      </c>
      <c r="P1449" s="303" t="str">
        <f>IFERROR(LEFT(O1449, FIND(",", O1449)-1), O1449)</f>
        <v/>
      </c>
      <c r="Q1449" s="303" t="str">
        <f>IFERROR(IF(ISERROR(FIND(",", O1449, FIND(",", O1449)+1)), RIGHT(O1449, LEN(O1449)-FIND(",", O1449)-1), MID(O1449, FIND(",", O1449)+2, FIND(",", O1449, FIND(",", O1449)+1)-FIND(",", O1449)-2)), "")</f>
        <v/>
      </c>
      <c r="R1449" s="303" t="str">
        <f>IFERROR(RIGHT(O1449, LEN(O1449)-FIND(",", O1449, FIND(",", O1449)+1)-1), "")</f>
        <v/>
      </c>
      <c r="S1449" s="35" t="str" cm="1">
        <f t="array" ref="S1449">_xlfn.TEXTJOIN(", ",TRUE,_xlfn._xlws.FILTER(Tabla29[[#All],[PARTE]],ISNUMBER(SEARCH(Tabla29[[#All],[PCLAVE3]],Tabla8[[#This Row],[DESCRIPCION DE TRABAJO]])),""))</f>
        <v>Arrugado</v>
      </c>
      <c r="T1449" s="34" t="str">
        <f>IF(AND(Tabla8[[#This Row],[PIEZA]]="",Tabla8[[#This Row],[PARTE]]=""),"VACIO","OK")</f>
        <v>VACIO</v>
      </c>
      <c r="U1449" s="303" t="str">
        <f>+CONCATENATE(WEEKNUM(Tabla8[[#This Row],[FECHA]]),"-",YEAR(Tabla8[[#This Row],[FECHA]]))</f>
        <v>21-2026</v>
      </c>
    </row>
    <row r="1450" spans="1:21" ht="15" customHeight="1">
      <c r="A1450" s="22">
        <v>46164</v>
      </c>
      <c r="B1450" s="16" t="s">
        <v>111</v>
      </c>
      <c r="C1450" s="10" t="s">
        <v>23</v>
      </c>
      <c r="D1450" s="381">
        <v>0.86458333333333337</v>
      </c>
      <c r="E1450" s="381">
        <v>0.87847222222222221</v>
      </c>
      <c r="F1450" s="380">
        <f>+MOD(Tabla8[[#This Row],[HR. FIN]]-Tabla8[[#This Row],[HR. INICIO]],1)</f>
        <v>1.388888888888884E-2</v>
      </c>
      <c r="G1450" s="16" t="s">
        <v>552</v>
      </c>
      <c r="H1450" s="343" t="str">
        <f>IFERROR(VLOOKUP(G1450,DATOS!$M$2:$N$219,2,FALSE),"")</f>
        <v>Maquinaria</v>
      </c>
      <c r="I1450" s="115" t="s">
        <v>32</v>
      </c>
      <c r="J1450" s="115" t="s">
        <v>157</v>
      </c>
      <c r="K1450" s="114"/>
      <c r="L1450" s="35" t="s">
        <v>2710</v>
      </c>
      <c r="M1450" s="35" t="s">
        <v>121</v>
      </c>
      <c r="N1450" s="35" t="str" cm="1">
        <f t="array" ref="N1450">IFERROR(IF(Tabla8[[#This Row],[P/NP]]="NO PROGRAMADA","",_xlfn.TEXTJOIN(", ",TRUE,_xlfn._xlws.FILTER(Tabla4[[#All],[PIEZA]],ISNUMBER(SEARCH(Tabla4[[#All],[PCLAVE]],Tabla8[[#This Row],[DESCRIPCION DE TRABAJO]])),""))),"")</f>
        <v/>
      </c>
      <c r="O1450" s="35" t="str" cm="1">
        <f t="array" ref="O1450">_xlfn.TEXTJOIN(", ",TRUE,_xlfn._xlws.FILTER(Tabla28[[#All],[PARTE]],ISNUMBER(SEARCH(Tabla28[[#All],[PCLAVE2]],Tabla8[[#This Row],[DESCRIPCION DE TRABAJO]])),""))</f>
        <v>Codificador</v>
      </c>
      <c r="P1450" s="303" t="str">
        <f>IFERROR(LEFT(O1450, FIND(",", O1450)-1), O1450)</f>
        <v>Codificador</v>
      </c>
      <c r="Q1450" s="303" t="str">
        <f>IFERROR(IF(ISERROR(FIND(",", O1450, FIND(",", O1450)+1)), RIGHT(O1450, LEN(O1450)-FIND(",", O1450)-1), MID(O1450, FIND(",", O1450)+2, FIND(",", O1450, FIND(",", O1450)+1)-FIND(",", O1450)-2)), "")</f>
        <v/>
      </c>
      <c r="R1450" s="303" t="str">
        <f>IFERROR(RIGHT(O1450, LEN(O1450)-FIND(",", O1450, FIND(",", O1450)+1)-1), "")</f>
        <v/>
      </c>
      <c r="S1450" s="35" t="str" cm="1">
        <f t="array" ref="S1450">_xlfn.TEXTJOIN(", ",TRUE,_xlfn._xlws.FILTER(Tabla29[[#All],[PARTE]],ISNUMBER(SEARCH(Tabla29[[#All],[PCLAVE3]],Tabla8[[#This Row],[DESCRIPCION DE TRABAJO]])),""))</f>
        <v/>
      </c>
      <c r="T1450" s="34" t="str">
        <f>IF(AND(Tabla8[[#This Row],[PIEZA]]="",Tabla8[[#This Row],[PARTE]]=""),"VACIO","OK")</f>
        <v>OK</v>
      </c>
      <c r="U1450" s="303" t="str">
        <f>+CONCATENATE(WEEKNUM(Tabla8[[#This Row],[FECHA]]),"-",YEAR(Tabla8[[#This Row],[FECHA]]))</f>
        <v>21-2026</v>
      </c>
    </row>
    <row r="1451" spans="1:21" ht="15" customHeight="1">
      <c r="A1451" s="22">
        <v>46164</v>
      </c>
      <c r="B1451" s="16" t="s">
        <v>111</v>
      </c>
      <c r="C1451" s="10" t="s">
        <v>23</v>
      </c>
      <c r="D1451" s="381">
        <v>0.60069444444444442</v>
      </c>
      <c r="E1451" s="381">
        <v>0.61111111111111116</v>
      </c>
      <c r="F1451" s="380">
        <f>+MOD(Tabla8[[#This Row],[HR. FIN]]-Tabla8[[#This Row],[HR. INICIO]],1)</f>
        <v>1.0416666666666741E-2</v>
      </c>
      <c r="G1451" s="16" t="s">
        <v>192</v>
      </c>
      <c r="H1451" s="343" t="str">
        <f>IFERROR(VLOOKUP(G1451,DATOS!$M$2:$N$219,2,FALSE),"")</f>
        <v>Maquinaria</v>
      </c>
      <c r="I1451" s="115" t="s">
        <v>32</v>
      </c>
      <c r="J1451" s="115" t="s">
        <v>157</v>
      </c>
      <c r="K1451" s="114"/>
      <c r="L1451" s="35" t="s">
        <v>2711</v>
      </c>
      <c r="M1451" s="35" t="s">
        <v>121</v>
      </c>
      <c r="N1451" s="35" t="str" cm="1">
        <f t="array" ref="N1451">IFERROR(IF(Tabla8[[#This Row],[P/NP]]="NO PROGRAMADA","",_xlfn.TEXTJOIN(", ",TRUE,_xlfn._xlws.FILTER(Tabla4[[#All],[PIEZA]],ISNUMBER(SEARCH(Tabla4[[#All],[PCLAVE]],Tabla8[[#This Row],[DESCRIPCION DE TRABAJO]])),""))),"")</f>
        <v/>
      </c>
      <c r="O1451" s="35" t="str" cm="1">
        <f t="array" ref="O1451">_xlfn.TEXTJOIN(", ",TRUE,_xlfn._xlws.FILTER(Tabla28[[#All],[PARTE]],ISNUMBER(SEARCH(Tabla28[[#All],[PCLAVE2]],Tabla8[[#This Row],[DESCRIPCION DE TRABAJO]])),""))</f>
        <v/>
      </c>
      <c r="P1451" s="303" t="str">
        <f>IFERROR(LEFT(O1451, FIND(",", O1451)-1), O1451)</f>
        <v/>
      </c>
      <c r="Q1451" s="303" t="str">
        <f>IFERROR(IF(ISERROR(FIND(",", O1451, FIND(",", O1451)+1)), RIGHT(O1451, LEN(O1451)-FIND(",", O1451)-1), MID(O1451, FIND(",", O1451)+2, FIND(",", O1451, FIND(",", O1451)+1)-FIND(",", O1451)-2)), "")</f>
        <v/>
      </c>
      <c r="R1451" s="303" t="str">
        <f>IFERROR(RIGHT(O1451, LEN(O1451)-FIND(",", O1451, FIND(",", O1451)+1)-1), "")</f>
        <v/>
      </c>
      <c r="S1451" s="35" t="str" cm="1">
        <f t="array" ref="S1451">_xlfn.TEXTJOIN(", ",TRUE,_xlfn._xlws.FILTER(Tabla29[[#All],[PARTE]],ISNUMBER(SEARCH(Tabla29[[#All],[PCLAVE3]],Tabla8[[#This Row],[DESCRIPCION DE TRABAJO]])),""))</f>
        <v>Cambio De Formato</v>
      </c>
      <c r="T1451" s="34" t="str">
        <f>IF(AND(Tabla8[[#This Row],[PIEZA]]="",Tabla8[[#This Row],[PARTE]]=""),"VACIO","OK")</f>
        <v>VACIO</v>
      </c>
      <c r="U1451" s="303" t="str">
        <f>+CONCATENATE(WEEKNUM(Tabla8[[#This Row],[FECHA]]),"-",YEAR(Tabla8[[#This Row],[FECHA]]))</f>
        <v>21-2026</v>
      </c>
    </row>
    <row r="1452" spans="1:21" ht="15" customHeight="1">
      <c r="A1452" s="22">
        <v>46165</v>
      </c>
      <c r="B1452" s="16" t="s">
        <v>191</v>
      </c>
      <c r="C1452" s="10" t="s">
        <v>36</v>
      </c>
      <c r="D1452" s="381">
        <v>0.26805555555555555</v>
      </c>
      <c r="E1452" s="381">
        <v>0.29305555555555557</v>
      </c>
      <c r="F1452" s="380">
        <f>+MOD(Tabla8[[#This Row],[HR. FIN]]-Tabla8[[#This Row],[HR. INICIO]],1)</f>
        <v>2.5000000000000022E-2</v>
      </c>
      <c r="G1452" s="16" t="s">
        <v>153</v>
      </c>
      <c r="H1452" s="343" t="str">
        <f>IFERROR(VLOOKUP(G1452,DATOS!$M$2:$N$219,2,FALSE),"")</f>
        <v>Maquinaria</v>
      </c>
      <c r="I1452" s="115" t="s">
        <v>57</v>
      </c>
      <c r="J1452" s="115" t="s">
        <v>92</v>
      </c>
      <c r="K1452" s="114" t="s">
        <v>93</v>
      </c>
      <c r="L1452" s="35" t="s">
        <v>2712</v>
      </c>
      <c r="M1452" s="35" t="s">
        <v>2713</v>
      </c>
      <c r="N1452" s="35" t="str" cm="1">
        <f t="array" ref="N1452">IFERROR(IF(Tabla8[[#This Row],[P/NP]]="NO PROGRAMADA","",_xlfn.TEXTJOIN(", ",TRUE,_xlfn._xlws.FILTER(Tabla4[[#All],[PIEZA]],ISNUMBER(SEARCH(Tabla4[[#All],[PCLAVE]],Tabla8[[#This Row],[DESCRIPCION DE TRABAJO]])),""))),"")</f>
        <v/>
      </c>
      <c r="O1452" s="35" t="str" cm="1">
        <f t="array" ref="O1452">_xlfn.TEXTJOIN(", ",TRUE,_xlfn._xlws.FILTER(Tabla28[[#All],[PARTE]],ISNUMBER(SEARCH(Tabla28[[#All],[PCLAVE2]],Tabla8[[#This Row],[DESCRIPCION DE TRABAJO]])),""))</f>
        <v/>
      </c>
      <c r="P1452" s="303" t="str">
        <f>IFERROR(LEFT(O1452, FIND(",", O1452)-1), O1452)</f>
        <v/>
      </c>
      <c r="Q1452" s="303" t="str">
        <f>IFERROR(IF(ISERROR(FIND(",", O1452, FIND(",", O1452)+1)), RIGHT(O1452, LEN(O1452)-FIND(",", O1452)-1), MID(O1452, FIND(",", O1452)+2, FIND(",", O1452, FIND(",", O1452)+1)-FIND(",", O1452)-2)), "")</f>
        <v/>
      </c>
      <c r="R1452" s="303" t="str">
        <f>IFERROR(RIGHT(O1452, LEN(O1452)-FIND(",", O1452, FIND(",", O1452)+1)-1), "")</f>
        <v/>
      </c>
      <c r="S1452" s="35" t="str" cm="1">
        <f t="array" ref="S1452">_xlfn.TEXTJOIN(", ",TRUE,_xlfn._xlws.FILTER(Tabla29[[#All],[PARTE]],ISNUMBER(SEARCH(Tabla29[[#All],[PCLAVE3]],Tabla8[[#This Row],[DESCRIPCION DE TRABAJO]])),""))</f>
        <v>Obstruido</v>
      </c>
      <c r="T1452" s="34" t="str">
        <f>IF(AND(Tabla8[[#This Row],[PIEZA]]="",Tabla8[[#This Row],[PARTE]]=""),"VACIO","OK")</f>
        <v>VACIO</v>
      </c>
      <c r="U1452" s="303" t="str">
        <f>+CONCATENATE(WEEKNUM(Tabla8[[#This Row],[FECHA]]),"-",YEAR(Tabla8[[#This Row],[FECHA]]))</f>
        <v>21-2026</v>
      </c>
    </row>
    <row r="1453" spans="1:21" ht="15" customHeight="1">
      <c r="A1453" s="22">
        <v>46165</v>
      </c>
      <c r="B1453" s="16" t="s">
        <v>191</v>
      </c>
      <c r="C1453" s="10" t="s">
        <v>36</v>
      </c>
      <c r="D1453" s="381">
        <v>0.24097222222222223</v>
      </c>
      <c r="E1453" s="381">
        <v>0.2590277777777778</v>
      </c>
      <c r="F1453" s="380">
        <f>+MOD(Tabla8[[#This Row],[HR. FIN]]-Tabla8[[#This Row],[HR. INICIO]],1)</f>
        <v>1.8055555555555575E-2</v>
      </c>
      <c r="G1453" s="16" t="s">
        <v>215</v>
      </c>
      <c r="H1453" s="343" t="str">
        <f>IFERROR(VLOOKUP(G1453,DATOS!$M$2:$N$219,2,FALSE),"")</f>
        <v>Equipos auxiliares</v>
      </c>
      <c r="I1453" s="115" t="s">
        <v>54</v>
      </c>
      <c r="J1453" s="115" t="s">
        <v>157</v>
      </c>
      <c r="K1453" s="114"/>
      <c r="L1453" s="35" t="s">
        <v>248</v>
      </c>
      <c r="M1453" s="35" t="s">
        <v>121</v>
      </c>
      <c r="N1453" s="35" t="str" cm="1">
        <f t="array" ref="N1453">IFERROR(IF(Tabla8[[#This Row],[P/NP]]="NO PROGRAMADA","",_xlfn.TEXTJOIN(", ",TRUE,_xlfn._xlws.FILTER(Tabla4[[#All],[PIEZA]],ISNUMBER(SEARCH(Tabla4[[#All],[PCLAVE]],Tabla8[[#This Row],[DESCRIPCION DE TRABAJO]])),""))),"")</f>
        <v/>
      </c>
      <c r="O1453" s="35" t="str" cm="1">
        <f t="array" ref="O1453">_xlfn.TEXTJOIN(", ",TRUE,_xlfn._xlws.FILTER(Tabla28[[#All],[PARTE]],ISNUMBER(SEARCH(Tabla28[[#All],[PCLAVE2]],Tabla8[[#This Row],[DESCRIPCION DE TRABAJO]])),""))</f>
        <v/>
      </c>
      <c r="P1453" s="303" t="str">
        <f>IFERROR(LEFT(O1453, FIND(",", O1453)-1), O1453)</f>
        <v/>
      </c>
      <c r="Q1453" s="303" t="str">
        <f>IFERROR(IF(ISERROR(FIND(",", O1453, FIND(",", O1453)+1)), RIGHT(O1453, LEN(O1453)-FIND(",", O1453)-1), MID(O1453, FIND(",", O1453)+2, FIND(",", O1453, FIND(",", O1453)+1)-FIND(",", O1453)-2)), "")</f>
        <v/>
      </c>
      <c r="R1453" s="303" t="str">
        <f>IFERROR(RIGHT(O1453, LEN(O1453)-FIND(",", O1453, FIND(",", O1453)+1)-1), "")</f>
        <v/>
      </c>
      <c r="S1453" s="35" t="str" cm="1">
        <f t="array" ref="S1453">_xlfn.TEXTJOIN(", ",TRUE,_xlfn._xlws.FILTER(Tabla29[[#All],[PARTE]],ISNUMBER(SEARCH(Tabla29[[#All],[PCLAVE3]],Tabla8[[#This Row],[DESCRIPCION DE TRABAJO]])),""))</f>
        <v/>
      </c>
      <c r="T1453" s="34" t="str">
        <f>IF(AND(Tabla8[[#This Row],[PIEZA]]="",Tabla8[[#This Row],[PARTE]]=""),"VACIO","OK")</f>
        <v>VACIO</v>
      </c>
      <c r="U1453" s="303" t="str">
        <f>+CONCATENATE(WEEKNUM(Tabla8[[#This Row],[FECHA]]),"-",YEAR(Tabla8[[#This Row],[FECHA]]))</f>
        <v>21-2026</v>
      </c>
    </row>
    <row r="1454" spans="1:21" ht="15" customHeight="1">
      <c r="A1454" s="22">
        <v>46167</v>
      </c>
      <c r="B1454" s="16" t="s">
        <v>88</v>
      </c>
      <c r="C1454" s="10" t="s">
        <v>36</v>
      </c>
      <c r="D1454" s="381" t="s">
        <v>556</v>
      </c>
      <c r="E1454" s="381" t="s">
        <v>96</v>
      </c>
      <c r="F1454" s="380">
        <f>+MOD(Tabla8[[#This Row],[HR. FIN]]-Tabla8[[#This Row],[HR. INICIO]],1)</f>
        <v>4.1666666666666685E-2</v>
      </c>
      <c r="G1454" s="16" t="s">
        <v>24</v>
      </c>
      <c r="H1454" s="343" t="str">
        <f>IFERROR(VLOOKUP(G1454,DATOS!$M$2:$N$219,2,FALSE),"")</f>
        <v>Maquinaria</v>
      </c>
      <c r="I1454" s="115" t="s">
        <v>32</v>
      </c>
      <c r="J1454" s="115" t="s">
        <v>157</v>
      </c>
      <c r="K1454" s="114"/>
      <c r="L1454" s="35" t="s">
        <v>1593</v>
      </c>
      <c r="M1454" s="35" t="s">
        <v>2714</v>
      </c>
      <c r="N1454" s="35" t="str" cm="1">
        <f t="array" ref="N1454">IFERROR(IF(Tabla8[[#This Row],[P/NP]]="NO PROGRAMADA","",_xlfn.TEXTJOIN(", ",TRUE,_xlfn._xlws.FILTER(Tabla4[[#All],[PIEZA]],ISNUMBER(SEARCH(Tabla4[[#All],[PCLAVE]],Tabla8[[#This Row],[DESCRIPCION DE TRABAJO]])),""))),"")</f>
        <v/>
      </c>
      <c r="O1454" s="35" t="str" cm="1">
        <f t="array" ref="O1454">_xlfn.TEXTJOIN(", ",TRUE,_xlfn._xlws.FILTER(Tabla28[[#All],[PARTE]],ISNUMBER(SEARCH(Tabla28[[#All],[PCLAVE2]],Tabla8[[#This Row],[DESCRIPCION DE TRABAJO]])),""))</f>
        <v/>
      </c>
      <c r="P1454" s="303" t="str">
        <f>IFERROR(LEFT(O1454, FIND(",", O1454)-1), O1454)</f>
        <v/>
      </c>
      <c r="Q1454" s="303" t="str">
        <f>IFERROR(IF(ISERROR(FIND(",", O1454, FIND(",", O1454)+1)), RIGHT(O1454, LEN(O1454)-FIND(",", O1454)-1), MID(O1454, FIND(",", O1454)+2, FIND(",", O1454, FIND(",", O1454)+1)-FIND(",", O1454)-2)), "")</f>
        <v/>
      </c>
      <c r="R1454" s="303" t="str">
        <f>IFERROR(RIGHT(O1454, LEN(O1454)-FIND(",", O1454, FIND(",", O1454)+1)-1), "")</f>
        <v/>
      </c>
      <c r="S1454" s="35" t="str" cm="1">
        <f t="array" ref="S1454">_xlfn.TEXTJOIN(", ",TRUE,_xlfn._xlws.FILTER(Tabla29[[#All],[PARTE]],ISNUMBER(SEARCH(Tabla29[[#All],[PCLAVE3]],Tabla8[[#This Row],[DESCRIPCION DE TRABAJO]])),""))</f>
        <v/>
      </c>
      <c r="T1454" s="34" t="str">
        <f>IF(AND(Tabla8[[#This Row],[PIEZA]]="",Tabla8[[#This Row],[PARTE]]=""),"VACIO","OK")</f>
        <v>VACIO</v>
      </c>
      <c r="U1454" s="303" t="str">
        <f>+CONCATENATE(WEEKNUM(Tabla8[[#This Row],[FECHA]]),"-",YEAR(Tabla8[[#This Row],[FECHA]]))</f>
        <v>22-2026</v>
      </c>
    </row>
    <row r="1455" spans="1:21" ht="15" customHeight="1">
      <c r="A1455" s="22">
        <v>46167</v>
      </c>
      <c r="B1455" s="16" t="s">
        <v>88</v>
      </c>
      <c r="C1455" s="10" t="s">
        <v>36</v>
      </c>
      <c r="D1455" s="381" t="s">
        <v>101</v>
      </c>
      <c r="E1455" s="381" t="s">
        <v>122</v>
      </c>
      <c r="F1455" s="380">
        <f>+MOD(Tabla8[[#This Row],[HR. FIN]]-Tabla8[[#This Row],[HR. INICIO]],1)</f>
        <v>4.1666666666666657E-2</v>
      </c>
      <c r="G1455" s="16" t="s">
        <v>103</v>
      </c>
      <c r="H1455" s="343" t="str">
        <f>IFERROR(VLOOKUP(G1455,DATOS!$M$2:$N$219,2,FALSE),"")</f>
        <v>Area</v>
      </c>
      <c r="I1455" s="115" t="s">
        <v>43</v>
      </c>
      <c r="J1455" s="115" t="s">
        <v>157</v>
      </c>
      <c r="K1455" s="114"/>
      <c r="L1455" s="35" t="s">
        <v>104</v>
      </c>
      <c r="M1455" s="35" t="s">
        <v>2715</v>
      </c>
      <c r="N1455" s="35" t="str" cm="1">
        <f t="array" ref="N1455">IFERROR(IF(Tabla8[[#This Row],[P/NP]]="NO PROGRAMADA","",_xlfn.TEXTJOIN(", ",TRUE,_xlfn._xlws.FILTER(Tabla4[[#All],[PIEZA]],ISNUMBER(SEARCH(Tabla4[[#All],[PCLAVE]],Tabla8[[#This Row],[DESCRIPCION DE TRABAJO]])),""))),"")</f>
        <v/>
      </c>
      <c r="O1455" s="35" t="str" cm="1">
        <f t="array" ref="O1455">_xlfn.TEXTJOIN(", ",TRUE,_xlfn._xlws.FILTER(Tabla28[[#All],[PARTE]],ISNUMBER(SEARCH(Tabla28[[#All],[PCLAVE2]],Tabla8[[#This Row],[DESCRIPCION DE TRABAJO]])),""))</f>
        <v/>
      </c>
      <c r="P1455" s="303" t="str">
        <f>IFERROR(LEFT(O1455, FIND(",", O1455)-1), O1455)</f>
        <v/>
      </c>
      <c r="Q1455" s="303" t="str">
        <f>IFERROR(IF(ISERROR(FIND(",", O1455, FIND(",", O1455)+1)), RIGHT(O1455, LEN(O1455)-FIND(",", O1455)-1), MID(O1455, FIND(",", O1455)+2, FIND(",", O1455, FIND(",", O1455)+1)-FIND(",", O1455)-2)), "")</f>
        <v/>
      </c>
      <c r="R1455" s="303" t="str">
        <f>IFERROR(RIGHT(O1455, LEN(O1455)-FIND(",", O1455, FIND(",", O1455)+1)-1), "")</f>
        <v/>
      </c>
      <c r="S1455" s="35" t="str" cm="1">
        <f t="array" ref="S1455">_xlfn.TEXTJOIN(", ",TRUE,_xlfn._xlws.FILTER(Tabla29[[#All],[PARTE]],ISNUMBER(SEARCH(Tabla29[[#All],[PCLAVE3]],Tabla8[[#This Row],[DESCRIPCION DE TRABAJO]])),""))</f>
        <v/>
      </c>
      <c r="T1455" s="34" t="str">
        <f>IF(AND(Tabla8[[#This Row],[PIEZA]]="",Tabla8[[#This Row],[PARTE]]=""),"VACIO","OK")</f>
        <v>VACIO</v>
      </c>
      <c r="U1455" s="303" t="str">
        <f>+CONCATENATE(WEEKNUM(Tabla8[[#This Row],[FECHA]]),"-",YEAR(Tabla8[[#This Row],[FECHA]]))</f>
        <v>22-2026</v>
      </c>
    </row>
    <row r="1456" spans="1:21" ht="15" customHeight="1">
      <c r="A1456" s="22">
        <v>46167</v>
      </c>
      <c r="B1456" s="16" t="s">
        <v>131</v>
      </c>
      <c r="C1456" s="10" t="s">
        <v>23</v>
      </c>
      <c r="D1456" s="381" t="s">
        <v>2716</v>
      </c>
      <c r="E1456" s="381" t="s">
        <v>2717</v>
      </c>
      <c r="F1456" s="380">
        <f>+MOD(Tabla8[[#This Row],[HR. FIN]]-Tabla8[[#This Row],[HR. INICIO]],1)</f>
        <v>2.777777777777779E-2</v>
      </c>
      <c r="G1456" s="16" t="s">
        <v>24</v>
      </c>
      <c r="H1456" s="343" t="str">
        <f>IFERROR(VLOOKUP(G1456,DATOS!$M$2:$N$219,2,FALSE),"")</f>
        <v>Maquinaria</v>
      </c>
      <c r="I1456" s="115" t="s">
        <v>61</v>
      </c>
      <c r="J1456" s="115" t="s">
        <v>92</v>
      </c>
      <c r="K1456" s="114" t="s">
        <v>93</v>
      </c>
      <c r="L1456" s="35" t="s">
        <v>2718</v>
      </c>
      <c r="M1456" s="35" t="s">
        <v>2719</v>
      </c>
      <c r="N1456" s="35" t="str" cm="1">
        <f t="array" ref="N1456">IFERROR(IF(Tabla8[[#This Row],[P/NP]]="NO PROGRAMADA","",_xlfn.TEXTJOIN(", ",TRUE,_xlfn._xlws.FILTER(Tabla4[[#All],[PIEZA]],ISNUMBER(SEARCH(Tabla4[[#All],[PCLAVE]],Tabla8[[#This Row],[DESCRIPCION DE TRABAJO]])),""))),"")</f>
        <v/>
      </c>
      <c r="O1456" s="35" t="str" cm="1">
        <f t="array" ref="O1456">_xlfn.TEXTJOIN(", ",TRUE,_xlfn._xlws.FILTER(Tabla28[[#All],[PARTE]],ISNUMBER(SEARCH(Tabla28[[#All],[PCLAVE2]],Tabla8[[#This Row],[DESCRIPCION DE TRABAJO]])),""))</f>
        <v/>
      </c>
      <c r="P1456" s="303" t="str">
        <f>IFERROR(LEFT(O1456, FIND(",", O1456)-1), O1456)</f>
        <v/>
      </c>
      <c r="Q1456" s="303" t="str">
        <f>IFERROR(IF(ISERROR(FIND(",", O1456, FIND(",", O1456)+1)), RIGHT(O1456, LEN(O1456)-FIND(",", O1456)-1), MID(O1456, FIND(",", O1456)+2, FIND(",", O1456, FIND(",", O1456)+1)-FIND(",", O1456)-2)), "")</f>
        <v/>
      </c>
      <c r="R1456" s="303" t="str">
        <f>IFERROR(RIGHT(O1456, LEN(O1456)-FIND(",", O1456, FIND(",", O1456)+1)-1), "")</f>
        <v/>
      </c>
      <c r="S1456" s="35" t="str" cm="1">
        <f t="array" ref="S1456">_xlfn.TEXTJOIN(", ",TRUE,_xlfn._xlws.FILTER(Tabla29[[#All],[PARTE]],ISNUMBER(SEARCH(Tabla29[[#All],[PCLAVE3]],Tabla8[[#This Row],[DESCRIPCION DE TRABAJO]])),""))</f>
        <v>Laminado</v>
      </c>
      <c r="T1456" s="34" t="str">
        <f>IF(AND(Tabla8[[#This Row],[PIEZA]]="",Tabla8[[#This Row],[PARTE]]=""),"VACIO","OK")</f>
        <v>VACIO</v>
      </c>
      <c r="U1456" s="303" t="str">
        <f>+CONCATENATE(WEEKNUM(Tabla8[[#This Row],[FECHA]]),"-",YEAR(Tabla8[[#This Row],[FECHA]]))</f>
        <v>22-2026</v>
      </c>
    </row>
    <row r="1457" spans="1:21" ht="15" customHeight="1">
      <c r="A1457" s="22">
        <v>46167</v>
      </c>
      <c r="B1457" s="16" t="s">
        <v>131</v>
      </c>
      <c r="C1457" s="10" t="s">
        <v>23</v>
      </c>
      <c r="D1457" s="381" t="s">
        <v>456</v>
      </c>
      <c r="E1457" s="381" t="s">
        <v>2720</v>
      </c>
      <c r="F1457" s="380">
        <f>+MOD(Tabla8[[#This Row],[HR. FIN]]-Tabla8[[#This Row],[HR. INICIO]],1)</f>
        <v>2.5694444444444464E-2</v>
      </c>
      <c r="G1457" s="16" t="s">
        <v>114</v>
      </c>
      <c r="H1457" s="343" t="str">
        <f>IFERROR(VLOOKUP(G1457,DATOS!$M$2:$N$219,2,FALSE),"")</f>
        <v>Maquinaria</v>
      </c>
      <c r="I1457" s="115" t="s">
        <v>32</v>
      </c>
      <c r="J1457" s="115" t="s">
        <v>157</v>
      </c>
      <c r="K1457" s="114"/>
      <c r="L1457" s="35" t="s">
        <v>449</v>
      </c>
      <c r="M1457" s="35" t="s">
        <v>121</v>
      </c>
      <c r="N1457" s="35" t="str" cm="1">
        <f t="array" ref="N1457">IFERROR(IF(Tabla8[[#This Row],[P/NP]]="NO PROGRAMADA","",_xlfn.TEXTJOIN(", ",TRUE,_xlfn._xlws.FILTER(Tabla4[[#All],[PIEZA]],ISNUMBER(SEARCH(Tabla4[[#All],[PCLAVE]],Tabla8[[#This Row],[DESCRIPCION DE TRABAJO]])),""))),"")</f>
        <v/>
      </c>
      <c r="O1457" s="35" t="str" cm="1">
        <f t="array" ref="O1457">_xlfn.TEXTJOIN(", ",TRUE,_xlfn._xlws.FILTER(Tabla28[[#All],[PARTE]],ISNUMBER(SEARCH(Tabla28[[#All],[PCLAVE2]],Tabla8[[#This Row],[DESCRIPCION DE TRABAJO]])),""))</f>
        <v/>
      </c>
      <c r="P1457" s="303" t="str">
        <f>IFERROR(LEFT(O1457, FIND(",", O1457)-1), O1457)</f>
        <v/>
      </c>
      <c r="Q1457" s="303" t="str">
        <f>IFERROR(IF(ISERROR(FIND(",", O1457, FIND(",", O1457)+1)), RIGHT(O1457, LEN(O1457)-FIND(",", O1457)-1), MID(O1457, FIND(",", O1457)+2, FIND(",", O1457, FIND(",", O1457)+1)-FIND(",", O1457)-2)), "")</f>
        <v/>
      </c>
      <c r="R1457" s="303" t="str">
        <f>IFERROR(RIGHT(O1457, LEN(O1457)-FIND(",", O1457, FIND(",", O1457)+1)-1), "")</f>
        <v/>
      </c>
      <c r="S1457" s="35" t="str" cm="1">
        <f t="array" ref="S1457">_xlfn.TEXTJOIN(", ",TRUE,_xlfn._xlws.FILTER(Tabla29[[#All],[PARTE]],ISNUMBER(SEARCH(Tabla29[[#All],[PCLAVE3]],Tabla8[[#This Row],[DESCRIPCION DE TRABAJO]])),""))</f>
        <v/>
      </c>
      <c r="T1457" s="34" t="str">
        <f>IF(AND(Tabla8[[#This Row],[PIEZA]]="",Tabla8[[#This Row],[PARTE]]=""),"VACIO","OK")</f>
        <v>VACIO</v>
      </c>
      <c r="U1457" s="303" t="str">
        <f>+CONCATENATE(WEEKNUM(Tabla8[[#This Row],[FECHA]]),"-",YEAR(Tabla8[[#This Row],[FECHA]]))</f>
        <v>22-2026</v>
      </c>
    </row>
    <row r="1458" spans="1:21" ht="15" customHeight="1">
      <c r="A1458" s="22">
        <v>46167</v>
      </c>
      <c r="B1458" s="16" t="s">
        <v>131</v>
      </c>
      <c r="C1458" s="10" t="s">
        <v>23</v>
      </c>
      <c r="D1458" s="381" t="s">
        <v>1676</v>
      </c>
      <c r="E1458" s="381" t="s">
        <v>450</v>
      </c>
      <c r="F1458" s="380">
        <f>+MOD(Tabla8[[#This Row],[HR. FIN]]-Tabla8[[#This Row],[HR. INICIO]],1)</f>
        <v>2.430555555555558E-2</v>
      </c>
      <c r="G1458" s="16" t="s">
        <v>119</v>
      </c>
      <c r="H1458" s="343" t="str">
        <f>IFERROR(VLOOKUP(G1458,DATOS!$M$2:$N$219,2,FALSE),"")</f>
        <v>Maquinaria</v>
      </c>
      <c r="I1458" s="115" t="s">
        <v>186</v>
      </c>
      <c r="J1458" s="115" t="s">
        <v>92</v>
      </c>
      <c r="K1458" s="114" t="s">
        <v>93</v>
      </c>
      <c r="L1458" s="35" t="s">
        <v>2721</v>
      </c>
      <c r="M1458" s="35" t="s">
        <v>2722</v>
      </c>
      <c r="N1458" s="35" t="str" cm="1">
        <f t="array" ref="N1458">IFERROR(IF(Tabla8[[#This Row],[P/NP]]="NO PROGRAMADA","",_xlfn.TEXTJOIN(", ",TRUE,_xlfn._xlws.FILTER(Tabla4[[#All],[PIEZA]],ISNUMBER(SEARCH(Tabla4[[#All],[PCLAVE]],Tabla8[[#This Row],[DESCRIPCION DE TRABAJO]])),""))),"")</f>
        <v/>
      </c>
      <c r="O1458" s="35" t="str" cm="1">
        <f t="array" ref="O1458">_xlfn.TEXTJOIN(", ",TRUE,_xlfn._xlws.FILTER(Tabla28[[#All],[PARTE]],ISNUMBER(SEARCH(Tabla28[[#All],[PCLAVE2]],Tabla8[[#This Row],[DESCRIPCION DE TRABAJO]])),""))</f>
        <v>Sammfill, Columna</v>
      </c>
      <c r="P1458" s="303" t="str">
        <f>IFERROR(LEFT(O1458, FIND(",", O1458)-1), O1458)</f>
        <v>Sammfill</v>
      </c>
      <c r="Q1458" s="303" t="str">
        <f>IFERROR(IF(ISERROR(FIND(",", O1458, FIND(",", O1458)+1)), RIGHT(O1458, LEN(O1458)-FIND(",", O1458)-1), MID(O1458, FIND(",", O1458)+2, FIND(",", O1458, FIND(",", O1458)+1)-FIND(",", O1458)-2)), "")</f>
        <v>Columna</v>
      </c>
      <c r="R1458" s="303" t="str">
        <f>IFERROR(RIGHT(O1458, LEN(O1458)-FIND(",", O1458, FIND(",", O1458)+1)-1), "")</f>
        <v/>
      </c>
      <c r="S1458" s="35" t="str" cm="1">
        <f t="array" ref="S1458">_xlfn.TEXTJOIN(", ",TRUE,_xlfn._xlws.FILTER(Tabla29[[#All],[PARTE]],ISNUMBER(SEARCH(Tabla29[[#All],[PCLAVE3]],Tabla8[[#This Row],[DESCRIPCION DE TRABAJO]])),""))</f>
        <v>Bloqueado, No Cae Producto</v>
      </c>
      <c r="T1458" s="34" t="str">
        <f>IF(AND(Tabla8[[#This Row],[PIEZA]]="",Tabla8[[#This Row],[PARTE]]=""),"VACIO","OK")</f>
        <v>OK</v>
      </c>
      <c r="U1458" s="303" t="str">
        <f>+CONCATENATE(WEEKNUM(Tabla8[[#This Row],[FECHA]]),"-",YEAR(Tabla8[[#This Row],[FECHA]]))</f>
        <v>22-2026</v>
      </c>
    </row>
    <row r="1459" spans="1:21" ht="15" customHeight="1">
      <c r="A1459" s="22">
        <v>46167</v>
      </c>
      <c r="B1459" s="16" t="s">
        <v>88</v>
      </c>
      <c r="C1459" s="10" t="s">
        <v>36</v>
      </c>
      <c r="D1459" s="381" t="s">
        <v>122</v>
      </c>
      <c r="E1459" s="381" t="s">
        <v>123</v>
      </c>
      <c r="F1459" s="380">
        <f>+MOD(Tabla8[[#This Row],[HR. FIN]]-Tabla8[[#This Row],[HR. INICIO]],1)</f>
        <v>2.083333333333337E-2</v>
      </c>
      <c r="G1459" s="16" t="s">
        <v>114</v>
      </c>
      <c r="H1459" s="343" t="str">
        <f>IFERROR(VLOOKUP(G1459,DATOS!$M$2:$N$219,2,FALSE),"")</f>
        <v>Maquinaria</v>
      </c>
      <c r="I1459" s="115" t="s">
        <v>32</v>
      </c>
      <c r="J1459" s="115" t="s">
        <v>157</v>
      </c>
      <c r="K1459" s="114"/>
      <c r="L1459" s="35" t="s">
        <v>1168</v>
      </c>
      <c r="M1459" s="35" t="s">
        <v>1166</v>
      </c>
      <c r="N1459" s="35" t="str" cm="1">
        <f t="array" ref="N1459">IFERROR(IF(Tabla8[[#This Row],[P/NP]]="NO PROGRAMADA","",_xlfn.TEXTJOIN(", ",TRUE,_xlfn._xlws.FILTER(Tabla4[[#All],[PIEZA]],ISNUMBER(SEARCH(Tabla4[[#All],[PCLAVE]],Tabla8[[#This Row],[DESCRIPCION DE TRABAJO]])),""))),"")</f>
        <v/>
      </c>
      <c r="O1459" s="35" t="str" cm="1">
        <f t="array" ref="O1459">_xlfn.TEXTJOIN(", ",TRUE,_xlfn._xlws.FILTER(Tabla28[[#All],[PARTE]],ISNUMBER(SEARCH(Tabla28[[#All],[PCLAVE2]],Tabla8[[#This Row],[DESCRIPCION DE TRABAJO]])),""))</f>
        <v/>
      </c>
      <c r="P1459" s="303" t="str">
        <f>IFERROR(LEFT(O1459, FIND(",", O1459)-1), O1459)</f>
        <v/>
      </c>
      <c r="Q1459" s="303" t="str">
        <f>IFERROR(IF(ISERROR(FIND(",", O1459, FIND(",", O1459)+1)), RIGHT(O1459, LEN(O1459)-FIND(",", O1459)-1), MID(O1459, FIND(",", O1459)+2, FIND(",", O1459, FIND(",", O1459)+1)-FIND(",", O1459)-2)), "")</f>
        <v/>
      </c>
      <c r="R1459" s="303" t="str">
        <f>IFERROR(RIGHT(O1459, LEN(O1459)-FIND(",", O1459, FIND(",", O1459)+1)-1), "")</f>
        <v/>
      </c>
      <c r="S1459" s="35" t="str" cm="1">
        <f t="array" ref="S1459">_xlfn.TEXTJOIN(", ",TRUE,_xlfn._xlws.FILTER(Tabla29[[#All],[PARTE]],ISNUMBER(SEARCH(Tabla29[[#All],[PCLAVE3]],Tabla8[[#This Row],[DESCRIPCION DE TRABAJO]])),""))</f>
        <v/>
      </c>
      <c r="T1459" s="34" t="str">
        <f>IF(AND(Tabla8[[#This Row],[PIEZA]]="",Tabla8[[#This Row],[PARTE]]=""),"VACIO","OK")</f>
        <v>VACIO</v>
      </c>
      <c r="U1459" s="303" t="str">
        <f>+CONCATENATE(WEEKNUM(Tabla8[[#This Row],[FECHA]]),"-",YEAR(Tabla8[[#This Row],[FECHA]]))</f>
        <v>22-2026</v>
      </c>
    </row>
    <row r="1460" spans="1:21" ht="15" customHeight="1">
      <c r="A1460" s="22">
        <v>46167</v>
      </c>
      <c r="B1460" s="16" t="s">
        <v>191</v>
      </c>
      <c r="C1460" s="10" t="s">
        <v>36</v>
      </c>
      <c r="D1460" s="381" t="s">
        <v>1600</v>
      </c>
      <c r="E1460" s="381" t="s">
        <v>421</v>
      </c>
      <c r="F1460" s="380">
        <f>+MOD(Tabla8[[#This Row],[HR. FIN]]-Tabla8[[#This Row],[HR. INICIO]],1)</f>
        <v>2.083333333333337E-2</v>
      </c>
      <c r="G1460" s="16" t="s">
        <v>24</v>
      </c>
      <c r="H1460" s="343" t="str">
        <f>IFERROR(VLOOKUP(G1460,DATOS!$M$2:$N$219,2,FALSE),"")</f>
        <v>Maquinaria</v>
      </c>
      <c r="I1460" s="115" t="s">
        <v>61</v>
      </c>
      <c r="J1460" s="115" t="s">
        <v>92</v>
      </c>
      <c r="K1460" s="114" t="s">
        <v>93</v>
      </c>
      <c r="L1460" s="35" t="s">
        <v>475</v>
      </c>
      <c r="M1460" s="35" t="s">
        <v>2723</v>
      </c>
      <c r="N1460" s="35" t="str" cm="1">
        <f t="array" ref="N1460">IFERROR(IF(Tabla8[[#This Row],[P/NP]]="NO PROGRAMADA","",_xlfn.TEXTJOIN(", ",TRUE,_xlfn._xlws.FILTER(Tabla4[[#All],[PIEZA]],ISNUMBER(SEARCH(Tabla4[[#All],[PCLAVE]],Tabla8[[#This Row],[DESCRIPCION DE TRABAJO]])),""))),"")</f>
        <v/>
      </c>
      <c r="O1460" s="35" t="str" cm="1">
        <f t="array" ref="O1460">_xlfn.TEXTJOIN(", ",TRUE,_xlfn._xlws.FILTER(Tabla28[[#All],[PARTE]],ISNUMBER(SEARCH(Tabla28[[#All],[PCLAVE2]],Tabla8[[#This Row],[DESCRIPCION DE TRABAJO]])),""))</f>
        <v/>
      </c>
      <c r="P1460" s="303" t="str">
        <f>IFERROR(LEFT(O1460, FIND(",", O1460)-1), O1460)</f>
        <v/>
      </c>
      <c r="Q1460" s="303" t="str">
        <f>IFERROR(IF(ISERROR(FIND(",", O1460, FIND(",", O1460)+1)), RIGHT(O1460, LEN(O1460)-FIND(",", O1460)-1), MID(O1460, FIND(",", O1460)+2, FIND(",", O1460, FIND(",", O1460)+1)-FIND(",", O1460)-2)), "")</f>
        <v/>
      </c>
      <c r="R1460" s="303" t="str">
        <f>IFERROR(RIGHT(O1460, LEN(O1460)-FIND(",", O1460, FIND(",", O1460)+1)-1), "")</f>
        <v/>
      </c>
      <c r="S1460" s="35" t="str" cm="1">
        <f t="array" ref="S1460">_xlfn.TEXTJOIN(", ",TRUE,_xlfn._xlws.FILTER(Tabla29[[#All],[PARTE]],ISNUMBER(SEARCH(Tabla29[[#All],[PCLAVE3]],Tabla8[[#This Row],[DESCRIPCION DE TRABAJO]])),""))</f>
        <v/>
      </c>
      <c r="T1460" s="34" t="str">
        <f>IF(AND(Tabla8[[#This Row],[PIEZA]]="",Tabla8[[#This Row],[PARTE]]=""),"VACIO","OK")</f>
        <v>VACIO</v>
      </c>
      <c r="U1460" s="303" t="str">
        <f>+CONCATENATE(WEEKNUM(Tabla8[[#This Row],[FECHA]]),"-",YEAR(Tabla8[[#This Row],[FECHA]]))</f>
        <v>22-2026</v>
      </c>
    </row>
    <row r="1461" spans="1:21" ht="15" customHeight="1">
      <c r="A1461" s="22">
        <v>46167</v>
      </c>
      <c r="B1461" s="16" t="s">
        <v>88</v>
      </c>
      <c r="C1461" s="10" t="s">
        <v>36</v>
      </c>
      <c r="D1461" s="381" t="s">
        <v>123</v>
      </c>
      <c r="E1461" s="381" t="s">
        <v>126</v>
      </c>
      <c r="F1461" s="380">
        <f>+MOD(Tabla8[[#This Row],[HR. FIN]]-Tabla8[[#This Row],[HR. INICIO]],1)</f>
        <v>2.0833333333333315E-2</v>
      </c>
      <c r="G1461" s="16" t="s">
        <v>312</v>
      </c>
      <c r="H1461" s="343" t="str">
        <f>IFERROR(VLOOKUP(G1461,DATOS!$M$2:$N$219,2,FALSE),"")</f>
        <v>Maquinaria</v>
      </c>
      <c r="I1461" s="115" t="s">
        <v>32</v>
      </c>
      <c r="J1461" s="115" t="s">
        <v>157</v>
      </c>
      <c r="K1461" s="114"/>
      <c r="L1461" s="35" t="s">
        <v>1168</v>
      </c>
      <c r="M1461" s="35" t="s">
        <v>2724</v>
      </c>
      <c r="N1461" s="35" t="str" cm="1">
        <f t="array" ref="N1461">IFERROR(IF(Tabla8[[#This Row],[P/NP]]="NO PROGRAMADA","",_xlfn.TEXTJOIN(", ",TRUE,_xlfn._xlws.FILTER(Tabla4[[#All],[PIEZA]],ISNUMBER(SEARCH(Tabla4[[#All],[PCLAVE]],Tabla8[[#This Row],[DESCRIPCION DE TRABAJO]])),""))),"")</f>
        <v/>
      </c>
      <c r="O1461" s="35" t="str" cm="1">
        <f t="array" ref="O1461">_xlfn.TEXTJOIN(", ",TRUE,_xlfn._xlws.FILTER(Tabla28[[#All],[PARTE]],ISNUMBER(SEARCH(Tabla28[[#All],[PCLAVE2]],Tabla8[[#This Row],[DESCRIPCION DE TRABAJO]])),""))</f>
        <v/>
      </c>
      <c r="P1461" s="303" t="str">
        <f>IFERROR(LEFT(O1461, FIND(",", O1461)-1), O1461)</f>
        <v/>
      </c>
      <c r="Q1461" s="303" t="str">
        <f>IFERROR(IF(ISERROR(FIND(",", O1461, FIND(",", O1461)+1)), RIGHT(O1461, LEN(O1461)-FIND(",", O1461)-1), MID(O1461, FIND(",", O1461)+2, FIND(",", O1461, FIND(",", O1461)+1)-FIND(",", O1461)-2)), "")</f>
        <v/>
      </c>
      <c r="R1461" s="303" t="str">
        <f>IFERROR(RIGHT(O1461, LEN(O1461)-FIND(",", O1461, FIND(",", O1461)+1)-1), "")</f>
        <v/>
      </c>
      <c r="S1461" s="35" t="str" cm="1">
        <f t="array" ref="S1461">_xlfn.TEXTJOIN(", ",TRUE,_xlfn._xlws.FILTER(Tabla29[[#All],[PARTE]],ISNUMBER(SEARCH(Tabla29[[#All],[PCLAVE3]],Tabla8[[#This Row],[DESCRIPCION DE TRABAJO]])),""))</f>
        <v/>
      </c>
      <c r="T1461" s="34" t="str">
        <f>IF(AND(Tabla8[[#This Row],[PIEZA]]="",Tabla8[[#This Row],[PARTE]]=""),"VACIO","OK")</f>
        <v>VACIO</v>
      </c>
      <c r="U1461" s="303" t="str">
        <f>+CONCATENATE(WEEKNUM(Tabla8[[#This Row],[FECHA]]),"-",YEAR(Tabla8[[#This Row],[FECHA]]))</f>
        <v>22-2026</v>
      </c>
    </row>
    <row r="1462" spans="1:21" ht="15" customHeight="1">
      <c r="A1462" s="22">
        <v>46167</v>
      </c>
      <c r="B1462" s="16" t="s">
        <v>88</v>
      </c>
      <c r="C1462" s="10" t="s">
        <v>36</v>
      </c>
      <c r="D1462" s="381" t="s">
        <v>96</v>
      </c>
      <c r="E1462" s="381" t="s">
        <v>670</v>
      </c>
      <c r="F1462" s="380">
        <f>+MOD(Tabla8[[#This Row],[HR. FIN]]-Tabla8[[#This Row],[HR. INICIO]],1)</f>
        <v>2.0833333333333315E-2</v>
      </c>
      <c r="G1462" s="16" t="s">
        <v>312</v>
      </c>
      <c r="H1462" s="343" t="str">
        <f>IFERROR(VLOOKUP(G1462,DATOS!$M$2:$N$219,2,FALSE),"")</f>
        <v>Maquinaria</v>
      </c>
      <c r="I1462" s="115" t="s">
        <v>32</v>
      </c>
      <c r="J1462" s="115" t="s">
        <v>157</v>
      </c>
      <c r="K1462" s="114"/>
      <c r="L1462" s="35" t="s">
        <v>1593</v>
      </c>
      <c r="M1462" s="35" t="s">
        <v>2725</v>
      </c>
      <c r="N1462" s="35" t="str" cm="1">
        <f t="array" ref="N1462">IFERROR(IF(Tabla8[[#This Row],[P/NP]]="NO PROGRAMADA","",_xlfn.TEXTJOIN(", ",TRUE,_xlfn._xlws.FILTER(Tabla4[[#All],[PIEZA]],ISNUMBER(SEARCH(Tabla4[[#All],[PCLAVE]],Tabla8[[#This Row],[DESCRIPCION DE TRABAJO]])),""))),"")</f>
        <v/>
      </c>
      <c r="O1462" s="35" t="str" cm="1">
        <f t="array" ref="O1462">_xlfn.TEXTJOIN(", ",TRUE,_xlfn._xlws.FILTER(Tabla28[[#All],[PARTE]],ISNUMBER(SEARCH(Tabla28[[#All],[PCLAVE2]],Tabla8[[#This Row],[DESCRIPCION DE TRABAJO]])),""))</f>
        <v/>
      </c>
      <c r="P1462" s="303" t="str">
        <f>IFERROR(LEFT(O1462, FIND(",", O1462)-1), O1462)</f>
        <v/>
      </c>
      <c r="Q1462" s="303" t="str">
        <f>IFERROR(IF(ISERROR(FIND(",", O1462, FIND(",", O1462)+1)), RIGHT(O1462, LEN(O1462)-FIND(",", O1462)-1), MID(O1462, FIND(",", O1462)+2, FIND(",", O1462, FIND(",", O1462)+1)-FIND(",", O1462)-2)), "")</f>
        <v/>
      </c>
      <c r="R1462" s="303" t="str">
        <f>IFERROR(RIGHT(O1462, LEN(O1462)-FIND(",", O1462, FIND(",", O1462)+1)-1), "")</f>
        <v/>
      </c>
      <c r="S1462" s="35" t="str" cm="1">
        <f t="array" ref="S1462">_xlfn.TEXTJOIN(", ",TRUE,_xlfn._xlws.FILTER(Tabla29[[#All],[PARTE]],ISNUMBER(SEARCH(Tabla29[[#All],[PCLAVE3]],Tabla8[[#This Row],[DESCRIPCION DE TRABAJO]])),""))</f>
        <v/>
      </c>
      <c r="T1462" s="34" t="str">
        <f>IF(AND(Tabla8[[#This Row],[PIEZA]]="",Tabla8[[#This Row],[PARTE]]=""),"VACIO","OK")</f>
        <v>VACIO</v>
      </c>
      <c r="U1462" s="303" t="str">
        <f>+CONCATENATE(WEEKNUM(Tabla8[[#This Row],[FECHA]]),"-",YEAR(Tabla8[[#This Row],[FECHA]]))</f>
        <v>22-2026</v>
      </c>
    </row>
    <row r="1463" spans="1:21" ht="15" customHeight="1">
      <c r="A1463" s="22">
        <v>46167</v>
      </c>
      <c r="B1463" s="16" t="s">
        <v>131</v>
      </c>
      <c r="C1463" s="10" t="s">
        <v>23</v>
      </c>
      <c r="D1463" s="381" t="s">
        <v>1171</v>
      </c>
      <c r="E1463" s="381" t="s">
        <v>107</v>
      </c>
      <c r="F1463" s="380">
        <f>+MOD(Tabla8[[#This Row],[HR. FIN]]-Tabla8[[#This Row],[HR. INICIO]],1)</f>
        <v>1.6666666666666718E-2</v>
      </c>
      <c r="G1463" s="16" t="s">
        <v>815</v>
      </c>
      <c r="H1463" s="343" t="str">
        <f>IFERROR(VLOOKUP(G1463,DATOS!$M$2:$N$219,2,FALSE),"")</f>
        <v>Maquinaria</v>
      </c>
      <c r="I1463" s="115" t="s">
        <v>57</v>
      </c>
      <c r="J1463" s="115" t="s">
        <v>92</v>
      </c>
      <c r="K1463" s="114" t="s">
        <v>93</v>
      </c>
      <c r="L1463" s="35" t="s">
        <v>2726</v>
      </c>
      <c r="M1463" s="35" t="s">
        <v>2727</v>
      </c>
      <c r="N1463" s="35" t="str" cm="1">
        <f t="array" ref="N1463">IFERROR(IF(Tabla8[[#This Row],[P/NP]]="NO PROGRAMADA","",_xlfn.TEXTJOIN(", ",TRUE,_xlfn._xlws.FILTER(Tabla4[[#All],[PIEZA]],ISNUMBER(SEARCH(Tabla4[[#All],[PCLAVE]],Tabla8[[#This Row],[DESCRIPCION DE TRABAJO]])),""))),"")</f>
        <v/>
      </c>
      <c r="O1463" s="35" t="str" cm="1">
        <f t="array" ref="O1463">_xlfn.TEXTJOIN(", ",TRUE,_xlfn._xlws.FILTER(Tabla28[[#All],[PARTE]],ISNUMBER(SEARCH(Tabla28[[#All],[PCLAVE2]],Tabla8[[#This Row],[DESCRIPCION DE TRABAJO]])),""))</f>
        <v/>
      </c>
      <c r="P1463" s="303" t="str">
        <f>IFERROR(LEFT(O1463, FIND(",", O1463)-1), O1463)</f>
        <v/>
      </c>
      <c r="Q1463" s="303" t="str">
        <f>IFERROR(IF(ISERROR(FIND(",", O1463, FIND(",", O1463)+1)), RIGHT(O1463, LEN(O1463)-FIND(",", O1463)-1), MID(O1463, FIND(",", O1463)+2, FIND(",", O1463, FIND(",", O1463)+1)-FIND(",", O1463)-2)), "")</f>
        <v/>
      </c>
      <c r="R1463" s="303" t="str">
        <f>IFERROR(RIGHT(O1463, LEN(O1463)-FIND(",", O1463, FIND(",", O1463)+1)-1), "")</f>
        <v/>
      </c>
      <c r="S1463" s="35" t="str" cm="1">
        <f t="array" ref="S1463">_xlfn.TEXTJOIN(", ",TRUE,_xlfn._xlws.FILTER(Tabla29[[#All],[PARTE]],ISNUMBER(SEARCH(Tabla29[[#All],[PCLAVE3]],Tabla8[[#This Row],[DESCRIPCION DE TRABAJO]])),""))</f>
        <v>Con Agujeros</v>
      </c>
      <c r="T1463" s="34" t="str">
        <f>IF(AND(Tabla8[[#This Row],[PIEZA]]="",Tabla8[[#This Row],[PARTE]]=""),"VACIO","OK")</f>
        <v>VACIO</v>
      </c>
      <c r="U1463" s="303" t="str">
        <f>+CONCATENATE(WEEKNUM(Tabla8[[#This Row],[FECHA]]),"-",YEAR(Tabla8[[#This Row],[FECHA]]))</f>
        <v>22-2026</v>
      </c>
    </row>
    <row r="1464" spans="1:21" ht="15" customHeight="1">
      <c r="A1464" s="22">
        <v>46167</v>
      </c>
      <c r="B1464" s="16" t="s">
        <v>131</v>
      </c>
      <c r="C1464" s="10" t="s">
        <v>23</v>
      </c>
      <c r="D1464" s="381" t="s">
        <v>2728</v>
      </c>
      <c r="E1464" s="381" t="s">
        <v>922</v>
      </c>
      <c r="F1464" s="380">
        <f>+MOD(Tabla8[[#This Row],[HR. FIN]]-Tabla8[[#This Row],[HR. INICIO]],1)</f>
        <v>1.5277777777777724E-2</v>
      </c>
      <c r="G1464" s="16" t="s">
        <v>2729</v>
      </c>
      <c r="H1464" s="343" t="str">
        <f>IFERROR(VLOOKUP(G1464,DATOS!$M$2:$N$219,2,FALSE),"")</f>
        <v/>
      </c>
      <c r="I1464" s="115" t="s">
        <v>54</v>
      </c>
      <c r="J1464" s="115" t="s">
        <v>92</v>
      </c>
      <c r="K1464" s="114" t="s">
        <v>148</v>
      </c>
      <c r="L1464" s="35" t="s">
        <v>2730</v>
      </c>
      <c r="M1464" s="35" t="s">
        <v>2731</v>
      </c>
      <c r="N1464" s="35" t="str" cm="1">
        <f t="array" ref="N1464">IFERROR(IF(Tabla8[[#This Row],[P/NP]]="NO PROGRAMADA","",_xlfn.TEXTJOIN(", ",TRUE,_xlfn._xlws.FILTER(Tabla4[[#All],[PIEZA]],ISNUMBER(SEARCH(Tabla4[[#All],[PCLAVE]],Tabla8[[#This Row],[DESCRIPCION DE TRABAJO]])),""))),"")</f>
        <v/>
      </c>
      <c r="O1464" s="35" t="str" cm="1">
        <f t="array" ref="O1464">_xlfn.TEXTJOIN(", ",TRUE,_xlfn._xlws.FILTER(Tabla28[[#All],[PARTE]],ISNUMBER(SEARCH(Tabla28[[#All],[PCLAVE2]],Tabla8[[#This Row],[DESCRIPCION DE TRABAJO]])),""))</f>
        <v/>
      </c>
      <c r="P1464" s="303" t="str">
        <f>IFERROR(LEFT(O1464, FIND(",", O1464)-1), O1464)</f>
        <v/>
      </c>
      <c r="Q1464" s="303" t="str">
        <f>IFERROR(IF(ISERROR(FIND(",", O1464, FIND(",", O1464)+1)), RIGHT(O1464, LEN(O1464)-FIND(",", O1464)-1), MID(O1464, FIND(",", O1464)+2, FIND(",", O1464, FIND(",", O1464)+1)-FIND(",", O1464)-2)), "")</f>
        <v/>
      </c>
      <c r="R1464" s="303" t="str">
        <f>IFERROR(RIGHT(O1464, LEN(O1464)-FIND(",", O1464, FIND(",", O1464)+1)-1), "")</f>
        <v/>
      </c>
      <c r="S1464" s="35" t="str" cm="1">
        <f t="array" ref="S1464">_xlfn.TEXTJOIN(", ",TRUE,_xlfn._xlws.FILTER(Tabla29[[#All],[PARTE]],ISNUMBER(SEARCH(Tabla29[[#All],[PCLAVE3]],Tabla8[[#This Row],[DESCRIPCION DE TRABAJO]])),""))</f>
        <v>Apagado</v>
      </c>
      <c r="T1464" s="34" t="str">
        <f>IF(AND(Tabla8[[#This Row],[PIEZA]]="",Tabla8[[#This Row],[PARTE]]=""),"VACIO","OK")</f>
        <v>VACIO</v>
      </c>
      <c r="U1464" s="303" t="str">
        <f>+CONCATENATE(WEEKNUM(Tabla8[[#This Row],[FECHA]]),"-",YEAR(Tabla8[[#This Row],[FECHA]]))</f>
        <v>22-2026</v>
      </c>
    </row>
    <row r="1465" spans="1:21" ht="15" customHeight="1">
      <c r="A1465" s="22">
        <v>46167</v>
      </c>
      <c r="B1465" s="16" t="s">
        <v>191</v>
      </c>
      <c r="C1465" s="10" t="s">
        <v>39</v>
      </c>
      <c r="D1465" s="381" t="s">
        <v>2732</v>
      </c>
      <c r="E1465" s="381" t="s">
        <v>1122</v>
      </c>
      <c r="F1465" s="380">
        <f>+MOD(Tabla8[[#This Row],[HR. FIN]]-Tabla8[[#This Row],[HR. INICIO]],1)</f>
        <v>1.4583333333333393E-2</v>
      </c>
      <c r="G1465" s="16" t="s">
        <v>215</v>
      </c>
      <c r="H1465" s="343" t="str">
        <f>IFERROR(VLOOKUP(G1465,DATOS!$M$2:$N$219,2,FALSE),"")</f>
        <v>Equipos auxiliares</v>
      </c>
      <c r="I1465" s="115" t="s">
        <v>54</v>
      </c>
      <c r="J1465" s="115" t="s">
        <v>157</v>
      </c>
      <c r="K1465" s="114"/>
      <c r="L1465" s="35" t="s">
        <v>248</v>
      </c>
      <c r="M1465" s="35" t="s">
        <v>121</v>
      </c>
      <c r="N1465" s="35" t="str" cm="1">
        <f t="array" ref="N1465">IFERROR(IF(Tabla8[[#This Row],[P/NP]]="NO PROGRAMADA","",_xlfn.TEXTJOIN(", ",TRUE,_xlfn._xlws.FILTER(Tabla4[[#All],[PIEZA]],ISNUMBER(SEARCH(Tabla4[[#All],[PCLAVE]],Tabla8[[#This Row],[DESCRIPCION DE TRABAJO]])),""))),"")</f>
        <v/>
      </c>
      <c r="O1465" s="35" t="str" cm="1">
        <f t="array" ref="O1465">_xlfn.TEXTJOIN(", ",TRUE,_xlfn._xlws.FILTER(Tabla28[[#All],[PARTE]],ISNUMBER(SEARCH(Tabla28[[#All],[PCLAVE2]],Tabla8[[#This Row],[DESCRIPCION DE TRABAJO]])),""))</f>
        <v/>
      </c>
      <c r="P1465" s="303" t="str">
        <f>IFERROR(LEFT(O1465, FIND(",", O1465)-1), O1465)</f>
        <v/>
      </c>
      <c r="Q1465" s="303" t="str">
        <f>IFERROR(IF(ISERROR(FIND(",", O1465, FIND(",", O1465)+1)), RIGHT(O1465, LEN(O1465)-FIND(",", O1465)-1), MID(O1465, FIND(",", O1465)+2, FIND(",", O1465, FIND(",", O1465)+1)-FIND(",", O1465)-2)), "")</f>
        <v/>
      </c>
      <c r="R1465" s="303" t="str">
        <f>IFERROR(RIGHT(O1465, LEN(O1465)-FIND(",", O1465, FIND(",", O1465)+1)-1), "")</f>
        <v/>
      </c>
      <c r="S1465" s="35" t="str" cm="1">
        <f t="array" ref="S1465">_xlfn.TEXTJOIN(", ",TRUE,_xlfn._xlws.FILTER(Tabla29[[#All],[PARTE]],ISNUMBER(SEARCH(Tabla29[[#All],[PCLAVE3]],Tabla8[[#This Row],[DESCRIPCION DE TRABAJO]])),""))</f>
        <v/>
      </c>
      <c r="T1465" s="34" t="str">
        <f>IF(AND(Tabla8[[#This Row],[PIEZA]]="",Tabla8[[#This Row],[PARTE]]=""),"VACIO","OK")</f>
        <v>VACIO</v>
      </c>
      <c r="U1465" s="303" t="str">
        <f>+CONCATENATE(WEEKNUM(Tabla8[[#This Row],[FECHA]]),"-",YEAR(Tabla8[[#This Row],[FECHA]]))</f>
        <v>22-2026</v>
      </c>
    </row>
    <row r="1466" spans="1:21" ht="15" customHeight="1">
      <c r="A1466" s="22">
        <v>46167</v>
      </c>
      <c r="B1466" s="16" t="s">
        <v>191</v>
      </c>
      <c r="C1466" s="10" t="s">
        <v>39</v>
      </c>
      <c r="D1466" s="381" t="s">
        <v>612</v>
      </c>
      <c r="E1466" s="381" t="s">
        <v>474</v>
      </c>
      <c r="F1466" s="380">
        <f>+MOD(Tabla8[[#This Row],[HR. FIN]]-Tabla8[[#This Row],[HR. INICIO]],1)</f>
        <v>1.4583333333333282E-2</v>
      </c>
      <c r="G1466" s="16" t="s">
        <v>552</v>
      </c>
      <c r="H1466" s="343" t="str">
        <f>IFERROR(VLOOKUP(G1466,DATOS!$M$2:$N$219,2,FALSE),"")</f>
        <v>Maquinaria</v>
      </c>
      <c r="I1466" s="115" t="s">
        <v>57</v>
      </c>
      <c r="J1466" s="115" t="s">
        <v>92</v>
      </c>
      <c r="K1466" s="114" t="s">
        <v>148</v>
      </c>
      <c r="L1466" s="35" t="s">
        <v>2733</v>
      </c>
      <c r="M1466" s="35" t="s">
        <v>2734</v>
      </c>
      <c r="N1466" s="35" t="str" cm="1">
        <f t="array" ref="N1466">IFERROR(IF(Tabla8[[#This Row],[P/NP]]="NO PROGRAMADA","",_xlfn.TEXTJOIN(", ",TRUE,_xlfn._xlws.FILTER(Tabla4[[#All],[PIEZA]],ISNUMBER(SEARCH(Tabla4[[#All],[PCLAVE]],Tabla8[[#This Row],[DESCRIPCION DE TRABAJO]])),""))),"")</f>
        <v/>
      </c>
      <c r="O1466" s="35" t="str" cm="1">
        <f t="array" ref="O1466">_xlfn.TEXTJOIN(", ",TRUE,_xlfn._xlws.FILTER(Tabla28[[#All],[PARTE]],ISNUMBER(SEARCH(Tabla28[[#All],[PCLAVE2]],Tabla8[[#This Row],[DESCRIPCION DE TRABAJO]])),""))</f>
        <v>Impresora</v>
      </c>
      <c r="P1466" s="303" t="str">
        <f>IFERROR(LEFT(O1466, FIND(",", O1466)-1), O1466)</f>
        <v>Impresora</v>
      </c>
      <c r="Q1466" s="303" t="str">
        <f>IFERROR(IF(ISERROR(FIND(",", O1466, FIND(",", O1466)+1)), RIGHT(O1466, LEN(O1466)-FIND(",", O1466)-1), MID(O1466, FIND(",", O1466)+2, FIND(",", O1466, FIND(",", O1466)+1)-FIND(",", O1466)-2)), "")</f>
        <v/>
      </c>
      <c r="R1466" s="303" t="str">
        <f>IFERROR(RIGHT(O1466, LEN(O1466)-FIND(",", O1466, FIND(",", O1466)+1)-1), "")</f>
        <v/>
      </c>
      <c r="S1466" s="35" t="str" cm="1">
        <f t="array" ref="S1466">_xlfn.TEXTJOIN(", ",TRUE,_xlfn._xlws.FILTER(Tabla29[[#All],[PARTE]],ISNUMBER(SEARCH(Tabla29[[#All],[PCLAVE3]],Tabla8[[#This Row],[DESCRIPCION DE TRABAJO]])),""))</f>
        <v/>
      </c>
      <c r="T1466" s="34" t="str">
        <f>IF(AND(Tabla8[[#This Row],[PIEZA]]="",Tabla8[[#This Row],[PARTE]]=""),"VACIO","OK")</f>
        <v>OK</v>
      </c>
      <c r="U1466" s="303" t="str">
        <f>+CONCATENATE(WEEKNUM(Tabla8[[#This Row],[FECHA]]),"-",YEAR(Tabla8[[#This Row],[FECHA]]))</f>
        <v>22-2026</v>
      </c>
    </row>
    <row r="1467" spans="1:21" ht="15" customHeight="1">
      <c r="A1467" s="22">
        <v>46167</v>
      </c>
      <c r="B1467" s="16" t="s">
        <v>88</v>
      </c>
      <c r="C1467" s="10" t="s">
        <v>36</v>
      </c>
      <c r="D1467" s="381" t="s">
        <v>461</v>
      </c>
      <c r="E1467" s="381" t="s">
        <v>127</v>
      </c>
      <c r="F1467" s="380">
        <f>+MOD(Tabla8[[#This Row],[HR. FIN]]-Tabla8[[#This Row],[HR. INICIO]],1)</f>
        <v>1.3888888888888895E-2</v>
      </c>
      <c r="G1467" s="16" t="s">
        <v>31</v>
      </c>
      <c r="H1467" s="343" t="str">
        <f>IFERROR(VLOOKUP(G1467,DATOS!$M$2:$N$219,2,FALSE),"")</f>
        <v>Maquinaria</v>
      </c>
      <c r="I1467" s="115" t="s">
        <v>32</v>
      </c>
      <c r="J1467" s="115" t="s">
        <v>157</v>
      </c>
      <c r="K1467" s="114"/>
      <c r="L1467" s="35" t="s">
        <v>2735</v>
      </c>
      <c r="M1467" s="35" t="s">
        <v>2736</v>
      </c>
      <c r="N1467" s="35" t="str" cm="1">
        <f t="array" ref="N1467">IFERROR(IF(Tabla8[[#This Row],[P/NP]]="NO PROGRAMADA","",_xlfn.TEXTJOIN(", ",TRUE,_xlfn._xlws.FILTER(Tabla4[[#All],[PIEZA]],ISNUMBER(SEARCH(Tabla4[[#All],[PCLAVE]],Tabla8[[#This Row],[DESCRIPCION DE TRABAJO]])),""))),"")</f>
        <v>Mordaza</v>
      </c>
      <c r="O1467" s="35" t="str" cm="1">
        <f t="array" ref="O1467">_xlfn.TEXTJOIN(", ",TRUE,_xlfn._xlws.FILTER(Tabla28[[#All],[PARTE]],ISNUMBER(SEARCH(Tabla28[[#All],[PCLAVE2]],Tabla8[[#This Row],[DESCRIPCION DE TRABAJO]])),""))</f>
        <v/>
      </c>
      <c r="P1467" s="303" t="str">
        <f>IFERROR(LEFT(O1467, FIND(",", O1467)-1), O1467)</f>
        <v/>
      </c>
      <c r="Q1467" s="303" t="str">
        <f>IFERROR(IF(ISERROR(FIND(",", O1467, FIND(",", O1467)+1)), RIGHT(O1467, LEN(O1467)-FIND(",", O1467)-1), MID(O1467, FIND(",", O1467)+2, FIND(",", O1467, FIND(",", O1467)+1)-FIND(",", O1467)-2)), "")</f>
        <v/>
      </c>
      <c r="R1467" s="303" t="str">
        <f>IFERROR(RIGHT(O1467, LEN(O1467)-FIND(",", O1467, FIND(",", O1467)+1)-1), "")</f>
        <v/>
      </c>
      <c r="S1467" s="35" t="str" cm="1">
        <f t="array" ref="S1467">_xlfn.TEXTJOIN(", ",TRUE,_xlfn._xlws.FILTER(Tabla29[[#All],[PARTE]],ISNUMBER(SEARCH(Tabla29[[#All],[PCLAVE3]],Tabla8[[#This Row],[DESCRIPCION DE TRABAJO]])),""))</f>
        <v>Sustitucion</v>
      </c>
      <c r="T1467" s="34" t="str">
        <f>IF(AND(Tabla8[[#This Row],[PIEZA]]="",Tabla8[[#This Row],[PARTE]]=""),"VACIO","OK")</f>
        <v>OK</v>
      </c>
      <c r="U1467" s="303" t="str">
        <f>+CONCATENATE(WEEKNUM(Tabla8[[#This Row],[FECHA]]),"-",YEAR(Tabla8[[#This Row],[FECHA]]))</f>
        <v>22-2026</v>
      </c>
    </row>
    <row r="1468" spans="1:21" ht="15" customHeight="1">
      <c r="A1468" s="22">
        <v>46167</v>
      </c>
      <c r="B1468" s="16" t="s">
        <v>88</v>
      </c>
      <c r="C1468" s="10" t="s">
        <v>36</v>
      </c>
      <c r="D1468" s="381" t="s">
        <v>1510</v>
      </c>
      <c r="E1468" s="381" t="s">
        <v>89</v>
      </c>
      <c r="F1468" s="380">
        <f>+MOD(Tabla8[[#This Row],[HR. FIN]]-Tabla8[[#This Row],[HR. INICIO]],1)</f>
        <v>1.3888888888888895E-2</v>
      </c>
      <c r="G1468" s="16" t="s">
        <v>169</v>
      </c>
      <c r="H1468" s="343" t="str">
        <f>IFERROR(VLOOKUP(G1468,DATOS!$M$2:$N$219,2,FALSE),"")</f>
        <v>Maquinaria</v>
      </c>
      <c r="I1468" s="115" t="s">
        <v>32</v>
      </c>
      <c r="J1468" s="115" t="s">
        <v>157</v>
      </c>
      <c r="K1468" s="114"/>
      <c r="L1468" s="35" t="s">
        <v>1168</v>
      </c>
      <c r="M1468" s="35" t="s">
        <v>1166</v>
      </c>
      <c r="N1468" s="35" t="str" cm="1">
        <f t="array" ref="N1468">IFERROR(IF(Tabla8[[#This Row],[P/NP]]="NO PROGRAMADA","",_xlfn.TEXTJOIN(", ",TRUE,_xlfn._xlws.FILTER(Tabla4[[#All],[PIEZA]],ISNUMBER(SEARCH(Tabla4[[#All],[PCLAVE]],Tabla8[[#This Row],[DESCRIPCION DE TRABAJO]])),""))),"")</f>
        <v/>
      </c>
      <c r="O1468" s="35" t="str" cm="1">
        <f t="array" ref="O1468">_xlfn.TEXTJOIN(", ",TRUE,_xlfn._xlws.FILTER(Tabla28[[#All],[PARTE]],ISNUMBER(SEARCH(Tabla28[[#All],[PCLAVE2]],Tabla8[[#This Row],[DESCRIPCION DE TRABAJO]])),""))</f>
        <v/>
      </c>
      <c r="P1468" s="303" t="str">
        <f>IFERROR(LEFT(O1468, FIND(",", O1468)-1), O1468)</f>
        <v/>
      </c>
      <c r="Q1468" s="303" t="str">
        <f>IFERROR(IF(ISERROR(FIND(",", O1468, FIND(",", O1468)+1)), RIGHT(O1468, LEN(O1468)-FIND(",", O1468)-1), MID(O1468, FIND(",", O1468)+2, FIND(",", O1468, FIND(",", O1468)+1)-FIND(",", O1468)-2)), "")</f>
        <v/>
      </c>
      <c r="R1468" s="303" t="str">
        <f>IFERROR(RIGHT(O1468, LEN(O1468)-FIND(",", O1468, FIND(",", O1468)+1)-1), "")</f>
        <v/>
      </c>
      <c r="S1468" s="35" t="str" cm="1">
        <f t="array" ref="S1468">_xlfn.TEXTJOIN(", ",TRUE,_xlfn._xlws.FILTER(Tabla29[[#All],[PARTE]],ISNUMBER(SEARCH(Tabla29[[#All],[PCLAVE3]],Tabla8[[#This Row],[DESCRIPCION DE TRABAJO]])),""))</f>
        <v/>
      </c>
      <c r="T1468" s="34" t="str">
        <f>IF(AND(Tabla8[[#This Row],[PIEZA]]="",Tabla8[[#This Row],[PARTE]]=""),"VACIO","OK")</f>
        <v>VACIO</v>
      </c>
      <c r="U1468" s="303" t="str">
        <f>+CONCATENATE(WEEKNUM(Tabla8[[#This Row],[FECHA]]),"-",YEAR(Tabla8[[#This Row],[FECHA]]))</f>
        <v>22-2026</v>
      </c>
    </row>
    <row r="1469" spans="1:21" ht="15" customHeight="1">
      <c r="A1469" s="22">
        <v>46167</v>
      </c>
      <c r="B1469" s="16" t="s">
        <v>88</v>
      </c>
      <c r="C1469" s="10" t="s">
        <v>36</v>
      </c>
      <c r="D1469" s="381" t="s">
        <v>97</v>
      </c>
      <c r="E1469" s="381" t="s">
        <v>672</v>
      </c>
      <c r="F1469" s="380">
        <f>+MOD(Tabla8[[#This Row],[HR. FIN]]-Tabla8[[#This Row],[HR. INICIO]],1)</f>
        <v>1.3888888888888895E-2</v>
      </c>
      <c r="G1469" s="16" t="s">
        <v>270</v>
      </c>
      <c r="H1469" s="343" t="str">
        <f>IFERROR(VLOOKUP(G1469,DATOS!$M$2:$N$219,2,FALSE),"")</f>
        <v>Maquinaria</v>
      </c>
      <c r="I1469" s="115" t="s">
        <v>390</v>
      </c>
      <c r="J1469" s="115" t="s">
        <v>157</v>
      </c>
      <c r="K1469" s="114"/>
      <c r="L1469" s="35" t="s">
        <v>1040</v>
      </c>
      <c r="M1469" s="35" t="s">
        <v>2737</v>
      </c>
      <c r="N1469" s="35" t="str" cm="1">
        <f t="array" ref="N1469">IFERROR(IF(Tabla8[[#This Row],[P/NP]]="NO PROGRAMADA","",_xlfn.TEXTJOIN(", ",TRUE,_xlfn._xlws.FILTER(Tabla4[[#All],[PIEZA]],ISNUMBER(SEARCH(Tabla4[[#All],[PCLAVE]],Tabla8[[#This Row],[DESCRIPCION DE TRABAJO]])),""))),"")</f>
        <v/>
      </c>
      <c r="O1469" s="35" t="str" cm="1">
        <f t="array" ref="O1469">_xlfn.TEXTJOIN(", ",TRUE,_xlfn._xlws.FILTER(Tabla28[[#All],[PARTE]],ISNUMBER(SEARCH(Tabla28[[#All],[PCLAVE2]],Tabla8[[#This Row],[DESCRIPCION DE TRABAJO]])),""))</f>
        <v/>
      </c>
      <c r="P1469" s="303" t="str">
        <f>IFERROR(LEFT(O1469, FIND(",", O1469)-1), O1469)</f>
        <v/>
      </c>
      <c r="Q1469" s="303" t="str">
        <f>IFERROR(IF(ISERROR(FIND(",", O1469, FIND(",", O1469)+1)), RIGHT(O1469, LEN(O1469)-FIND(",", O1469)-1), MID(O1469, FIND(",", O1469)+2, FIND(",", O1469, FIND(",", O1469)+1)-FIND(",", O1469)-2)), "")</f>
        <v/>
      </c>
      <c r="R1469" s="303" t="str">
        <f>IFERROR(RIGHT(O1469, LEN(O1469)-FIND(",", O1469, FIND(",", O1469)+1)-1), "")</f>
        <v/>
      </c>
      <c r="S1469" s="35" t="str" cm="1">
        <f t="array" ref="S1469">_xlfn.TEXTJOIN(", ",TRUE,_xlfn._xlws.FILTER(Tabla29[[#All],[PARTE]],ISNUMBER(SEARCH(Tabla29[[#All],[PCLAVE3]],Tabla8[[#This Row],[DESCRIPCION DE TRABAJO]])),""))</f>
        <v/>
      </c>
      <c r="T1469" s="34" t="str">
        <f>IF(AND(Tabla8[[#This Row],[PIEZA]]="",Tabla8[[#This Row],[PARTE]]=""),"VACIO","OK")</f>
        <v>VACIO</v>
      </c>
      <c r="U1469" s="303" t="str">
        <f>+CONCATENATE(WEEKNUM(Tabla8[[#This Row],[FECHA]]),"-",YEAR(Tabla8[[#This Row],[FECHA]]))</f>
        <v>22-2026</v>
      </c>
    </row>
    <row r="1470" spans="1:21" ht="15" customHeight="1">
      <c r="A1470" s="22">
        <v>46167</v>
      </c>
      <c r="B1470" s="16" t="s">
        <v>191</v>
      </c>
      <c r="C1470" s="10" t="s">
        <v>39</v>
      </c>
      <c r="D1470" s="381" t="s">
        <v>1123</v>
      </c>
      <c r="E1470" s="381" t="s">
        <v>2738</v>
      </c>
      <c r="F1470" s="380">
        <f>+MOD(Tabla8[[#This Row],[HR. FIN]]-Tabla8[[#This Row],[HR. INICIO]],1)</f>
        <v>1.0416666666666741E-2</v>
      </c>
      <c r="G1470" s="16" t="s">
        <v>169</v>
      </c>
      <c r="H1470" s="343" t="str">
        <f>IFERROR(VLOOKUP(G1470,DATOS!$M$2:$N$219,2,FALSE),"")</f>
        <v>Maquinaria</v>
      </c>
      <c r="I1470" s="115" t="s">
        <v>32</v>
      </c>
      <c r="J1470" s="115" t="s">
        <v>157</v>
      </c>
      <c r="K1470" s="114"/>
      <c r="L1470" s="35" t="s">
        <v>76</v>
      </c>
      <c r="M1470" s="35" t="s">
        <v>121</v>
      </c>
      <c r="N1470" s="35" t="str" cm="1">
        <f t="array" ref="N1470">IFERROR(IF(Tabla8[[#This Row],[P/NP]]="NO PROGRAMADA","",_xlfn.TEXTJOIN(", ",TRUE,_xlfn._xlws.FILTER(Tabla4[[#All],[PIEZA]],ISNUMBER(SEARCH(Tabla4[[#All],[PCLAVE]],Tabla8[[#This Row],[DESCRIPCION DE TRABAJO]])),""))),"")</f>
        <v/>
      </c>
      <c r="O1470" s="35" t="str" cm="1">
        <f t="array" ref="O1470">_xlfn.TEXTJOIN(", ",TRUE,_xlfn._xlws.FILTER(Tabla28[[#All],[PARTE]],ISNUMBER(SEARCH(Tabla28[[#All],[PCLAVE2]],Tabla8[[#This Row],[DESCRIPCION DE TRABAJO]])),""))</f>
        <v/>
      </c>
      <c r="P1470" s="303" t="str">
        <f>IFERROR(LEFT(O1470, FIND(",", O1470)-1), O1470)</f>
        <v/>
      </c>
      <c r="Q1470" s="303" t="str">
        <f>IFERROR(IF(ISERROR(FIND(",", O1470, FIND(",", O1470)+1)), RIGHT(O1470, LEN(O1470)-FIND(",", O1470)-1), MID(O1470, FIND(",", O1470)+2, FIND(",", O1470, FIND(",", O1470)+1)-FIND(",", O1470)-2)), "")</f>
        <v/>
      </c>
      <c r="R1470" s="303" t="str">
        <f>IFERROR(RIGHT(O1470, LEN(O1470)-FIND(",", O1470, FIND(",", O1470)+1)-1), "")</f>
        <v/>
      </c>
      <c r="S1470" s="35" t="str" cm="1">
        <f t="array" ref="S1470">_xlfn.TEXTJOIN(", ",TRUE,_xlfn._xlws.FILTER(Tabla29[[#All],[PARTE]],ISNUMBER(SEARCH(Tabla29[[#All],[PCLAVE3]],Tabla8[[#This Row],[DESCRIPCION DE TRABAJO]])),""))</f>
        <v/>
      </c>
      <c r="T1470" s="34" t="str">
        <f>IF(AND(Tabla8[[#This Row],[PIEZA]]="",Tabla8[[#This Row],[PARTE]]=""),"VACIO","OK")</f>
        <v>VACIO</v>
      </c>
      <c r="U1470" s="303" t="str">
        <f>+CONCATENATE(WEEKNUM(Tabla8[[#This Row],[FECHA]]),"-",YEAR(Tabla8[[#This Row],[FECHA]]))</f>
        <v>22-2026</v>
      </c>
    </row>
    <row r="1471" spans="1:21" ht="15" customHeight="1">
      <c r="A1471" s="22">
        <v>46167</v>
      </c>
      <c r="B1471" s="16" t="s">
        <v>131</v>
      </c>
      <c r="C1471" s="10" t="s">
        <v>23</v>
      </c>
      <c r="D1471" s="381" t="s">
        <v>1704</v>
      </c>
      <c r="E1471" s="381" t="s">
        <v>686</v>
      </c>
      <c r="F1471" s="380">
        <f>+MOD(Tabla8[[#This Row],[HR. FIN]]-Tabla8[[#This Row],[HR. INICIO]],1)</f>
        <v>1.0416666666666741E-2</v>
      </c>
      <c r="G1471" s="16" t="s">
        <v>119</v>
      </c>
      <c r="H1471" s="343" t="str">
        <f>IFERROR(VLOOKUP(G1471,DATOS!$M$2:$N$219,2,FALSE),"")</f>
        <v>Maquinaria</v>
      </c>
      <c r="I1471" s="115" t="s">
        <v>28</v>
      </c>
      <c r="J1471" s="115" t="s">
        <v>92</v>
      </c>
      <c r="K1471" s="114" t="s">
        <v>93</v>
      </c>
      <c r="L1471" s="35" t="s">
        <v>2739</v>
      </c>
      <c r="M1471" s="35" t="s">
        <v>2740</v>
      </c>
      <c r="N1471" s="35" t="str" cm="1">
        <f t="array" ref="N1471">IFERROR(IF(Tabla8[[#This Row],[P/NP]]="NO PROGRAMADA","",_xlfn.TEXTJOIN(", ",TRUE,_xlfn._xlws.FILTER(Tabla4[[#All],[PIEZA]],ISNUMBER(SEARCH(Tabla4[[#All],[PCLAVE]],Tabla8[[#This Row],[DESCRIPCION DE TRABAJO]])),""))),"")</f>
        <v/>
      </c>
      <c r="O1471" s="35" t="str" cm="1">
        <f t="array" ref="O1471">_xlfn.TEXTJOIN(", ",TRUE,_xlfn._xlws.FILTER(Tabla28[[#All],[PARTE]],ISNUMBER(SEARCH(Tabla28[[#All],[PCLAVE2]],Tabla8[[#This Row],[DESCRIPCION DE TRABAJO]])),""))</f>
        <v/>
      </c>
      <c r="P1471" s="303" t="str">
        <f>IFERROR(LEFT(O1471, FIND(",", O1471)-1), O1471)</f>
        <v/>
      </c>
      <c r="Q1471" s="303" t="str">
        <f>IFERROR(IF(ISERROR(FIND(",", O1471, FIND(",", O1471)+1)), RIGHT(O1471, LEN(O1471)-FIND(",", O1471)-1), MID(O1471, FIND(",", O1471)+2, FIND(",", O1471, FIND(",", O1471)+1)-FIND(",", O1471)-2)), "")</f>
        <v/>
      </c>
      <c r="R1471" s="303" t="str">
        <f>IFERROR(RIGHT(O1471, LEN(O1471)-FIND(",", O1471, FIND(",", O1471)+1)-1), "")</f>
        <v/>
      </c>
      <c r="S1471" s="35" t="str" cm="1">
        <f t="array" ref="S1471">_xlfn.TEXTJOIN(", ",TRUE,_xlfn._xlws.FILTER(Tabla29[[#All],[PARTE]],ISNUMBER(SEARCH(Tabla29[[#All],[PCLAVE3]],Tabla8[[#This Row],[DESCRIPCION DE TRABAJO]])),""))</f>
        <v>Fuga, Fuga De Aire, Rotura</v>
      </c>
      <c r="T1471" s="34" t="str">
        <f>IF(AND(Tabla8[[#This Row],[PIEZA]]="",Tabla8[[#This Row],[PARTE]]=""),"VACIO","OK")</f>
        <v>VACIO</v>
      </c>
      <c r="U1471" s="303" t="str">
        <f>+CONCATENATE(WEEKNUM(Tabla8[[#This Row],[FECHA]]),"-",YEAR(Tabla8[[#This Row],[FECHA]]))</f>
        <v>22-2026</v>
      </c>
    </row>
    <row r="1472" spans="1:21" ht="15" customHeight="1">
      <c r="A1472" s="22">
        <v>46167</v>
      </c>
      <c r="B1472" s="16" t="s">
        <v>131</v>
      </c>
      <c r="C1472" s="10" t="s">
        <v>23</v>
      </c>
      <c r="D1472" s="381" t="s">
        <v>655</v>
      </c>
      <c r="E1472" s="381" t="s">
        <v>2228</v>
      </c>
      <c r="F1472" s="380">
        <f>+MOD(Tabla8[[#This Row],[HR. FIN]]-Tabla8[[#This Row],[HR. INICIO]],1)</f>
        <v>1.0416666666666741E-2</v>
      </c>
      <c r="G1472" s="16" t="s">
        <v>208</v>
      </c>
      <c r="H1472" s="343" t="str">
        <f>IFERROR(VLOOKUP(G1472,DATOS!$M$2:$N$219,2,FALSE),"")</f>
        <v>Maquinaria</v>
      </c>
      <c r="I1472" s="115" t="s">
        <v>186</v>
      </c>
      <c r="J1472" s="115" t="s">
        <v>92</v>
      </c>
      <c r="K1472" s="114" t="s">
        <v>93</v>
      </c>
      <c r="L1472" s="35" t="s">
        <v>2741</v>
      </c>
      <c r="M1472" s="35" t="s">
        <v>2742</v>
      </c>
      <c r="N1472" s="35" t="str" cm="1">
        <f t="array" ref="N1472">IFERROR(IF(Tabla8[[#This Row],[P/NP]]="NO PROGRAMADA","",_xlfn.TEXTJOIN(", ",TRUE,_xlfn._xlws.FILTER(Tabla4[[#All],[PIEZA]],ISNUMBER(SEARCH(Tabla4[[#All],[PCLAVE]],Tabla8[[#This Row],[DESCRIPCION DE TRABAJO]])),""))),"")</f>
        <v/>
      </c>
      <c r="O1472" s="35" t="str" cm="1">
        <f t="array" ref="O1472">_xlfn.TEXTJOIN(", ",TRUE,_xlfn._xlws.FILTER(Tabla28[[#All],[PARTE]],ISNUMBER(SEARCH(Tabla28[[#All],[PCLAVE2]],Tabla8[[#This Row],[DESCRIPCION DE TRABAJO]])),""))</f>
        <v/>
      </c>
      <c r="P1472" s="303" t="str">
        <f>IFERROR(LEFT(O1472, FIND(",", O1472)-1), O1472)</f>
        <v/>
      </c>
      <c r="Q1472" s="303" t="str">
        <f>IFERROR(IF(ISERROR(FIND(",", O1472, FIND(",", O1472)+1)), RIGHT(O1472, LEN(O1472)-FIND(",", O1472)-1), MID(O1472, FIND(",", O1472)+2, FIND(",", O1472, FIND(",", O1472)+1)-FIND(",", O1472)-2)), "")</f>
        <v/>
      </c>
      <c r="R1472" s="303" t="str">
        <f>IFERROR(RIGHT(O1472, LEN(O1472)-FIND(",", O1472, FIND(",", O1472)+1)-1), "")</f>
        <v/>
      </c>
      <c r="S1472" s="35" t="str" cm="1">
        <f t="array" ref="S1472">_xlfn.TEXTJOIN(", ",TRUE,_xlfn._xlws.FILTER(Tabla29[[#All],[PARTE]],ISNUMBER(SEARCH(Tabla29[[#All],[PCLAVE3]],Tabla8[[#This Row],[DESCRIPCION DE TRABAJO]])),""))</f>
        <v>Rotura</v>
      </c>
      <c r="T1472" s="34" t="str">
        <f>IF(AND(Tabla8[[#This Row],[PIEZA]]="",Tabla8[[#This Row],[PARTE]]=""),"VACIO","OK")</f>
        <v>VACIO</v>
      </c>
      <c r="U1472" s="303" t="str">
        <f>+CONCATENATE(WEEKNUM(Tabla8[[#This Row],[FECHA]]),"-",YEAR(Tabla8[[#This Row],[FECHA]]))</f>
        <v>22-2026</v>
      </c>
    </row>
    <row r="1473" spans="1:21" ht="15" customHeight="1">
      <c r="A1473" s="22">
        <v>46167</v>
      </c>
      <c r="B1473" s="16" t="s">
        <v>88</v>
      </c>
      <c r="C1473" s="10" t="s">
        <v>36</v>
      </c>
      <c r="D1473" s="381" t="s">
        <v>404</v>
      </c>
      <c r="E1473" s="381" t="s">
        <v>586</v>
      </c>
      <c r="F1473" s="380">
        <f>+MOD(Tabla8[[#This Row],[HR. FIN]]-Tabla8[[#This Row],[HR. INICIO]],1)</f>
        <v>1.0416666666666685E-2</v>
      </c>
      <c r="G1473" s="16" t="s">
        <v>2743</v>
      </c>
      <c r="H1473" s="343" t="str">
        <f>IFERROR(VLOOKUP(G1473,DATOS!$M$2:$N$219,2,FALSE),"")</f>
        <v>Maquinaria</v>
      </c>
      <c r="I1473" s="115" t="s">
        <v>186</v>
      </c>
      <c r="J1473" s="115" t="s">
        <v>92</v>
      </c>
      <c r="K1473" s="114" t="s">
        <v>93</v>
      </c>
      <c r="L1473" s="35" t="s">
        <v>2744</v>
      </c>
      <c r="M1473" s="35" t="s">
        <v>2745</v>
      </c>
      <c r="N1473" s="35" t="str" cm="1">
        <f t="array" ref="N1473">IFERROR(IF(Tabla8[[#This Row],[P/NP]]="NO PROGRAMADA","",_xlfn.TEXTJOIN(", ",TRUE,_xlfn._xlws.FILTER(Tabla4[[#All],[PIEZA]],ISNUMBER(SEARCH(Tabla4[[#All],[PCLAVE]],Tabla8[[#This Row],[DESCRIPCION DE TRABAJO]])),""))),"")</f>
        <v/>
      </c>
      <c r="O1473" s="35" t="str" cm="1">
        <f t="array" ref="O1473">_xlfn.TEXTJOIN(", ",TRUE,_xlfn._xlws.FILTER(Tabla28[[#All],[PARTE]],ISNUMBER(SEARCH(Tabla28[[#All],[PCLAVE2]],Tabla8[[#This Row],[DESCRIPCION DE TRABAJO]])),""))</f>
        <v/>
      </c>
      <c r="P1473" s="303" t="str">
        <f>IFERROR(LEFT(O1473, FIND(",", O1473)-1), O1473)</f>
        <v/>
      </c>
      <c r="Q1473" s="303" t="str">
        <f>IFERROR(IF(ISERROR(FIND(",", O1473, FIND(",", O1473)+1)), RIGHT(O1473, LEN(O1473)-FIND(",", O1473)-1), MID(O1473, FIND(",", O1473)+2, FIND(",", O1473, FIND(",", O1473)+1)-FIND(",", O1473)-2)), "")</f>
        <v/>
      </c>
      <c r="R1473" s="303" t="str">
        <f>IFERROR(RIGHT(O1473, LEN(O1473)-FIND(",", O1473, FIND(",", O1473)+1)-1), "")</f>
        <v/>
      </c>
      <c r="S1473" s="35" t="str" cm="1">
        <f t="array" ref="S1473">_xlfn.TEXTJOIN(", ",TRUE,_xlfn._xlws.FILTER(Tabla29[[#All],[PARTE]],ISNUMBER(SEARCH(Tabla29[[#All],[PCLAVE3]],Tabla8[[#This Row],[DESCRIPCION DE TRABAJO]])),""))</f>
        <v>Fuga, Fuga De Agua</v>
      </c>
      <c r="T1473" s="34" t="str">
        <f>IF(AND(Tabla8[[#This Row],[PIEZA]]="",Tabla8[[#This Row],[PARTE]]=""),"VACIO","OK")</f>
        <v>VACIO</v>
      </c>
      <c r="U1473" s="303" t="str">
        <f>+CONCATENATE(WEEKNUM(Tabla8[[#This Row],[FECHA]]),"-",YEAR(Tabla8[[#This Row],[FECHA]]))</f>
        <v>22-2026</v>
      </c>
    </row>
    <row r="1474" spans="1:21" ht="15" customHeight="1">
      <c r="A1474" s="22">
        <v>46167</v>
      </c>
      <c r="B1474" s="16" t="s">
        <v>191</v>
      </c>
      <c r="C1474" s="10" t="s">
        <v>39</v>
      </c>
      <c r="D1474" s="381" t="s">
        <v>2746</v>
      </c>
      <c r="E1474" s="381" t="s">
        <v>2747</v>
      </c>
      <c r="F1474" s="380">
        <f>+MOD(Tabla8[[#This Row],[HR. FIN]]-Tabla8[[#This Row],[HR. INICIO]],1)</f>
        <v>1.041666666666663E-2</v>
      </c>
      <c r="G1474" s="16" t="s">
        <v>438</v>
      </c>
      <c r="H1474" s="343" t="str">
        <f>IFERROR(VLOOKUP(G1474,DATOS!$M$2:$N$219,2,FALSE),"")</f>
        <v>Maquinaria</v>
      </c>
      <c r="I1474" s="115" t="s">
        <v>61</v>
      </c>
      <c r="J1474" s="115" t="s">
        <v>92</v>
      </c>
      <c r="K1474" s="114" t="s">
        <v>148</v>
      </c>
      <c r="L1474" s="35" t="s">
        <v>2143</v>
      </c>
      <c r="M1474" s="35" t="s">
        <v>2748</v>
      </c>
      <c r="N1474" s="35" t="str" cm="1">
        <f t="array" ref="N1474">IFERROR(IF(Tabla8[[#This Row],[P/NP]]="NO PROGRAMADA","",_xlfn.TEXTJOIN(", ",TRUE,_xlfn._xlws.FILTER(Tabla4[[#All],[PIEZA]],ISNUMBER(SEARCH(Tabla4[[#All],[PCLAVE]],Tabla8[[#This Row],[DESCRIPCION DE TRABAJO]])),""))),"")</f>
        <v/>
      </c>
      <c r="O1474" s="35" t="str" cm="1">
        <f t="array" ref="O1474">_xlfn.TEXTJOIN(", ",TRUE,_xlfn._xlws.FILTER(Tabla28[[#All],[PARTE]],ISNUMBER(SEARCH(Tabla28[[#All],[PCLAVE2]],Tabla8[[#This Row],[DESCRIPCION DE TRABAJO]])),""))</f>
        <v/>
      </c>
      <c r="P1474" s="303" t="str">
        <f>IFERROR(LEFT(O1474, FIND(",", O1474)-1), O1474)</f>
        <v/>
      </c>
      <c r="Q1474" s="303" t="str">
        <f>IFERROR(IF(ISERROR(FIND(",", O1474, FIND(",", O1474)+1)), RIGHT(O1474, LEN(O1474)-FIND(",", O1474)-1), MID(O1474, FIND(",", O1474)+2, FIND(",", O1474, FIND(",", O1474)+1)-FIND(",", O1474)-2)), "")</f>
        <v/>
      </c>
      <c r="R1474" s="303" t="str">
        <f>IFERROR(RIGHT(O1474, LEN(O1474)-FIND(",", O1474, FIND(",", O1474)+1)-1), "")</f>
        <v/>
      </c>
      <c r="S1474" s="35" t="str" cm="1">
        <f t="array" ref="S1474">_xlfn.TEXTJOIN(", ",TRUE,_xlfn._xlws.FILTER(Tabla29[[#All],[PARTE]],ISNUMBER(SEARCH(Tabla29[[#All],[PCLAVE3]],Tabla8[[#This Row],[DESCRIPCION DE TRABAJO]])),""))</f>
        <v/>
      </c>
      <c r="T1474" s="34" t="str">
        <f>IF(AND(Tabla8[[#This Row],[PIEZA]]="",Tabla8[[#This Row],[PARTE]]=""),"VACIO","OK")</f>
        <v>VACIO</v>
      </c>
      <c r="U1474" s="303" t="str">
        <f>+CONCATENATE(WEEKNUM(Tabla8[[#This Row],[FECHA]]),"-",YEAR(Tabla8[[#This Row],[FECHA]]))</f>
        <v>22-2026</v>
      </c>
    </row>
    <row r="1475" spans="1:21" ht="15" customHeight="1">
      <c r="A1475" s="22">
        <v>46167</v>
      </c>
      <c r="B1475" s="16" t="s">
        <v>131</v>
      </c>
      <c r="C1475" s="10" t="s">
        <v>23</v>
      </c>
      <c r="D1475" s="381" t="s">
        <v>1978</v>
      </c>
      <c r="E1475" s="381" t="s">
        <v>2749</v>
      </c>
      <c r="F1475" s="380">
        <f>+MOD(Tabla8[[#This Row],[HR. FIN]]-Tabla8[[#This Row],[HR. INICIO]],1)</f>
        <v>9.7222222222221877E-3</v>
      </c>
      <c r="G1475" s="16" t="s">
        <v>1063</v>
      </c>
      <c r="H1475" s="343" t="str">
        <f>IFERROR(VLOOKUP(G1475,DATOS!$M$2:$N$219,2,FALSE),"")</f>
        <v>Maquinaria</v>
      </c>
      <c r="I1475" s="115" t="s">
        <v>32</v>
      </c>
      <c r="J1475" s="115" t="s">
        <v>157</v>
      </c>
      <c r="K1475" s="114"/>
      <c r="L1475" s="35" t="s">
        <v>2750</v>
      </c>
      <c r="M1475" s="35" t="s">
        <v>121</v>
      </c>
      <c r="N1475" s="35" t="str" cm="1">
        <f t="array" ref="N1475">IFERROR(IF(Tabla8[[#This Row],[P/NP]]="NO PROGRAMADA","",_xlfn.TEXTJOIN(", ",TRUE,_xlfn._xlws.FILTER(Tabla4[[#All],[PIEZA]],ISNUMBER(SEARCH(Tabla4[[#All],[PCLAVE]],Tabla8[[#This Row],[DESCRIPCION DE TRABAJO]])),""))),"")</f>
        <v>Producto</v>
      </c>
      <c r="O1475" s="35" t="str" cm="1">
        <f t="array" ref="O1475">_xlfn.TEXTJOIN(", ",TRUE,_xlfn._xlws.FILTER(Tabla28[[#All],[PARTE]],ISNUMBER(SEARCH(Tabla28[[#All],[PCLAVE2]],Tabla8[[#This Row],[DESCRIPCION DE TRABAJO]])),""))</f>
        <v/>
      </c>
      <c r="P1475" s="303" t="str">
        <f>IFERROR(LEFT(O1475, FIND(",", O1475)-1), O1475)</f>
        <v/>
      </c>
      <c r="Q1475" s="303" t="str">
        <f>IFERROR(IF(ISERROR(FIND(",", O1475, FIND(",", O1475)+1)), RIGHT(O1475, LEN(O1475)-FIND(",", O1475)-1), MID(O1475, FIND(",", O1475)+2, FIND(",", O1475, FIND(",", O1475)+1)-FIND(",", O1475)-2)), "")</f>
        <v/>
      </c>
      <c r="R1475" s="303" t="str">
        <f>IFERROR(RIGHT(O1475, LEN(O1475)-FIND(",", O1475, FIND(",", O1475)+1)-1), "")</f>
        <v/>
      </c>
      <c r="S1475" s="35" t="str" cm="1">
        <f t="array" ref="S1475">_xlfn.TEXTJOIN(", ",TRUE,_xlfn._xlws.FILTER(Tabla29[[#All],[PARTE]],ISNUMBER(SEARCH(Tabla29[[#All],[PCLAVE3]],Tabla8[[#This Row],[DESCRIPCION DE TRABAJO]])),""))</f>
        <v/>
      </c>
      <c r="T1475" s="34" t="str">
        <f>IF(AND(Tabla8[[#This Row],[PIEZA]]="",Tabla8[[#This Row],[PARTE]]=""),"VACIO","OK")</f>
        <v>OK</v>
      </c>
      <c r="U1475" s="303" t="str">
        <f>+CONCATENATE(WEEKNUM(Tabla8[[#This Row],[FECHA]]),"-",YEAR(Tabla8[[#This Row],[FECHA]]))</f>
        <v>22-2026</v>
      </c>
    </row>
    <row r="1476" spans="1:21" ht="15" customHeight="1">
      <c r="A1476" s="22">
        <v>46167</v>
      </c>
      <c r="B1476" s="16" t="s">
        <v>191</v>
      </c>
      <c r="C1476" s="10" t="s">
        <v>39</v>
      </c>
      <c r="D1476" s="381" t="s">
        <v>478</v>
      </c>
      <c r="E1476" s="381" t="s">
        <v>2330</v>
      </c>
      <c r="F1476" s="380">
        <f>+MOD(Tabla8[[#This Row],[HR. FIN]]-Tabla8[[#This Row],[HR. INICIO]],1)</f>
        <v>8.3333333333333037E-3</v>
      </c>
      <c r="G1476" s="16" t="s">
        <v>1205</v>
      </c>
      <c r="H1476" s="343" t="str">
        <f>IFERROR(VLOOKUP(G1476,DATOS!$M$2:$N$219,2,FALSE),"")</f>
        <v>Maquinaria</v>
      </c>
      <c r="I1476" s="115" t="s">
        <v>186</v>
      </c>
      <c r="J1476" s="115" t="s">
        <v>92</v>
      </c>
      <c r="K1476" s="114" t="s">
        <v>93</v>
      </c>
      <c r="L1476" s="35" t="s">
        <v>2751</v>
      </c>
      <c r="M1476" s="35" t="s">
        <v>2752</v>
      </c>
      <c r="N1476" s="35" t="str" cm="1">
        <f t="array" ref="N1476">IFERROR(IF(Tabla8[[#This Row],[P/NP]]="NO PROGRAMADA","",_xlfn.TEXTJOIN(", ",TRUE,_xlfn._xlws.FILTER(Tabla4[[#All],[PIEZA]],ISNUMBER(SEARCH(Tabla4[[#All],[PCLAVE]],Tabla8[[#This Row],[DESCRIPCION DE TRABAJO]])),""))),"")</f>
        <v/>
      </c>
      <c r="O1476" s="35" t="str" cm="1">
        <f t="array" ref="O1476">_xlfn.TEXTJOIN(", ",TRUE,_xlfn._xlws.FILTER(Tabla28[[#All],[PARTE]],ISNUMBER(SEARCH(Tabla28[[#All],[PCLAVE2]],Tabla8[[#This Row],[DESCRIPCION DE TRABAJO]])),""))</f>
        <v/>
      </c>
      <c r="P1476" s="303" t="str">
        <f>IFERROR(LEFT(O1476, FIND(",", O1476)-1), O1476)</f>
        <v/>
      </c>
      <c r="Q1476" s="303" t="str">
        <f>IFERROR(IF(ISERROR(FIND(",", O1476, FIND(",", O1476)+1)), RIGHT(O1476, LEN(O1476)-FIND(",", O1476)-1), MID(O1476, FIND(",", O1476)+2, FIND(",", O1476, FIND(",", O1476)+1)-FIND(",", O1476)-2)), "")</f>
        <v/>
      </c>
      <c r="R1476" s="303" t="str">
        <f>IFERROR(RIGHT(O1476, LEN(O1476)-FIND(",", O1476, FIND(",", O1476)+1)-1), "")</f>
        <v/>
      </c>
      <c r="S1476" s="35" t="str" cm="1">
        <f t="array" ref="S1476">_xlfn.TEXTJOIN(", ",TRUE,_xlfn._xlws.FILTER(Tabla29[[#All],[PARTE]],ISNUMBER(SEARCH(Tabla29[[#All],[PCLAVE3]],Tabla8[[#This Row],[DESCRIPCION DE TRABAJO]])),""))</f>
        <v>Fuga, Fuga De Agua</v>
      </c>
      <c r="T1476" s="34" t="str">
        <f>IF(AND(Tabla8[[#This Row],[PIEZA]]="",Tabla8[[#This Row],[PARTE]]=""),"VACIO","OK")</f>
        <v>VACIO</v>
      </c>
      <c r="U1476" s="303" t="str">
        <f>+CONCATENATE(WEEKNUM(Tabla8[[#This Row],[FECHA]]),"-",YEAR(Tabla8[[#This Row],[FECHA]]))</f>
        <v>22-2026</v>
      </c>
    </row>
    <row r="1477" spans="1:21" ht="15" customHeight="1">
      <c r="A1477" s="22">
        <v>46167</v>
      </c>
      <c r="B1477" s="16" t="s">
        <v>191</v>
      </c>
      <c r="C1477" s="10" t="s">
        <v>39</v>
      </c>
      <c r="D1477" s="381" t="s">
        <v>2753</v>
      </c>
      <c r="E1477" s="381" t="s">
        <v>643</v>
      </c>
      <c r="F1477" s="380">
        <f>+MOD(Tabla8[[#This Row],[HR. FIN]]-Tabla8[[#This Row],[HR. INICIO]],1)</f>
        <v>7.6388888888888618E-3</v>
      </c>
      <c r="G1477" s="16" t="s">
        <v>119</v>
      </c>
      <c r="H1477" s="343" t="str">
        <f>IFERROR(VLOOKUP(G1477,DATOS!$M$2:$N$219,2,FALSE),"")</f>
        <v>Maquinaria</v>
      </c>
      <c r="I1477" s="115" t="s">
        <v>54</v>
      </c>
      <c r="J1477" s="115" t="s">
        <v>157</v>
      </c>
      <c r="K1477" s="114"/>
      <c r="L1477" s="35" t="s">
        <v>2754</v>
      </c>
      <c r="M1477" s="35" t="s">
        <v>121</v>
      </c>
      <c r="N1477" s="35" t="str" cm="1">
        <f t="array" ref="N1477">IFERROR(IF(Tabla8[[#This Row],[P/NP]]="NO PROGRAMADA","",_xlfn.TEXTJOIN(", ",TRUE,_xlfn._xlws.FILTER(Tabla4[[#All],[PIEZA]],ISNUMBER(SEARCH(Tabla4[[#All],[PCLAVE]],Tabla8[[#This Row],[DESCRIPCION DE TRABAJO]])),""))),"")</f>
        <v/>
      </c>
      <c r="O1477" s="35" t="str" cm="1">
        <f t="array" ref="O1477">_xlfn.TEXTJOIN(", ",TRUE,_xlfn._xlws.FILTER(Tabla28[[#All],[PARTE]],ISNUMBER(SEARCH(Tabla28[[#All],[PCLAVE2]],Tabla8[[#This Row],[DESCRIPCION DE TRABAJO]])),""))</f>
        <v>Tanque</v>
      </c>
      <c r="P1477" s="303" t="str">
        <f>IFERROR(LEFT(O1477, FIND(",", O1477)-1), O1477)</f>
        <v>Tanque</v>
      </c>
      <c r="Q1477" s="303" t="str">
        <f>IFERROR(IF(ISERROR(FIND(",", O1477, FIND(",", O1477)+1)), RIGHT(O1477, LEN(O1477)-FIND(",", O1477)-1), MID(O1477, FIND(",", O1477)+2, FIND(",", O1477, FIND(",", O1477)+1)-FIND(",", O1477)-2)), "")</f>
        <v/>
      </c>
      <c r="R1477" s="303" t="str">
        <f>IFERROR(RIGHT(O1477, LEN(O1477)-FIND(",", O1477, FIND(",", O1477)+1)-1), "")</f>
        <v/>
      </c>
      <c r="S1477" s="35" t="str" cm="1">
        <f t="array" ref="S1477">_xlfn.TEXTJOIN(", ",TRUE,_xlfn._xlws.FILTER(Tabla29[[#All],[PARTE]],ISNUMBER(SEARCH(Tabla29[[#All],[PCLAVE3]],Tabla8[[#This Row],[DESCRIPCION DE TRABAJO]])),""))</f>
        <v>Nivel, Temperatura</v>
      </c>
      <c r="T1477" s="34" t="str">
        <f>IF(AND(Tabla8[[#This Row],[PIEZA]]="",Tabla8[[#This Row],[PARTE]]=""),"VACIO","OK")</f>
        <v>OK</v>
      </c>
      <c r="U1477" s="303" t="str">
        <f>+CONCATENATE(WEEKNUM(Tabla8[[#This Row],[FECHA]]),"-",YEAR(Tabla8[[#This Row],[FECHA]]))</f>
        <v>22-2026</v>
      </c>
    </row>
    <row r="1478" spans="1:21" ht="15" customHeight="1">
      <c r="A1478" s="22">
        <v>46168</v>
      </c>
      <c r="B1478" s="16" t="s">
        <v>179</v>
      </c>
      <c r="C1478" s="10" t="s">
        <v>23</v>
      </c>
      <c r="D1478" s="381">
        <v>0.54166666666666663</v>
      </c>
      <c r="E1478" s="381">
        <v>0.60416666666666663</v>
      </c>
      <c r="F1478" s="380">
        <f>+MOD(Tabla8[[#This Row],[HR. FIN]]-Tabla8[[#This Row],[HR. INICIO]],1)</f>
        <v>6.25E-2</v>
      </c>
      <c r="G1478" s="16" t="s">
        <v>24</v>
      </c>
      <c r="H1478" s="343" t="str">
        <f>IFERROR(VLOOKUP(G1478,DATOS!$M$2:$N$219,2,FALSE),"")</f>
        <v>Maquinaria</v>
      </c>
      <c r="I1478" s="115" t="s">
        <v>32</v>
      </c>
      <c r="J1478" s="115" t="s">
        <v>157</v>
      </c>
      <c r="K1478" s="114"/>
      <c r="L1478" s="35" t="s">
        <v>2755</v>
      </c>
      <c r="M1478" s="35" t="s">
        <v>121</v>
      </c>
      <c r="N1478" s="35" t="str" cm="1">
        <f t="array" ref="N1478">IFERROR(IF(Tabla8[[#This Row],[P/NP]]="NO PROGRAMADA","",_xlfn.TEXTJOIN(", ",TRUE,_xlfn._xlws.FILTER(Tabla4[[#All],[PIEZA]],ISNUMBER(SEARCH(Tabla4[[#All],[PCLAVE]],Tabla8[[#This Row],[DESCRIPCION DE TRABAJO]])),""))),"")</f>
        <v/>
      </c>
      <c r="O1478" s="35" t="str" cm="1">
        <f t="array" ref="O1478">_xlfn.TEXTJOIN(", ",TRUE,_xlfn._xlws.FILTER(Tabla28[[#All],[PARTE]],ISNUMBER(SEARCH(Tabla28[[#All],[PCLAVE2]],Tabla8[[#This Row],[DESCRIPCION DE TRABAJO]])),""))</f>
        <v/>
      </c>
      <c r="P1478" s="303" t="str">
        <f>IFERROR(LEFT(O1478, FIND(",", O1478)-1), O1478)</f>
        <v/>
      </c>
      <c r="Q1478" s="303" t="str">
        <f>IFERROR(IF(ISERROR(FIND(",", O1478, FIND(",", O1478)+1)), RIGHT(O1478, LEN(O1478)-FIND(",", O1478)-1), MID(O1478, FIND(",", O1478)+2, FIND(",", O1478, FIND(",", O1478)+1)-FIND(",", O1478)-2)), "")</f>
        <v/>
      </c>
      <c r="R1478" s="303" t="str">
        <f>IFERROR(RIGHT(O1478, LEN(O1478)-FIND(",", O1478, FIND(",", O1478)+1)-1), "")</f>
        <v/>
      </c>
      <c r="S1478" s="35" t="str" cm="1">
        <f t="array" ref="S1478">_xlfn.TEXTJOIN(", ",TRUE,_xlfn._xlws.FILTER(Tabla29[[#All],[PARTE]],ISNUMBER(SEARCH(Tabla29[[#All],[PCLAVE3]],Tabla8[[#This Row],[DESCRIPCION DE TRABAJO]])),""))</f>
        <v>Calibracion</v>
      </c>
      <c r="T1478" s="34" t="str">
        <f>IF(AND(Tabla8[[#This Row],[PIEZA]]="",Tabla8[[#This Row],[PARTE]]=""),"VACIO","OK")</f>
        <v>VACIO</v>
      </c>
      <c r="U1478" s="303" t="str">
        <f>+CONCATENATE(WEEKNUM(Tabla8[[#This Row],[FECHA]]),"-",YEAR(Tabla8[[#This Row],[FECHA]]))</f>
        <v>22-2026</v>
      </c>
    </row>
    <row r="1479" spans="1:21" ht="15" customHeight="1">
      <c r="A1479" s="22">
        <v>46168</v>
      </c>
      <c r="B1479" s="16" t="s">
        <v>179</v>
      </c>
      <c r="C1479" s="10" t="s">
        <v>23</v>
      </c>
      <c r="D1479" s="381">
        <v>0.7416666666666667</v>
      </c>
      <c r="E1479" s="381">
        <v>0.76388888888888884</v>
      </c>
      <c r="F1479" s="380">
        <f>+MOD(Tabla8[[#This Row],[HR. FIN]]-Tabla8[[#This Row],[HR. INICIO]],1)</f>
        <v>2.2222222222222143E-2</v>
      </c>
      <c r="G1479" s="16" t="s">
        <v>103</v>
      </c>
      <c r="H1479" s="343" t="str">
        <f>IFERROR(VLOOKUP(G1479,DATOS!$M$2:$N$219,2,FALSE),"")</f>
        <v>Area</v>
      </c>
      <c r="I1479" s="115" t="s">
        <v>186</v>
      </c>
      <c r="J1479" s="115" t="s">
        <v>92</v>
      </c>
      <c r="K1479" s="114" t="s">
        <v>93</v>
      </c>
      <c r="L1479" s="35" t="s">
        <v>2756</v>
      </c>
      <c r="M1479" s="35" t="s">
        <v>2757</v>
      </c>
      <c r="N1479" s="35" t="str" cm="1">
        <f t="array" ref="N1479">IFERROR(IF(Tabla8[[#This Row],[P/NP]]="NO PROGRAMADA","",_xlfn.TEXTJOIN(", ",TRUE,_xlfn._xlws.FILTER(Tabla4[[#All],[PIEZA]],ISNUMBER(SEARCH(Tabla4[[#All],[PCLAVE]],Tabla8[[#This Row],[DESCRIPCION DE TRABAJO]])),""))),"")</f>
        <v/>
      </c>
      <c r="O1479" s="35" t="str" cm="1">
        <f t="array" ref="O1479">_xlfn.TEXTJOIN(", ",TRUE,_xlfn._xlws.FILTER(Tabla28[[#All],[PARTE]],ISNUMBER(SEARCH(Tabla28[[#All],[PCLAVE2]],Tabla8[[#This Row],[DESCRIPCION DE TRABAJO]])),""))</f>
        <v/>
      </c>
      <c r="P1479" s="303" t="str">
        <f>IFERROR(LEFT(O1479, FIND(",", O1479)-1), O1479)</f>
        <v/>
      </c>
      <c r="Q1479" s="303" t="str">
        <f>IFERROR(IF(ISERROR(FIND(",", O1479, FIND(",", O1479)+1)), RIGHT(O1479, LEN(O1479)-FIND(",", O1479)-1), MID(O1479, FIND(",", O1479)+2, FIND(",", O1479, FIND(",", O1479)+1)-FIND(",", O1479)-2)), "")</f>
        <v/>
      </c>
      <c r="R1479" s="303" t="str">
        <f>IFERROR(RIGHT(O1479, LEN(O1479)-FIND(",", O1479, FIND(",", O1479)+1)-1), "")</f>
        <v/>
      </c>
      <c r="S1479" s="35" t="str" cm="1">
        <f t="array" ref="S1479">_xlfn.TEXTJOIN(", ",TRUE,_xlfn._xlws.FILTER(Tabla29[[#All],[PARTE]],ISNUMBER(SEARCH(Tabla29[[#All],[PCLAVE3]],Tabla8[[#This Row],[DESCRIPCION DE TRABAJO]])),""))</f>
        <v>Temperatura</v>
      </c>
      <c r="T1479" s="34" t="str">
        <f>IF(AND(Tabla8[[#This Row],[PIEZA]]="",Tabla8[[#This Row],[PARTE]]=""),"VACIO","OK")</f>
        <v>VACIO</v>
      </c>
      <c r="U1479" s="303" t="str">
        <f>+CONCATENATE(WEEKNUM(Tabla8[[#This Row],[FECHA]]),"-",YEAR(Tabla8[[#This Row],[FECHA]]))</f>
        <v>22-2026</v>
      </c>
    </row>
    <row r="1480" spans="1:21" ht="15" customHeight="1">
      <c r="A1480" s="22">
        <v>46168</v>
      </c>
      <c r="B1480" s="16" t="s">
        <v>179</v>
      </c>
      <c r="C1480" s="10" t="s">
        <v>23</v>
      </c>
      <c r="D1480" s="381">
        <v>0.65277777777777779</v>
      </c>
      <c r="E1480" s="381">
        <v>0.67361111111111116</v>
      </c>
      <c r="F1480" s="380">
        <f>+MOD(Tabla8[[#This Row],[HR. FIN]]-Tabla8[[#This Row],[HR. INICIO]],1)</f>
        <v>2.083333333333337E-2</v>
      </c>
      <c r="G1480" s="16" t="s">
        <v>103</v>
      </c>
      <c r="H1480" s="343" t="str">
        <f>IFERROR(VLOOKUP(G1480,DATOS!$M$2:$N$219,2,FALSE),"")</f>
        <v>Area</v>
      </c>
      <c r="I1480" s="115" t="s">
        <v>186</v>
      </c>
      <c r="J1480" s="115" t="s">
        <v>92</v>
      </c>
      <c r="K1480" s="114" t="s">
        <v>93</v>
      </c>
      <c r="L1480" s="35" t="s">
        <v>2756</v>
      </c>
      <c r="M1480" s="35" t="s">
        <v>2758</v>
      </c>
      <c r="N1480" s="35" t="str" cm="1">
        <f t="array" ref="N1480">IFERROR(IF(Tabla8[[#This Row],[P/NP]]="NO PROGRAMADA","",_xlfn.TEXTJOIN(", ",TRUE,_xlfn._xlws.FILTER(Tabla4[[#All],[PIEZA]],ISNUMBER(SEARCH(Tabla4[[#All],[PCLAVE]],Tabla8[[#This Row],[DESCRIPCION DE TRABAJO]])),""))),"")</f>
        <v/>
      </c>
      <c r="O1480" s="35" t="str" cm="1">
        <f t="array" ref="O1480">_xlfn.TEXTJOIN(", ",TRUE,_xlfn._xlws.FILTER(Tabla28[[#All],[PARTE]],ISNUMBER(SEARCH(Tabla28[[#All],[PCLAVE2]],Tabla8[[#This Row],[DESCRIPCION DE TRABAJO]])),""))</f>
        <v/>
      </c>
      <c r="P1480" s="303" t="str">
        <f>IFERROR(LEFT(O1480, FIND(",", O1480)-1), O1480)</f>
        <v/>
      </c>
      <c r="Q1480" s="303" t="str">
        <f>IFERROR(IF(ISERROR(FIND(",", O1480, FIND(",", O1480)+1)), RIGHT(O1480, LEN(O1480)-FIND(",", O1480)-1), MID(O1480, FIND(",", O1480)+2, FIND(",", O1480, FIND(",", O1480)+1)-FIND(",", O1480)-2)), "")</f>
        <v/>
      </c>
      <c r="R1480" s="303" t="str">
        <f>IFERROR(RIGHT(O1480, LEN(O1480)-FIND(",", O1480, FIND(",", O1480)+1)-1), "")</f>
        <v/>
      </c>
      <c r="S1480" s="35" t="str" cm="1">
        <f t="array" ref="S1480">_xlfn.TEXTJOIN(", ",TRUE,_xlfn._xlws.FILTER(Tabla29[[#All],[PARTE]],ISNUMBER(SEARCH(Tabla29[[#All],[PCLAVE3]],Tabla8[[#This Row],[DESCRIPCION DE TRABAJO]])),""))</f>
        <v>Temperatura</v>
      </c>
      <c r="T1480" s="34" t="str">
        <f>IF(AND(Tabla8[[#This Row],[PIEZA]]="",Tabla8[[#This Row],[PARTE]]=""),"VACIO","OK")</f>
        <v>VACIO</v>
      </c>
      <c r="U1480" s="303" t="str">
        <f>+CONCATENATE(WEEKNUM(Tabla8[[#This Row],[FECHA]]),"-",YEAR(Tabla8[[#This Row],[FECHA]]))</f>
        <v>22-2026</v>
      </c>
    </row>
    <row r="1481" spans="1:21" ht="15" customHeight="1">
      <c r="A1481" s="22">
        <v>46168</v>
      </c>
      <c r="B1481" s="16" t="s">
        <v>179</v>
      </c>
      <c r="C1481" s="10" t="s">
        <v>23</v>
      </c>
      <c r="D1481" s="381">
        <v>0.6875</v>
      </c>
      <c r="E1481" s="381">
        <v>0.70833333333333337</v>
      </c>
      <c r="F1481" s="380">
        <f>+MOD(Tabla8[[#This Row],[HR. FIN]]-Tabla8[[#This Row],[HR. INICIO]],1)</f>
        <v>2.083333333333337E-2</v>
      </c>
      <c r="G1481" s="16" t="s">
        <v>119</v>
      </c>
      <c r="H1481" s="343" t="str">
        <f>IFERROR(VLOOKUP(G1481,DATOS!$M$2:$N$219,2,FALSE),"")</f>
        <v>Maquinaria</v>
      </c>
      <c r="I1481" s="115" t="s">
        <v>32</v>
      </c>
      <c r="J1481" s="115" t="s">
        <v>157</v>
      </c>
      <c r="K1481" s="114"/>
      <c r="L1481" s="35" t="s">
        <v>2759</v>
      </c>
      <c r="M1481" s="35" t="s">
        <v>121</v>
      </c>
      <c r="N1481" s="35" t="str" cm="1">
        <f t="array" ref="N1481">IFERROR(IF(Tabla8[[#This Row],[P/NP]]="NO PROGRAMADA","",_xlfn.TEXTJOIN(", ",TRUE,_xlfn._xlws.FILTER(Tabla4[[#All],[PIEZA]],ISNUMBER(SEARCH(Tabla4[[#All],[PCLAVE]],Tabla8[[#This Row],[DESCRIPCION DE TRABAJO]])),""))),"")</f>
        <v/>
      </c>
      <c r="O1481" s="35" t="str" cm="1">
        <f t="array" ref="O1481">_xlfn.TEXTJOIN(", ",TRUE,_xlfn._xlws.FILTER(Tabla28[[#All],[PARTE]],ISNUMBER(SEARCH(Tabla28[[#All],[PCLAVE2]],Tabla8[[#This Row],[DESCRIPCION DE TRABAJO]])),""))</f>
        <v>Mds</v>
      </c>
      <c r="P1481" s="303" t="str">
        <f>IFERROR(LEFT(O1481, FIND(",", O1481)-1), O1481)</f>
        <v>Mds</v>
      </c>
      <c r="Q1481" s="303" t="str">
        <f>IFERROR(IF(ISERROR(FIND(",", O1481, FIND(",", O1481)+1)), RIGHT(O1481, LEN(O1481)-FIND(",", O1481)-1), MID(O1481, FIND(",", O1481)+2, FIND(",", O1481, FIND(",", O1481)+1)-FIND(",", O1481)-2)), "")</f>
        <v/>
      </c>
      <c r="R1481" s="303" t="str">
        <f>IFERROR(RIGHT(O1481, LEN(O1481)-FIND(",", O1481, FIND(",", O1481)+1)-1), "")</f>
        <v/>
      </c>
      <c r="S1481" s="35" t="str" cm="1">
        <f t="array" ref="S1481">_xlfn.TEXTJOIN(", ",TRUE,_xlfn._xlws.FILTER(Tabla29[[#All],[PARTE]],ISNUMBER(SEARCH(Tabla29[[#All],[PCLAVE3]],Tabla8[[#This Row],[DESCRIPCION DE TRABAJO]])),""))</f>
        <v/>
      </c>
      <c r="T1481" s="34" t="str">
        <f>IF(AND(Tabla8[[#This Row],[PIEZA]]="",Tabla8[[#This Row],[PARTE]]=""),"VACIO","OK")</f>
        <v>OK</v>
      </c>
      <c r="U1481" s="303" t="str">
        <f>+CONCATENATE(WEEKNUM(Tabla8[[#This Row],[FECHA]]),"-",YEAR(Tabla8[[#This Row],[FECHA]]))</f>
        <v>22-2026</v>
      </c>
    </row>
    <row r="1482" spans="1:21" ht="15" customHeight="1">
      <c r="A1482" s="22">
        <v>46168</v>
      </c>
      <c r="B1482" s="16" t="s">
        <v>179</v>
      </c>
      <c r="C1482" s="10" t="s">
        <v>23</v>
      </c>
      <c r="D1482" s="381">
        <v>0.72916666666666663</v>
      </c>
      <c r="E1482" s="381">
        <v>0.75</v>
      </c>
      <c r="F1482" s="380">
        <f>+MOD(Tabla8[[#This Row],[HR. FIN]]-Tabla8[[#This Row],[HR. INICIO]],1)</f>
        <v>2.083333333333337E-2</v>
      </c>
      <c r="G1482" s="16" t="s">
        <v>119</v>
      </c>
      <c r="H1482" s="343" t="str">
        <f>IFERROR(VLOOKUP(G1482,DATOS!$M$2:$N$219,2,FALSE),"")</f>
        <v>Maquinaria</v>
      </c>
      <c r="I1482" s="115" t="s">
        <v>32</v>
      </c>
      <c r="J1482" s="115" t="s">
        <v>157</v>
      </c>
      <c r="K1482" s="114"/>
      <c r="L1482" s="35" t="s">
        <v>2760</v>
      </c>
      <c r="M1482" s="35" t="s">
        <v>121</v>
      </c>
      <c r="N1482" s="35" t="str" cm="1">
        <f t="array" ref="N1482">IFERROR(IF(Tabla8[[#This Row],[P/NP]]="NO PROGRAMADA","",_xlfn.TEXTJOIN(", ",TRUE,_xlfn._xlws.FILTER(Tabla4[[#All],[PIEZA]],ISNUMBER(SEARCH(Tabla4[[#All],[PCLAVE]],Tabla8[[#This Row],[DESCRIPCION DE TRABAJO]])),""))),"")</f>
        <v/>
      </c>
      <c r="O1482" s="35" t="str" cm="1">
        <f t="array" ref="O1482">_xlfn.TEXTJOIN(", ",TRUE,_xlfn._xlws.FILTER(Tabla28[[#All],[PARTE]],ISNUMBER(SEARCH(Tabla28[[#All],[PCLAVE2]],Tabla8[[#This Row],[DESCRIPCION DE TRABAJO]])),""))</f>
        <v>Mds</v>
      </c>
      <c r="P1482" s="303" t="str">
        <f>IFERROR(LEFT(O1482, FIND(",", O1482)-1), O1482)</f>
        <v>Mds</v>
      </c>
      <c r="Q1482" s="303" t="str">
        <f>IFERROR(IF(ISERROR(FIND(",", O1482, FIND(",", O1482)+1)), RIGHT(O1482, LEN(O1482)-FIND(",", O1482)-1), MID(O1482, FIND(",", O1482)+2, FIND(",", O1482, FIND(",", O1482)+1)-FIND(",", O1482)-2)), "")</f>
        <v/>
      </c>
      <c r="R1482" s="303" t="str">
        <f>IFERROR(RIGHT(O1482, LEN(O1482)-FIND(",", O1482, FIND(",", O1482)+1)-1), "")</f>
        <v/>
      </c>
      <c r="S1482" s="35" t="str" cm="1">
        <f t="array" ref="S1482">_xlfn.TEXTJOIN(", ",TRUE,_xlfn._xlws.FILTER(Tabla29[[#All],[PARTE]],ISNUMBER(SEARCH(Tabla29[[#All],[PCLAVE3]],Tabla8[[#This Row],[DESCRIPCION DE TRABAJO]])),""))</f>
        <v/>
      </c>
      <c r="T1482" s="34" t="str">
        <f>IF(AND(Tabla8[[#This Row],[PIEZA]]="",Tabla8[[#This Row],[PARTE]]=""),"VACIO","OK")</f>
        <v>OK</v>
      </c>
      <c r="U1482" s="303" t="str">
        <f>+CONCATENATE(WEEKNUM(Tabla8[[#This Row],[FECHA]]),"-",YEAR(Tabla8[[#This Row],[FECHA]]))</f>
        <v>22-2026</v>
      </c>
    </row>
    <row r="1483" spans="1:21" ht="15" customHeight="1">
      <c r="A1483" s="22">
        <v>46168</v>
      </c>
      <c r="B1483" s="16" t="s">
        <v>179</v>
      </c>
      <c r="C1483" s="10" t="s">
        <v>39</v>
      </c>
      <c r="D1483" s="381">
        <v>0.85416666666666663</v>
      </c>
      <c r="E1483" s="381">
        <v>0.875</v>
      </c>
      <c r="F1483" s="380">
        <f>+MOD(Tabla8[[#This Row],[HR. FIN]]-Tabla8[[#This Row],[HR. INICIO]],1)</f>
        <v>2.083333333333337E-2</v>
      </c>
      <c r="G1483" s="16" t="s">
        <v>256</v>
      </c>
      <c r="H1483" s="343" t="str">
        <f>IFERROR(VLOOKUP(G1483,DATOS!$M$2:$N$219,2,FALSE),"")</f>
        <v>Maquinaria</v>
      </c>
      <c r="I1483" s="115" t="s">
        <v>186</v>
      </c>
      <c r="J1483" s="115" t="s">
        <v>92</v>
      </c>
      <c r="K1483" s="114" t="s">
        <v>93</v>
      </c>
      <c r="L1483" s="35" t="s">
        <v>2761</v>
      </c>
      <c r="M1483" s="35" t="s">
        <v>2762</v>
      </c>
      <c r="N1483" s="35" t="str" cm="1">
        <f t="array" ref="N1483">IFERROR(IF(Tabla8[[#This Row],[P/NP]]="NO PROGRAMADA","",_xlfn.TEXTJOIN(", ",TRUE,_xlfn._xlws.FILTER(Tabla4[[#All],[PIEZA]],ISNUMBER(SEARCH(Tabla4[[#All],[PCLAVE]],Tabla8[[#This Row],[DESCRIPCION DE TRABAJO]])),""))),"")</f>
        <v/>
      </c>
      <c r="O1483" s="35" t="str" cm="1">
        <f t="array" ref="O1483">_xlfn.TEXTJOIN(", ",TRUE,_xlfn._xlws.FILTER(Tabla28[[#All],[PARTE]],ISNUMBER(SEARCH(Tabla28[[#All],[PCLAVE2]],Tabla8[[#This Row],[DESCRIPCION DE TRABAJO]])),""))</f>
        <v/>
      </c>
      <c r="P1483" s="303" t="str">
        <f>IFERROR(LEFT(O1483, FIND(",", O1483)-1), O1483)</f>
        <v/>
      </c>
      <c r="Q1483" s="303" t="str">
        <f>IFERROR(IF(ISERROR(FIND(",", O1483, FIND(",", O1483)+1)), RIGHT(O1483, LEN(O1483)-FIND(",", O1483)-1), MID(O1483, FIND(",", O1483)+2, FIND(",", O1483, FIND(",", O1483)+1)-FIND(",", O1483)-2)), "")</f>
        <v/>
      </c>
      <c r="R1483" s="303" t="str">
        <f>IFERROR(RIGHT(O1483, LEN(O1483)-FIND(",", O1483, FIND(",", O1483)+1)-1), "")</f>
        <v/>
      </c>
      <c r="S1483" s="35" t="str" cm="1">
        <f t="array" ref="S1483">_xlfn.TEXTJOIN(", ",TRUE,_xlfn._xlws.FILTER(Tabla29[[#All],[PARTE]],ISNUMBER(SEARCH(Tabla29[[#All],[PCLAVE3]],Tabla8[[#This Row],[DESCRIPCION DE TRABAJO]])),""))</f>
        <v/>
      </c>
      <c r="T1483" s="34" t="str">
        <f>IF(AND(Tabla8[[#This Row],[PIEZA]]="",Tabla8[[#This Row],[PARTE]]=""),"VACIO","OK")</f>
        <v>VACIO</v>
      </c>
      <c r="U1483" s="303" t="str">
        <f>+CONCATENATE(WEEKNUM(Tabla8[[#This Row],[FECHA]]),"-",YEAR(Tabla8[[#This Row],[FECHA]]))</f>
        <v>22-2026</v>
      </c>
    </row>
    <row r="1484" spans="1:21" ht="15" customHeight="1">
      <c r="A1484" s="22">
        <v>46168</v>
      </c>
      <c r="B1484" s="16" t="s">
        <v>191</v>
      </c>
      <c r="C1484" s="10" t="s">
        <v>39</v>
      </c>
      <c r="D1484" s="381">
        <v>0.89861111111111114</v>
      </c>
      <c r="E1484" s="381">
        <v>0.91597222222222219</v>
      </c>
      <c r="F1484" s="380">
        <f>+MOD(Tabla8[[#This Row],[HR. FIN]]-Tabla8[[#This Row],[HR. INICIO]],1)</f>
        <v>1.7361111111111049E-2</v>
      </c>
      <c r="G1484" s="16" t="s">
        <v>119</v>
      </c>
      <c r="H1484" s="343" t="str">
        <f>IFERROR(VLOOKUP(G1484,DATOS!$M$2:$N$219,2,FALSE),"")</f>
        <v>Maquinaria</v>
      </c>
      <c r="I1484" s="115" t="s">
        <v>32</v>
      </c>
      <c r="J1484" s="115" t="s">
        <v>157</v>
      </c>
      <c r="K1484" s="114"/>
      <c r="L1484" s="35" t="s">
        <v>2763</v>
      </c>
      <c r="M1484" s="35" t="s">
        <v>121</v>
      </c>
      <c r="N1484" s="35" t="str" cm="1">
        <f t="array" ref="N1484">IFERROR(IF(Tabla8[[#This Row],[P/NP]]="NO PROGRAMADA","",_xlfn.TEXTJOIN(", ",TRUE,_xlfn._xlws.FILTER(Tabla4[[#All],[PIEZA]],ISNUMBER(SEARCH(Tabla4[[#All],[PCLAVE]],Tabla8[[#This Row],[DESCRIPCION DE TRABAJO]])),""))),"")</f>
        <v/>
      </c>
      <c r="O1484" s="35" t="str" cm="1">
        <f t="array" ref="O1484">_xlfn.TEXTJOIN(", ",TRUE,_xlfn._xlws.FILTER(Tabla28[[#All],[PARTE]],ISNUMBER(SEARCH(Tabla28[[#All],[PCLAVE2]],Tabla8[[#This Row],[DESCRIPCION DE TRABAJO]])),""))</f>
        <v/>
      </c>
      <c r="P1484" s="303" t="str">
        <f>IFERROR(LEFT(O1484, FIND(",", O1484)-1), O1484)</f>
        <v/>
      </c>
      <c r="Q1484" s="303" t="str">
        <f>IFERROR(IF(ISERROR(FIND(",", O1484, FIND(",", O1484)+1)), RIGHT(O1484, LEN(O1484)-FIND(",", O1484)-1), MID(O1484, FIND(",", O1484)+2, FIND(",", O1484, FIND(",", O1484)+1)-FIND(",", O1484)-2)), "")</f>
        <v/>
      </c>
      <c r="R1484" s="303" t="str">
        <f>IFERROR(RIGHT(O1484, LEN(O1484)-FIND(",", O1484, FIND(",", O1484)+1)-1), "")</f>
        <v/>
      </c>
      <c r="S1484" s="35" t="str" cm="1">
        <f t="array" ref="S1484">_xlfn.TEXTJOIN(", ",TRUE,_xlfn._xlws.FILTER(Tabla29[[#All],[PARTE]],ISNUMBER(SEARCH(Tabla29[[#All],[PCLAVE3]],Tabla8[[#This Row],[DESCRIPCION DE TRABAJO]])),""))</f>
        <v>Cambio De Formato</v>
      </c>
      <c r="T1484" s="34" t="str">
        <f>IF(AND(Tabla8[[#This Row],[PIEZA]]="",Tabla8[[#This Row],[PARTE]]=""),"VACIO","OK")</f>
        <v>VACIO</v>
      </c>
      <c r="U1484" s="303" t="str">
        <f>+CONCATENATE(WEEKNUM(Tabla8[[#This Row],[FECHA]]),"-",YEAR(Tabla8[[#This Row],[FECHA]]))</f>
        <v>22-2026</v>
      </c>
    </row>
    <row r="1485" spans="1:21" ht="15" customHeight="1">
      <c r="A1485" s="22">
        <v>46168</v>
      </c>
      <c r="B1485" s="16" t="s">
        <v>191</v>
      </c>
      <c r="C1485" s="10" t="s">
        <v>39</v>
      </c>
      <c r="D1485" s="381">
        <v>0.94722222222222219</v>
      </c>
      <c r="E1485" s="381">
        <v>0.96319444444444446</v>
      </c>
      <c r="F1485" s="380">
        <f>+MOD(Tabla8[[#This Row],[HR. FIN]]-Tabla8[[#This Row],[HR. INICIO]],1)</f>
        <v>1.5972222222222276E-2</v>
      </c>
      <c r="G1485" s="16" t="s">
        <v>153</v>
      </c>
      <c r="H1485" s="343" t="str">
        <f>IFERROR(VLOOKUP(G1485,DATOS!$M$2:$N$219,2,FALSE),"")</f>
        <v>Maquinaria</v>
      </c>
      <c r="I1485" s="115" t="s">
        <v>57</v>
      </c>
      <c r="J1485" s="115" t="s">
        <v>92</v>
      </c>
      <c r="K1485" s="114" t="s">
        <v>93</v>
      </c>
      <c r="L1485" s="35" t="s">
        <v>2764</v>
      </c>
      <c r="M1485" s="35" t="s">
        <v>2765</v>
      </c>
      <c r="N1485" s="35" t="str" cm="1">
        <f t="array" ref="N1485">IFERROR(IF(Tabla8[[#This Row],[P/NP]]="NO PROGRAMADA","",_xlfn.TEXTJOIN(", ",TRUE,_xlfn._xlws.FILTER(Tabla4[[#All],[PIEZA]],ISNUMBER(SEARCH(Tabla4[[#All],[PCLAVE]],Tabla8[[#This Row],[DESCRIPCION DE TRABAJO]])),""))),"")</f>
        <v/>
      </c>
      <c r="O1485" s="35" t="str" cm="1">
        <f t="array" ref="O1485">_xlfn.TEXTJOIN(", ",TRUE,_xlfn._xlws.FILTER(Tabla28[[#All],[PARTE]],ISNUMBER(SEARCH(Tabla28[[#All],[PCLAVE2]],Tabla8[[#This Row],[DESCRIPCION DE TRABAJO]])),""))</f>
        <v/>
      </c>
      <c r="P1485" s="303" t="str">
        <f>IFERROR(LEFT(O1485, FIND(",", O1485)-1), O1485)</f>
        <v/>
      </c>
      <c r="Q1485" s="303" t="str">
        <f>IFERROR(IF(ISERROR(FIND(",", O1485, FIND(",", O1485)+1)), RIGHT(O1485, LEN(O1485)-FIND(",", O1485)-1), MID(O1485, FIND(",", O1485)+2, FIND(",", O1485, FIND(",", O1485)+1)-FIND(",", O1485)-2)), "")</f>
        <v/>
      </c>
      <c r="R1485" s="303" t="str">
        <f>IFERROR(RIGHT(O1485, LEN(O1485)-FIND(",", O1485, FIND(",", O1485)+1)-1), "")</f>
        <v/>
      </c>
      <c r="S1485" s="35" t="str" cm="1">
        <f t="array" ref="S1485">_xlfn.TEXTJOIN(", ",TRUE,_xlfn._xlws.FILTER(Tabla29[[#All],[PARTE]],ISNUMBER(SEARCH(Tabla29[[#All],[PCLAVE3]],Tabla8[[#This Row],[DESCRIPCION DE TRABAJO]])),""))</f>
        <v/>
      </c>
      <c r="T1485" s="34" t="str">
        <f>IF(AND(Tabla8[[#This Row],[PIEZA]]="",Tabla8[[#This Row],[PARTE]]=""),"VACIO","OK")</f>
        <v>VACIO</v>
      </c>
      <c r="U1485" s="303" t="str">
        <f>+CONCATENATE(WEEKNUM(Tabla8[[#This Row],[FECHA]]),"-",YEAR(Tabla8[[#This Row],[FECHA]]))</f>
        <v>22-2026</v>
      </c>
    </row>
    <row r="1486" spans="1:21" ht="15" customHeight="1">
      <c r="A1486" s="22">
        <v>46168</v>
      </c>
      <c r="B1486" s="16" t="s">
        <v>179</v>
      </c>
      <c r="C1486" s="10" t="s">
        <v>23</v>
      </c>
      <c r="D1486" s="381">
        <v>0.75694444444444442</v>
      </c>
      <c r="E1486" s="381">
        <v>0.77083333333333337</v>
      </c>
      <c r="F1486" s="380">
        <f>+MOD(Tabla8[[#This Row],[HR. FIN]]-Tabla8[[#This Row],[HR. INICIO]],1)</f>
        <v>1.3888888888888951E-2</v>
      </c>
      <c r="G1486" s="16" t="s">
        <v>119</v>
      </c>
      <c r="H1486" s="343" t="str">
        <f>IFERROR(VLOOKUP(G1486,DATOS!$M$2:$N$219,2,FALSE),"")</f>
        <v>Maquinaria</v>
      </c>
      <c r="I1486" s="115" t="s">
        <v>54</v>
      </c>
      <c r="J1486" s="115" t="s">
        <v>157</v>
      </c>
      <c r="K1486" s="114"/>
      <c r="L1486" s="35" t="s">
        <v>2766</v>
      </c>
      <c r="M1486" s="35" t="s">
        <v>121</v>
      </c>
      <c r="N1486" s="35" t="str" cm="1">
        <f t="array" ref="N1486">IFERROR(IF(Tabla8[[#This Row],[P/NP]]="NO PROGRAMADA","",_xlfn.TEXTJOIN(", ",TRUE,_xlfn._xlws.FILTER(Tabla4[[#All],[PIEZA]],ISNUMBER(SEARCH(Tabla4[[#All],[PCLAVE]],Tabla8[[#This Row],[DESCRIPCION DE TRABAJO]])),""))),"")</f>
        <v/>
      </c>
      <c r="O1486" s="35" t="str" cm="1">
        <f t="array" ref="O1486">_xlfn.TEXTJOIN(", ",TRUE,_xlfn._xlws.FILTER(Tabla28[[#All],[PARTE]],ISNUMBER(SEARCH(Tabla28[[#All],[PCLAVE2]],Tabla8[[#This Row],[DESCRIPCION DE TRABAJO]])),""))</f>
        <v>Temperadora</v>
      </c>
      <c r="P1486" s="303" t="str">
        <f>IFERROR(LEFT(O1486, FIND(",", O1486)-1), O1486)</f>
        <v>Temperadora</v>
      </c>
      <c r="Q1486" s="303" t="str">
        <f>IFERROR(IF(ISERROR(FIND(",", O1486, FIND(",", O1486)+1)), RIGHT(O1486, LEN(O1486)-FIND(",", O1486)-1), MID(O1486, FIND(",", O1486)+2, FIND(",", O1486, FIND(",", O1486)+1)-FIND(",", O1486)-2)), "")</f>
        <v/>
      </c>
      <c r="R1486" s="303" t="str">
        <f>IFERROR(RIGHT(O1486, LEN(O1486)-FIND(",", O1486, FIND(",", O1486)+1)-1), "")</f>
        <v/>
      </c>
      <c r="S1486" s="35" t="str" cm="1">
        <f t="array" ref="S1486">_xlfn.TEXTJOIN(", ",TRUE,_xlfn._xlws.FILTER(Tabla29[[#All],[PARTE]],ISNUMBER(SEARCH(Tabla29[[#All],[PCLAVE3]],Tabla8[[#This Row],[DESCRIPCION DE TRABAJO]])),""))</f>
        <v/>
      </c>
      <c r="T1486" s="34" t="str">
        <f>IF(AND(Tabla8[[#This Row],[PIEZA]]="",Tabla8[[#This Row],[PARTE]]=""),"VACIO","OK")</f>
        <v>OK</v>
      </c>
      <c r="U1486" s="303" t="str">
        <f>+CONCATENATE(WEEKNUM(Tabla8[[#This Row],[FECHA]]),"-",YEAR(Tabla8[[#This Row],[FECHA]]))</f>
        <v>22-2026</v>
      </c>
    </row>
    <row r="1487" spans="1:21" ht="15" customHeight="1">
      <c r="A1487" s="22">
        <v>46168</v>
      </c>
      <c r="B1487" s="16" t="s">
        <v>179</v>
      </c>
      <c r="C1487" s="10" t="s">
        <v>23</v>
      </c>
      <c r="D1487" s="381">
        <v>0.61111111111111116</v>
      </c>
      <c r="E1487" s="381">
        <v>0.625</v>
      </c>
      <c r="F1487" s="380">
        <f>+MOD(Tabla8[[#This Row],[HR. FIN]]-Tabla8[[#This Row],[HR. INICIO]],1)</f>
        <v>1.388888888888884E-2</v>
      </c>
      <c r="G1487" s="16" t="s">
        <v>182</v>
      </c>
      <c r="H1487" s="343" t="str">
        <f>IFERROR(VLOOKUP(G1487,DATOS!$M$2:$N$219,2,FALSE),"")</f>
        <v>Maquinaria</v>
      </c>
      <c r="I1487" s="115" t="s">
        <v>57</v>
      </c>
      <c r="J1487" s="115" t="s">
        <v>92</v>
      </c>
      <c r="K1487" s="114" t="s">
        <v>93</v>
      </c>
      <c r="L1487" s="35" t="s">
        <v>2767</v>
      </c>
      <c r="M1487" s="35" t="s">
        <v>2768</v>
      </c>
      <c r="N1487" s="35" t="str" cm="1">
        <f t="array" ref="N1487">IFERROR(IF(Tabla8[[#This Row],[P/NP]]="NO PROGRAMADA","",_xlfn.TEXTJOIN(", ",TRUE,_xlfn._xlws.FILTER(Tabla4[[#All],[PIEZA]],ISNUMBER(SEARCH(Tabla4[[#All],[PCLAVE]],Tabla8[[#This Row],[DESCRIPCION DE TRABAJO]])),""))),"")</f>
        <v/>
      </c>
      <c r="O1487" s="35" t="str" cm="1">
        <f t="array" ref="O1487">_xlfn.TEXTJOIN(", ",TRUE,_xlfn._xlws.FILTER(Tabla28[[#All],[PARTE]],ISNUMBER(SEARCH(Tabla28[[#All],[PCLAVE2]],Tabla8[[#This Row],[DESCRIPCION DE TRABAJO]])),""))</f>
        <v/>
      </c>
      <c r="P1487" s="303" t="str">
        <f>IFERROR(LEFT(O1487, FIND(",", O1487)-1), O1487)</f>
        <v/>
      </c>
      <c r="Q1487" s="303" t="str">
        <f>IFERROR(IF(ISERROR(FIND(",", O1487, FIND(",", O1487)+1)), RIGHT(O1487, LEN(O1487)-FIND(",", O1487)-1), MID(O1487, FIND(",", O1487)+2, FIND(",", O1487, FIND(",", O1487)+1)-FIND(",", O1487)-2)), "")</f>
        <v/>
      </c>
      <c r="R1487" s="303" t="str">
        <f>IFERROR(RIGHT(O1487, LEN(O1487)-FIND(",", O1487, FIND(",", O1487)+1)-1), "")</f>
        <v/>
      </c>
      <c r="S1487" s="35" t="str" cm="1">
        <f t="array" ref="S1487">_xlfn.TEXTJOIN(", ",TRUE,_xlfn._xlws.FILTER(Tabla29[[#All],[PARTE]],ISNUMBER(SEARCH(Tabla29[[#All],[PCLAVE3]],Tabla8[[#This Row],[DESCRIPCION DE TRABAJO]])),""))</f>
        <v>Cambio De Formato, No Sella</v>
      </c>
      <c r="T1487" s="34" t="str">
        <f>IF(AND(Tabla8[[#This Row],[PIEZA]]="",Tabla8[[#This Row],[PARTE]]=""),"VACIO","OK")</f>
        <v>VACIO</v>
      </c>
      <c r="U1487" s="303" t="str">
        <f>+CONCATENATE(WEEKNUM(Tabla8[[#This Row],[FECHA]]),"-",YEAR(Tabla8[[#This Row],[FECHA]]))</f>
        <v>22-2026</v>
      </c>
    </row>
    <row r="1488" spans="1:21" ht="15" customHeight="1">
      <c r="A1488" s="22">
        <v>46168</v>
      </c>
      <c r="B1488" s="16" t="s">
        <v>191</v>
      </c>
      <c r="C1488" s="10" t="s">
        <v>39</v>
      </c>
      <c r="D1488" s="381">
        <v>0.91666666666666663</v>
      </c>
      <c r="E1488" s="381">
        <v>0.92986111111111114</v>
      </c>
      <c r="F1488" s="380">
        <f>+MOD(Tabla8[[#This Row],[HR. FIN]]-Tabla8[[#This Row],[HR. INICIO]],1)</f>
        <v>1.3194444444444509E-2</v>
      </c>
      <c r="G1488" s="16" t="s">
        <v>153</v>
      </c>
      <c r="H1488" s="343" t="str">
        <f>IFERROR(VLOOKUP(G1488,DATOS!$M$2:$N$219,2,FALSE),"")</f>
        <v>Maquinaria</v>
      </c>
      <c r="I1488" s="115" t="s">
        <v>57</v>
      </c>
      <c r="J1488" s="115" t="s">
        <v>92</v>
      </c>
      <c r="K1488" s="114" t="s">
        <v>148</v>
      </c>
      <c r="L1488" s="35" t="s">
        <v>2769</v>
      </c>
      <c r="M1488" s="35" t="s">
        <v>2770</v>
      </c>
      <c r="N1488" s="35" t="str" cm="1">
        <f t="array" ref="N1488">IFERROR(IF(Tabla8[[#This Row],[P/NP]]="NO PROGRAMADA","",_xlfn.TEXTJOIN(", ",TRUE,_xlfn._xlws.FILTER(Tabla4[[#All],[PIEZA]],ISNUMBER(SEARCH(Tabla4[[#All],[PCLAVE]],Tabla8[[#This Row],[DESCRIPCION DE TRABAJO]])),""))),"")</f>
        <v/>
      </c>
      <c r="O1488" s="35" t="str" cm="1">
        <f t="array" ref="O1488">_xlfn.TEXTJOIN(", ",TRUE,_xlfn._xlws.FILTER(Tabla28[[#All],[PARTE]],ISNUMBER(SEARCH(Tabla28[[#All],[PCLAVE2]],Tabla8[[#This Row],[DESCRIPCION DE TRABAJO]])),""))</f>
        <v/>
      </c>
      <c r="P1488" s="303" t="str">
        <f>IFERROR(LEFT(O1488, FIND(",", O1488)-1), O1488)</f>
        <v/>
      </c>
      <c r="Q1488" s="303" t="str">
        <f>IFERROR(IF(ISERROR(FIND(",", O1488, FIND(",", O1488)+1)), RIGHT(O1488, LEN(O1488)-FIND(",", O1488)-1), MID(O1488, FIND(",", O1488)+2, FIND(",", O1488, FIND(",", O1488)+1)-FIND(",", O1488)-2)), "")</f>
        <v/>
      </c>
      <c r="R1488" s="303" t="str">
        <f>IFERROR(RIGHT(O1488, LEN(O1488)-FIND(",", O1488, FIND(",", O1488)+1)-1), "")</f>
        <v/>
      </c>
      <c r="S1488" s="35" t="str" cm="1">
        <f t="array" ref="S1488">_xlfn.TEXTJOIN(", ",TRUE,_xlfn._xlws.FILTER(Tabla29[[#All],[PARTE]],ISNUMBER(SEARCH(Tabla29[[#All],[PCLAVE3]],Tabla8[[#This Row],[DESCRIPCION DE TRABAJO]])),""))</f>
        <v>Demora</v>
      </c>
      <c r="T1488" s="34" t="str">
        <f>IF(AND(Tabla8[[#This Row],[PIEZA]]="",Tabla8[[#This Row],[PARTE]]=""),"VACIO","OK")</f>
        <v>VACIO</v>
      </c>
      <c r="U1488" s="303" t="str">
        <f>+CONCATENATE(WEEKNUM(Tabla8[[#This Row],[FECHA]]),"-",YEAR(Tabla8[[#This Row],[FECHA]]))</f>
        <v>22-2026</v>
      </c>
    </row>
    <row r="1489" spans="1:21" ht="15" customHeight="1">
      <c r="A1489" s="22">
        <v>46168</v>
      </c>
      <c r="B1489" s="16" t="s">
        <v>191</v>
      </c>
      <c r="C1489" s="10" t="s">
        <v>39</v>
      </c>
      <c r="D1489" s="381">
        <v>0.96388888888888891</v>
      </c>
      <c r="E1489" s="381">
        <v>0.97638888888888886</v>
      </c>
      <c r="F1489" s="380">
        <f>+MOD(Tabla8[[#This Row],[HR. FIN]]-Tabla8[[#This Row],[HR. INICIO]],1)</f>
        <v>1.2499999999999956E-2</v>
      </c>
      <c r="G1489" s="16" t="s">
        <v>554</v>
      </c>
      <c r="H1489" s="343" t="str">
        <f>IFERROR(VLOOKUP(G1489,DATOS!$M$2:$N$219,2,FALSE),"")</f>
        <v>Maquinaria</v>
      </c>
      <c r="I1489" s="115" t="s">
        <v>61</v>
      </c>
      <c r="J1489" s="115" t="s">
        <v>92</v>
      </c>
      <c r="K1489" s="114" t="s">
        <v>148</v>
      </c>
      <c r="L1489" s="35" t="s">
        <v>2771</v>
      </c>
      <c r="M1489" s="35" t="s">
        <v>2772</v>
      </c>
      <c r="N1489" s="35" t="str" cm="1">
        <f t="array" ref="N1489">IFERROR(IF(Tabla8[[#This Row],[P/NP]]="NO PROGRAMADA","",_xlfn.TEXTJOIN(", ",TRUE,_xlfn._xlws.FILTER(Tabla4[[#All],[PIEZA]],ISNUMBER(SEARCH(Tabla4[[#All],[PCLAVE]],Tabla8[[#This Row],[DESCRIPCION DE TRABAJO]])),""))),"")</f>
        <v/>
      </c>
      <c r="O1489" s="35" t="str" cm="1">
        <f t="array" ref="O1489">_xlfn.TEXTJOIN(", ",TRUE,_xlfn._xlws.FILTER(Tabla28[[#All],[PARTE]],ISNUMBER(SEARCH(Tabla28[[#All],[PCLAVE2]],Tabla8[[#This Row],[DESCRIPCION DE TRABAJO]])),""))</f>
        <v/>
      </c>
      <c r="P1489" s="303" t="str">
        <f>IFERROR(LEFT(O1489, FIND(",", O1489)-1), O1489)</f>
        <v/>
      </c>
      <c r="Q1489" s="303" t="str">
        <f>IFERROR(IF(ISERROR(FIND(",", O1489, FIND(",", O1489)+1)), RIGHT(O1489, LEN(O1489)-FIND(",", O1489)-1), MID(O1489, FIND(",", O1489)+2, FIND(",", O1489, FIND(",", O1489)+1)-FIND(",", O1489)-2)), "")</f>
        <v/>
      </c>
      <c r="R1489" s="303" t="str">
        <f>IFERROR(RIGHT(O1489, LEN(O1489)-FIND(",", O1489, FIND(",", O1489)+1)-1), "")</f>
        <v/>
      </c>
      <c r="S1489" s="35" t="str" cm="1">
        <f t="array" ref="S1489">_xlfn.TEXTJOIN(", ",TRUE,_xlfn._xlws.FILTER(Tabla29[[#All],[PARTE]],ISNUMBER(SEARCH(Tabla29[[#All],[PCLAVE3]],Tabla8[[#This Row],[DESCRIPCION DE TRABAJO]])),""))</f>
        <v>Borrosa, Falla De Presion, Incompleto</v>
      </c>
      <c r="T1489" s="34" t="str">
        <f>IF(AND(Tabla8[[#This Row],[PIEZA]]="",Tabla8[[#This Row],[PARTE]]=""),"VACIO","OK")</f>
        <v>VACIO</v>
      </c>
      <c r="U1489" s="303" t="str">
        <f>+CONCATENATE(WEEKNUM(Tabla8[[#This Row],[FECHA]]),"-",YEAR(Tabla8[[#This Row],[FECHA]]))</f>
        <v>22-2026</v>
      </c>
    </row>
    <row r="1490" spans="1:21" ht="15" customHeight="1">
      <c r="A1490" s="22">
        <v>46168</v>
      </c>
      <c r="B1490" s="16" t="s">
        <v>179</v>
      </c>
      <c r="C1490" s="10" t="s">
        <v>23</v>
      </c>
      <c r="D1490" s="381">
        <v>0.62847222222222221</v>
      </c>
      <c r="E1490" s="381">
        <v>0.63888888888888884</v>
      </c>
      <c r="F1490" s="380">
        <f>+MOD(Tabla8[[#This Row],[HR. FIN]]-Tabla8[[#This Row],[HR. INICIO]],1)</f>
        <v>1.041666666666663E-2</v>
      </c>
      <c r="G1490" s="16" t="s">
        <v>140</v>
      </c>
      <c r="H1490" s="343" t="str">
        <f>IFERROR(VLOOKUP(G1490,DATOS!$M$2:$N$219,2,FALSE),"")</f>
        <v>Maquinaria</v>
      </c>
      <c r="I1490" s="115" t="s">
        <v>186</v>
      </c>
      <c r="J1490" s="115" t="s">
        <v>92</v>
      </c>
      <c r="K1490" s="114" t="s">
        <v>93</v>
      </c>
      <c r="L1490" s="35" t="s">
        <v>2773</v>
      </c>
      <c r="M1490" s="35" t="s">
        <v>2774</v>
      </c>
      <c r="N1490" s="35" t="str" cm="1">
        <f t="array" ref="N1490">IFERROR(IF(Tabla8[[#This Row],[P/NP]]="NO PROGRAMADA","",_xlfn.TEXTJOIN(", ",TRUE,_xlfn._xlws.FILTER(Tabla4[[#All],[PIEZA]],ISNUMBER(SEARCH(Tabla4[[#All],[PCLAVE]],Tabla8[[#This Row],[DESCRIPCION DE TRABAJO]])),""))),"")</f>
        <v/>
      </c>
      <c r="O1490" s="35" t="str" cm="1">
        <f t="array" ref="O1490">_xlfn.TEXTJOIN(", ",TRUE,_xlfn._xlws.FILTER(Tabla28[[#All],[PARTE]],ISNUMBER(SEARCH(Tabla28[[#All],[PCLAVE2]],Tabla8[[#This Row],[DESCRIPCION DE TRABAJO]])),""))</f>
        <v/>
      </c>
      <c r="P1490" s="303" t="str">
        <f>IFERROR(LEFT(O1490, FIND(",", O1490)-1), O1490)</f>
        <v/>
      </c>
      <c r="Q1490" s="303" t="str">
        <f>IFERROR(IF(ISERROR(FIND(",", O1490, FIND(",", O1490)+1)), RIGHT(O1490, LEN(O1490)-FIND(",", O1490)-1), MID(O1490, FIND(",", O1490)+2, FIND(",", O1490, FIND(",", O1490)+1)-FIND(",", O1490)-2)), "")</f>
        <v/>
      </c>
      <c r="R1490" s="303" t="str">
        <f>IFERROR(RIGHT(O1490, LEN(O1490)-FIND(",", O1490, FIND(",", O1490)+1)-1), "")</f>
        <v/>
      </c>
      <c r="S1490" s="35" t="str" cm="1">
        <f t="array" ref="S1490">_xlfn.TEXTJOIN(", ",TRUE,_xlfn._xlws.FILTER(Tabla29[[#All],[PARTE]],ISNUMBER(SEARCH(Tabla29[[#All],[PCLAVE3]],Tabla8[[#This Row],[DESCRIPCION DE TRABAJO]])),""))</f>
        <v>Rotura</v>
      </c>
      <c r="T1490" s="34" t="str">
        <f>IF(AND(Tabla8[[#This Row],[PIEZA]]="",Tabla8[[#This Row],[PARTE]]=""),"VACIO","OK")</f>
        <v>VACIO</v>
      </c>
      <c r="U1490" s="303" t="str">
        <f>+CONCATENATE(WEEKNUM(Tabla8[[#This Row],[FECHA]]),"-",YEAR(Tabla8[[#This Row],[FECHA]]))</f>
        <v>22-2026</v>
      </c>
    </row>
    <row r="1491" spans="1:21" ht="15" customHeight="1">
      <c r="A1491" s="22">
        <v>46168</v>
      </c>
      <c r="B1491" s="16" t="s">
        <v>191</v>
      </c>
      <c r="C1491" s="10" t="s">
        <v>39</v>
      </c>
      <c r="D1491" s="381">
        <v>0.88749999999999996</v>
      </c>
      <c r="E1491" s="381">
        <v>0.89722222222222225</v>
      </c>
      <c r="F1491" s="380">
        <f>+MOD(Tabla8[[#This Row],[HR. FIN]]-Tabla8[[#This Row],[HR. INICIO]],1)</f>
        <v>9.7222222222222987E-3</v>
      </c>
      <c r="G1491" s="16" t="s">
        <v>215</v>
      </c>
      <c r="H1491" s="343" t="str">
        <f>IFERROR(VLOOKUP(G1491,DATOS!$M$2:$N$219,2,FALSE),"")</f>
        <v>Equipos auxiliares</v>
      </c>
      <c r="I1491" s="115" t="s">
        <v>54</v>
      </c>
      <c r="J1491" s="115" t="s">
        <v>157</v>
      </c>
      <c r="K1491" s="114"/>
      <c r="L1491" s="35" t="s">
        <v>1751</v>
      </c>
      <c r="M1491" s="35" t="s">
        <v>121</v>
      </c>
      <c r="N1491" s="35" t="str" cm="1">
        <f t="array" ref="N1491">IFERROR(IF(Tabla8[[#This Row],[P/NP]]="NO PROGRAMADA","",_xlfn.TEXTJOIN(", ",TRUE,_xlfn._xlws.FILTER(Tabla4[[#All],[PIEZA]],ISNUMBER(SEARCH(Tabla4[[#All],[PCLAVE]],Tabla8[[#This Row],[DESCRIPCION DE TRABAJO]])),""))),"")</f>
        <v/>
      </c>
      <c r="O1491" s="35" t="str" cm="1">
        <f t="array" ref="O1491">_xlfn.TEXTJOIN(", ",TRUE,_xlfn._xlws.FILTER(Tabla28[[#All],[PARTE]],ISNUMBER(SEARCH(Tabla28[[#All],[PCLAVE2]],Tabla8[[#This Row],[DESCRIPCION DE TRABAJO]])),""))</f>
        <v/>
      </c>
      <c r="P1491" s="303" t="str">
        <f>IFERROR(LEFT(O1491, FIND(",", O1491)-1), O1491)</f>
        <v/>
      </c>
      <c r="Q1491" s="303" t="str">
        <f>IFERROR(IF(ISERROR(FIND(",", O1491, FIND(",", O1491)+1)), RIGHT(O1491, LEN(O1491)-FIND(",", O1491)-1), MID(O1491, FIND(",", O1491)+2, FIND(",", O1491, FIND(",", O1491)+1)-FIND(",", O1491)-2)), "")</f>
        <v/>
      </c>
      <c r="R1491" s="303" t="str">
        <f>IFERROR(RIGHT(O1491, LEN(O1491)-FIND(",", O1491, FIND(",", O1491)+1)-1), "")</f>
        <v/>
      </c>
      <c r="S1491" s="35" t="str" cm="1">
        <f t="array" ref="S1491">_xlfn.TEXTJOIN(", ",TRUE,_xlfn._xlws.FILTER(Tabla29[[#All],[PARTE]],ISNUMBER(SEARCH(Tabla29[[#All],[PCLAVE3]],Tabla8[[#This Row],[DESCRIPCION DE TRABAJO]])),""))</f>
        <v/>
      </c>
      <c r="T1491" s="34" t="str">
        <f>IF(AND(Tabla8[[#This Row],[PIEZA]]="",Tabla8[[#This Row],[PARTE]]=""),"VACIO","OK")</f>
        <v>VACIO</v>
      </c>
      <c r="U1491" s="303" t="str">
        <f>+CONCATENATE(WEEKNUM(Tabla8[[#This Row],[FECHA]]),"-",YEAR(Tabla8[[#This Row],[FECHA]]))</f>
        <v>22-2026</v>
      </c>
    </row>
    <row r="1492" spans="1:21" ht="15" customHeight="1">
      <c r="A1492" s="22">
        <v>46168</v>
      </c>
      <c r="B1492" s="16" t="s">
        <v>191</v>
      </c>
      <c r="C1492" s="10" t="s">
        <v>39</v>
      </c>
      <c r="D1492" s="381">
        <v>0.93819444444444444</v>
      </c>
      <c r="E1492" s="381">
        <v>0.94652777777777775</v>
      </c>
      <c r="F1492" s="380">
        <f>+MOD(Tabla8[[#This Row],[HR. FIN]]-Tabla8[[#This Row],[HR. INICIO]],1)</f>
        <v>8.3333333333333037E-3</v>
      </c>
      <c r="G1492" s="16" t="s">
        <v>169</v>
      </c>
      <c r="H1492" s="343" t="str">
        <f>IFERROR(VLOOKUP(G1492,DATOS!$M$2:$N$219,2,FALSE),"")</f>
        <v>Maquinaria</v>
      </c>
      <c r="I1492" s="115" t="s">
        <v>32</v>
      </c>
      <c r="J1492" s="115" t="s">
        <v>157</v>
      </c>
      <c r="K1492" s="114"/>
      <c r="L1492" s="35" t="s">
        <v>76</v>
      </c>
      <c r="M1492" s="35" t="s">
        <v>121</v>
      </c>
      <c r="N1492" s="35" t="str" cm="1">
        <f t="array" ref="N1492">IFERROR(IF(Tabla8[[#This Row],[P/NP]]="NO PROGRAMADA","",_xlfn.TEXTJOIN(", ",TRUE,_xlfn._xlws.FILTER(Tabla4[[#All],[PIEZA]],ISNUMBER(SEARCH(Tabla4[[#All],[PCLAVE]],Tabla8[[#This Row],[DESCRIPCION DE TRABAJO]])),""))),"")</f>
        <v/>
      </c>
      <c r="O1492" s="35" t="str" cm="1">
        <f t="array" ref="O1492">_xlfn.TEXTJOIN(", ",TRUE,_xlfn._xlws.FILTER(Tabla28[[#All],[PARTE]],ISNUMBER(SEARCH(Tabla28[[#All],[PCLAVE2]],Tabla8[[#This Row],[DESCRIPCION DE TRABAJO]])),""))</f>
        <v/>
      </c>
      <c r="P1492" s="303" t="str">
        <f>IFERROR(LEFT(O1492, FIND(",", O1492)-1), O1492)</f>
        <v/>
      </c>
      <c r="Q1492" s="303" t="str">
        <f>IFERROR(IF(ISERROR(FIND(",", O1492, FIND(",", O1492)+1)), RIGHT(O1492, LEN(O1492)-FIND(",", O1492)-1), MID(O1492, FIND(",", O1492)+2, FIND(",", O1492, FIND(",", O1492)+1)-FIND(",", O1492)-2)), "")</f>
        <v/>
      </c>
      <c r="R1492" s="303" t="str">
        <f>IFERROR(RIGHT(O1492, LEN(O1492)-FIND(",", O1492, FIND(",", O1492)+1)-1), "")</f>
        <v/>
      </c>
      <c r="S1492" s="35" t="str" cm="1">
        <f t="array" ref="S1492">_xlfn.TEXTJOIN(", ",TRUE,_xlfn._xlws.FILTER(Tabla29[[#All],[PARTE]],ISNUMBER(SEARCH(Tabla29[[#All],[PCLAVE3]],Tabla8[[#This Row],[DESCRIPCION DE TRABAJO]])),""))</f>
        <v/>
      </c>
      <c r="T1492" s="34" t="str">
        <f>IF(AND(Tabla8[[#This Row],[PIEZA]]="",Tabla8[[#This Row],[PARTE]]=""),"VACIO","OK")</f>
        <v>VACIO</v>
      </c>
      <c r="U1492" s="303" t="str">
        <f>+CONCATENATE(WEEKNUM(Tabla8[[#This Row],[FECHA]]),"-",YEAR(Tabla8[[#This Row],[FECHA]]))</f>
        <v>22-2026</v>
      </c>
    </row>
    <row r="1493" spans="1:21" ht="15" customHeight="1">
      <c r="A1493" s="22">
        <v>46169</v>
      </c>
      <c r="B1493" s="16" t="s">
        <v>179</v>
      </c>
      <c r="C1493" s="10" t="s">
        <v>36</v>
      </c>
      <c r="D1493" s="381">
        <v>0.20833333333333334</v>
      </c>
      <c r="E1493" s="381">
        <v>0.47291666666666665</v>
      </c>
      <c r="F1493" s="380">
        <f>+MOD(Tabla8[[#This Row],[HR. FIN]]-Tabla8[[#This Row],[HR. INICIO]],1)</f>
        <v>0.26458333333333328</v>
      </c>
      <c r="G1493" s="16" t="s">
        <v>24</v>
      </c>
      <c r="H1493" s="79" t="str">
        <f>IFERROR(VLOOKUP(G1493,DATOS!$M$2:$N$219,2,FALSE),"")</f>
        <v>Maquinaria</v>
      </c>
      <c r="I1493" s="115" t="s">
        <v>57</v>
      </c>
      <c r="J1493" s="115" t="str">
        <f>+VLOOKUP($I1493,Tabla7[#All],2,FALSE)</f>
        <v>NO PROGRAMADA</v>
      </c>
      <c r="K1493" s="114" t="str">
        <f>IF(VLOOKUP(I1493,Tabla7[#All],3,FALSE)=0,"",VLOOKUP(I1493,Tabla7[#All],3,FALSE))</f>
        <v>MECÁNICA</v>
      </c>
      <c r="L1493" s="35" t="s">
        <v>2775</v>
      </c>
      <c r="M1493" s="35" t="s">
        <v>2776</v>
      </c>
      <c r="N1493" s="35" t="str" cm="1">
        <f t="array" ref="N1493">IFERROR(IF(Tabla8[[#This Row],[P/NP]]="NO PROGRAMADA","",_xlfn.TEXTJOIN(", ",TRUE,_xlfn._xlws.FILTER(Tabla4[[#All],[PIEZA]],ISNUMBER(SEARCH(Tabla4[[#All],[PCLAVE]],Tabla8[[#This Row],[DESCRIPCION DE TRABAJO]])),""))),"")</f>
        <v/>
      </c>
      <c r="O1493" s="35" t="str" cm="1">
        <f t="array" ref="O1493">_xlfn.TEXTJOIN(", ",TRUE,_xlfn._xlws.FILTER(Tabla28[[#All],[PARTE]],ISNUMBER(SEARCH(Tabla28[[#All],[PCLAVE2]],Tabla8[[#This Row],[DESCRIPCION DE TRABAJO]])),""))</f>
        <v/>
      </c>
      <c r="P1493" s="303" t="str">
        <f>IFERROR(LEFT(O1493, FIND(",", O1493)-1), O1493)</f>
        <v/>
      </c>
      <c r="Q1493" s="303" t="str">
        <f>IFERROR(IF(ISERROR(FIND(",", O1493, FIND(",", O1493)+1)), RIGHT(O1493, LEN(O1493)-FIND(",", O1493)-1), MID(O1493, FIND(",", O1493)+2, FIND(",", O1493, FIND(",", O1493)+1)-FIND(",", O1493)-2)), "")</f>
        <v/>
      </c>
      <c r="R1493" s="303" t="str">
        <f>IFERROR(RIGHT(O1493, LEN(O1493)-FIND(",", O1493, FIND(",", O1493)+1)-1), "")</f>
        <v/>
      </c>
      <c r="S1493" s="35" t="str" cm="1">
        <f t="array" ref="S1493">_xlfn.TEXTJOIN(", ",TRUE,_xlfn._xlws.FILTER(Tabla29[[#All],[PARTE]],ISNUMBER(SEARCH(Tabla29[[#All],[PCLAVE3]],Tabla8[[#This Row],[DESCRIPCION DE TRABAJO]])),""))</f>
        <v>Arrugado</v>
      </c>
      <c r="T1493" s="34" t="str">
        <f>IF(AND(Tabla8[[#This Row],[PIEZA]]="",Tabla8[[#This Row],[PARTE]]=""),"VACIO","OK")</f>
        <v>VACIO</v>
      </c>
      <c r="U1493" s="303" t="str">
        <f>+CONCATENATE(WEEKNUM(Tabla8[[#This Row],[FECHA]]),"-",YEAR(Tabla8[[#This Row],[FECHA]]))</f>
        <v>22-2026</v>
      </c>
    </row>
    <row r="1494" spans="1:21" ht="15" customHeight="1">
      <c r="A1494" s="22">
        <v>46169</v>
      </c>
      <c r="B1494" s="16" t="s">
        <v>111</v>
      </c>
      <c r="C1494" s="10" t="s">
        <v>36</v>
      </c>
      <c r="D1494" s="381" t="s">
        <v>123</v>
      </c>
      <c r="E1494" s="381" t="s">
        <v>556</v>
      </c>
      <c r="F1494" s="380">
        <f>+MOD(Tabla8[[#This Row],[HR. FIN]]-Tabla8[[#This Row],[HR. INICIO]],1)</f>
        <v>8.3333333333333315E-2</v>
      </c>
      <c r="G1494" s="16" t="s">
        <v>182</v>
      </c>
      <c r="H1494" s="343" t="str">
        <f>IFERROR(VLOOKUP(G1494,DATOS!$M$2:$N$219,2,FALSE),"")</f>
        <v>Maquinaria</v>
      </c>
      <c r="I1494" s="115" t="s">
        <v>32</v>
      </c>
      <c r="J1494" s="115" t="s">
        <v>157</v>
      </c>
      <c r="K1494" s="114"/>
      <c r="L1494" s="35" t="s">
        <v>2777</v>
      </c>
      <c r="M1494" s="35" t="s">
        <v>121</v>
      </c>
      <c r="N1494" s="35" t="str" cm="1">
        <f t="array" ref="N1494">IFERROR(IF(Tabla8[[#This Row],[P/NP]]="NO PROGRAMADA","",_xlfn.TEXTJOIN(", ",TRUE,_xlfn._xlws.FILTER(Tabla4[[#All],[PIEZA]],ISNUMBER(SEARCH(Tabla4[[#All],[PCLAVE]],Tabla8[[#This Row],[DESCRIPCION DE TRABAJO]])),""))),"")</f>
        <v/>
      </c>
      <c r="O1494" s="35" t="str" cm="1">
        <f t="array" ref="O1494">_xlfn.TEXTJOIN(", ",TRUE,_xlfn._xlws.FILTER(Tabla28[[#All],[PARTE]],ISNUMBER(SEARCH(Tabla28[[#All],[PCLAVE2]],Tabla8[[#This Row],[DESCRIPCION DE TRABAJO]])),""))</f>
        <v/>
      </c>
      <c r="P1494" s="303" t="str">
        <f>IFERROR(LEFT(O1494, FIND(",", O1494)-1), O1494)</f>
        <v/>
      </c>
      <c r="Q1494" s="303" t="str">
        <f>IFERROR(IF(ISERROR(FIND(",", O1494, FIND(",", O1494)+1)), RIGHT(O1494, LEN(O1494)-FIND(",", O1494)-1), MID(O1494, FIND(",", O1494)+2, FIND(",", O1494, FIND(",", O1494)+1)-FIND(",", O1494)-2)), "")</f>
        <v/>
      </c>
      <c r="R1494" s="303" t="str">
        <f>IFERROR(RIGHT(O1494, LEN(O1494)-FIND(",", O1494, FIND(",", O1494)+1)-1), "")</f>
        <v/>
      </c>
      <c r="S1494" s="35" t="str" cm="1">
        <f t="array" ref="S1494">_xlfn.TEXTJOIN(", ",TRUE,_xlfn._xlws.FILTER(Tabla29[[#All],[PARTE]],ISNUMBER(SEARCH(Tabla29[[#All],[PCLAVE3]],Tabla8[[#This Row],[DESCRIPCION DE TRABAJO]])),""))</f>
        <v>Cambio De Formato</v>
      </c>
      <c r="T1494" s="34" t="str">
        <f>IF(AND(Tabla8[[#This Row],[PIEZA]]="",Tabla8[[#This Row],[PARTE]]=""),"VACIO","OK")</f>
        <v>VACIO</v>
      </c>
      <c r="U1494" s="303" t="str">
        <f>+CONCATENATE(WEEKNUM(Tabla8[[#This Row],[FECHA]]),"-",YEAR(Tabla8[[#This Row],[FECHA]]))</f>
        <v>22-2026</v>
      </c>
    </row>
    <row r="1495" spans="1:21" ht="15" customHeight="1">
      <c r="A1495" s="22">
        <v>46169</v>
      </c>
      <c r="B1495" s="16" t="s">
        <v>111</v>
      </c>
      <c r="C1495" s="10" t="s">
        <v>36</v>
      </c>
      <c r="D1495" s="381" t="s">
        <v>151</v>
      </c>
      <c r="E1495" s="381" t="s">
        <v>585</v>
      </c>
      <c r="F1495" s="380">
        <f>+MOD(Tabla8[[#This Row],[HR. FIN]]-Tabla8[[#This Row],[HR. INICIO]],1)</f>
        <v>3.125E-2</v>
      </c>
      <c r="G1495" s="16" t="s">
        <v>119</v>
      </c>
      <c r="H1495" s="343" t="str">
        <f>IFERROR(VLOOKUP(G1495,DATOS!$M$2:$N$219,2,FALSE),"")</f>
        <v>Maquinaria</v>
      </c>
      <c r="I1495" s="115" t="s">
        <v>32</v>
      </c>
      <c r="J1495" s="115" t="s">
        <v>157</v>
      </c>
      <c r="K1495" s="114"/>
      <c r="L1495" s="35" t="s">
        <v>2778</v>
      </c>
      <c r="M1495" s="35" t="s">
        <v>2779</v>
      </c>
      <c r="N1495" s="35" t="str" cm="1">
        <f t="array" ref="N1495">IFERROR(IF(Tabla8[[#This Row],[P/NP]]="NO PROGRAMADA","",_xlfn.TEXTJOIN(", ",TRUE,_xlfn._xlws.FILTER(Tabla4[[#All],[PIEZA]],ISNUMBER(SEARCH(Tabla4[[#All],[PCLAVE]],Tabla8[[#This Row],[DESCRIPCION DE TRABAJO]])),""))),"")</f>
        <v/>
      </c>
      <c r="O1495" s="35" t="str" cm="1">
        <f t="array" ref="O1495">_xlfn.TEXTJOIN(", ",TRUE,_xlfn._xlws.FILTER(Tabla28[[#All],[PARTE]],ISNUMBER(SEARCH(Tabla28[[#All],[PCLAVE2]],Tabla8[[#This Row],[DESCRIPCION DE TRABAJO]])),""))</f>
        <v>Mds</v>
      </c>
      <c r="P1495" s="303" t="str">
        <f>IFERROR(LEFT(O1495, FIND(",", O1495)-1), O1495)</f>
        <v>Mds</v>
      </c>
      <c r="Q1495" s="303" t="str">
        <f>IFERROR(IF(ISERROR(FIND(",", O1495, FIND(",", O1495)+1)), RIGHT(O1495, LEN(O1495)-FIND(",", O1495)-1), MID(O1495, FIND(",", O1495)+2, FIND(",", O1495, FIND(",", O1495)+1)-FIND(",", O1495)-2)), "")</f>
        <v/>
      </c>
      <c r="R1495" s="303" t="str">
        <f>IFERROR(RIGHT(O1495, LEN(O1495)-FIND(",", O1495, FIND(",", O1495)+1)-1), "")</f>
        <v/>
      </c>
      <c r="S1495" s="35" t="str" cm="1">
        <f t="array" ref="S1495">_xlfn.TEXTJOIN(", ",TRUE,_xlfn._xlws.FILTER(Tabla29[[#All],[PARTE]],ISNUMBER(SEARCH(Tabla29[[#All],[PCLAVE3]],Tabla8[[#This Row],[DESCRIPCION DE TRABAJO]])),""))</f>
        <v>Cambio De Formato</v>
      </c>
      <c r="T1495" s="34" t="str">
        <f>IF(AND(Tabla8[[#This Row],[PIEZA]]="",Tabla8[[#This Row],[PARTE]]=""),"VACIO","OK")</f>
        <v>OK</v>
      </c>
      <c r="U1495" s="303" t="str">
        <f>+CONCATENATE(WEEKNUM(Tabla8[[#This Row],[FECHA]]),"-",YEAR(Tabla8[[#This Row],[FECHA]]))</f>
        <v>22-2026</v>
      </c>
    </row>
    <row r="1496" spans="1:21" ht="15" customHeight="1">
      <c r="A1496" s="22">
        <v>46169</v>
      </c>
      <c r="B1496" s="16" t="s">
        <v>191</v>
      </c>
      <c r="C1496" s="10" t="s">
        <v>39</v>
      </c>
      <c r="D1496" s="381" t="s">
        <v>681</v>
      </c>
      <c r="E1496" s="381">
        <v>0.91666666666666663</v>
      </c>
      <c r="F1496" s="380">
        <f>+MOD(Tabla8[[#This Row],[HR. FIN]]-Tabla8[[#This Row],[HR. INICIO]],1)</f>
        <v>2.9861111111111116E-2</v>
      </c>
      <c r="G1496" s="16" t="s">
        <v>215</v>
      </c>
      <c r="H1496" s="343" t="str">
        <f>IFERROR(VLOOKUP(G1496,DATOS!$M$2:$N$219,2,FALSE),"")</f>
        <v>Equipos auxiliares</v>
      </c>
      <c r="I1496" s="115" t="s">
        <v>54</v>
      </c>
      <c r="J1496" s="115" t="s">
        <v>157</v>
      </c>
      <c r="K1496" s="114"/>
      <c r="L1496" s="35" t="s">
        <v>248</v>
      </c>
      <c r="M1496" s="35" t="s">
        <v>121</v>
      </c>
      <c r="N1496" s="35" t="str" cm="1">
        <f t="array" ref="N1496">IFERROR(IF(Tabla8[[#This Row],[P/NP]]="NO PROGRAMADA","",_xlfn.TEXTJOIN(", ",TRUE,_xlfn._xlws.FILTER(Tabla4[[#All],[PIEZA]],ISNUMBER(SEARCH(Tabla4[[#All],[PCLAVE]],Tabla8[[#This Row],[DESCRIPCION DE TRABAJO]])),""))),"")</f>
        <v/>
      </c>
      <c r="O1496" s="35" t="str" cm="1">
        <f t="array" ref="O1496">_xlfn.TEXTJOIN(", ",TRUE,_xlfn._xlws.FILTER(Tabla28[[#All],[PARTE]],ISNUMBER(SEARCH(Tabla28[[#All],[PCLAVE2]],Tabla8[[#This Row],[DESCRIPCION DE TRABAJO]])),""))</f>
        <v/>
      </c>
      <c r="P1496" s="303" t="str">
        <f>IFERROR(LEFT(O1496, FIND(",", O1496)-1), O1496)</f>
        <v/>
      </c>
      <c r="Q1496" s="303" t="str">
        <f>IFERROR(IF(ISERROR(FIND(",", O1496, FIND(",", O1496)+1)), RIGHT(O1496, LEN(O1496)-FIND(",", O1496)-1), MID(O1496, FIND(",", O1496)+2, FIND(",", O1496, FIND(",", O1496)+1)-FIND(",", O1496)-2)), "")</f>
        <v/>
      </c>
      <c r="R1496" s="303" t="str">
        <f>IFERROR(RIGHT(O1496, LEN(O1496)-FIND(",", O1496, FIND(",", O1496)+1)-1), "")</f>
        <v/>
      </c>
      <c r="S1496" s="35" t="str" cm="1">
        <f t="array" ref="S1496">_xlfn.TEXTJOIN(", ",TRUE,_xlfn._xlws.FILTER(Tabla29[[#All],[PARTE]],ISNUMBER(SEARCH(Tabla29[[#All],[PCLAVE3]],Tabla8[[#This Row],[DESCRIPCION DE TRABAJO]])),""))</f>
        <v/>
      </c>
      <c r="T1496" s="34" t="str">
        <f>IF(AND(Tabla8[[#This Row],[PIEZA]]="",Tabla8[[#This Row],[PARTE]]=""),"VACIO","OK")</f>
        <v>VACIO</v>
      </c>
      <c r="U1496" s="303" t="str">
        <f>+CONCATENATE(WEEKNUM(Tabla8[[#This Row],[FECHA]]),"-",YEAR(Tabla8[[#This Row],[FECHA]]))</f>
        <v>22-2026</v>
      </c>
    </row>
    <row r="1497" spans="1:21" ht="15" customHeight="1">
      <c r="A1497" s="22">
        <v>46169</v>
      </c>
      <c r="B1497" s="16" t="s">
        <v>191</v>
      </c>
      <c r="C1497" s="10" t="s">
        <v>39</v>
      </c>
      <c r="D1497" s="381" t="s">
        <v>887</v>
      </c>
      <c r="E1497" s="381" t="s">
        <v>1600</v>
      </c>
      <c r="F1497" s="380">
        <f>+MOD(Tabla8[[#This Row],[HR. FIN]]-Tabla8[[#This Row],[HR. INICIO]],1)</f>
        <v>2.430555555555558E-2</v>
      </c>
      <c r="G1497" s="16" t="s">
        <v>192</v>
      </c>
      <c r="H1497" s="343" t="str">
        <f>IFERROR(VLOOKUP(G1497,DATOS!$M$2:$N$219,2,FALSE),"")</f>
        <v>Maquinaria</v>
      </c>
      <c r="I1497" s="115" t="s">
        <v>32</v>
      </c>
      <c r="J1497" s="115" t="s">
        <v>157</v>
      </c>
      <c r="K1497" s="114"/>
      <c r="L1497" s="35" t="s">
        <v>2780</v>
      </c>
      <c r="M1497" s="35" t="s">
        <v>121</v>
      </c>
      <c r="N1497" s="35" t="str" cm="1">
        <f t="array" ref="N1497">IFERROR(IF(Tabla8[[#This Row],[P/NP]]="NO PROGRAMADA","",_xlfn.TEXTJOIN(", ",TRUE,_xlfn._xlws.FILTER(Tabla4[[#All],[PIEZA]],ISNUMBER(SEARCH(Tabla4[[#All],[PCLAVE]],Tabla8[[#This Row],[DESCRIPCION DE TRABAJO]])),""))),"")</f>
        <v>Producto</v>
      </c>
      <c r="O1497" s="35" t="str" cm="1">
        <f t="array" ref="O1497">_xlfn.TEXTJOIN(", ",TRUE,_xlfn._xlws.FILTER(Tabla28[[#All],[PARTE]],ISNUMBER(SEARCH(Tabla28[[#All],[PCLAVE2]],Tabla8[[#This Row],[DESCRIPCION DE TRABAJO]])),""))</f>
        <v/>
      </c>
      <c r="P1497" s="303" t="str">
        <f>IFERROR(LEFT(O1497, FIND(",", O1497)-1), O1497)</f>
        <v/>
      </c>
      <c r="Q1497" s="303" t="str">
        <f>IFERROR(IF(ISERROR(FIND(",", O1497, FIND(",", O1497)+1)), RIGHT(O1497, LEN(O1497)-FIND(",", O1497)-1), MID(O1497, FIND(",", O1497)+2, FIND(",", O1497, FIND(",", O1497)+1)-FIND(",", O1497)-2)), "")</f>
        <v/>
      </c>
      <c r="R1497" s="303" t="str">
        <f>IFERROR(RIGHT(O1497, LEN(O1497)-FIND(",", O1497, FIND(",", O1497)+1)-1), "")</f>
        <v/>
      </c>
      <c r="S1497" s="35" t="str" cm="1">
        <f t="array" ref="S1497">_xlfn.TEXTJOIN(", ",TRUE,_xlfn._xlws.FILTER(Tabla29[[#All],[PARTE]],ISNUMBER(SEARCH(Tabla29[[#All],[PCLAVE3]],Tabla8[[#This Row],[DESCRIPCION DE TRABAJO]])),""))</f>
        <v>Cambio De Formato</v>
      </c>
      <c r="T1497" s="34" t="str">
        <f>IF(AND(Tabla8[[#This Row],[PIEZA]]="",Tabla8[[#This Row],[PARTE]]=""),"VACIO","OK")</f>
        <v>OK</v>
      </c>
      <c r="U1497" s="303" t="str">
        <f>+CONCATENATE(WEEKNUM(Tabla8[[#This Row],[FECHA]]),"-",YEAR(Tabla8[[#This Row],[FECHA]]))</f>
        <v>22-2026</v>
      </c>
    </row>
    <row r="1498" spans="1:21" ht="15" customHeight="1">
      <c r="A1498" s="22">
        <v>46169</v>
      </c>
      <c r="B1498" s="16" t="s">
        <v>111</v>
      </c>
      <c r="C1498" s="10" t="s">
        <v>36</v>
      </c>
      <c r="D1498" s="381" t="s">
        <v>2781</v>
      </c>
      <c r="E1498" s="381" t="s">
        <v>1167</v>
      </c>
      <c r="F1498" s="380">
        <f>+MOD(Tabla8[[#This Row],[HR. FIN]]-Tabla8[[#This Row],[HR. INICIO]],1)</f>
        <v>1.9444444444444486E-2</v>
      </c>
      <c r="G1498" s="16" t="s">
        <v>153</v>
      </c>
      <c r="H1498" s="343" t="str">
        <f>IFERROR(VLOOKUP(G1498,DATOS!$M$2:$N$219,2,FALSE),"")</f>
        <v>Maquinaria</v>
      </c>
      <c r="I1498" s="115" t="s">
        <v>57</v>
      </c>
      <c r="J1498" s="115" t="s">
        <v>157</v>
      </c>
      <c r="K1498" s="114"/>
      <c r="L1498" s="35" t="s">
        <v>2782</v>
      </c>
      <c r="M1498" s="35" t="s">
        <v>121</v>
      </c>
      <c r="N1498" s="35" t="str" cm="1">
        <f t="array" ref="N1498">IFERROR(IF(Tabla8[[#This Row],[P/NP]]="NO PROGRAMADA","",_xlfn.TEXTJOIN(", ",TRUE,_xlfn._xlws.FILTER(Tabla4[[#All],[PIEZA]],ISNUMBER(SEARCH(Tabla4[[#All],[PCLAVE]],Tabla8[[#This Row],[DESCRIPCION DE TRABAJO]])),""))),"")</f>
        <v>Pasta</v>
      </c>
      <c r="O1498" s="35" t="str" cm="1">
        <f t="array" ref="O1498">_xlfn.TEXTJOIN(", ",TRUE,_xlfn._xlws.FILTER(Tabla28[[#All],[PARTE]],ISNUMBER(SEARCH(Tabla28[[#All],[PCLAVE2]],Tabla8[[#This Row],[DESCRIPCION DE TRABAJO]])),""))</f>
        <v/>
      </c>
      <c r="P1498" s="303" t="str">
        <f>IFERROR(LEFT(O1498, FIND(",", O1498)-1), O1498)</f>
        <v/>
      </c>
      <c r="Q1498" s="303" t="str">
        <f>IFERROR(IF(ISERROR(FIND(",", O1498, FIND(",", O1498)+1)), RIGHT(O1498, LEN(O1498)-FIND(",", O1498)-1), MID(O1498, FIND(",", O1498)+2, FIND(",", O1498, FIND(",", O1498)+1)-FIND(",", O1498)-2)), "")</f>
        <v/>
      </c>
      <c r="R1498" s="303" t="str">
        <f>IFERROR(RIGHT(O1498, LEN(O1498)-FIND(",", O1498, FIND(",", O1498)+1)-1), "")</f>
        <v/>
      </c>
      <c r="S1498" s="35" t="str" cm="1">
        <f t="array" ref="S1498">_xlfn.TEXTJOIN(", ",TRUE,_xlfn._xlws.FILTER(Tabla29[[#All],[PARTE]],ISNUMBER(SEARCH(Tabla29[[#All],[PCLAVE3]],Tabla8[[#This Row],[DESCRIPCION DE TRABAJO]])),""))</f>
        <v>Calibracion</v>
      </c>
      <c r="T1498" s="34" t="str">
        <f>IF(AND(Tabla8[[#This Row],[PIEZA]]="",Tabla8[[#This Row],[PARTE]]=""),"VACIO","OK")</f>
        <v>OK</v>
      </c>
      <c r="U1498" s="303" t="str">
        <f>+CONCATENATE(WEEKNUM(Tabla8[[#This Row],[FECHA]]),"-",YEAR(Tabla8[[#This Row],[FECHA]]))</f>
        <v>22-2026</v>
      </c>
    </row>
    <row r="1499" spans="1:21" ht="15" customHeight="1">
      <c r="A1499" s="22">
        <v>46169</v>
      </c>
      <c r="B1499" s="16" t="s">
        <v>191</v>
      </c>
      <c r="C1499" s="10" t="s">
        <v>39</v>
      </c>
      <c r="D1499" s="381" t="s">
        <v>1111</v>
      </c>
      <c r="E1499" s="381">
        <v>0.92013888888888884</v>
      </c>
      <c r="F1499" s="380">
        <f>+MOD(Tabla8[[#This Row],[HR. FIN]]-Tabla8[[#This Row],[HR. INICIO]],1)</f>
        <v>1.9444444444444375E-2</v>
      </c>
      <c r="G1499" s="16" t="s">
        <v>1575</v>
      </c>
      <c r="H1499" s="343" t="str">
        <f>IFERROR(VLOOKUP(G1499,DATOS!$M$2:$N$219,2,FALSE),"")</f>
        <v>Sistema</v>
      </c>
      <c r="I1499" s="115" t="s">
        <v>186</v>
      </c>
      <c r="J1499" s="115" t="s">
        <v>92</v>
      </c>
      <c r="K1499" s="114" t="s">
        <v>93</v>
      </c>
      <c r="L1499" s="35" t="s">
        <v>2783</v>
      </c>
      <c r="M1499" s="35" t="s">
        <v>2784</v>
      </c>
      <c r="N1499" s="35" t="str" cm="1">
        <f t="array" ref="N1499">IFERROR(IF(Tabla8[[#This Row],[P/NP]]="NO PROGRAMADA","",_xlfn.TEXTJOIN(", ",TRUE,_xlfn._xlws.FILTER(Tabla4[[#All],[PIEZA]],ISNUMBER(SEARCH(Tabla4[[#All],[PCLAVE]],Tabla8[[#This Row],[DESCRIPCION DE TRABAJO]])),""))),"")</f>
        <v/>
      </c>
      <c r="O1499" s="35" t="str" cm="1">
        <f t="array" ref="O1499">_xlfn.TEXTJOIN(", ",TRUE,_xlfn._xlws.FILTER(Tabla28[[#All],[PARTE]],ISNUMBER(SEARCH(Tabla28[[#All],[PCLAVE2]],Tabla8[[#This Row],[DESCRIPCION DE TRABAJO]])),""))</f>
        <v/>
      </c>
      <c r="P1499" s="303" t="str">
        <f>IFERROR(LEFT(O1499, FIND(",", O1499)-1), O1499)</f>
        <v/>
      </c>
      <c r="Q1499" s="303" t="str">
        <f>IFERROR(IF(ISERROR(FIND(",", O1499, FIND(",", O1499)+1)), RIGHT(O1499, LEN(O1499)-FIND(",", O1499)-1), MID(O1499, FIND(",", O1499)+2, FIND(",", O1499, FIND(",", O1499)+1)-FIND(",", O1499)-2)), "")</f>
        <v/>
      </c>
      <c r="R1499" s="303" t="str">
        <f>IFERROR(RIGHT(O1499, LEN(O1499)-FIND(",", O1499, FIND(",", O1499)+1)-1), "")</f>
        <v/>
      </c>
      <c r="S1499" s="35" t="str" cm="1">
        <f t="array" ref="S1499">_xlfn.TEXTJOIN(", ",TRUE,_xlfn._xlws.FILTER(Tabla29[[#All],[PARTE]],ISNUMBER(SEARCH(Tabla29[[#All],[PCLAVE3]],Tabla8[[#This Row],[DESCRIPCION DE TRABAJO]])),""))</f>
        <v>Falla De Presion</v>
      </c>
      <c r="T1499" s="34" t="str">
        <f>IF(AND(Tabla8[[#This Row],[PIEZA]]="",Tabla8[[#This Row],[PARTE]]=""),"VACIO","OK")</f>
        <v>VACIO</v>
      </c>
      <c r="U1499" s="303" t="str">
        <f>+CONCATENATE(WEEKNUM(Tabla8[[#This Row],[FECHA]]),"-",YEAR(Tabla8[[#This Row],[FECHA]]))</f>
        <v>22-2026</v>
      </c>
    </row>
    <row r="1500" spans="1:21" ht="15" customHeight="1">
      <c r="A1500" s="22">
        <v>46169</v>
      </c>
      <c r="B1500" s="16" t="s">
        <v>191</v>
      </c>
      <c r="C1500" s="10" t="s">
        <v>39</v>
      </c>
      <c r="D1500" s="381" t="s">
        <v>2785</v>
      </c>
      <c r="E1500" s="381" t="s">
        <v>473</v>
      </c>
      <c r="F1500" s="380">
        <f>+MOD(Tabla8[[#This Row],[HR. FIN]]-Tabla8[[#This Row],[HR. INICIO]],1)</f>
        <v>1.736111111111116E-2</v>
      </c>
      <c r="G1500" s="16" t="s">
        <v>24</v>
      </c>
      <c r="H1500" s="343" t="str">
        <f>IFERROR(VLOOKUP(G1500,DATOS!$M$2:$N$219,2,FALSE),"")</f>
        <v>Maquinaria</v>
      </c>
      <c r="I1500" s="115" t="s">
        <v>57</v>
      </c>
      <c r="J1500" s="115" t="s">
        <v>92</v>
      </c>
      <c r="K1500" s="114" t="s">
        <v>148</v>
      </c>
      <c r="L1500" s="35" t="s">
        <v>2786</v>
      </c>
      <c r="M1500" s="35" t="s">
        <v>2787</v>
      </c>
      <c r="N1500" s="35" t="str" cm="1">
        <f t="array" ref="N1500">IFERROR(IF(Tabla8[[#This Row],[P/NP]]="NO PROGRAMADA","",_xlfn.TEXTJOIN(", ",TRUE,_xlfn._xlws.FILTER(Tabla4[[#All],[PIEZA]],ISNUMBER(SEARCH(Tabla4[[#All],[PCLAVE]],Tabla8[[#This Row],[DESCRIPCION DE TRABAJO]])),""))),"")</f>
        <v/>
      </c>
      <c r="O1500" s="35" t="str" cm="1">
        <f t="array" ref="O1500">_xlfn.TEXTJOIN(", ",TRUE,_xlfn._xlws.FILTER(Tabla28[[#All],[PARTE]],ISNUMBER(SEARCH(Tabla28[[#All],[PCLAVE2]],Tabla8[[#This Row],[DESCRIPCION DE TRABAJO]])),""))</f>
        <v/>
      </c>
      <c r="P1500" s="303" t="str">
        <f>IFERROR(LEFT(O1500, FIND(",", O1500)-1), O1500)</f>
        <v/>
      </c>
      <c r="Q1500" s="303" t="str">
        <f>IFERROR(IF(ISERROR(FIND(",", O1500, FIND(",", O1500)+1)), RIGHT(O1500, LEN(O1500)-FIND(",", O1500)-1), MID(O1500, FIND(",", O1500)+2, FIND(",", O1500, FIND(",", O1500)+1)-FIND(",", O1500)-2)), "")</f>
        <v/>
      </c>
      <c r="R1500" s="303" t="str">
        <f>IFERROR(RIGHT(O1500, LEN(O1500)-FIND(",", O1500, FIND(",", O1500)+1)-1), "")</f>
        <v/>
      </c>
      <c r="S1500" s="35" t="str" cm="1">
        <f t="array" ref="S1500">_xlfn.TEXTJOIN(", ",TRUE,_xlfn._xlws.FILTER(Tabla29[[#All],[PARTE]],ISNUMBER(SEARCH(Tabla29[[#All],[PCLAVE3]],Tabla8[[#This Row],[DESCRIPCION DE TRABAJO]])),""))</f>
        <v>Acumulacion De Producto</v>
      </c>
      <c r="T1500" s="34" t="str">
        <f>IF(AND(Tabla8[[#This Row],[PIEZA]]="",Tabla8[[#This Row],[PARTE]]=""),"VACIO","OK")</f>
        <v>VACIO</v>
      </c>
      <c r="U1500" s="303" t="str">
        <f>+CONCATENATE(WEEKNUM(Tabla8[[#This Row],[FECHA]]),"-",YEAR(Tabla8[[#This Row],[FECHA]]))</f>
        <v>22-2026</v>
      </c>
    </row>
    <row r="1501" spans="1:21" ht="15" customHeight="1">
      <c r="A1501" s="22">
        <v>46169</v>
      </c>
      <c r="B1501" s="16" t="s">
        <v>111</v>
      </c>
      <c r="C1501" s="10" t="s">
        <v>36</v>
      </c>
      <c r="D1501" s="381" t="s">
        <v>557</v>
      </c>
      <c r="E1501" s="381" t="s">
        <v>90</v>
      </c>
      <c r="F1501" s="380">
        <f>+MOD(Tabla8[[#This Row],[HR. FIN]]-Tabla8[[#This Row],[HR. INICIO]],1)</f>
        <v>1.3888888888888895E-2</v>
      </c>
      <c r="G1501" s="16" t="s">
        <v>192</v>
      </c>
      <c r="H1501" s="343" t="str">
        <f>IFERROR(VLOOKUP(G1501,DATOS!$M$2:$N$219,2,FALSE),"")</f>
        <v>Maquinaria</v>
      </c>
      <c r="I1501" s="115" t="s">
        <v>57</v>
      </c>
      <c r="J1501" s="115" t="s">
        <v>92</v>
      </c>
      <c r="K1501" s="114" t="s">
        <v>148</v>
      </c>
      <c r="L1501" s="35" t="s">
        <v>2788</v>
      </c>
      <c r="M1501" s="35" t="s">
        <v>2789</v>
      </c>
      <c r="N1501" s="35" t="str" cm="1">
        <f t="array" ref="N1501">IFERROR(IF(Tabla8[[#This Row],[P/NP]]="NO PROGRAMADA","",_xlfn.TEXTJOIN(", ",TRUE,_xlfn._xlws.FILTER(Tabla4[[#All],[PIEZA]],ISNUMBER(SEARCH(Tabla4[[#All],[PCLAVE]],Tabla8[[#This Row],[DESCRIPCION DE TRABAJO]])),""))),"")</f>
        <v/>
      </c>
      <c r="O1501" s="35" t="str" cm="1">
        <f t="array" ref="O1501">_xlfn.TEXTJOIN(", ",TRUE,_xlfn._xlws.FILTER(Tabla28[[#All],[PARTE]],ISNUMBER(SEARCH(Tabla28[[#All],[PCLAVE2]],Tabla8[[#This Row],[DESCRIPCION DE TRABAJO]])),""))</f>
        <v/>
      </c>
      <c r="P1501" s="303" t="str">
        <f>IFERROR(LEFT(O1501, FIND(",", O1501)-1), O1501)</f>
        <v/>
      </c>
      <c r="Q1501" s="303" t="str">
        <f>IFERROR(IF(ISERROR(FIND(",", O1501, FIND(",", O1501)+1)), RIGHT(O1501, LEN(O1501)-FIND(",", O1501)-1), MID(O1501, FIND(",", O1501)+2, FIND(",", O1501, FIND(",", O1501)+1)-FIND(",", O1501)-2)), "")</f>
        <v/>
      </c>
      <c r="R1501" s="303" t="str">
        <f>IFERROR(RIGHT(O1501, LEN(O1501)-FIND(",", O1501, FIND(",", O1501)+1)-1), "")</f>
        <v/>
      </c>
      <c r="S1501" s="35" t="str" cm="1">
        <f t="array" ref="S1501">_xlfn.TEXTJOIN(", ",TRUE,_xlfn._xlws.FILTER(Tabla29[[#All],[PARTE]],ISNUMBER(SEARCH(Tabla29[[#All],[PCLAVE3]],Tabla8[[#This Row],[DESCRIPCION DE TRABAJO]])),""))</f>
        <v>No Corta</v>
      </c>
      <c r="T1501" s="34" t="str">
        <f>IF(AND(Tabla8[[#This Row],[PIEZA]]="",Tabla8[[#This Row],[PARTE]]=""),"VACIO","OK")</f>
        <v>VACIO</v>
      </c>
      <c r="U1501" s="303" t="str">
        <f>+CONCATENATE(WEEKNUM(Tabla8[[#This Row],[FECHA]]),"-",YEAR(Tabla8[[#This Row],[FECHA]]))</f>
        <v>22-2026</v>
      </c>
    </row>
    <row r="1502" spans="1:21" ht="15" customHeight="1">
      <c r="A1502" s="22">
        <v>46169</v>
      </c>
      <c r="B1502" s="16" t="s">
        <v>111</v>
      </c>
      <c r="C1502" s="10" t="s">
        <v>36</v>
      </c>
      <c r="D1502" s="381" t="s">
        <v>670</v>
      </c>
      <c r="E1502" s="381" t="s">
        <v>447</v>
      </c>
      <c r="F1502" s="380">
        <f>+MOD(Tabla8[[#This Row],[HR. FIN]]-Tabla8[[#This Row],[HR. INICIO]],1)</f>
        <v>1.3888888888888895E-2</v>
      </c>
      <c r="G1502" s="16" t="s">
        <v>202</v>
      </c>
      <c r="H1502" s="343" t="str">
        <f>IFERROR(VLOOKUP(G1502,DATOS!$M$2:$N$219,2,FALSE),"")</f>
        <v>Maquinaria</v>
      </c>
      <c r="I1502" s="115" t="s">
        <v>57</v>
      </c>
      <c r="J1502" s="115" t="s">
        <v>92</v>
      </c>
      <c r="K1502" s="114" t="s">
        <v>148</v>
      </c>
      <c r="L1502" s="35" t="s">
        <v>2790</v>
      </c>
      <c r="M1502" s="35" t="s">
        <v>2791</v>
      </c>
      <c r="N1502" s="35" t="str" cm="1">
        <f t="array" ref="N1502">IFERROR(IF(Tabla8[[#This Row],[P/NP]]="NO PROGRAMADA","",_xlfn.TEXTJOIN(", ",TRUE,_xlfn._xlws.FILTER(Tabla4[[#All],[PIEZA]],ISNUMBER(SEARCH(Tabla4[[#All],[PCLAVE]],Tabla8[[#This Row],[DESCRIPCION DE TRABAJO]])),""))),"")</f>
        <v/>
      </c>
      <c r="O1502" s="35" t="str" cm="1">
        <f t="array" ref="O1502">_xlfn.TEXTJOIN(", ",TRUE,_xlfn._xlws.FILTER(Tabla28[[#All],[PARTE]],ISNUMBER(SEARCH(Tabla28[[#All],[PCLAVE2]],Tabla8[[#This Row],[DESCRIPCION DE TRABAJO]])),""))</f>
        <v/>
      </c>
      <c r="P1502" s="303" t="str">
        <f>IFERROR(LEFT(O1502, FIND(",", O1502)-1), O1502)</f>
        <v/>
      </c>
      <c r="Q1502" s="303" t="str">
        <f>IFERROR(IF(ISERROR(FIND(",", O1502, FIND(",", O1502)+1)), RIGHT(O1502, LEN(O1502)-FIND(",", O1502)-1), MID(O1502, FIND(",", O1502)+2, FIND(",", O1502, FIND(",", O1502)+1)-FIND(",", O1502)-2)), "")</f>
        <v/>
      </c>
      <c r="R1502" s="303" t="str">
        <f>IFERROR(RIGHT(O1502, LEN(O1502)-FIND(",", O1502, FIND(",", O1502)+1)-1), "")</f>
        <v/>
      </c>
      <c r="S1502" s="35" t="str" cm="1">
        <f t="array" ref="S1502">_xlfn.TEXTJOIN(", ",TRUE,_xlfn._xlws.FILTER(Tabla29[[#All],[PARTE]],ISNUMBER(SEARCH(Tabla29[[#All],[PCLAVE3]],Tabla8[[#This Row],[DESCRIPCION DE TRABAJO]])),""))</f>
        <v/>
      </c>
      <c r="T1502" s="34" t="str">
        <f>IF(AND(Tabla8[[#This Row],[PIEZA]]="",Tabla8[[#This Row],[PARTE]]=""),"VACIO","OK")</f>
        <v>VACIO</v>
      </c>
      <c r="U1502" s="303" t="str">
        <f>+CONCATENATE(WEEKNUM(Tabla8[[#This Row],[FECHA]]),"-",YEAR(Tabla8[[#This Row],[FECHA]]))</f>
        <v>22-2026</v>
      </c>
    </row>
    <row r="1503" spans="1:21" ht="15" customHeight="1">
      <c r="A1503" s="22">
        <v>46169</v>
      </c>
      <c r="B1503" s="16" t="s">
        <v>111</v>
      </c>
      <c r="C1503" s="10" t="s">
        <v>36</v>
      </c>
      <c r="D1503" s="381" t="s">
        <v>2098</v>
      </c>
      <c r="E1503" s="381" t="s">
        <v>1608</v>
      </c>
      <c r="F1503" s="380">
        <f>+MOD(Tabla8[[#This Row],[HR. FIN]]-Tabla8[[#This Row],[HR. INICIO]],1)</f>
        <v>1.2500000000000011E-2</v>
      </c>
      <c r="G1503" s="16" t="s">
        <v>438</v>
      </c>
      <c r="H1503" s="343" t="str">
        <f>IFERROR(VLOOKUP(G1503,DATOS!$M$2:$N$219,2,FALSE),"")</f>
        <v>Maquinaria</v>
      </c>
      <c r="I1503" s="115" t="s">
        <v>61</v>
      </c>
      <c r="J1503" s="115" t="s">
        <v>92</v>
      </c>
      <c r="K1503" s="114" t="s">
        <v>148</v>
      </c>
      <c r="L1503" s="35" t="s">
        <v>2792</v>
      </c>
      <c r="M1503" s="35" t="s">
        <v>2793</v>
      </c>
      <c r="N1503" s="35" t="str" cm="1">
        <f t="array" ref="N1503">IFERROR(IF(Tabla8[[#This Row],[P/NP]]="NO PROGRAMADA","",_xlfn.TEXTJOIN(", ",TRUE,_xlfn._xlws.FILTER(Tabla4[[#All],[PIEZA]],ISNUMBER(SEARCH(Tabla4[[#All],[PCLAVE]],Tabla8[[#This Row],[DESCRIPCION DE TRABAJO]])),""))),"")</f>
        <v/>
      </c>
      <c r="O1503" s="35" t="str" cm="1">
        <f t="array" ref="O1503">_xlfn.TEXTJOIN(", ",TRUE,_xlfn._xlws.FILTER(Tabla28[[#All],[PARTE]],ISNUMBER(SEARCH(Tabla28[[#All],[PCLAVE2]],Tabla8[[#This Row],[DESCRIPCION DE TRABAJO]])),""))</f>
        <v/>
      </c>
      <c r="P1503" s="303" t="str">
        <f>IFERROR(LEFT(O1503, FIND(",", O1503)-1), O1503)</f>
        <v/>
      </c>
      <c r="Q1503" s="303" t="str">
        <f>IFERROR(IF(ISERROR(FIND(",", O1503, FIND(",", O1503)+1)), RIGHT(O1503, LEN(O1503)-FIND(",", O1503)-1), MID(O1503, FIND(",", O1503)+2, FIND(",", O1503, FIND(",", O1503)+1)-FIND(",", O1503)-2)), "")</f>
        <v/>
      </c>
      <c r="R1503" s="303" t="str">
        <f>IFERROR(RIGHT(O1503, LEN(O1503)-FIND(",", O1503, FIND(",", O1503)+1)-1), "")</f>
        <v/>
      </c>
      <c r="S1503" s="35" t="str" cm="1">
        <f t="array" ref="S1503">_xlfn.TEXTJOIN(", ",TRUE,_xlfn._xlws.FILTER(Tabla29[[#All],[PARTE]],ISNUMBER(SEARCH(Tabla29[[#All],[PCLAVE3]],Tabla8[[#This Row],[DESCRIPCION DE TRABAJO]])),""))</f>
        <v/>
      </c>
      <c r="T1503" s="34" t="str">
        <f>IF(AND(Tabla8[[#This Row],[PIEZA]]="",Tabla8[[#This Row],[PARTE]]=""),"VACIO","OK")</f>
        <v>VACIO</v>
      </c>
      <c r="U1503" s="303" t="str">
        <f>+CONCATENATE(WEEKNUM(Tabla8[[#This Row],[FECHA]]),"-",YEAR(Tabla8[[#This Row],[FECHA]]))</f>
        <v>22-2026</v>
      </c>
    </row>
    <row r="1504" spans="1:21" ht="15" customHeight="1">
      <c r="A1504" s="22">
        <v>46169</v>
      </c>
      <c r="B1504" s="16" t="s">
        <v>111</v>
      </c>
      <c r="C1504" s="10" t="s">
        <v>36</v>
      </c>
      <c r="D1504" s="381" t="s">
        <v>2694</v>
      </c>
      <c r="E1504" s="381">
        <v>0.54166666666666663</v>
      </c>
      <c r="F1504" s="380">
        <f>+MOD(Tabla8[[#This Row],[HR. FIN]]-Tabla8[[#This Row],[HR. INICIO]],1)</f>
        <v>1.041666666666663E-2</v>
      </c>
      <c r="G1504" s="16" t="s">
        <v>24</v>
      </c>
      <c r="H1504" s="343" t="str">
        <f>IFERROR(VLOOKUP(G1504,DATOS!$M$2:$N$219,2,FALSE),"")</f>
        <v>Maquinaria</v>
      </c>
      <c r="I1504" s="115" t="s">
        <v>54</v>
      </c>
      <c r="J1504" s="115" t="s">
        <v>157</v>
      </c>
      <c r="K1504" s="114"/>
      <c r="L1504" s="35" t="s">
        <v>225</v>
      </c>
      <c r="M1504" s="35" t="s">
        <v>121</v>
      </c>
      <c r="N1504" s="35" t="str" cm="1">
        <f t="array" ref="N1504">IFERROR(IF(Tabla8[[#This Row],[P/NP]]="NO PROGRAMADA","",_xlfn.TEXTJOIN(", ",TRUE,_xlfn._xlws.FILTER(Tabla4[[#All],[PIEZA]],ISNUMBER(SEARCH(Tabla4[[#All],[PCLAVE]],Tabla8[[#This Row],[DESCRIPCION DE TRABAJO]])),""))),"")</f>
        <v/>
      </c>
      <c r="O1504" s="35" t="str" cm="1">
        <f t="array" ref="O1504">_xlfn.TEXTJOIN(", ",TRUE,_xlfn._xlws.FILTER(Tabla28[[#All],[PARTE]],ISNUMBER(SEARCH(Tabla28[[#All],[PCLAVE2]],Tabla8[[#This Row],[DESCRIPCION DE TRABAJO]])),""))</f>
        <v/>
      </c>
      <c r="P1504" s="303" t="str">
        <f>IFERROR(LEFT(O1504, FIND(",", O1504)-1), O1504)</f>
        <v/>
      </c>
      <c r="Q1504" s="303" t="str">
        <f>IFERROR(IF(ISERROR(FIND(",", O1504, FIND(",", O1504)+1)), RIGHT(O1504, LEN(O1504)-FIND(",", O1504)-1), MID(O1504, FIND(",", O1504)+2, FIND(",", O1504, FIND(",", O1504)+1)-FIND(",", O1504)-2)), "")</f>
        <v/>
      </c>
      <c r="R1504" s="303" t="str">
        <f>IFERROR(RIGHT(O1504, LEN(O1504)-FIND(",", O1504, FIND(",", O1504)+1)-1), "")</f>
        <v/>
      </c>
      <c r="S1504" s="35" t="str" cm="1">
        <f t="array" ref="S1504">_xlfn.TEXTJOIN(", ",TRUE,_xlfn._xlws.FILTER(Tabla29[[#All],[PARTE]],ISNUMBER(SEARCH(Tabla29[[#All],[PCLAVE3]],Tabla8[[#This Row],[DESCRIPCION DE TRABAJO]])),""))</f>
        <v/>
      </c>
      <c r="T1504" s="34" t="str">
        <f>IF(AND(Tabla8[[#This Row],[PIEZA]]="",Tabla8[[#This Row],[PARTE]]=""),"VACIO","OK")</f>
        <v>VACIO</v>
      </c>
      <c r="U1504" s="303" t="str">
        <f>+CONCATENATE(WEEKNUM(Tabla8[[#This Row],[FECHA]]),"-",YEAR(Tabla8[[#This Row],[FECHA]]))</f>
        <v>22-2026</v>
      </c>
    </row>
    <row r="1505" spans="1:21" ht="15" customHeight="1">
      <c r="A1505" s="22">
        <v>46169</v>
      </c>
      <c r="B1505" s="16" t="s">
        <v>111</v>
      </c>
      <c r="C1505" s="16" t="s">
        <v>36</v>
      </c>
      <c r="D1505" s="381" t="s">
        <v>122</v>
      </c>
      <c r="E1505" s="381" t="s">
        <v>636</v>
      </c>
      <c r="F1505" s="632">
        <f>+MOD(Tabla8[[#This Row],[HR. FIN]]-Tabla8[[#This Row],[HR. INICIO]],1)</f>
        <v>6.9444444444444753E-3</v>
      </c>
      <c r="G1505" s="16" t="s">
        <v>331</v>
      </c>
      <c r="H1505" s="343" t="str">
        <f>IFERROR(VLOOKUP(G1505,DATOS!$M$2:$N$219,2,FALSE),"")</f>
        <v>Maquinaria</v>
      </c>
      <c r="I1505" s="115" t="s">
        <v>32</v>
      </c>
      <c r="J1505" s="115" t="s">
        <v>157</v>
      </c>
      <c r="K1505" s="115"/>
      <c r="L1505" s="35" t="s">
        <v>449</v>
      </c>
      <c r="M1505" s="35" t="s">
        <v>121</v>
      </c>
      <c r="N1505" s="35" t="str" cm="1">
        <f t="array" ref="N1505">IFERROR(IF(Tabla8[[#This Row],[P/NP]]="NO PROGRAMADA","",_xlfn.TEXTJOIN(", ",TRUE,_xlfn._xlws.FILTER(Tabla4[[#All],[PIEZA]],ISNUMBER(SEARCH(Tabla4[[#All],[PCLAVE]],Tabla8[[#This Row],[DESCRIPCION DE TRABAJO]])),""))),"")</f>
        <v/>
      </c>
      <c r="O1505" s="35" t="str" cm="1">
        <f t="array" ref="O1505">_xlfn.TEXTJOIN(", ",TRUE,_xlfn._xlws.FILTER(Tabla28[[#All],[PARTE]],ISNUMBER(SEARCH(Tabla28[[#All],[PCLAVE2]],Tabla8[[#This Row],[DESCRIPCION DE TRABAJO]])),""))</f>
        <v/>
      </c>
      <c r="P1505" s="633" t="str">
        <f>IFERROR(LEFT(O1505, FIND(",", O1505)-1), O1505)</f>
        <v/>
      </c>
      <c r="Q1505" s="633" t="str">
        <f>IFERROR(IF(ISERROR(FIND(",", O1505, FIND(",", O1505)+1)), RIGHT(O1505, LEN(O1505)-FIND(",", O1505)-1), MID(O1505, FIND(",", O1505)+2, FIND(",", O1505, FIND(",", O1505)+1)-FIND(",", O1505)-2)), "")</f>
        <v/>
      </c>
      <c r="R1505" s="633" t="str">
        <f>IFERROR(RIGHT(O1505, LEN(O1505)-FIND(",", O1505, FIND(",", O1505)+1)-1), "")</f>
        <v/>
      </c>
      <c r="S1505" s="35" t="str" cm="1">
        <f t="array" ref="S1505">_xlfn.TEXTJOIN(", ",TRUE,_xlfn._xlws.FILTER(Tabla29[[#All],[PARTE]],ISNUMBER(SEARCH(Tabla29[[#All],[PCLAVE3]],Tabla8[[#This Row],[DESCRIPCION DE TRABAJO]])),""))</f>
        <v/>
      </c>
      <c r="T1505" s="88" t="str">
        <f>IF(AND(Tabla8[[#This Row],[PIEZA]]="",Tabla8[[#This Row],[PARTE]]=""),"VACIO","OK")</f>
        <v>VACIO</v>
      </c>
      <c r="U1505" s="633" t="str">
        <f>+CONCATENATE(WEEKNUM(Tabla8[[#This Row],[FECHA]]),"-",YEAR(Tabla8[[#This Row],[FECHA]]))</f>
        <v>22-2026</v>
      </c>
    </row>
    <row r="1506" spans="1:21" ht="15" customHeight="1">
      <c r="A1506" s="22">
        <v>46170</v>
      </c>
      <c r="B1506" s="16" t="s">
        <v>179</v>
      </c>
      <c r="C1506" s="16" t="s">
        <v>36</v>
      </c>
      <c r="D1506" s="381" t="s">
        <v>630</v>
      </c>
      <c r="E1506" s="381" t="s">
        <v>90</v>
      </c>
      <c r="F1506" s="632">
        <f>+MOD(Tabla8[[#This Row],[HR. FIN]]-Tabla8[[#This Row],[HR. INICIO]],1)</f>
        <v>8.3333333333333315E-2</v>
      </c>
      <c r="G1506" s="16" t="s">
        <v>81</v>
      </c>
      <c r="H1506" s="79" t="str">
        <f>IFERROR(VLOOKUP(G1506,DATOS!$M$2:$N$219,2,FALSE),"")</f>
        <v>Maquinaria</v>
      </c>
      <c r="I1506" s="115" t="s">
        <v>28</v>
      </c>
      <c r="J1506" s="115" t="s">
        <v>92</v>
      </c>
      <c r="K1506" s="115" t="s">
        <v>93</v>
      </c>
      <c r="L1506" s="35" t="s">
        <v>386</v>
      </c>
      <c r="M1506" s="35" t="s">
        <v>2794</v>
      </c>
      <c r="N1506" s="35" t="str" cm="1">
        <f t="array" ref="N1506">IFERROR(IF(Tabla8[[#This Row],[P/NP]]="NO PROGRAMADA","",_xlfn.TEXTJOIN(", ",TRUE,_xlfn._xlws.FILTER(Tabla4[[#All],[PIEZA]],ISNUMBER(SEARCH(Tabla4[[#All],[PCLAVE]],Tabla8[[#This Row],[DESCRIPCION DE TRABAJO]])),""))),"")</f>
        <v/>
      </c>
      <c r="O1506" s="35" t="str" cm="1">
        <f t="array" ref="O1506">_xlfn.TEXTJOIN(", ",TRUE,_xlfn._xlws.FILTER(Tabla28[[#All],[PARTE]],ISNUMBER(SEARCH(Tabla28[[#All],[PCLAVE2]],Tabla8[[#This Row],[DESCRIPCION DE TRABAJO]])),""))</f>
        <v/>
      </c>
      <c r="P1506" s="633" t="str">
        <f>IFERROR(LEFT(O1506, FIND(",", O1506)-1), O1506)</f>
        <v/>
      </c>
      <c r="Q1506" s="633" t="str">
        <f>IFERROR(IF(ISERROR(FIND(",", O1506, FIND(",", O1506)+1)), RIGHT(O1506, LEN(O1506)-FIND(",", O1506)-1), MID(O1506, FIND(",", O1506)+2, FIND(",", O1506, FIND(",", O1506)+1)-FIND(",", O1506)-2)), "")</f>
        <v/>
      </c>
      <c r="R1506" s="633" t="str">
        <f>IFERROR(RIGHT(O1506, LEN(O1506)-FIND(",", O1506, FIND(",", O1506)+1)-1), "")</f>
        <v/>
      </c>
      <c r="S1506" s="35" t="str" cm="1">
        <f t="array" ref="S1506">_xlfn.TEXTJOIN(", ",TRUE,_xlfn._xlws.FILTER(Tabla29[[#All],[PARTE]],ISNUMBER(SEARCH(Tabla29[[#All],[PCLAVE3]],Tabla8[[#This Row],[DESCRIPCION DE TRABAJO]])),""))</f>
        <v>Laminado, No Corta</v>
      </c>
      <c r="T1506" s="88" t="str">
        <f>IF(AND(Tabla8[[#This Row],[PIEZA]]="",Tabla8[[#This Row],[PARTE]]=""),"VACIO","OK")</f>
        <v>VACIO</v>
      </c>
      <c r="U1506" s="633" t="str">
        <f>+CONCATENATE(WEEKNUM(Tabla8[[#This Row],[FECHA]]),"-",YEAR(Tabla8[[#This Row],[FECHA]]))</f>
        <v>22-2026</v>
      </c>
    </row>
    <row r="1507" spans="1:21" ht="15" customHeight="1">
      <c r="A1507" s="22">
        <v>46170</v>
      </c>
      <c r="B1507" s="16" t="s">
        <v>131</v>
      </c>
      <c r="C1507" s="16" t="s">
        <v>23</v>
      </c>
      <c r="D1507" s="381" t="s">
        <v>107</v>
      </c>
      <c r="E1507" s="381" t="s">
        <v>1978</v>
      </c>
      <c r="F1507" s="632">
        <f>+MOD(Tabla8[[#This Row],[HR. FIN]]-Tabla8[[#This Row],[HR. INICIO]],1)</f>
        <v>5.555555555555558E-2</v>
      </c>
      <c r="G1507" s="16" t="s">
        <v>81</v>
      </c>
      <c r="H1507" s="79" t="str">
        <f>IFERROR(VLOOKUP(G1507,DATOS!$M$2:$N$219,2,FALSE),"")</f>
        <v>Maquinaria</v>
      </c>
      <c r="I1507" s="115" t="s">
        <v>28</v>
      </c>
      <c r="J1507" s="115" t="s">
        <v>92</v>
      </c>
      <c r="K1507" s="115" t="s">
        <v>93</v>
      </c>
      <c r="L1507" s="35" t="s">
        <v>2795</v>
      </c>
      <c r="M1507" s="35" t="s">
        <v>2796</v>
      </c>
      <c r="N1507" s="35" t="str" cm="1">
        <f t="array" ref="N1507">IFERROR(IF(Tabla8[[#This Row],[P/NP]]="NO PROGRAMADA","",_xlfn.TEXTJOIN(", ",TRUE,_xlfn._xlws.FILTER(Tabla4[[#All],[PIEZA]],ISNUMBER(SEARCH(Tabla4[[#All],[PCLAVE]],Tabla8[[#This Row],[DESCRIPCION DE TRABAJO]])),""))),"")</f>
        <v/>
      </c>
      <c r="O1507" s="35" t="str" cm="1">
        <f t="array" ref="O1507">_xlfn.TEXTJOIN(", ",TRUE,_xlfn._xlws.FILTER(Tabla28[[#All],[PARTE]],ISNUMBER(SEARCH(Tabla28[[#All],[PCLAVE2]],Tabla8[[#This Row],[DESCRIPCION DE TRABAJO]])),""))</f>
        <v/>
      </c>
      <c r="P1507" s="633" t="str">
        <f>IFERROR(LEFT(O1507, FIND(",", O1507)-1), O1507)</f>
        <v/>
      </c>
      <c r="Q1507" s="633" t="str">
        <f>IFERROR(IF(ISERROR(FIND(",", O1507, FIND(",", O1507)+1)), RIGHT(O1507, LEN(O1507)-FIND(",", O1507)-1), MID(O1507, FIND(",", O1507)+2, FIND(",", O1507, FIND(",", O1507)+1)-FIND(",", O1507)-2)), "")</f>
        <v/>
      </c>
      <c r="R1507" s="633" t="str">
        <f>IFERROR(RIGHT(O1507, LEN(O1507)-FIND(",", O1507, FIND(",", O1507)+1)-1), "")</f>
        <v/>
      </c>
      <c r="S1507" s="35" t="str" cm="1">
        <f t="array" ref="S1507">_xlfn.TEXTJOIN(", ",TRUE,_xlfn._xlws.FILTER(Tabla29[[#All],[PARTE]],ISNUMBER(SEARCH(Tabla29[[#All],[PCLAVE3]],Tabla8[[#This Row],[DESCRIPCION DE TRABAJO]])),""))</f>
        <v>Colision, No Corta</v>
      </c>
      <c r="T1507" s="88" t="str">
        <f>IF(AND(Tabla8[[#This Row],[PIEZA]]="",Tabla8[[#This Row],[PARTE]]=""),"VACIO","OK")</f>
        <v>VACIO</v>
      </c>
      <c r="U1507" s="633" t="str">
        <f>+CONCATENATE(WEEKNUM(Tabla8[[#This Row],[FECHA]]),"-",YEAR(Tabla8[[#This Row],[FECHA]]))</f>
        <v>22-2026</v>
      </c>
    </row>
    <row r="1508" spans="1:21" ht="15" customHeight="1">
      <c r="A1508" s="22">
        <v>46170</v>
      </c>
      <c r="B1508" s="16" t="s">
        <v>179</v>
      </c>
      <c r="C1508" s="16" t="s">
        <v>36</v>
      </c>
      <c r="D1508" s="381">
        <v>0.5</v>
      </c>
      <c r="E1508" s="381">
        <v>0.54166666666666663</v>
      </c>
      <c r="F1508" s="632">
        <f>+MOD(Tabla8[[#This Row],[HR. FIN]]-Tabla8[[#This Row],[HR. INICIO]],1)</f>
        <v>4.166666666666663E-2</v>
      </c>
      <c r="G1508" s="16" t="s">
        <v>81</v>
      </c>
      <c r="H1508" s="79" t="str">
        <f>IFERROR(VLOOKUP(G1508,DATOS!$M$2:$N$219,2,FALSE),"")</f>
        <v>Maquinaria</v>
      </c>
      <c r="I1508" s="115" t="s">
        <v>390</v>
      </c>
      <c r="J1508" s="115" t="s">
        <v>157</v>
      </c>
      <c r="K1508" s="115"/>
      <c r="L1508" s="35" t="s">
        <v>2797</v>
      </c>
      <c r="M1508" s="35" t="s">
        <v>121</v>
      </c>
      <c r="N1508" s="35" t="str" cm="1">
        <f t="array" ref="N1508">IFERROR(IF(Tabla8[[#This Row],[P/NP]]="NO PROGRAMADA","",_xlfn.TEXTJOIN(", ",TRUE,_xlfn._xlws.FILTER(Tabla4[[#All],[PIEZA]],ISNUMBER(SEARCH(Tabla4[[#All],[PCLAVE]],Tabla8[[#This Row],[DESCRIPCION DE TRABAJO]])),""))),"")</f>
        <v>Empaque</v>
      </c>
      <c r="O1508" s="35" t="str" cm="1">
        <f t="array" ref="O1508">_xlfn.TEXTJOIN(", ",TRUE,_xlfn._xlws.FILTER(Tabla28[[#All],[PARTE]],ISNUMBER(SEARCH(Tabla28[[#All],[PCLAVE2]],Tabla8[[#This Row],[DESCRIPCION DE TRABAJO]])),""))</f>
        <v/>
      </c>
      <c r="P1508" s="633" t="str">
        <f>IFERROR(LEFT(O1508, FIND(",", O1508)-1), O1508)</f>
        <v/>
      </c>
      <c r="Q1508" s="633" t="str">
        <f>IFERROR(IF(ISERROR(FIND(",", O1508, FIND(",", O1508)+1)), RIGHT(O1508, LEN(O1508)-FIND(",", O1508)-1), MID(O1508, FIND(",", O1508)+2, FIND(",", O1508, FIND(",", O1508)+1)-FIND(",", O1508)-2)), "")</f>
        <v/>
      </c>
      <c r="R1508" s="633" t="str">
        <f>IFERROR(RIGHT(O1508, LEN(O1508)-FIND(",", O1508, FIND(",", O1508)+1)-1), "")</f>
        <v/>
      </c>
      <c r="S1508" s="35" t="str" cm="1">
        <f t="array" ref="S1508">_xlfn.TEXTJOIN(", ",TRUE,_xlfn._xlws.FILTER(Tabla29[[#All],[PARTE]],ISNUMBER(SEARCH(Tabla29[[#All],[PCLAVE3]],Tabla8[[#This Row],[DESCRIPCION DE TRABAJO]])),""))</f>
        <v/>
      </c>
      <c r="T1508" s="88" t="str">
        <f>IF(AND(Tabla8[[#This Row],[PIEZA]]="",Tabla8[[#This Row],[PARTE]]=""),"VACIO","OK")</f>
        <v>OK</v>
      </c>
      <c r="U1508" s="633" t="str">
        <f>+CONCATENATE(WEEKNUM(Tabla8[[#This Row],[FECHA]]),"-",YEAR(Tabla8[[#This Row],[FECHA]]))</f>
        <v>22-2026</v>
      </c>
    </row>
    <row r="1509" spans="1:21" ht="15" customHeight="1">
      <c r="A1509" s="22">
        <v>46170</v>
      </c>
      <c r="B1509" s="16" t="s">
        <v>131</v>
      </c>
      <c r="C1509" s="16" t="s">
        <v>23</v>
      </c>
      <c r="D1509" s="381" t="s">
        <v>2798</v>
      </c>
      <c r="E1509" s="381" t="s">
        <v>533</v>
      </c>
      <c r="F1509" s="632">
        <f>+MOD(Tabla8[[#This Row],[HR. FIN]]-Tabla8[[#This Row],[HR. INICIO]],1)</f>
        <v>3.9583333333333415E-2</v>
      </c>
      <c r="G1509" s="16" t="s">
        <v>192</v>
      </c>
      <c r="H1509" s="79" t="str">
        <f>IFERROR(VLOOKUP(G1509,DATOS!$M$2:$N$219,2,FALSE),"")</f>
        <v>Maquinaria</v>
      </c>
      <c r="I1509" s="115" t="s">
        <v>54</v>
      </c>
      <c r="J1509" s="115" t="s">
        <v>92</v>
      </c>
      <c r="K1509" s="115" t="s">
        <v>93</v>
      </c>
      <c r="L1509" s="35" t="s">
        <v>1283</v>
      </c>
      <c r="M1509" s="35" t="s">
        <v>2799</v>
      </c>
      <c r="N1509" s="35" t="str" cm="1">
        <f t="array" ref="N1509">IFERROR(IF(Tabla8[[#This Row],[P/NP]]="NO PROGRAMADA","",_xlfn.TEXTJOIN(", ",TRUE,_xlfn._xlws.FILTER(Tabla4[[#All],[PIEZA]],ISNUMBER(SEARCH(Tabla4[[#All],[PCLAVE]],Tabla8[[#This Row],[DESCRIPCION DE TRABAJO]])),""))),"")</f>
        <v/>
      </c>
      <c r="O1509" s="35" t="str" cm="1">
        <f t="array" ref="O1509">_xlfn.TEXTJOIN(", ",TRUE,_xlfn._xlws.FILTER(Tabla28[[#All],[PARTE]],ISNUMBER(SEARCH(Tabla28[[#All],[PCLAVE2]],Tabla8[[#This Row],[DESCRIPCION DE TRABAJO]])),""))</f>
        <v/>
      </c>
      <c r="P1509" s="633" t="str">
        <f>IFERROR(LEFT(O1509, FIND(",", O1509)-1), O1509)</f>
        <v/>
      </c>
      <c r="Q1509" s="633" t="str">
        <f>IFERROR(IF(ISERROR(FIND(",", O1509, FIND(",", O1509)+1)), RIGHT(O1509, LEN(O1509)-FIND(",", O1509)-1), MID(O1509, FIND(",", O1509)+2, FIND(",", O1509, FIND(",", O1509)+1)-FIND(",", O1509)-2)), "")</f>
        <v/>
      </c>
      <c r="R1509" s="633" t="str">
        <f>IFERROR(RIGHT(O1509, LEN(O1509)-FIND(",", O1509, FIND(",", O1509)+1)-1), "")</f>
        <v/>
      </c>
      <c r="S1509" s="35" t="str" cm="1">
        <f t="array" ref="S1509">_xlfn.TEXTJOIN(", ",TRUE,_xlfn._xlws.FILTER(Tabla29[[#All],[PARTE]],ISNUMBER(SEARCH(Tabla29[[#All],[PCLAVE3]],Tabla8[[#This Row],[DESCRIPCION DE TRABAJO]])),""))</f>
        <v>No Corta</v>
      </c>
      <c r="T1509" s="88" t="str">
        <f>IF(AND(Tabla8[[#This Row],[PIEZA]]="",Tabla8[[#This Row],[PARTE]]=""),"VACIO","OK")</f>
        <v>VACIO</v>
      </c>
      <c r="U1509" s="633" t="str">
        <f>+CONCATENATE(WEEKNUM(Tabla8[[#This Row],[FECHA]]),"-",YEAR(Tabla8[[#This Row],[FECHA]]))</f>
        <v>22-2026</v>
      </c>
    </row>
    <row r="1510" spans="1:21" ht="15" customHeight="1">
      <c r="A1510" s="22">
        <v>46170</v>
      </c>
      <c r="B1510" s="16" t="s">
        <v>179</v>
      </c>
      <c r="C1510" s="16" t="s">
        <v>36</v>
      </c>
      <c r="D1510" s="381" t="s">
        <v>600</v>
      </c>
      <c r="E1510" s="381" t="s">
        <v>97</v>
      </c>
      <c r="F1510" s="632">
        <f>+MOD(Tabla8[[#This Row],[HR. FIN]]-Tabla8[[#This Row],[HR. INICIO]],1)</f>
        <v>3.472222222222221E-2</v>
      </c>
      <c r="G1510" s="16" t="s">
        <v>119</v>
      </c>
      <c r="H1510" s="79" t="str">
        <f>IFERROR(VLOOKUP(G1510,DATOS!$M$2:$N$219,2,FALSE),"")</f>
        <v>Maquinaria</v>
      </c>
      <c r="I1510" s="115" t="s">
        <v>32</v>
      </c>
      <c r="J1510" s="115" t="s">
        <v>157</v>
      </c>
      <c r="K1510" s="115"/>
      <c r="L1510" s="35" t="s">
        <v>2800</v>
      </c>
      <c r="M1510" s="35" t="s">
        <v>121</v>
      </c>
      <c r="N1510" s="35" t="str" cm="1">
        <f t="array" ref="N1510">IFERROR(IF(Tabla8[[#This Row],[P/NP]]="NO PROGRAMADA","",_xlfn.TEXTJOIN(", ",TRUE,_xlfn._xlws.FILTER(Tabla4[[#All],[PIEZA]],ISNUMBER(SEARCH(Tabla4[[#All],[PCLAVE]],Tabla8[[#This Row],[DESCRIPCION DE TRABAJO]])),""))),"")</f>
        <v/>
      </c>
      <c r="O1510" s="35" t="str" cm="1">
        <f t="array" ref="O1510">_xlfn.TEXTJOIN(", ",TRUE,_xlfn._xlws.FILTER(Tabla28[[#All],[PARTE]],ISNUMBER(SEARCH(Tabla28[[#All],[PCLAVE2]],Tabla8[[#This Row],[DESCRIPCION DE TRABAJO]])),""))</f>
        <v>Mds</v>
      </c>
      <c r="P1510" s="633" t="str">
        <f>IFERROR(LEFT(O1510, FIND(",", O1510)-1), O1510)</f>
        <v>Mds</v>
      </c>
      <c r="Q1510" s="633" t="str">
        <f>IFERROR(IF(ISERROR(FIND(",", O1510, FIND(",", O1510)+1)), RIGHT(O1510, LEN(O1510)-FIND(",", O1510)-1), MID(O1510, FIND(",", O1510)+2, FIND(",", O1510, FIND(",", O1510)+1)-FIND(",", O1510)-2)), "")</f>
        <v/>
      </c>
      <c r="R1510" s="633" t="str">
        <f>IFERROR(RIGHT(O1510, LEN(O1510)-FIND(",", O1510, FIND(",", O1510)+1)-1), "")</f>
        <v/>
      </c>
      <c r="S1510" s="35" t="str" cm="1">
        <f t="array" ref="S1510">_xlfn.TEXTJOIN(", ",TRUE,_xlfn._xlws.FILTER(Tabla29[[#All],[PARTE]],ISNUMBER(SEARCH(Tabla29[[#All],[PCLAVE3]],Tabla8[[#This Row],[DESCRIPCION DE TRABAJO]])),""))</f>
        <v/>
      </c>
      <c r="T1510" s="88" t="str">
        <f>IF(AND(Tabla8[[#This Row],[PIEZA]]="",Tabla8[[#This Row],[PARTE]]=""),"VACIO","OK")</f>
        <v>OK</v>
      </c>
      <c r="U1510" s="633" t="str">
        <f>+CONCATENATE(WEEKNUM(Tabla8[[#This Row],[FECHA]]),"-",YEAR(Tabla8[[#This Row],[FECHA]]))</f>
        <v>22-2026</v>
      </c>
    </row>
    <row r="1511" spans="1:21" ht="15" customHeight="1">
      <c r="A1511" s="22">
        <v>46170</v>
      </c>
      <c r="B1511" s="16" t="s">
        <v>111</v>
      </c>
      <c r="C1511" s="16" t="s">
        <v>36</v>
      </c>
      <c r="D1511" s="381">
        <v>0.54861111111111116</v>
      </c>
      <c r="E1511" s="381">
        <v>0.57638888888888884</v>
      </c>
      <c r="F1511" s="632">
        <f>+MOD(Tabla8[[#This Row],[HR. FIN]]-Tabla8[[#This Row],[HR. INICIO]],1)</f>
        <v>2.7777777777777679E-2</v>
      </c>
      <c r="G1511" s="16" t="s">
        <v>81</v>
      </c>
      <c r="H1511" s="79" t="str">
        <f>IFERROR(VLOOKUP(G1511,DATOS!$M$2:$N$219,2,FALSE),"")</f>
        <v>Maquinaria</v>
      </c>
      <c r="I1511" s="115" t="s">
        <v>57</v>
      </c>
      <c r="J1511" s="115" t="s">
        <v>157</v>
      </c>
      <c r="K1511" s="115"/>
      <c r="L1511" s="35" t="s">
        <v>2801</v>
      </c>
      <c r="M1511" s="35" t="s">
        <v>121</v>
      </c>
      <c r="N1511" s="35" t="str" cm="1">
        <f t="array" ref="N1511">IFERROR(IF(Tabla8[[#This Row],[P/NP]]="NO PROGRAMADA","",_xlfn.TEXTJOIN(", ",TRUE,_xlfn._xlws.FILTER(Tabla4[[#All],[PIEZA]],ISNUMBER(SEARCH(Tabla4[[#All],[PCLAVE]],Tabla8[[#This Row],[DESCRIPCION DE TRABAJO]])),""))),"")</f>
        <v>Cuchilla, Perno</v>
      </c>
      <c r="O1511" s="35" t="str" cm="1">
        <f t="array" ref="O1511">_xlfn.TEXTJOIN(", ",TRUE,_xlfn._xlws.FILTER(Tabla28[[#All],[PARTE]],ISNUMBER(SEARCH(Tabla28[[#All],[PCLAVE2]],Tabla8[[#This Row],[DESCRIPCION DE TRABAJO]])),""))</f>
        <v/>
      </c>
      <c r="P1511" s="633" t="str">
        <f>IFERROR(LEFT(O1511, FIND(",", O1511)-1), O1511)</f>
        <v/>
      </c>
      <c r="Q1511" s="633" t="str">
        <f>IFERROR(IF(ISERROR(FIND(",", O1511, FIND(",", O1511)+1)), RIGHT(O1511, LEN(O1511)-FIND(",", O1511)-1), MID(O1511, FIND(",", O1511)+2, FIND(",", O1511, FIND(",", O1511)+1)-FIND(",", O1511)-2)), "")</f>
        <v/>
      </c>
      <c r="R1511" s="633" t="str">
        <f>IFERROR(RIGHT(O1511, LEN(O1511)-FIND(",", O1511, FIND(",", O1511)+1)-1), "")</f>
        <v/>
      </c>
      <c r="S1511" s="35" t="str" cm="1">
        <f t="array" ref="S1511">_xlfn.TEXTJOIN(", ",TRUE,_xlfn._xlws.FILTER(Tabla29[[#All],[PARTE]],ISNUMBER(SEARCH(Tabla29[[#All],[PCLAVE3]],Tabla8[[#This Row],[DESCRIPCION DE TRABAJO]])),""))</f>
        <v>Calibracion</v>
      </c>
      <c r="T1511" s="88" t="str">
        <f>IF(AND(Tabla8[[#This Row],[PIEZA]]="",Tabla8[[#This Row],[PARTE]]=""),"VACIO","OK")</f>
        <v>OK</v>
      </c>
      <c r="U1511" s="633" t="str">
        <f>+CONCATENATE(WEEKNUM(Tabla8[[#This Row],[FECHA]]),"-",YEAR(Tabla8[[#This Row],[FECHA]]))</f>
        <v>22-2026</v>
      </c>
    </row>
    <row r="1512" spans="1:21" ht="15" customHeight="1">
      <c r="A1512" s="22">
        <v>46170</v>
      </c>
      <c r="B1512" s="16" t="s">
        <v>191</v>
      </c>
      <c r="C1512" s="16" t="s">
        <v>39</v>
      </c>
      <c r="D1512" s="381" t="s">
        <v>568</v>
      </c>
      <c r="E1512" s="381" t="s">
        <v>1112</v>
      </c>
      <c r="F1512" s="632">
        <f>+MOD(Tabla8[[#This Row],[HR. FIN]]-Tabla8[[#This Row],[HR. INICIO]],1)</f>
        <v>2.6388888888888906E-2</v>
      </c>
      <c r="G1512" s="16" t="s">
        <v>182</v>
      </c>
      <c r="H1512" s="79" t="str">
        <f>IFERROR(VLOOKUP(G1512,DATOS!$M$2:$N$219,2,FALSE),"")</f>
        <v>Maquinaria</v>
      </c>
      <c r="I1512" s="115" t="s">
        <v>57</v>
      </c>
      <c r="J1512" s="115" t="s">
        <v>92</v>
      </c>
      <c r="K1512" s="115" t="s">
        <v>93</v>
      </c>
      <c r="L1512" s="35" t="s">
        <v>2802</v>
      </c>
      <c r="M1512" s="35" t="s">
        <v>2803</v>
      </c>
      <c r="N1512" s="35" t="str" cm="1">
        <f t="array" ref="N1512">IFERROR(IF(Tabla8[[#This Row],[P/NP]]="NO PROGRAMADA","",_xlfn.TEXTJOIN(", ",TRUE,_xlfn._xlws.FILTER(Tabla4[[#All],[PIEZA]],ISNUMBER(SEARCH(Tabla4[[#All],[PCLAVE]],Tabla8[[#This Row],[DESCRIPCION DE TRABAJO]])),""))),"")</f>
        <v/>
      </c>
      <c r="O1512" s="35" t="str" cm="1">
        <f t="array" ref="O1512">_xlfn.TEXTJOIN(", ",TRUE,_xlfn._xlws.FILTER(Tabla28[[#All],[PARTE]],ISNUMBER(SEARCH(Tabla28[[#All],[PCLAVE2]],Tabla8[[#This Row],[DESCRIPCION DE TRABAJO]])),""))</f>
        <v/>
      </c>
      <c r="P1512" s="633" t="str">
        <f>IFERROR(LEFT(O1512, FIND(",", O1512)-1), O1512)</f>
        <v/>
      </c>
      <c r="Q1512" s="633" t="str">
        <f>IFERROR(IF(ISERROR(FIND(",", O1512, FIND(",", O1512)+1)), RIGHT(O1512, LEN(O1512)-FIND(",", O1512)-1), MID(O1512, FIND(",", O1512)+2, FIND(",", O1512, FIND(",", O1512)+1)-FIND(",", O1512)-2)), "")</f>
        <v/>
      </c>
      <c r="R1512" s="633" t="str">
        <f>IFERROR(RIGHT(O1512, LEN(O1512)-FIND(",", O1512, FIND(",", O1512)+1)-1), "")</f>
        <v/>
      </c>
      <c r="S1512" s="35" t="str" cm="1">
        <f t="array" ref="S1512">_xlfn.TEXTJOIN(", ",TRUE,_xlfn._xlws.FILTER(Tabla29[[#All],[PARTE]],ISNUMBER(SEARCH(Tabla29[[#All],[PCLAVE3]],Tabla8[[#This Row],[DESCRIPCION DE TRABAJO]])),""))</f>
        <v>No Sella, Se Pegan</v>
      </c>
      <c r="T1512" s="88" t="str">
        <f>IF(AND(Tabla8[[#This Row],[PIEZA]]="",Tabla8[[#This Row],[PARTE]]=""),"VACIO","OK")</f>
        <v>VACIO</v>
      </c>
      <c r="U1512" s="633" t="str">
        <f>+CONCATENATE(WEEKNUM(Tabla8[[#This Row],[FECHA]]),"-",YEAR(Tabla8[[#This Row],[FECHA]]))</f>
        <v>22-2026</v>
      </c>
    </row>
    <row r="1513" spans="1:21" ht="15" customHeight="1">
      <c r="A1513" s="22">
        <v>46170</v>
      </c>
      <c r="B1513" s="16" t="s">
        <v>191</v>
      </c>
      <c r="C1513" s="16" t="s">
        <v>39</v>
      </c>
      <c r="D1513" s="381" t="s">
        <v>2592</v>
      </c>
      <c r="E1513" s="381" t="s">
        <v>292</v>
      </c>
      <c r="F1513" s="632">
        <f>+MOD(Tabla8[[#This Row],[HR. FIN]]-Tabla8[[#This Row],[HR. INICIO]],1)</f>
        <v>2.6388888888888892E-2</v>
      </c>
      <c r="G1513" s="16" t="s">
        <v>182</v>
      </c>
      <c r="H1513" s="79" t="str">
        <f>IFERROR(VLOOKUP(G1513,DATOS!$M$2:$N$219,2,FALSE),"")</f>
        <v>Maquinaria</v>
      </c>
      <c r="I1513" s="115" t="s">
        <v>32</v>
      </c>
      <c r="J1513" s="115" t="s">
        <v>157</v>
      </c>
      <c r="K1513" s="115"/>
      <c r="L1513" s="35" t="s">
        <v>2804</v>
      </c>
      <c r="M1513" s="35" t="s">
        <v>121</v>
      </c>
      <c r="N1513" s="35" t="str" cm="1">
        <f t="array" ref="N1513">IFERROR(IF(Tabla8[[#This Row],[P/NP]]="NO PROGRAMADA","",_xlfn.TEXTJOIN(", ",TRUE,_xlfn._xlws.FILTER(Tabla4[[#All],[PIEZA]],ISNUMBER(SEARCH(Tabla4[[#All],[PCLAVE]],Tabla8[[#This Row],[DESCRIPCION DE TRABAJO]])),""))),"")</f>
        <v/>
      </c>
      <c r="O1513" s="35" t="str" cm="1">
        <f t="array" ref="O1513">_xlfn.TEXTJOIN(", ",TRUE,_xlfn._xlws.FILTER(Tabla28[[#All],[PARTE]],ISNUMBER(SEARCH(Tabla28[[#All],[PCLAVE2]],Tabla8[[#This Row],[DESCRIPCION DE TRABAJO]])),""))</f>
        <v/>
      </c>
      <c r="P1513" s="633" t="str">
        <f>IFERROR(LEFT(O1513, FIND(",", O1513)-1), O1513)</f>
        <v/>
      </c>
      <c r="Q1513" s="633" t="str">
        <f>IFERROR(IF(ISERROR(FIND(",", O1513, FIND(",", O1513)+1)), RIGHT(O1513, LEN(O1513)-FIND(",", O1513)-1), MID(O1513, FIND(",", O1513)+2, FIND(",", O1513, FIND(",", O1513)+1)-FIND(",", O1513)-2)), "")</f>
        <v/>
      </c>
      <c r="R1513" s="633" t="str">
        <f>IFERROR(RIGHT(O1513, LEN(O1513)-FIND(",", O1513, FIND(",", O1513)+1)-1), "")</f>
        <v/>
      </c>
      <c r="S1513" s="35" t="str" cm="1">
        <f t="array" ref="S1513">_xlfn.TEXTJOIN(", ",TRUE,_xlfn._xlws.FILTER(Tabla29[[#All],[PARTE]],ISNUMBER(SEARCH(Tabla29[[#All],[PCLAVE3]],Tabla8[[#This Row],[DESCRIPCION DE TRABAJO]])),""))</f>
        <v>Cambio De Formato</v>
      </c>
      <c r="T1513" s="88" t="str">
        <f>IF(AND(Tabla8[[#This Row],[PIEZA]]="",Tabla8[[#This Row],[PARTE]]=""),"VACIO","OK")</f>
        <v>VACIO</v>
      </c>
      <c r="U1513" s="633" t="str">
        <f>+CONCATENATE(WEEKNUM(Tabla8[[#This Row],[FECHA]]),"-",YEAR(Tabla8[[#This Row],[FECHA]]))</f>
        <v>22-2026</v>
      </c>
    </row>
    <row r="1514" spans="1:21" ht="15" customHeight="1">
      <c r="A1514" s="22">
        <v>46170</v>
      </c>
      <c r="B1514" s="16" t="s">
        <v>131</v>
      </c>
      <c r="C1514" s="16" t="s">
        <v>23</v>
      </c>
      <c r="D1514" s="381" t="s">
        <v>2805</v>
      </c>
      <c r="E1514" s="381" t="s">
        <v>526</v>
      </c>
      <c r="F1514" s="632">
        <f>+MOD(Tabla8[[#This Row],[HR. FIN]]-Tabla8[[#This Row],[HR. INICIO]],1)</f>
        <v>2.430555555555558E-2</v>
      </c>
      <c r="G1514" s="16" t="s">
        <v>192</v>
      </c>
      <c r="H1514" s="79" t="str">
        <f>IFERROR(VLOOKUP(G1514,DATOS!$M$2:$N$219,2,FALSE),"")</f>
        <v>Maquinaria</v>
      </c>
      <c r="I1514" s="115" t="s">
        <v>28</v>
      </c>
      <c r="J1514" s="115" t="s">
        <v>92</v>
      </c>
      <c r="K1514" s="115" t="s">
        <v>93</v>
      </c>
      <c r="L1514" s="35" t="s">
        <v>2806</v>
      </c>
      <c r="M1514" s="35" t="s">
        <v>121</v>
      </c>
      <c r="N1514" s="35" t="str" cm="1">
        <f t="array" ref="N1514">IFERROR(IF(Tabla8[[#This Row],[P/NP]]="NO PROGRAMADA","",_xlfn.TEXTJOIN(", ",TRUE,_xlfn._xlws.FILTER(Tabla4[[#All],[PIEZA]],ISNUMBER(SEARCH(Tabla4[[#All],[PCLAVE]],Tabla8[[#This Row],[DESCRIPCION DE TRABAJO]])),""))),"")</f>
        <v/>
      </c>
      <c r="O1514" s="35" t="str" cm="1">
        <f t="array" ref="O1514">_xlfn.TEXTJOIN(", ",TRUE,_xlfn._xlws.FILTER(Tabla28[[#All],[PARTE]],ISNUMBER(SEARCH(Tabla28[[#All],[PCLAVE2]],Tabla8[[#This Row],[DESCRIPCION DE TRABAJO]])),""))</f>
        <v/>
      </c>
      <c r="P1514" s="633" t="str">
        <f>IFERROR(LEFT(O1514, FIND(",", O1514)-1), O1514)</f>
        <v/>
      </c>
      <c r="Q1514" s="633" t="str">
        <f>IFERROR(IF(ISERROR(FIND(",", O1514, FIND(",", O1514)+1)), RIGHT(O1514, LEN(O1514)-FIND(",", O1514)-1), MID(O1514, FIND(",", O1514)+2, FIND(",", O1514, FIND(",", O1514)+1)-FIND(",", O1514)-2)), "")</f>
        <v/>
      </c>
      <c r="R1514" s="633" t="str">
        <f>IFERROR(RIGHT(O1514, LEN(O1514)-FIND(",", O1514, FIND(",", O1514)+1)-1), "")</f>
        <v/>
      </c>
      <c r="S1514" s="35" t="str" cm="1">
        <f t="array" ref="S1514">_xlfn.TEXTJOIN(", ",TRUE,_xlfn._xlws.FILTER(Tabla29[[#All],[PARTE]],ISNUMBER(SEARCH(Tabla29[[#All],[PCLAVE3]],Tabla8[[#This Row],[DESCRIPCION DE TRABAJO]])),""))</f>
        <v/>
      </c>
      <c r="T1514" s="88" t="str">
        <f>IF(AND(Tabla8[[#This Row],[PIEZA]]="",Tabla8[[#This Row],[PARTE]]=""),"VACIO","OK")</f>
        <v>VACIO</v>
      </c>
      <c r="U1514" s="633" t="str">
        <f>+CONCATENATE(WEEKNUM(Tabla8[[#This Row],[FECHA]]),"-",YEAR(Tabla8[[#This Row],[FECHA]]))</f>
        <v>22-2026</v>
      </c>
    </row>
    <row r="1515" spans="1:21" ht="15" customHeight="1">
      <c r="A1515" s="22">
        <v>46170</v>
      </c>
      <c r="B1515" s="16" t="s">
        <v>191</v>
      </c>
      <c r="C1515" s="16" t="s">
        <v>39</v>
      </c>
      <c r="D1515" s="381" t="s">
        <v>2807</v>
      </c>
      <c r="E1515" s="381" t="s">
        <v>2808</v>
      </c>
      <c r="F1515" s="632">
        <f>+MOD(Tabla8[[#This Row],[HR. FIN]]-Tabla8[[#This Row],[HR. INICIO]],1)</f>
        <v>2.4305555555555552E-2</v>
      </c>
      <c r="G1515" s="16" t="s">
        <v>119</v>
      </c>
      <c r="H1515" s="79" t="str">
        <f>IFERROR(VLOOKUP(G1515,DATOS!$M$2:$N$219,2,FALSE),"")</f>
        <v>Maquinaria</v>
      </c>
      <c r="I1515" s="115" t="s">
        <v>32</v>
      </c>
      <c r="J1515" s="115" t="s">
        <v>157</v>
      </c>
      <c r="K1515" s="115"/>
      <c r="L1515" s="35" t="s">
        <v>1508</v>
      </c>
      <c r="M1515" s="35" t="s">
        <v>121</v>
      </c>
      <c r="N1515" s="35" t="str" cm="1">
        <f t="array" ref="N1515">IFERROR(IF(Tabla8[[#This Row],[P/NP]]="NO PROGRAMADA","",_xlfn.TEXTJOIN(", ",TRUE,_xlfn._xlws.FILTER(Tabla4[[#All],[PIEZA]],ISNUMBER(SEARCH(Tabla4[[#All],[PCLAVE]],Tabla8[[#This Row],[DESCRIPCION DE TRABAJO]])),""))),"")</f>
        <v/>
      </c>
      <c r="O1515" s="35" t="str" cm="1">
        <f t="array" ref="O1515">_xlfn.TEXTJOIN(", ",TRUE,_xlfn._xlws.FILTER(Tabla28[[#All],[PARTE]],ISNUMBER(SEARCH(Tabla28[[#All],[PCLAVE2]],Tabla8[[#This Row],[DESCRIPCION DE TRABAJO]])),""))</f>
        <v>Mds</v>
      </c>
      <c r="P1515" s="633" t="str">
        <f>IFERROR(LEFT(O1515, FIND(",", O1515)-1), O1515)</f>
        <v>Mds</v>
      </c>
      <c r="Q1515" s="633" t="str">
        <f>IFERROR(IF(ISERROR(FIND(",", O1515, FIND(",", O1515)+1)), RIGHT(O1515, LEN(O1515)-FIND(",", O1515)-1), MID(O1515, FIND(",", O1515)+2, FIND(",", O1515, FIND(",", O1515)+1)-FIND(",", O1515)-2)), "")</f>
        <v/>
      </c>
      <c r="R1515" s="633" t="str">
        <f>IFERROR(RIGHT(O1515, LEN(O1515)-FIND(",", O1515, FIND(",", O1515)+1)-1), "")</f>
        <v/>
      </c>
      <c r="S1515" s="35" t="str" cm="1">
        <f t="array" ref="S1515">_xlfn.TEXTJOIN(", ",TRUE,_xlfn._xlws.FILTER(Tabla29[[#All],[PARTE]],ISNUMBER(SEARCH(Tabla29[[#All],[PCLAVE3]],Tabla8[[#This Row],[DESCRIPCION DE TRABAJO]])),""))</f>
        <v>Cambio De Formato</v>
      </c>
      <c r="T1515" s="88" t="str">
        <f>IF(AND(Tabla8[[#This Row],[PIEZA]]="",Tabla8[[#This Row],[PARTE]]=""),"VACIO","OK")</f>
        <v>OK</v>
      </c>
      <c r="U1515" s="633" t="str">
        <f>+CONCATENATE(WEEKNUM(Tabla8[[#This Row],[FECHA]]),"-",YEAR(Tabla8[[#This Row],[FECHA]]))</f>
        <v>22-2026</v>
      </c>
    </row>
    <row r="1516" spans="1:21" ht="15" customHeight="1">
      <c r="A1516" s="22">
        <v>46170</v>
      </c>
      <c r="B1516" s="16" t="s">
        <v>191</v>
      </c>
      <c r="C1516" s="16" t="s">
        <v>39</v>
      </c>
      <c r="D1516" s="381" t="s">
        <v>2809</v>
      </c>
      <c r="E1516" s="381" t="s">
        <v>739</v>
      </c>
      <c r="F1516" s="632">
        <f>+MOD(Tabla8[[#This Row],[HR. FIN]]-Tabla8[[#This Row],[HR. INICIO]],1)</f>
        <v>2.2916666666666696E-2</v>
      </c>
      <c r="G1516" s="16" t="s">
        <v>119</v>
      </c>
      <c r="H1516" s="79" t="str">
        <f>IFERROR(VLOOKUP(G1516,DATOS!$M$2:$N$219,2,FALSE),"")</f>
        <v>Maquinaria</v>
      </c>
      <c r="I1516" s="115" t="s">
        <v>32</v>
      </c>
      <c r="J1516" s="115" t="s">
        <v>157</v>
      </c>
      <c r="K1516" s="115"/>
      <c r="L1516" s="35" t="s">
        <v>2810</v>
      </c>
      <c r="M1516" s="35" t="s">
        <v>121</v>
      </c>
      <c r="N1516" s="35" t="str" cm="1">
        <f t="array" ref="N1516">IFERROR(IF(Tabla8[[#This Row],[P/NP]]="NO PROGRAMADA","",_xlfn.TEXTJOIN(", ",TRUE,_xlfn._xlws.FILTER(Tabla4[[#All],[PIEZA]],ISNUMBER(SEARCH(Tabla4[[#All],[PCLAVE]],Tabla8[[#This Row],[DESCRIPCION DE TRABAJO]])),""))),"")</f>
        <v/>
      </c>
      <c r="O1516" s="35" t="str" cm="1">
        <f t="array" ref="O1516">_xlfn.TEXTJOIN(", ",TRUE,_xlfn._xlws.FILTER(Tabla28[[#All],[PARTE]],ISNUMBER(SEARCH(Tabla28[[#All],[PCLAVE2]],Tabla8[[#This Row],[DESCRIPCION DE TRABAJO]])),""))</f>
        <v>Mds</v>
      </c>
      <c r="P1516" s="633" t="str">
        <f>IFERROR(LEFT(O1516, FIND(",", O1516)-1), O1516)</f>
        <v>Mds</v>
      </c>
      <c r="Q1516" s="633" t="str">
        <f>IFERROR(IF(ISERROR(FIND(",", O1516, FIND(",", O1516)+1)), RIGHT(O1516, LEN(O1516)-FIND(",", O1516)-1), MID(O1516, FIND(",", O1516)+2, FIND(",", O1516, FIND(",", O1516)+1)-FIND(",", O1516)-2)), "")</f>
        <v/>
      </c>
      <c r="R1516" s="633" t="str">
        <f>IFERROR(RIGHT(O1516, LEN(O1516)-FIND(",", O1516, FIND(",", O1516)+1)-1), "")</f>
        <v/>
      </c>
      <c r="S1516" s="35" t="str" cm="1">
        <f t="array" ref="S1516">_xlfn.TEXTJOIN(", ",TRUE,_xlfn._xlws.FILTER(Tabla29[[#All],[PARTE]],ISNUMBER(SEARCH(Tabla29[[#All],[PCLAVE3]],Tabla8[[#This Row],[DESCRIPCION DE TRABAJO]])),""))</f>
        <v>Cambio De Formato</v>
      </c>
      <c r="T1516" s="88" t="str">
        <f>IF(AND(Tabla8[[#This Row],[PIEZA]]="",Tabla8[[#This Row],[PARTE]]=""),"VACIO","OK")</f>
        <v>OK</v>
      </c>
      <c r="U1516" s="633" t="str">
        <f>+CONCATENATE(WEEKNUM(Tabla8[[#This Row],[FECHA]]),"-",YEAR(Tabla8[[#This Row],[FECHA]]))</f>
        <v>22-2026</v>
      </c>
    </row>
    <row r="1517" spans="1:21" ht="15" customHeight="1">
      <c r="A1517" s="22">
        <v>46170</v>
      </c>
      <c r="B1517" s="16" t="s">
        <v>131</v>
      </c>
      <c r="C1517" s="16" t="s">
        <v>23</v>
      </c>
      <c r="D1517" s="381" t="s">
        <v>515</v>
      </c>
      <c r="E1517" s="381" t="s">
        <v>2811</v>
      </c>
      <c r="F1517" s="632">
        <f>+MOD(Tabla8[[#This Row],[HR. FIN]]-Tabla8[[#This Row],[HR. INICIO]],1)</f>
        <v>2.2916666666666696E-2</v>
      </c>
      <c r="G1517" s="16" t="s">
        <v>31</v>
      </c>
      <c r="H1517" s="79" t="str">
        <f>IFERROR(VLOOKUP(G1517,DATOS!$M$2:$N$219,2,FALSE),"")</f>
        <v>Maquinaria</v>
      </c>
      <c r="I1517" s="115" t="s">
        <v>390</v>
      </c>
      <c r="J1517" s="115" t="s">
        <v>157</v>
      </c>
      <c r="K1517" s="115"/>
      <c r="L1517" s="35" t="s">
        <v>1606</v>
      </c>
      <c r="M1517" s="35" t="s">
        <v>121</v>
      </c>
      <c r="N1517" s="35" t="str" cm="1">
        <f t="array" ref="N1517">IFERROR(IF(Tabla8[[#This Row],[P/NP]]="NO PROGRAMADA","",_xlfn.TEXTJOIN(", ",TRUE,_xlfn._xlws.FILTER(Tabla4[[#All],[PIEZA]],ISNUMBER(SEARCH(Tabla4[[#All],[PCLAVE]],Tabla8[[#This Row],[DESCRIPCION DE TRABAJO]])),""))),"")</f>
        <v/>
      </c>
      <c r="O1517" s="35" t="str" cm="1">
        <f t="array" ref="O1517">_xlfn.TEXTJOIN(", ",TRUE,_xlfn._xlws.FILTER(Tabla28[[#All],[PARTE]],ISNUMBER(SEARCH(Tabla28[[#All],[PCLAVE2]],Tabla8[[#This Row],[DESCRIPCION DE TRABAJO]])),""))</f>
        <v/>
      </c>
      <c r="P1517" s="633" t="str">
        <f>IFERROR(LEFT(O1517, FIND(",", O1517)-1), O1517)</f>
        <v/>
      </c>
      <c r="Q1517" s="633" t="str">
        <f>IFERROR(IF(ISERROR(FIND(",", O1517, FIND(",", O1517)+1)), RIGHT(O1517, LEN(O1517)-FIND(",", O1517)-1), MID(O1517, FIND(",", O1517)+2, FIND(",", O1517, FIND(",", O1517)+1)-FIND(",", O1517)-2)), "")</f>
        <v/>
      </c>
      <c r="R1517" s="633" t="str">
        <f>IFERROR(RIGHT(O1517, LEN(O1517)-FIND(",", O1517, FIND(",", O1517)+1)-1), "")</f>
        <v/>
      </c>
      <c r="S1517" s="35" t="str" cm="1">
        <f t="array" ref="S1517">_xlfn.TEXTJOIN(", ",TRUE,_xlfn._xlws.FILTER(Tabla29[[#All],[PARTE]],ISNUMBER(SEARCH(Tabla29[[#All],[PCLAVE3]],Tabla8[[#This Row],[DESCRIPCION DE TRABAJO]])),""))</f>
        <v/>
      </c>
      <c r="T1517" s="88" t="str">
        <f>IF(AND(Tabla8[[#This Row],[PIEZA]]="",Tabla8[[#This Row],[PARTE]]=""),"VACIO","OK")</f>
        <v>VACIO</v>
      </c>
      <c r="U1517" s="633" t="str">
        <f>+CONCATENATE(WEEKNUM(Tabla8[[#This Row],[FECHA]]),"-",YEAR(Tabla8[[#This Row],[FECHA]]))</f>
        <v>22-2026</v>
      </c>
    </row>
    <row r="1518" spans="1:21" ht="15" customHeight="1">
      <c r="A1518" s="22">
        <v>46170</v>
      </c>
      <c r="B1518" s="16" t="s">
        <v>88</v>
      </c>
      <c r="C1518" s="16" t="s">
        <v>23</v>
      </c>
      <c r="D1518" s="381" t="s">
        <v>450</v>
      </c>
      <c r="E1518" s="381" t="s">
        <v>311</v>
      </c>
      <c r="F1518" s="632">
        <f>+MOD(Tabla8[[#This Row],[HR. FIN]]-Tabla8[[#This Row],[HR. INICIO]],1)</f>
        <v>2.083333333333337E-2</v>
      </c>
      <c r="G1518" s="16" t="s">
        <v>266</v>
      </c>
      <c r="H1518" s="79" t="str">
        <f>IFERROR(VLOOKUP(G1518,DATOS!$M$2:$N$219,2,FALSE),"")</f>
        <v>Maquinaria</v>
      </c>
      <c r="I1518" s="115" t="s">
        <v>28</v>
      </c>
      <c r="J1518" s="115" t="s">
        <v>92</v>
      </c>
      <c r="K1518" s="115" t="s">
        <v>93</v>
      </c>
      <c r="L1518" s="35" t="s">
        <v>2812</v>
      </c>
      <c r="M1518" s="35" t="s">
        <v>2813</v>
      </c>
      <c r="N1518" s="35" t="str" cm="1">
        <f t="array" ref="N1518">IFERROR(IF(Tabla8[[#This Row],[P/NP]]="NO PROGRAMADA","",_xlfn.TEXTJOIN(", ",TRUE,_xlfn._xlws.FILTER(Tabla4[[#All],[PIEZA]],ISNUMBER(SEARCH(Tabla4[[#All],[PCLAVE]],Tabla8[[#This Row],[DESCRIPCION DE TRABAJO]])),""))),"")</f>
        <v/>
      </c>
      <c r="O1518" s="35" t="str" cm="1">
        <f t="array" ref="O1518">_xlfn.TEXTJOIN(", ",TRUE,_xlfn._xlws.FILTER(Tabla28[[#All],[PARTE]],ISNUMBER(SEARCH(Tabla28[[#All],[PCLAVE2]],Tabla8[[#This Row],[DESCRIPCION DE TRABAJO]])),""))</f>
        <v/>
      </c>
      <c r="P1518" s="633" t="str">
        <f>IFERROR(LEFT(O1518, FIND(",", O1518)-1), O1518)</f>
        <v/>
      </c>
      <c r="Q1518" s="633" t="str">
        <f>IFERROR(IF(ISERROR(FIND(",", O1518, FIND(",", O1518)+1)), RIGHT(O1518, LEN(O1518)-FIND(",", O1518)-1), MID(O1518, FIND(",", O1518)+2, FIND(",", O1518, FIND(",", O1518)+1)-FIND(",", O1518)-2)), "")</f>
        <v/>
      </c>
      <c r="R1518" s="633" t="str">
        <f>IFERROR(RIGHT(O1518, LEN(O1518)-FIND(",", O1518, FIND(",", O1518)+1)-1), "")</f>
        <v/>
      </c>
      <c r="S1518" s="35" t="str" cm="1">
        <f t="array" ref="S1518">_xlfn.TEXTJOIN(", ",TRUE,_xlfn._xlws.FILTER(Tabla29[[#All],[PARTE]],ISNUMBER(SEARCH(Tabla29[[#All],[PCLAVE3]],Tabla8[[#This Row],[DESCRIPCION DE TRABAJO]])),""))</f>
        <v>Dañado</v>
      </c>
      <c r="T1518" s="88" t="str">
        <f>IF(AND(Tabla8[[#This Row],[PIEZA]]="",Tabla8[[#This Row],[PARTE]]=""),"VACIO","OK")</f>
        <v>VACIO</v>
      </c>
      <c r="U1518" s="633" t="str">
        <f>+CONCATENATE(WEEKNUM(Tabla8[[#This Row],[FECHA]]),"-",YEAR(Tabla8[[#This Row],[FECHA]]))</f>
        <v>22-2026</v>
      </c>
    </row>
    <row r="1519" spans="1:21" ht="15" customHeight="1">
      <c r="A1519" s="22">
        <v>46170</v>
      </c>
      <c r="B1519" s="16" t="s">
        <v>88</v>
      </c>
      <c r="C1519" s="16" t="s">
        <v>23</v>
      </c>
      <c r="D1519" s="381" t="s">
        <v>957</v>
      </c>
      <c r="E1519" s="381" t="s">
        <v>590</v>
      </c>
      <c r="F1519" s="632">
        <f>+MOD(Tabla8[[#This Row],[HR. FIN]]-Tabla8[[#This Row],[HR. INICIO]],1)</f>
        <v>2.083333333333337E-2</v>
      </c>
      <c r="G1519" s="16" t="s">
        <v>119</v>
      </c>
      <c r="H1519" s="79" t="str">
        <f>IFERROR(VLOOKUP(G1519,DATOS!$M$2:$N$219,2,FALSE),"")</f>
        <v>Maquinaria</v>
      </c>
      <c r="I1519" s="115" t="s">
        <v>390</v>
      </c>
      <c r="J1519" s="115" t="s">
        <v>157</v>
      </c>
      <c r="K1519" s="115"/>
      <c r="L1519" s="35" t="s">
        <v>1040</v>
      </c>
      <c r="M1519" s="35" t="s">
        <v>214</v>
      </c>
      <c r="N1519" s="35" t="str" cm="1">
        <f t="array" ref="N1519">IFERROR(IF(Tabla8[[#This Row],[P/NP]]="NO PROGRAMADA","",_xlfn.TEXTJOIN(", ",TRUE,_xlfn._xlws.FILTER(Tabla4[[#All],[PIEZA]],ISNUMBER(SEARCH(Tabla4[[#All],[PCLAVE]],Tabla8[[#This Row],[DESCRIPCION DE TRABAJO]])),""))),"")</f>
        <v/>
      </c>
      <c r="O1519" s="35" t="str" cm="1">
        <f t="array" ref="O1519">_xlfn.TEXTJOIN(", ",TRUE,_xlfn._xlws.FILTER(Tabla28[[#All],[PARTE]],ISNUMBER(SEARCH(Tabla28[[#All],[PCLAVE2]],Tabla8[[#This Row],[DESCRIPCION DE TRABAJO]])),""))</f>
        <v/>
      </c>
      <c r="P1519" s="633" t="str">
        <f>IFERROR(LEFT(O1519, FIND(",", O1519)-1), O1519)</f>
        <v/>
      </c>
      <c r="Q1519" s="633" t="str">
        <f>IFERROR(IF(ISERROR(FIND(",", O1519, FIND(",", O1519)+1)), RIGHT(O1519, LEN(O1519)-FIND(",", O1519)-1), MID(O1519, FIND(",", O1519)+2, FIND(",", O1519, FIND(",", O1519)+1)-FIND(",", O1519)-2)), "")</f>
        <v/>
      </c>
      <c r="R1519" s="633" t="str">
        <f>IFERROR(RIGHT(O1519, LEN(O1519)-FIND(",", O1519, FIND(",", O1519)+1)-1), "")</f>
        <v/>
      </c>
      <c r="S1519" s="35" t="str" cm="1">
        <f t="array" ref="S1519">_xlfn.TEXTJOIN(", ",TRUE,_xlfn._xlws.FILTER(Tabla29[[#All],[PARTE]],ISNUMBER(SEARCH(Tabla29[[#All],[PCLAVE3]],Tabla8[[#This Row],[DESCRIPCION DE TRABAJO]])),""))</f>
        <v/>
      </c>
      <c r="T1519" s="88" t="str">
        <f>IF(AND(Tabla8[[#This Row],[PIEZA]]="",Tabla8[[#This Row],[PARTE]]=""),"VACIO","OK")</f>
        <v>VACIO</v>
      </c>
      <c r="U1519" s="633" t="str">
        <f>+CONCATENATE(WEEKNUM(Tabla8[[#This Row],[FECHA]]),"-",YEAR(Tabla8[[#This Row],[FECHA]]))</f>
        <v>22-2026</v>
      </c>
    </row>
    <row r="1520" spans="1:21" ht="15" customHeight="1">
      <c r="A1520" s="22">
        <v>46170</v>
      </c>
      <c r="B1520" s="16" t="s">
        <v>191</v>
      </c>
      <c r="C1520" s="16" t="s">
        <v>39</v>
      </c>
      <c r="D1520" s="381" t="s">
        <v>598</v>
      </c>
      <c r="E1520" s="381" t="s">
        <v>2814</v>
      </c>
      <c r="F1520" s="632">
        <f>+MOD(Tabla8[[#This Row],[HR. FIN]]-Tabla8[[#This Row],[HR. INICIO]],1)</f>
        <v>1.7361111111111112E-2</v>
      </c>
      <c r="G1520" s="16" t="s">
        <v>31</v>
      </c>
      <c r="H1520" s="79" t="str">
        <f>IFERROR(VLOOKUP(G1520,DATOS!$M$2:$N$219,2,FALSE),"")</f>
        <v>Maquinaria</v>
      </c>
      <c r="I1520" s="115" t="s">
        <v>57</v>
      </c>
      <c r="J1520" s="115" t="s">
        <v>92</v>
      </c>
      <c r="K1520" s="115" t="s">
        <v>148</v>
      </c>
      <c r="L1520" s="35" t="s">
        <v>2815</v>
      </c>
      <c r="M1520" s="35" t="s">
        <v>2816</v>
      </c>
      <c r="N1520" s="35" t="str" cm="1">
        <f t="array" ref="N1520">IFERROR(IF(Tabla8[[#This Row],[P/NP]]="NO PROGRAMADA","",_xlfn.TEXTJOIN(", ",TRUE,_xlfn._xlws.FILTER(Tabla4[[#All],[PIEZA]],ISNUMBER(SEARCH(Tabla4[[#All],[PCLAVE]],Tabla8[[#This Row],[DESCRIPCION DE TRABAJO]])),""))),"")</f>
        <v/>
      </c>
      <c r="O1520" s="35" t="str" cm="1">
        <f t="array" ref="O1520">_xlfn.TEXTJOIN(", ",TRUE,_xlfn._xlws.FILTER(Tabla28[[#All],[PARTE]],ISNUMBER(SEARCH(Tabla28[[#All],[PCLAVE2]],Tabla8[[#This Row],[DESCRIPCION DE TRABAJO]])),""))</f>
        <v/>
      </c>
      <c r="P1520" s="633" t="str">
        <f>IFERROR(LEFT(O1520, FIND(",", O1520)-1), O1520)</f>
        <v/>
      </c>
      <c r="Q1520" s="633" t="str">
        <f>IFERROR(IF(ISERROR(FIND(",", O1520, FIND(",", O1520)+1)), RIGHT(O1520, LEN(O1520)-FIND(",", O1520)-1), MID(O1520, FIND(",", O1520)+2, FIND(",", O1520, FIND(",", O1520)+1)-FIND(",", O1520)-2)), "")</f>
        <v/>
      </c>
      <c r="R1520" s="633" t="str">
        <f>IFERROR(RIGHT(O1520, LEN(O1520)-FIND(",", O1520, FIND(",", O1520)+1)-1), "")</f>
        <v/>
      </c>
      <c r="S1520" s="35" t="str" cm="1">
        <f t="array" ref="S1520">_xlfn.TEXTJOIN(", ",TRUE,_xlfn._xlws.FILTER(Tabla29[[#All],[PARTE]],ISNUMBER(SEARCH(Tabla29[[#All],[PCLAVE3]],Tabla8[[#This Row],[DESCRIPCION DE TRABAJO]])),""))</f>
        <v>Error, Mala Posicion</v>
      </c>
      <c r="T1520" s="88" t="str">
        <f>IF(AND(Tabla8[[#This Row],[PIEZA]]="",Tabla8[[#This Row],[PARTE]]=""),"VACIO","OK")</f>
        <v>VACIO</v>
      </c>
      <c r="U1520" s="633" t="str">
        <f>+CONCATENATE(WEEKNUM(Tabla8[[#This Row],[FECHA]]),"-",YEAR(Tabla8[[#This Row],[FECHA]]))</f>
        <v>22-2026</v>
      </c>
    </row>
    <row r="1521" spans="1:21" ht="15" customHeight="1">
      <c r="A1521" s="22">
        <v>46170</v>
      </c>
      <c r="B1521" s="16" t="s">
        <v>191</v>
      </c>
      <c r="C1521" s="16" t="s">
        <v>39</v>
      </c>
      <c r="D1521" s="381" t="s">
        <v>2817</v>
      </c>
      <c r="E1521" s="381" t="s">
        <v>2818</v>
      </c>
      <c r="F1521" s="632">
        <f>+MOD(Tabla8[[#This Row],[HR. FIN]]-Tabla8[[#This Row],[HR. INICIO]],1)</f>
        <v>1.6666666666666607E-2</v>
      </c>
      <c r="G1521" s="16" t="s">
        <v>119</v>
      </c>
      <c r="H1521" s="79" t="str">
        <f>IFERROR(VLOOKUP(G1521,DATOS!$M$2:$N$219,2,FALSE),"")</f>
        <v>Maquinaria</v>
      </c>
      <c r="I1521" s="115" t="s">
        <v>57</v>
      </c>
      <c r="J1521" s="115" t="s">
        <v>92</v>
      </c>
      <c r="K1521" s="115" t="s">
        <v>93</v>
      </c>
      <c r="L1521" s="35" t="s">
        <v>2819</v>
      </c>
      <c r="M1521" s="35" t="s">
        <v>2820</v>
      </c>
      <c r="N1521" s="35" t="str" cm="1">
        <f t="array" ref="N1521">IFERROR(IF(Tabla8[[#This Row],[P/NP]]="NO PROGRAMADA","",_xlfn.TEXTJOIN(", ",TRUE,_xlfn._xlws.FILTER(Tabla4[[#All],[PIEZA]],ISNUMBER(SEARCH(Tabla4[[#All],[PCLAVE]],Tabla8[[#This Row],[DESCRIPCION DE TRABAJO]])),""))),"")</f>
        <v/>
      </c>
      <c r="O1521" s="35" t="str" cm="1">
        <f t="array" ref="O1521">_xlfn.TEXTJOIN(", ",TRUE,_xlfn._xlws.FILTER(Tabla28[[#All],[PARTE]],ISNUMBER(SEARCH(Tabla28[[#All],[PCLAVE2]],Tabla8[[#This Row],[DESCRIPCION DE TRABAJO]])),""))</f>
        <v>Mds</v>
      </c>
      <c r="P1521" s="633" t="str">
        <f>IFERROR(LEFT(O1521, FIND(",", O1521)-1), O1521)</f>
        <v>Mds</v>
      </c>
      <c r="Q1521" s="633" t="str">
        <f>IFERROR(IF(ISERROR(FIND(",", O1521, FIND(",", O1521)+1)), RIGHT(O1521, LEN(O1521)-FIND(",", O1521)-1), MID(O1521, FIND(",", O1521)+2, FIND(",", O1521, FIND(",", O1521)+1)-FIND(",", O1521)-2)), "")</f>
        <v/>
      </c>
      <c r="R1521" s="633" t="str">
        <f>IFERROR(RIGHT(O1521, LEN(O1521)-FIND(",", O1521, FIND(",", O1521)+1)-1), "")</f>
        <v/>
      </c>
      <c r="S1521" s="35" t="str" cm="1">
        <f t="array" ref="S1521">_xlfn.TEXTJOIN(", ",TRUE,_xlfn._xlws.FILTER(Tabla29[[#All],[PARTE]],ISNUMBER(SEARCH(Tabla29[[#All],[PCLAVE3]],Tabla8[[#This Row],[DESCRIPCION DE TRABAJO]])),""))</f>
        <v/>
      </c>
      <c r="T1521" s="88" t="str">
        <f>IF(AND(Tabla8[[#This Row],[PIEZA]]="",Tabla8[[#This Row],[PARTE]]=""),"VACIO","OK")</f>
        <v>OK</v>
      </c>
      <c r="U1521" s="633" t="str">
        <f>+CONCATENATE(WEEKNUM(Tabla8[[#This Row],[FECHA]]),"-",YEAR(Tabla8[[#This Row],[FECHA]]))</f>
        <v>22-2026</v>
      </c>
    </row>
    <row r="1522" spans="1:21" ht="15" customHeight="1">
      <c r="A1522" s="22">
        <v>46170</v>
      </c>
      <c r="B1522" s="16" t="s">
        <v>111</v>
      </c>
      <c r="C1522" s="16" t="s">
        <v>36</v>
      </c>
      <c r="D1522" s="381" t="s">
        <v>122</v>
      </c>
      <c r="E1522" s="381" t="s">
        <v>537</v>
      </c>
      <c r="F1522" s="632">
        <f>+MOD(Tabla8[[#This Row],[HR. FIN]]-Tabla8[[#This Row],[HR. INICIO]],1)</f>
        <v>1.3888888888888895E-2</v>
      </c>
      <c r="G1522" s="16" t="s">
        <v>119</v>
      </c>
      <c r="H1522" s="79" t="str">
        <f>IFERROR(VLOOKUP(G1522,DATOS!$M$2:$N$219,2,FALSE),"")</f>
        <v>Maquinaria</v>
      </c>
      <c r="I1522" s="115" t="s">
        <v>54</v>
      </c>
      <c r="J1522" s="115" t="s">
        <v>157</v>
      </c>
      <c r="K1522" s="115"/>
      <c r="L1522" s="35" t="s">
        <v>489</v>
      </c>
      <c r="M1522" s="35" t="s">
        <v>121</v>
      </c>
      <c r="N1522" s="35" t="str" cm="1">
        <f t="array" ref="N1522">IFERROR(IF(Tabla8[[#This Row],[P/NP]]="NO PROGRAMADA","",_xlfn.TEXTJOIN(", ",TRUE,_xlfn._xlws.FILTER(Tabla4[[#All],[PIEZA]],ISNUMBER(SEARCH(Tabla4[[#All],[PCLAVE]],Tabla8[[#This Row],[DESCRIPCION DE TRABAJO]])),""))),"")</f>
        <v/>
      </c>
      <c r="O1522" s="35" t="str" cm="1">
        <f t="array" ref="O1522">_xlfn.TEXTJOIN(", ",TRUE,_xlfn._xlws.FILTER(Tabla28[[#All],[PARTE]],ISNUMBER(SEARCH(Tabla28[[#All],[PCLAVE2]],Tabla8[[#This Row],[DESCRIPCION DE TRABAJO]])),""))</f>
        <v>Temperadora</v>
      </c>
      <c r="P1522" s="633" t="str">
        <f>IFERROR(LEFT(O1522, FIND(",", O1522)-1), O1522)</f>
        <v>Temperadora</v>
      </c>
      <c r="Q1522" s="633" t="str">
        <f>IFERROR(IF(ISERROR(FIND(",", O1522, FIND(",", O1522)+1)), RIGHT(O1522, LEN(O1522)-FIND(",", O1522)-1), MID(O1522, FIND(",", O1522)+2, FIND(",", O1522, FIND(",", O1522)+1)-FIND(",", O1522)-2)), "")</f>
        <v/>
      </c>
      <c r="R1522" s="633" t="str">
        <f>IFERROR(RIGHT(O1522, LEN(O1522)-FIND(",", O1522, FIND(",", O1522)+1)-1), "")</f>
        <v/>
      </c>
      <c r="S1522" s="35" t="str" cm="1">
        <f t="array" ref="S1522">_xlfn.TEXTJOIN(", ",TRUE,_xlfn._xlws.FILTER(Tabla29[[#All],[PARTE]],ISNUMBER(SEARCH(Tabla29[[#All],[PCLAVE3]],Tabla8[[#This Row],[DESCRIPCION DE TRABAJO]])),""))</f>
        <v/>
      </c>
      <c r="T1522" s="88" t="str">
        <f>IF(AND(Tabla8[[#This Row],[PIEZA]]="",Tabla8[[#This Row],[PARTE]]=""),"VACIO","OK")</f>
        <v>OK</v>
      </c>
      <c r="U1522" s="633" t="str">
        <f>+CONCATENATE(WEEKNUM(Tabla8[[#This Row],[FECHA]]),"-",YEAR(Tabla8[[#This Row],[FECHA]]))</f>
        <v>22-2026</v>
      </c>
    </row>
    <row r="1523" spans="1:21" ht="15" customHeight="1">
      <c r="A1523" s="22">
        <v>46170</v>
      </c>
      <c r="B1523" s="16" t="s">
        <v>111</v>
      </c>
      <c r="C1523" s="16" t="s">
        <v>36</v>
      </c>
      <c r="D1523" s="381" t="s">
        <v>123</v>
      </c>
      <c r="E1523" s="381" t="s">
        <v>399</v>
      </c>
      <c r="F1523" s="632">
        <f>+MOD(Tabla8[[#This Row],[HR. FIN]]-Tabla8[[#This Row],[HR. INICIO]],1)</f>
        <v>1.3888888888888895E-2</v>
      </c>
      <c r="G1523" s="16" t="s">
        <v>31</v>
      </c>
      <c r="H1523" s="79" t="str">
        <f>IFERROR(VLOOKUP(G1523,DATOS!$M$2:$N$219,2,FALSE),"")</f>
        <v>Maquinaria</v>
      </c>
      <c r="I1523" s="115" t="s">
        <v>54</v>
      </c>
      <c r="J1523" s="115" t="s">
        <v>157</v>
      </c>
      <c r="K1523" s="115"/>
      <c r="L1523" s="35" t="s">
        <v>225</v>
      </c>
      <c r="M1523" s="35" t="s">
        <v>121</v>
      </c>
      <c r="N1523" s="35" t="str" cm="1">
        <f t="array" ref="N1523">IFERROR(IF(Tabla8[[#This Row],[P/NP]]="NO PROGRAMADA","",_xlfn.TEXTJOIN(", ",TRUE,_xlfn._xlws.FILTER(Tabla4[[#All],[PIEZA]],ISNUMBER(SEARCH(Tabla4[[#All],[PCLAVE]],Tabla8[[#This Row],[DESCRIPCION DE TRABAJO]])),""))),"")</f>
        <v/>
      </c>
      <c r="O1523" s="35" t="str" cm="1">
        <f t="array" ref="O1523">_xlfn.TEXTJOIN(", ",TRUE,_xlfn._xlws.FILTER(Tabla28[[#All],[PARTE]],ISNUMBER(SEARCH(Tabla28[[#All],[PCLAVE2]],Tabla8[[#This Row],[DESCRIPCION DE TRABAJO]])),""))</f>
        <v/>
      </c>
      <c r="P1523" s="633" t="str">
        <f>IFERROR(LEFT(O1523, FIND(",", O1523)-1), O1523)</f>
        <v/>
      </c>
      <c r="Q1523" s="633" t="str">
        <f>IFERROR(IF(ISERROR(FIND(",", O1523, FIND(",", O1523)+1)), RIGHT(O1523, LEN(O1523)-FIND(",", O1523)-1), MID(O1523, FIND(",", O1523)+2, FIND(",", O1523, FIND(",", O1523)+1)-FIND(",", O1523)-2)), "")</f>
        <v/>
      </c>
      <c r="R1523" s="633" t="str">
        <f>IFERROR(RIGHT(O1523, LEN(O1523)-FIND(",", O1523, FIND(",", O1523)+1)-1), "")</f>
        <v/>
      </c>
      <c r="S1523" s="35" t="str" cm="1">
        <f t="array" ref="S1523">_xlfn.TEXTJOIN(", ",TRUE,_xlfn._xlws.FILTER(Tabla29[[#All],[PARTE]],ISNUMBER(SEARCH(Tabla29[[#All],[PCLAVE3]],Tabla8[[#This Row],[DESCRIPCION DE TRABAJO]])),""))</f>
        <v/>
      </c>
      <c r="T1523" s="88" t="str">
        <f>IF(AND(Tabla8[[#This Row],[PIEZA]]="",Tabla8[[#This Row],[PARTE]]=""),"VACIO","OK")</f>
        <v>VACIO</v>
      </c>
      <c r="U1523" s="633" t="str">
        <f>+CONCATENATE(WEEKNUM(Tabla8[[#This Row],[FECHA]]),"-",YEAR(Tabla8[[#This Row],[FECHA]]))</f>
        <v>22-2026</v>
      </c>
    </row>
    <row r="1524" spans="1:21" ht="15" customHeight="1">
      <c r="A1524" s="22">
        <v>46170</v>
      </c>
      <c r="B1524" s="16" t="s">
        <v>111</v>
      </c>
      <c r="C1524" s="16" t="s">
        <v>36</v>
      </c>
      <c r="D1524" s="381" t="s">
        <v>126</v>
      </c>
      <c r="E1524" s="381" t="s">
        <v>630</v>
      </c>
      <c r="F1524" s="632">
        <f>+MOD(Tabla8[[#This Row],[HR. FIN]]-Tabla8[[#This Row],[HR. INICIO]],1)</f>
        <v>1.3888888888888895E-2</v>
      </c>
      <c r="G1524" s="16" t="s">
        <v>1647</v>
      </c>
      <c r="H1524" s="79" t="str">
        <f>IFERROR(VLOOKUP(G1524,DATOS!$M$2:$N$219,2,FALSE),"")</f>
        <v>Equipos auxiliares</v>
      </c>
      <c r="I1524" s="115" t="s">
        <v>186</v>
      </c>
      <c r="J1524" s="115" t="s">
        <v>92</v>
      </c>
      <c r="K1524" s="115" t="s">
        <v>148</v>
      </c>
      <c r="L1524" s="35" t="s">
        <v>2821</v>
      </c>
      <c r="M1524" s="35" t="s">
        <v>2822</v>
      </c>
      <c r="N1524" s="35" t="str" cm="1">
        <f t="array" ref="N1524">IFERROR(IF(Tabla8[[#This Row],[P/NP]]="NO PROGRAMADA","",_xlfn.TEXTJOIN(", ",TRUE,_xlfn._xlws.FILTER(Tabla4[[#All],[PIEZA]],ISNUMBER(SEARCH(Tabla4[[#All],[PCLAVE]],Tabla8[[#This Row],[DESCRIPCION DE TRABAJO]])),""))),"")</f>
        <v/>
      </c>
      <c r="O1524" s="35" t="str" cm="1">
        <f t="array" ref="O1524">_xlfn.TEXTJOIN(", ",TRUE,_xlfn._xlws.FILTER(Tabla28[[#All],[PARTE]],ISNUMBER(SEARCH(Tabla28[[#All],[PCLAVE2]],Tabla8[[#This Row],[DESCRIPCION DE TRABAJO]])),""))</f>
        <v/>
      </c>
      <c r="P1524" s="633" t="str">
        <f>IFERROR(LEFT(O1524, FIND(",", O1524)-1), O1524)</f>
        <v/>
      </c>
      <c r="Q1524" s="633" t="str">
        <f>IFERROR(IF(ISERROR(FIND(",", O1524, FIND(",", O1524)+1)), RIGHT(O1524, LEN(O1524)-FIND(",", O1524)-1), MID(O1524, FIND(",", O1524)+2, FIND(",", O1524, FIND(",", O1524)+1)-FIND(",", O1524)-2)), "")</f>
        <v/>
      </c>
      <c r="R1524" s="633" t="str">
        <f>IFERROR(RIGHT(O1524, LEN(O1524)-FIND(",", O1524, FIND(",", O1524)+1)-1), "")</f>
        <v/>
      </c>
      <c r="S1524" s="35" t="str" cm="1">
        <f t="array" ref="S1524">_xlfn.TEXTJOIN(", ",TRUE,_xlfn._xlws.FILTER(Tabla29[[#All],[PARTE]],ISNUMBER(SEARCH(Tabla29[[#All],[PCLAVE3]],Tabla8[[#This Row],[DESCRIPCION DE TRABAJO]])),""))</f>
        <v>No Responde</v>
      </c>
      <c r="T1524" s="88" t="str">
        <f>IF(AND(Tabla8[[#This Row],[PIEZA]]="",Tabla8[[#This Row],[PARTE]]=""),"VACIO","OK")</f>
        <v>VACIO</v>
      </c>
      <c r="U1524" s="633" t="str">
        <f>+CONCATENATE(WEEKNUM(Tabla8[[#This Row],[FECHA]]),"-",YEAR(Tabla8[[#This Row],[FECHA]]))</f>
        <v>22-2026</v>
      </c>
    </row>
    <row r="1525" spans="1:21" ht="15" customHeight="1">
      <c r="A1525" s="22">
        <v>46170</v>
      </c>
      <c r="B1525" s="16" t="s">
        <v>111</v>
      </c>
      <c r="C1525" s="16" t="s">
        <v>36</v>
      </c>
      <c r="D1525" s="381" t="s">
        <v>127</v>
      </c>
      <c r="E1525" s="381" t="s">
        <v>400</v>
      </c>
      <c r="F1525" s="632">
        <f>+MOD(Tabla8[[#This Row],[HR. FIN]]-Tabla8[[#This Row],[HR. INICIO]],1)</f>
        <v>1.3888888888888895E-2</v>
      </c>
      <c r="G1525" s="16" t="s">
        <v>312</v>
      </c>
      <c r="H1525" s="79" t="str">
        <f>IFERROR(VLOOKUP(G1525,DATOS!$M$2:$N$219,2,FALSE),"")</f>
        <v>Maquinaria</v>
      </c>
      <c r="I1525" s="115" t="s">
        <v>54</v>
      </c>
      <c r="J1525" s="115" t="s">
        <v>157</v>
      </c>
      <c r="K1525" s="115"/>
      <c r="L1525" s="35" t="s">
        <v>225</v>
      </c>
      <c r="M1525" s="35" t="s">
        <v>121</v>
      </c>
      <c r="N1525" s="35" t="str" cm="1">
        <f t="array" ref="N1525">IFERROR(IF(Tabla8[[#This Row],[P/NP]]="NO PROGRAMADA","",_xlfn.TEXTJOIN(", ",TRUE,_xlfn._xlws.FILTER(Tabla4[[#All],[PIEZA]],ISNUMBER(SEARCH(Tabla4[[#All],[PCLAVE]],Tabla8[[#This Row],[DESCRIPCION DE TRABAJO]])),""))),"")</f>
        <v/>
      </c>
      <c r="O1525" s="35" t="str" cm="1">
        <f t="array" ref="O1525">_xlfn.TEXTJOIN(", ",TRUE,_xlfn._xlws.FILTER(Tabla28[[#All],[PARTE]],ISNUMBER(SEARCH(Tabla28[[#All],[PCLAVE2]],Tabla8[[#This Row],[DESCRIPCION DE TRABAJO]])),""))</f>
        <v/>
      </c>
      <c r="P1525" s="633" t="str">
        <f>IFERROR(LEFT(O1525, FIND(",", O1525)-1), O1525)</f>
        <v/>
      </c>
      <c r="Q1525" s="633" t="str">
        <f>IFERROR(IF(ISERROR(FIND(",", O1525, FIND(",", O1525)+1)), RIGHT(O1525, LEN(O1525)-FIND(",", O1525)-1), MID(O1525, FIND(",", O1525)+2, FIND(",", O1525, FIND(",", O1525)+1)-FIND(",", O1525)-2)), "")</f>
        <v/>
      </c>
      <c r="R1525" s="633" t="str">
        <f>IFERROR(RIGHT(O1525, LEN(O1525)-FIND(",", O1525, FIND(",", O1525)+1)-1), "")</f>
        <v/>
      </c>
      <c r="S1525" s="35" t="str" cm="1">
        <f t="array" ref="S1525">_xlfn.TEXTJOIN(", ",TRUE,_xlfn._xlws.FILTER(Tabla29[[#All],[PARTE]],ISNUMBER(SEARCH(Tabla29[[#All],[PCLAVE3]],Tabla8[[#This Row],[DESCRIPCION DE TRABAJO]])),""))</f>
        <v/>
      </c>
      <c r="T1525" s="88" t="str">
        <f>IF(AND(Tabla8[[#This Row],[PIEZA]]="",Tabla8[[#This Row],[PARTE]]=""),"VACIO","OK")</f>
        <v>VACIO</v>
      </c>
      <c r="U1525" s="633" t="str">
        <f>+CONCATENATE(WEEKNUM(Tabla8[[#This Row],[FECHA]]),"-",YEAR(Tabla8[[#This Row],[FECHA]]))</f>
        <v>22-2026</v>
      </c>
    </row>
    <row r="1526" spans="1:21" ht="15" customHeight="1">
      <c r="A1526" s="22">
        <v>46170</v>
      </c>
      <c r="B1526" s="16" t="s">
        <v>111</v>
      </c>
      <c r="C1526" s="16" t="s">
        <v>36</v>
      </c>
      <c r="D1526" s="381" t="s">
        <v>557</v>
      </c>
      <c r="E1526" s="381" t="s">
        <v>90</v>
      </c>
      <c r="F1526" s="632">
        <f>+MOD(Tabla8[[#This Row],[HR. FIN]]-Tabla8[[#This Row],[HR. INICIO]],1)</f>
        <v>1.3888888888888895E-2</v>
      </c>
      <c r="G1526" s="16" t="s">
        <v>270</v>
      </c>
      <c r="H1526" s="79" t="str">
        <f>IFERROR(VLOOKUP(G1526,DATOS!$M$2:$N$219,2,FALSE),"")</f>
        <v>Maquinaria</v>
      </c>
      <c r="I1526" s="115" t="s">
        <v>54</v>
      </c>
      <c r="J1526" s="115" t="s">
        <v>157</v>
      </c>
      <c r="K1526" s="115"/>
      <c r="L1526" s="35" t="s">
        <v>489</v>
      </c>
      <c r="M1526" s="35" t="s">
        <v>2823</v>
      </c>
      <c r="N1526" s="35" t="str" cm="1">
        <f t="array" ref="N1526">IFERROR(IF(Tabla8[[#This Row],[P/NP]]="NO PROGRAMADA","",_xlfn.TEXTJOIN(", ",TRUE,_xlfn._xlws.FILTER(Tabla4[[#All],[PIEZA]],ISNUMBER(SEARCH(Tabla4[[#All],[PCLAVE]],Tabla8[[#This Row],[DESCRIPCION DE TRABAJO]])),""))),"")</f>
        <v/>
      </c>
      <c r="O1526" s="35" t="str" cm="1">
        <f t="array" ref="O1526">_xlfn.TEXTJOIN(", ",TRUE,_xlfn._xlws.FILTER(Tabla28[[#All],[PARTE]],ISNUMBER(SEARCH(Tabla28[[#All],[PCLAVE2]],Tabla8[[#This Row],[DESCRIPCION DE TRABAJO]])),""))</f>
        <v>Temperadora</v>
      </c>
      <c r="P1526" s="633" t="str">
        <f>IFERROR(LEFT(O1526, FIND(",", O1526)-1), O1526)</f>
        <v>Temperadora</v>
      </c>
      <c r="Q1526" s="633" t="str">
        <f>IFERROR(IF(ISERROR(FIND(",", O1526, FIND(",", O1526)+1)), RIGHT(O1526, LEN(O1526)-FIND(",", O1526)-1), MID(O1526, FIND(",", O1526)+2, FIND(",", O1526, FIND(",", O1526)+1)-FIND(",", O1526)-2)), "")</f>
        <v/>
      </c>
      <c r="R1526" s="633" t="str">
        <f>IFERROR(RIGHT(O1526, LEN(O1526)-FIND(",", O1526, FIND(",", O1526)+1)-1), "")</f>
        <v/>
      </c>
      <c r="S1526" s="35" t="str" cm="1">
        <f t="array" ref="S1526">_xlfn.TEXTJOIN(", ",TRUE,_xlfn._xlws.FILTER(Tabla29[[#All],[PARTE]],ISNUMBER(SEARCH(Tabla29[[#All],[PCLAVE3]],Tabla8[[#This Row],[DESCRIPCION DE TRABAJO]])),""))</f>
        <v/>
      </c>
      <c r="T1526" s="88" t="str">
        <f>IF(AND(Tabla8[[#This Row],[PIEZA]]="",Tabla8[[#This Row],[PARTE]]=""),"VACIO","OK")</f>
        <v>OK</v>
      </c>
      <c r="U1526" s="633" t="str">
        <f>+CONCATENATE(WEEKNUM(Tabla8[[#This Row],[FECHA]]),"-",YEAR(Tabla8[[#This Row],[FECHA]]))</f>
        <v>22-2026</v>
      </c>
    </row>
    <row r="1527" spans="1:21" ht="15" customHeight="1">
      <c r="A1527" s="22">
        <v>46170</v>
      </c>
      <c r="B1527" s="16" t="s">
        <v>179</v>
      </c>
      <c r="C1527" s="16" t="s">
        <v>36</v>
      </c>
      <c r="D1527" s="381" t="s">
        <v>586</v>
      </c>
      <c r="E1527" s="381" t="s">
        <v>675</v>
      </c>
      <c r="F1527" s="632">
        <f>+MOD(Tabla8[[#This Row],[HR. FIN]]-Tabla8[[#This Row],[HR. INICIO]],1)</f>
        <v>1.388888888888884E-2</v>
      </c>
      <c r="G1527" s="16" t="s">
        <v>42</v>
      </c>
      <c r="H1527" s="79" t="str">
        <f>IFERROR(VLOOKUP(G1527,DATOS!$M$2:$N$219,2,FALSE),"")</f>
        <v>Maquinaria</v>
      </c>
      <c r="I1527" s="115" t="s">
        <v>348</v>
      </c>
      <c r="J1527" s="115" t="s">
        <v>157</v>
      </c>
      <c r="K1527" s="115"/>
      <c r="L1527" s="35" t="s">
        <v>2824</v>
      </c>
      <c r="M1527" s="35" t="s">
        <v>121</v>
      </c>
      <c r="N1527" s="35" t="str" cm="1">
        <f t="array" ref="N1527">IFERROR(IF(Tabla8[[#This Row],[P/NP]]="NO PROGRAMADA","",_xlfn.TEXTJOIN(", ",TRUE,_xlfn._xlws.FILTER(Tabla4[[#All],[PIEZA]],ISNUMBER(SEARCH(Tabla4[[#All],[PCLAVE]],Tabla8[[#This Row],[DESCRIPCION DE TRABAJO]])),""))),"")</f>
        <v>Tomacorriente</v>
      </c>
      <c r="O1527" s="35" t="str" cm="1">
        <f t="array" ref="O1527">_xlfn.TEXTJOIN(", ",TRUE,_xlfn._xlws.FILTER(Tabla28[[#All],[PARTE]],ISNUMBER(SEARCH(Tabla28[[#All],[PCLAVE2]],Tabla8[[#This Row],[DESCRIPCION DE TRABAJO]])),""))</f>
        <v/>
      </c>
      <c r="P1527" s="633" t="str">
        <f>IFERROR(LEFT(O1527, FIND(",", O1527)-1), O1527)</f>
        <v/>
      </c>
      <c r="Q1527" s="633" t="str">
        <f>IFERROR(IF(ISERROR(FIND(",", O1527, FIND(",", O1527)+1)), RIGHT(O1527, LEN(O1527)-FIND(",", O1527)-1), MID(O1527, FIND(",", O1527)+2, FIND(",", O1527, FIND(",", O1527)+1)-FIND(",", O1527)-2)), "")</f>
        <v/>
      </c>
      <c r="R1527" s="633" t="str">
        <f>IFERROR(RIGHT(O1527, LEN(O1527)-FIND(",", O1527, FIND(",", O1527)+1)-1), "")</f>
        <v/>
      </c>
      <c r="S1527" s="35" t="str" cm="1">
        <f t="array" ref="S1527">_xlfn.TEXTJOIN(", ",TRUE,_xlfn._xlws.FILTER(Tabla29[[#All],[PARTE]],ISNUMBER(SEARCH(Tabla29[[#All],[PCLAVE3]],Tabla8[[#This Row],[DESCRIPCION DE TRABAJO]])),""))</f>
        <v/>
      </c>
      <c r="T1527" s="88" t="str">
        <f>IF(AND(Tabla8[[#This Row],[PIEZA]]="",Tabla8[[#This Row],[PARTE]]=""),"VACIO","OK")</f>
        <v>OK</v>
      </c>
      <c r="U1527" s="633" t="str">
        <f>+CONCATENATE(WEEKNUM(Tabla8[[#This Row],[FECHA]]),"-",YEAR(Tabla8[[#This Row],[FECHA]]))</f>
        <v>22-2026</v>
      </c>
    </row>
    <row r="1528" spans="1:21" ht="15" customHeight="1">
      <c r="A1528" s="22">
        <v>46170</v>
      </c>
      <c r="B1528" s="16" t="s">
        <v>191</v>
      </c>
      <c r="C1528" s="16" t="s">
        <v>39</v>
      </c>
      <c r="D1528" s="381" t="s">
        <v>659</v>
      </c>
      <c r="E1528" s="381" t="s">
        <v>118</v>
      </c>
      <c r="F1528" s="632">
        <f>+MOD(Tabla8[[#This Row],[HR. FIN]]-Tabla8[[#This Row],[HR. INICIO]],1)</f>
        <v>1.1805555555555514E-2</v>
      </c>
      <c r="G1528" s="16" t="s">
        <v>81</v>
      </c>
      <c r="H1528" s="79" t="str">
        <f>IFERROR(VLOOKUP(G1528,DATOS!$M$2:$N$219,2,FALSE),"")</f>
        <v>Maquinaria</v>
      </c>
      <c r="I1528" s="115" t="s">
        <v>186</v>
      </c>
      <c r="J1528" s="115" t="s">
        <v>92</v>
      </c>
      <c r="K1528" s="115" t="s">
        <v>93</v>
      </c>
      <c r="L1528" s="35" t="s">
        <v>2825</v>
      </c>
      <c r="M1528" s="35" t="s">
        <v>2826</v>
      </c>
      <c r="N1528" s="35" t="str" cm="1">
        <f t="array" ref="N1528">IFERROR(IF(Tabla8[[#This Row],[P/NP]]="NO PROGRAMADA","",_xlfn.TEXTJOIN(", ",TRUE,_xlfn._xlws.FILTER(Tabla4[[#All],[PIEZA]],ISNUMBER(SEARCH(Tabla4[[#All],[PCLAVE]],Tabla8[[#This Row],[DESCRIPCION DE TRABAJO]])),""))),"")</f>
        <v/>
      </c>
      <c r="O1528" s="35" t="str" cm="1">
        <f t="array" ref="O1528">_xlfn.TEXTJOIN(", ",TRUE,_xlfn._xlws.FILTER(Tabla28[[#All],[PARTE]],ISNUMBER(SEARCH(Tabla28[[#All],[PCLAVE2]],Tabla8[[#This Row],[DESCRIPCION DE TRABAJO]])),""))</f>
        <v/>
      </c>
      <c r="P1528" s="633" t="str">
        <f>IFERROR(LEFT(O1528, FIND(",", O1528)-1), O1528)</f>
        <v/>
      </c>
      <c r="Q1528" s="633" t="str">
        <f>IFERROR(IF(ISERROR(FIND(",", O1528, FIND(",", O1528)+1)), RIGHT(O1528, LEN(O1528)-FIND(",", O1528)-1), MID(O1528, FIND(",", O1528)+2, FIND(",", O1528, FIND(",", O1528)+1)-FIND(",", O1528)-2)), "")</f>
        <v/>
      </c>
      <c r="R1528" s="633" t="str">
        <f>IFERROR(RIGHT(O1528, LEN(O1528)-FIND(",", O1528, FIND(",", O1528)+1)-1), "")</f>
        <v/>
      </c>
      <c r="S1528" s="35" t="str" cm="1">
        <f t="array" ref="S1528">_xlfn.TEXTJOIN(", ",TRUE,_xlfn._xlws.FILTER(Tabla29[[#All],[PARTE]],ISNUMBER(SEARCH(Tabla29[[#All],[PCLAVE3]],Tabla8[[#This Row],[DESCRIPCION DE TRABAJO]])),""))</f>
        <v/>
      </c>
      <c r="T1528" s="88" t="str">
        <f>IF(AND(Tabla8[[#This Row],[PIEZA]]="",Tabla8[[#This Row],[PARTE]]=""),"VACIO","OK")</f>
        <v>VACIO</v>
      </c>
      <c r="U1528" s="633" t="str">
        <f>+CONCATENATE(WEEKNUM(Tabla8[[#This Row],[FECHA]]),"-",YEAR(Tabla8[[#This Row],[FECHA]]))</f>
        <v>22-2026</v>
      </c>
    </row>
    <row r="1529" spans="1:21" ht="15" customHeight="1">
      <c r="A1529" s="22">
        <v>46170</v>
      </c>
      <c r="B1529" s="16" t="s">
        <v>111</v>
      </c>
      <c r="C1529" s="16" t="s">
        <v>36</v>
      </c>
      <c r="D1529" s="381" t="s">
        <v>1580</v>
      </c>
      <c r="E1529" s="381" t="s">
        <v>2827</v>
      </c>
      <c r="F1529" s="632">
        <f>+MOD(Tabla8[[#This Row],[HR. FIN]]-Tabla8[[#This Row],[HR. INICIO]],1)</f>
        <v>1.041666666666663E-2</v>
      </c>
      <c r="G1529" s="16" t="s">
        <v>103</v>
      </c>
      <c r="H1529" s="79" t="str">
        <f>IFERROR(VLOOKUP(G1529,DATOS!$M$2:$N$219,2,FALSE),"")</f>
        <v>Area</v>
      </c>
      <c r="I1529" s="115" t="s">
        <v>61</v>
      </c>
      <c r="J1529" s="115" t="s">
        <v>92</v>
      </c>
      <c r="K1529" s="115" t="s">
        <v>93</v>
      </c>
      <c r="L1529" s="35" t="s">
        <v>2828</v>
      </c>
      <c r="M1529" s="35" t="s">
        <v>2829</v>
      </c>
      <c r="N1529" s="35" t="str" cm="1">
        <f t="array" ref="N1529">IFERROR(IF(Tabla8[[#This Row],[P/NP]]="NO PROGRAMADA","",_xlfn.TEXTJOIN(", ",TRUE,_xlfn._xlws.FILTER(Tabla4[[#All],[PIEZA]],ISNUMBER(SEARCH(Tabla4[[#All],[PCLAVE]],Tabla8[[#This Row],[DESCRIPCION DE TRABAJO]])),""))),"")</f>
        <v/>
      </c>
      <c r="O1529" s="35" t="str" cm="1">
        <f t="array" ref="O1529">_xlfn.TEXTJOIN(", ",TRUE,_xlfn._xlws.FILTER(Tabla28[[#All],[PARTE]],ISNUMBER(SEARCH(Tabla28[[#All],[PCLAVE2]],Tabla8[[#This Row],[DESCRIPCION DE TRABAJO]])),""))</f>
        <v/>
      </c>
      <c r="P1529" s="633" t="str">
        <f>IFERROR(LEFT(O1529, FIND(",", O1529)-1), O1529)</f>
        <v/>
      </c>
      <c r="Q1529" s="633" t="str">
        <f>IFERROR(IF(ISERROR(FIND(",", O1529, FIND(",", O1529)+1)), RIGHT(O1529, LEN(O1529)-FIND(",", O1529)-1), MID(O1529, FIND(",", O1529)+2, FIND(",", O1529, FIND(",", O1529)+1)-FIND(",", O1529)-2)), "")</f>
        <v/>
      </c>
      <c r="R1529" s="633" t="str">
        <f>IFERROR(RIGHT(O1529, LEN(O1529)-FIND(",", O1529, FIND(",", O1529)+1)-1), "")</f>
        <v/>
      </c>
      <c r="S1529" s="35" t="str" cm="1">
        <f t="array" ref="S1529">_xlfn.TEXTJOIN(", ",TRUE,_xlfn._xlws.FILTER(Tabla29[[#All],[PARTE]],ISNUMBER(SEARCH(Tabla29[[#All],[PCLAVE3]],Tabla8[[#This Row],[DESCRIPCION DE TRABAJO]])),""))</f>
        <v>Obstruido, Ruido</v>
      </c>
      <c r="T1529" s="88" t="str">
        <f>IF(AND(Tabla8[[#This Row],[PIEZA]]="",Tabla8[[#This Row],[PARTE]]=""),"VACIO","OK")</f>
        <v>VACIO</v>
      </c>
      <c r="U1529" s="633" t="str">
        <f>+CONCATENATE(WEEKNUM(Tabla8[[#This Row],[FECHA]]),"-",YEAR(Tabla8[[#This Row],[FECHA]]))</f>
        <v>22-2026</v>
      </c>
    </row>
    <row r="1530" spans="1:21" ht="15" customHeight="1">
      <c r="A1530" s="22">
        <v>46170</v>
      </c>
      <c r="B1530" s="16" t="s">
        <v>111</v>
      </c>
      <c r="C1530" s="16" t="s">
        <v>36</v>
      </c>
      <c r="D1530" s="381" t="s">
        <v>392</v>
      </c>
      <c r="E1530" s="381" t="s">
        <v>605</v>
      </c>
      <c r="F1530" s="632">
        <f>+MOD(Tabla8[[#This Row],[HR. FIN]]-Tabla8[[#This Row],[HR. INICIO]],1)</f>
        <v>1.041666666666663E-2</v>
      </c>
      <c r="G1530" s="16" t="s">
        <v>222</v>
      </c>
      <c r="H1530" s="79" t="str">
        <f>IFERROR(VLOOKUP(G1530,DATOS!$M$2:$N$219,2,FALSE),"")</f>
        <v>Maquinaria</v>
      </c>
      <c r="I1530" s="115" t="s">
        <v>54</v>
      </c>
      <c r="J1530" s="115" t="s">
        <v>157</v>
      </c>
      <c r="K1530" s="115"/>
      <c r="L1530" s="35" t="s">
        <v>2830</v>
      </c>
      <c r="M1530" s="35" t="s">
        <v>121</v>
      </c>
      <c r="N1530" s="35" t="str" cm="1">
        <f t="array" ref="N1530">IFERROR(IF(Tabla8[[#This Row],[P/NP]]="NO PROGRAMADA","",_xlfn.TEXTJOIN(", ",TRUE,_xlfn._xlws.FILTER(Tabla4[[#All],[PIEZA]],ISNUMBER(SEARCH(Tabla4[[#All],[PCLAVE]],Tabla8[[#This Row],[DESCRIPCION DE TRABAJO]])),""))),"")</f>
        <v>Banda, Polin De Arrastre</v>
      </c>
      <c r="O1530" s="35" t="str" cm="1">
        <f t="array" ref="O1530">_xlfn.TEXTJOIN(", ",TRUE,_xlfn._xlws.FILTER(Tabla28[[#All],[PARTE]],ISNUMBER(SEARCH(Tabla28[[#All],[PCLAVE2]],Tabla8[[#This Row],[DESCRIPCION DE TRABAJO]])),""))</f>
        <v/>
      </c>
      <c r="P1530" s="633" t="str">
        <f>IFERROR(LEFT(O1530, FIND(",", O1530)-1), O1530)</f>
        <v/>
      </c>
      <c r="Q1530" s="633" t="str">
        <f>IFERROR(IF(ISERROR(FIND(",", O1530, FIND(",", O1530)+1)), RIGHT(O1530, LEN(O1530)-FIND(",", O1530)-1), MID(O1530, FIND(",", O1530)+2, FIND(",", O1530, FIND(",", O1530)+1)-FIND(",", O1530)-2)), "")</f>
        <v/>
      </c>
      <c r="R1530" s="633" t="str">
        <f>IFERROR(RIGHT(O1530, LEN(O1530)-FIND(",", O1530, FIND(",", O1530)+1)-1), "")</f>
        <v/>
      </c>
      <c r="S1530" s="35" t="str" cm="1">
        <f t="array" ref="S1530">_xlfn.TEXTJOIN(", ",TRUE,_xlfn._xlws.FILTER(Tabla29[[#All],[PARTE]],ISNUMBER(SEARCH(Tabla29[[#All],[PCLAVE3]],Tabla8[[#This Row],[DESCRIPCION DE TRABAJO]])),""))</f>
        <v>Alimentacion Obstruida, Desgaste</v>
      </c>
      <c r="T1530" s="88" t="str">
        <f>IF(AND(Tabla8[[#This Row],[PIEZA]]="",Tabla8[[#This Row],[PARTE]]=""),"VACIO","OK")</f>
        <v>OK</v>
      </c>
      <c r="U1530" s="633" t="str">
        <f>+CONCATENATE(WEEKNUM(Tabla8[[#This Row],[FECHA]]),"-",YEAR(Tabla8[[#This Row],[FECHA]]))</f>
        <v>22-2026</v>
      </c>
    </row>
    <row r="1531" spans="1:21" ht="15" customHeight="1">
      <c r="A1531" s="22">
        <v>46170</v>
      </c>
      <c r="B1531" s="16" t="s">
        <v>88</v>
      </c>
      <c r="C1531" s="16" t="s">
        <v>23</v>
      </c>
      <c r="D1531" s="381" t="s">
        <v>584</v>
      </c>
      <c r="E1531" s="381" t="s">
        <v>1685</v>
      </c>
      <c r="F1531" s="632">
        <f>+MOD(Tabla8[[#This Row],[HR. FIN]]-Tabla8[[#This Row],[HR. INICIO]],1)</f>
        <v>1.041666666666663E-2</v>
      </c>
      <c r="G1531" s="16" t="s">
        <v>192</v>
      </c>
      <c r="H1531" s="79" t="str">
        <f>IFERROR(VLOOKUP(G1531,DATOS!$M$2:$N$219,2,FALSE),"")</f>
        <v>Maquinaria</v>
      </c>
      <c r="I1531" s="115" t="s">
        <v>390</v>
      </c>
      <c r="J1531" s="115" t="s">
        <v>157</v>
      </c>
      <c r="K1531" s="115"/>
      <c r="L1531" s="35" t="s">
        <v>129</v>
      </c>
      <c r="M1531" s="35" t="s">
        <v>2831</v>
      </c>
      <c r="N1531" s="35" t="str" cm="1">
        <f t="array" ref="N1531">IFERROR(IF(Tabla8[[#This Row],[P/NP]]="NO PROGRAMADA","",_xlfn.TEXTJOIN(", ",TRUE,_xlfn._xlws.FILTER(Tabla4[[#All],[PIEZA]],ISNUMBER(SEARCH(Tabla4[[#All],[PCLAVE]],Tabla8[[#This Row],[DESCRIPCION DE TRABAJO]])),""))),"")</f>
        <v/>
      </c>
      <c r="O1531" s="35" t="str" cm="1">
        <f t="array" ref="O1531">_xlfn.TEXTJOIN(", ",TRUE,_xlfn._xlws.FILTER(Tabla28[[#All],[PARTE]],ISNUMBER(SEARCH(Tabla28[[#All],[PCLAVE2]],Tabla8[[#This Row],[DESCRIPCION DE TRABAJO]])),""))</f>
        <v/>
      </c>
      <c r="P1531" s="633" t="str">
        <f>IFERROR(LEFT(O1531, FIND(",", O1531)-1), O1531)</f>
        <v/>
      </c>
      <c r="Q1531" s="633" t="str">
        <f>IFERROR(IF(ISERROR(FIND(",", O1531, FIND(",", O1531)+1)), RIGHT(O1531, LEN(O1531)-FIND(",", O1531)-1), MID(O1531, FIND(",", O1531)+2, FIND(",", O1531, FIND(",", O1531)+1)-FIND(",", O1531)-2)), "")</f>
        <v/>
      </c>
      <c r="R1531" s="633" t="str">
        <f>IFERROR(RIGHT(O1531, LEN(O1531)-FIND(",", O1531, FIND(",", O1531)+1)-1), "")</f>
        <v/>
      </c>
      <c r="S1531" s="35" t="str" cm="1">
        <f t="array" ref="S1531">_xlfn.TEXTJOIN(", ",TRUE,_xlfn._xlws.FILTER(Tabla29[[#All],[PARTE]],ISNUMBER(SEARCH(Tabla29[[#All],[PCLAVE3]],Tabla8[[#This Row],[DESCRIPCION DE TRABAJO]])),""))</f>
        <v/>
      </c>
      <c r="T1531" s="88" t="str">
        <f>IF(AND(Tabla8[[#This Row],[PIEZA]]="",Tabla8[[#This Row],[PARTE]]=""),"VACIO","OK")</f>
        <v>VACIO</v>
      </c>
      <c r="U1531" s="633" t="str">
        <f>+CONCATENATE(WEEKNUM(Tabla8[[#This Row],[FECHA]]),"-",YEAR(Tabla8[[#This Row],[FECHA]]))</f>
        <v>22-2026</v>
      </c>
    </row>
    <row r="1532" spans="1:21" ht="15" customHeight="1">
      <c r="A1532" s="22">
        <v>46170</v>
      </c>
      <c r="B1532" s="16" t="s">
        <v>131</v>
      </c>
      <c r="C1532" s="16" t="s">
        <v>23</v>
      </c>
      <c r="D1532" s="381" t="s">
        <v>493</v>
      </c>
      <c r="E1532" s="381" t="s">
        <v>274</v>
      </c>
      <c r="F1532" s="632">
        <f>+MOD(Tabla8[[#This Row],[HR. FIN]]-Tabla8[[#This Row],[HR. INICIO]],1)</f>
        <v>1.041666666666663E-2</v>
      </c>
      <c r="G1532" s="16" t="s">
        <v>169</v>
      </c>
      <c r="H1532" s="79" t="str">
        <f>IFERROR(VLOOKUP(G1532,DATOS!$M$2:$N$219,2,FALSE),"")</f>
        <v>Maquinaria</v>
      </c>
      <c r="I1532" s="115" t="s">
        <v>32</v>
      </c>
      <c r="J1532" s="115" t="s">
        <v>157</v>
      </c>
      <c r="K1532" s="115"/>
      <c r="L1532" s="35" t="s">
        <v>449</v>
      </c>
      <c r="M1532" s="35" t="s">
        <v>121</v>
      </c>
      <c r="N1532" s="35" t="str" cm="1">
        <f t="array" ref="N1532">IFERROR(IF(Tabla8[[#This Row],[P/NP]]="NO PROGRAMADA","",_xlfn.TEXTJOIN(", ",TRUE,_xlfn._xlws.FILTER(Tabla4[[#All],[PIEZA]],ISNUMBER(SEARCH(Tabla4[[#All],[PCLAVE]],Tabla8[[#This Row],[DESCRIPCION DE TRABAJO]])),""))),"")</f>
        <v/>
      </c>
      <c r="O1532" s="35" t="str" cm="1">
        <f t="array" ref="O1532">_xlfn.TEXTJOIN(", ",TRUE,_xlfn._xlws.FILTER(Tabla28[[#All],[PARTE]],ISNUMBER(SEARCH(Tabla28[[#All],[PCLAVE2]],Tabla8[[#This Row],[DESCRIPCION DE TRABAJO]])),""))</f>
        <v/>
      </c>
      <c r="P1532" s="633" t="str">
        <f>IFERROR(LEFT(O1532, FIND(",", O1532)-1), O1532)</f>
        <v/>
      </c>
      <c r="Q1532" s="633" t="str">
        <f>IFERROR(IF(ISERROR(FIND(",", O1532, FIND(",", O1532)+1)), RIGHT(O1532, LEN(O1532)-FIND(",", O1532)-1), MID(O1532, FIND(",", O1532)+2, FIND(",", O1532, FIND(",", O1532)+1)-FIND(",", O1532)-2)), "")</f>
        <v/>
      </c>
      <c r="R1532" s="633" t="str">
        <f>IFERROR(RIGHT(O1532, LEN(O1532)-FIND(",", O1532, FIND(",", O1532)+1)-1), "")</f>
        <v/>
      </c>
      <c r="S1532" s="35" t="str" cm="1">
        <f t="array" ref="S1532">_xlfn.TEXTJOIN(", ",TRUE,_xlfn._xlws.FILTER(Tabla29[[#All],[PARTE]],ISNUMBER(SEARCH(Tabla29[[#All],[PCLAVE3]],Tabla8[[#This Row],[DESCRIPCION DE TRABAJO]])),""))</f>
        <v/>
      </c>
      <c r="T1532" s="88" t="str">
        <f>IF(AND(Tabla8[[#This Row],[PIEZA]]="",Tabla8[[#This Row],[PARTE]]=""),"VACIO","OK")</f>
        <v>VACIO</v>
      </c>
      <c r="U1532" s="633" t="str">
        <f>+CONCATENATE(WEEKNUM(Tabla8[[#This Row],[FECHA]]),"-",YEAR(Tabla8[[#This Row],[FECHA]]))</f>
        <v>22-2026</v>
      </c>
    </row>
    <row r="1533" spans="1:21" ht="15" customHeight="1">
      <c r="A1533" s="22">
        <v>46170</v>
      </c>
      <c r="B1533" s="16" t="s">
        <v>131</v>
      </c>
      <c r="C1533" s="16" t="s">
        <v>23</v>
      </c>
      <c r="D1533" s="381" t="s">
        <v>311</v>
      </c>
      <c r="E1533" s="381" t="s">
        <v>451</v>
      </c>
      <c r="F1533" s="632">
        <f>+MOD(Tabla8[[#This Row],[HR. FIN]]-Tabla8[[#This Row],[HR. INICIO]],1)</f>
        <v>1.041666666666663E-2</v>
      </c>
      <c r="G1533" s="16" t="s">
        <v>169</v>
      </c>
      <c r="H1533" s="79" t="str">
        <f>IFERROR(VLOOKUP(G1533,DATOS!$M$2:$N$219,2,FALSE),"")</f>
        <v>Maquinaria</v>
      </c>
      <c r="I1533" s="115" t="s">
        <v>32</v>
      </c>
      <c r="J1533" s="115" t="s">
        <v>157</v>
      </c>
      <c r="K1533" s="115"/>
      <c r="L1533" s="35" t="s">
        <v>371</v>
      </c>
      <c r="M1533" s="35" t="s">
        <v>121</v>
      </c>
      <c r="N1533" s="35" t="str" cm="1">
        <f t="array" ref="N1533">IFERROR(IF(Tabla8[[#This Row],[P/NP]]="NO PROGRAMADA","",_xlfn.TEXTJOIN(", ",TRUE,_xlfn._xlws.FILTER(Tabla4[[#All],[PIEZA]],ISNUMBER(SEARCH(Tabla4[[#All],[PCLAVE]],Tabla8[[#This Row],[DESCRIPCION DE TRABAJO]])),""))),"")</f>
        <v/>
      </c>
      <c r="O1533" s="35" t="str" cm="1">
        <f t="array" ref="O1533">_xlfn.TEXTJOIN(", ",TRUE,_xlfn._xlws.FILTER(Tabla28[[#All],[PARTE]],ISNUMBER(SEARCH(Tabla28[[#All],[PCLAVE2]],Tabla8[[#This Row],[DESCRIPCION DE TRABAJO]])),""))</f>
        <v/>
      </c>
      <c r="P1533" s="633" t="str">
        <f>IFERROR(LEFT(O1533, FIND(",", O1533)-1), O1533)</f>
        <v/>
      </c>
      <c r="Q1533" s="633" t="str">
        <f>IFERROR(IF(ISERROR(FIND(",", O1533, FIND(",", O1533)+1)), RIGHT(O1533, LEN(O1533)-FIND(",", O1533)-1), MID(O1533, FIND(",", O1533)+2, FIND(",", O1533, FIND(",", O1533)+1)-FIND(",", O1533)-2)), "")</f>
        <v/>
      </c>
      <c r="R1533" s="633" t="str">
        <f>IFERROR(RIGHT(O1533, LEN(O1533)-FIND(",", O1533, FIND(",", O1533)+1)-1), "")</f>
        <v/>
      </c>
      <c r="S1533" s="35" t="str" cm="1">
        <f t="array" ref="S1533">_xlfn.TEXTJOIN(", ",TRUE,_xlfn._xlws.FILTER(Tabla29[[#All],[PARTE]],ISNUMBER(SEARCH(Tabla29[[#All],[PCLAVE3]],Tabla8[[#This Row],[DESCRIPCION DE TRABAJO]])),""))</f>
        <v/>
      </c>
      <c r="T1533" s="88" t="str">
        <f>IF(AND(Tabla8[[#This Row],[PIEZA]]="",Tabla8[[#This Row],[PARTE]]=""),"VACIO","OK")</f>
        <v>VACIO</v>
      </c>
      <c r="U1533" s="633" t="str">
        <f>+CONCATENATE(WEEKNUM(Tabla8[[#This Row],[FECHA]]),"-",YEAR(Tabla8[[#This Row],[FECHA]]))</f>
        <v>22-2026</v>
      </c>
    </row>
    <row r="1534" spans="1:21" ht="15" customHeight="1">
      <c r="A1534" s="22">
        <v>46170</v>
      </c>
      <c r="B1534" s="16" t="s">
        <v>131</v>
      </c>
      <c r="C1534" s="16" t="s">
        <v>23</v>
      </c>
      <c r="D1534" s="381" t="s">
        <v>2832</v>
      </c>
      <c r="E1534" s="381" t="s">
        <v>278</v>
      </c>
      <c r="F1534" s="632">
        <f>+MOD(Tabla8[[#This Row],[HR. FIN]]-Tabla8[[#This Row],[HR. INICIO]],1)</f>
        <v>1.041666666666663E-2</v>
      </c>
      <c r="G1534" s="16" t="s">
        <v>238</v>
      </c>
      <c r="H1534" s="79" t="str">
        <f>IFERROR(VLOOKUP(G1534,DATOS!$M$2:$N$219,2,FALSE),"")</f>
        <v>Maquinaria</v>
      </c>
      <c r="I1534" s="115" t="s">
        <v>57</v>
      </c>
      <c r="J1534" s="115" t="s">
        <v>92</v>
      </c>
      <c r="K1534" s="115" t="s">
        <v>148</v>
      </c>
      <c r="L1534" s="35" t="s">
        <v>2833</v>
      </c>
      <c r="M1534" s="35" t="s">
        <v>2834</v>
      </c>
      <c r="N1534" s="35" t="str" cm="1">
        <f t="array" ref="N1534">IFERROR(IF(Tabla8[[#This Row],[P/NP]]="NO PROGRAMADA","",_xlfn.TEXTJOIN(", ",TRUE,_xlfn._xlws.FILTER(Tabla4[[#All],[PIEZA]],ISNUMBER(SEARCH(Tabla4[[#All],[PCLAVE]],Tabla8[[#This Row],[DESCRIPCION DE TRABAJO]])),""))),"")</f>
        <v/>
      </c>
      <c r="O1534" s="35" t="str" cm="1">
        <f t="array" ref="O1534">_xlfn.TEXTJOIN(", ",TRUE,_xlfn._xlws.FILTER(Tabla28[[#All],[PARTE]],ISNUMBER(SEARCH(Tabla28[[#All],[PCLAVE2]],Tabla8[[#This Row],[DESCRIPCION DE TRABAJO]])),""))</f>
        <v>Tanque</v>
      </c>
      <c r="P1534" s="633" t="str">
        <f>IFERROR(LEFT(O1534, FIND(",", O1534)-1), O1534)</f>
        <v>Tanque</v>
      </c>
      <c r="Q1534" s="633" t="str">
        <f>IFERROR(IF(ISERROR(FIND(",", O1534, FIND(",", O1534)+1)), RIGHT(O1534, LEN(O1534)-FIND(",", O1534)-1), MID(O1534, FIND(",", O1534)+2, FIND(",", O1534, FIND(",", O1534)+1)-FIND(",", O1534)-2)), "")</f>
        <v/>
      </c>
      <c r="R1534" s="633" t="str">
        <f>IFERROR(RIGHT(O1534, LEN(O1534)-FIND(",", O1534, FIND(",", O1534)+1)-1), "")</f>
        <v/>
      </c>
      <c r="S1534" s="35" t="str" cm="1">
        <f t="array" ref="S1534">_xlfn.TEXTJOIN(", ",TRUE,_xlfn._xlws.FILTER(Tabla29[[#All],[PARTE]],ISNUMBER(SEARCH(Tabla29[[#All],[PCLAVE3]],Tabla8[[#This Row],[DESCRIPCION DE TRABAJO]])),""))</f>
        <v/>
      </c>
      <c r="T1534" s="88" t="str">
        <f>IF(AND(Tabla8[[#This Row],[PIEZA]]="",Tabla8[[#This Row],[PARTE]]=""),"VACIO","OK")</f>
        <v>OK</v>
      </c>
      <c r="U1534" s="633" t="str">
        <f>+CONCATENATE(WEEKNUM(Tabla8[[#This Row],[FECHA]]),"-",YEAR(Tabla8[[#This Row],[FECHA]]))</f>
        <v>22-2026</v>
      </c>
    </row>
    <row r="1535" spans="1:21" ht="15" customHeight="1">
      <c r="A1535" s="22">
        <v>46170</v>
      </c>
      <c r="B1535" s="16" t="s">
        <v>191</v>
      </c>
      <c r="C1535" s="16" t="s">
        <v>39</v>
      </c>
      <c r="D1535" s="381" t="s">
        <v>1110</v>
      </c>
      <c r="E1535" s="381" t="s">
        <v>2259</v>
      </c>
      <c r="F1535" s="632">
        <f>+MOD(Tabla8[[#This Row],[HR. FIN]]-Tabla8[[#This Row],[HR. INICIO]],1)</f>
        <v>9.7222222222222987E-3</v>
      </c>
      <c r="G1535" s="16" t="s">
        <v>215</v>
      </c>
      <c r="H1535" s="79" t="str">
        <f>IFERROR(VLOOKUP(G1535,DATOS!$M$2:$N$219,2,FALSE),"")</f>
        <v>Equipos auxiliares</v>
      </c>
      <c r="I1535" s="115" t="s">
        <v>54</v>
      </c>
      <c r="J1535" s="115" t="s">
        <v>157</v>
      </c>
      <c r="K1535" s="115"/>
      <c r="L1535" s="35" t="s">
        <v>248</v>
      </c>
      <c r="M1535" s="35" t="s">
        <v>121</v>
      </c>
      <c r="N1535" s="35" t="str" cm="1">
        <f t="array" ref="N1535">IFERROR(IF(Tabla8[[#This Row],[P/NP]]="NO PROGRAMADA","",_xlfn.TEXTJOIN(", ",TRUE,_xlfn._xlws.FILTER(Tabla4[[#All],[PIEZA]],ISNUMBER(SEARCH(Tabla4[[#All],[PCLAVE]],Tabla8[[#This Row],[DESCRIPCION DE TRABAJO]])),""))),"")</f>
        <v/>
      </c>
      <c r="O1535" s="35" t="str" cm="1">
        <f t="array" ref="O1535">_xlfn.TEXTJOIN(", ",TRUE,_xlfn._xlws.FILTER(Tabla28[[#All],[PARTE]],ISNUMBER(SEARCH(Tabla28[[#All],[PCLAVE2]],Tabla8[[#This Row],[DESCRIPCION DE TRABAJO]])),""))</f>
        <v/>
      </c>
      <c r="P1535" s="633" t="str">
        <f>IFERROR(LEFT(O1535, FIND(",", O1535)-1), O1535)</f>
        <v/>
      </c>
      <c r="Q1535" s="633" t="str">
        <f>IFERROR(IF(ISERROR(FIND(",", O1535, FIND(",", O1535)+1)), RIGHT(O1535, LEN(O1535)-FIND(",", O1535)-1), MID(O1535, FIND(",", O1535)+2, FIND(",", O1535, FIND(",", O1535)+1)-FIND(",", O1535)-2)), "")</f>
        <v/>
      </c>
      <c r="R1535" s="633" t="str">
        <f>IFERROR(RIGHT(O1535, LEN(O1535)-FIND(",", O1535, FIND(",", O1535)+1)-1), "")</f>
        <v/>
      </c>
      <c r="S1535" s="35" t="str" cm="1">
        <f t="array" ref="S1535">_xlfn.TEXTJOIN(", ",TRUE,_xlfn._xlws.FILTER(Tabla29[[#All],[PARTE]],ISNUMBER(SEARCH(Tabla29[[#All],[PCLAVE3]],Tabla8[[#This Row],[DESCRIPCION DE TRABAJO]])),""))</f>
        <v/>
      </c>
      <c r="T1535" s="88" t="str">
        <f>IF(AND(Tabla8[[#This Row],[PIEZA]]="",Tabla8[[#This Row],[PARTE]]=""),"VACIO","OK")</f>
        <v>VACIO</v>
      </c>
      <c r="U1535" s="633" t="str">
        <f>+CONCATENATE(WEEKNUM(Tabla8[[#This Row],[FECHA]]),"-",YEAR(Tabla8[[#This Row],[FECHA]]))</f>
        <v>22-2026</v>
      </c>
    </row>
    <row r="1536" spans="1:21" ht="15" customHeight="1">
      <c r="A1536" s="22">
        <v>46170</v>
      </c>
      <c r="B1536" s="16" t="s">
        <v>191</v>
      </c>
      <c r="C1536" s="16" t="s">
        <v>39</v>
      </c>
      <c r="D1536" s="381" t="s">
        <v>1698</v>
      </c>
      <c r="E1536" s="381" t="s">
        <v>2835</v>
      </c>
      <c r="F1536" s="632">
        <f>+MOD(Tabla8[[#This Row],[HR. FIN]]-Tabla8[[#This Row],[HR. INICIO]],1)</f>
        <v>9.7222222222222224E-3</v>
      </c>
      <c r="G1536" s="16" t="s">
        <v>153</v>
      </c>
      <c r="H1536" s="79" t="str">
        <f>IFERROR(VLOOKUP(G1536,DATOS!$M$2:$N$219,2,FALSE),"")</f>
        <v>Maquinaria</v>
      </c>
      <c r="I1536" s="115" t="s">
        <v>57</v>
      </c>
      <c r="J1536" s="115" t="s">
        <v>92</v>
      </c>
      <c r="K1536" s="115" t="s">
        <v>93</v>
      </c>
      <c r="L1536" s="35" t="s">
        <v>2836</v>
      </c>
      <c r="M1536" s="35" t="s">
        <v>2837</v>
      </c>
      <c r="N1536" s="35" t="str" cm="1">
        <f t="array" ref="N1536">IFERROR(IF(Tabla8[[#This Row],[P/NP]]="NO PROGRAMADA","",_xlfn.TEXTJOIN(", ",TRUE,_xlfn._xlws.FILTER(Tabla4[[#All],[PIEZA]],ISNUMBER(SEARCH(Tabla4[[#All],[PCLAVE]],Tabla8[[#This Row],[DESCRIPCION DE TRABAJO]])),""))),"")</f>
        <v/>
      </c>
      <c r="O1536" s="35" t="str" cm="1">
        <f t="array" ref="O1536">_xlfn.TEXTJOIN(", ",TRUE,_xlfn._xlws.FILTER(Tabla28[[#All],[PARTE]],ISNUMBER(SEARCH(Tabla28[[#All],[PCLAVE2]],Tabla8[[#This Row],[DESCRIPCION DE TRABAJO]])),""))</f>
        <v/>
      </c>
      <c r="P1536" s="633" t="str">
        <f>IFERROR(LEFT(O1536, FIND(",", O1536)-1), O1536)</f>
        <v/>
      </c>
      <c r="Q1536" s="633" t="str">
        <f>IFERROR(IF(ISERROR(FIND(",", O1536, FIND(",", O1536)+1)), RIGHT(O1536, LEN(O1536)-FIND(",", O1536)-1), MID(O1536, FIND(",", O1536)+2, FIND(",", O1536, FIND(",", O1536)+1)-FIND(",", O1536)-2)), "")</f>
        <v/>
      </c>
      <c r="R1536" s="633" t="str">
        <f>IFERROR(RIGHT(O1536, LEN(O1536)-FIND(",", O1536, FIND(",", O1536)+1)-1), "")</f>
        <v/>
      </c>
      <c r="S1536" s="35" t="str" cm="1">
        <f t="array" ref="S1536">_xlfn.TEXTJOIN(", ",TRUE,_xlfn._xlws.FILTER(Tabla29[[#All],[PARTE]],ISNUMBER(SEARCH(Tabla29[[#All],[PCLAVE3]],Tabla8[[#This Row],[DESCRIPCION DE TRABAJO]])),""))</f>
        <v/>
      </c>
      <c r="T1536" s="88" t="str">
        <f>IF(AND(Tabla8[[#This Row],[PIEZA]]="",Tabla8[[#This Row],[PARTE]]=""),"VACIO","OK")</f>
        <v>VACIO</v>
      </c>
      <c r="U1536" s="633" t="str">
        <f>+CONCATENATE(WEEKNUM(Tabla8[[#This Row],[FECHA]]),"-",YEAR(Tabla8[[#This Row],[FECHA]]))</f>
        <v>22-2026</v>
      </c>
    </row>
    <row r="1537" spans="1:21" ht="15" customHeight="1">
      <c r="A1537" s="22">
        <v>46170</v>
      </c>
      <c r="B1537" s="16" t="s">
        <v>111</v>
      </c>
      <c r="C1537" s="16" t="s">
        <v>36</v>
      </c>
      <c r="D1537" s="381" t="s">
        <v>551</v>
      </c>
      <c r="E1537" s="381" t="s">
        <v>585</v>
      </c>
      <c r="F1537" s="632">
        <f>+MOD(Tabla8[[#This Row],[HR. FIN]]-Tabla8[[#This Row],[HR. INICIO]],1)</f>
        <v>6.9444444444444198E-3</v>
      </c>
      <c r="G1537" s="16" t="s">
        <v>270</v>
      </c>
      <c r="H1537" s="79" t="str">
        <f>IFERROR(VLOOKUP(G1537,DATOS!$M$2:$N$219,2,FALSE),"")</f>
        <v>Maquinaria</v>
      </c>
      <c r="I1537" s="115" t="s">
        <v>57</v>
      </c>
      <c r="J1537" s="115" t="s">
        <v>92</v>
      </c>
      <c r="K1537" s="115" t="s">
        <v>148</v>
      </c>
      <c r="L1537" s="35" t="s">
        <v>2838</v>
      </c>
      <c r="M1537" s="35" t="s">
        <v>2839</v>
      </c>
      <c r="N1537" s="35" t="str" cm="1">
        <f t="array" ref="N1537">IFERROR(IF(Tabla8[[#This Row],[P/NP]]="NO PROGRAMADA","",_xlfn.TEXTJOIN(", ",TRUE,_xlfn._xlws.FILTER(Tabla4[[#All],[PIEZA]],ISNUMBER(SEARCH(Tabla4[[#All],[PCLAVE]],Tabla8[[#This Row],[DESCRIPCION DE TRABAJO]])),""))),"")</f>
        <v/>
      </c>
      <c r="O1537" s="35" t="str" cm="1">
        <f t="array" ref="O1537">_xlfn.TEXTJOIN(", ",TRUE,_xlfn._xlws.FILTER(Tabla28[[#All],[PARTE]],ISNUMBER(SEARCH(Tabla28[[#All],[PCLAVE2]],Tabla8[[#This Row],[DESCRIPCION DE TRABAJO]])),""))</f>
        <v/>
      </c>
      <c r="P1537" s="633" t="str">
        <f>IFERROR(LEFT(O1537, FIND(",", O1537)-1), O1537)</f>
        <v/>
      </c>
      <c r="Q1537" s="633" t="str">
        <f>IFERROR(IF(ISERROR(FIND(",", O1537, FIND(",", O1537)+1)), RIGHT(O1537, LEN(O1537)-FIND(",", O1537)-1), MID(O1537, FIND(",", O1537)+2, FIND(",", O1537, FIND(",", O1537)+1)-FIND(",", O1537)-2)), "")</f>
        <v/>
      </c>
      <c r="R1537" s="633" t="str">
        <f>IFERROR(RIGHT(O1537, LEN(O1537)-FIND(",", O1537, FIND(",", O1537)+1)-1), "")</f>
        <v/>
      </c>
      <c r="S1537" s="35" t="str" cm="1">
        <f t="array" ref="S1537">_xlfn.TEXTJOIN(", ",TRUE,_xlfn._xlws.FILTER(Tabla29[[#All],[PARTE]],ISNUMBER(SEARCH(Tabla29[[#All],[PCLAVE3]],Tabla8[[#This Row],[DESCRIPCION DE TRABAJO]])),""))</f>
        <v>Abierto, Alarma</v>
      </c>
      <c r="T1537" s="88" t="str">
        <f>IF(AND(Tabla8[[#This Row],[PIEZA]]="",Tabla8[[#This Row],[PARTE]]=""),"VACIO","OK")</f>
        <v>VACIO</v>
      </c>
      <c r="U1537" s="633" t="str">
        <f>+CONCATENATE(WEEKNUM(Tabla8[[#This Row],[FECHA]]),"-",YEAR(Tabla8[[#This Row],[FECHA]]))</f>
        <v>22-2026</v>
      </c>
    </row>
    <row r="1538" spans="1:21" ht="15" customHeight="1">
      <c r="A1538" s="22">
        <v>46174</v>
      </c>
      <c r="B1538" s="16" t="s">
        <v>111</v>
      </c>
      <c r="C1538" s="16" t="s">
        <v>39</v>
      </c>
      <c r="D1538" s="381" t="s">
        <v>866</v>
      </c>
      <c r="E1538" s="381" t="s">
        <v>142</v>
      </c>
      <c r="F1538" s="632">
        <f>+MOD(Tabla8[[#This Row],[HR. FIN]]-Tabla8[[#This Row],[HR. INICIO]],1)</f>
        <v>4.8611111111111105E-2</v>
      </c>
      <c r="G1538" s="16" t="s">
        <v>136</v>
      </c>
      <c r="H1538" s="79" t="str">
        <f>IFERROR(VLOOKUP(G1538,DATOS!$M$2:$N$219,2,FALSE),"")</f>
        <v>Maquinaria</v>
      </c>
      <c r="I1538" s="115" t="s">
        <v>390</v>
      </c>
      <c r="J1538" s="115" t="s">
        <v>157</v>
      </c>
      <c r="K1538" s="115"/>
      <c r="L1538" s="35" t="s">
        <v>2840</v>
      </c>
      <c r="M1538" s="35" t="s">
        <v>121</v>
      </c>
      <c r="N1538" s="35" t="str" cm="1">
        <f t="array" ref="N1538">IFERROR(IF(Tabla8[[#This Row],[P/NP]]="NO PROGRAMADA","",_xlfn.TEXTJOIN(", ",TRUE,_xlfn._xlws.FILTER(Tabla4[[#All],[PIEZA]],ISNUMBER(SEARCH(Tabla4[[#All],[PCLAVE]],Tabla8[[#This Row],[DESCRIPCION DE TRABAJO]])),""))),"")</f>
        <v>Motor, Producto</v>
      </c>
      <c r="O1538" s="35" t="str" cm="1">
        <f t="array" ref="O1538">_xlfn.TEXTJOIN(", ",TRUE,_xlfn._xlws.FILTER(Tabla28[[#All],[PARTE]],ISNUMBER(SEARCH(Tabla28[[#All],[PCLAVE2]],Tabla8[[#This Row],[DESCRIPCION DE TRABAJO]])),""))</f>
        <v/>
      </c>
      <c r="P1538" s="633" t="str">
        <f>IFERROR(LEFT(O1538, FIND(",", O1538)-1), O1538)</f>
        <v/>
      </c>
      <c r="Q1538" s="633" t="str">
        <f>IFERROR(IF(ISERROR(FIND(",", O1538, FIND(",", O1538)+1)), RIGHT(O1538, LEN(O1538)-FIND(",", O1538)-1), MID(O1538, FIND(",", O1538)+2, FIND(",", O1538, FIND(",", O1538)+1)-FIND(",", O1538)-2)), "")</f>
        <v/>
      </c>
      <c r="R1538" s="633" t="str">
        <f>IFERROR(RIGHT(O1538, LEN(O1538)-FIND(",", O1538, FIND(",", O1538)+1)-1), "")</f>
        <v/>
      </c>
      <c r="S1538" s="35" t="str" cm="1">
        <f t="array" ref="S1538">_xlfn.TEXTJOIN(", ",TRUE,_xlfn._xlws.FILTER(Tabla29[[#All],[PARTE]],ISNUMBER(SEARCH(Tabla29[[#All],[PCLAVE3]],Tabla8[[#This Row],[DESCRIPCION DE TRABAJO]])),""))</f>
        <v>Carga/descarga</v>
      </c>
      <c r="T1538" s="88" t="str">
        <f>IF(AND(Tabla8[[#This Row],[PIEZA]]="",Tabla8[[#This Row],[PARTE]]=""),"VACIO","OK")</f>
        <v>OK</v>
      </c>
      <c r="U1538" s="633" t="str">
        <f>+CONCATENATE(WEEKNUM(Tabla8[[#This Row],[FECHA]]),"-",YEAR(Tabla8[[#This Row],[FECHA]]))</f>
        <v>23-2026</v>
      </c>
    </row>
    <row r="1539" spans="1:21" ht="15" customHeight="1">
      <c r="A1539" s="22">
        <v>46174</v>
      </c>
      <c r="B1539" s="16" t="s">
        <v>131</v>
      </c>
      <c r="C1539" s="16" t="s">
        <v>36</v>
      </c>
      <c r="D1539" s="381" t="s">
        <v>883</v>
      </c>
      <c r="E1539" s="381" t="s">
        <v>122</v>
      </c>
      <c r="F1539" s="632">
        <f>+MOD(Tabla8[[#This Row],[HR. FIN]]-Tabla8[[#This Row],[HR. INICIO]],1)</f>
        <v>3.472222222222221E-2</v>
      </c>
      <c r="G1539" s="16" t="s">
        <v>103</v>
      </c>
      <c r="H1539" s="79" t="str">
        <f>IFERROR(VLOOKUP(G1539,DATOS!$M$2:$N$219,2,FALSE),"")</f>
        <v>Area</v>
      </c>
      <c r="I1539" s="115" t="s">
        <v>43</v>
      </c>
      <c r="J1539" s="115" t="s">
        <v>157</v>
      </c>
      <c r="K1539" s="115"/>
      <c r="L1539" s="35" t="s">
        <v>2361</v>
      </c>
      <c r="M1539" s="35" t="s">
        <v>121</v>
      </c>
      <c r="N1539" s="35" t="str" cm="1">
        <f t="array" ref="N1539">IFERROR(IF(Tabla8[[#This Row],[P/NP]]="NO PROGRAMADA","",_xlfn.TEXTJOIN(", ",TRUE,_xlfn._xlws.FILTER(Tabla4[[#All],[PIEZA]],ISNUMBER(SEARCH(Tabla4[[#All],[PCLAVE]],Tabla8[[#This Row],[DESCRIPCION DE TRABAJO]])),""))),"")</f>
        <v/>
      </c>
      <c r="O1539" s="35" t="str" cm="1">
        <f t="array" ref="O1539">_xlfn.TEXTJOIN(", ",TRUE,_xlfn._xlws.FILTER(Tabla28[[#All],[PARTE]],ISNUMBER(SEARCH(Tabla28[[#All],[PCLAVE2]],Tabla8[[#This Row],[DESCRIPCION DE TRABAJO]])),""))</f>
        <v/>
      </c>
      <c r="P1539" s="633" t="str">
        <f>IFERROR(LEFT(O1539, FIND(",", O1539)-1), O1539)</f>
        <v/>
      </c>
      <c r="Q1539" s="633" t="str">
        <f>IFERROR(IF(ISERROR(FIND(",", O1539, FIND(",", O1539)+1)), RIGHT(O1539, LEN(O1539)-FIND(",", O1539)-1), MID(O1539, FIND(",", O1539)+2, FIND(",", O1539, FIND(",", O1539)+1)-FIND(",", O1539)-2)), "")</f>
        <v/>
      </c>
      <c r="R1539" s="633" t="str">
        <f>IFERROR(RIGHT(O1539, LEN(O1539)-FIND(",", O1539, FIND(",", O1539)+1)-1), "")</f>
        <v/>
      </c>
      <c r="S1539" s="35" t="str" cm="1">
        <f t="array" ref="S1539">_xlfn.TEXTJOIN(", ",TRUE,_xlfn._xlws.FILTER(Tabla29[[#All],[PARTE]],ISNUMBER(SEARCH(Tabla29[[#All],[PCLAVE3]],Tabla8[[#This Row],[DESCRIPCION DE TRABAJO]])),""))</f>
        <v/>
      </c>
      <c r="T1539" s="88" t="str">
        <f>IF(AND(Tabla8[[#This Row],[PIEZA]]="",Tabla8[[#This Row],[PARTE]]=""),"VACIO","OK")</f>
        <v>VACIO</v>
      </c>
      <c r="U1539" s="633" t="str">
        <f>+CONCATENATE(WEEKNUM(Tabla8[[#This Row],[FECHA]]),"-",YEAR(Tabla8[[#This Row],[FECHA]]))</f>
        <v>23-2026</v>
      </c>
    </row>
    <row r="1540" spans="1:21" ht="15" customHeight="1">
      <c r="A1540" s="22">
        <v>46174</v>
      </c>
      <c r="B1540" s="16" t="s">
        <v>88</v>
      </c>
      <c r="C1540" s="16" t="s">
        <v>36</v>
      </c>
      <c r="D1540" s="381" t="s">
        <v>531</v>
      </c>
      <c r="E1540" s="381" t="s">
        <v>468</v>
      </c>
      <c r="F1540" s="632">
        <f>+MOD(Tabla8[[#This Row],[HR. FIN]]-Tabla8[[#This Row],[HR. INICIO]],1)</f>
        <v>3.125E-2</v>
      </c>
      <c r="G1540" s="16" t="s">
        <v>114</v>
      </c>
      <c r="H1540" s="79" t="str">
        <f>IFERROR(VLOOKUP(G1540,DATOS!$M$2:$N$219,2,FALSE),"")</f>
        <v>Maquinaria</v>
      </c>
      <c r="I1540" s="115" t="s">
        <v>32</v>
      </c>
      <c r="J1540" s="115" t="s">
        <v>157</v>
      </c>
      <c r="K1540" s="115"/>
      <c r="L1540" s="35" t="s">
        <v>2841</v>
      </c>
      <c r="M1540" s="35" t="s">
        <v>2842</v>
      </c>
      <c r="N1540" s="35" t="str" cm="1">
        <f t="array" ref="N1540">IFERROR(IF(Tabla8[[#This Row],[P/NP]]="NO PROGRAMADA","",_xlfn.TEXTJOIN(", ",TRUE,_xlfn._xlws.FILTER(Tabla4[[#All],[PIEZA]],ISNUMBER(SEARCH(Tabla4[[#All],[PCLAVE]],Tabla8[[#This Row],[DESCRIPCION DE TRABAJO]])),""))),"")</f>
        <v/>
      </c>
      <c r="O1540" s="35" t="str" cm="1">
        <f t="array" ref="O1540">_xlfn.TEXTJOIN(", ",TRUE,_xlfn._xlws.FILTER(Tabla28[[#All],[PARTE]],ISNUMBER(SEARCH(Tabla28[[#All],[PCLAVE2]],Tabla8[[#This Row],[DESCRIPCION DE TRABAJO]])),""))</f>
        <v/>
      </c>
      <c r="P1540" s="633" t="str">
        <f>IFERROR(LEFT(O1540, FIND(",", O1540)-1), O1540)</f>
        <v/>
      </c>
      <c r="Q1540" s="633" t="str">
        <f>IFERROR(IF(ISERROR(FIND(",", O1540, FIND(",", O1540)+1)), RIGHT(O1540, LEN(O1540)-FIND(",", O1540)-1), MID(O1540, FIND(",", O1540)+2, FIND(",", O1540, FIND(",", O1540)+1)-FIND(",", O1540)-2)), "")</f>
        <v/>
      </c>
      <c r="R1540" s="633" t="str">
        <f>IFERROR(RIGHT(O1540, LEN(O1540)-FIND(",", O1540, FIND(",", O1540)+1)-1), "")</f>
        <v/>
      </c>
      <c r="S1540" s="35" t="str" cm="1">
        <f t="array" ref="S1540">_xlfn.TEXTJOIN(", ",TRUE,_xlfn._xlws.FILTER(Tabla29[[#All],[PARTE]],ISNUMBER(SEARCH(Tabla29[[#All],[PCLAVE3]],Tabla8[[#This Row],[DESCRIPCION DE TRABAJO]])),""))</f>
        <v/>
      </c>
      <c r="T1540" s="88" t="str">
        <f>IF(AND(Tabla8[[#This Row],[PIEZA]]="",Tabla8[[#This Row],[PARTE]]=""),"VACIO","OK")</f>
        <v>VACIO</v>
      </c>
      <c r="U1540" s="633" t="str">
        <f>+CONCATENATE(WEEKNUM(Tabla8[[#This Row],[FECHA]]),"-",YEAR(Tabla8[[#This Row],[FECHA]]))</f>
        <v>23-2026</v>
      </c>
    </row>
    <row r="1541" spans="1:21" ht="15" customHeight="1">
      <c r="A1541" s="22">
        <v>46174</v>
      </c>
      <c r="B1541" s="16" t="s">
        <v>131</v>
      </c>
      <c r="C1541" s="16" t="s">
        <v>36</v>
      </c>
      <c r="D1541" s="381" t="s">
        <v>462</v>
      </c>
      <c r="E1541" s="381" t="s">
        <v>556</v>
      </c>
      <c r="F1541" s="632">
        <f>+MOD(Tabla8[[#This Row],[HR. FIN]]-Tabla8[[#This Row],[HR. INICIO]],1)</f>
        <v>3.125E-2</v>
      </c>
      <c r="G1541" s="16" t="s">
        <v>98</v>
      </c>
      <c r="H1541" s="79" t="str">
        <f>IFERROR(VLOOKUP(G1541,DATOS!$M$2:$N$219,2,FALSE),"")</f>
        <v>Maquinaria</v>
      </c>
      <c r="I1541" s="115" t="s">
        <v>32</v>
      </c>
      <c r="J1541" s="115" t="s">
        <v>157</v>
      </c>
      <c r="K1541" s="115"/>
      <c r="L1541" s="35" t="s">
        <v>449</v>
      </c>
      <c r="M1541" s="35" t="s">
        <v>121</v>
      </c>
      <c r="N1541" s="35" t="str" cm="1">
        <f t="array" ref="N1541">IFERROR(IF(Tabla8[[#This Row],[P/NP]]="NO PROGRAMADA","",_xlfn.TEXTJOIN(", ",TRUE,_xlfn._xlws.FILTER(Tabla4[[#All],[PIEZA]],ISNUMBER(SEARCH(Tabla4[[#All],[PCLAVE]],Tabla8[[#This Row],[DESCRIPCION DE TRABAJO]])),""))),"")</f>
        <v/>
      </c>
      <c r="O1541" s="35" t="str" cm="1">
        <f t="array" ref="O1541">_xlfn.TEXTJOIN(", ",TRUE,_xlfn._xlws.FILTER(Tabla28[[#All],[PARTE]],ISNUMBER(SEARCH(Tabla28[[#All],[PCLAVE2]],Tabla8[[#This Row],[DESCRIPCION DE TRABAJO]])),""))</f>
        <v/>
      </c>
      <c r="P1541" s="633" t="str">
        <f>IFERROR(LEFT(O1541, FIND(",", O1541)-1), O1541)</f>
        <v/>
      </c>
      <c r="Q1541" s="633" t="str">
        <f>IFERROR(IF(ISERROR(FIND(",", O1541, FIND(",", O1541)+1)), RIGHT(O1541, LEN(O1541)-FIND(",", O1541)-1), MID(O1541, FIND(",", O1541)+2, FIND(",", O1541, FIND(",", O1541)+1)-FIND(",", O1541)-2)), "")</f>
        <v/>
      </c>
      <c r="R1541" s="633" t="str">
        <f>IFERROR(RIGHT(O1541, LEN(O1541)-FIND(",", O1541, FIND(",", O1541)+1)-1), "")</f>
        <v/>
      </c>
      <c r="S1541" s="35" t="str" cm="1">
        <f t="array" ref="S1541">_xlfn.TEXTJOIN(", ",TRUE,_xlfn._xlws.FILTER(Tabla29[[#All],[PARTE]],ISNUMBER(SEARCH(Tabla29[[#All],[PCLAVE3]],Tabla8[[#This Row],[DESCRIPCION DE TRABAJO]])),""))</f>
        <v/>
      </c>
      <c r="T1541" s="88" t="str">
        <f>IF(AND(Tabla8[[#This Row],[PIEZA]]="",Tabla8[[#This Row],[PARTE]]=""),"VACIO","OK")</f>
        <v>VACIO</v>
      </c>
      <c r="U1541" s="633" t="str">
        <f>+CONCATENATE(WEEKNUM(Tabla8[[#This Row],[FECHA]]),"-",YEAR(Tabla8[[#This Row],[FECHA]]))</f>
        <v>23-2026</v>
      </c>
    </row>
    <row r="1542" spans="1:21" ht="15" customHeight="1">
      <c r="A1542" s="22">
        <v>46174</v>
      </c>
      <c r="B1542" s="16" t="s">
        <v>131</v>
      </c>
      <c r="C1542" s="16" t="s">
        <v>36</v>
      </c>
      <c r="D1542" s="381" t="s">
        <v>152</v>
      </c>
      <c r="E1542" s="381" t="s">
        <v>586</v>
      </c>
      <c r="F1542" s="632">
        <f>+MOD(Tabla8[[#This Row],[HR. FIN]]-Tabla8[[#This Row],[HR. INICIO]],1)</f>
        <v>3.125E-2</v>
      </c>
      <c r="G1542" s="16" t="s">
        <v>182</v>
      </c>
      <c r="H1542" s="79" t="str">
        <f>IFERROR(VLOOKUP(G1542,DATOS!$M$2:$N$219,2,FALSE),"")</f>
        <v>Maquinaria</v>
      </c>
      <c r="I1542" s="115" t="s">
        <v>32</v>
      </c>
      <c r="J1542" s="115" t="s">
        <v>157</v>
      </c>
      <c r="K1542" s="115"/>
      <c r="L1542" s="35" t="s">
        <v>2843</v>
      </c>
      <c r="M1542" s="35" t="s">
        <v>2844</v>
      </c>
      <c r="N1542" s="35" t="str" cm="1">
        <f t="array" ref="N1542">IFERROR(IF(Tabla8[[#This Row],[P/NP]]="NO PROGRAMADA","",_xlfn.TEXTJOIN(", ",TRUE,_xlfn._xlws.FILTER(Tabla4[[#All],[PIEZA]],ISNUMBER(SEARCH(Tabla4[[#All],[PCLAVE]],Tabla8[[#This Row],[DESCRIPCION DE TRABAJO]])),""))),"")</f>
        <v/>
      </c>
      <c r="O1542" s="35" t="str" cm="1">
        <f t="array" ref="O1542">_xlfn.TEXTJOIN(", ",TRUE,_xlfn._xlws.FILTER(Tabla28[[#All],[PARTE]],ISNUMBER(SEARCH(Tabla28[[#All],[PCLAVE2]],Tabla8[[#This Row],[DESCRIPCION DE TRABAJO]])),""))</f>
        <v/>
      </c>
      <c r="P1542" s="633" t="str">
        <f>IFERROR(LEFT(O1542, FIND(",", O1542)-1), O1542)</f>
        <v/>
      </c>
      <c r="Q1542" s="633" t="str">
        <f>IFERROR(IF(ISERROR(FIND(",", O1542, FIND(",", O1542)+1)), RIGHT(O1542, LEN(O1542)-FIND(",", O1542)-1), MID(O1542, FIND(",", O1542)+2, FIND(",", O1542, FIND(",", O1542)+1)-FIND(",", O1542)-2)), "")</f>
        <v/>
      </c>
      <c r="R1542" s="633" t="str">
        <f>IFERROR(RIGHT(O1542, LEN(O1542)-FIND(",", O1542, FIND(",", O1542)+1)-1), "")</f>
        <v/>
      </c>
      <c r="S1542" s="35" t="str" cm="1">
        <f t="array" ref="S1542">_xlfn.TEXTJOIN(", ",TRUE,_xlfn._xlws.FILTER(Tabla29[[#All],[PARTE]],ISNUMBER(SEARCH(Tabla29[[#All],[PCLAVE3]],Tabla8[[#This Row],[DESCRIPCION DE TRABAJO]])),""))</f>
        <v>Cambio De Formato</v>
      </c>
      <c r="T1542" s="88" t="str">
        <f>IF(AND(Tabla8[[#This Row],[PIEZA]]="",Tabla8[[#This Row],[PARTE]]=""),"VACIO","OK")</f>
        <v>VACIO</v>
      </c>
      <c r="U1542" s="633" t="str">
        <f>+CONCATENATE(WEEKNUM(Tabla8[[#This Row],[FECHA]]),"-",YEAR(Tabla8[[#This Row],[FECHA]]))</f>
        <v>23-2026</v>
      </c>
    </row>
    <row r="1543" spans="1:21" ht="15" customHeight="1">
      <c r="A1543" s="22">
        <v>46174</v>
      </c>
      <c r="B1543" s="16" t="s">
        <v>111</v>
      </c>
      <c r="C1543" s="16" t="s">
        <v>39</v>
      </c>
      <c r="D1543" s="381" t="s">
        <v>1589</v>
      </c>
      <c r="E1543" s="381" t="s">
        <v>303</v>
      </c>
      <c r="F1543" s="632">
        <f>+MOD(Tabla8[[#This Row],[HR. FIN]]-Tabla8[[#This Row],[HR. INICIO]],1)</f>
        <v>2.777777777777779E-2</v>
      </c>
      <c r="G1543" s="16" t="s">
        <v>1305</v>
      </c>
      <c r="H1543" s="79" t="str">
        <f>IFERROR(VLOOKUP(G1543,DATOS!$M$2:$N$219,2,FALSE),"")</f>
        <v>Area</v>
      </c>
      <c r="I1543" s="115" t="s">
        <v>32</v>
      </c>
      <c r="J1543" s="115" t="s">
        <v>157</v>
      </c>
      <c r="K1543" s="115"/>
      <c r="L1543" s="35" t="s">
        <v>2845</v>
      </c>
      <c r="M1543" s="35" t="s">
        <v>121</v>
      </c>
      <c r="N1543" s="35" t="str" cm="1">
        <f t="array" ref="N1543">IFERROR(IF(Tabla8[[#This Row],[P/NP]]="NO PROGRAMADA","",_xlfn.TEXTJOIN(", ",TRUE,_xlfn._xlws.FILTER(Tabla4[[#All],[PIEZA]],ISNUMBER(SEARCH(Tabla4[[#All],[PCLAVE]],Tabla8[[#This Row],[DESCRIPCION DE TRABAJO]])),""))),"")</f>
        <v/>
      </c>
      <c r="O1543" s="35" t="str" cm="1">
        <f t="array" ref="O1543">_xlfn.TEXTJOIN(", ",TRUE,_xlfn._xlws.FILTER(Tabla28[[#All],[PARTE]],ISNUMBER(SEARCH(Tabla28[[#All],[PCLAVE2]],Tabla8[[#This Row],[DESCRIPCION DE TRABAJO]])),""))</f>
        <v>Camara De Temperado, Climatizador</v>
      </c>
      <c r="P1543" s="633" t="str">
        <f>IFERROR(LEFT(O1543, FIND(",", O1543)-1), O1543)</f>
        <v>Camara De Temperado</v>
      </c>
      <c r="Q1543" s="633" t="str">
        <f>IFERROR(IF(ISERROR(FIND(",", O1543, FIND(",", O1543)+1)), RIGHT(O1543, LEN(O1543)-FIND(",", O1543)-1), MID(O1543, FIND(",", O1543)+2, FIND(",", O1543, FIND(",", O1543)+1)-FIND(",", O1543)-2)), "")</f>
        <v>Climatizador</v>
      </c>
      <c r="R1543" s="633" t="str">
        <f>IFERROR(RIGHT(O1543, LEN(O1543)-FIND(",", O1543, FIND(",", O1543)+1)-1), "")</f>
        <v/>
      </c>
      <c r="S1543" s="35" t="str" cm="1">
        <f t="array" ref="S1543">_xlfn.TEXTJOIN(", ",TRUE,_xlfn._xlws.FILTER(Tabla29[[#All],[PARTE]],ISNUMBER(SEARCH(Tabla29[[#All],[PCLAVE3]],Tabla8[[#This Row],[DESCRIPCION DE TRABAJO]])),""))</f>
        <v/>
      </c>
      <c r="T1543" s="88" t="str">
        <f>IF(AND(Tabla8[[#This Row],[PIEZA]]="",Tabla8[[#This Row],[PARTE]]=""),"VACIO","OK")</f>
        <v>OK</v>
      </c>
      <c r="U1543" s="633" t="str">
        <f>+CONCATENATE(WEEKNUM(Tabla8[[#This Row],[FECHA]]),"-",YEAR(Tabla8[[#This Row],[FECHA]]))</f>
        <v>23-2026</v>
      </c>
    </row>
    <row r="1544" spans="1:21" ht="15" customHeight="1">
      <c r="A1544" s="22">
        <v>46174</v>
      </c>
      <c r="B1544" s="16" t="s">
        <v>88</v>
      </c>
      <c r="C1544" s="16" t="s">
        <v>36</v>
      </c>
      <c r="D1544" s="381" t="s">
        <v>653</v>
      </c>
      <c r="E1544" s="381" t="s">
        <v>281</v>
      </c>
      <c r="F1544" s="632">
        <f>+MOD(Tabla8[[#This Row],[HR. FIN]]-Tabla8[[#This Row],[HR. INICIO]],1)</f>
        <v>2.777777777777779E-2</v>
      </c>
      <c r="G1544" s="16" t="s">
        <v>24</v>
      </c>
      <c r="H1544" s="79" t="str">
        <f>IFERROR(VLOOKUP(G1544,DATOS!$M$2:$N$219,2,FALSE),"")</f>
        <v>Maquinaria</v>
      </c>
      <c r="I1544" s="115" t="s">
        <v>186</v>
      </c>
      <c r="J1544" s="115" t="s">
        <v>92</v>
      </c>
      <c r="K1544" s="115" t="s">
        <v>93</v>
      </c>
      <c r="L1544" s="35" t="s">
        <v>2846</v>
      </c>
      <c r="M1544" s="35" t="s">
        <v>2847</v>
      </c>
      <c r="N1544" s="35" t="str" cm="1">
        <f t="array" ref="N1544">IFERROR(IF(Tabla8[[#This Row],[P/NP]]="NO PROGRAMADA","",_xlfn.TEXTJOIN(", ",TRUE,_xlfn._xlws.FILTER(Tabla4[[#All],[PIEZA]],ISNUMBER(SEARCH(Tabla4[[#All],[PCLAVE]],Tabla8[[#This Row],[DESCRIPCION DE TRABAJO]])),""))),"")</f>
        <v/>
      </c>
      <c r="O1544" s="35" t="str" cm="1">
        <f t="array" ref="O1544">_xlfn.TEXTJOIN(", ",TRUE,_xlfn._xlws.FILTER(Tabla28[[#All],[PARTE]],ISNUMBER(SEARCH(Tabla28[[#All],[PCLAVE2]],Tabla8[[#This Row],[DESCRIPCION DE TRABAJO]])),""))</f>
        <v/>
      </c>
      <c r="P1544" s="633" t="str">
        <f>IFERROR(LEFT(O1544, FIND(",", O1544)-1), O1544)</f>
        <v/>
      </c>
      <c r="Q1544" s="633" t="str">
        <f>IFERROR(IF(ISERROR(FIND(",", O1544, FIND(",", O1544)+1)), RIGHT(O1544, LEN(O1544)-FIND(",", O1544)-1), MID(O1544, FIND(",", O1544)+2, FIND(",", O1544, FIND(",", O1544)+1)-FIND(",", O1544)-2)), "")</f>
        <v/>
      </c>
      <c r="R1544" s="633" t="str">
        <f>IFERROR(RIGHT(O1544, LEN(O1544)-FIND(",", O1544, FIND(",", O1544)+1)-1), "")</f>
        <v/>
      </c>
      <c r="S1544" s="35" t="str" cm="1">
        <f t="array" ref="S1544">_xlfn.TEXTJOIN(", ",TRUE,_xlfn._xlws.FILTER(Tabla29[[#All],[PARTE]],ISNUMBER(SEARCH(Tabla29[[#All],[PCLAVE3]],Tabla8[[#This Row],[DESCRIPCION DE TRABAJO]])),""))</f>
        <v>Doblada</v>
      </c>
      <c r="T1544" s="88" t="str">
        <f>IF(AND(Tabla8[[#This Row],[PIEZA]]="",Tabla8[[#This Row],[PARTE]]=""),"VACIO","OK")</f>
        <v>VACIO</v>
      </c>
      <c r="U1544" s="633" t="str">
        <f>+CONCATENATE(WEEKNUM(Tabla8[[#This Row],[FECHA]]),"-",YEAR(Tabla8[[#This Row],[FECHA]]))</f>
        <v>23-2026</v>
      </c>
    </row>
    <row r="1545" spans="1:21" ht="15" customHeight="1">
      <c r="A1545" s="22">
        <v>46174</v>
      </c>
      <c r="B1545" s="16" t="s">
        <v>88</v>
      </c>
      <c r="C1545" s="16" t="s">
        <v>36</v>
      </c>
      <c r="D1545" s="381" t="s">
        <v>122</v>
      </c>
      <c r="E1545" s="381" t="s">
        <v>123</v>
      </c>
      <c r="F1545" s="632">
        <f>+MOD(Tabla8[[#This Row],[HR. FIN]]-Tabla8[[#This Row],[HR. INICIO]],1)</f>
        <v>2.083333333333337E-2</v>
      </c>
      <c r="G1545" s="16" t="s">
        <v>114</v>
      </c>
      <c r="H1545" s="79" t="str">
        <f>IFERROR(VLOOKUP(G1545,DATOS!$M$2:$N$219,2,FALSE),"")</f>
        <v>Maquinaria</v>
      </c>
      <c r="I1545" s="115" t="s">
        <v>32</v>
      </c>
      <c r="J1545" s="115" t="s">
        <v>157</v>
      </c>
      <c r="K1545" s="115"/>
      <c r="L1545" s="35" t="s">
        <v>1168</v>
      </c>
      <c r="M1545" s="35" t="s">
        <v>1166</v>
      </c>
      <c r="N1545" s="35" t="str" cm="1">
        <f t="array" ref="N1545">IFERROR(IF(Tabla8[[#This Row],[P/NP]]="NO PROGRAMADA","",_xlfn.TEXTJOIN(", ",TRUE,_xlfn._xlws.FILTER(Tabla4[[#All],[PIEZA]],ISNUMBER(SEARCH(Tabla4[[#All],[PCLAVE]],Tabla8[[#This Row],[DESCRIPCION DE TRABAJO]])),""))),"")</f>
        <v/>
      </c>
      <c r="O1545" s="35" t="str" cm="1">
        <f t="array" ref="O1545">_xlfn.TEXTJOIN(", ",TRUE,_xlfn._xlws.FILTER(Tabla28[[#All],[PARTE]],ISNUMBER(SEARCH(Tabla28[[#All],[PCLAVE2]],Tabla8[[#This Row],[DESCRIPCION DE TRABAJO]])),""))</f>
        <v/>
      </c>
      <c r="P1545" s="633" t="str">
        <f>IFERROR(LEFT(O1545, FIND(",", O1545)-1), O1545)</f>
        <v/>
      </c>
      <c r="Q1545" s="633" t="str">
        <f>IFERROR(IF(ISERROR(FIND(",", O1545, FIND(",", O1545)+1)), RIGHT(O1545, LEN(O1545)-FIND(",", O1545)-1), MID(O1545, FIND(",", O1545)+2, FIND(",", O1545, FIND(",", O1545)+1)-FIND(",", O1545)-2)), "")</f>
        <v/>
      </c>
      <c r="R1545" s="633" t="str">
        <f>IFERROR(RIGHT(O1545, LEN(O1545)-FIND(",", O1545, FIND(",", O1545)+1)-1), "")</f>
        <v/>
      </c>
      <c r="S1545" s="35" t="str" cm="1">
        <f t="array" ref="S1545">_xlfn.TEXTJOIN(", ",TRUE,_xlfn._xlws.FILTER(Tabla29[[#All],[PARTE]],ISNUMBER(SEARCH(Tabla29[[#All],[PCLAVE3]],Tabla8[[#This Row],[DESCRIPCION DE TRABAJO]])),""))</f>
        <v/>
      </c>
      <c r="T1545" s="88" t="str">
        <f>IF(AND(Tabla8[[#This Row],[PIEZA]]="",Tabla8[[#This Row],[PARTE]]=""),"VACIO","OK")</f>
        <v>VACIO</v>
      </c>
      <c r="U1545" s="633" t="str">
        <f>+CONCATENATE(WEEKNUM(Tabla8[[#This Row],[FECHA]]),"-",YEAR(Tabla8[[#This Row],[FECHA]]))</f>
        <v>23-2026</v>
      </c>
    </row>
    <row r="1546" spans="1:21" ht="15" customHeight="1">
      <c r="A1546" s="22">
        <v>46174</v>
      </c>
      <c r="B1546" s="16" t="s">
        <v>88</v>
      </c>
      <c r="C1546" s="16" t="s">
        <v>36</v>
      </c>
      <c r="D1546" s="381" t="s">
        <v>557</v>
      </c>
      <c r="E1546" s="381" t="s">
        <v>96</v>
      </c>
      <c r="F1546" s="632">
        <f>+MOD(Tabla8[[#This Row],[HR. FIN]]-Tabla8[[#This Row],[HR. INICIO]],1)</f>
        <v>2.083333333333337E-2</v>
      </c>
      <c r="G1546" s="16" t="s">
        <v>312</v>
      </c>
      <c r="H1546" s="79" t="str">
        <f>IFERROR(VLOOKUP(G1546,DATOS!$M$2:$N$219,2,FALSE),"")</f>
        <v>Maquinaria</v>
      </c>
      <c r="I1546" s="115" t="s">
        <v>32</v>
      </c>
      <c r="J1546" s="115" t="s">
        <v>157</v>
      </c>
      <c r="K1546" s="115"/>
      <c r="L1546" s="35" t="s">
        <v>361</v>
      </c>
      <c r="M1546" s="35" t="s">
        <v>1129</v>
      </c>
      <c r="N1546" s="35" t="str" cm="1">
        <f t="array" ref="N1546">IFERROR(IF(Tabla8[[#This Row],[P/NP]]="NO PROGRAMADA","",_xlfn.TEXTJOIN(", ",TRUE,_xlfn._xlws.FILTER(Tabla4[[#All],[PIEZA]],ISNUMBER(SEARCH(Tabla4[[#All],[PCLAVE]],Tabla8[[#This Row],[DESCRIPCION DE TRABAJO]])),""))),"")</f>
        <v/>
      </c>
      <c r="O1546" s="35" t="str" cm="1">
        <f t="array" ref="O1546">_xlfn.TEXTJOIN(", ",TRUE,_xlfn._xlws.FILTER(Tabla28[[#All],[PARTE]],ISNUMBER(SEARCH(Tabla28[[#All],[PCLAVE2]],Tabla8[[#This Row],[DESCRIPCION DE TRABAJO]])),""))</f>
        <v/>
      </c>
      <c r="P1546" s="633" t="str">
        <f>IFERROR(LEFT(O1546, FIND(",", O1546)-1), O1546)</f>
        <v/>
      </c>
      <c r="Q1546" s="633" t="str">
        <f>IFERROR(IF(ISERROR(FIND(",", O1546, FIND(",", O1546)+1)), RIGHT(O1546, LEN(O1546)-FIND(",", O1546)-1), MID(O1546, FIND(",", O1546)+2, FIND(",", O1546, FIND(",", O1546)+1)-FIND(",", O1546)-2)), "")</f>
        <v/>
      </c>
      <c r="R1546" s="633" t="str">
        <f>IFERROR(RIGHT(O1546, LEN(O1546)-FIND(",", O1546, FIND(",", O1546)+1)-1), "")</f>
        <v/>
      </c>
      <c r="S1546" s="35" t="str" cm="1">
        <f t="array" ref="S1546">_xlfn.TEXTJOIN(", ",TRUE,_xlfn._xlws.FILTER(Tabla29[[#All],[PARTE]],ISNUMBER(SEARCH(Tabla29[[#All],[PCLAVE3]],Tabla8[[#This Row],[DESCRIPCION DE TRABAJO]])),""))</f>
        <v/>
      </c>
      <c r="T1546" s="88" t="str">
        <f>IF(AND(Tabla8[[#This Row],[PIEZA]]="",Tabla8[[#This Row],[PARTE]]=""),"VACIO","OK")</f>
        <v>VACIO</v>
      </c>
      <c r="U1546" s="633" t="str">
        <f>+CONCATENATE(WEEKNUM(Tabla8[[#This Row],[FECHA]]),"-",YEAR(Tabla8[[#This Row],[FECHA]]))</f>
        <v>23-2026</v>
      </c>
    </row>
    <row r="1547" spans="1:21" ht="15" customHeight="1">
      <c r="A1547" s="22">
        <v>46174</v>
      </c>
      <c r="B1547" s="16" t="s">
        <v>131</v>
      </c>
      <c r="C1547" s="16" t="s">
        <v>36</v>
      </c>
      <c r="D1547" s="381" t="s">
        <v>491</v>
      </c>
      <c r="E1547" s="381" t="s">
        <v>106</v>
      </c>
      <c r="F1547" s="632">
        <f>+MOD(Tabla8[[#This Row],[HR. FIN]]-Tabla8[[#This Row],[HR. INICIO]],1)</f>
        <v>2.083333333333337E-2</v>
      </c>
      <c r="G1547" s="16" t="s">
        <v>119</v>
      </c>
      <c r="H1547" s="79" t="str">
        <f>IFERROR(VLOOKUP(G1547,DATOS!$M$2:$N$219,2,FALSE),"")</f>
        <v>Maquinaria</v>
      </c>
      <c r="I1547" s="115" t="s">
        <v>390</v>
      </c>
      <c r="J1547" s="115" t="s">
        <v>157</v>
      </c>
      <c r="K1547" s="115"/>
      <c r="L1547" s="35" t="s">
        <v>2848</v>
      </c>
      <c r="M1547" s="35" t="s">
        <v>121</v>
      </c>
      <c r="N1547" s="35" t="str" cm="1">
        <f t="array" ref="N1547">IFERROR(IF(Tabla8[[#This Row],[P/NP]]="NO PROGRAMADA","",_xlfn.TEXTJOIN(", ",TRUE,_xlfn._xlws.FILTER(Tabla4[[#All],[PIEZA]],ISNUMBER(SEARCH(Tabla4[[#All],[PCLAVE]],Tabla8[[#This Row],[DESCRIPCION DE TRABAJO]])),""))),"")</f>
        <v/>
      </c>
      <c r="O1547" s="35" t="str" cm="1">
        <f t="array" ref="O1547">_xlfn.TEXTJOIN(", ",TRUE,_xlfn._xlws.FILTER(Tabla28[[#All],[PARTE]],ISNUMBER(SEARCH(Tabla28[[#All],[PCLAVE2]],Tabla8[[#This Row],[DESCRIPCION DE TRABAJO]])),""))</f>
        <v/>
      </c>
      <c r="P1547" s="633" t="str">
        <f>IFERROR(LEFT(O1547, FIND(",", O1547)-1), O1547)</f>
        <v/>
      </c>
      <c r="Q1547" s="633" t="str">
        <f>IFERROR(IF(ISERROR(FIND(",", O1547, FIND(",", O1547)+1)), RIGHT(O1547, LEN(O1547)-FIND(",", O1547)-1), MID(O1547, FIND(",", O1547)+2, FIND(",", O1547, FIND(",", O1547)+1)-FIND(",", O1547)-2)), "")</f>
        <v/>
      </c>
      <c r="R1547" s="633" t="str">
        <f>IFERROR(RIGHT(O1547, LEN(O1547)-FIND(",", O1547, FIND(",", O1547)+1)-1), "")</f>
        <v/>
      </c>
      <c r="S1547" s="35" t="str" cm="1">
        <f t="array" ref="S1547">_xlfn.TEXTJOIN(", ",TRUE,_xlfn._xlws.FILTER(Tabla29[[#All],[PARTE]],ISNUMBER(SEARCH(Tabla29[[#All],[PCLAVE3]],Tabla8[[#This Row],[DESCRIPCION DE TRABAJO]])),""))</f>
        <v>Temperatura</v>
      </c>
      <c r="T1547" s="88" t="str">
        <f>IF(AND(Tabla8[[#This Row],[PIEZA]]="",Tabla8[[#This Row],[PARTE]]=""),"VACIO","OK")</f>
        <v>VACIO</v>
      </c>
      <c r="U1547" s="633" t="str">
        <f>+CONCATENATE(WEEKNUM(Tabla8[[#This Row],[FECHA]]),"-",YEAR(Tabla8[[#This Row],[FECHA]]))</f>
        <v>23-2026</v>
      </c>
    </row>
    <row r="1548" spans="1:21" ht="15" customHeight="1">
      <c r="A1548" s="22">
        <v>46174</v>
      </c>
      <c r="B1548" s="16" t="s">
        <v>111</v>
      </c>
      <c r="C1548" s="16" t="s">
        <v>39</v>
      </c>
      <c r="D1548" s="381" t="s">
        <v>167</v>
      </c>
      <c r="E1548" s="381" t="s">
        <v>112</v>
      </c>
      <c r="F1548" s="632">
        <f>+MOD(Tabla8[[#This Row],[HR. FIN]]-Tabla8[[#This Row],[HR. INICIO]],1)</f>
        <v>2.0833333333333332E-2</v>
      </c>
      <c r="G1548" s="16" t="s">
        <v>328</v>
      </c>
      <c r="H1548" s="79" t="str">
        <f>IFERROR(VLOOKUP(G1548,DATOS!$M$2:$N$219,2,FALSE),"")</f>
        <v>Area</v>
      </c>
      <c r="I1548" s="115" t="s">
        <v>32</v>
      </c>
      <c r="J1548" s="115" t="s">
        <v>157</v>
      </c>
      <c r="K1548" s="115"/>
      <c r="L1548" s="35" t="s">
        <v>2849</v>
      </c>
      <c r="M1548" s="35" t="s">
        <v>121</v>
      </c>
      <c r="N1548" s="35" t="str" cm="1">
        <f t="array" ref="N1548">IFERROR(IF(Tabla8[[#This Row],[P/NP]]="NO PROGRAMADA","",_xlfn.TEXTJOIN(", ",TRUE,_xlfn._xlws.FILTER(Tabla4[[#All],[PIEZA]],ISNUMBER(SEARCH(Tabla4[[#All],[PCLAVE]],Tabla8[[#This Row],[DESCRIPCION DE TRABAJO]])),""))),"")</f>
        <v>Pinzas</v>
      </c>
      <c r="O1548" s="35" t="str" cm="1">
        <f t="array" ref="O1548">_xlfn.TEXTJOIN(", ",TRUE,_xlfn._xlws.FILTER(Tabla28[[#All],[PARTE]],ISNUMBER(SEARCH(Tabla28[[#All],[PCLAVE2]],Tabla8[[#This Row],[DESCRIPCION DE TRABAJO]])),""))</f>
        <v/>
      </c>
      <c r="P1548" s="633" t="str">
        <f>IFERROR(LEFT(O1548, FIND(",", O1548)-1), O1548)</f>
        <v/>
      </c>
      <c r="Q1548" s="633" t="str">
        <f>IFERROR(IF(ISERROR(FIND(",", O1548, FIND(",", O1548)+1)), RIGHT(O1548, LEN(O1548)-FIND(",", O1548)-1), MID(O1548, FIND(",", O1548)+2, FIND(",", O1548, FIND(",", O1548)+1)-FIND(",", O1548)-2)), "")</f>
        <v/>
      </c>
      <c r="R1548" s="633" t="str">
        <f>IFERROR(RIGHT(O1548, LEN(O1548)-FIND(",", O1548, FIND(",", O1548)+1)-1), "")</f>
        <v/>
      </c>
      <c r="S1548" s="35" t="str" cm="1">
        <f t="array" ref="S1548">_xlfn.TEXTJOIN(", ",TRUE,_xlfn._xlws.FILTER(Tabla29[[#All],[PARTE]],ISNUMBER(SEARCH(Tabla29[[#All],[PCLAVE3]],Tabla8[[#This Row],[DESCRIPCION DE TRABAJO]])),""))</f>
        <v/>
      </c>
      <c r="T1548" s="88" t="str">
        <f>IF(AND(Tabla8[[#This Row],[PIEZA]]="",Tabla8[[#This Row],[PARTE]]=""),"VACIO","OK")</f>
        <v>OK</v>
      </c>
      <c r="U1548" s="633" t="str">
        <f>+CONCATENATE(WEEKNUM(Tabla8[[#This Row],[FECHA]]),"-",YEAR(Tabla8[[#This Row],[FECHA]]))</f>
        <v>23-2026</v>
      </c>
    </row>
    <row r="1549" spans="1:21" ht="15" customHeight="1">
      <c r="A1549" s="22">
        <v>46174</v>
      </c>
      <c r="B1549" s="16" t="s">
        <v>88</v>
      </c>
      <c r="C1549" s="16" t="s">
        <v>36</v>
      </c>
      <c r="D1549" s="381" t="s">
        <v>126</v>
      </c>
      <c r="E1549" s="381" t="s">
        <v>127</v>
      </c>
      <c r="F1549" s="632">
        <f>+MOD(Tabla8[[#This Row],[HR. FIN]]-Tabla8[[#This Row],[HR. INICIO]],1)</f>
        <v>2.0833333333333315E-2</v>
      </c>
      <c r="G1549" s="16" t="s">
        <v>24</v>
      </c>
      <c r="H1549" s="79" t="str">
        <f>IFERROR(VLOOKUP(G1549,DATOS!$M$2:$N$219,2,FALSE),"")</f>
        <v>Maquinaria</v>
      </c>
      <c r="I1549" s="115" t="s">
        <v>32</v>
      </c>
      <c r="J1549" s="115" t="s">
        <v>157</v>
      </c>
      <c r="K1549" s="115"/>
      <c r="L1549" s="35" t="s">
        <v>367</v>
      </c>
      <c r="M1549" s="35" t="s">
        <v>2850</v>
      </c>
      <c r="N1549" s="35" t="str" cm="1">
        <f t="array" ref="N1549">IFERROR(IF(Tabla8[[#This Row],[P/NP]]="NO PROGRAMADA","",_xlfn.TEXTJOIN(", ",TRUE,_xlfn._xlws.FILTER(Tabla4[[#All],[PIEZA]],ISNUMBER(SEARCH(Tabla4[[#All],[PCLAVE]],Tabla8[[#This Row],[DESCRIPCION DE TRABAJO]])),""))),"")</f>
        <v/>
      </c>
      <c r="O1549" s="35" t="str" cm="1">
        <f t="array" ref="O1549">_xlfn.TEXTJOIN(", ",TRUE,_xlfn._xlws.FILTER(Tabla28[[#All],[PARTE]],ISNUMBER(SEARCH(Tabla28[[#All],[PCLAVE2]],Tabla8[[#This Row],[DESCRIPCION DE TRABAJO]])),""))</f>
        <v/>
      </c>
      <c r="P1549" s="633" t="str">
        <f>IFERROR(LEFT(O1549, FIND(",", O1549)-1), O1549)</f>
        <v/>
      </c>
      <c r="Q1549" s="633" t="str">
        <f>IFERROR(IF(ISERROR(FIND(",", O1549, FIND(",", O1549)+1)), RIGHT(O1549, LEN(O1549)-FIND(",", O1549)-1), MID(O1549, FIND(",", O1549)+2, FIND(",", O1549, FIND(",", O1549)+1)-FIND(",", O1549)-2)), "")</f>
        <v/>
      </c>
      <c r="R1549" s="633" t="str">
        <f>IFERROR(RIGHT(O1549, LEN(O1549)-FIND(",", O1549, FIND(",", O1549)+1)-1), "")</f>
        <v/>
      </c>
      <c r="S1549" s="35" t="str" cm="1">
        <f t="array" ref="S1549">_xlfn.TEXTJOIN(", ",TRUE,_xlfn._xlws.FILTER(Tabla29[[#All],[PARTE]],ISNUMBER(SEARCH(Tabla29[[#All],[PCLAVE3]],Tabla8[[#This Row],[DESCRIPCION DE TRABAJO]])),""))</f>
        <v/>
      </c>
      <c r="T1549" s="88" t="str">
        <f>IF(AND(Tabla8[[#This Row],[PIEZA]]="",Tabla8[[#This Row],[PARTE]]=""),"VACIO","OK")</f>
        <v>VACIO</v>
      </c>
      <c r="U1549" s="633" t="str">
        <f>+CONCATENATE(WEEKNUM(Tabla8[[#This Row],[FECHA]]),"-",YEAR(Tabla8[[#This Row],[FECHA]]))</f>
        <v>23-2026</v>
      </c>
    </row>
    <row r="1550" spans="1:21" ht="15" customHeight="1">
      <c r="A1550" s="22">
        <v>46174</v>
      </c>
      <c r="B1550" s="16" t="s">
        <v>131</v>
      </c>
      <c r="C1550" s="16" t="s">
        <v>36</v>
      </c>
      <c r="D1550" s="381" t="s">
        <v>123</v>
      </c>
      <c r="E1550" s="381" t="s">
        <v>126</v>
      </c>
      <c r="F1550" s="632">
        <f>+MOD(Tabla8[[#This Row],[HR. FIN]]-Tabla8[[#This Row],[HR. INICIO]],1)</f>
        <v>2.0833333333333315E-2</v>
      </c>
      <c r="G1550" s="16" t="s">
        <v>312</v>
      </c>
      <c r="H1550" s="79" t="str">
        <f>IFERROR(VLOOKUP(G1550,DATOS!$M$2:$N$219,2,FALSE),"")</f>
        <v>Maquinaria</v>
      </c>
      <c r="I1550" s="115" t="s">
        <v>32</v>
      </c>
      <c r="J1550" s="115" t="s">
        <v>157</v>
      </c>
      <c r="K1550" s="115"/>
      <c r="L1550" s="35" t="s">
        <v>2851</v>
      </c>
      <c r="M1550" s="35" t="s">
        <v>121</v>
      </c>
      <c r="N1550" s="35" t="str" cm="1">
        <f t="array" ref="N1550">IFERROR(IF(Tabla8[[#This Row],[P/NP]]="NO PROGRAMADA","",_xlfn.TEXTJOIN(", ",TRUE,_xlfn._xlws.FILTER(Tabla4[[#All],[PIEZA]],ISNUMBER(SEARCH(Tabla4[[#All],[PCLAVE]],Tabla8[[#This Row],[DESCRIPCION DE TRABAJO]])),""))),"")</f>
        <v>Polin De Arrastre</v>
      </c>
      <c r="O1550" s="35" t="str" cm="1">
        <f t="array" ref="O1550">_xlfn.TEXTJOIN(", ",TRUE,_xlfn._xlws.FILTER(Tabla28[[#All],[PARTE]],ISNUMBER(SEARCH(Tabla28[[#All],[PCLAVE2]],Tabla8[[#This Row],[DESCRIPCION DE TRABAJO]])),""))</f>
        <v/>
      </c>
      <c r="P1550" s="633" t="str">
        <f>IFERROR(LEFT(O1550, FIND(",", O1550)-1), O1550)</f>
        <v/>
      </c>
      <c r="Q1550" s="633" t="str">
        <f>IFERROR(IF(ISERROR(FIND(",", O1550, FIND(",", O1550)+1)), RIGHT(O1550, LEN(O1550)-FIND(",", O1550)-1), MID(O1550, FIND(",", O1550)+2, FIND(",", O1550, FIND(",", O1550)+1)-FIND(",", O1550)-2)), "")</f>
        <v/>
      </c>
      <c r="R1550" s="633" t="str">
        <f>IFERROR(RIGHT(O1550, LEN(O1550)-FIND(",", O1550, FIND(",", O1550)+1)-1), "")</f>
        <v/>
      </c>
      <c r="S1550" s="35" t="str" cm="1">
        <f t="array" ref="S1550">_xlfn.TEXTJOIN(", ",TRUE,_xlfn._xlws.FILTER(Tabla29[[#All],[PARTE]],ISNUMBER(SEARCH(Tabla29[[#All],[PCLAVE3]],Tabla8[[#This Row],[DESCRIPCION DE TRABAJO]])),""))</f>
        <v>Sustitucion</v>
      </c>
      <c r="T1550" s="88" t="str">
        <f>IF(AND(Tabla8[[#This Row],[PIEZA]]="",Tabla8[[#This Row],[PARTE]]=""),"VACIO","OK")</f>
        <v>OK</v>
      </c>
      <c r="U1550" s="633" t="str">
        <f>+CONCATENATE(WEEKNUM(Tabla8[[#This Row],[FECHA]]),"-",YEAR(Tabla8[[#This Row],[FECHA]]))</f>
        <v>23-2026</v>
      </c>
    </row>
    <row r="1551" spans="1:21" ht="15" customHeight="1">
      <c r="A1551" s="22">
        <v>46174</v>
      </c>
      <c r="B1551" s="16" t="s">
        <v>111</v>
      </c>
      <c r="C1551" s="16" t="s">
        <v>39</v>
      </c>
      <c r="D1551" s="381" t="s">
        <v>171</v>
      </c>
      <c r="E1551" s="381" t="s">
        <v>426</v>
      </c>
      <c r="F1551" s="632">
        <f>+MOD(Tabla8[[#This Row],[HR. FIN]]-Tabla8[[#This Row],[HR. INICIO]],1)</f>
        <v>2.0833333333333259E-2</v>
      </c>
      <c r="G1551" s="16" t="s">
        <v>293</v>
      </c>
      <c r="H1551" s="79" t="str">
        <f>IFERROR(VLOOKUP(G1551,DATOS!$M$2:$N$219,2,FALSE),"")</f>
        <v>Equipos auxiliares</v>
      </c>
      <c r="I1551" s="115" t="s">
        <v>54</v>
      </c>
      <c r="J1551" s="115" t="s">
        <v>157</v>
      </c>
      <c r="K1551" s="115"/>
      <c r="L1551" s="35" t="s">
        <v>2852</v>
      </c>
      <c r="M1551" s="35" t="s">
        <v>121</v>
      </c>
      <c r="N1551" s="35" t="str" cm="1">
        <f t="array" ref="N1551">IFERROR(IF(Tabla8[[#This Row],[P/NP]]="NO PROGRAMADA","",_xlfn.TEXTJOIN(", ",TRUE,_xlfn._xlws.FILTER(Tabla4[[#All],[PIEZA]],ISNUMBER(SEARCH(Tabla4[[#All],[PCLAVE]],Tabla8[[#This Row],[DESCRIPCION DE TRABAJO]])),""))),"")</f>
        <v/>
      </c>
      <c r="O1551" s="35" t="str" cm="1">
        <f t="array" ref="O1551">_xlfn.TEXTJOIN(", ",TRUE,_xlfn._xlws.FILTER(Tabla28[[#All],[PARTE]],ISNUMBER(SEARCH(Tabla28[[#All],[PCLAVE2]],Tabla8[[#This Row],[DESCRIPCION DE TRABAJO]])),""))</f>
        <v/>
      </c>
      <c r="P1551" s="633" t="str">
        <f>IFERROR(LEFT(O1551, FIND(",", O1551)-1), O1551)</f>
        <v/>
      </c>
      <c r="Q1551" s="633" t="str">
        <f>IFERROR(IF(ISERROR(FIND(",", O1551, FIND(",", O1551)+1)), RIGHT(O1551, LEN(O1551)-FIND(",", O1551)-1), MID(O1551, FIND(",", O1551)+2, FIND(",", O1551, FIND(",", O1551)+1)-FIND(",", O1551)-2)), "")</f>
        <v/>
      </c>
      <c r="R1551" s="633" t="str">
        <f>IFERROR(RIGHT(O1551, LEN(O1551)-FIND(",", O1551, FIND(",", O1551)+1)-1), "")</f>
        <v/>
      </c>
      <c r="S1551" s="35" t="str" cm="1">
        <f t="array" ref="S1551">_xlfn.TEXTJOIN(", ",TRUE,_xlfn._xlws.FILTER(Tabla29[[#All],[PARTE]],ISNUMBER(SEARCH(Tabla29[[#All],[PCLAVE3]],Tabla8[[#This Row],[DESCRIPCION DE TRABAJO]])),""))</f>
        <v/>
      </c>
      <c r="T1551" s="88" t="str">
        <f>IF(AND(Tabla8[[#This Row],[PIEZA]]="",Tabla8[[#This Row],[PARTE]]=""),"VACIO","OK")</f>
        <v>VACIO</v>
      </c>
      <c r="U1551" s="633" t="str">
        <f>+CONCATENATE(WEEKNUM(Tabla8[[#This Row],[FECHA]]),"-",YEAR(Tabla8[[#This Row],[FECHA]]))</f>
        <v>23-2026</v>
      </c>
    </row>
    <row r="1552" spans="1:21" ht="15" customHeight="1">
      <c r="A1552" s="22">
        <v>46174</v>
      </c>
      <c r="B1552" s="16" t="s">
        <v>131</v>
      </c>
      <c r="C1552" s="16" t="s">
        <v>36</v>
      </c>
      <c r="D1552" s="381" t="s">
        <v>481</v>
      </c>
      <c r="E1552" s="381" t="s">
        <v>90</v>
      </c>
      <c r="F1552" s="632">
        <f>+MOD(Tabla8[[#This Row],[HR. FIN]]-Tabla8[[#This Row],[HR. INICIO]],1)</f>
        <v>2.0138888888888873E-2</v>
      </c>
      <c r="G1552" s="16" t="s">
        <v>815</v>
      </c>
      <c r="H1552" s="79" t="str">
        <f>IFERROR(VLOOKUP(G1552,DATOS!$M$2:$N$219,2,FALSE),"")</f>
        <v>Maquinaria</v>
      </c>
      <c r="I1552" s="115" t="s">
        <v>186</v>
      </c>
      <c r="J1552" s="115" t="s">
        <v>92</v>
      </c>
      <c r="K1552" s="115" t="s">
        <v>93</v>
      </c>
      <c r="L1552" s="35" t="s">
        <v>2853</v>
      </c>
      <c r="M1552" s="35" t="s">
        <v>2854</v>
      </c>
      <c r="N1552" s="35" t="str" cm="1">
        <f t="array" ref="N1552">IFERROR(IF(Tabla8[[#This Row],[P/NP]]="NO PROGRAMADA","",_xlfn.TEXTJOIN(", ",TRUE,_xlfn._xlws.FILTER(Tabla4[[#All],[PIEZA]],ISNUMBER(SEARCH(Tabla4[[#All],[PCLAVE]],Tabla8[[#This Row],[DESCRIPCION DE TRABAJO]])),""))),"")</f>
        <v/>
      </c>
      <c r="O1552" s="35" t="str" cm="1">
        <f t="array" ref="O1552">_xlfn.TEXTJOIN(", ",TRUE,_xlfn._xlws.FILTER(Tabla28[[#All],[PARTE]],ISNUMBER(SEARCH(Tabla28[[#All],[PCLAVE2]],Tabla8[[#This Row],[DESCRIPCION DE TRABAJO]])),""))</f>
        <v>Horno</v>
      </c>
      <c r="P1552" s="633" t="str">
        <f>IFERROR(LEFT(O1552, FIND(",", O1552)-1), O1552)</f>
        <v>Horno</v>
      </c>
      <c r="Q1552" s="633" t="str">
        <f>IFERROR(IF(ISERROR(FIND(",", O1552, FIND(",", O1552)+1)), RIGHT(O1552, LEN(O1552)-FIND(",", O1552)-1), MID(O1552, FIND(",", O1552)+2, FIND(",", O1552, FIND(",", O1552)+1)-FIND(",", O1552)-2)), "")</f>
        <v/>
      </c>
      <c r="R1552" s="633" t="str">
        <f>IFERROR(RIGHT(O1552, LEN(O1552)-FIND(",", O1552, FIND(",", O1552)+1)-1), "")</f>
        <v/>
      </c>
      <c r="S1552" s="35" t="str" cm="1">
        <f t="array" ref="S1552">_xlfn.TEXTJOIN(", ",TRUE,_xlfn._xlws.FILTER(Tabla29[[#All],[PARTE]],ISNUMBER(SEARCH(Tabla29[[#All],[PCLAVE3]],Tabla8[[#This Row],[DESCRIPCION DE TRABAJO]])),""))</f>
        <v>Soltura</v>
      </c>
      <c r="T1552" s="88" t="str">
        <f>IF(AND(Tabla8[[#This Row],[PIEZA]]="",Tabla8[[#This Row],[PARTE]]=""),"VACIO","OK")</f>
        <v>OK</v>
      </c>
      <c r="U1552" s="633" t="str">
        <f>+CONCATENATE(WEEKNUM(Tabla8[[#This Row],[FECHA]]),"-",YEAR(Tabla8[[#This Row],[FECHA]]))</f>
        <v>23-2026</v>
      </c>
    </row>
    <row r="1553" spans="1:21" ht="15" customHeight="1">
      <c r="A1553" s="22">
        <v>46174</v>
      </c>
      <c r="B1553" s="16" t="s">
        <v>131</v>
      </c>
      <c r="C1553" s="16" t="s">
        <v>36</v>
      </c>
      <c r="D1553" s="381" t="s">
        <v>1171</v>
      </c>
      <c r="E1553" s="381" t="s">
        <v>107</v>
      </c>
      <c r="F1553" s="632">
        <f>+MOD(Tabla8[[#This Row],[HR. FIN]]-Tabla8[[#This Row],[HR. INICIO]],1)</f>
        <v>1.6666666666666718E-2</v>
      </c>
      <c r="G1553" s="16" t="s">
        <v>98</v>
      </c>
      <c r="H1553" s="79" t="str">
        <f>IFERROR(VLOOKUP(G1553,DATOS!$M$2:$N$219,2,FALSE),"")</f>
        <v>Maquinaria</v>
      </c>
      <c r="I1553" s="115" t="s">
        <v>186</v>
      </c>
      <c r="J1553" s="115" t="s">
        <v>157</v>
      </c>
      <c r="K1553" s="115"/>
      <c r="L1553" s="35" t="s">
        <v>2855</v>
      </c>
      <c r="M1553" s="35" t="s">
        <v>121</v>
      </c>
      <c r="N1553" s="35" t="str" cm="1">
        <f t="array" ref="N1553">IFERROR(IF(Tabla8[[#This Row],[P/NP]]="NO PROGRAMADA","",_xlfn.TEXTJOIN(", ",TRUE,_xlfn._xlws.FILTER(Tabla4[[#All],[PIEZA]],ISNUMBER(SEARCH(Tabla4[[#All],[PCLAVE]],Tabla8[[#This Row],[DESCRIPCION DE TRABAJO]])),""))),"")</f>
        <v/>
      </c>
      <c r="O1553" s="35" t="str" cm="1">
        <f t="array" ref="O1553">_xlfn.TEXTJOIN(", ",TRUE,_xlfn._xlws.FILTER(Tabla28[[#All],[PARTE]],ISNUMBER(SEARCH(Tabla28[[#All],[PCLAVE2]],Tabla8[[#This Row],[DESCRIPCION DE TRABAJO]])),""))</f>
        <v/>
      </c>
      <c r="P1553" s="633" t="str">
        <f>IFERROR(LEFT(O1553, FIND(",", O1553)-1), O1553)</f>
        <v/>
      </c>
      <c r="Q1553" s="633" t="str">
        <f>IFERROR(IF(ISERROR(FIND(",", O1553, FIND(",", O1553)+1)), RIGHT(O1553, LEN(O1553)-FIND(",", O1553)-1), MID(O1553, FIND(",", O1553)+2, FIND(",", O1553, FIND(",", O1553)+1)-FIND(",", O1553)-2)), "")</f>
        <v/>
      </c>
      <c r="R1553" s="633" t="str">
        <f>IFERROR(RIGHT(O1553, LEN(O1553)-FIND(",", O1553, FIND(",", O1553)+1)-1), "")</f>
        <v/>
      </c>
      <c r="S1553" s="35" t="str" cm="1">
        <f t="array" ref="S1553">_xlfn.TEXTJOIN(", ",TRUE,_xlfn._xlws.FILTER(Tabla29[[#All],[PARTE]],ISNUMBER(SEARCH(Tabla29[[#All],[PCLAVE3]],Tabla8[[#This Row],[DESCRIPCION DE TRABAJO]])),""))</f>
        <v/>
      </c>
      <c r="T1553" s="88" t="str">
        <f>IF(AND(Tabla8[[#This Row],[PIEZA]]="",Tabla8[[#This Row],[PARTE]]=""),"VACIO","OK")</f>
        <v>VACIO</v>
      </c>
      <c r="U1553" s="633" t="str">
        <f>+CONCATENATE(WEEKNUM(Tabla8[[#This Row],[FECHA]]),"-",YEAR(Tabla8[[#This Row],[FECHA]]))</f>
        <v>23-2026</v>
      </c>
    </row>
    <row r="1554" spans="1:21" ht="15" customHeight="1">
      <c r="A1554" s="22">
        <v>46174</v>
      </c>
      <c r="B1554" s="16" t="s">
        <v>88</v>
      </c>
      <c r="C1554" s="16" t="s">
        <v>36</v>
      </c>
      <c r="D1554" s="381" t="s">
        <v>1489</v>
      </c>
      <c r="E1554" s="381" t="s">
        <v>97</v>
      </c>
      <c r="F1554" s="632">
        <f>+MOD(Tabla8[[#This Row],[HR. FIN]]-Tabla8[[#This Row],[HR. INICIO]],1)</f>
        <v>1.3888888888888895E-2</v>
      </c>
      <c r="G1554" s="16" t="s">
        <v>119</v>
      </c>
      <c r="H1554" s="79" t="str">
        <f>IFERROR(VLOOKUP(G1554,DATOS!$M$2:$N$219,2,FALSE),"")</f>
        <v>Maquinaria</v>
      </c>
      <c r="I1554" s="115" t="s">
        <v>390</v>
      </c>
      <c r="J1554" s="115" t="s">
        <v>157</v>
      </c>
      <c r="K1554" s="115"/>
      <c r="L1554" s="35" t="s">
        <v>2856</v>
      </c>
      <c r="M1554" s="35" t="s">
        <v>2857</v>
      </c>
      <c r="N1554" s="35" t="str" cm="1">
        <f t="array" ref="N1554">IFERROR(IF(Tabla8[[#This Row],[P/NP]]="NO PROGRAMADA","",_xlfn.TEXTJOIN(", ",TRUE,_xlfn._xlws.FILTER(Tabla4[[#All],[PIEZA]],ISNUMBER(SEARCH(Tabla4[[#All],[PCLAVE]],Tabla8[[#This Row],[DESCRIPCION DE TRABAJO]])),""))),"")</f>
        <v/>
      </c>
      <c r="O1554" s="35" t="str" cm="1">
        <f t="array" ref="O1554">_xlfn.TEXTJOIN(", ",TRUE,_xlfn._xlws.FILTER(Tabla28[[#All],[PARTE]],ISNUMBER(SEARCH(Tabla28[[#All],[PCLAVE2]],Tabla8[[#This Row],[DESCRIPCION DE TRABAJO]])),""))</f>
        <v/>
      </c>
      <c r="P1554" s="633" t="str">
        <f>IFERROR(LEFT(O1554, FIND(",", O1554)-1), O1554)</f>
        <v/>
      </c>
      <c r="Q1554" s="633" t="str">
        <f>IFERROR(IF(ISERROR(FIND(",", O1554, FIND(",", O1554)+1)), RIGHT(O1554, LEN(O1554)-FIND(",", O1554)-1), MID(O1554, FIND(",", O1554)+2, FIND(",", O1554, FIND(",", O1554)+1)-FIND(",", O1554)-2)), "")</f>
        <v/>
      </c>
      <c r="R1554" s="633" t="str">
        <f>IFERROR(RIGHT(O1554, LEN(O1554)-FIND(",", O1554, FIND(",", O1554)+1)-1), "")</f>
        <v/>
      </c>
      <c r="S1554" s="35" t="str" cm="1">
        <f t="array" ref="S1554">_xlfn.TEXTJOIN(", ",TRUE,_xlfn._xlws.FILTER(Tabla29[[#All],[PARTE]],ISNUMBER(SEARCH(Tabla29[[#All],[PCLAVE3]],Tabla8[[#This Row],[DESCRIPCION DE TRABAJO]])),""))</f>
        <v/>
      </c>
      <c r="T1554" s="88" t="str">
        <f>IF(AND(Tabla8[[#This Row],[PIEZA]]="",Tabla8[[#This Row],[PARTE]]=""),"VACIO","OK")</f>
        <v>VACIO</v>
      </c>
      <c r="U1554" s="633" t="str">
        <f>+CONCATENATE(WEEKNUM(Tabla8[[#This Row],[FECHA]]),"-",YEAR(Tabla8[[#This Row],[FECHA]]))</f>
        <v>23-2026</v>
      </c>
    </row>
    <row r="1555" spans="1:21" ht="15" customHeight="1">
      <c r="A1555" s="22">
        <v>46174</v>
      </c>
      <c r="B1555" s="16" t="s">
        <v>111</v>
      </c>
      <c r="C1555" s="16" t="s">
        <v>39</v>
      </c>
      <c r="D1555" s="381" t="s">
        <v>1282</v>
      </c>
      <c r="E1555" s="381" t="s">
        <v>660</v>
      </c>
      <c r="F1555" s="632">
        <f>+MOD(Tabla8[[#This Row],[HR. FIN]]-Tabla8[[#This Row],[HR. INICIO]],1)</f>
        <v>1.388888888888884E-2</v>
      </c>
      <c r="G1555" s="16" t="s">
        <v>119</v>
      </c>
      <c r="H1555" s="79" t="str">
        <f>IFERROR(VLOOKUP(G1555,DATOS!$M$2:$N$219,2,FALSE),"")</f>
        <v>Maquinaria</v>
      </c>
      <c r="I1555" s="115" t="s">
        <v>54</v>
      </c>
      <c r="J1555" s="115" t="s">
        <v>157</v>
      </c>
      <c r="K1555" s="115"/>
      <c r="L1555" s="35" t="s">
        <v>489</v>
      </c>
      <c r="M1555" s="35" t="s">
        <v>121</v>
      </c>
      <c r="N1555" s="35" t="str" cm="1">
        <f t="array" ref="N1555">IFERROR(IF(Tabla8[[#This Row],[P/NP]]="NO PROGRAMADA","",_xlfn.TEXTJOIN(", ",TRUE,_xlfn._xlws.FILTER(Tabla4[[#All],[PIEZA]],ISNUMBER(SEARCH(Tabla4[[#All],[PCLAVE]],Tabla8[[#This Row],[DESCRIPCION DE TRABAJO]])),""))),"")</f>
        <v/>
      </c>
      <c r="O1555" s="35" t="str" cm="1">
        <f t="array" ref="O1555">_xlfn.TEXTJOIN(", ",TRUE,_xlfn._xlws.FILTER(Tabla28[[#All],[PARTE]],ISNUMBER(SEARCH(Tabla28[[#All],[PCLAVE2]],Tabla8[[#This Row],[DESCRIPCION DE TRABAJO]])),""))</f>
        <v>Temperadora</v>
      </c>
      <c r="P1555" s="633" t="str">
        <f>IFERROR(LEFT(O1555, FIND(",", O1555)-1), O1555)</f>
        <v>Temperadora</v>
      </c>
      <c r="Q1555" s="633" t="str">
        <f>IFERROR(IF(ISERROR(FIND(",", O1555, FIND(",", O1555)+1)), RIGHT(O1555, LEN(O1555)-FIND(",", O1555)-1), MID(O1555, FIND(",", O1555)+2, FIND(",", O1555, FIND(",", O1555)+1)-FIND(",", O1555)-2)), "")</f>
        <v/>
      </c>
      <c r="R1555" s="633" t="str">
        <f>IFERROR(RIGHT(O1555, LEN(O1555)-FIND(",", O1555, FIND(",", O1555)+1)-1), "")</f>
        <v/>
      </c>
      <c r="S1555" s="35" t="str" cm="1">
        <f t="array" ref="S1555">_xlfn.TEXTJOIN(", ",TRUE,_xlfn._xlws.FILTER(Tabla29[[#All],[PARTE]],ISNUMBER(SEARCH(Tabla29[[#All],[PCLAVE3]],Tabla8[[#This Row],[DESCRIPCION DE TRABAJO]])),""))</f>
        <v/>
      </c>
      <c r="T1555" s="88" t="str">
        <f>IF(AND(Tabla8[[#This Row],[PIEZA]]="",Tabla8[[#This Row],[PARTE]]=""),"VACIO","OK")</f>
        <v>OK</v>
      </c>
      <c r="U1555" s="633" t="str">
        <f>+CONCATENATE(WEEKNUM(Tabla8[[#This Row],[FECHA]]),"-",YEAR(Tabla8[[#This Row],[FECHA]]))</f>
        <v>23-2026</v>
      </c>
    </row>
    <row r="1556" spans="1:21" ht="15" customHeight="1">
      <c r="A1556" s="22">
        <v>46174</v>
      </c>
      <c r="B1556" s="16" t="s">
        <v>111</v>
      </c>
      <c r="C1556" s="16" t="s">
        <v>39</v>
      </c>
      <c r="D1556" s="381" t="s">
        <v>2306</v>
      </c>
      <c r="E1556" s="381" t="s">
        <v>612</v>
      </c>
      <c r="F1556" s="632">
        <f>+MOD(Tabla8[[#This Row],[HR. FIN]]-Tabla8[[#This Row],[HR. INICIO]],1)</f>
        <v>1.388888888888884E-2</v>
      </c>
      <c r="G1556" s="16" t="s">
        <v>222</v>
      </c>
      <c r="H1556" s="79" t="str">
        <f>IFERROR(VLOOKUP(G1556,DATOS!$M$2:$N$219,2,FALSE),"")</f>
        <v>Maquinaria</v>
      </c>
      <c r="I1556" s="115" t="s">
        <v>57</v>
      </c>
      <c r="J1556" s="115" t="s">
        <v>92</v>
      </c>
      <c r="K1556" s="115" t="s">
        <v>93</v>
      </c>
      <c r="L1556" s="35" t="s">
        <v>2858</v>
      </c>
      <c r="M1556" s="35" t="s">
        <v>2859</v>
      </c>
      <c r="N1556" s="35" t="str" cm="1">
        <f t="array" ref="N1556">IFERROR(IF(Tabla8[[#This Row],[P/NP]]="NO PROGRAMADA","",_xlfn.TEXTJOIN(", ",TRUE,_xlfn._xlws.FILTER(Tabla4[[#All],[PIEZA]],ISNUMBER(SEARCH(Tabla4[[#All],[PCLAVE]],Tabla8[[#This Row],[DESCRIPCION DE TRABAJO]])),""))),"")</f>
        <v/>
      </c>
      <c r="O1556" s="35" t="str" cm="1">
        <f t="array" ref="O1556">_xlfn.TEXTJOIN(", ",TRUE,_xlfn._xlws.FILTER(Tabla28[[#All],[PARTE]],ISNUMBER(SEARCH(Tabla28[[#All],[PCLAVE2]],Tabla8[[#This Row],[DESCRIPCION DE TRABAJO]])),""))</f>
        <v/>
      </c>
      <c r="P1556" s="633" t="str">
        <f>IFERROR(LEFT(O1556, FIND(",", O1556)-1), O1556)</f>
        <v/>
      </c>
      <c r="Q1556" s="633" t="str">
        <f>IFERROR(IF(ISERROR(FIND(",", O1556, FIND(",", O1556)+1)), RIGHT(O1556, LEN(O1556)-FIND(",", O1556)-1), MID(O1556, FIND(",", O1556)+2, FIND(",", O1556, FIND(",", O1556)+1)-FIND(",", O1556)-2)), "")</f>
        <v/>
      </c>
      <c r="R1556" s="633" t="str">
        <f>IFERROR(RIGHT(O1556, LEN(O1556)-FIND(",", O1556, FIND(",", O1556)+1)-1), "")</f>
        <v/>
      </c>
      <c r="S1556" s="35" t="str" cm="1">
        <f t="array" ref="S1556">_xlfn.TEXTJOIN(", ",TRUE,_xlfn._xlws.FILTER(Tabla29[[#All],[PARTE]],ISNUMBER(SEARCH(Tabla29[[#All],[PCLAVE3]],Tabla8[[#This Row],[DESCRIPCION DE TRABAJO]])),""))</f>
        <v>Obstruido</v>
      </c>
      <c r="T1556" s="88" t="str">
        <f>IF(AND(Tabla8[[#This Row],[PIEZA]]="",Tabla8[[#This Row],[PARTE]]=""),"VACIO","OK")</f>
        <v>VACIO</v>
      </c>
      <c r="U1556" s="633" t="str">
        <f>+CONCATENATE(WEEKNUM(Tabla8[[#This Row],[FECHA]]),"-",YEAR(Tabla8[[#This Row],[FECHA]]))</f>
        <v>23-2026</v>
      </c>
    </row>
    <row r="1557" spans="1:21" ht="15" customHeight="1">
      <c r="A1557" s="22">
        <v>46174</v>
      </c>
      <c r="B1557" s="16" t="s">
        <v>111</v>
      </c>
      <c r="C1557" s="16" t="s">
        <v>39</v>
      </c>
      <c r="D1557" s="381" t="s">
        <v>1805</v>
      </c>
      <c r="E1557" s="381" t="s">
        <v>2860</v>
      </c>
      <c r="F1557" s="632">
        <f>+MOD(Tabla8[[#This Row],[HR. FIN]]-Tabla8[[#This Row],[HR. INICIO]],1)</f>
        <v>1.0416666666666666E-2</v>
      </c>
      <c r="G1557" s="16" t="s">
        <v>128</v>
      </c>
      <c r="H1557" s="79" t="str">
        <f>IFERROR(VLOOKUP(G1557,DATOS!$M$2:$N$219,2,FALSE),"")</f>
        <v>Maquinaria</v>
      </c>
      <c r="I1557" s="115" t="s">
        <v>57</v>
      </c>
      <c r="J1557" s="115" t="s">
        <v>92</v>
      </c>
      <c r="K1557" s="115" t="s">
        <v>93</v>
      </c>
      <c r="L1557" s="35" t="s">
        <v>2861</v>
      </c>
      <c r="M1557" s="35" t="s">
        <v>2862</v>
      </c>
      <c r="N1557" s="35" t="str" cm="1">
        <f t="array" ref="N1557">IFERROR(IF(Tabla8[[#This Row],[P/NP]]="NO PROGRAMADA","",_xlfn.TEXTJOIN(", ",TRUE,_xlfn._xlws.FILTER(Tabla4[[#All],[PIEZA]],ISNUMBER(SEARCH(Tabla4[[#All],[PCLAVE]],Tabla8[[#This Row],[DESCRIPCION DE TRABAJO]])),""))),"")</f>
        <v/>
      </c>
      <c r="O1557" s="35" t="str" cm="1">
        <f t="array" ref="O1557">_xlfn.TEXTJOIN(", ",TRUE,_xlfn._xlws.FILTER(Tabla28[[#All],[PARTE]],ISNUMBER(SEARCH(Tabla28[[#All],[PCLAVE2]],Tabla8[[#This Row],[DESCRIPCION DE TRABAJO]])),""))</f>
        <v/>
      </c>
      <c r="P1557" s="633" t="str">
        <f>IFERROR(LEFT(O1557, FIND(",", O1557)-1), O1557)</f>
        <v/>
      </c>
      <c r="Q1557" s="633" t="str">
        <f>IFERROR(IF(ISERROR(FIND(",", O1557, FIND(",", O1557)+1)), RIGHT(O1557, LEN(O1557)-FIND(",", O1557)-1), MID(O1557, FIND(",", O1557)+2, FIND(",", O1557, FIND(",", O1557)+1)-FIND(",", O1557)-2)), "")</f>
        <v/>
      </c>
      <c r="R1557" s="633" t="str">
        <f>IFERROR(RIGHT(O1557, LEN(O1557)-FIND(",", O1557, FIND(",", O1557)+1)-1), "")</f>
        <v/>
      </c>
      <c r="S1557" s="35" t="str" cm="1">
        <f t="array" ref="S1557">_xlfn.TEXTJOIN(", ",TRUE,_xlfn._xlws.FILTER(Tabla29[[#All],[PARTE]],ISNUMBER(SEARCH(Tabla29[[#All],[PCLAVE3]],Tabla8[[#This Row],[DESCRIPCION DE TRABAJO]])),""))</f>
        <v>Laminado, Rotura, Sellado</v>
      </c>
      <c r="T1557" s="88" t="str">
        <f>IF(AND(Tabla8[[#This Row],[PIEZA]]="",Tabla8[[#This Row],[PARTE]]=""),"VACIO","OK")</f>
        <v>VACIO</v>
      </c>
      <c r="U1557" s="633" t="str">
        <f>+CONCATENATE(WEEKNUM(Tabla8[[#This Row],[FECHA]]),"-",YEAR(Tabla8[[#This Row],[FECHA]]))</f>
        <v>23-2026</v>
      </c>
    </row>
    <row r="1558" spans="1:21" ht="15" customHeight="1">
      <c r="A1558" s="22">
        <v>46174</v>
      </c>
      <c r="B1558" s="16" t="s">
        <v>88</v>
      </c>
      <c r="C1558" s="16" t="s">
        <v>36</v>
      </c>
      <c r="D1558" s="381" t="s">
        <v>96</v>
      </c>
      <c r="E1558" s="381" t="s">
        <v>523</v>
      </c>
      <c r="F1558" s="632">
        <f>+MOD(Tabla8[[#This Row],[HR. FIN]]-Tabla8[[#This Row],[HR. INICIO]],1)</f>
        <v>1.041666666666663E-2</v>
      </c>
      <c r="G1558" s="16" t="s">
        <v>1643</v>
      </c>
      <c r="H1558" s="79" t="str">
        <f>IFERROR(VLOOKUP(G1558,DATOS!$M$2:$N$219,2,FALSE),"")</f>
        <v>Maquinaria</v>
      </c>
      <c r="I1558" s="115" t="s">
        <v>32</v>
      </c>
      <c r="J1558" s="115" t="s">
        <v>157</v>
      </c>
      <c r="K1558" s="115"/>
      <c r="L1558" s="35" t="s">
        <v>2863</v>
      </c>
      <c r="M1558" s="35" t="s">
        <v>2864</v>
      </c>
      <c r="N1558" s="35" t="str" cm="1">
        <f t="array" ref="N1558">IFERROR(IF(Tabla8[[#This Row],[P/NP]]="NO PROGRAMADA","",_xlfn.TEXTJOIN(", ",TRUE,_xlfn._xlws.FILTER(Tabla4[[#All],[PIEZA]],ISNUMBER(SEARCH(Tabla4[[#All],[PCLAVE]],Tabla8[[#This Row],[DESCRIPCION DE TRABAJO]])),""))),"")</f>
        <v>Filtro, Producto</v>
      </c>
      <c r="O1558" s="35" t="str" cm="1">
        <f t="array" ref="O1558">_xlfn.TEXTJOIN(", ",TRUE,_xlfn._xlws.FILTER(Tabla28[[#All],[PARTE]],ISNUMBER(SEARCH(Tabla28[[#All],[PCLAVE2]],Tabla8[[#This Row],[DESCRIPCION DE TRABAJO]])),""))</f>
        <v/>
      </c>
      <c r="P1558" s="633" t="str">
        <f>IFERROR(LEFT(O1558, FIND(",", O1558)-1), O1558)</f>
        <v/>
      </c>
      <c r="Q1558" s="633" t="str">
        <f>IFERROR(IF(ISERROR(FIND(",", O1558, FIND(",", O1558)+1)), RIGHT(O1558, LEN(O1558)-FIND(",", O1558)-1), MID(O1558, FIND(",", O1558)+2, FIND(",", O1558, FIND(",", O1558)+1)-FIND(",", O1558)-2)), "")</f>
        <v/>
      </c>
      <c r="R1558" s="633" t="str">
        <f>IFERROR(RIGHT(O1558, LEN(O1558)-FIND(",", O1558, FIND(",", O1558)+1)-1), "")</f>
        <v/>
      </c>
      <c r="S1558" s="35" t="str" cm="1">
        <f t="array" ref="S1558">_xlfn.TEXTJOIN(", ",TRUE,_xlfn._xlws.FILTER(Tabla29[[#All],[PARTE]],ISNUMBER(SEARCH(Tabla29[[#All],[PCLAVE3]],Tabla8[[#This Row],[DESCRIPCION DE TRABAJO]])),""))</f>
        <v>Filtracion, Sustitucion</v>
      </c>
      <c r="T1558" s="88" t="str">
        <f>IF(AND(Tabla8[[#This Row],[PIEZA]]="",Tabla8[[#This Row],[PARTE]]=""),"VACIO","OK")</f>
        <v>OK</v>
      </c>
      <c r="U1558" s="633" t="str">
        <f>+CONCATENATE(WEEKNUM(Tabla8[[#This Row],[FECHA]]),"-",YEAR(Tabla8[[#This Row],[FECHA]]))</f>
        <v>23-2026</v>
      </c>
    </row>
    <row r="1559" spans="1:21" ht="15" customHeight="1">
      <c r="A1559" s="22">
        <v>46174</v>
      </c>
      <c r="B1559" s="16" t="s">
        <v>111</v>
      </c>
      <c r="C1559" s="16" t="s">
        <v>39</v>
      </c>
      <c r="D1559" s="381" t="s">
        <v>1278</v>
      </c>
      <c r="E1559" s="381" t="s">
        <v>397</v>
      </c>
      <c r="F1559" s="632">
        <f>+MOD(Tabla8[[#This Row],[HR. FIN]]-Tabla8[[#This Row],[HR. INICIO]],1)</f>
        <v>6.9444444444444475E-3</v>
      </c>
      <c r="G1559" s="16" t="s">
        <v>169</v>
      </c>
      <c r="H1559" s="79" t="str">
        <f>IFERROR(VLOOKUP(G1559,DATOS!$M$2:$N$219,2,FALSE),"")</f>
        <v>Maquinaria</v>
      </c>
      <c r="I1559" s="115" t="s">
        <v>32</v>
      </c>
      <c r="J1559" s="115" t="s">
        <v>157</v>
      </c>
      <c r="K1559" s="115"/>
      <c r="L1559" s="35" t="s">
        <v>960</v>
      </c>
      <c r="M1559" s="35" t="s">
        <v>121</v>
      </c>
      <c r="N1559" s="35" t="str" cm="1">
        <f t="array" ref="N1559">IFERROR(IF(Tabla8[[#This Row],[P/NP]]="NO PROGRAMADA","",_xlfn.TEXTJOIN(", ",TRUE,_xlfn._xlws.FILTER(Tabla4[[#All],[PIEZA]],ISNUMBER(SEARCH(Tabla4[[#All],[PCLAVE]],Tabla8[[#This Row],[DESCRIPCION DE TRABAJO]])),""))),"")</f>
        <v/>
      </c>
      <c r="O1559" s="35" t="str" cm="1">
        <f t="array" ref="O1559">_xlfn.TEXTJOIN(", ",TRUE,_xlfn._xlws.FILTER(Tabla28[[#All],[PARTE]],ISNUMBER(SEARCH(Tabla28[[#All],[PCLAVE2]],Tabla8[[#This Row],[DESCRIPCION DE TRABAJO]])),""))</f>
        <v/>
      </c>
      <c r="P1559" s="633" t="str">
        <f>IFERROR(LEFT(O1559, FIND(",", O1559)-1), O1559)</f>
        <v/>
      </c>
      <c r="Q1559" s="633" t="str">
        <f>IFERROR(IF(ISERROR(FIND(",", O1559, FIND(",", O1559)+1)), RIGHT(O1559, LEN(O1559)-FIND(",", O1559)-1), MID(O1559, FIND(",", O1559)+2, FIND(",", O1559, FIND(",", O1559)+1)-FIND(",", O1559)-2)), "")</f>
        <v/>
      </c>
      <c r="R1559" s="633" t="str">
        <f>IFERROR(RIGHT(O1559, LEN(O1559)-FIND(",", O1559, FIND(",", O1559)+1)-1), "")</f>
        <v/>
      </c>
      <c r="S1559" s="35" t="str" cm="1">
        <f t="array" ref="S1559">_xlfn.TEXTJOIN(", ",TRUE,_xlfn._xlws.FILTER(Tabla29[[#All],[PARTE]],ISNUMBER(SEARCH(Tabla29[[#All],[PCLAVE3]],Tabla8[[#This Row],[DESCRIPCION DE TRABAJO]])),""))</f>
        <v/>
      </c>
      <c r="T1559" s="88" t="str">
        <f>IF(AND(Tabla8[[#This Row],[PIEZA]]="",Tabla8[[#This Row],[PARTE]]=""),"VACIO","OK")</f>
        <v>VACIO</v>
      </c>
      <c r="U1559" s="633" t="str">
        <f>+CONCATENATE(WEEKNUM(Tabla8[[#This Row],[FECHA]]),"-",YEAR(Tabla8[[#This Row],[FECHA]]))</f>
        <v>23-2026</v>
      </c>
    </row>
    <row r="1560" spans="1:21" ht="15" customHeight="1">
      <c r="A1560" s="22">
        <v>46174</v>
      </c>
      <c r="B1560" s="16" t="s">
        <v>111</v>
      </c>
      <c r="C1560" s="16" t="s">
        <v>39</v>
      </c>
      <c r="D1560" s="381" t="s">
        <v>1600</v>
      </c>
      <c r="E1560" s="381" t="s">
        <v>900</v>
      </c>
      <c r="F1560" s="632">
        <f>+MOD(Tabla8[[#This Row],[HR. FIN]]-Tabla8[[#This Row],[HR. INICIO]],1)</f>
        <v>6.9444444444444198E-3</v>
      </c>
      <c r="G1560" s="16" t="s">
        <v>24</v>
      </c>
      <c r="H1560" s="79" t="str">
        <f>IFERROR(VLOOKUP(G1560,DATOS!$M$2:$N$219,2,FALSE),"")</f>
        <v>Maquinaria</v>
      </c>
      <c r="I1560" s="115" t="s">
        <v>28</v>
      </c>
      <c r="J1560" s="115" t="s">
        <v>157</v>
      </c>
      <c r="K1560" s="115"/>
      <c r="L1560" s="35" t="s">
        <v>2865</v>
      </c>
      <c r="M1560" s="35" t="s">
        <v>121</v>
      </c>
      <c r="N1560" s="35" t="str" cm="1">
        <f t="array" ref="N1560">IFERROR(IF(Tabla8[[#This Row],[P/NP]]="NO PROGRAMADA","",_xlfn.TEXTJOIN(", ",TRUE,_xlfn._xlws.FILTER(Tabla4[[#All],[PIEZA]],ISNUMBER(SEARCH(Tabla4[[#All],[PCLAVE]],Tabla8[[#This Row],[DESCRIPCION DE TRABAJO]])),""))),"")</f>
        <v>Pinzas</v>
      </c>
      <c r="O1560" s="35" t="str" cm="1">
        <f t="array" ref="O1560">_xlfn.TEXTJOIN(", ",TRUE,_xlfn._xlws.FILTER(Tabla28[[#All],[PARTE]],ISNUMBER(SEARCH(Tabla28[[#All],[PCLAVE2]],Tabla8[[#This Row],[DESCRIPCION DE TRABAJO]])),""))</f>
        <v/>
      </c>
      <c r="P1560" s="633" t="str">
        <f>IFERROR(LEFT(O1560, FIND(",", O1560)-1), O1560)</f>
        <v/>
      </c>
      <c r="Q1560" s="633" t="str">
        <f>IFERROR(IF(ISERROR(FIND(",", O1560, FIND(",", O1560)+1)), RIGHT(O1560, LEN(O1560)-FIND(",", O1560)-1), MID(O1560, FIND(",", O1560)+2, FIND(",", O1560, FIND(",", O1560)+1)-FIND(",", O1560)-2)), "")</f>
        <v/>
      </c>
      <c r="R1560" s="633" t="str">
        <f>IFERROR(RIGHT(O1560, LEN(O1560)-FIND(",", O1560, FIND(",", O1560)+1)-1), "")</f>
        <v/>
      </c>
      <c r="S1560" s="35" t="str" cm="1">
        <f t="array" ref="S1560">_xlfn.TEXTJOIN(", ",TRUE,_xlfn._xlws.FILTER(Tabla29[[#All],[PARTE]],ISNUMBER(SEARCH(Tabla29[[#All],[PCLAVE3]],Tabla8[[#This Row],[DESCRIPCION DE TRABAJO]])),""))</f>
        <v/>
      </c>
      <c r="T1560" s="88" t="str">
        <f>IF(AND(Tabla8[[#This Row],[PIEZA]]="",Tabla8[[#This Row],[PARTE]]=""),"VACIO","OK")</f>
        <v>OK</v>
      </c>
      <c r="U1560" s="633" t="str">
        <f>+CONCATENATE(WEEKNUM(Tabla8[[#This Row],[FECHA]]),"-",YEAR(Tabla8[[#This Row],[FECHA]]))</f>
        <v>23-2026</v>
      </c>
    </row>
    <row r="1561" spans="1:21" ht="15" customHeight="1">
      <c r="A1561" s="22">
        <v>46174</v>
      </c>
      <c r="B1561" s="16" t="s">
        <v>111</v>
      </c>
      <c r="C1561" s="16" t="s">
        <v>39</v>
      </c>
      <c r="D1561" s="381" t="s">
        <v>901</v>
      </c>
      <c r="E1561" s="381" t="s">
        <v>1604</v>
      </c>
      <c r="F1561" s="632">
        <f>+MOD(Tabla8[[#This Row],[HR. FIN]]-Tabla8[[#This Row],[HR. INICIO]],1)</f>
        <v>6.9444444444444198E-3</v>
      </c>
      <c r="G1561" s="16" t="s">
        <v>169</v>
      </c>
      <c r="H1561" s="79" t="str">
        <f>IFERROR(VLOOKUP(G1561,DATOS!$M$2:$N$219,2,FALSE),"")</f>
        <v>Maquinaria</v>
      </c>
      <c r="I1561" s="115" t="s">
        <v>32</v>
      </c>
      <c r="J1561" s="115" t="s">
        <v>157</v>
      </c>
      <c r="K1561" s="115"/>
      <c r="L1561" s="35" t="s">
        <v>449</v>
      </c>
      <c r="M1561" s="35" t="s">
        <v>121</v>
      </c>
      <c r="N1561" s="35" t="str" cm="1">
        <f t="array" ref="N1561">IFERROR(IF(Tabla8[[#This Row],[P/NP]]="NO PROGRAMADA","",_xlfn.TEXTJOIN(", ",TRUE,_xlfn._xlws.FILTER(Tabla4[[#All],[PIEZA]],ISNUMBER(SEARCH(Tabla4[[#All],[PCLAVE]],Tabla8[[#This Row],[DESCRIPCION DE TRABAJO]])),""))),"")</f>
        <v/>
      </c>
      <c r="O1561" s="35" t="str" cm="1">
        <f t="array" ref="O1561">_xlfn.TEXTJOIN(", ",TRUE,_xlfn._xlws.FILTER(Tabla28[[#All],[PARTE]],ISNUMBER(SEARCH(Tabla28[[#All],[PCLAVE2]],Tabla8[[#This Row],[DESCRIPCION DE TRABAJO]])),""))</f>
        <v/>
      </c>
      <c r="P1561" s="633" t="str">
        <f>IFERROR(LEFT(O1561, FIND(",", O1561)-1), O1561)</f>
        <v/>
      </c>
      <c r="Q1561" s="633" t="str">
        <f>IFERROR(IF(ISERROR(FIND(",", O1561, FIND(",", O1561)+1)), RIGHT(O1561, LEN(O1561)-FIND(",", O1561)-1), MID(O1561, FIND(",", O1561)+2, FIND(",", O1561, FIND(",", O1561)+1)-FIND(",", O1561)-2)), "")</f>
        <v/>
      </c>
      <c r="R1561" s="633" t="str">
        <f>IFERROR(RIGHT(O1561, LEN(O1561)-FIND(",", O1561, FIND(",", O1561)+1)-1), "")</f>
        <v/>
      </c>
      <c r="S1561" s="35" t="str" cm="1">
        <f t="array" ref="S1561">_xlfn.TEXTJOIN(", ",TRUE,_xlfn._xlws.FILTER(Tabla29[[#All],[PARTE]],ISNUMBER(SEARCH(Tabla29[[#All],[PCLAVE3]],Tabla8[[#This Row],[DESCRIPCION DE TRABAJO]])),""))</f>
        <v/>
      </c>
      <c r="T1561" s="88" t="str">
        <f>IF(AND(Tabla8[[#This Row],[PIEZA]]="",Tabla8[[#This Row],[PARTE]]=""),"VACIO","OK")</f>
        <v>VACIO</v>
      </c>
      <c r="U1561" s="633" t="str">
        <f>+CONCATENATE(WEEKNUM(Tabla8[[#This Row],[FECHA]]),"-",YEAR(Tabla8[[#This Row],[FECHA]]))</f>
        <v>23-2026</v>
      </c>
    </row>
    <row r="1562" spans="1:21" ht="15" customHeight="1">
      <c r="A1562" s="22">
        <v>46175</v>
      </c>
      <c r="B1562" s="16" t="s">
        <v>111</v>
      </c>
      <c r="C1562" s="16" t="s">
        <v>39</v>
      </c>
      <c r="D1562" s="381" t="s">
        <v>167</v>
      </c>
      <c r="E1562" s="381" t="s">
        <v>411</v>
      </c>
      <c r="F1562" s="632">
        <f>+MOD(Tabla8[[#This Row],[HR. FIN]]-Tabla8[[#This Row],[HR. INICIO]],1)</f>
        <v>4.5138888888888895E-2</v>
      </c>
      <c r="G1562" s="16" t="s">
        <v>119</v>
      </c>
      <c r="H1562" s="79" t="str">
        <f>IFERROR(VLOOKUP(G1562,DATOS!$M$2:$N$219,2,FALSE),"")</f>
        <v>Maquinaria</v>
      </c>
      <c r="I1562" s="115" t="s">
        <v>32</v>
      </c>
      <c r="J1562" s="115" t="s">
        <v>157</v>
      </c>
      <c r="K1562" s="115"/>
      <c r="L1562" s="35" t="s">
        <v>2866</v>
      </c>
      <c r="M1562" s="35" t="s">
        <v>2867</v>
      </c>
      <c r="N1562" s="35" t="str" cm="1">
        <f t="array" ref="N1562">IFERROR(IF(Tabla8[[#This Row],[P/NP]]="NO PROGRAMADA","",_xlfn.TEXTJOIN(", ",TRUE,_xlfn._xlws.FILTER(Tabla4[[#All],[PIEZA]],ISNUMBER(SEARCH(Tabla4[[#All],[PCLAVE]],Tabla8[[#This Row],[DESCRIPCION DE TRABAJO]])),""))),"")</f>
        <v>Tapones, Rodillo</v>
      </c>
      <c r="O1562" s="35" t="str" cm="1">
        <f t="array" ref="O1562">_xlfn.TEXTJOIN(", ",TRUE,_xlfn._xlws.FILTER(Tabla28[[#All],[PARTE]],ISNUMBER(SEARCH(Tabla28[[#All],[PCLAVE2]],Tabla8[[#This Row],[DESCRIPCION DE TRABAJO]])),""))</f>
        <v>Mds</v>
      </c>
      <c r="P1562" s="633" t="str">
        <f>IFERROR(LEFT(O1562, FIND(",", O1562)-1), O1562)</f>
        <v>Mds</v>
      </c>
      <c r="Q1562" s="633" t="str">
        <f>IFERROR(IF(ISERROR(FIND(",", O1562, FIND(",", O1562)+1)), RIGHT(O1562, LEN(O1562)-FIND(",", O1562)-1), MID(O1562, FIND(",", O1562)+2, FIND(",", O1562, FIND(",", O1562)+1)-FIND(",", O1562)-2)), "")</f>
        <v/>
      </c>
      <c r="R1562" s="633" t="str">
        <f>IFERROR(RIGHT(O1562, LEN(O1562)-FIND(",", O1562, FIND(",", O1562)+1)-1), "")</f>
        <v/>
      </c>
      <c r="S1562" s="35" t="str" cm="1">
        <f t="array" ref="S1562">_xlfn.TEXTJOIN(", ",TRUE,_xlfn._xlws.FILTER(Tabla29[[#All],[PARTE]],ISNUMBER(SEARCH(Tabla29[[#All],[PCLAVE3]],Tabla8[[#This Row],[DESCRIPCION DE TRABAJO]])),""))</f>
        <v>Amarrado, Cambio De Formato</v>
      </c>
      <c r="T1562" s="88" t="str">
        <f>IF(AND(Tabla8[[#This Row],[PIEZA]]="",Tabla8[[#This Row],[PARTE]]=""),"VACIO","OK")</f>
        <v>OK</v>
      </c>
      <c r="U1562" s="633" t="str">
        <f>+CONCATENATE(WEEKNUM(Tabla8[[#This Row],[FECHA]]),"-",YEAR(Tabla8[[#This Row],[FECHA]]))</f>
        <v>23-2026</v>
      </c>
    </row>
    <row r="1563" spans="1:21" ht="15" customHeight="1">
      <c r="A1563" s="22">
        <v>46175</v>
      </c>
      <c r="B1563" s="16" t="s">
        <v>88</v>
      </c>
      <c r="C1563" s="16" t="s">
        <v>36</v>
      </c>
      <c r="D1563" s="381" t="s">
        <v>97</v>
      </c>
      <c r="E1563" s="381" t="s">
        <v>586</v>
      </c>
      <c r="F1563" s="632">
        <f>+MOD(Tabla8[[#This Row],[HR. FIN]]-Tabla8[[#This Row],[HR. INICIO]],1)</f>
        <v>4.1666666666666685E-2</v>
      </c>
      <c r="G1563" s="16" t="s">
        <v>192</v>
      </c>
      <c r="H1563" s="79" t="str">
        <f>IFERROR(VLOOKUP(G1563,DATOS!$M$2:$N$219,2,FALSE),"")</f>
        <v>Maquinaria</v>
      </c>
      <c r="I1563" s="115" t="s">
        <v>32</v>
      </c>
      <c r="J1563" s="115" t="s">
        <v>157</v>
      </c>
      <c r="K1563" s="115"/>
      <c r="L1563" s="35" t="s">
        <v>2868</v>
      </c>
      <c r="M1563" s="35" t="s">
        <v>2869</v>
      </c>
      <c r="N1563" s="35" t="str" cm="1">
        <f t="array" ref="N1563">IFERROR(IF(Tabla8[[#This Row],[P/NP]]="NO PROGRAMADA","",_xlfn.TEXTJOIN(", ",TRUE,_xlfn._xlws.FILTER(Tabla4[[#All],[PIEZA]],ISNUMBER(SEARCH(Tabla4[[#All],[PCLAVE]],Tabla8[[#This Row],[DESCRIPCION DE TRABAJO]])),""))),"")</f>
        <v>Producto</v>
      </c>
      <c r="O1563" s="35" t="str" cm="1">
        <f t="array" ref="O1563">_xlfn.TEXTJOIN(", ",TRUE,_xlfn._xlws.FILTER(Tabla28[[#All],[PARTE]],ISNUMBER(SEARCH(Tabla28[[#All],[PCLAVE2]],Tabla8[[#This Row],[DESCRIPCION DE TRABAJO]])),""))</f>
        <v/>
      </c>
      <c r="P1563" s="633" t="str">
        <f>IFERROR(LEFT(O1563, FIND(",", O1563)-1), O1563)</f>
        <v/>
      </c>
      <c r="Q1563" s="633" t="str">
        <f>IFERROR(IF(ISERROR(FIND(",", O1563, FIND(",", O1563)+1)), RIGHT(O1563, LEN(O1563)-FIND(",", O1563)-1), MID(O1563, FIND(",", O1563)+2, FIND(",", O1563, FIND(",", O1563)+1)-FIND(",", O1563)-2)), "")</f>
        <v/>
      </c>
      <c r="R1563" s="633" t="str">
        <f>IFERROR(RIGHT(O1563, LEN(O1563)-FIND(",", O1563, FIND(",", O1563)+1)-1), "")</f>
        <v/>
      </c>
      <c r="S1563" s="35" t="str" cm="1">
        <f t="array" ref="S1563">_xlfn.TEXTJOIN(", ",TRUE,_xlfn._xlws.FILTER(Tabla29[[#All],[PARTE]],ISNUMBER(SEARCH(Tabla29[[#All],[PCLAVE3]],Tabla8[[#This Row],[DESCRIPCION DE TRABAJO]])),""))</f>
        <v>Cambio De Formato</v>
      </c>
      <c r="T1563" s="88" t="str">
        <f>IF(AND(Tabla8[[#This Row],[PIEZA]]="",Tabla8[[#This Row],[PARTE]]=""),"VACIO","OK")</f>
        <v>OK</v>
      </c>
      <c r="U1563" s="633" t="str">
        <f>+CONCATENATE(WEEKNUM(Tabla8[[#This Row],[FECHA]]),"-",YEAR(Tabla8[[#This Row],[FECHA]]))</f>
        <v>23-2026</v>
      </c>
    </row>
    <row r="1564" spans="1:21" ht="15" customHeight="1">
      <c r="A1564" s="22">
        <v>46175</v>
      </c>
      <c r="B1564" s="16" t="s">
        <v>88</v>
      </c>
      <c r="C1564" s="16" t="s">
        <v>36</v>
      </c>
      <c r="D1564" s="381" t="s">
        <v>96</v>
      </c>
      <c r="E1564" s="381" t="s">
        <v>97</v>
      </c>
      <c r="F1564" s="632">
        <f>+MOD(Tabla8[[#This Row],[HR. FIN]]-Tabla8[[#This Row],[HR. INICIO]],1)</f>
        <v>4.166666666666663E-2</v>
      </c>
      <c r="G1564" s="16" t="s">
        <v>266</v>
      </c>
      <c r="H1564" s="79" t="str">
        <f>IFERROR(VLOOKUP(G1564,DATOS!$M$2:$N$219,2,FALSE),"")</f>
        <v>Maquinaria</v>
      </c>
      <c r="I1564" s="115" t="s">
        <v>32</v>
      </c>
      <c r="J1564" s="115" t="s">
        <v>157</v>
      </c>
      <c r="K1564" s="115"/>
      <c r="L1564" s="35" t="s">
        <v>361</v>
      </c>
      <c r="M1564" s="35" t="s">
        <v>2870</v>
      </c>
      <c r="N1564" s="35" t="str" cm="1">
        <f t="array" ref="N1564">IFERROR(IF(Tabla8[[#This Row],[P/NP]]="NO PROGRAMADA","",_xlfn.TEXTJOIN(", ",TRUE,_xlfn._xlws.FILTER(Tabla4[[#All],[PIEZA]],ISNUMBER(SEARCH(Tabla4[[#All],[PCLAVE]],Tabla8[[#This Row],[DESCRIPCION DE TRABAJO]])),""))),"")</f>
        <v/>
      </c>
      <c r="O1564" s="35" t="str" cm="1">
        <f t="array" ref="O1564">_xlfn.TEXTJOIN(", ",TRUE,_xlfn._xlws.FILTER(Tabla28[[#All],[PARTE]],ISNUMBER(SEARCH(Tabla28[[#All],[PCLAVE2]],Tabla8[[#This Row],[DESCRIPCION DE TRABAJO]])),""))</f>
        <v/>
      </c>
      <c r="P1564" s="633" t="str">
        <f>IFERROR(LEFT(O1564, FIND(",", O1564)-1), O1564)</f>
        <v/>
      </c>
      <c r="Q1564" s="633" t="str">
        <f>IFERROR(IF(ISERROR(FIND(",", O1564, FIND(",", O1564)+1)), RIGHT(O1564, LEN(O1564)-FIND(",", O1564)-1), MID(O1564, FIND(",", O1564)+2, FIND(",", O1564, FIND(",", O1564)+1)-FIND(",", O1564)-2)), "")</f>
        <v/>
      </c>
      <c r="R1564" s="633" t="str">
        <f>IFERROR(RIGHT(O1564, LEN(O1564)-FIND(",", O1564, FIND(",", O1564)+1)-1), "")</f>
        <v/>
      </c>
      <c r="S1564" s="35" t="str" cm="1">
        <f t="array" ref="S1564">_xlfn.TEXTJOIN(", ",TRUE,_xlfn._xlws.FILTER(Tabla29[[#All],[PARTE]],ISNUMBER(SEARCH(Tabla29[[#All],[PCLAVE3]],Tabla8[[#This Row],[DESCRIPCION DE TRABAJO]])),""))</f>
        <v/>
      </c>
      <c r="T1564" s="88" t="str">
        <f>IF(AND(Tabla8[[#This Row],[PIEZA]]="",Tabla8[[#This Row],[PARTE]]=""),"VACIO","OK")</f>
        <v>VACIO</v>
      </c>
      <c r="U1564" s="633" t="str">
        <f>+CONCATENATE(WEEKNUM(Tabla8[[#This Row],[FECHA]]),"-",YEAR(Tabla8[[#This Row],[FECHA]]))</f>
        <v>23-2026</v>
      </c>
    </row>
    <row r="1565" spans="1:21" ht="15" customHeight="1">
      <c r="A1565" s="22">
        <v>46175</v>
      </c>
      <c r="B1565" s="16" t="s">
        <v>131</v>
      </c>
      <c r="C1565" s="16" t="s">
        <v>36</v>
      </c>
      <c r="D1565" s="381" t="s">
        <v>2061</v>
      </c>
      <c r="E1565" s="381" t="s">
        <v>393</v>
      </c>
      <c r="F1565" s="632">
        <f>+MOD(Tabla8[[#This Row],[HR. FIN]]-Tabla8[[#This Row],[HR. INICIO]],1)</f>
        <v>4.166666666666663E-2</v>
      </c>
      <c r="G1565" s="16" t="s">
        <v>266</v>
      </c>
      <c r="H1565" s="79" t="str">
        <f>IFERROR(VLOOKUP(G1565,DATOS!$M$2:$N$219,2,FALSE),"")</f>
        <v>Maquinaria</v>
      </c>
      <c r="I1565" s="115" t="s">
        <v>32</v>
      </c>
      <c r="J1565" s="115" t="s">
        <v>157</v>
      </c>
      <c r="K1565" s="115"/>
      <c r="L1565" s="35" t="s">
        <v>2871</v>
      </c>
      <c r="M1565" s="35" t="s">
        <v>121</v>
      </c>
      <c r="N1565" s="35" t="str" cm="1">
        <f t="array" ref="N1565">IFERROR(IF(Tabla8[[#This Row],[P/NP]]="NO PROGRAMADA","",_xlfn.TEXTJOIN(", ",TRUE,_xlfn._xlws.FILTER(Tabla4[[#All],[PIEZA]],ISNUMBER(SEARCH(Tabla4[[#All],[PCLAVE]],Tabla8[[#This Row],[DESCRIPCION DE TRABAJO]])),""))),"")</f>
        <v/>
      </c>
      <c r="O1565" s="35" t="str" cm="1">
        <f t="array" ref="O1565">_xlfn.TEXTJOIN(", ",TRUE,_xlfn._xlws.FILTER(Tabla28[[#All],[PARTE]],ISNUMBER(SEARCH(Tabla28[[#All],[PCLAVE2]],Tabla8[[#This Row],[DESCRIPCION DE TRABAJO]])),""))</f>
        <v/>
      </c>
      <c r="P1565" s="633" t="str">
        <f>IFERROR(LEFT(O1565, FIND(",", O1565)-1), O1565)</f>
        <v/>
      </c>
      <c r="Q1565" s="633" t="str">
        <f>IFERROR(IF(ISERROR(FIND(",", O1565, FIND(",", O1565)+1)), RIGHT(O1565, LEN(O1565)-FIND(",", O1565)-1), MID(O1565, FIND(",", O1565)+2, FIND(",", O1565, FIND(",", O1565)+1)-FIND(",", O1565)-2)), "")</f>
        <v/>
      </c>
      <c r="R1565" s="633" t="str">
        <f>IFERROR(RIGHT(O1565, LEN(O1565)-FIND(",", O1565, FIND(",", O1565)+1)-1), "")</f>
        <v/>
      </c>
      <c r="S1565" s="35" t="str" cm="1">
        <f t="array" ref="S1565">_xlfn.TEXTJOIN(", ",TRUE,_xlfn._xlws.FILTER(Tabla29[[#All],[PARTE]],ISNUMBER(SEARCH(Tabla29[[#All],[PCLAVE3]],Tabla8[[#This Row],[DESCRIPCION DE TRABAJO]])),""))</f>
        <v/>
      </c>
      <c r="T1565" s="88" t="str">
        <f>IF(AND(Tabla8[[#This Row],[PIEZA]]="",Tabla8[[#This Row],[PARTE]]=""),"VACIO","OK")</f>
        <v>VACIO</v>
      </c>
      <c r="U1565" s="633" t="str">
        <f>+CONCATENATE(WEEKNUM(Tabla8[[#This Row],[FECHA]]),"-",YEAR(Tabla8[[#This Row],[FECHA]]))</f>
        <v>23-2026</v>
      </c>
    </row>
    <row r="1566" spans="1:21" ht="15" customHeight="1">
      <c r="A1566" s="22">
        <v>46175</v>
      </c>
      <c r="B1566" s="16" t="s">
        <v>111</v>
      </c>
      <c r="C1566" s="16" t="s">
        <v>39</v>
      </c>
      <c r="D1566" s="381" t="s">
        <v>1282</v>
      </c>
      <c r="E1566" s="381" t="s">
        <v>900</v>
      </c>
      <c r="F1566" s="632">
        <f>+MOD(Tabla8[[#This Row],[HR. FIN]]-Tabla8[[#This Row],[HR. INICIO]],1)</f>
        <v>2.7777777777777679E-2</v>
      </c>
      <c r="G1566" s="16" t="s">
        <v>182</v>
      </c>
      <c r="H1566" s="79" t="str">
        <f>IFERROR(VLOOKUP(G1566,DATOS!$M$2:$N$219,2,FALSE),"")</f>
        <v>Maquinaria</v>
      </c>
      <c r="I1566" s="115" t="s">
        <v>57</v>
      </c>
      <c r="J1566" s="115" t="s">
        <v>157</v>
      </c>
      <c r="K1566" s="115"/>
      <c r="L1566" s="35" t="s">
        <v>2872</v>
      </c>
      <c r="M1566" s="35" t="s">
        <v>121</v>
      </c>
      <c r="N1566" s="35" t="str" cm="1">
        <f t="array" ref="N1566">IFERROR(IF(Tabla8[[#This Row],[P/NP]]="NO PROGRAMADA","",_xlfn.TEXTJOIN(", ",TRUE,_xlfn._xlws.FILTER(Tabla4[[#All],[PIEZA]],ISNUMBER(SEARCH(Tabla4[[#All],[PCLAVE]],Tabla8[[#This Row],[DESCRIPCION DE TRABAJO]])),""))),"")</f>
        <v/>
      </c>
      <c r="O1566" s="35" t="str" cm="1">
        <f t="array" ref="O1566">_xlfn.TEXTJOIN(", ",TRUE,_xlfn._xlws.FILTER(Tabla28[[#All],[PARTE]],ISNUMBER(SEARCH(Tabla28[[#All],[PCLAVE2]],Tabla8[[#This Row],[DESCRIPCION DE TRABAJO]])),""))</f>
        <v/>
      </c>
      <c r="P1566" s="633" t="str">
        <f>IFERROR(LEFT(O1566, FIND(",", O1566)-1), O1566)</f>
        <v/>
      </c>
      <c r="Q1566" s="633" t="str">
        <f>IFERROR(IF(ISERROR(FIND(",", O1566, FIND(",", O1566)+1)), RIGHT(O1566, LEN(O1566)-FIND(",", O1566)-1), MID(O1566, FIND(",", O1566)+2, FIND(",", O1566, FIND(",", O1566)+1)-FIND(",", O1566)-2)), "")</f>
        <v/>
      </c>
      <c r="R1566" s="633" t="str">
        <f>IFERROR(RIGHT(O1566, LEN(O1566)-FIND(",", O1566, FIND(",", O1566)+1)-1), "")</f>
        <v/>
      </c>
      <c r="S1566" s="35" t="str" cm="1">
        <f t="array" ref="S1566">_xlfn.TEXTJOIN(", ",TRUE,_xlfn._xlws.FILTER(Tabla29[[#All],[PARTE]],ISNUMBER(SEARCH(Tabla29[[#All],[PCLAVE3]],Tabla8[[#This Row],[DESCRIPCION DE TRABAJO]])),""))</f>
        <v>Calibracion, Cambio De Formato</v>
      </c>
      <c r="T1566" s="88" t="str">
        <f>IF(AND(Tabla8[[#This Row],[PIEZA]]="",Tabla8[[#This Row],[PARTE]]=""),"VACIO","OK")</f>
        <v>VACIO</v>
      </c>
      <c r="U1566" s="633" t="str">
        <f>+CONCATENATE(WEEKNUM(Tabla8[[#This Row],[FECHA]]),"-",YEAR(Tabla8[[#This Row],[FECHA]]))</f>
        <v>23-2026</v>
      </c>
    </row>
    <row r="1567" spans="1:21" ht="15" customHeight="1">
      <c r="A1567" s="22">
        <v>46175</v>
      </c>
      <c r="B1567" s="16" t="s">
        <v>131</v>
      </c>
      <c r="C1567" s="16" t="s">
        <v>36</v>
      </c>
      <c r="D1567" s="381" t="s">
        <v>1608</v>
      </c>
      <c r="E1567" s="381" t="s">
        <v>2552</v>
      </c>
      <c r="F1567" s="632">
        <f>+MOD(Tabla8[[#This Row],[HR. FIN]]-Tabla8[[#This Row],[HR. INICIO]],1)</f>
        <v>2.1527777777777757E-2</v>
      </c>
      <c r="G1567" s="16" t="s">
        <v>266</v>
      </c>
      <c r="H1567" s="79" t="str">
        <f>IFERROR(VLOOKUP(G1567,DATOS!$M$2:$N$219,2,FALSE),"")</f>
        <v>Maquinaria</v>
      </c>
      <c r="I1567" s="115" t="s">
        <v>32</v>
      </c>
      <c r="J1567" s="115" t="s">
        <v>157</v>
      </c>
      <c r="K1567" s="115"/>
      <c r="L1567" s="35" t="s">
        <v>2873</v>
      </c>
      <c r="M1567" s="35" t="s">
        <v>121</v>
      </c>
      <c r="N1567" s="35" t="str" cm="1">
        <f t="array" ref="N1567">IFERROR(IF(Tabla8[[#This Row],[P/NP]]="NO PROGRAMADA","",_xlfn.TEXTJOIN(", ",TRUE,_xlfn._xlws.FILTER(Tabla4[[#All],[PIEZA]],ISNUMBER(SEARCH(Tabla4[[#All],[PCLAVE]],Tabla8[[#This Row],[DESCRIPCION DE TRABAJO]])),""))),"")</f>
        <v>Bomba , Chaqueta, Tina</v>
      </c>
      <c r="O1567" s="35" t="str" cm="1">
        <f t="array" ref="O1567">_xlfn.TEXTJOIN(", ",TRUE,_xlfn._xlws.FILTER(Tabla28[[#All],[PARTE]],ISNUMBER(SEARCH(Tabla28[[#All],[PCLAVE2]],Tabla8[[#This Row],[DESCRIPCION DE TRABAJO]])),""))</f>
        <v/>
      </c>
      <c r="P1567" s="633" t="str">
        <f>IFERROR(LEFT(O1567, FIND(",", O1567)-1), O1567)</f>
        <v/>
      </c>
      <c r="Q1567" s="633" t="str">
        <f>IFERROR(IF(ISERROR(FIND(",", O1567, FIND(",", O1567)+1)), RIGHT(O1567, LEN(O1567)-FIND(",", O1567)-1), MID(O1567, FIND(",", O1567)+2, FIND(",", O1567, FIND(",", O1567)+1)-FIND(",", O1567)-2)), "")</f>
        <v/>
      </c>
      <c r="R1567" s="633" t="str">
        <f>IFERROR(RIGHT(O1567, LEN(O1567)-FIND(",", O1567, FIND(",", O1567)+1)-1), "")</f>
        <v/>
      </c>
      <c r="S1567" s="35" t="str" cm="1">
        <f t="array" ref="S1567">_xlfn.TEXTJOIN(", ",TRUE,_xlfn._xlws.FILTER(Tabla29[[#All],[PARTE]],ISNUMBER(SEARCH(Tabla29[[#All],[PCLAVE3]],Tabla8[[#This Row],[DESCRIPCION DE TRABAJO]])),""))</f>
        <v/>
      </c>
      <c r="T1567" s="88" t="str">
        <f>IF(AND(Tabla8[[#This Row],[PIEZA]]="",Tabla8[[#This Row],[PARTE]]=""),"VACIO","OK")</f>
        <v>OK</v>
      </c>
      <c r="U1567" s="633" t="str">
        <f>+CONCATENATE(WEEKNUM(Tabla8[[#This Row],[FECHA]]),"-",YEAR(Tabla8[[#This Row],[FECHA]]))</f>
        <v>23-2026</v>
      </c>
    </row>
    <row r="1568" spans="1:21" ht="15" customHeight="1">
      <c r="A1568" s="22">
        <v>46175</v>
      </c>
      <c r="B1568" s="16" t="s">
        <v>131</v>
      </c>
      <c r="C1568" s="16" t="s">
        <v>36</v>
      </c>
      <c r="D1568" s="381" t="s">
        <v>127</v>
      </c>
      <c r="E1568" s="381" t="s">
        <v>89</v>
      </c>
      <c r="F1568" s="632">
        <f>+MOD(Tabla8[[#This Row],[HR. FIN]]-Tabla8[[#This Row],[HR. INICIO]],1)</f>
        <v>2.083333333333337E-2</v>
      </c>
      <c r="G1568" s="16" t="s">
        <v>24</v>
      </c>
      <c r="H1568" s="79" t="str">
        <f>IFERROR(VLOOKUP(G1568,DATOS!$M$2:$N$219,2,FALSE),"")</f>
        <v>Maquinaria</v>
      </c>
      <c r="I1568" s="115" t="s">
        <v>54</v>
      </c>
      <c r="J1568" s="115" t="s">
        <v>157</v>
      </c>
      <c r="K1568" s="115"/>
      <c r="L1568" s="35" t="s">
        <v>2874</v>
      </c>
      <c r="M1568" s="35" t="s">
        <v>121</v>
      </c>
      <c r="N1568" s="35" t="str" cm="1">
        <f t="array" ref="N1568">IFERROR(IF(Tabla8[[#This Row],[P/NP]]="NO PROGRAMADA","",_xlfn.TEXTJOIN(", ",TRUE,_xlfn._xlws.FILTER(Tabla4[[#All],[PIEZA]],ISNUMBER(SEARCH(Tabla4[[#All],[PCLAVE]],Tabla8[[#This Row],[DESCRIPCION DE TRABAJO]])),""))),"")</f>
        <v/>
      </c>
      <c r="O1568" s="35" t="str" cm="1">
        <f t="array" ref="O1568">_xlfn.TEXTJOIN(", ",TRUE,_xlfn._xlws.FILTER(Tabla28[[#All],[PARTE]],ISNUMBER(SEARCH(Tabla28[[#All],[PCLAVE2]],Tabla8[[#This Row],[DESCRIPCION DE TRABAJO]])),""))</f>
        <v/>
      </c>
      <c r="P1568" s="633" t="str">
        <f>IFERROR(LEFT(O1568, FIND(",", O1568)-1), O1568)</f>
        <v/>
      </c>
      <c r="Q1568" s="633" t="str">
        <f>IFERROR(IF(ISERROR(FIND(",", O1568, FIND(",", O1568)+1)), RIGHT(O1568, LEN(O1568)-FIND(",", O1568)-1), MID(O1568, FIND(",", O1568)+2, FIND(",", O1568, FIND(",", O1568)+1)-FIND(",", O1568)-2)), "")</f>
        <v/>
      </c>
      <c r="R1568" s="633" t="str">
        <f>IFERROR(RIGHT(O1568, LEN(O1568)-FIND(",", O1568, FIND(",", O1568)+1)-1), "")</f>
        <v/>
      </c>
      <c r="S1568" s="35" t="str" cm="1">
        <f t="array" ref="S1568">_xlfn.TEXTJOIN(", ",TRUE,_xlfn._xlws.FILTER(Tabla29[[#All],[PARTE]],ISNUMBER(SEARCH(Tabla29[[#All],[PCLAVE3]],Tabla8[[#This Row],[DESCRIPCION DE TRABAJO]])),""))</f>
        <v/>
      </c>
      <c r="T1568" s="88" t="str">
        <f>IF(AND(Tabla8[[#This Row],[PIEZA]]="",Tabla8[[#This Row],[PARTE]]=""),"VACIO","OK")</f>
        <v>VACIO</v>
      </c>
      <c r="U1568" s="633" t="str">
        <f>+CONCATENATE(WEEKNUM(Tabla8[[#This Row],[FECHA]]),"-",YEAR(Tabla8[[#This Row],[FECHA]]))</f>
        <v>23-2026</v>
      </c>
    </row>
    <row r="1569" spans="1:21" ht="15" customHeight="1">
      <c r="A1569" s="22">
        <v>46175</v>
      </c>
      <c r="B1569" s="16" t="s">
        <v>131</v>
      </c>
      <c r="C1569" s="16" t="s">
        <v>36</v>
      </c>
      <c r="D1569" s="381" t="s">
        <v>586</v>
      </c>
      <c r="E1569" s="381" t="s">
        <v>858</v>
      </c>
      <c r="F1569" s="632">
        <f>+MOD(Tabla8[[#This Row],[HR. FIN]]-Tabla8[[#This Row],[HR. INICIO]],1)</f>
        <v>2.083333333333337E-2</v>
      </c>
      <c r="G1569" s="16" t="s">
        <v>1636</v>
      </c>
      <c r="H1569" s="79" t="str">
        <f>IFERROR(VLOOKUP(G1569,DATOS!$M$2:$N$219,2,FALSE),"")</f>
        <v>Maquinaria</v>
      </c>
      <c r="I1569" s="115" t="s">
        <v>186</v>
      </c>
      <c r="J1569" s="115" t="s">
        <v>92</v>
      </c>
      <c r="K1569" s="115" t="s">
        <v>93</v>
      </c>
      <c r="L1569" s="35" t="s">
        <v>2875</v>
      </c>
      <c r="M1569" s="35" t="s">
        <v>2876</v>
      </c>
      <c r="N1569" s="35" t="str" cm="1">
        <f t="array" ref="N1569">IFERROR(IF(Tabla8[[#This Row],[P/NP]]="NO PROGRAMADA","",_xlfn.TEXTJOIN(", ",TRUE,_xlfn._xlws.FILTER(Tabla4[[#All],[PIEZA]],ISNUMBER(SEARCH(Tabla4[[#All],[PCLAVE]],Tabla8[[#This Row],[DESCRIPCION DE TRABAJO]])),""))),"")</f>
        <v/>
      </c>
      <c r="O1569" s="35" t="str" cm="1">
        <f t="array" ref="O1569">_xlfn.TEXTJOIN(", ",TRUE,_xlfn._xlws.FILTER(Tabla28[[#All],[PARTE]],ISNUMBER(SEARCH(Tabla28[[#All],[PCLAVE2]],Tabla8[[#This Row],[DESCRIPCION DE TRABAJO]])),""))</f>
        <v>Columna</v>
      </c>
      <c r="P1569" s="633" t="str">
        <f>IFERROR(LEFT(O1569, FIND(",", O1569)-1), O1569)</f>
        <v>Columna</v>
      </c>
      <c r="Q1569" s="633" t="str">
        <f>IFERROR(IF(ISERROR(FIND(",", O1569, FIND(",", O1569)+1)), RIGHT(O1569, LEN(O1569)-FIND(",", O1569)-1), MID(O1569, FIND(",", O1569)+2, FIND(",", O1569, FIND(",", O1569)+1)-FIND(",", O1569)-2)), "")</f>
        <v/>
      </c>
      <c r="R1569" s="633" t="str">
        <f>IFERROR(RIGHT(O1569, LEN(O1569)-FIND(",", O1569, FIND(",", O1569)+1)-1), "")</f>
        <v/>
      </c>
      <c r="S1569" s="35" t="str" cm="1">
        <f t="array" ref="S1569">_xlfn.TEXTJOIN(", ",TRUE,_xlfn._xlws.FILTER(Tabla29[[#All],[PARTE]],ISNUMBER(SEARCH(Tabla29[[#All],[PCLAVE3]],Tabla8[[#This Row],[DESCRIPCION DE TRABAJO]])),""))</f>
        <v>Bloqueado, No Cae Producto</v>
      </c>
      <c r="T1569" s="88" t="str">
        <f>IF(AND(Tabla8[[#This Row],[PIEZA]]="",Tabla8[[#This Row],[PARTE]]=""),"VACIO","OK")</f>
        <v>OK</v>
      </c>
      <c r="U1569" s="633" t="str">
        <f>+CONCATENATE(WEEKNUM(Tabla8[[#This Row],[FECHA]]),"-",YEAR(Tabla8[[#This Row],[FECHA]]))</f>
        <v>23-2026</v>
      </c>
    </row>
    <row r="1570" spans="1:21" ht="15" customHeight="1">
      <c r="A1570" s="22">
        <v>46175</v>
      </c>
      <c r="B1570" s="16" t="s">
        <v>88</v>
      </c>
      <c r="C1570" s="16" t="s">
        <v>36</v>
      </c>
      <c r="D1570" s="381" t="s">
        <v>176</v>
      </c>
      <c r="E1570" s="381" t="s">
        <v>462</v>
      </c>
      <c r="F1570" s="632">
        <f>+MOD(Tabla8[[#This Row],[HR. FIN]]-Tabla8[[#This Row],[HR. INICIO]],1)</f>
        <v>2.0833333333333315E-2</v>
      </c>
      <c r="G1570" s="16" t="s">
        <v>270</v>
      </c>
      <c r="H1570" s="79" t="str">
        <f>IFERROR(VLOOKUP(G1570,DATOS!$M$2:$N$219,2,FALSE),"")</f>
        <v>Maquinaria</v>
      </c>
      <c r="I1570" s="115" t="s">
        <v>390</v>
      </c>
      <c r="J1570" s="115" t="s">
        <v>157</v>
      </c>
      <c r="K1570" s="115"/>
      <c r="L1570" s="35" t="s">
        <v>1040</v>
      </c>
      <c r="M1570" s="35" t="s">
        <v>214</v>
      </c>
      <c r="N1570" s="35" t="str" cm="1">
        <f t="array" ref="N1570">IFERROR(IF(Tabla8[[#This Row],[P/NP]]="NO PROGRAMADA","",_xlfn.TEXTJOIN(", ",TRUE,_xlfn._xlws.FILTER(Tabla4[[#All],[PIEZA]],ISNUMBER(SEARCH(Tabla4[[#All],[PCLAVE]],Tabla8[[#This Row],[DESCRIPCION DE TRABAJO]])),""))),"")</f>
        <v/>
      </c>
      <c r="O1570" s="35" t="str" cm="1">
        <f t="array" ref="O1570">_xlfn.TEXTJOIN(", ",TRUE,_xlfn._xlws.FILTER(Tabla28[[#All],[PARTE]],ISNUMBER(SEARCH(Tabla28[[#All],[PCLAVE2]],Tabla8[[#This Row],[DESCRIPCION DE TRABAJO]])),""))</f>
        <v/>
      </c>
      <c r="P1570" s="633" t="str">
        <f>IFERROR(LEFT(O1570, FIND(",", O1570)-1), O1570)</f>
        <v/>
      </c>
      <c r="Q1570" s="633" t="str">
        <f>IFERROR(IF(ISERROR(FIND(",", O1570, FIND(",", O1570)+1)), RIGHT(O1570, LEN(O1570)-FIND(",", O1570)-1), MID(O1570, FIND(",", O1570)+2, FIND(",", O1570, FIND(",", O1570)+1)-FIND(",", O1570)-2)), "")</f>
        <v/>
      </c>
      <c r="R1570" s="633" t="str">
        <f>IFERROR(RIGHT(O1570, LEN(O1570)-FIND(",", O1570, FIND(",", O1570)+1)-1), "")</f>
        <v/>
      </c>
      <c r="S1570" s="35" t="str" cm="1">
        <f t="array" ref="S1570">_xlfn.TEXTJOIN(", ",TRUE,_xlfn._xlws.FILTER(Tabla29[[#All],[PARTE]],ISNUMBER(SEARCH(Tabla29[[#All],[PCLAVE3]],Tabla8[[#This Row],[DESCRIPCION DE TRABAJO]])),""))</f>
        <v/>
      </c>
      <c r="T1570" s="88" t="str">
        <f>IF(AND(Tabla8[[#This Row],[PIEZA]]="",Tabla8[[#This Row],[PARTE]]=""),"VACIO","OK")</f>
        <v>VACIO</v>
      </c>
      <c r="U1570" s="633" t="str">
        <f>+CONCATENATE(WEEKNUM(Tabla8[[#This Row],[FECHA]]),"-",YEAR(Tabla8[[#This Row],[FECHA]]))</f>
        <v>23-2026</v>
      </c>
    </row>
    <row r="1571" spans="1:21" ht="15" customHeight="1">
      <c r="A1571" s="22">
        <v>46175</v>
      </c>
      <c r="B1571" s="16" t="s">
        <v>111</v>
      </c>
      <c r="C1571" s="16" t="s">
        <v>39</v>
      </c>
      <c r="D1571" s="381" t="s">
        <v>113</v>
      </c>
      <c r="E1571" s="381" t="s">
        <v>2084</v>
      </c>
      <c r="F1571" s="632">
        <f>+MOD(Tabla8[[#This Row],[HR. FIN]]-Tabla8[[#This Row],[HR. INICIO]],1)</f>
        <v>1.7361111111111105E-2</v>
      </c>
      <c r="G1571" s="16" t="s">
        <v>202</v>
      </c>
      <c r="H1571" s="79" t="str">
        <f>IFERROR(VLOOKUP(G1571,DATOS!$M$2:$N$219,2,FALSE),"")</f>
        <v>Maquinaria</v>
      </c>
      <c r="I1571" s="115" t="s">
        <v>186</v>
      </c>
      <c r="J1571" s="115" t="s">
        <v>92</v>
      </c>
      <c r="K1571" s="115" t="s">
        <v>93</v>
      </c>
      <c r="L1571" s="35" t="s">
        <v>2877</v>
      </c>
      <c r="M1571" s="35" t="s">
        <v>2878</v>
      </c>
      <c r="N1571" s="35" t="str" cm="1">
        <f t="array" ref="N1571">IFERROR(IF(Tabla8[[#This Row],[P/NP]]="NO PROGRAMADA","",_xlfn.TEXTJOIN(", ",TRUE,_xlfn._xlws.FILTER(Tabla4[[#All],[PIEZA]],ISNUMBER(SEARCH(Tabla4[[#All],[PCLAVE]],Tabla8[[#This Row],[DESCRIPCION DE TRABAJO]])),""))),"")</f>
        <v/>
      </c>
      <c r="O1571" s="35" t="str" cm="1">
        <f t="array" ref="O1571">_xlfn.TEXTJOIN(", ",TRUE,_xlfn._xlws.FILTER(Tabla28[[#All],[PARTE]],ISNUMBER(SEARCH(Tabla28[[#All],[PCLAVE2]],Tabla8[[#This Row],[DESCRIPCION DE TRABAJO]])),""))</f>
        <v/>
      </c>
      <c r="P1571" s="633" t="str">
        <f>IFERROR(LEFT(O1571, FIND(",", O1571)-1), O1571)</f>
        <v/>
      </c>
      <c r="Q1571" s="633" t="str">
        <f>IFERROR(IF(ISERROR(FIND(",", O1571, FIND(",", O1571)+1)), RIGHT(O1571, LEN(O1571)-FIND(",", O1571)-1), MID(O1571, FIND(",", O1571)+2, FIND(",", O1571, FIND(",", O1571)+1)-FIND(",", O1571)-2)), "")</f>
        <v/>
      </c>
      <c r="R1571" s="633" t="str">
        <f>IFERROR(RIGHT(O1571, LEN(O1571)-FIND(",", O1571, FIND(",", O1571)+1)-1), "")</f>
        <v/>
      </c>
      <c r="S1571" s="35" t="str" cm="1">
        <f t="array" ref="S1571">_xlfn.TEXTJOIN(", ",TRUE,_xlfn._xlws.FILTER(Tabla29[[#All],[PARTE]],ISNUMBER(SEARCH(Tabla29[[#All],[PCLAVE3]],Tabla8[[#This Row],[DESCRIPCION DE TRABAJO]])),""))</f>
        <v>Fuga, Fuga De Chocolate, Rotura</v>
      </c>
      <c r="T1571" s="88" t="str">
        <f>IF(AND(Tabla8[[#This Row],[PIEZA]]="",Tabla8[[#This Row],[PARTE]]=""),"VACIO","OK")</f>
        <v>VACIO</v>
      </c>
      <c r="U1571" s="633" t="str">
        <f>+CONCATENATE(WEEKNUM(Tabla8[[#This Row],[FECHA]]),"-",YEAR(Tabla8[[#This Row],[FECHA]]))</f>
        <v>23-2026</v>
      </c>
    </row>
    <row r="1572" spans="1:21" ht="15" customHeight="1">
      <c r="A1572" s="22">
        <v>46175</v>
      </c>
      <c r="B1572" s="16" t="s">
        <v>88</v>
      </c>
      <c r="C1572" s="16" t="s">
        <v>36</v>
      </c>
      <c r="D1572" s="381" t="s">
        <v>1176</v>
      </c>
      <c r="E1572" s="381" t="s">
        <v>471</v>
      </c>
      <c r="F1572" s="632">
        <f>+MOD(Tabla8[[#This Row],[HR. FIN]]-Tabla8[[#This Row],[HR. INICIO]],1)</f>
        <v>1.7361111111111105E-2</v>
      </c>
      <c r="G1572" s="16" t="s">
        <v>1305</v>
      </c>
      <c r="H1572" s="79" t="str">
        <f>IFERROR(VLOOKUP(G1572,DATOS!$M$2:$N$219,2,FALSE),"")</f>
        <v>Area</v>
      </c>
      <c r="I1572" s="115" t="s">
        <v>32</v>
      </c>
      <c r="J1572" s="115" t="s">
        <v>157</v>
      </c>
      <c r="K1572" s="115"/>
      <c r="L1572" s="35" t="s">
        <v>1843</v>
      </c>
      <c r="M1572" s="35" t="s">
        <v>2879</v>
      </c>
      <c r="N1572" s="35" t="str" cm="1">
        <f t="array" ref="N1572">IFERROR(IF(Tabla8[[#This Row],[P/NP]]="NO PROGRAMADA","",_xlfn.TEXTJOIN(", ",TRUE,_xlfn._xlws.FILTER(Tabla4[[#All],[PIEZA]],ISNUMBER(SEARCH(Tabla4[[#All],[PCLAVE]],Tabla8[[#This Row],[DESCRIPCION DE TRABAJO]])),""))),"")</f>
        <v>Iman</v>
      </c>
      <c r="O1572" s="35" t="str" cm="1">
        <f t="array" ref="O1572">_xlfn.TEXTJOIN(", ",TRUE,_xlfn._xlws.FILTER(Tabla28[[#All],[PARTE]],ISNUMBER(SEARCH(Tabla28[[#All],[PCLAVE2]],Tabla8[[#This Row],[DESCRIPCION DE TRABAJO]])),""))</f>
        <v/>
      </c>
      <c r="P1572" s="633" t="str">
        <f>IFERROR(LEFT(O1572, FIND(",", O1572)-1), O1572)</f>
        <v/>
      </c>
      <c r="Q1572" s="633" t="str">
        <f>IFERROR(IF(ISERROR(FIND(",", O1572, FIND(",", O1572)+1)), RIGHT(O1572, LEN(O1572)-FIND(",", O1572)-1), MID(O1572, FIND(",", O1572)+2, FIND(",", O1572, FIND(",", O1572)+1)-FIND(",", O1572)-2)), "")</f>
        <v/>
      </c>
      <c r="R1572" s="633" t="str">
        <f>IFERROR(RIGHT(O1572, LEN(O1572)-FIND(",", O1572, FIND(",", O1572)+1)-1), "")</f>
        <v/>
      </c>
      <c r="S1572" s="35" t="str" cm="1">
        <f t="array" ref="S1572">_xlfn.TEXTJOIN(", ",TRUE,_xlfn._xlws.FILTER(Tabla29[[#All],[PARTE]],ISNUMBER(SEARCH(Tabla29[[#All],[PCLAVE3]],Tabla8[[#This Row],[DESCRIPCION DE TRABAJO]])),""))</f>
        <v/>
      </c>
      <c r="T1572" s="88" t="str">
        <f>IF(AND(Tabla8[[#This Row],[PIEZA]]="",Tabla8[[#This Row],[PARTE]]=""),"VACIO","OK")</f>
        <v>OK</v>
      </c>
      <c r="U1572" s="633" t="str">
        <f>+CONCATENATE(WEEKNUM(Tabla8[[#This Row],[FECHA]]),"-",YEAR(Tabla8[[#This Row],[FECHA]]))</f>
        <v>23-2026</v>
      </c>
    </row>
    <row r="1573" spans="1:21" ht="15" customHeight="1">
      <c r="A1573" s="22">
        <v>46175</v>
      </c>
      <c r="B1573" s="16" t="s">
        <v>111</v>
      </c>
      <c r="C1573" s="16" t="s">
        <v>39</v>
      </c>
      <c r="D1573" s="381" t="s">
        <v>1169</v>
      </c>
      <c r="E1573" s="381" t="s">
        <v>887</v>
      </c>
      <c r="F1573" s="632">
        <f>+MOD(Tabla8[[#This Row],[HR. FIN]]-Tabla8[[#This Row],[HR. INICIO]],1)</f>
        <v>1.7361111111111049E-2</v>
      </c>
      <c r="G1573" s="16" t="s">
        <v>222</v>
      </c>
      <c r="H1573" s="79" t="str">
        <f>IFERROR(VLOOKUP(G1573,DATOS!$M$2:$N$219,2,FALSE),"")</f>
        <v>Maquinaria</v>
      </c>
      <c r="I1573" s="115" t="s">
        <v>57</v>
      </c>
      <c r="J1573" s="115" t="s">
        <v>92</v>
      </c>
      <c r="K1573" s="115" t="s">
        <v>148</v>
      </c>
      <c r="L1573" s="35" t="s">
        <v>2880</v>
      </c>
      <c r="M1573" s="35" t="s">
        <v>2881</v>
      </c>
      <c r="N1573" s="35" t="str" cm="1">
        <f t="array" ref="N1573">IFERROR(IF(Tabla8[[#This Row],[P/NP]]="NO PROGRAMADA","",_xlfn.TEXTJOIN(", ",TRUE,_xlfn._xlws.FILTER(Tabla4[[#All],[PIEZA]],ISNUMBER(SEARCH(Tabla4[[#All],[PCLAVE]],Tabla8[[#This Row],[DESCRIPCION DE TRABAJO]])),""))),"")</f>
        <v/>
      </c>
      <c r="O1573" s="35" t="str" cm="1">
        <f t="array" ref="O1573">_xlfn.TEXTJOIN(", ",TRUE,_xlfn._xlws.FILTER(Tabla28[[#All],[PARTE]],ISNUMBER(SEARCH(Tabla28[[#All],[PCLAVE2]],Tabla8[[#This Row],[DESCRIPCION DE TRABAJO]])),""))</f>
        <v/>
      </c>
      <c r="P1573" s="633" t="str">
        <f>IFERROR(LEFT(O1573, FIND(",", O1573)-1), O1573)</f>
        <v/>
      </c>
      <c r="Q1573" s="633" t="str">
        <f>IFERROR(IF(ISERROR(FIND(",", O1573, FIND(",", O1573)+1)), RIGHT(O1573, LEN(O1573)-FIND(",", O1573)-1), MID(O1573, FIND(",", O1573)+2, FIND(",", O1573, FIND(",", O1573)+1)-FIND(",", O1573)-2)), "")</f>
        <v/>
      </c>
      <c r="R1573" s="633" t="str">
        <f>IFERROR(RIGHT(O1573, LEN(O1573)-FIND(",", O1573, FIND(",", O1573)+1)-1), "")</f>
        <v/>
      </c>
      <c r="S1573" s="35" t="str" cm="1">
        <f t="array" ref="S1573">_xlfn.TEXTJOIN(", ",TRUE,_xlfn._xlws.FILTER(Tabla29[[#All],[PARTE]],ISNUMBER(SEARCH(Tabla29[[#All],[PCLAVE3]],Tabla8[[#This Row],[DESCRIPCION DE TRABAJO]])),""))</f>
        <v/>
      </c>
      <c r="T1573" s="88" t="str">
        <f>IF(AND(Tabla8[[#This Row],[PIEZA]]="",Tabla8[[#This Row],[PARTE]]=""),"VACIO","OK")</f>
        <v>VACIO</v>
      </c>
      <c r="U1573" s="633" t="str">
        <f>+CONCATENATE(WEEKNUM(Tabla8[[#This Row],[FECHA]]),"-",YEAR(Tabla8[[#This Row],[FECHA]]))</f>
        <v>23-2026</v>
      </c>
    </row>
    <row r="1574" spans="1:21" ht="15" customHeight="1">
      <c r="A1574" s="22">
        <v>46175</v>
      </c>
      <c r="B1574" s="16" t="s">
        <v>111</v>
      </c>
      <c r="C1574" s="16" t="s">
        <v>39</v>
      </c>
      <c r="D1574" s="381" t="s">
        <v>2306</v>
      </c>
      <c r="E1574" s="381" t="s">
        <v>901</v>
      </c>
      <c r="F1574" s="632">
        <f>+MOD(Tabla8[[#This Row],[HR. FIN]]-Tabla8[[#This Row],[HR. INICIO]],1)</f>
        <v>1.7361111111111049E-2</v>
      </c>
      <c r="G1574" s="16" t="s">
        <v>266</v>
      </c>
      <c r="H1574" s="79" t="str">
        <f>IFERROR(VLOOKUP(G1574,DATOS!$M$2:$N$219,2,FALSE),"")</f>
        <v>Maquinaria</v>
      </c>
      <c r="I1574" s="115" t="s">
        <v>57</v>
      </c>
      <c r="J1574" s="115" t="s">
        <v>92</v>
      </c>
      <c r="K1574" s="115" t="s">
        <v>93</v>
      </c>
      <c r="L1574" s="35" t="s">
        <v>2882</v>
      </c>
      <c r="M1574" s="35" t="s">
        <v>2883</v>
      </c>
      <c r="N1574" s="35" t="str" cm="1">
        <f t="array" ref="N1574">IFERROR(IF(Tabla8[[#This Row],[P/NP]]="NO PROGRAMADA","",_xlfn.TEXTJOIN(", ",TRUE,_xlfn._xlws.FILTER(Tabla4[[#All],[PIEZA]],ISNUMBER(SEARCH(Tabla4[[#All],[PCLAVE]],Tabla8[[#This Row],[DESCRIPCION DE TRABAJO]])),""))),"")</f>
        <v/>
      </c>
      <c r="O1574" s="35" t="str" cm="1">
        <f t="array" ref="O1574">_xlfn.TEXTJOIN(", ",TRUE,_xlfn._xlws.FILTER(Tabla28[[#All],[PARTE]],ISNUMBER(SEARCH(Tabla28[[#All],[PCLAVE2]],Tabla8[[#This Row],[DESCRIPCION DE TRABAJO]])),""))</f>
        <v/>
      </c>
      <c r="P1574" s="633" t="str">
        <f>IFERROR(LEFT(O1574, FIND(",", O1574)-1), O1574)</f>
        <v/>
      </c>
      <c r="Q1574" s="633" t="str">
        <f>IFERROR(IF(ISERROR(FIND(",", O1574, FIND(",", O1574)+1)), RIGHT(O1574, LEN(O1574)-FIND(",", O1574)-1), MID(O1574, FIND(",", O1574)+2, FIND(",", O1574, FIND(",", O1574)+1)-FIND(",", O1574)-2)), "")</f>
        <v/>
      </c>
      <c r="R1574" s="633" t="str">
        <f>IFERROR(RIGHT(O1574, LEN(O1574)-FIND(",", O1574, FIND(",", O1574)+1)-1), "")</f>
        <v/>
      </c>
      <c r="S1574" s="35" t="str" cm="1">
        <f t="array" ref="S1574">_xlfn.TEXTJOIN(", ",TRUE,_xlfn._xlws.FILTER(Tabla29[[#All],[PARTE]],ISNUMBER(SEARCH(Tabla29[[#All],[PCLAVE3]],Tabla8[[#This Row],[DESCRIPCION DE TRABAJO]])),""))</f>
        <v>No Avanza</v>
      </c>
      <c r="T1574" s="88" t="str">
        <f>IF(AND(Tabla8[[#This Row],[PIEZA]]="",Tabla8[[#This Row],[PARTE]]=""),"VACIO","OK")</f>
        <v>VACIO</v>
      </c>
      <c r="U1574" s="633" t="str">
        <f>+CONCATENATE(WEEKNUM(Tabla8[[#This Row],[FECHA]]),"-",YEAR(Tabla8[[#This Row],[FECHA]]))</f>
        <v>23-2026</v>
      </c>
    </row>
    <row r="1575" spans="1:21" ht="15" customHeight="1">
      <c r="A1575" s="22">
        <v>46175</v>
      </c>
      <c r="B1575" s="16" t="s">
        <v>131</v>
      </c>
      <c r="C1575" s="16" t="s">
        <v>36</v>
      </c>
      <c r="D1575" s="381" t="s">
        <v>430</v>
      </c>
      <c r="E1575" s="381" t="s">
        <v>102</v>
      </c>
      <c r="F1575" s="632">
        <f>+MOD(Tabla8[[#This Row],[HR. FIN]]-Tabla8[[#This Row],[HR. INICIO]],1)</f>
        <v>1.3888888888888895E-2</v>
      </c>
      <c r="G1575" s="16" t="s">
        <v>2256</v>
      </c>
      <c r="H1575" s="79" t="str">
        <f>IFERROR(VLOOKUP(G1575,DATOS!$M$2:$N$219,2,FALSE),"")</f>
        <v>Maquinaria</v>
      </c>
      <c r="I1575" s="115" t="s">
        <v>61</v>
      </c>
      <c r="J1575" s="115" t="s">
        <v>92</v>
      </c>
      <c r="K1575" s="115" t="s">
        <v>93</v>
      </c>
      <c r="L1575" s="35" t="s">
        <v>2884</v>
      </c>
      <c r="M1575" s="35" t="s">
        <v>2885</v>
      </c>
      <c r="N1575" s="35" t="str" cm="1">
        <f t="array" ref="N1575">IFERROR(IF(Tabla8[[#This Row],[P/NP]]="NO PROGRAMADA","",_xlfn.TEXTJOIN(", ",TRUE,_xlfn._xlws.FILTER(Tabla4[[#All],[PIEZA]],ISNUMBER(SEARCH(Tabla4[[#All],[PCLAVE]],Tabla8[[#This Row],[DESCRIPCION DE TRABAJO]])),""))),"")</f>
        <v/>
      </c>
      <c r="O1575" s="35" t="str" cm="1">
        <f t="array" ref="O1575">_xlfn.TEXTJOIN(", ",TRUE,_xlfn._xlws.FILTER(Tabla28[[#All],[PARTE]],ISNUMBER(SEARCH(Tabla28[[#All],[PCLAVE2]],Tabla8[[#This Row],[DESCRIPCION DE TRABAJO]])),""))</f>
        <v/>
      </c>
      <c r="P1575" s="633" t="str">
        <f>IFERROR(LEFT(O1575, FIND(",", O1575)-1), O1575)</f>
        <v/>
      </c>
      <c r="Q1575" s="633" t="str">
        <f>IFERROR(IF(ISERROR(FIND(",", O1575, FIND(",", O1575)+1)), RIGHT(O1575, LEN(O1575)-FIND(",", O1575)-1), MID(O1575, FIND(",", O1575)+2, FIND(",", O1575, FIND(",", O1575)+1)-FIND(",", O1575)-2)), "")</f>
        <v/>
      </c>
      <c r="R1575" s="633" t="str">
        <f>IFERROR(RIGHT(O1575, LEN(O1575)-FIND(",", O1575, FIND(",", O1575)+1)-1), "")</f>
        <v/>
      </c>
      <c r="S1575" s="35" t="str" cm="1">
        <f t="array" ref="S1575">_xlfn.TEXTJOIN(", ",TRUE,_xlfn._xlws.FILTER(Tabla29[[#All],[PARTE]],ISNUMBER(SEARCH(Tabla29[[#All],[PCLAVE3]],Tabla8[[#This Row],[DESCRIPCION DE TRABAJO]])),""))</f>
        <v>No Avanza, Carga/descarga</v>
      </c>
      <c r="T1575" s="88" t="str">
        <f>IF(AND(Tabla8[[#This Row],[PIEZA]]="",Tabla8[[#This Row],[PARTE]]=""),"VACIO","OK")</f>
        <v>VACIO</v>
      </c>
      <c r="U1575" s="633" t="str">
        <f>+CONCATENATE(WEEKNUM(Tabla8[[#This Row],[FECHA]]),"-",YEAR(Tabla8[[#This Row],[FECHA]]))</f>
        <v>23-2026</v>
      </c>
    </row>
    <row r="1576" spans="1:21" ht="15" customHeight="1">
      <c r="A1576" s="22">
        <v>46175</v>
      </c>
      <c r="B1576" s="16" t="s">
        <v>131</v>
      </c>
      <c r="C1576" s="16" t="s">
        <v>36</v>
      </c>
      <c r="D1576" s="381" t="s">
        <v>495</v>
      </c>
      <c r="E1576" s="381" t="s">
        <v>556</v>
      </c>
      <c r="F1576" s="632">
        <f>+MOD(Tabla8[[#This Row],[HR. FIN]]-Tabla8[[#This Row],[HR. INICIO]],1)</f>
        <v>1.3888888888888895E-2</v>
      </c>
      <c r="G1576" s="16" t="s">
        <v>119</v>
      </c>
      <c r="H1576" s="79" t="str">
        <f>IFERROR(VLOOKUP(G1576,DATOS!$M$2:$N$219,2,FALSE),"")</f>
        <v>Maquinaria</v>
      </c>
      <c r="I1576" s="115" t="s">
        <v>390</v>
      </c>
      <c r="J1576" s="115" t="s">
        <v>157</v>
      </c>
      <c r="K1576" s="115"/>
      <c r="L1576" s="35" t="s">
        <v>2886</v>
      </c>
      <c r="M1576" s="35" t="s">
        <v>121</v>
      </c>
      <c r="N1576" s="35" t="str" cm="1">
        <f t="array" ref="N1576">IFERROR(IF(Tabla8[[#This Row],[P/NP]]="NO PROGRAMADA","",_xlfn.TEXTJOIN(", ",TRUE,_xlfn._xlws.FILTER(Tabla4[[#All],[PIEZA]],ISNUMBER(SEARCH(Tabla4[[#All],[PCLAVE]],Tabla8[[#This Row],[DESCRIPCION DE TRABAJO]])),""))),"")</f>
        <v/>
      </c>
      <c r="O1576" s="35" t="str" cm="1">
        <f t="array" ref="O1576">_xlfn.TEXTJOIN(", ",TRUE,_xlfn._xlws.FILTER(Tabla28[[#All],[PARTE]],ISNUMBER(SEARCH(Tabla28[[#All],[PCLAVE2]],Tabla8[[#This Row],[DESCRIPCION DE TRABAJO]])),""))</f>
        <v/>
      </c>
      <c r="P1576" s="633" t="str">
        <f>IFERROR(LEFT(O1576, FIND(",", O1576)-1), O1576)</f>
        <v/>
      </c>
      <c r="Q1576" s="633" t="str">
        <f>IFERROR(IF(ISERROR(FIND(",", O1576, FIND(",", O1576)+1)), RIGHT(O1576, LEN(O1576)-FIND(",", O1576)-1), MID(O1576, FIND(",", O1576)+2, FIND(",", O1576, FIND(",", O1576)+1)-FIND(",", O1576)-2)), "")</f>
        <v/>
      </c>
      <c r="R1576" s="633" t="str">
        <f>IFERROR(RIGHT(O1576, LEN(O1576)-FIND(",", O1576, FIND(",", O1576)+1)-1), "")</f>
        <v/>
      </c>
      <c r="S1576" s="35" t="str" cm="1">
        <f t="array" ref="S1576">_xlfn.TEXTJOIN(", ",TRUE,_xlfn._xlws.FILTER(Tabla29[[#All],[PARTE]],ISNUMBER(SEARCH(Tabla29[[#All],[PCLAVE3]],Tabla8[[#This Row],[DESCRIPCION DE TRABAJO]])),""))</f>
        <v>Temperatura</v>
      </c>
      <c r="T1576" s="88" t="str">
        <f>IF(AND(Tabla8[[#This Row],[PIEZA]]="",Tabla8[[#This Row],[PARTE]]=""),"VACIO","OK")</f>
        <v>VACIO</v>
      </c>
      <c r="U1576" s="633" t="str">
        <f>+CONCATENATE(WEEKNUM(Tabla8[[#This Row],[FECHA]]),"-",YEAR(Tabla8[[#This Row],[FECHA]]))</f>
        <v>23-2026</v>
      </c>
    </row>
    <row r="1577" spans="1:21" ht="15" customHeight="1">
      <c r="A1577" s="22">
        <v>46175</v>
      </c>
      <c r="B1577" s="16" t="s">
        <v>111</v>
      </c>
      <c r="C1577" s="16" t="s">
        <v>39</v>
      </c>
      <c r="D1577" s="381" t="s">
        <v>422</v>
      </c>
      <c r="E1577" s="381" t="s">
        <v>1271</v>
      </c>
      <c r="F1577" s="632">
        <f>+MOD(Tabla8[[#This Row],[HR. FIN]]-Tabla8[[#This Row],[HR. INICIO]],1)</f>
        <v>1.3194444444444398E-2</v>
      </c>
      <c r="G1577" s="16" t="s">
        <v>119</v>
      </c>
      <c r="H1577" s="79" t="str">
        <f>IFERROR(VLOOKUP(G1577,DATOS!$M$2:$N$219,2,FALSE),"")</f>
        <v>Maquinaria</v>
      </c>
      <c r="I1577" s="115" t="s">
        <v>54</v>
      </c>
      <c r="J1577" s="115" t="s">
        <v>157</v>
      </c>
      <c r="K1577" s="115"/>
      <c r="L1577" s="35" t="s">
        <v>489</v>
      </c>
      <c r="M1577" s="35" t="s">
        <v>121</v>
      </c>
      <c r="N1577" s="35" t="str" cm="1">
        <f t="array" ref="N1577">IFERROR(IF(Tabla8[[#This Row],[P/NP]]="NO PROGRAMADA","",_xlfn.TEXTJOIN(", ",TRUE,_xlfn._xlws.FILTER(Tabla4[[#All],[PIEZA]],ISNUMBER(SEARCH(Tabla4[[#All],[PCLAVE]],Tabla8[[#This Row],[DESCRIPCION DE TRABAJO]])),""))),"")</f>
        <v/>
      </c>
      <c r="O1577" s="35" t="str" cm="1">
        <f t="array" ref="O1577">_xlfn.TEXTJOIN(", ",TRUE,_xlfn._xlws.FILTER(Tabla28[[#All],[PARTE]],ISNUMBER(SEARCH(Tabla28[[#All],[PCLAVE2]],Tabla8[[#This Row],[DESCRIPCION DE TRABAJO]])),""))</f>
        <v>Temperadora</v>
      </c>
      <c r="P1577" s="633" t="str">
        <f>IFERROR(LEFT(O1577, FIND(",", O1577)-1), O1577)</f>
        <v>Temperadora</v>
      </c>
      <c r="Q1577" s="633" t="str">
        <f>IFERROR(IF(ISERROR(FIND(",", O1577, FIND(",", O1577)+1)), RIGHT(O1577, LEN(O1577)-FIND(",", O1577)-1), MID(O1577, FIND(",", O1577)+2, FIND(",", O1577, FIND(",", O1577)+1)-FIND(",", O1577)-2)), "")</f>
        <v/>
      </c>
      <c r="R1577" s="633" t="str">
        <f>IFERROR(RIGHT(O1577, LEN(O1577)-FIND(",", O1577, FIND(",", O1577)+1)-1), "")</f>
        <v/>
      </c>
      <c r="S1577" s="35" t="str" cm="1">
        <f t="array" ref="S1577">_xlfn.TEXTJOIN(", ",TRUE,_xlfn._xlws.FILTER(Tabla29[[#All],[PARTE]],ISNUMBER(SEARCH(Tabla29[[#All],[PCLAVE3]],Tabla8[[#This Row],[DESCRIPCION DE TRABAJO]])),""))</f>
        <v/>
      </c>
      <c r="T1577" s="88" t="str">
        <f>IF(AND(Tabla8[[#This Row],[PIEZA]]="",Tabla8[[#This Row],[PARTE]]=""),"VACIO","OK")</f>
        <v>OK</v>
      </c>
      <c r="U1577" s="633" t="str">
        <f>+CONCATENATE(WEEKNUM(Tabla8[[#This Row],[FECHA]]),"-",YEAR(Tabla8[[#This Row],[FECHA]]))</f>
        <v>23-2026</v>
      </c>
    </row>
    <row r="1578" spans="1:21" ht="15" customHeight="1">
      <c r="A1578" s="22">
        <v>46175</v>
      </c>
      <c r="B1578" s="16" t="s">
        <v>131</v>
      </c>
      <c r="C1578" s="16" t="s">
        <v>36</v>
      </c>
      <c r="D1578" s="381" t="s">
        <v>1496</v>
      </c>
      <c r="E1578" s="381" t="s">
        <v>123</v>
      </c>
      <c r="F1578" s="632">
        <f>+MOD(Tabla8[[#This Row],[HR. FIN]]-Tabla8[[#This Row],[HR. INICIO]],1)</f>
        <v>1.0416666666666685E-2</v>
      </c>
      <c r="G1578" s="16" t="s">
        <v>1892</v>
      </c>
      <c r="H1578" s="79" t="str">
        <f>IFERROR(VLOOKUP(G1578,DATOS!$M$2:$N$219,2,FALSE),"")</f>
        <v>Maquinaria</v>
      </c>
      <c r="I1578" s="115" t="s">
        <v>32</v>
      </c>
      <c r="J1578" s="115" t="s">
        <v>157</v>
      </c>
      <c r="K1578" s="115"/>
      <c r="L1578" s="35" t="s">
        <v>2887</v>
      </c>
      <c r="M1578" s="35" t="s">
        <v>121</v>
      </c>
      <c r="N1578" s="35" t="str" cm="1">
        <f t="array" ref="N1578">IFERROR(IF(Tabla8[[#This Row],[P/NP]]="NO PROGRAMADA","",_xlfn.TEXTJOIN(", ",TRUE,_xlfn._xlws.FILTER(Tabla4[[#All],[PIEZA]],ISNUMBER(SEARCH(Tabla4[[#All],[PCLAVE]],Tabla8[[#This Row],[DESCRIPCION DE TRABAJO]])),""))),"")</f>
        <v>Cuchilla, Empaque</v>
      </c>
      <c r="O1578" s="35" t="str" cm="1">
        <f t="array" ref="O1578">_xlfn.TEXTJOIN(", ",TRUE,_xlfn._xlws.FILTER(Tabla28[[#All],[PARTE]],ISNUMBER(SEARCH(Tabla28[[#All],[PCLAVE2]],Tabla8[[#This Row],[DESCRIPCION DE TRABAJO]])),""))</f>
        <v/>
      </c>
      <c r="P1578" s="633" t="str">
        <f>IFERROR(LEFT(O1578, FIND(",", O1578)-1), O1578)</f>
        <v/>
      </c>
      <c r="Q1578" s="633" t="str">
        <f>IFERROR(IF(ISERROR(FIND(",", O1578, FIND(",", O1578)+1)), RIGHT(O1578, LEN(O1578)-FIND(",", O1578)-1), MID(O1578, FIND(",", O1578)+2, FIND(",", O1578, FIND(",", O1578)+1)-FIND(",", O1578)-2)), "")</f>
        <v/>
      </c>
      <c r="R1578" s="633" t="str">
        <f>IFERROR(RIGHT(O1578, LEN(O1578)-FIND(",", O1578, FIND(",", O1578)+1)-1), "")</f>
        <v/>
      </c>
      <c r="S1578" s="35" t="str" cm="1">
        <f t="array" ref="S1578">_xlfn.TEXTJOIN(", ",TRUE,_xlfn._xlws.FILTER(Tabla29[[#All],[PARTE]],ISNUMBER(SEARCH(Tabla29[[#All],[PCLAVE3]],Tabla8[[#This Row],[DESCRIPCION DE TRABAJO]])),""))</f>
        <v/>
      </c>
      <c r="T1578" s="88" t="str">
        <f>IF(AND(Tabla8[[#This Row],[PIEZA]]="",Tabla8[[#This Row],[PARTE]]=""),"VACIO","OK")</f>
        <v>OK</v>
      </c>
      <c r="U1578" s="633" t="str">
        <f>+CONCATENATE(WEEKNUM(Tabla8[[#This Row],[FECHA]]),"-",YEAR(Tabla8[[#This Row],[FECHA]]))</f>
        <v>23-2026</v>
      </c>
    </row>
    <row r="1579" spans="1:21" ht="15" customHeight="1">
      <c r="A1579" s="22">
        <v>46175</v>
      </c>
      <c r="B1579" s="16" t="s">
        <v>131</v>
      </c>
      <c r="C1579" s="16" t="s">
        <v>36</v>
      </c>
      <c r="D1579" s="381" t="s">
        <v>445</v>
      </c>
      <c r="E1579" s="381" t="s">
        <v>927</v>
      </c>
      <c r="F1579" s="632">
        <f>+MOD(Tabla8[[#This Row],[HR. FIN]]-Tabla8[[#This Row],[HR. INICIO]],1)</f>
        <v>9.0277777777778012E-3</v>
      </c>
      <c r="G1579" s="16" t="s">
        <v>1636</v>
      </c>
      <c r="H1579" s="79" t="str">
        <f>IFERROR(VLOOKUP(G1579,DATOS!$M$2:$N$219,2,FALSE),"")</f>
        <v>Maquinaria</v>
      </c>
      <c r="I1579" s="115" t="s">
        <v>57</v>
      </c>
      <c r="J1579" s="115" t="s">
        <v>92</v>
      </c>
      <c r="K1579" s="115" t="s">
        <v>148</v>
      </c>
      <c r="L1579" s="35" t="s">
        <v>2888</v>
      </c>
      <c r="M1579" s="35" t="s">
        <v>2889</v>
      </c>
      <c r="N1579" s="35" t="str" cm="1">
        <f t="array" ref="N1579">IFERROR(IF(Tabla8[[#This Row],[P/NP]]="NO PROGRAMADA","",_xlfn.TEXTJOIN(", ",TRUE,_xlfn._xlws.FILTER(Tabla4[[#All],[PIEZA]],ISNUMBER(SEARCH(Tabla4[[#All],[PCLAVE]],Tabla8[[#This Row],[DESCRIPCION DE TRABAJO]])),""))),"")</f>
        <v/>
      </c>
      <c r="O1579" s="35" t="str" cm="1">
        <f t="array" ref="O1579">_xlfn.TEXTJOIN(", ",TRUE,_xlfn._xlws.FILTER(Tabla28[[#All],[PARTE]],ISNUMBER(SEARCH(Tabla28[[#All],[PCLAVE2]],Tabla8[[#This Row],[DESCRIPCION DE TRABAJO]])),""))</f>
        <v>Columna</v>
      </c>
      <c r="P1579" s="633" t="str">
        <f>IFERROR(LEFT(O1579, FIND(",", O1579)-1), O1579)</f>
        <v>Columna</v>
      </c>
      <c r="Q1579" s="633" t="str">
        <f>IFERROR(IF(ISERROR(FIND(",", O1579, FIND(",", O1579)+1)), RIGHT(O1579, LEN(O1579)-FIND(",", O1579)-1), MID(O1579, FIND(",", O1579)+2, FIND(",", O1579, FIND(",", O1579)+1)-FIND(",", O1579)-2)), "")</f>
        <v/>
      </c>
      <c r="R1579" s="633" t="str">
        <f>IFERROR(RIGHT(O1579, LEN(O1579)-FIND(",", O1579, FIND(",", O1579)+1)-1), "")</f>
        <v/>
      </c>
      <c r="S1579" s="35" t="str" cm="1">
        <f t="array" ref="S1579">_xlfn.TEXTJOIN(", ",TRUE,_xlfn._xlws.FILTER(Tabla29[[#All],[PARTE]],ISNUMBER(SEARCH(Tabla29[[#All],[PCLAVE3]],Tabla8[[#This Row],[DESCRIPCION DE TRABAJO]])),""))</f>
        <v>No Cae Producto, Rotura</v>
      </c>
      <c r="T1579" s="88" t="str">
        <f>IF(AND(Tabla8[[#This Row],[PIEZA]]="",Tabla8[[#This Row],[PARTE]]=""),"VACIO","OK")</f>
        <v>OK</v>
      </c>
      <c r="U1579" s="633" t="str">
        <f>+CONCATENATE(WEEKNUM(Tabla8[[#This Row],[FECHA]]),"-",YEAR(Tabla8[[#This Row],[FECHA]]))</f>
        <v>23-2026</v>
      </c>
    </row>
    <row r="1580" spans="1:21" ht="15" customHeight="1">
      <c r="A1580" s="22">
        <v>46175</v>
      </c>
      <c r="B1580" s="16" t="s">
        <v>111</v>
      </c>
      <c r="C1580" s="16" t="s">
        <v>39</v>
      </c>
      <c r="D1580" s="381" t="s">
        <v>1662</v>
      </c>
      <c r="E1580" s="381" t="s">
        <v>873</v>
      </c>
      <c r="F1580" s="632">
        <f>+MOD(Tabla8[[#This Row],[HR. FIN]]-Tabla8[[#This Row],[HR. INICIO]],1)</f>
        <v>6.9444444444444475E-3</v>
      </c>
      <c r="G1580" s="16" t="s">
        <v>552</v>
      </c>
      <c r="H1580" s="79" t="str">
        <f>IFERROR(VLOOKUP(G1580,DATOS!$M$2:$N$219,2,FALSE),"")</f>
        <v>Maquinaria</v>
      </c>
      <c r="I1580" s="115" t="s">
        <v>54</v>
      </c>
      <c r="J1580" s="115" t="s">
        <v>157</v>
      </c>
      <c r="K1580" s="115"/>
      <c r="L1580" s="35" t="s">
        <v>225</v>
      </c>
      <c r="M1580" s="35" t="s">
        <v>121</v>
      </c>
      <c r="N1580" s="35" t="str" cm="1">
        <f t="array" ref="N1580">IFERROR(IF(Tabla8[[#This Row],[P/NP]]="NO PROGRAMADA","",_xlfn.TEXTJOIN(", ",TRUE,_xlfn._xlws.FILTER(Tabla4[[#All],[PIEZA]],ISNUMBER(SEARCH(Tabla4[[#All],[PCLAVE]],Tabla8[[#This Row],[DESCRIPCION DE TRABAJO]])),""))),"")</f>
        <v/>
      </c>
      <c r="O1580" s="35" t="str" cm="1">
        <f t="array" ref="O1580">_xlfn.TEXTJOIN(", ",TRUE,_xlfn._xlws.FILTER(Tabla28[[#All],[PARTE]],ISNUMBER(SEARCH(Tabla28[[#All],[PCLAVE2]],Tabla8[[#This Row],[DESCRIPCION DE TRABAJO]])),""))</f>
        <v/>
      </c>
      <c r="P1580" s="633" t="str">
        <f>IFERROR(LEFT(O1580, FIND(",", O1580)-1), O1580)</f>
        <v/>
      </c>
      <c r="Q1580" s="633" t="str">
        <f>IFERROR(IF(ISERROR(FIND(",", O1580, FIND(",", O1580)+1)), RIGHT(O1580, LEN(O1580)-FIND(",", O1580)-1), MID(O1580, FIND(",", O1580)+2, FIND(",", O1580, FIND(",", O1580)+1)-FIND(",", O1580)-2)), "")</f>
        <v/>
      </c>
      <c r="R1580" s="633" t="str">
        <f>IFERROR(RIGHT(O1580, LEN(O1580)-FIND(",", O1580, FIND(",", O1580)+1)-1), "")</f>
        <v/>
      </c>
      <c r="S1580" s="35" t="str" cm="1">
        <f t="array" ref="S1580">_xlfn.TEXTJOIN(", ",TRUE,_xlfn._xlws.FILTER(Tabla29[[#All],[PARTE]],ISNUMBER(SEARCH(Tabla29[[#All],[PCLAVE3]],Tabla8[[#This Row],[DESCRIPCION DE TRABAJO]])),""))</f>
        <v/>
      </c>
      <c r="T1580" s="88" t="str">
        <f>IF(AND(Tabla8[[#This Row],[PIEZA]]="",Tabla8[[#This Row],[PARTE]]=""),"VACIO","OK")</f>
        <v>VACIO</v>
      </c>
      <c r="U1580" s="633" t="str">
        <f>+CONCATENATE(WEEKNUM(Tabla8[[#This Row],[FECHA]]),"-",YEAR(Tabla8[[#This Row],[FECHA]]))</f>
        <v>23-2026</v>
      </c>
    </row>
    <row r="1581" spans="1:21" ht="15" customHeight="1">
      <c r="A1581" s="22">
        <v>46175</v>
      </c>
      <c r="B1581" s="16" t="s">
        <v>111</v>
      </c>
      <c r="C1581" s="16" t="s">
        <v>39</v>
      </c>
      <c r="D1581" s="381" t="s">
        <v>316</v>
      </c>
      <c r="E1581" s="381" t="s">
        <v>2890</v>
      </c>
      <c r="F1581" s="632">
        <f>+MOD(Tabla8[[#This Row],[HR. FIN]]-Tabla8[[#This Row],[HR. INICIO]],1)</f>
        <v>6.9444444444444475E-3</v>
      </c>
      <c r="G1581" s="16" t="s">
        <v>1436</v>
      </c>
      <c r="H1581" s="79" t="str">
        <f>IFERROR(VLOOKUP(G1581,DATOS!$M$2:$N$219,2,FALSE),"")</f>
        <v/>
      </c>
      <c r="I1581" s="115" t="s">
        <v>57</v>
      </c>
      <c r="J1581" s="115" t="s">
        <v>92</v>
      </c>
      <c r="K1581" s="115" t="s">
        <v>93</v>
      </c>
      <c r="L1581" s="35" t="s">
        <v>2891</v>
      </c>
      <c r="M1581" s="35" t="s">
        <v>2892</v>
      </c>
      <c r="N1581" s="35" t="str" cm="1">
        <f t="array" ref="N1581">IFERROR(IF(Tabla8[[#This Row],[P/NP]]="NO PROGRAMADA","",_xlfn.TEXTJOIN(", ",TRUE,_xlfn._xlws.FILTER(Tabla4[[#All],[PIEZA]],ISNUMBER(SEARCH(Tabla4[[#All],[PCLAVE]],Tabla8[[#This Row],[DESCRIPCION DE TRABAJO]])),""))),"")</f>
        <v/>
      </c>
      <c r="O1581" s="35" t="str" cm="1">
        <f t="array" ref="O1581">_xlfn.TEXTJOIN(", ",TRUE,_xlfn._xlws.FILTER(Tabla28[[#All],[PARTE]],ISNUMBER(SEARCH(Tabla28[[#All],[PCLAVE2]],Tabla8[[#This Row],[DESCRIPCION DE TRABAJO]])),""))</f>
        <v/>
      </c>
      <c r="P1581" s="633" t="str">
        <f>IFERROR(LEFT(O1581, FIND(",", O1581)-1), O1581)</f>
        <v/>
      </c>
      <c r="Q1581" s="633" t="str">
        <f>IFERROR(IF(ISERROR(FIND(",", O1581, FIND(",", O1581)+1)), RIGHT(O1581, LEN(O1581)-FIND(",", O1581)-1), MID(O1581, FIND(",", O1581)+2, FIND(",", O1581, FIND(",", O1581)+1)-FIND(",", O1581)-2)), "")</f>
        <v/>
      </c>
      <c r="R1581" s="633" t="str">
        <f>IFERROR(RIGHT(O1581, LEN(O1581)-FIND(",", O1581, FIND(",", O1581)+1)-1), "")</f>
        <v/>
      </c>
      <c r="S1581" s="35" t="str" cm="1">
        <f t="array" ref="S1581">_xlfn.TEXTJOIN(", ",TRUE,_xlfn._xlws.FILTER(Tabla29[[#All],[PARTE]],ISNUMBER(SEARCH(Tabla29[[#All],[PCLAVE3]],Tabla8[[#This Row],[DESCRIPCION DE TRABAJO]])),""))</f>
        <v>No Corta</v>
      </c>
      <c r="T1581" s="88" t="str">
        <f>IF(AND(Tabla8[[#This Row],[PIEZA]]="",Tabla8[[#This Row],[PARTE]]=""),"VACIO","OK")</f>
        <v>VACIO</v>
      </c>
      <c r="U1581" s="633" t="str">
        <f>+CONCATENATE(WEEKNUM(Tabla8[[#This Row],[FECHA]]),"-",YEAR(Tabla8[[#This Row],[FECHA]]))</f>
        <v>23-2026</v>
      </c>
    </row>
    <row r="1582" spans="1:21" ht="15" customHeight="1">
      <c r="A1582" s="22">
        <v>46175</v>
      </c>
      <c r="B1582" s="16" t="s">
        <v>131</v>
      </c>
      <c r="C1582" s="16" t="s">
        <v>36</v>
      </c>
      <c r="D1582" s="381" t="s">
        <v>556</v>
      </c>
      <c r="E1582" s="381" t="s">
        <v>1592</v>
      </c>
      <c r="F1582" s="632">
        <f>+MOD(Tabla8[[#This Row],[HR. FIN]]-Tabla8[[#This Row],[HR. INICIO]],1)</f>
        <v>6.9444444444444198E-3</v>
      </c>
      <c r="G1582" s="16" t="s">
        <v>270</v>
      </c>
      <c r="H1582" s="79" t="str">
        <f>IFERROR(VLOOKUP(G1582,DATOS!$M$2:$N$219,2,FALSE),"")</f>
        <v>Maquinaria</v>
      </c>
      <c r="I1582" s="115" t="s">
        <v>57</v>
      </c>
      <c r="J1582" s="115" t="s">
        <v>92</v>
      </c>
      <c r="K1582" s="115" t="s">
        <v>148</v>
      </c>
      <c r="L1582" s="35" t="s">
        <v>2893</v>
      </c>
      <c r="M1582" s="35" t="s">
        <v>2894</v>
      </c>
      <c r="N1582" s="35" t="str" cm="1">
        <f t="array" ref="N1582">IFERROR(IF(Tabla8[[#This Row],[P/NP]]="NO PROGRAMADA","",_xlfn.TEXTJOIN(", ",TRUE,_xlfn._xlws.FILTER(Tabla4[[#All],[PIEZA]],ISNUMBER(SEARCH(Tabla4[[#All],[PCLAVE]],Tabla8[[#This Row],[DESCRIPCION DE TRABAJO]])),""))),"")</f>
        <v/>
      </c>
      <c r="O1582" s="35" t="str" cm="1">
        <f t="array" ref="O1582">_xlfn.TEXTJOIN(", ",TRUE,_xlfn._xlws.FILTER(Tabla28[[#All],[PARTE]],ISNUMBER(SEARCH(Tabla28[[#All],[PCLAVE2]],Tabla8[[#This Row],[DESCRIPCION DE TRABAJO]])),""))</f>
        <v/>
      </c>
      <c r="P1582" s="633" t="str">
        <f>IFERROR(LEFT(O1582, FIND(",", O1582)-1), O1582)</f>
        <v/>
      </c>
      <c r="Q1582" s="633" t="str">
        <f>IFERROR(IF(ISERROR(FIND(",", O1582, FIND(",", O1582)+1)), RIGHT(O1582, LEN(O1582)-FIND(",", O1582)-1), MID(O1582, FIND(",", O1582)+2, FIND(",", O1582, FIND(",", O1582)+1)-FIND(",", O1582)-2)), "")</f>
        <v/>
      </c>
      <c r="R1582" s="633" t="str">
        <f>IFERROR(RIGHT(O1582, LEN(O1582)-FIND(",", O1582, FIND(",", O1582)+1)-1), "")</f>
        <v/>
      </c>
      <c r="S1582" s="35" t="str" cm="1">
        <f t="array" ref="S1582">_xlfn.TEXTJOIN(", ",TRUE,_xlfn._xlws.FILTER(Tabla29[[#All],[PARTE]],ISNUMBER(SEARCH(Tabla29[[#All],[PCLAVE3]],Tabla8[[#This Row],[DESCRIPCION DE TRABAJO]])),""))</f>
        <v>Error, Fuera De Posicion, Fuera De Tiempo</v>
      </c>
      <c r="T1582" s="88" t="str">
        <f>IF(AND(Tabla8[[#This Row],[PIEZA]]="",Tabla8[[#This Row],[PARTE]]=""),"VACIO","OK")</f>
        <v>VACIO</v>
      </c>
      <c r="U1582" s="633" t="str">
        <f>+CONCATENATE(WEEKNUM(Tabla8[[#This Row],[FECHA]]),"-",YEAR(Tabla8[[#This Row],[FECHA]]))</f>
        <v>23-2026</v>
      </c>
    </row>
    <row r="1583" spans="1:21" ht="15" customHeight="1">
      <c r="A1583" s="22">
        <v>46176</v>
      </c>
      <c r="B1583" s="16" t="s">
        <v>88</v>
      </c>
      <c r="C1583" s="16" t="s">
        <v>36</v>
      </c>
      <c r="D1583" s="381" t="s">
        <v>556</v>
      </c>
      <c r="E1583" s="381" t="s">
        <v>670</v>
      </c>
      <c r="F1583" s="632">
        <f>+MOD(Tabla8[[#This Row],[HR. FIN]]-Tabla8[[#This Row],[HR. INICIO]],1)</f>
        <v>6.25E-2</v>
      </c>
      <c r="G1583" s="16" t="s">
        <v>182</v>
      </c>
      <c r="H1583" s="79" t="str">
        <f>IFERROR(VLOOKUP(G1583,DATOS!$M$2:$N$219,2,FALSE),"")</f>
        <v>Maquinaria</v>
      </c>
      <c r="I1583" s="115" t="s">
        <v>32</v>
      </c>
      <c r="J1583" s="115" t="s">
        <v>157</v>
      </c>
      <c r="K1583" s="115"/>
      <c r="L1583" s="35" t="s">
        <v>754</v>
      </c>
      <c r="M1583" s="35" t="s">
        <v>2895</v>
      </c>
      <c r="N1583" s="35" t="str" cm="1">
        <f t="array" ref="N1583">IFERROR(IF(Tabla8[[#This Row],[P/NP]]="NO PROGRAMADA","",_xlfn.TEXTJOIN(", ",TRUE,_xlfn._xlws.FILTER(Tabla4[[#All],[PIEZA]],ISNUMBER(SEARCH(Tabla4[[#All],[PCLAVE]],Tabla8[[#This Row],[DESCRIPCION DE TRABAJO]])),""))),"")</f>
        <v/>
      </c>
      <c r="O1583" s="35" t="str" cm="1">
        <f t="array" ref="O1583">_xlfn.TEXTJOIN(", ",TRUE,_xlfn._xlws.FILTER(Tabla28[[#All],[PARTE]],ISNUMBER(SEARCH(Tabla28[[#All],[PCLAVE2]],Tabla8[[#This Row],[DESCRIPCION DE TRABAJO]])),""))</f>
        <v/>
      </c>
      <c r="P1583" s="633" t="str">
        <f>IFERROR(LEFT(O1583, FIND(",", O1583)-1), O1583)</f>
        <v/>
      </c>
      <c r="Q1583" s="633" t="str">
        <f>IFERROR(IF(ISERROR(FIND(",", O1583, FIND(",", O1583)+1)), RIGHT(O1583, LEN(O1583)-FIND(",", O1583)-1), MID(O1583, FIND(",", O1583)+2, FIND(",", O1583, FIND(",", O1583)+1)-FIND(",", O1583)-2)), "")</f>
        <v/>
      </c>
      <c r="R1583" s="633" t="str">
        <f>IFERROR(RIGHT(O1583, LEN(O1583)-FIND(",", O1583, FIND(",", O1583)+1)-1), "")</f>
        <v/>
      </c>
      <c r="S1583" s="35" t="str" cm="1">
        <f t="array" ref="S1583">_xlfn.TEXTJOIN(", ",TRUE,_xlfn._xlws.FILTER(Tabla29[[#All],[PARTE]],ISNUMBER(SEARCH(Tabla29[[#All],[PCLAVE3]],Tabla8[[#This Row],[DESCRIPCION DE TRABAJO]])),""))</f>
        <v>Cambio De Formato</v>
      </c>
      <c r="T1583" s="88" t="str">
        <f>IF(AND(Tabla8[[#This Row],[PIEZA]]="",Tabla8[[#This Row],[PARTE]]=""),"VACIO","OK")</f>
        <v>VACIO</v>
      </c>
      <c r="U1583" s="633" t="str">
        <f>+CONCATENATE(WEEKNUM(Tabla8[[#This Row],[FECHA]]),"-",YEAR(Tabla8[[#This Row],[FECHA]]))</f>
        <v>23-2026</v>
      </c>
    </row>
    <row r="1584" spans="1:21" ht="15" customHeight="1">
      <c r="A1584" s="22">
        <v>46176</v>
      </c>
      <c r="B1584" s="16" t="s">
        <v>111</v>
      </c>
      <c r="C1584" s="16" t="s">
        <v>39</v>
      </c>
      <c r="D1584" s="381" t="s">
        <v>660</v>
      </c>
      <c r="E1584" s="381" t="s">
        <v>1117</v>
      </c>
      <c r="F1584" s="632">
        <f>+MOD(Tabla8[[#This Row],[HR. FIN]]-Tabla8[[#This Row],[HR. INICIO]],1)</f>
        <v>5.902777777777779E-2</v>
      </c>
      <c r="G1584" s="16" t="s">
        <v>182</v>
      </c>
      <c r="H1584" s="79" t="str">
        <f>IFERROR(VLOOKUP(G1584,DATOS!$M$2:$N$219,2,FALSE),"")</f>
        <v>Maquinaria</v>
      </c>
      <c r="I1584" s="115" t="s">
        <v>32</v>
      </c>
      <c r="J1584" s="115" t="s">
        <v>157</v>
      </c>
      <c r="K1584" s="115"/>
      <c r="L1584" s="35" t="s">
        <v>2896</v>
      </c>
      <c r="M1584" s="35" t="s">
        <v>121</v>
      </c>
      <c r="N1584" s="35" t="str" cm="1">
        <f t="array" ref="N1584">IFERROR(IF(Tabla8[[#This Row],[P/NP]]="NO PROGRAMADA","",_xlfn.TEXTJOIN(", ",TRUE,_xlfn._xlws.FILTER(Tabla4[[#All],[PIEZA]],ISNUMBER(SEARCH(Tabla4[[#All],[PCLAVE]],Tabla8[[#This Row],[DESCRIPCION DE TRABAJO]])),""))),"")</f>
        <v/>
      </c>
      <c r="O1584" s="35" t="str" cm="1">
        <f t="array" ref="O1584">_xlfn.TEXTJOIN(", ",TRUE,_xlfn._xlws.FILTER(Tabla28[[#All],[PARTE]],ISNUMBER(SEARCH(Tabla28[[#All],[PCLAVE2]],Tabla8[[#This Row],[DESCRIPCION DE TRABAJO]])),""))</f>
        <v/>
      </c>
      <c r="P1584" s="633" t="str">
        <f>IFERROR(LEFT(O1584, FIND(",", O1584)-1), O1584)</f>
        <v/>
      </c>
      <c r="Q1584" s="633" t="str">
        <f>IFERROR(IF(ISERROR(FIND(",", O1584, FIND(",", O1584)+1)), RIGHT(O1584, LEN(O1584)-FIND(",", O1584)-1), MID(O1584, FIND(",", O1584)+2, FIND(",", O1584, FIND(",", O1584)+1)-FIND(",", O1584)-2)), "")</f>
        <v/>
      </c>
      <c r="R1584" s="633" t="str">
        <f>IFERROR(RIGHT(O1584, LEN(O1584)-FIND(",", O1584, FIND(",", O1584)+1)-1), "")</f>
        <v/>
      </c>
      <c r="S1584" s="35" t="str" cm="1">
        <f t="array" ref="S1584">_xlfn.TEXTJOIN(", ",TRUE,_xlfn._xlws.FILTER(Tabla29[[#All],[PARTE]],ISNUMBER(SEARCH(Tabla29[[#All],[PCLAVE3]],Tabla8[[#This Row],[DESCRIPCION DE TRABAJO]])),""))</f>
        <v>Cambio De Formato</v>
      </c>
      <c r="T1584" s="88" t="str">
        <f>IF(AND(Tabla8[[#This Row],[PIEZA]]="",Tabla8[[#This Row],[PARTE]]=""),"VACIO","OK")</f>
        <v>VACIO</v>
      </c>
      <c r="U1584" s="633" t="str">
        <f>+CONCATENATE(WEEKNUM(Tabla8[[#This Row],[FECHA]]),"-",YEAR(Tabla8[[#This Row],[FECHA]]))</f>
        <v>23-2026</v>
      </c>
    </row>
    <row r="1585" spans="1:21" ht="15" customHeight="1">
      <c r="A1585" s="22">
        <v>46176</v>
      </c>
      <c r="B1585" s="16" t="s">
        <v>88</v>
      </c>
      <c r="C1585" s="16" t="s">
        <v>36</v>
      </c>
      <c r="D1585" s="381" t="s">
        <v>126</v>
      </c>
      <c r="E1585" s="381" t="s">
        <v>89</v>
      </c>
      <c r="F1585" s="632">
        <f>+MOD(Tabla8[[#This Row],[HR. FIN]]-Tabla8[[#This Row],[HR. INICIO]],1)</f>
        <v>4.1666666666666685E-2</v>
      </c>
      <c r="G1585" s="16" t="s">
        <v>119</v>
      </c>
      <c r="H1585" s="79" t="str">
        <f>IFERROR(VLOOKUP(G1585,DATOS!$M$2:$N$219,2,FALSE),"")</f>
        <v>Maquinaria</v>
      </c>
      <c r="I1585" s="115" t="s">
        <v>54</v>
      </c>
      <c r="J1585" s="115" t="s">
        <v>157</v>
      </c>
      <c r="K1585" s="115"/>
      <c r="L1585" s="35" t="s">
        <v>2897</v>
      </c>
      <c r="M1585" s="35" t="s">
        <v>2898</v>
      </c>
      <c r="N1585" s="35" t="str" cm="1">
        <f t="array" ref="N1585">IFERROR(IF(Tabla8[[#This Row],[P/NP]]="NO PROGRAMADA","",_xlfn.TEXTJOIN(", ",TRUE,_xlfn._xlws.FILTER(Tabla4[[#All],[PIEZA]],ISNUMBER(SEARCH(Tabla4[[#All],[PCLAVE]],Tabla8[[#This Row],[DESCRIPCION DE TRABAJO]])),""))),"")</f>
        <v/>
      </c>
      <c r="O1585" s="35" t="str" cm="1">
        <f t="array" ref="O1585">_xlfn.TEXTJOIN(", ",TRUE,_xlfn._xlws.FILTER(Tabla28[[#All],[PARTE]],ISNUMBER(SEARCH(Tabla28[[#All],[PCLAVE2]],Tabla8[[#This Row],[DESCRIPCION DE TRABAJO]])),""))</f>
        <v>Extension</v>
      </c>
      <c r="P1585" s="633" t="str">
        <f>IFERROR(LEFT(O1585, FIND(",", O1585)-1), O1585)</f>
        <v>Extension</v>
      </c>
      <c r="Q1585" s="633" t="str">
        <f>IFERROR(IF(ISERROR(FIND(",", O1585, FIND(",", O1585)+1)), RIGHT(O1585, LEN(O1585)-FIND(",", O1585)-1), MID(O1585, FIND(",", O1585)+2, FIND(",", O1585, FIND(",", O1585)+1)-FIND(",", O1585)-2)), "")</f>
        <v/>
      </c>
      <c r="R1585" s="633" t="str">
        <f>IFERROR(RIGHT(O1585, LEN(O1585)-FIND(",", O1585, FIND(",", O1585)+1)-1), "")</f>
        <v/>
      </c>
      <c r="S1585" s="35" t="str" cm="1">
        <f t="array" ref="S1585">_xlfn.TEXTJOIN(", ",TRUE,_xlfn._xlws.FILTER(Tabla29[[#All],[PARTE]],ISNUMBER(SEARCH(Tabla29[[#All],[PCLAVE3]],Tabla8[[#This Row],[DESCRIPCION DE TRABAJO]])),""))</f>
        <v/>
      </c>
      <c r="T1585" s="88" t="str">
        <f>IF(AND(Tabla8[[#This Row],[PIEZA]]="",Tabla8[[#This Row],[PARTE]]=""),"VACIO","OK")</f>
        <v>OK</v>
      </c>
      <c r="U1585" s="633" t="str">
        <f>+CONCATENATE(WEEKNUM(Tabla8[[#This Row],[FECHA]]),"-",YEAR(Tabla8[[#This Row],[FECHA]]))</f>
        <v>23-2026</v>
      </c>
    </row>
    <row r="1586" spans="1:21" ht="15" customHeight="1">
      <c r="A1586" s="22">
        <v>46176</v>
      </c>
      <c r="B1586" s="16" t="s">
        <v>88</v>
      </c>
      <c r="C1586" s="16" t="s">
        <v>36</v>
      </c>
      <c r="D1586" s="381" t="s">
        <v>586</v>
      </c>
      <c r="E1586" s="381" t="s">
        <v>2694</v>
      </c>
      <c r="F1586" s="632">
        <f>+MOD(Tabla8[[#This Row],[HR. FIN]]-Tabla8[[#This Row],[HR. INICIO]],1)</f>
        <v>3.125E-2</v>
      </c>
      <c r="G1586" s="16" t="s">
        <v>2282</v>
      </c>
      <c r="H1586" s="79" t="str">
        <f>IFERROR(VLOOKUP(G1586,DATOS!$M$2:$N$219,2,FALSE),"")</f>
        <v>Area</v>
      </c>
      <c r="I1586" s="115"/>
      <c r="J1586" s="115"/>
      <c r="K1586" s="115"/>
      <c r="L1586" s="35" t="s">
        <v>2283</v>
      </c>
      <c r="M1586" s="35" t="s">
        <v>2283</v>
      </c>
      <c r="N1586" s="35" t="str" cm="1">
        <f t="array" ref="N1586">IFERROR(IF(Tabla8[[#This Row],[P/NP]]="NO PROGRAMADA","",_xlfn.TEXTJOIN(", ",TRUE,_xlfn._xlws.FILTER(Tabla4[[#All],[PIEZA]],ISNUMBER(SEARCH(Tabla4[[#All],[PCLAVE]],Tabla8[[#This Row],[DESCRIPCION DE TRABAJO]])),""))),"")</f>
        <v/>
      </c>
      <c r="O1586" s="35" t="str" cm="1">
        <f t="array" ref="O1586">_xlfn.TEXTJOIN(", ",TRUE,_xlfn._xlws.FILTER(Tabla28[[#All],[PARTE]],ISNUMBER(SEARCH(Tabla28[[#All],[PCLAVE2]],Tabla8[[#This Row],[DESCRIPCION DE TRABAJO]])),""))</f>
        <v/>
      </c>
      <c r="P1586" s="633" t="str">
        <f>IFERROR(LEFT(O1586, FIND(",", O1586)-1), O1586)</f>
        <v/>
      </c>
      <c r="Q1586" s="633" t="str">
        <f>IFERROR(IF(ISERROR(FIND(",", O1586, FIND(",", O1586)+1)), RIGHT(O1586, LEN(O1586)-FIND(",", O1586)-1), MID(O1586, FIND(",", O1586)+2, FIND(",", O1586, FIND(",", O1586)+1)-FIND(",", O1586)-2)), "")</f>
        <v/>
      </c>
      <c r="R1586" s="633" t="str">
        <f>IFERROR(RIGHT(O1586, LEN(O1586)-FIND(",", O1586, FIND(",", O1586)+1)-1), "")</f>
        <v/>
      </c>
      <c r="S1586" s="35" t="str" cm="1">
        <f t="array" ref="S1586">_xlfn.TEXTJOIN(", ",TRUE,_xlfn._xlws.FILTER(Tabla29[[#All],[PARTE]],ISNUMBER(SEARCH(Tabla29[[#All],[PCLAVE3]],Tabla8[[#This Row],[DESCRIPCION DE TRABAJO]])),""))</f>
        <v/>
      </c>
      <c r="T1586" s="88" t="str">
        <f>IF(AND(Tabla8[[#This Row],[PIEZA]]="",Tabla8[[#This Row],[PARTE]]=""),"VACIO","OK")</f>
        <v>VACIO</v>
      </c>
      <c r="U1586" s="633" t="str">
        <f>+CONCATENATE(WEEKNUM(Tabla8[[#This Row],[FECHA]]),"-",YEAR(Tabla8[[#This Row],[FECHA]]))</f>
        <v>23-2026</v>
      </c>
    </row>
    <row r="1587" spans="1:21" ht="15" customHeight="1">
      <c r="A1587" s="22">
        <v>46176</v>
      </c>
      <c r="B1587" s="16" t="s">
        <v>88</v>
      </c>
      <c r="C1587" s="16" t="s">
        <v>36</v>
      </c>
      <c r="D1587" s="381" t="s">
        <v>122</v>
      </c>
      <c r="E1587" s="381" t="s">
        <v>123</v>
      </c>
      <c r="F1587" s="632">
        <f>+MOD(Tabla8[[#This Row],[HR. FIN]]-Tabla8[[#This Row],[HR. INICIO]],1)</f>
        <v>2.083333333333337E-2</v>
      </c>
      <c r="G1587" s="16" t="s">
        <v>2256</v>
      </c>
      <c r="H1587" s="79" t="str">
        <f>IFERROR(VLOOKUP(G1587,DATOS!$M$2:$N$219,2,FALSE),"")</f>
        <v>Maquinaria</v>
      </c>
      <c r="I1587" s="115" t="s">
        <v>61</v>
      </c>
      <c r="J1587" s="115" t="s">
        <v>157</v>
      </c>
      <c r="K1587" s="115"/>
      <c r="L1587" s="35" t="s">
        <v>2899</v>
      </c>
      <c r="M1587" s="35" t="s">
        <v>2900</v>
      </c>
      <c r="N1587" s="35" t="str" cm="1">
        <f t="array" ref="N1587">IFERROR(IF(Tabla8[[#This Row],[P/NP]]="NO PROGRAMADA","",_xlfn.TEXTJOIN(", ",TRUE,_xlfn._xlws.FILTER(Tabla4[[#All],[PIEZA]],ISNUMBER(SEARCH(Tabla4[[#All],[PCLAVE]],Tabla8[[#This Row],[DESCRIPCION DE TRABAJO]])),""))),"")</f>
        <v>Banda, Polin De Arrastre</v>
      </c>
      <c r="O1587" s="35" t="str" cm="1">
        <f t="array" ref="O1587">_xlfn.TEXTJOIN(", ",TRUE,_xlfn._xlws.FILTER(Tabla28[[#All],[PARTE]],ISNUMBER(SEARCH(Tabla28[[#All],[PCLAVE2]],Tabla8[[#This Row],[DESCRIPCION DE TRABAJO]])),""))</f>
        <v/>
      </c>
      <c r="P1587" s="633" t="str">
        <f>IFERROR(LEFT(O1587, FIND(",", O1587)-1), O1587)</f>
        <v/>
      </c>
      <c r="Q1587" s="633" t="str">
        <f>IFERROR(IF(ISERROR(FIND(",", O1587, FIND(",", O1587)+1)), RIGHT(O1587, LEN(O1587)-FIND(",", O1587)-1), MID(O1587, FIND(",", O1587)+2, FIND(",", O1587, FIND(",", O1587)+1)-FIND(",", O1587)-2)), "")</f>
        <v/>
      </c>
      <c r="R1587" s="633" t="str">
        <f>IFERROR(RIGHT(O1587, LEN(O1587)-FIND(",", O1587, FIND(",", O1587)+1)-1), "")</f>
        <v/>
      </c>
      <c r="S1587" s="35" t="str" cm="1">
        <f t="array" ref="S1587">_xlfn.TEXTJOIN(", ",TRUE,_xlfn._xlws.FILTER(Tabla29[[#All],[PARTE]],ISNUMBER(SEARCH(Tabla29[[#All],[PCLAVE3]],Tabla8[[#This Row],[DESCRIPCION DE TRABAJO]])),""))</f>
        <v>Carga/descarga</v>
      </c>
      <c r="T1587" s="88" t="str">
        <f>IF(AND(Tabla8[[#This Row],[PIEZA]]="",Tabla8[[#This Row],[PARTE]]=""),"VACIO","OK")</f>
        <v>OK</v>
      </c>
      <c r="U1587" s="633" t="str">
        <f>+CONCATENATE(WEEKNUM(Tabla8[[#This Row],[FECHA]]),"-",YEAR(Tabla8[[#This Row],[FECHA]]))</f>
        <v>23-2026</v>
      </c>
    </row>
    <row r="1588" spans="1:21" ht="15" customHeight="1">
      <c r="A1588" s="22">
        <v>46176</v>
      </c>
      <c r="B1588" s="16" t="s">
        <v>88</v>
      </c>
      <c r="C1588" s="16" t="s">
        <v>36</v>
      </c>
      <c r="D1588" s="381" t="s">
        <v>101</v>
      </c>
      <c r="E1588" s="381" t="s">
        <v>430</v>
      </c>
      <c r="F1588" s="632">
        <f>+MOD(Tabla8[[#This Row],[HR. FIN]]-Tabla8[[#This Row],[HR. INICIO]],1)</f>
        <v>2.0833333333333343E-2</v>
      </c>
      <c r="G1588" s="16" t="s">
        <v>119</v>
      </c>
      <c r="H1588" s="79" t="str">
        <f>IFERROR(VLOOKUP(G1588,DATOS!$M$2:$N$219,2,FALSE),"")</f>
        <v>Maquinaria</v>
      </c>
      <c r="I1588" s="115" t="s">
        <v>54</v>
      </c>
      <c r="J1588" s="115" t="s">
        <v>157</v>
      </c>
      <c r="K1588" s="115"/>
      <c r="L1588" s="35" t="s">
        <v>1103</v>
      </c>
      <c r="M1588" s="35" t="s">
        <v>2901</v>
      </c>
      <c r="N1588" s="35" t="str" cm="1">
        <f t="array" ref="N1588">IFERROR(IF(Tabla8[[#This Row],[P/NP]]="NO PROGRAMADA","",_xlfn.TEXTJOIN(", ",TRUE,_xlfn._xlws.FILTER(Tabla4[[#All],[PIEZA]],ISNUMBER(SEARCH(Tabla4[[#All],[PCLAVE]],Tabla8[[#This Row],[DESCRIPCION DE TRABAJO]])),""))),"")</f>
        <v/>
      </c>
      <c r="O1588" s="35" t="str" cm="1">
        <f t="array" ref="O1588">_xlfn.TEXTJOIN(", ",TRUE,_xlfn._xlws.FILTER(Tabla28[[#All],[PARTE]],ISNUMBER(SEARCH(Tabla28[[#All],[PCLAVE2]],Tabla8[[#This Row],[DESCRIPCION DE TRABAJO]])),""))</f>
        <v/>
      </c>
      <c r="P1588" s="633" t="str">
        <f>IFERROR(LEFT(O1588, FIND(",", O1588)-1), O1588)</f>
        <v/>
      </c>
      <c r="Q1588" s="633" t="str">
        <f>IFERROR(IF(ISERROR(FIND(",", O1588, FIND(",", O1588)+1)), RIGHT(O1588, LEN(O1588)-FIND(",", O1588)-1), MID(O1588, FIND(",", O1588)+2, FIND(",", O1588, FIND(",", O1588)+1)-FIND(",", O1588)-2)), "")</f>
        <v/>
      </c>
      <c r="R1588" s="633" t="str">
        <f>IFERROR(RIGHT(O1588, LEN(O1588)-FIND(",", O1588, FIND(",", O1588)+1)-1), "")</f>
        <v/>
      </c>
      <c r="S1588" s="35" t="str" cm="1">
        <f t="array" ref="S1588">_xlfn.TEXTJOIN(", ",TRUE,_xlfn._xlws.FILTER(Tabla29[[#All],[PARTE]],ISNUMBER(SEARCH(Tabla29[[#All],[PCLAVE3]],Tabla8[[#This Row],[DESCRIPCION DE TRABAJO]])),""))</f>
        <v/>
      </c>
      <c r="T1588" s="88" t="str">
        <f>IF(AND(Tabla8[[#This Row],[PIEZA]]="",Tabla8[[#This Row],[PARTE]]=""),"VACIO","OK")</f>
        <v>VACIO</v>
      </c>
      <c r="U1588" s="633" t="str">
        <f>+CONCATENATE(WEEKNUM(Tabla8[[#This Row],[FECHA]]),"-",YEAR(Tabla8[[#This Row],[FECHA]]))</f>
        <v>23-2026</v>
      </c>
    </row>
    <row r="1589" spans="1:21" ht="15" customHeight="1">
      <c r="A1589" s="22">
        <v>46176</v>
      </c>
      <c r="B1589" s="16" t="s">
        <v>88</v>
      </c>
      <c r="C1589" s="16" t="s">
        <v>36</v>
      </c>
      <c r="D1589" s="381" t="s">
        <v>468</v>
      </c>
      <c r="E1589" s="381" t="s">
        <v>653</v>
      </c>
      <c r="F1589" s="632">
        <f>+MOD(Tabla8[[#This Row],[HR. FIN]]-Tabla8[[#This Row],[HR. INICIO]],1)</f>
        <v>1.3888888888888951E-2</v>
      </c>
      <c r="G1589" s="16" t="s">
        <v>328</v>
      </c>
      <c r="H1589" s="79" t="str">
        <f>IFERROR(VLOOKUP(G1589,DATOS!$M$2:$N$219,2,FALSE),"")</f>
        <v>Area</v>
      </c>
      <c r="I1589" s="115" t="s">
        <v>25</v>
      </c>
      <c r="J1589" s="115" t="s">
        <v>157</v>
      </c>
      <c r="K1589" s="115"/>
      <c r="L1589" s="35" t="s">
        <v>2902</v>
      </c>
      <c r="M1589" s="35" t="s">
        <v>2903</v>
      </c>
      <c r="N1589" s="35" t="str" cm="1">
        <f t="array" ref="N1589">IFERROR(IF(Tabla8[[#This Row],[P/NP]]="NO PROGRAMADA","",_xlfn.TEXTJOIN(", ",TRUE,_xlfn._xlws.FILTER(Tabla4[[#All],[PIEZA]],ISNUMBER(SEARCH(Tabla4[[#All],[PCLAVE]],Tabla8[[#This Row],[DESCRIPCION DE TRABAJO]])),""))),"")</f>
        <v>Rodillo</v>
      </c>
      <c r="O1589" s="35" t="str" cm="1">
        <f t="array" ref="O1589">_xlfn.TEXTJOIN(", ",TRUE,_xlfn._xlws.FILTER(Tabla28[[#All],[PARTE]],ISNUMBER(SEARCH(Tabla28[[#All],[PCLAVE2]],Tabla8[[#This Row],[DESCRIPCION DE TRABAJO]])),""))</f>
        <v/>
      </c>
      <c r="P1589" s="633" t="str">
        <f>IFERROR(LEFT(O1589, FIND(",", O1589)-1), O1589)</f>
        <v/>
      </c>
      <c r="Q1589" s="633" t="str">
        <f>IFERROR(IF(ISERROR(FIND(",", O1589, FIND(",", O1589)+1)), RIGHT(O1589, LEN(O1589)-FIND(",", O1589)-1), MID(O1589, FIND(",", O1589)+2, FIND(",", O1589, FIND(",", O1589)+1)-FIND(",", O1589)-2)), "")</f>
        <v/>
      </c>
      <c r="R1589" s="633" t="str">
        <f>IFERROR(RIGHT(O1589, LEN(O1589)-FIND(",", O1589, FIND(",", O1589)+1)-1), "")</f>
        <v/>
      </c>
      <c r="S1589" s="35" t="str" cm="1">
        <f t="array" ref="S1589">_xlfn.TEXTJOIN(", ",TRUE,_xlfn._xlws.FILTER(Tabla29[[#All],[PARTE]],ISNUMBER(SEARCH(Tabla29[[#All],[PCLAVE3]],Tabla8[[#This Row],[DESCRIPCION DE TRABAJO]])),""))</f>
        <v>Rotura</v>
      </c>
      <c r="T1589" s="88" t="str">
        <f>IF(AND(Tabla8[[#This Row],[PIEZA]]="",Tabla8[[#This Row],[PARTE]]=""),"VACIO","OK")</f>
        <v>OK</v>
      </c>
      <c r="U1589" s="633" t="str">
        <f>+CONCATENATE(WEEKNUM(Tabla8[[#This Row],[FECHA]]),"-",YEAR(Tabla8[[#This Row],[FECHA]]))</f>
        <v>23-2026</v>
      </c>
    </row>
    <row r="1590" spans="1:21" ht="15" customHeight="1">
      <c r="A1590" s="22">
        <v>46176</v>
      </c>
      <c r="B1590" s="16" t="s">
        <v>131</v>
      </c>
      <c r="C1590" s="16" t="s">
        <v>36</v>
      </c>
      <c r="D1590" s="381" t="s">
        <v>430</v>
      </c>
      <c r="E1590" s="381" t="s">
        <v>102</v>
      </c>
      <c r="F1590" s="632">
        <f>+MOD(Tabla8[[#This Row],[HR. FIN]]-Tabla8[[#This Row],[HR. INICIO]],1)</f>
        <v>1.3888888888888895E-2</v>
      </c>
      <c r="G1590" s="16" t="s">
        <v>2256</v>
      </c>
      <c r="H1590" s="79" t="str">
        <f>IFERROR(VLOOKUP(G1590,DATOS!$M$2:$N$219,2,FALSE),"")</f>
        <v>Maquinaria</v>
      </c>
      <c r="I1590" s="115" t="s">
        <v>61</v>
      </c>
      <c r="J1590" s="115" t="s">
        <v>92</v>
      </c>
      <c r="K1590" s="115" t="s">
        <v>93</v>
      </c>
      <c r="L1590" s="35" t="s">
        <v>2884</v>
      </c>
      <c r="M1590" s="35" t="s">
        <v>2904</v>
      </c>
      <c r="N1590" s="35" t="str" cm="1">
        <f t="array" ref="N1590">IFERROR(IF(Tabla8[[#This Row],[P/NP]]="NO PROGRAMADA","",_xlfn.TEXTJOIN(", ",TRUE,_xlfn._xlws.FILTER(Tabla4[[#All],[PIEZA]],ISNUMBER(SEARCH(Tabla4[[#All],[PCLAVE]],Tabla8[[#This Row],[DESCRIPCION DE TRABAJO]])),""))),"")</f>
        <v/>
      </c>
      <c r="O1590" s="35" t="str" cm="1">
        <f t="array" ref="O1590">_xlfn.TEXTJOIN(", ",TRUE,_xlfn._xlws.FILTER(Tabla28[[#All],[PARTE]],ISNUMBER(SEARCH(Tabla28[[#All],[PCLAVE2]],Tabla8[[#This Row],[DESCRIPCION DE TRABAJO]])),""))</f>
        <v/>
      </c>
      <c r="P1590" s="633" t="str">
        <f>IFERROR(LEFT(O1590, FIND(",", O1590)-1), O1590)</f>
        <v/>
      </c>
      <c r="Q1590" s="633" t="str">
        <f>IFERROR(IF(ISERROR(FIND(",", O1590, FIND(",", O1590)+1)), RIGHT(O1590, LEN(O1590)-FIND(",", O1590)-1), MID(O1590, FIND(",", O1590)+2, FIND(",", O1590, FIND(",", O1590)+1)-FIND(",", O1590)-2)), "")</f>
        <v/>
      </c>
      <c r="R1590" s="633" t="str">
        <f>IFERROR(RIGHT(O1590, LEN(O1590)-FIND(",", O1590, FIND(",", O1590)+1)-1), "")</f>
        <v/>
      </c>
      <c r="S1590" s="35" t="str" cm="1">
        <f t="array" ref="S1590">_xlfn.TEXTJOIN(", ",TRUE,_xlfn._xlws.FILTER(Tabla29[[#All],[PARTE]],ISNUMBER(SEARCH(Tabla29[[#All],[PCLAVE3]],Tabla8[[#This Row],[DESCRIPCION DE TRABAJO]])),""))</f>
        <v>No Avanza, Carga/descarga</v>
      </c>
      <c r="T1590" s="88" t="str">
        <f>IF(AND(Tabla8[[#This Row],[PIEZA]]="",Tabla8[[#This Row],[PARTE]]=""),"VACIO","OK")</f>
        <v>VACIO</v>
      </c>
      <c r="U1590" s="633" t="str">
        <f>+CONCATENATE(WEEKNUM(Tabla8[[#This Row],[FECHA]]),"-",YEAR(Tabla8[[#This Row],[FECHA]]))</f>
        <v>23-2026</v>
      </c>
    </row>
    <row r="1591" spans="1:21" ht="15" customHeight="1">
      <c r="A1591" s="22">
        <v>46176</v>
      </c>
      <c r="B1591" s="16" t="s">
        <v>111</v>
      </c>
      <c r="C1591" s="16" t="s">
        <v>39</v>
      </c>
      <c r="D1591" s="381" t="s">
        <v>1169</v>
      </c>
      <c r="E1591" s="381" t="s">
        <v>426</v>
      </c>
      <c r="F1591" s="632">
        <f>+MOD(Tabla8[[#This Row],[HR. FIN]]-Tabla8[[#This Row],[HR. INICIO]],1)</f>
        <v>1.388888888888884E-2</v>
      </c>
      <c r="G1591" s="16" t="s">
        <v>119</v>
      </c>
      <c r="H1591" s="79" t="str">
        <f>IFERROR(VLOOKUP(G1591,DATOS!$M$2:$N$219,2,FALSE),"")</f>
        <v>Maquinaria</v>
      </c>
      <c r="I1591" s="115" t="s">
        <v>57</v>
      </c>
      <c r="J1591" s="115" t="s">
        <v>92</v>
      </c>
      <c r="K1591" s="115" t="s">
        <v>148</v>
      </c>
      <c r="L1591" s="35" t="s">
        <v>2905</v>
      </c>
      <c r="M1591" s="35" t="s">
        <v>2906</v>
      </c>
      <c r="N1591" s="35" t="str" cm="1">
        <f t="array" ref="N1591">IFERROR(IF(Tabla8[[#This Row],[P/NP]]="NO PROGRAMADA","",_xlfn.TEXTJOIN(", ",TRUE,_xlfn._xlws.FILTER(Tabla4[[#All],[PIEZA]],ISNUMBER(SEARCH(Tabla4[[#All],[PCLAVE]],Tabla8[[#This Row],[DESCRIPCION DE TRABAJO]])),""))),"")</f>
        <v/>
      </c>
      <c r="O1591" s="35" t="str" cm="1">
        <f t="array" ref="O1591">_xlfn.TEXTJOIN(", ",TRUE,_xlfn._xlws.FILTER(Tabla28[[#All],[PARTE]],ISNUMBER(SEARCH(Tabla28[[#All],[PCLAVE2]],Tabla8[[#This Row],[DESCRIPCION DE TRABAJO]])),""))</f>
        <v>Extension</v>
      </c>
      <c r="P1591" s="633" t="str">
        <f>IFERROR(LEFT(O1591, FIND(",", O1591)-1), O1591)</f>
        <v>Extension</v>
      </c>
      <c r="Q1591" s="633" t="str">
        <f>IFERROR(IF(ISERROR(FIND(",", O1591, FIND(",", O1591)+1)), RIGHT(O1591, LEN(O1591)-FIND(",", O1591)-1), MID(O1591, FIND(",", O1591)+2, FIND(",", O1591, FIND(",", O1591)+1)-FIND(",", O1591)-2)), "")</f>
        <v/>
      </c>
      <c r="R1591" s="633" t="str">
        <f>IFERROR(RIGHT(O1591, LEN(O1591)-FIND(",", O1591, FIND(",", O1591)+1)-1), "")</f>
        <v/>
      </c>
      <c r="S1591" s="35" t="str" cm="1">
        <f t="array" ref="S1591">_xlfn.TEXTJOIN(", ",TRUE,_xlfn._xlws.FILTER(Tabla29[[#All],[PARTE]],ISNUMBER(SEARCH(Tabla29[[#All],[PCLAVE3]],Tabla8[[#This Row],[DESCRIPCION DE TRABAJO]])),""))</f>
        <v/>
      </c>
      <c r="T1591" s="88" t="str">
        <f>IF(AND(Tabla8[[#This Row],[PIEZA]]="",Tabla8[[#This Row],[PARTE]]=""),"VACIO","OK")</f>
        <v>OK</v>
      </c>
      <c r="U1591" s="633" t="str">
        <f>+CONCATENATE(WEEKNUM(Tabla8[[#This Row],[FECHA]]),"-",YEAR(Tabla8[[#This Row],[FECHA]]))</f>
        <v>23-2026</v>
      </c>
    </row>
    <row r="1592" spans="1:21" ht="15" customHeight="1">
      <c r="A1592" s="22">
        <v>46176</v>
      </c>
      <c r="B1592" s="16" t="s">
        <v>88</v>
      </c>
      <c r="C1592" s="16" t="s">
        <v>36</v>
      </c>
      <c r="D1592" s="381" t="s">
        <v>456</v>
      </c>
      <c r="E1592" s="381" t="s">
        <v>940</v>
      </c>
      <c r="F1592" s="632">
        <f>+MOD(Tabla8[[#This Row],[HR. FIN]]-Tabla8[[#This Row],[HR. INICIO]],1)</f>
        <v>1.0416666666666741E-2</v>
      </c>
      <c r="G1592" s="16" t="s">
        <v>1575</v>
      </c>
      <c r="H1592" s="79" t="str">
        <f>IFERROR(VLOOKUP(G1592,DATOS!$M$2:$N$219,2,FALSE),"")</f>
        <v>Sistema</v>
      </c>
      <c r="I1592" s="115" t="s">
        <v>186</v>
      </c>
      <c r="J1592" s="115" t="s">
        <v>92</v>
      </c>
      <c r="K1592" s="115" t="s">
        <v>93</v>
      </c>
      <c r="L1592" s="35" t="s">
        <v>2907</v>
      </c>
      <c r="M1592" s="35" t="s">
        <v>2908</v>
      </c>
      <c r="N1592" s="35" t="str" cm="1">
        <f t="array" ref="N1592">IFERROR(IF(Tabla8[[#This Row],[P/NP]]="NO PROGRAMADA","",_xlfn.TEXTJOIN(", ",TRUE,_xlfn._xlws.FILTER(Tabla4[[#All],[PIEZA]],ISNUMBER(SEARCH(Tabla4[[#All],[PCLAVE]],Tabla8[[#This Row],[DESCRIPCION DE TRABAJO]])),""))),"")</f>
        <v/>
      </c>
      <c r="O1592" s="35" t="str" cm="1">
        <f t="array" ref="O1592">_xlfn.TEXTJOIN(", ",TRUE,_xlfn._xlws.FILTER(Tabla28[[#All],[PARTE]],ISNUMBER(SEARCH(Tabla28[[#All],[PCLAVE2]],Tabla8[[#This Row],[DESCRIPCION DE TRABAJO]])),""))</f>
        <v/>
      </c>
      <c r="P1592" s="633" t="str">
        <f>IFERROR(LEFT(O1592, FIND(",", O1592)-1), O1592)</f>
        <v/>
      </c>
      <c r="Q1592" s="633" t="str">
        <f>IFERROR(IF(ISERROR(FIND(",", O1592, FIND(",", O1592)+1)), RIGHT(O1592, LEN(O1592)-FIND(",", O1592)-1), MID(O1592, FIND(",", O1592)+2, FIND(",", O1592, FIND(",", O1592)+1)-FIND(",", O1592)-2)), "")</f>
        <v/>
      </c>
      <c r="R1592" s="633" t="str">
        <f>IFERROR(RIGHT(O1592, LEN(O1592)-FIND(",", O1592, FIND(",", O1592)+1)-1), "")</f>
        <v/>
      </c>
      <c r="S1592" s="35" t="str" cm="1">
        <f t="array" ref="S1592">_xlfn.TEXTJOIN(", ",TRUE,_xlfn._xlws.FILTER(Tabla29[[#All],[PARTE]],ISNUMBER(SEARCH(Tabla29[[#All],[PCLAVE3]],Tabla8[[#This Row],[DESCRIPCION DE TRABAJO]])),""))</f>
        <v>Falla De Presion</v>
      </c>
      <c r="T1592" s="88" t="str">
        <f>IF(AND(Tabla8[[#This Row],[PIEZA]]="",Tabla8[[#This Row],[PARTE]]=""),"VACIO","OK")</f>
        <v>VACIO</v>
      </c>
      <c r="U1592" s="633" t="str">
        <f>+CONCATENATE(WEEKNUM(Tabla8[[#This Row],[FECHA]]),"-",YEAR(Tabla8[[#This Row],[FECHA]]))</f>
        <v>23-2026</v>
      </c>
    </row>
    <row r="1593" spans="1:21" ht="15" customHeight="1">
      <c r="A1593" s="22">
        <v>46176</v>
      </c>
      <c r="B1593" s="16" t="s">
        <v>88</v>
      </c>
      <c r="C1593" s="16" t="s">
        <v>36</v>
      </c>
      <c r="D1593" s="381" t="s">
        <v>97</v>
      </c>
      <c r="E1593" s="381" t="s">
        <v>152</v>
      </c>
      <c r="F1593" s="632">
        <f>+MOD(Tabla8[[#This Row],[HR. FIN]]-Tabla8[[#This Row],[HR. INICIO]],1)</f>
        <v>1.0416666666666685E-2</v>
      </c>
      <c r="G1593" s="16" t="s">
        <v>721</v>
      </c>
      <c r="H1593" s="79" t="str">
        <f>IFERROR(VLOOKUP(G1593,DATOS!$M$2:$N$219,2,FALSE),"")</f>
        <v>Maquinaria</v>
      </c>
      <c r="I1593" s="115" t="s">
        <v>61</v>
      </c>
      <c r="J1593" s="115" t="s">
        <v>92</v>
      </c>
      <c r="K1593" s="115" t="s">
        <v>148</v>
      </c>
      <c r="L1593" s="35" t="s">
        <v>2909</v>
      </c>
      <c r="M1593" s="35" t="s">
        <v>2910</v>
      </c>
      <c r="N1593" s="35" t="str" cm="1">
        <f t="array" ref="N1593">IFERROR(IF(Tabla8[[#This Row],[P/NP]]="NO PROGRAMADA","",_xlfn.TEXTJOIN(", ",TRUE,_xlfn._xlws.FILTER(Tabla4[[#All],[PIEZA]],ISNUMBER(SEARCH(Tabla4[[#All],[PCLAVE]],Tabla8[[#This Row],[DESCRIPCION DE TRABAJO]])),""))),"")</f>
        <v/>
      </c>
      <c r="O1593" s="35" t="str" cm="1">
        <f t="array" ref="O1593">_xlfn.TEXTJOIN(", ",TRUE,_xlfn._xlws.FILTER(Tabla28[[#All],[PARTE]],ISNUMBER(SEARCH(Tabla28[[#All],[PCLAVE2]],Tabla8[[#This Row],[DESCRIPCION DE TRABAJO]])),""))</f>
        <v/>
      </c>
      <c r="P1593" s="633" t="str">
        <f>IFERROR(LEFT(O1593, FIND(",", O1593)-1), O1593)</f>
        <v/>
      </c>
      <c r="Q1593" s="633" t="str">
        <f>IFERROR(IF(ISERROR(FIND(",", O1593, FIND(",", O1593)+1)), RIGHT(O1593, LEN(O1593)-FIND(",", O1593)-1), MID(O1593, FIND(",", O1593)+2, FIND(",", O1593, FIND(",", O1593)+1)-FIND(",", O1593)-2)), "")</f>
        <v/>
      </c>
      <c r="R1593" s="633" t="str">
        <f>IFERROR(RIGHT(O1593, LEN(O1593)-FIND(",", O1593, FIND(",", O1593)+1)-1), "")</f>
        <v/>
      </c>
      <c r="S1593" s="35" t="str" cm="1">
        <f t="array" ref="S1593">_xlfn.TEXTJOIN(", ",TRUE,_xlfn._xlws.FILTER(Tabla29[[#All],[PARTE]],ISNUMBER(SEARCH(Tabla29[[#All],[PCLAVE3]],Tabla8[[#This Row],[DESCRIPCION DE TRABAJO]])),""))</f>
        <v/>
      </c>
      <c r="T1593" s="88" t="str">
        <f>IF(AND(Tabla8[[#This Row],[PIEZA]]="",Tabla8[[#This Row],[PARTE]]=""),"VACIO","OK")</f>
        <v>VACIO</v>
      </c>
      <c r="U1593" s="633" t="str">
        <f>+CONCATENATE(WEEKNUM(Tabla8[[#This Row],[FECHA]]),"-",YEAR(Tabla8[[#This Row],[FECHA]]))</f>
        <v>23-2026</v>
      </c>
    </row>
    <row r="1594" spans="1:21" ht="15" customHeight="1">
      <c r="A1594" s="22">
        <v>46176</v>
      </c>
      <c r="B1594" s="16" t="s">
        <v>111</v>
      </c>
      <c r="C1594" s="16" t="s">
        <v>39</v>
      </c>
      <c r="D1594" s="381" t="s">
        <v>2818</v>
      </c>
      <c r="E1594" s="381" t="s">
        <v>1282</v>
      </c>
      <c r="F1594" s="632">
        <f>+MOD(Tabla8[[#This Row],[HR. FIN]]-Tabla8[[#This Row],[HR. INICIO]],1)</f>
        <v>4.8611111111112049E-3</v>
      </c>
      <c r="G1594" s="16" t="s">
        <v>266</v>
      </c>
      <c r="H1594" s="79" t="str">
        <f>IFERROR(VLOOKUP(G1594,DATOS!$M$2:$N$219,2,FALSE),"")</f>
        <v>Maquinaria</v>
      </c>
      <c r="I1594" s="115" t="s">
        <v>57</v>
      </c>
      <c r="J1594" s="115" t="s">
        <v>92</v>
      </c>
      <c r="K1594" s="115" t="s">
        <v>148</v>
      </c>
      <c r="L1594" s="35" t="s">
        <v>2911</v>
      </c>
      <c r="M1594" s="35" t="s">
        <v>2912</v>
      </c>
      <c r="N1594" s="35" t="str" cm="1">
        <f t="array" ref="N1594">IFERROR(IF(Tabla8[[#This Row],[P/NP]]="NO PROGRAMADA","",_xlfn.TEXTJOIN(", ",TRUE,_xlfn._xlws.FILTER(Tabla4[[#All],[PIEZA]],ISNUMBER(SEARCH(Tabla4[[#All],[PCLAVE]],Tabla8[[#This Row],[DESCRIPCION DE TRABAJO]])),""))),"")</f>
        <v/>
      </c>
      <c r="O1594" s="35" t="str" cm="1">
        <f t="array" ref="O1594">_xlfn.TEXTJOIN(", ",TRUE,_xlfn._xlws.FILTER(Tabla28[[#All],[PARTE]],ISNUMBER(SEARCH(Tabla28[[#All],[PCLAVE2]],Tabla8[[#This Row],[DESCRIPCION DE TRABAJO]])),""))</f>
        <v/>
      </c>
      <c r="P1594" s="633" t="str">
        <f>IFERROR(LEFT(O1594, FIND(",", O1594)-1), O1594)</f>
        <v/>
      </c>
      <c r="Q1594" s="633" t="str">
        <f>IFERROR(IF(ISERROR(FIND(",", O1594, FIND(",", O1594)+1)), RIGHT(O1594, LEN(O1594)-FIND(",", O1594)-1), MID(O1594, FIND(",", O1594)+2, FIND(",", O1594, FIND(",", O1594)+1)-FIND(",", O1594)-2)), "")</f>
        <v/>
      </c>
      <c r="R1594" s="633" t="str">
        <f>IFERROR(RIGHT(O1594, LEN(O1594)-FIND(",", O1594, FIND(",", O1594)+1)-1), "")</f>
        <v/>
      </c>
      <c r="S1594" s="35" t="str" cm="1">
        <f t="array" ref="S1594">_xlfn.TEXTJOIN(", ",TRUE,_xlfn._xlws.FILTER(Tabla29[[#All],[PARTE]],ISNUMBER(SEARCH(Tabla29[[#All],[PCLAVE3]],Tabla8[[#This Row],[DESCRIPCION DE TRABAJO]])),""))</f>
        <v>No Cae Producto</v>
      </c>
      <c r="T1594" s="88" t="str">
        <f>IF(AND(Tabla8[[#This Row],[PIEZA]]="",Tabla8[[#This Row],[PARTE]]=""),"VACIO","OK")</f>
        <v>VACIO</v>
      </c>
      <c r="U1594" s="633" t="str">
        <f>+CONCATENATE(WEEKNUM(Tabla8[[#This Row],[FECHA]]),"-",YEAR(Tabla8[[#This Row],[FECHA]]))</f>
        <v>23-2026</v>
      </c>
    </row>
    <row r="1595" spans="1:21" ht="15" customHeight="1">
      <c r="A1595" s="22">
        <v>46177</v>
      </c>
      <c r="B1595" s="16" t="s">
        <v>111</v>
      </c>
      <c r="C1595" s="16" t="s">
        <v>39</v>
      </c>
      <c r="D1595" s="381" t="s">
        <v>112</v>
      </c>
      <c r="E1595" s="381" t="s">
        <v>292</v>
      </c>
      <c r="F1595" s="632">
        <f>+MOD(Tabla8[[#This Row],[HR. FIN]]-Tabla8[[#This Row],[HR. INICIO]],1)</f>
        <v>6.25E-2</v>
      </c>
      <c r="G1595" s="16" t="s">
        <v>266</v>
      </c>
      <c r="H1595" s="79" t="str">
        <f>IFERROR(VLOOKUP(G1595,DATOS!$M$2:$N$219,2,FALSE),"")</f>
        <v>Maquinaria</v>
      </c>
      <c r="I1595" s="115" t="s">
        <v>186</v>
      </c>
      <c r="J1595" s="115" t="s">
        <v>92</v>
      </c>
      <c r="K1595" s="115" t="s">
        <v>93</v>
      </c>
      <c r="L1595" s="35" t="s">
        <v>2913</v>
      </c>
      <c r="M1595" s="35" t="s">
        <v>2914</v>
      </c>
      <c r="N1595" s="35" t="str" cm="1">
        <f t="array" ref="N1595">IFERROR(IF(Tabla8[[#This Row],[P/NP]]="NO PROGRAMADA","",_xlfn.TEXTJOIN(", ",TRUE,_xlfn._xlws.FILTER(Tabla4[[#All],[PIEZA]],ISNUMBER(SEARCH(Tabla4[[#All],[PCLAVE]],Tabla8[[#This Row],[DESCRIPCION DE TRABAJO]])),""))),"")</f>
        <v/>
      </c>
      <c r="O1595" s="35" t="str" cm="1">
        <f t="array" ref="O1595">_xlfn.TEXTJOIN(", ",TRUE,_xlfn._xlws.FILTER(Tabla28[[#All],[PARTE]],ISNUMBER(SEARCH(Tabla28[[#All],[PCLAVE2]],Tabla8[[#This Row],[DESCRIPCION DE TRABAJO]])),""))</f>
        <v/>
      </c>
      <c r="P1595" s="633" t="str">
        <f>IFERROR(LEFT(O1595, FIND(",", O1595)-1), O1595)</f>
        <v/>
      </c>
      <c r="Q1595" s="633" t="str">
        <f>IFERROR(IF(ISERROR(FIND(",", O1595, FIND(",", O1595)+1)), RIGHT(O1595, LEN(O1595)-FIND(",", O1595)-1), MID(O1595, FIND(",", O1595)+2, FIND(",", O1595, FIND(",", O1595)+1)-FIND(",", O1595)-2)), "")</f>
        <v/>
      </c>
      <c r="R1595" s="633" t="str">
        <f>IFERROR(RIGHT(O1595, LEN(O1595)-FIND(",", O1595, FIND(",", O1595)+1)-1), "")</f>
        <v/>
      </c>
      <c r="S1595" s="35" t="str" cm="1">
        <f t="array" ref="S1595">_xlfn.TEXTJOIN(", ",TRUE,_xlfn._xlws.FILTER(Tabla29[[#All],[PARTE]],ISNUMBER(SEARCH(Tabla29[[#All],[PCLAVE3]],Tabla8[[#This Row],[DESCRIPCION DE TRABAJO]])),""))</f>
        <v>Fuga, Fuga De Chocolate</v>
      </c>
      <c r="T1595" s="88" t="str">
        <f>IF(AND(Tabla8[[#This Row],[PIEZA]]="",Tabla8[[#This Row],[PARTE]]=""),"VACIO","OK")</f>
        <v>VACIO</v>
      </c>
      <c r="U1595" s="633" t="str">
        <f>+CONCATENATE(WEEKNUM(Tabla8[[#This Row],[FECHA]]),"-",YEAR(Tabla8[[#This Row],[FECHA]]))</f>
        <v>23-2026</v>
      </c>
    </row>
    <row r="1596" spans="1:21" ht="15" customHeight="1">
      <c r="A1596" s="22">
        <v>46177</v>
      </c>
      <c r="B1596" s="16" t="s">
        <v>88</v>
      </c>
      <c r="C1596" s="16" t="s">
        <v>36</v>
      </c>
      <c r="D1596" s="381" t="s">
        <v>127</v>
      </c>
      <c r="E1596" s="381" t="s">
        <v>556</v>
      </c>
      <c r="F1596" s="632">
        <f>+MOD(Tabla8[[#This Row],[HR. FIN]]-Tabla8[[#This Row],[HR. INICIO]],1)</f>
        <v>4.1666666666666685E-2</v>
      </c>
      <c r="G1596" s="16" t="s">
        <v>31</v>
      </c>
      <c r="H1596" s="79" t="str">
        <f>IFERROR(VLOOKUP(G1596,DATOS!$M$2:$N$219,2,FALSE),"")</f>
        <v>Maquinaria</v>
      </c>
      <c r="I1596" s="115" t="s">
        <v>32</v>
      </c>
      <c r="J1596" s="115" t="s">
        <v>157</v>
      </c>
      <c r="K1596" s="115"/>
      <c r="L1596" s="35" t="s">
        <v>2915</v>
      </c>
      <c r="M1596" s="35" t="s">
        <v>2916</v>
      </c>
      <c r="N1596" s="35" t="str" cm="1">
        <f t="array" ref="N1596">IFERROR(IF(Tabla8[[#This Row],[P/NP]]="NO PROGRAMADA","",_xlfn.TEXTJOIN(", ",TRUE,_xlfn._xlws.FILTER(Tabla4[[#All],[PIEZA]],ISNUMBER(SEARCH(Tabla4[[#All],[PCLAVE]],Tabla8[[#This Row],[DESCRIPCION DE TRABAJO]])),""))),"")</f>
        <v/>
      </c>
      <c r="O1596" s="35" t="str" cm="1">
        <f t="array" ref="O1596">_xlfn.TEXTJOIN(", ",TRUE,_xlfn._xlws.FILTER(Tabla28[[#All],[PARTE]],ISNUMBER(SEARCH(Tabla28[[#All],[PCLAVE2]],Tabla8[[#This Row],[DESCRIPCION DE TRABAJO]])),""))</f>
        <v/>
      </c>
      <c r="P1596" s="633" t="str">
        <f>IFERROR(LEFT(O1596, FIND(",", O1596)-1), O1596)</f>
        <v/>
      </c>
      <c r="Q1596" s="633" t="str">
        <f>IFERROR(IF(ISERROR(FIND(",", O1596, FIND(",", O1596)+1)), RIGHT(O1596, LEN(O1596)-FIND(",", O1596)-1), MID(O1596, FIND(",", O1596)+2, FIND(",", O1596, FIND(",", O1596)+1)-FIND(",", O1596)-2)), "")</f>
        <v/>
      </c>
      <c r="R1596" s="633" t="str">
        <f>IFERROR(RIGHT(O1596, LEN(O1596)-FIND(",", O1596, FIND(",", O1596)+1)-1), "")</f>
        <v/>
      </c>
      <c r="S1596" s="35" t="str" cm="1">
        <f t="array" ref="S1596">_xlfn.TEXTJOIN(", ",TRUE,_xlfn._xlws.FILTER(Tabla29[[#All],[PARTE]],ISNUMBER(SEARCH(Tabla29[[#All],[PCLAVE3]],Tabla8[[#This Row],[DESCRIPCION DE TRABAJO]])),""))</f>
        <v>Cambio De Formato</v>
      </c>
      <c r="T1596" s="88" t="str">
        <f>IF(AND(Tabla8[[#This Row],[PIEZA]]="",Tabla8[[#This Row],[PARTE]]=""),"VACIO","OK")</f>
        <v>VACIO</v>
      </c>
      <c r="U1596" s="633" t="str">
        <f>+CONCATENATE(WEEKNUM(Tabla8[[#This Row],[FECHA]]),"-",YEAR(Tabla8[[#This Row],[FECHA]]))</f>
        <v>23-2026</v>
      </c>
    </row>
    <row r="1597" spans="1:21" ht="15" customHeight="1">
      <c r="A1597" s="22">
        <v>46177</v>
      </c>
      <c r="B1597" s="16" t="s">
        <v>111</v>
      </c>
      <c r="C1597" s="16" t="s">
        <v>39</v>
      </c>
      <c r="D1597" s="381" t="s">
        <v>1290</v>
      </c>
      <c r="E1597" s="381" t="s">
        <v>112</v>
      </c>
      <c r="F1597" s="632">
        <f>+MOD(Tabla8[[#This Row],[HR. FIN]]-Tabla8[[#This Row],[HR. INICIO]],1)</f>
        <v>3.4722222222222224E-2</v>
      </c>
      <c r="G1597" s="16" t="s">
        <v>721</v>
      </c>
      <c r="H1597" s="79" t="str">
        <f>IFERROR(VLOOKUP(G1597,DATOS!$M$2:$N$219,2,FALSE),"")</f>
        <v>Maquinaria</v>
      </c>
      <c r="I1597" s="115" t="s">
        <v>61</v>
      </c>
      <c r="J1597" s="115" t="s">
        <v>92</v>
      </c>
      <c r="K1597" s="115" t="s">
        <v>93</v>
      </c>
      <c r="L1597" s="35" t="s">
        <v>2917</v>
      </c>
      <c r="M1597" s="35" t="s">
        <v>2918</v>
      </c>
      <c r="N1597" s="35" t="str" cm="1">
        <f t="array" ref="N1597">IFERROR(IF(Tabla8[[#This Row],[P/NP]]="NO PROGRAMADA","",_xlfn.TEXTJOIN(", ",TRUE,_xlfn._xlws.FILTER(Tabla4[[#All],[PIEZA]],ISNUMBER(SEARCH(Tabla4[[#All],[PCLAVE]],Tabla8[[#This Row],[DESCRIPCION DE TRABAJO]])),""))),"")</f>
        <v/>
      </c>
      <c r="O1597" s="35" t="str" cm="1">
        <f t="array" ref="O1597">_xlfn.TEXTJOIN(", ",TRUE,_xlfn._xlws.FILTER(Tabla28[[#All],[PARTE]],ISNUMBER(SEARCH(Tabla28[[#All],[PCLAVE2]],Tabla8[[#This Row],[DESCRIPCION DE TRABAJO]])),""))</f>
        <v/>
      </c>
      <c r="P1597" s="633" t="str">
        <f>IFERROR(LEFT(O1597, FIND(",", O1597)-1), O1597)</f>
        <v/>
      </c>
      <c r="Q1597" s="633" t="str">
        <f>IFERROR(IF(ISERROR(FIND(",", O1597, FIND(",", O1597)+1)), RIGHT(O1597, LEN(O1597)-FIND(",", O1597)-1), MID(O1597, FIND(",", O1597)+2, FIND(",", O1597, FIND(",", O1597)+1)-FIND(",", O1597)-2)), "")</f>
        <v/>
      </c>
      <c r="R1597" s="633" t="str">
        <f>IFERROR(RIGHT(O1597, LEN(O1597)-FIND(",", O1597, FIND(",", O1597)+1)-1), "")</f>
        <v/>
      </c>
      <c r="S1597" s="35" t="str" cm="1">
        <f t="array" ref="S1597">_xlfn.TEXTJOIN(", ",TRUE,_xlfn._xlws.FILTER(Tabla29[[#All],[PARTE]],ISNUMBER(SEARCH(Tabla29[[#All],[PCLAVE3]],Tabla8[[#This Row],[DESCRIPCION DE TRABAJO]])),""))</f>
        <v>Amarrado</v>
      </c>
      <c r="T1597" s="88" t="str">
        <f>IF(AND(Tabla8[[#This Row],[PIEZA]]="",Tabla8[[#This Row],[PARTE]]=""),"VACIO","OK")</f>
        <v>VACIO</v>
      </c>
      <c r="U1597" s="633" t="str">
        <f>+CONCATENATE(WEEKNUM(Tabla8[[#This Row],[FECHA]]),"-",YEAR(Tabla8[[#This Row],[FECHA]]))</f>
        <v>23-2026</v>
      </c>
    </row>
    <row r="1598" spans="1:21" ht="15" customHeight="1">
      <c r="A1598" s="22">
        <v>46177</v>
      </c>
      <c r="B1598" s="16" t="s">
        <v>111</v>
      </c>
      <c r="C1598" s="16" t="s">
        <v>39</v>
      </c>
      <c r="D1598" s="381">
        <v>9.0277777777777776E-2</v>
      </c>
      <c r="E1598" s="381">
        <v>0.12361111111111112</v>
      </c>
      <c r="F1598" s="632">
        <f>+MOD(Tabla8[[#This Row],[HR. FIN]]-Tabla8[[#This Row],[HR. INICIO]],1)</f>
        <v>3.333333333333334E-2</v>
      </c>
      <c r="G1598" s="16" t="s">
        <v>721</v>
      </c>
      <c r="H1598" s="79" t="str">
        <f>IFERROR(VLOOKUP(G1598,DATOS!$M$2:$N$219,2,FALSE),"")</f>
        <v>Maquinaria</v>
      </c>
      <c r="I1598" s="115" t="s">
        <v>32</v>
      </c>
      <c r="J1598" s="115" t="s">
        <v>157</v>
      </c>
      <c r="K1598" s="115"/>
      <c r="L1598" s="35" t="s">
        <v>2919</v>
      </c>
      <c r="M1598" s="35" t="s">
        <v>121</v>
      </c>
      <c r="N1598" s="35" t="str" cm="1">
        <f t="array" ref="N1598">IFERROR(IF(Tabla8[[#This Row],[P/NP]]="NO PROGRAMADA","",_xlfn.TEXTJOIN(", ",TRUE,_xlfn._xlws.FILTER(Tabla4[[#All],[PIEZA]],ISNUMBER(SEARCH(Tabla4[[#All],[PCLAVE]],Tabla8[[#This Row],[DESCRIPCION DE TRABAJO]])),""))),"")</f>
        <v>Tuberias</v>
      </c>
      <c r="O1598" s="35" t="str" cm="1">
        <f t="array" ref="O1598">_xlfn.TEXTJOIN(", ",TRUE,_xlfn._xlws.FILTER(Tabla28[[#All],[PARTE]],ISNUMBER(SEARCH(Tabla28[[#All],[PCLAVE2]],Tabla8[[#This Row],[DESCRIPCION DE TRABAJO]])),""))</f>
        <v/>
      </c>
      <c r="P1598" s="633" t="str">
        <f>IFERROR(LEFT(O1598, FIND(",", O1598)-1), O1598)</f>
        <v/>
      </c>
      <c r="Q1598" s="633" t="str">
        <f>IFERROR(IF(ISERROR(FIND(",", O1598, FIND(",", O1598)+1)), RIGHT(O1598, LEN(O1598)-FIND(",", O1598)-1), MID(O1598, FIND(",", O1598)+2, FIND(",", O1598, FIND(",", O1598)+1)-FIND(",", O1598)-2)), "")</f>
        <v/>
      </c>
      <c r="R1598" s="633" t="str">
        <f>IFERROR(RIGHT(O1598, LEN(O1598)-FIND(",", O1598, FIND(",", O1598)+1)-1), "")</f>
        <v/>
      </c>
      <c r="S1598" s="35" t="str" cm="1">
        <f t="array" ref="S1598">_xlfn.TEXTJOIN(", ",TRUE,_xlfn._xlws.FILTER(Tabla29[[#All],[PARTE]],ISNUMBER(SEARCH(Tabla29[[#All],[PCLAVE3]],Tabla8[[#This Row],[DESCRIPCION DE TRABAJO]])),""))</f>
        <v/>
      </c>
      <c r="T1598" s="88" t="str">
        <f>IF(AND(Tabla8[[#This Row],[PIEZA]]="",Tabla8[[#This Row],[PARTE]]=""),"VACIO","OK")</f>
        <v>OK</v>
      </c>
      <c r="U1598" s="633" t="str">
        <f>+CONCATENATE(WEEKNUM(Tabla8[[#This Row],[FECHA]]),"-",YEAR(Tabla8[[#This Row],[FECHA]]))</f>
        <v>23-2026</v>
      </c>
    </row>
    <row r="1599" spans="1:21" ht="15" customHeight="1">
      <c r="A1599" s="22">
        <v>46177</v>
      </c>
      <c r="B1599" s="16" t="s">
        <v>131</v>
      </c>
      <c r="C1599" s="16" t="s">
        <v>36</v>
      </c>
      <c r="D1599" s="381" t="s">
        <v>106</v>
      </c>
      <c r="E1599" s="381" t="s">
        <v>1173</v>
      </c>
      <c r="F1599" s="632">
        <f>+MOD(Tabla8[[#This Row],[HR. FIN]]-Tabla8[[#This Row],[HR. INICIO]],1)</f>
        <v>3.1944444444444442E-2</v>
      </c>
      <c r="G1599" s="16" t="s">
        <v>182</v>
      </c>
      <c r="H1599" s="79" t="str">
        <f>IFERROR(VLOOKUP(G1599,DATOS!$M$2:$N$219,2,FALSE),"")</f>
        <v>Maquinaria</v>
      </c>
      <c r="I1599" s="115" t="s">
        <v>54</v>
      </c>
      <c r="J1599" s="115" t="s">
        <v>157</v>
      </c>
      <c r="K1599" s="115"/>
      <c r="L1599" s="35" t="s">
        <v>154</v>
      </c>
      <c r="M1599" s="35" t="s">
        <v>121</v>
      </c>
      <c r="N1599" s="35" t="str" cm="1">
        <f t="array" ref="N1599">IFERROR(IF(Tabla8[[#This Row],[P/NP]]="NO PROGRAMADA","",_xlfn.TEXTJOIN(", ",TRUE,_xlfn._xlws.FILTER(Tabla4[[#All],[PIEZA]],ISNUMBER(SEARCH(Tabla4[[#All],[PCLAVE]],Tabla8[[#This Row],[DESCRIPCION DE TRABAJO]])),""))),"")</f>
        <v/>
      </c>
      <c r="O1599" s="35" t="str" cm="1">
        <f t="array" ref="O1599">_xlfn.TEXTJOIN(", ",TRUE,_xlfn._xlws.FILTER(Tabla28[[#All],[PARTE]],ISNUMBER(SEARCH(Tabla28[[#All],[PCLAVE2]],Tabla8[[#This Row],[DESCRIPCION DE TRABAJO]])),""))</f>
        <v/>
      </c>
      <c r="P1599" s="633" t="str">
        <f>IFERROR(LEFT(O1599, FIND(",", O1599)-1), O1599)</f>
        <v/>
      </c>
      <c r="Q1599" s="633" t="str">
        <f>IFERROR(IF(ISERROR(FIND(",", O1599, FIND(",", O1599)+1)), RIGHT(O1599, LEN(O1599)-FIND(",", O1599)-1), MID(O1599, FIND(",", O1599)+2, FIND(",", O1599, FIND(",", O1599)+1)-FIND(",", O1599)-2)), "")</f>
        <v/>
      </c>
      <c r="R1599" s="633" t="str">
        <f>IFERROR(RIGHT(O1599, LEN(O1599)-FIND(",", O1599, FIND(",", O1599)+1)-1), "")</f>
        <v/>
      </c>
      <c r="S1599" s="35" t="str" cm="1">
        <f t="array" ref="S1599">_xlfn.TEXTJOIN(", ",TRUE,_xlfn._xlws.FILTER(Tabla29[[#All],[PARTE]],ISNUMBER(SEARCH(Tabla29[[#All],[PCLAVE3]],Tabla8[[#This Row],[DESCRIPCION DE TRABAJO]])),""))</f>
        <v/>
      </c>
      <c r="T1599" s="88" t="str">
        <f>IF(AND(Tabla8[[#This Row],[PIEZA]]="",Tabla8[[#This Row],[PARTE]]=""),"VACIO","OK")</f>
        <v>VACIO</v>
      </c>
      <c r="U1599" s="633" t="str">
        <f>+CONCATENATE(WEEKNUM(Tabla8[[#This Row],[FECHA]]),"-",YEAR(Tabla8[[#This Row],[FECHA]]))</f>
        <v>23-2026</v>
      </c>
    </row>
    <row r="1600" spans="1:21" ht="15" customHeight="1">
      <c r="A1600" s="22">
        <v>46177</v>
      </c>
      <c r="B1600" s="16" t="s">
        <v>88</v>
      </c>
      <c r="C1600" s="16" t="s">
        <v>36</v>
      </c>
      <c r="D1600" s="381" t="s">
        <v>468</v>
      </c>
      <c r="E1600" s="381" t="s">
        <v>2415</v>
      </c>
      <c r="F1600" s="632">
        <f>+MOD(Tabla8[[#This Row],[HR. FIN]]-Tabla8[[#This Row],[HR. INICIO]],1)</f>
        <v>3.125E-2</v>
      </c>
      <c r="G1600" s="16" t="s">
        <v>103</v>
      </c>
      <c r="H1600" s="79" t="str">
        <f>IFERROR(VLOOKUP(G1600,DATOS!$M$2:$N$219,2,FALSE),"")</f>
        <v>Area</v>
      </c>
      <c r="I1600" s="115" t="s">
        <v>54</v>
      </c>
      <c r="J1600" s="115" t="s">
        <v>157</v>
      </c>
      <c r="K1600" s="115"/>
      <c r="L1600" s="35" t="s">
        <v>2920</v>
      </c>
      <c r="M1600" s="35" t="s">
        <v>2921</v>
      </c>
      <c r="N1600" s="35" t="str" cm="1">
        <f t="array" ref="N1600">IFERROR(IF(Tabla8[[#This Row],[P/NP]]="NO PROGRAMADA","",_xlfn.TEXTJOIN(", ",TRUE,_xlfn._xlws.FILTER(Tabla4[[#All],[PIEZA]],ISNUMBER(SEARCH(Tabla4[[#All],[PCLAVE]],Tabla8[[#This Row],[DESCRIPCION DE TRABAJO]])),""))),"")</f>
        <v/>
      </c>
      <c r="O1600" s="35" t="str" cm="1">
        <f t="array" ref="O1600">_xlfn.TEXTJOIN(", ",TRUE,_xlfn._xlws.FILTER(Tabla28[[#All],[PARTE]],ISNUMBER(SEARCH(Tabla28[[#All],[PCLAVE2]],Tabla8[[#This Row],[DESCRIPCION DE TRABAJO]])),""))</f>
        <v/>
      </c>
      <c r="P1600" s="633" t="str">
        <f>IFERROR(LEFT(O1600, FIND(",", O1600)-1), O1600)</f>
        <v/>
      </c>
      <c r="Q1600" s="633" t="str">
        <f>IFERROR(IF(ISERROR(FIND(",", O1600, FIND(",", O1600)+1)), RIGHT(O1600, LEN(O1600)-FIND(",", O1600)-1), MID(O1600, FIND(",", O1600)+2, FIND(",", O1600, FIND(",", O1600)+1)-FIND(",", O1600)-2)), "")</f>
        <v/>
      </c>
      <c r="R1600" s="633" t="str">
        <f>IFERROR(RIGHT(O1600, LEN(O1600)-FIND(",", O1600, FIND(",", O1600)+1)-1), "")</f>
        <v/>
      </c>
      <c r="S1600" s="35" t="str" cm="1">
        <f t="array" ref="S1600">_xlfn.TEXTJOIN(", ",TRUE,_xlfn._xlws.FILTER(Tabla29[[#All],[PARTE]],ISNUMBER(SEARCH(Tabla29[[#All],[PCLAVE3]],Tabla8[[#This Row],[DESCRIPCION DE TRABAJO]])),""))</f>
        <v/>
      </c>
      <c r="T1600" s="88" t="str">
        <f>IF(AND(Tabla8[[#This Row],[PIEZA]]="",Tabla8[[#This Row],[PARTE]]=""),"VACIO","OK")</f>
        <v>VACIO</v>
      </c>
      <c r="U1600" s="633" t="str">
        <f>+CONCATENATE(WEEKNUM(Tabla8[[#This Row],[FECHA]]),"-",YEAR(Tabla8[[#This Row],[FECHA]]))</f>
        <v>23-2026</v>
      </c>
    </row>
    <row r="1601" spans="1:21" ht="15" customHeight="1">
      <c r="A1601" s="22">
        <v>46177</v>
      </c>
      <c r="B1601" s="16" t="s">
        <v>131</v>
      </c>
      <c r="C1601" s="16" t="s">
        <v>36</v>
      </c>
      <c r="D1601" s="381" t="s">
        <v>672</v>
      </c>
      <c r="E1601" s="381" t="s">
        <v>2922</v>
      </c>
      <c r="F1601" s="632">
        <f>+MOD(Tabla8[[#This Row],[HR. FIN]]-Tabla8[[#This Row],[HR. INICIO]],1)</f>
        <v>2.1527777777777812E-2</v>
      </c>
      <c r="G1601" s="16" t="s">
        <v>31</v>
      </c>
      <c r="H1601" s="79" t="str">
        <f>IFERROR(VLOOKUP(G1601,DATOS!$M$2:$N$219,2,FALSE),"")</f>
        <v>Maquinaria</v>
      </c>
      <c r="I1601" s="115" t="s">
        <v>54</v>
      </c>
      <c r="J1601" s="115" t="s">
        <v>157</v>
      </c>
      <c r="K1601" s="115"/>
      <c r="L1601" s="35" t="s">
        <v>225</v>
      </c>
      <c r="M1601" s="35" t="s">
        <v>121</v>
      </c>
      <c r="N1601" s="35" t="str" cm="1">
        <f t="array" ref="N1601">IFERROR(IF(Tabla8[[#This Row],[P/NP]]="NO PROGRAMADA","",_xlfn.TEXTJOIN(", ",TRUE,_xlfn._xlws.FILTER(Tabla4[[#All],[PIEZA]],ISNUMBER(SEARCH(Tabla4[[#All],[PCLAVE]],Tabla8[[#This Row],[DESCRIPCION DE TRABAJO]])),""))),"")</f>
        <v/>
      </c>
      <c r="O1601" s="35" t="str" cm="1">
        <f t="array" ref="O1601">_xlfn.TEXTJOIN(", ",TRUE,_xlfn._xlws.FILTER(Tabla28[[#All],[PARTE]],ISNUMBER(SEARCH(Tabla28[[#All],[PCLAVE2]],Tabla8[[#This Row],[DESCRIPCION DE TRABAJO]])),""))</f>
        <v/>
      </c>
      <c r="P1601" s="633" t="str">
        <f>IFERROR(LEFT(O1601, FIND(",", O1601)-1), O1601)</f>
        <v/>
      </c>
      <c r="Q1601" s="633" t="str">
        <f>IFERROR(IF(ISERROR(FIND(",", O1601, FIND(",", O1601)+1)), RIGHT(O1601, LEN(O1601)-FIND(",", O1601)-1), MID(O1601, FIND(",", O1601)+2, FIND(",", O1601, FIND(",", O1601)+1)-FIND(",", O1601)-2)), "")</f>
        <v/>
      </c>
      <c r="R1601" s="633" t="str">
        <f>IFERROR(RIGHT(O1601, LEN(O1601)-FIND(",", O1601, FIND(",", O1601)+1)-1), "")</f>
        <v/>
      </c>
      <c r="S1601" s="35" t="str" cm="1">
        <f t="array" ref="S1601">_xlfn.TEXTJOIN(", ",TRUE,_xlfn._xlws.FILTER(Tabla29[[#All],[PARTE]],ISNUMBER(SEARCH(Tabla29[[#All],[PCLAVE3]],Tabla8[[#This Row],[DESCRIPCION DE TRABAJO]])),""))</f>
        <v/>
      </c>
      <c r="T1601" s="88" t="str">
        <f>IF(AND(Tabla8[[#This Row],[PIEZA]]="",Tabla8[[#This Row],[PARTE]]=""),"VACIO","OK")</f>
        <v>VACIO</v>
      </c>
      <c r="U1601" s="633" t="str">
        <f>+CONCATENATE(WEEKNUM(Tabla8[[#This Row],[FECHA]]),"-",YEAR(Tabla8[[#This Row],[FECHA]]))</f>
        <v>23-2026</v>
      </c>
    </row>
    <row r="1602" spans="1:21" ht="15" customHeight="1">
      <c r="A1602" s="22">
        <v>46177</v>
      </c>
      <c r="B1602" s="16" t="s">
        <v>111</v>
      </c>
      <c r="C1602" s="16" t="s">
        <v>39</v>
      </c>
      <c r="D1602" s="381" t="s">
        <v>710</v>
      </c>
      <c r="E1602" s="381" t="s">
        <v>143</v>
      </c>
      <c r="F1602" s="632">
        <f>+MOD(Tabla8[[#This Row],[HR. FIN]]-Tabla8[[#This Row],[HR. INICIO]],1)</f>
        <v>2.0833333333333343E-2</v>
      </c>
      <c r="G1602" s="16" t="s">
        <v>119</v>
      </c>
      <c r="H1602" s="79" t="str">
        <f>IFERROR(VLOOKUP(G1602,DATOS!$M$2:$N$219,2,FALSE),"")</f>
        <v>Maquinaria</v>
      </c>
      <c r="I1602" s="115" t="s">
        <v>32</v>
      </c>
      <c r="J1602" s="115" t="s">
        <v>157</v>
      </c>
      <c r="K1602" s="115"/>
      <c r="L1602" s="35" t="s">
        <v>2923</v>
      </c>
      <c r="M1602" s="35" t="s">
        <v>121</v>
      </c>
      <c r="N1602" s="35" t="str" cm="1">
        <f t="array" ref="N1602">IFERROR(IF(Tabla8[[#This Row],[P/NP]]="NO PROGRAMADA","",_xlfn.TEXTJOIN(", ",TRUE,_xlfn._xlws.FILTER(Tabla4[[#All],[PIEZA]],ISNUMBER(SEARCH(Tabla4[[#All],[PCLAVE]],Tabla8[[#This Row],[DESCRIPCION DE TRABAJO]])),""))),"")</f>
        <v>Planchas, Rodillo</v>
      </c>
      <c r="O1602" s="35" t="str" cm="1">
        <f t="array" ref="O1602">_xlfn.TEXTJOIN(", ",TRUE,_xlfn._xlws.FILTER(Tabla28[[#All],[PARTE]],ISNUMBER(SEARCH(Tabla28[[#All],[PCLAVE2]],Tabla8[[#This Row],[DESCRIPCION DE TRABAJO]])),""))</f>
        <v>Mds</v>
      </c>
      <c r="P1602" s="633" t="str">
        <f>IFERROR(LEFT(O1602, FIND(",", O1602)-1), O1602)</f>
        <v>Mds</v>
      </c>
      <c r="Q1602" s="633" t="str">
        <f>IFERROR(IF(ISERROR(FIND(",", O1602, FIND(",", O1602)+1)), RIGHT(O1602, LEN(O1602)-FIND(",", O1602)-1), MID(O1602, FIND(",", O1602)+2, FIND(",", O1602, FIND(",", O1602)+1)-FIND(",", O1602)-2)), "")</f>
        <v/>
      </c>
      <c r="R1602" s="633" t="str">
        <f>IFERROR(RIGHT(O1602, LEN(O1602)-FIND(",", O1602, FIND(",", O1602)+1)-1), "")</f>
        <v/>
      </c>
      <c r="S1602" s="35" t="str" cm="1">
        <f t="array" ref="S1602">_xlfn.TEXTJOIN(", ",TRUE,_xlfn._xlws.FILTER(Tabla29[[#All],[PARTE]],ISNUMBER(SEARCH(Tabla29[[#All],[PCLAVE3]],Tabla8[[#This Row],[DESCRIPCION DE TRABAJO]])),""))</f>
        <v>Sustitucion</v>
      </c>
      <c r="T1602" s="88" t="str">
        <f>IF(AND(Tabla8[[#This Row],[PIEZA]]="",Tabla8[[#This Row],[PARTE]]=""),"VACIO","OK")</f>
        <v>OK</v>
      </c>
      <c r="U1602" s="633" t="str">
        <f>+CONCATENATE(WEEKNUM(Tabla8[[#This Row],[FECHA]]),"-",YEAR(Tabla8[[#This Row],[FECHA]]))</f>
        <v>23-2026</v>
      </c>
    </row>
    <row r="1603" spans="1:21" ht="15" customHeight="1">
      <c r="A1603" s="22">
        <v>46177</v>
      </c>
      <c r="B1603" s="16" t="s">
        <v>111</v>
      </c>
      <c r="C1603" s="16" t="s">
        <v>39</v>
      </c>
      <c r="D1603" s="381" t="s">
        <v>142</v>
      </c>
      <c r="E1603" s="381" t="s">
        <v>2079</v>
      </c>
      <c r="F1603" s="632">
        <f>+MOD(Tabla8[[#This Row],[HR. FIN]]-Tabla8[[#This Row],[HR. INICIO]],1)</f>
        <v>2.0833333333333343E-2</v>
      </c>
      <c r="G1603" s="16" t="s">
        <v>119</v>
      </c>
      <c r="H1603" s="79" t="str">
        <f>IFERROR(VLOOKUP(G1603,DATOS!$M$2:$N$219,2,FALSE),"")</f>
        <v>Maquinaria</v>
      </c>
      <c r="I1603" s="115" t="s">
        <v>57</v>
      </c>
      <c r="J1603" s="115" t="s">
        <v>92</v>
      </c>
      <c r="K1603" s="115" t="s">
        <v>93</v>
      </c>
      <c r="L1603" s="35" t="s">
        <v>2924</v>
      </c>
      <c r="M1603" s="35" t="s">
        <v>2925</v>
      </c>
      <c r="N1603" s="35" t="str" cm="1">
        <f t="array" ref="N1603">IFERROR(IF(Tabla8[[#This Row],[P/NP]]="NO PROGRAMADA","",_xlfn.TEXTJOIN(", ",TRUE,_xlfn._xlws.FILTER(Tabla4[[#All],[PIEZA]],ISNUMBER(SEARCH(Tabla4[[#All],[PCLAVE]],Tabla8[[#This Row],[DESCRIPCION DE TRABAJO]])),""))),"")</f>
        <v/>
      </c>
      <c r="O1603" s="35" t="str" cm="1">
        <f t="array" ref="O1603">_xlfn.TEXTJOIN(", ",TRUE,_xlfn._xlws.FILTER(Tabla28[[#All],[PARTE]],ISNUMBER(SEARCH(Tabla28[[#All],[PCLAVE2]],Tabla8[[#This Row],[DESCRIPCION DE TRABAJO]])),""))</f>
        <v/>
      </c>
      <c r="P1603" s="633" t="str">
        <f>IFERROR(LEFT(O1603, FIND(",", O1603)-1), O1603)</f>
        <v/>
      </c>
      <c r="Q1603" s="633" t="str">
        <f>IFERROR(IF(ISERROR(FIND(",", O1603, FIND(",", O1603)+1)), RIGHT(O1603, LEN(O1603)-FIND(",", O1603)-1), MID(O1603, FIND(",", O1603)+2, FIND(",", O1603, FIND(",", O1603)+1)-FIND(",", O1603)-2)), "")</f>
        <v/>
      </c>
      <c r="R1603" s="633" t="str">
        <f>IFERROR(RIGHT(O1603, LEN(O1603)-FIND(",", O1603, FIND(",", O1603)+1)-1), "")</f>
        <v/>
      </c>
      <c r="S1603" s="35" t="str" cm="1">
        <f t="array" ref="S1603">_xlfn.TEXTJOIN(", ",TRUE,_xlfn._xlws.FILTER(Tabla29[[#All],[PARTE]],ISNUMBER(SEARCH(Tabla29[[#All],[PCLAVE3]],Tabla8[[#This Row],[DESCRIPCION DE TRABAJO]])),""))</f>
        <v/>
      </c>
      <c r="T1603" s="88" t="str">
        <f>IF(AND(Tabla8[[#This Row],[PIEZA]]="",Tabla8[[#This Row],[PARTE]]=""),"VACIO","OK")</f>
        <v>VACIO</v>
      </c>
      <c r="U1603" s="633" t="str">
        <f>+CONCATENATE(WEEKNUM(Tabla8[[#This Row],[FECHA]]),"-",YEAR(Tabla8[[#This Row],[FECHA]]))</f>
        <v>23-2026</v>
      </c>
    </row>
    <row r="1604" spans="1:21" ht="15" customHeight="1">
      <c r="A1604" s="22">
        <v>46177</v>
      </c>
      <c r="B1604" s="16" t="s">
        <v>131</v>
      </c>
      <c r="C1604" s="16" t="s">
        <v>36</v>
      </c>
      <c r="D1604" s="381" t="s">
        <v>491</v>
      </c>
      <c r="E1604" s="381" t="s">
        <v>2926</v>
      </c>
      <c r="F1604" s="632">
        <f>+MOD(Tabla8[[#This Row],[HR. FIN]]-Tabla8[[#This Row],[HR. INICIO]],1)</f>
        <v>1.9444444444444486E-2</v>
      </c>
      <c r="G1604" s="16" t="s">
        <v>182</v>
      </c>
      <c r="H1604" s="79" t="str">
        <f>IFERROR(VLOOKUP(G1604,DATOS!$M$2:$N$219,2,FALSE),"")</f>
        <v>Maquinaria</v>
      </c>
      <c r="I1604" s="115" t="s">
        <v>57</v>
      </c>
      <c r="J1604" s="115" t="s">
        <v>92</v>
      </c>
      <c r="K1604" s="115" t="s">
        <v>93</v>
      </c>
      <c r="L1604" s="35" t="s">
        <v>2927</v>
      </c>
      <c r="M1604" s="35" t="s">
        <v>864</v>
      </c>
      <c r="N1604" s="35" t="str" cm="1">
        <f t="array" ref="N1604">IFERROR(IF(Tabla8[[#This Row],[P/NP]]="NO PROGRAMADA","",_xlfn.TEXTJOIN(", ",TRUE,_xlfn._xlws.FILTER(Tabla4[[#All],[PIEZA]],ISNUMBER(SEARCH(Tabla4[[#All],[PCLAVE]],Tabla8[[#This Row],[DESCRIPCION DE TRABAJO]])),""))),"")</f>
        <v/>
      </c>
      <c r="O1604" s="35" t="str" cm="1">
        <f t="array" ref="O1604">_xlfn.TEXTJOIN(", ",TRUE,_xlfn._xlws.FILTER(Tabla28[[#All],[PARTE]],ISNUMBER(SEARCH(Tabla28[[#All],[PCLAVE2]],Tabla8[[#This Row],[DESCRIPCION DE TRABAJO]])),""))</f>
        <v/>
      </c>
      <c r="P1604" s="633" t="str">
        <f>IFERROR(LEFT(O1604, FIND(",", O1604)-1), O1604)</f>
        <v/>
      </c>
      <c r="Q1604" s="633" t="str">
        <f>IFERROR(IF(ISERROR(FIND(",", O1604, FIND(",", O1604)+1)), RIGHT(O1604, LEN(O1604)-FIND(",", O1604)-1), MID(O1604, FIND(",", O1604)+2, FIND(",", O1604, FIND(",", O1604)+1)-FIND(",", O1604)-2)), "")</f>
        <v/>
      </c>
      <c r="R1604" s="633" t="str">
        <f>IFERROR(RIGHT(O1604, LEN(O1604)-FIND(",", O1604, FIND(",", O1604)+1)-1), "")</f>
        <v/>
      </c>
      <c r="S1604" s="35" t="str" cm="1">
        <f t="array" ref="S1604">_xlfn.TEXTJOIN(", ",TRUE,_xlfn._xlws.FILTER(Tabla29[[#All],[PARTE]],ISNUMBER(SEARCH(Tabla29[[#All],[PCLAVE3]],Tabla8[[#This Row],[DESCRIPCION DE TRABAJO]])),""))</f>
        <v/>
      </c>
      <c r="T1604" s="88" t="str">
        <f>IF(AND(Tabla8[[#This Row],[PIEZA]]="",Tabla8[[#This Row],[PARTE]]=""),"VACIO","OK")</f>
        <v>VACIO</v>
      </c>
      <c r="U1604" s="633" t="str">
        <f>+CONCATENATE(WEEKNUM(Tabla8[[#This Row],[FECHA]]),"-",YEAR(Tabla8[[#This Row],[FECHA]]))</f>
        <v>23-2026</v>
      </c>
    </row>
    <row r="1605" spans="1:21" ht="15" customHeight="1">
      <c r="A1605" s="22">
        <v>46177</v>
      </c>
      <c r="B1605" s="16" t="s">
        <v>111</v>
      </c>
      <c r="C1605" s="16" t="s">
        <v>39</v>
      </c>
      <c r="D1605" s="381" t="s">
        <v>1620</v>
      </c>
      <c r="E1605" s="381" t="s">
        <v>498</v>
      </c>
      <c r="F1605" s="632">
        <f>+MOD(Tabla8[[#This Row],[HR. FIN]]-Tabla8[[#This Row],[HR. INICIO]],1)</f>
        <v>1.736111111111116E-2</v>
      </c>
      <c r="G1605" s="16" t="s">
        <v>128</v>
      </c>
      <c r="H1605" s="79" t="str">
        <f>IFERROR(VLOOKUP(G1605,DATOS!$M$2:$N$219,2,FALSE),"")</f>
        <v>Maquinaria</v>
      </c>
      <c r="I1605" s="115" t="s">
        <v>186</v>
      </c>
      <c r="J1605" s="115" t="s">
        <v>92</v>
      </c>
      <c r="K1605" s="115" t="s">
        <v>148</v>
      </c>
      <c r="L1605" s="35" t="s">
        <v>2928</v>
      </c>
      <c r="M1605" s="35" t="s">
        <v>2929</v>
      </c>
      <c r="N1605" s="35" t="str" cm="1">
        <f t="array" ref="N1605">IFERROR(IF(Tabla8[[#This Row],[P/NP]]="NO PROGRAMADA","",_xlfn.TEXTJOIN(", ",TRUE,_xlfn._xlws.FILTER(Tabla4[[#All],[PIEZA]],ISNUMBER(SEARCH(Tabla4[[#All],[PCLAVE]],Tabla8[[#This Row],[DESCRIPCION DE TRABAJO]])),""))),"")</f>
        <v/>
      </c>
      <c r="O1605" s="35" t="str" cm="1">
        <f t="array" ref="O1605">_xlfn.TEXTJOIN(", ",TRUE,_xlfn._xlws.FILTER(Tabla28[[#All],[PARTE]],ISNUMBER(SEARCH(Tabla28[[#All],[PCLAVE2]],Tabla8[[#This Row],[DESCRIPCION DE TRABAJO]])),""))</f>
        <v/>
      </c>
      <c r="P1605" s="633" t="str">
        <f>IFERROR(LEFT(O1605, FIND(",", O1605)-1), O1605)</f>
        <v/>
      </c>
      <c r="Q1605" s="633" t="str">
        <f>IFERROR(IF(ISERROR(FIND(",", O1605, FIND(",", O1605)+1)), RIGHT(O1605, LEN(O1605)-FIND(",", O1605)-1), MID(O1605, FIND(",", O1605)+2, FIND(",", O1605, FIND(",", O1605)+1)-FIND(",", O1605)-2)), "")</f>
        <v/>
      </c>
      <c r="R1605" s="633" t="str">
        <f>IFERROR(RIGHT(O1605, LEN(O1605)-FIND(",", O1605, FIND(",", O1605)+1)-1), "")</f>
        <v/>
      </c>
      <c r="S1605" s="35" t="str" cm="1">
        <f t="array" ref="S1605">_xlfn.TEXTJOIN(", ",TRUE,_xlfn._xlws.FILTER(Tabla29[[#All],[PARTE]],ISNUMBER(SEARCH(Tabla29[[#All],[PCLAVE3]],Tabla8[[#This Row],[DESCRIPCION DE TRABAJO]])),""))</f>
        <v/>
      </c>
      <c r="T1605" s="88" t="str">
        <f>IF(AND(Tabla8[[#This Row],[PIEZA]]="",Tabla8[[#This Row],[PARTE]]=""),"VACIO","OK")</f>
        <v>VACIO</v>
      </c>
      <c r="U1605" s="633" t="str">
        <f>+CONCATENATE(WEEKNUM(Tabla8[[#This Row],[FECHA]]),"-",YEAR(Tabla8[[#This Row],[FECHA]]))</f>
        <v>23-2026</v>
      </c>
    </row>
    <row r="1606" spans="1:21" ht="15" customHeight="1">
      <c r="A1606" s="22">
        <v>46177</v>
      </c>
      <c r="B1606" s="16" t="s">
        <v>131</v>
      </c>
      <c r="C1606" s="16" t="s">
        <v>36</v>
      </c>
      <c r="D1606" s="381" t="s">
        <v>939</v>
      </c>
      <c r="E1606" s="381" t="s">
        <v>281</v>
      </c>
      <c r="F1606" s="632">
        <f>+MOD(Tabla8[[#This Row],[HR. FIN]]-Tabla8[[#This Row],[HR. INICIO]],1)</f>
        <v>1.736111111111116E-2</v>
      </c>
      <c r="G1606" s="16" t="s">
        <v>128</v>
      </c>
      <c r="H1606" s="79" t="str">
        <f>IFERROR(VLOOKUP(G1606,DATOS!$M$2:$N$219,2,FALSE),"")</f>
        <v>Maquinaria</v>
      </c>
      <c r="I1606" s="115" t="s">
        <v>390</v>
      </c>
      <c r="J1606" s="115" t="s">
        <v>92</v>
      </c>
      <c r="K1606" s="115" t="s">
        <v>93</v>
      </c>
      <c r="L1606" s="35" t="s">
        <v>2930</v>
      </c>
      <c r="M1606" s="35" t="s">
        <v>2931</v>
      </c>
      <c r="N1606" s="35" t="str" cm="1">
        <f t="array" ref="N1606">IFERROR(IF(Tabla8[[#This Row],[P/NP]]="NO PROGRAMADA","",_xlfn.TEXTJOIN(", ",TRUE,_xlfn._xlws.FILTER(Tabla4[[#All],[PIEZA]],ISNUMBER(SEARCH(Tabla4[[#All],[PCLAVE]],Tabla8[[#This Row],[DESCRIPCION DE TRABAJO]])),""))),"")</f>
        <v/>
      </c>
      <c r="O1606" s="35" t="str" cm="1">
        <f t="array" ref="O1606">_xlfn.TEXTJOIN(", ",TRUE,_xlfn._xlws.FILTER(Tabla28[[#All],[PARTE]],ISNUMBER(SEARCH(Tabla28[[#All],[PCLAVE2]],Tabla8[[#This Row],[DESCRIPCION DE TRABAJO]])),""))</f>
        <v>Horno</v>
      </c>
      <c r="P1606" s="633" t="str">
        <f>IFERROR(LEFT(O1606, FIND(",", O1606)-1), O1606)</f>
        <v>Horno</v>
      </c>
      <c r="Q1606" s="633" t="str">
        <f>IFERROR(IF(ISERROR(FIND(",", O1606, FIND(",", O1606)+1)), RIGHT(O1606, LEN(O1606)-FIND(",", O1606)-1), MID(O1606, FIND(",", O1606)+2, FIND(",", O1606, FIND(",", O1606)+1)-FIND(",", O1606)-2)), "")</f>
        <v/>
      </c>
      <c r="R1606" s="633" t="str">
        <f>IFERROR(RIGHT(O1606, LEN(O1606)-FIND(",", O1606, FIND(",", O1606)+1)-1), "")</f>
        <v/>
      </c>
      <c r="S1606" s="35" t="str" cm="1">
        <f t="array" ref="S1606">_xlfn.TEXTJOIN(", ",TRUE,_xlfn._xlws.FILTER(Tabla29[[#All],[PARTE]],ISNUMBER(SEARCH(Tabla29[[#All],[PCLAVE3]],Tabla8[[#This Row],[DESCRIPCION DE TRABAJO]])),""))</f>
        <v/>
      </c>
      <c r="T1606" s="88" t="str">
        <f>IF(AND(Tabla8[[#This Row],[PIEZA]]="",Tabla8[[#This Row],[PARTE]]=""),"VACIO","OK")</f>
        <v>OK</v>
      </c>
      <c r="U1606" s="633" t="str">
        <f>+CONCATENATE(WEEKNUM(Tabla8[[#This Row],[FECHA]]),"-",YEAR(Tabla8[[#This Row],[FECHA]]))</f>
        <v>23-2026</v>
      </c>
    </row>
    <row r="1607" spans="1:21" ht="15" customHeight="1">
      <c r="A1607" s="22">
        <v>46177</v>
      </c>
      <c r="B1607" s="16" t="s">
        <v>111</v>
      </c>
      <c r="C1607" s="16" t="s">
        <v>39</v>
      </c>
      <c r="D1607" s="381" t="s">
        <v>167</v>
      </c>
      <c r="E1607" s="381" t="s">
        <v>1493</v>
      </c>
      <c r="F1607" s="632">
        <f>+MOD(Tabla8[[#This Row],[HR. FIN]]-Tabla8[[#This Row],[HR. INICIO]],1)</f>
        <v>1.7361111111111115E-2</v>
      </c>
      <c r="G1607" s="16" t="s">
        <v>119</v>
      </c>
      <c r="H1607" s="79" t="str">
        <f>IFERROR(VLOOKUP(G1607,DATOS!$M$2:$N$219,2,FALSE),"")</f>
        <v>Maquinaria</v>
      </c>
      <c r="I1607" s="115" t="s">
        <v>57</v>
      </c>
      <c r="J1607" s="115" t="s">
        <v>92</v>
      </c>
      <c r="K1607" s="115" t="s">
        <v>148</v>
      </c>
      <c r="L1607" s="35" t="s">
        <v>2932</v>
      </c>
      <c r="M1607" s="35" t="s">
        <v>2933</v>
      </c>
      <c r="N1607" s="35" t="str" cm="1">
        <f t="array" ref="N1607">IFERROR(IF(Tabla8[[#This Row],[P/NP]]="NO PROGRAMADA","",_xlfn.TEXTJOIN(", ",TRUE,_xlfn._xlws.FILTER(Tabla4[[#All],[PIEZA]],ISNUMBER(SEARCH(Tabla4[[#All],[PCLAVE]],Tabla8[[#This Row],[DESCRIPCION DE TRABAJO]])),""))),"")</f>
        <v/>
      </c>
      <c r="O1607" s="35" t="str" cm="1">
        <f t="array" ref="O1607">_xlfn.TEXTJOIN(", ",TRUE,_xlfn._xlws.FILTER(Tabla28[[#All],[PARTE]],ISNUMBER(SEARCH(Tabla28[[#All],[PCLAVE2]],Tabla8[[#This Row],[DESCRIPCION DE TRABAJO]])),""))</f>
        <v>Extension</v>
      </c>
      <c r="P1607" s="633" t="str">
        <f>IFERROR(LEFT(O1607, FIND(",", O1607)-1), O1607)</f>
        <v>Extension</v>
      </c>
      <c r="Q1607" s="633" t="str">
        <f>IFERROR(IF(ISERROR(FIND(",", O1607, FIND(",", O1607)+1)), RIGHT(O1607, LEN(O1607)-FIND(",", O1607)-1), MID(O1607, FIND(",", O1607)+2, FIND(",", O1607, FIND(",", O1607)+1)-FIND(",", O1607)-2)), "")</f>
        <v/>
      </c>
      <c r="R1607" s="633" t="str">
        <f>IFERROR(RIGHT(O1607, LEN(O1607)-FIND(",", O1607, FIND(",", O1607)+1)-1), "")</f>
        <v/>
      </c>
      <c r="S1607" s="35" t="str" cm="1">
        <f t="array" ref="S1607">_xlfn.TEXTJOIN(", ",TRUE,_xlfn._xlws.FILTER(Tabla29[[#All],[PARTE]],ISNUMBER(SEARCH(Tabla29[[#All],[PCLAVE3]],Tabla8[[#This Row],[DESCRIPCION DE TRABAJO]])),""))</f>
        <v>Fuera De Posicion, Fuera De Tiempo</v>
      </c>
      <c r="T1607" s="88" t="str">
        <f>IF(AND(Tabla8[[#This Row],[PIEZA]]="",Tabla8[[#This Row],[PARTE]]=""),"VACIO","OK")</f>
        <v>OK</v>
      </c>
      <c r="U1607" s="633" t="str">
        <f>+CONCATENATE(WEEKNUM(Tabla8[[#This Row],[FECHA]]),"-",YEAR(Tabla8[[#This Row],[FECHA]]))</f>
        <v>23-2026</v>
      </c>
    </row>
    <row r="1608" spans="1:21" ht="15" customHeight="1">
      <c r="A1608" s="22">
        <v>46177</v>
      </c>
      <c r="B1608" s="16" t="s">
        <v>131</v>
      </c>
      <c r="C1608" s="16" t="s">
        <v>36</v>
      </c>
      <c r="D1608" s="381" t="s">
        <v>495</v>
      </c>
      <c r="E1608" s="381" t="s">
        <v>697</v>
      </c>
      <c r="F1608" s="632">
        <f>+MOD(Tabla8[[#This Row],[HR. FIN]]-Tabla8[[#This Row],[HR. INICIO]],1)</f>
        <v>1.7361111111111105E-2</v>
      </c>
      <c r="G1608" s="16" t="s">
        <v>153</v>
      </c>
      <c r="H1608" s="79" t="str">
        <f>IFERROR(VLOOKUP(G1608,DATOS!$M$2:$N$219,2,FALSE),"")</f>
        <v>Maquinaria</v>
      </c>
      <c r="I1608" s="115" t="s">
        <v>57</v>
      </c>
      <c r="J1608" s="115" t="s">
        <v>92</v>
      </c>
      <c r="K1608" s="115" t="s">
        <v>93</v>
      </c>
      <c r="L1608" s="35" t="s">
        <v>2934</v>
      </c>
      <c r="M1608" s="35" t="s">
        <v>2935</v>
      </c>
      <c r="N1608" s="35" t="str" cm="1">
        <f t="array" ref="N1608">IFERROR(IF(Tabla8[[#This Row],[P/NP]]="NO PROGRAMADA","",_xlfn.TEXTJOIN(", ",TRUE,_xlfn._xlws.FILTER(Tabla4[[#All],[PIEZA]],ISNUMBER(SEARCH(Tabla4[[#All],[PCLAVE]],Tabla8[[#This Row],[DESCRIPCION DE TRABAJO]])),""))),"")</f>
        <v/>
      </c>
      <c r="O1608" s="35" t="str" cm="1">
        <f t="array" ref="O1608">_xlfn.TEXTJOIN(", ",TRUE,_xlfn._xlws.FILTER(Tabla28[[#All],[PARTE]],ISNUMBER(SEARCH(Tabla28[[#All],[PCLAVE2]],Tabla8[[#This Row],[DESCRIPCION DE TRABAJO]])),""))</f>
        <v>Contraelevador</v>
      </c>
      <c r="P1608" s="633" t="str">
        <f>IFERROR(LEFT(O1608, FIND(",", O1608)-1), O1608)</f>
        <v>Contraelevador</v>
      </c>
      <c r="Q1608" s="633" t="str">
        <f>IFERROR(IF(ISERROR(FIND(",", O1608, FIND(",", O1608)+1)), RIGHT(O1608, LEN(O1608)-FIND(",", O1608)-1), MID(O1608, FIND(",", O1608)+2, FIND(",", O1608, FIND(",", O1608)+1)-FIND(",", O1608)-2)), "")</f>
        <v/>
      </c>
      <c r="R1608" s="633" t="str">
        <f>IFERROR(RIGHT(O1608, LEN(O1608)-FIND(",", O1608, FIND(",", O1608)+1)-1), "")</f>
        <v/>
      </c>
      <c r="S1608" s="35" t="str" cm="1">
        <f t="array" ref="S1608">_xlfn.TEXTJOIN(", ",TRUE,_xlfn._xlws.FILTER(Tabla29[[#All],[PARTE]],ISNUMBER(SEARCH(Tabla29[[#All],[PCLAVE3]],Tabla8[[#This Row],[DESCRIPCION DE TRABAJO]])),""))</f>
        <v/>
      </c>
      <c r="T1608" s="88" t="str">
        <f>IF(AND(Tabla8[[#This Row],[PIEZA]]="",Tabla8[[#This Row],[PARTE]]=""),"VACIO","OK")</f>
        <v>OK</v>
      </c>
      <c r="U1608" s="633" t="str">
        <f>+CONCATENATE(WEEKNUM(Tabla8[[#This Row],[FECHA]]),"-",YEAR(Tabla8[[#This Row],[FECHA]]))</f>
        <v>23-2026</v>
      </c>
    </row>
    <row r="1609" spans="1:21" ht="15" customHeight="1">
      <c r="A1609" s="22">
        <v>46177</v>
      </c>
      <c r="B1609" s="16" t="s">
        <v>111</v>
      </c>
      <c r="C1609" s="16" t="s">
        <v>39</v>
      </c>
      <c r="D1609" s="381" t="s">
        <v>2306</v>
      </c>
      <c r="E1609" s="381" t="s">
        <v>901</v>
      </c>
      <c r="F1609" s="632">
        <f>+MOD(Tabla8[[#This Row],[HR. FIN]]-Tabla8[[#This Row],[HR. INICIO]],1)</f>
        <v>1.7361111111111049E-2</v>
      </c>
      <c r="G1609" s="16" t="s">
        <v>119</v>
      </c>
      <c r="H1609" s="79" t="str">
        <f>IFERROR(VLOOKUP(G1609,DATOS!$M$2:$N$219,2,FALSE),"")</f>
        <v>Maquinaria</v>
      </c>
      <c r="I1609" s="115" t="s">
        <v>54</v>
      </c>
      <c r="J1609" s="115" t="s">
        <v>157</v>
      </c>
      <c r="K1609" s="115"/>
      <c r="L1609" s="35" t="s">
        <v>489</v>
      </c>
      <c r="M1609" s="35" t="s">
        <v>121</v>
      </c>
      <c r="N1609" s="35" t="str" cm="1">
        <f t="array" ref="N1609">IFERROR(IF(Tabla8[[#This Row],[P/NP]]="NO PROGRAMADA","",_xlfn.TEXTJOIN(", ",TRUE,_xlfn._xlws.FILTER(Tabla4[[#All],[PIEZA]],ISNUMBER(SEARCH(Tabla4[[#All],[PCLAVE]],Tabla8[[#This Row],[DESCRIPCION DE TRABAJO]])),""))),"")</f>
        <v/>
      </c>
      <c r="O1609" s="35" t="str" cm="1">
        <f t="array" ref="O1609">_xlfn.TEXTJOIN(", ",TRUE,_xlfn._xlws.FILTER(Tabla28[[#All],[PARTE]],ISNUMBER(SEARCH(Tabla28[[#All],[PCLAVE2]],Tabla8[[#This Row],[DESCRIPCION DE TRABAJO]])),""))</f>
        <v>Temperadora</v>
      </c>
      <c r="P1609" s="633" t="str">
        <f>IFERROR(LEFT(O1609, FIND(",", O1609)-1), O1609)</f>
        <v>Temperadora</v>
      </c>
      <c r="Q1609" s="633" t="str">
        <f>IFERROR(IF(ISERROR(FIND(",", O1609, FIND(",", O1609)+1)), RIGHT(O1609, LEN(O1609)-FIND(",", O1609)-1), MID(O1609, FIND(",", O1609)+2, FIND(",", O1609, FIND(",", O1609)+1)-FIND(",", O1609)-2)), "")</f>
        <v/>
      </c>
      <c r="R1609" s="633" t="str">
        <f>IFERROR(RIGHT(O1609, LEN(O1609)-FIND(",", O1609, FIND(",", O1609)+1)-1), "")</f>
        <v/>
      </c>
      <c r="S1609" s="35" t="str" cm="1">
        <f t="array" ref="S1609">_xlfn.TEXTJOIN(", ",TRUE,_xlfn._xlws.FILTER(Tabla29[[#All],[PARTE]],ISNUMBER(SEARCH(Tabla29[[#All],[PCLAVE3]],Tabla8[[#This Row],[DESCRIPCION DE TRABAJO]])),""))</f>
        <v/>
      </c>
      <c r="T1609" s="88" t="str">
        <f>IF(AND(Tabla8[[#This Row],[PIEZA]]="",Tabla8[[#This Row],[PARTE]]=""),"VACIO","OK")</f>
        <v>OK</v>
      </c>
      <c r="U1609" s="633" t="str">
        <f>+CONCATENATE(WEEKNUM(Tabla8[[#This Row],[FECHA]]),"-",YEAR(Tabla8[[#This Row],[FECHA]]))</f>
        <v>23-2026</v>
      </c>
    </row>
    <row r="1610" spans="1:21" ht="15" customHeight="1">
      <c r="A1610" s="22">
        <v>46177</v>
      </c>
      <c r="B1610" s="16" t="s">
        <v>111</v>
      </c>
      <c r="C1610" s="16" t="s">
        <v>39</v>
      </c>
      <c r="D1610" s="381" t="s">
        <v>2936</v>
      </c>
      <c r="E1610" s="381" t="s">
        <v>1271</v>
      </c>
      <c r="F1610" s="632">
        <f>+MOD(Tabla8[[#This Row],[HR. FIN]]-Tabla8[[#This Row],[HR. INICIO]],1)</f>
        <v>1.6666666666666718E-2</v>
      </c>
      <c r="G1610" s="16" t="s">
        <v>81</v>
      </c>
      <c r="H1610" s="79" t="str">
        <f>IFERROR(VLOOKUP(G1610,DATOS!$M$2:$N$219,2,FALSE),"")</f>
        <v>Maquinaria</v>
      </c>
      <c r="I1610" s="115" t="s">
        <v>57</v>
      </c>
      <c r="J1610" s="115" t="s">
        <v>92</v>
      </c>
      <c r="K1610" s="115" t="s">
        <v>93</v>
      </c>
      <c r="L1610" s="35" t="s">
        <v>2937</v>
      </c>
      <c r="M1610" s="35" t="s">
        <v>2938</v>
      </c>
      <c r="N1610" s="35" t="str" cm="1">
        <f t="array" ref="N1610">IFERROR(IF(Tabla8[[#This Row],[P/NP]]="NO PROGRAMADA","",_xlfn.TEXTJOIN(", ",TRUE,_xlfn._xlws.FILTER(Tabla4[[#All],[PIEZA]],ISNUMBER(SEARCH(Tabla4[[#All],[PCLAVE]],Tabla8[[#This Row],[DESCRIPCION DE TRABAJO]])),""))),"")</f>
        <v/>
      </c>
      <c r="O1610" s="35" t="str" cm="1">
        <f t="array" ref="O1610">_xlfn.TEXTJOIN(", ",TRUE,_xlfn._xlws.FILTER(Tabla28[[#All],[PARTE]],ISNUMBER(SEARCH(Tabla28[[#All],[PCLAVE2]],Tabla8[[#This Row],[DESCRIPCION DE TRABAJO]])),""))</f>
        <v/>
      </c>
      <c r="P1610" s="633" t="str">
        <f>IFERROR(LEFT(O1610, FIND(",", O1610)-1), O1610)</f>
        <v/>
      </c>
      <c r="Q1610" s="633" t="str">
        <f>IFERROR(IF(ISERROR(FIND(",", O1610, FIND(",", O1610)+1)), RIGHT(O1610, LEN(O1610)-FIND(",", O1610)-1), MID(O1610, FIND(",", O1610)+2, FIND(",", O1610, FIND(",", O1610)+1)-FIND(",", O1610)-2)), "")</f>
        <v/>
      </c>
      <c r="R1610" s="633" t="str">
        <f>IFERROR(RIGHT(O1610, LEN(O1610)-FIND(",", O1610, FIND(",", O1610)+1)-1), "")</f>
        <v/>
      </c>
      <c r="S1610" s="35" t="str" cm="1">
        <f t="array" ref="S1610">_xlfn.TEXTJOIN(", ",TRUE,_xlfn._xlws.FILTER(Tabla29[[#All],[PARTE]],ISNUMBER(SEARCH(Tabla29[[#All],[PCLAVE3]],Tabla8[[#This Row],[DESCRIPCION DE TRABAJO]])),""))</f>
        <v>Laminado</v>
      </c>
      <c r="T1610" s="88" t="str">
        <f>IF(AND(Tabla8[[#This Row],[PIEZA]]="",Tabla8[[#This Row],[PARTE]]=""),"VACIO","OK")</f>
        <v>VACIO</v>
      </c>
      <c r="U1610" s="633" t="str">
        <f>+CONCATENATE(WEEKNUM(Tabla8[[#This Row],[FECHA]]),"-",YEAR(Tabla8[[#This Row],[FECHA]]))</f>
        <v>23-2026</v>
      </c>
    </row>
    <row r="1611" spans="1:21" ht="15" customHeight="1">
      <c r="A1611" s="22">
        <v>46177</v>
      </c>
      <c r="B1611" s="16" t="s">
        <v>131</v>
      </c>
      <c r="C1611" s="16" t="s">
        <v>36</v>
      </c>
      <c r="D1611" s="381" t="s">
        <v>2115</v>
      </c>
      <c r="E1611" s="381" t="s">
        <v>430</v>
      </c>
      <c r="F1611" s="632">
        <f>+MOD(Tabla8[[#This Row],[HR. FIN]]-Tabla8[[#This Row],[HR. INICIO]],1)</f>
        <v>1.4583333333333337E-2</v>
      </c>
      <c r="G1611" s="16" t="s">
        <v>236</v>
      </c>
      <c r="H1611" s="79" t="str">
        <f>IFERROR(VLOOKUP(G1611,DATOS!$M$2:$N$219,2,FALSE),"")</f>
        <v>Sistema</v>
      </c>
      <c r="I1611" s="115" t="s">
        <v>186</v>
      </c>
      <c r="J1611" s="115" t="s">
        <v>92</v>
      </c>
      <c r="K1611" s="115" t="s">
        <v>93</v>
      </c>
      <c r="L1611" s="35" t="s">
        <v>2939</v>
      </c>
      <c r="M1611" s="35" t="s">
        <v>2940</v>
      </c>
      <c r="N1611" s="35" t="str" cm="1">
        <f t="array" ref="N1611">IFERROR(IF(Tabla8[[#This Row],[P/NP]]="NO PROGRAMADA","",_xlfn.TEXTJOIN(", ",TRUE,_xlfn._xlws.FILTER(Tabla4[[#All],[PIEZA]],ISNUMBER(SEARCH(Tabla4[[#All],[PCLAVE]],Tabla8[[#This Row],[DESCRIPCION DE TRABAJO]])),""))),"")</f>
        <v/>
      </c>
      <c r="O1611" s="35" t="str" cm="1">
        <f t="array" ref="O1611">_xlfn.TEXTJOIN(", ",TRUE,_xlfn._xlws.FILTER(Tabla28[[#All],[PARTE]],ISNUMBER(SEARCH(Tabla28[[#All],[PCLAVE2]],Tabla8[[#This Row],[DESCRIPCION DE TRABAJO]])),""))</f>
        <v/>
      </c>
      <c r="P1611" s="633" t="str">
        <f>IFERROR(LEFT(O1611, FIND(",", O1611)-1), O1611)</f>
        <v/>
      </c>
      <c r="Q1611" s="633" t="str">
        <f>IFERROR(IF(ISERROR(FIND(",", O1611, FIND(",", O1611)+1)), RIGHT(O1611, LEN(O1611)-FIND(",", O1611)-1), MID(O1611, FIND(",", O1611)+2, FIND(",", O1611, FIND(",", O1611)+1)-FIND(",", O1611)-2)), "")</f>
        <v/>
      </c>
      <c r="R1611" s="633" t="str">
        <f>IFERROR(RIGHT(O1611, LEN(O1611)-FIND(",", O1611, FIND(",", O1611)+1)-1), "")</f>
        <v/>
      </c>
      <c r="S1611" s="35" t="str" cm="1">
        <f t="array" ref="S1611">_xlfn.TEXTJOIN(", ",TRUE,_xlfn._xlws.FILTER(Tabla29[[#All],[PARTE]],ISNUMBER(SEARCH(Tabla29[[#All],[PCLAVE3]],Tabla8[[#This Row],[DESCRIPCION DE TRABAJO]])),""))</f>
        <v>Falla De Presion</v>
      </c>
      <c r="T1611" s="88" t="str">
        <f>IF(AND(Tabla8[[#This Row],[PIEZA]]="",Tabla8[[#This Row],[PARTE]]=""),"VACIO","OK")</f>
        <v>VACIO</v>
      </c>
      <c r="U1611" s="633" t="str">
        <f>+CONCATENATE(WEEKNUM(Tabla8[[#This Row],[FECHA]]),"-",YEAR(Tabla8[[#This Row],[FECHA]]))</f>
        <v>23-2026</v>
      </c>
    </row>
    <row r="1612" spans="1:21" ht="15" customHeight="1">
      <c r="A1612" s="22">
        <v>46177</v>
      </c>
      <c r="B1612" s="16" t="s">
        <v>111</v>
      </c>
      <c r="C1612" s="16" t="s">
        <v>39</v>
      </c>
      <c r="D1612" s="381" t="s">
        <v>2079</v>
      </c>
      <c r="E1612" s="381" t="s">
        <v>434</v>
      </c>
      <c r="F1612" s="632">
        <f>+MOD(Tabla8[[#This Row],[HR. FIN]]-Tabla8[[#This Row],[HR. INICIO]],1)</f>
        <v>1.3888888888888895E-2</v>
      </c>
      <c r="G1612" s="16" t="s">
        <v>182</v>
      </c>
      <c r="H1612" s="79" t="str">
        <f>IFERROR(VLOOKUP(G1612,DATOS!$M$2:$N$219,2,FALSE),"")</f>
        <v>Maquinaria</v>
      </c>
      <c r="I1612" s="115" t="s">
        <v>186</v>
      </c>
      <c r="J1612" s="115" t="s">
        <v>92</v>
      </c>
      <c r="K1612" s="115" t="s">
        <v>93</v>
      </c>
      <c r="L1612" s="35" t="s">
        <v>2941</v>
      </c>
      <c r="M1612" s="35" t="s">
        <v>2942</v>
      </c>
      <c r="N1612" s="35" t="str" cm="1">
        <f t="array" ref="N1612">IFERROR(IF(Tabla8[[#This Row],[P/NP]]="NO PROGRAMADA","",_xlfn.TEXTJOIN(", ",TRUE,_xlfn._xlws.FILTER(Tabla4[[#All],[PIEZA]],ISNUMBER(SEARCH(Tabla4[[#All],[PCLAVE]],Tabla8[[#This Row],[DESCRIPCION DE TRABAJO]])),""))),"")</f>
        <v/>
      </c>
      <c r="O1612" s="35" t="str" cm="1">
        <f t="array" ref="O1612">_xlfn.TEXTJOIN(", ",TRUE,_xlfn._xlws.FILTER(Tabla28[[#All],[PARTE]],ISNUMBER(SEARCH(Tabla28[[#All],[PCLAVE2]],Tabla8[[#This Row],[DESCRIPCION DE TRABAJO]])),""))</f>
        <v/>
      </c>
      <c r="P1612" s="633" t="str">
        <f>IFERROR(LEFT(O1612, FIND(",", O1612)-1), O1612)</f>
        <v/>
      </c>
      <c r="Q1612" s="633" t="str">
        <f>IFERROR(IF(ISERROR(FIND(",", O1612, FIND(",", O1612)+1)), RIGHT(O1612, LEN(O1612)-FIND(",", O1612)-1), MID(O1612, FIND(",", O1612)+2, FIND(",", O1612, FIND(",", O1612)+1)-FIND(",", O1612)-2)), "")</f>
        <v/>
      </c>
      <c r="R1612" s="633" t="str">
        <f>IFERROR(RIGHT(O1612, LEN(O1612)-FIND(",", O1612, FIND(",", O1612)+1)-1), "")</f>
        <v/>
      </c>
      <c r="S1612" s="35" t="str" cm="1">
        <f t="array" ref="S1612">_xlfn.TEXTJOIN(", ",TRUE,_xlfn._xlws.FILTER(Tabla29[[#All],[PARTE]],ISNUMBER(SEARCH(Tabla29[[#All],[PCLAVE3]],Tabla8[[#This Row],[DESCRIPCION DE TRABAJO]])),""))</f>
        <v>Sellado</v>
      </c>
      <c r="T1612" s="88" t="str">
        <f>IF(AND(Tabla8[[#This Row],[PIEZA]]="",Tabla8[[#This Row],[PARTE]]=""),"VACIO","OK")</f>
        <v>VACIO</v>
      </c>
      <c r="U1612" s="633" t="str">
        <f>+CONCATENATE(WEEKNUM(Tabla8[[#This Row],[FECHA]]),"-",YEAR(Tabla8[[#This Row],[FECHA]]))</f>
        <v>23-2026</v>
      </c>
    </row>
    <row r="1613" spans="1:21" ht="15" customHeight="1">
      <c r="A1613" s="22">
        <v>46177</v>
      </c>
      <c r="B1613" s="16" t="s">
        <v>88</v>
      </c>
      <c r="C1613" s="16" t="s">
        <v>36</v>
      </c>
      <c r="D1613" s="381" t="s">
        <v>430</v>
      </c>
      <c r="E1613" s="381" t="s">
        <v>102</v>
      </c>
      <c r="F1613" s="632">
        <f>+MOD(Tabla8[[#This Row],[HR. FIN]]-Tabla8[[#This Row],[HR. INICIO]],1)</f>
        <v>1.3888888888888895E-2</v>
      </c>
      <c r="G1613" s="16" t="s">
        <v>119</v>
      </c>
      <c r="H1613" s="79" t="str">
        <f>IFERROR(VLOOKUP(G1613,DATOS!$M$2:$N$219,2,FALSE),"")</f>
        <v>Maquinaria</v>
      </c>
      <c r="I1613" s="115" t="s">
        <v>32</v>
      </c>
      <c r="J1613" s="115" t="s">
        <v>157</v>
      </c>
      <c r="K1613" s="115"/>
      <c r="L1613" s="35" t="s">
        <v>2943</v>
      </c>
      <c r="M1613" s="35" t="s">
        <v>1166</v>
      </c>
      <c r="N1613" s="35" t="str" cm="1">
        <f t="array" ref="N1613">IFERROR(IF(Tabla8[[#This Row],[P/NP]]="NO PROGRAMADA","",_xlfn.TEXTJOIN(", ",TRUE,_xlfn._xlws.FILTER(Tabla4[[#All],[PIEZA]],ISNUMBER(SEARCH(Tabla4[[#All],[PCLAVE]],Tabla8[[#This Row],[DESCRIPCION DE TRABAJO]])),""))),"")</f>
        <v/>
      </c>
      <c r="O1613" s="35" t="str" cm="1">
        <f t="array" ref="O1613">_xlfn.TEXTJOIN(", ",TRUE,_xlfn._xlws.FILTER(Tabla28[[#All],[PARTE]],ISNUMBER(SEARCH(Tabla28[[#All],[PCLAVE2]],Tabla8[[#This Row],[DESCRIPCION DE TRABAJO]])),""))</f>
        <v>Mds</v>
      </c>
      <c r="P1613" s="633" t="str">
        <f>IFERROR(LEFT(O1613, FIND(",", O1613)-1), O1613)</f>
        <v>Mds</v>
      </c>
      <c r="Q1613" s="633" t="str">
        <f>IFERROR(IF(ISERROR(FIND(",", O1613, FIND(",", O1613)+1)), RIGHT(O1613, LEN(O1613)-FIND(",", O1613)-1), MID(O1613, FIND(",", O1613)+2, FIND(",", O1613, FIND(",", O1613)+1)-FIND(",", O1613)-2)), "")</f>
        <v/>
      </c>
      <c r="R1613" s="633" t="str">
        <f>IFERROR(RIGHT(O1613, LEN(O1613)-FIND(",", O1613, FIND(",", O1613)+1)-1), "")</f>
        <v/>
      </c>
      <c r="S1613" s="35" t="str" cm="1">
        <f t="array" ref="S1613">_xlfn.TEXTJOIN(", ",TRUE,_xlfn._xlws.FILTER(Tabla29[[#All],[PARTE]],ISNUMBER(SEARCH(Tabla29[[#All],[PCLAVE3]],Tabla8[[#This Row],[DESCRIPCION DE TRABAJO]])),""))</f>
        <v/>
      </c>
      <c r="T1613" s="88" t="str">
        <f>IF(AND(Tabla8[[#This Row],[PIEZA]]="",Tabla8[[#This Row],[PARTE]]=""),"VACIO","OK")</f>
        <v>OK</v>
      </c>
      <c r="U1613" s="633" t="str">
        <f>+CONCATENATE(WEEKNUM(Tabla8[[#This Row],[FECHA]]),"-",YEAR(Tabla8[[#This Row],[FECHA]]))</f>
        <v>23-2026</v>
      </c>
    </row>
    <row r="1614" spans="1:21" ht="15" customHeight="1">
      <c r="A1614" s="22">
        <v>46177</v>
      </c>
      <c r="B1614" s="16" t="s">
        <v>131</v>
      </c>
      <c r="C1614" s="16" t="s">
        <v>36</v>
      </c>
      <c r="D1614" s="381" t="s">
        <v>636</v>
      </c>
      <c r="E1614" s="381" t="s">
        <v>123</v>
      </c>
      <c r="F1614" s="632">
        <f>+MOD(Tabla8[[#This Row],[HR. FIN]]-Tabla8[[#This Row],[HR. INICIO]],1)</f>
        <v>1.3888888888888895E-2</v>
      </c>
      <c r="G1614" s="16" t="s">
        <v>2256</v>
      </c>
      <c r="H1614" s="79" t="str">
        <f>IFERROR(VLOOKUP(G1614,DATOS!$M$2:$N$219,2,FALSE),"")</f>
        <v>Maquinaria</v>
      </c>
      <c r="I1614" s="115" t="s">
        <v>1426</v>
      </c>
      <c r="J1614" s="115" t="s">
        <v>157</v>
      </c>
      <c r="K1614" s="115"/>
      <c r="L1614" s="35" t="s">
        <v>2944</v>
      </c>
      <c r="M1614" s="35" t="s">
        <v>2945</v>
      </c>
      <c r="N1614" s="35" t="str" cm="1">
        <f t="array" ref="N1614">IFERROR(IF(Tabla8[[#This Row],[P/NP]]="NO PROGRAMADA","",_xlfn.TEXTJOIN(", ",TRUE,_xlfn._xlws.FILTER(Tabla4[[#All],[PIEZA]],ISNUMBER(SEARCH(Tabla4[[#All],[PCLAVE]],Tabla8[[#This Row],[DESCRIPCION DE TRABAJO]])),""))),"")</f>
        <v>Cangilones</v>
      </c>
      <c r="O1614" s="35" t="str" cm="1">
        <f t="array" ref="O1614">_xlfn.TEXTJOIN(", ",TRUE,_xlfn._xlws.FILTER(Tabla28[[#All],[PARTE]],ISNUMBER(SEARCH(Tabla28[[#All],[PCLAVE2]],Tabla8[[#This Row],[DESCRIPCION DE TRABAJO]])),""))</f>
        <v/>
      </c>
      <c r="P1614" s="633" t="str">
        <f>IFERROR(LEFT(O1614, FIND(",", O1614)-1), O1614)</f>
        <v/>
      </c>
      <c r="Q1614" s="633" t="str">
        <f>IFERROR(IF(ISERROR(FIND(",", O1614, FIND(",", O1614)+1)), RIGHT(O1614, LEN(O1614)-FIND(",", O1614)-1), MID(O1614, FIND(",", O1614)+2, FIND(",", O1614, FIND(",", O1614)+1)-FIND(",", O1614)-2)), "")</f>
        <v/>
      </c>
      <c r="R1614" s="633" t="str">
        <f>IFERROR(RIGHT(O1614, LEN(O1614)-FIND(",", O1614, FIND(",", O1614)+1)-1), "")</f>
        <v/>
      </c>
      <c r="S1614" s="35" t="str" cm="1">
        <f t="array" ref="S1614">_xlfn.TEXTJOIN(", ",TRUE,_xlfn._xlws.FILTER(Tabla29[[#All],[PARTE]],ISNUMBER(SEARCH(Tabla29[[#All],[PCLAVE3]],Tabla8[[#This Row],[DESCRIPCION DE TRABAJO]])),""))</f>
        <v>Detenido</v>
      </c>
      <c r="T1614" s="88" t="str">
        <f>IF(AND(Tabla8[[#This Row],[PIEZA]]="",Tabla8[[#This Row],[PARTE]]=""),"VACIO","OK")</f>
        <v>OK</v>
      </c>
      <c r="U1614" s="633" t="str">
        <f>+CONCATENATE(WEEKNUM(Tabla8[[#This Row],[FECHA]]),"-",YEAR(Tabla8[[#This Row],[FECHA]]))</f>
        <v>23-2026</v>
      </c>
    </row>
    <row r="1615" spans="1:21" ht="15" customHeight="1">
      <c r="A1615" s="22">
        <v>46177</v>
      </c>
      <c r="B1615" s="16" t="s">
        <v>131</v>
      </c>
      <c r="C1615" s="16" t="s">
        <v>36</v>
      </c>
      <c r="D1615" s="381" t="s">
        <v>123</v>
      </c>
      <c r="E1615" s="381" t="s">
        <v>399</v>
      </c>
      <c r="F1615" s="632">
        <f>+MOD(Tabla8[[#This Row],[HR. FIN]]-Tabla8[[#This Row],[HR. INICIO]],1)</f>
        <v>1.3888888888888895E-2</v>
      </c>
      <c r="G1615" s="16" t="s">
        <v>119</v>
      </c>
      <c r="H1615" s="79" t="str">
        <f>IFERROR(VLOOKUP(G1615,DATOS!$M$2:$N$219,2,FALSE),"")</f>
        <v>Maquinaria</v>
      </c>
      <c r="I1615" s="115" t="s">
        <v>32</v>
      </c>
      <c r="J1615" s="115" t="s">
        <v>157</v>
      </c>
      <c r="K1615" s="115"/>
      <c r="L1615" s="35" t="s">
        <v>2946</v>
      </c>
      <c r="M1615" s="35" t="s">
        <v>121</v>
      </c>
      <c r="N1615" s="35" t="str" cm="1">
        <f t="array" ref="N1615">IFERROR(IF(Tabla8[[#This Row],[P/NP]]="NO PROGRAMADA","",_xlfn.TEXTJOIN(", ",TRUE,_xlfn._xlws.FILTER(Tabla4[[#All],[PIEZA]],ISNUMBER(SEARCH(Tabla4[[#All],[PCLAVE]],Tabla8[[#This Row],[DESCRIPCION DE TRABAJO]])),""))),"")</f>
        <v/>
      </c>
      <c r="O1615" s="35" t="str" cm="1">
        <f t="array" ref="O1615">_xlfn.TEXTJOIN(", ",TRUE,_xlfn._xlws.FILTER(Tabla28[[#All],[PARTE]],ISNUMBER(SEARCH(Tabla28[[#All],[PCLAVE2]],Tabla8[[#This Row],[DESCRIPCION DE TRABAJO]])),""))</f>
        <v>Mds</v>
      </c>
      <c r="P1615" s="633" t="str">
        <f>IFERROR(LEFT(O1615, FIND(",", O1615)-1), O1615)</f>
        <v>Mds</v>
      </c>
      <c r="Q1615" s="633" t="str">
        <f>IFERROR(IF(ISERROR(FIND(",", O1615, FIND(",", O1615)+1)), RIGHT(O1615, LEN(O1615)-FIND(",", O1615)-1), MID(O1615, FIND(",", O1615)+2, FIND(",", O1615, FIND(",", O1615)+1)-FIND(",", O1615)-2)), "")</f>
        <v/>
      </c>
      <c r="R1615" s="633" t="str">
        <f>IFERROR(RIGHT(O1615, LEN(O1615)-FIND(",", O1615, FIND(",", O1615)+1)-1), "")</f>
        <v/>
      </c>
      <c r="S1615" s="35" t="str" cm="1">
        <f t="array" ref="S1615">_xlfn.TEXTJOIN(", ",TRUE,_xlfn._xlws.FILTER(Tabla29[[#All],[PARTE]],ISNUMBER(SEARCH(Tabla29[[#All],[PCLAVE3]],Tabla8[[#This Row],[DESCRIPCION DE TRABAJO]])),""))</f>
        <v>Cambio De Formato</v>
      </c>
      <c r="T1615" s="88" t="str">
        <f>IF(AND(Tabla8[[#This Row],[PIEZA]]="",Tabla8[[#This Row],[PARTE]]=""),"VACIO","OK")</f>
        <v>OK</v>
      </c>
      <c r="U1615" s="633" t="str">
        <f>+CONCATENATE(WEEKNUM(Tabla8[[#This Row],[FECHA]]),"-",YEAR(Tabla8[[#This Row],[FECHA]]))</f>
        <v>23-2026</v>
      </c>
    </row>
    <row r="1616" spans="1:21" ht="15" customHeight="1">
      <c r="A1616" s="22">
        <v>46177</v>
      </c>
      <c r="B1616" s="16" t="s">
        <v>131</v>
      </c>
      <c r="C1616" s="16" t="s">
        <v>36</v>
      </c>
      <c r="D1616" s="381" t="s">
        <v>1608</v>
      </c>
      <c r="E1616" s="381" t="s">
        <v>2252</v>
      </c>
      <c r="F1616" s="632">
        <f>+MOD(Tabla8[[#This Row],[HR. FIN]]-Tabla8[[#This Row],[HR. INICIO]],1)</f>
        <v>1.3888888888888895E-2</v>
      </c>
      <c r="G1616" s="16" t="s">
        <v>270</v>
      </c>
      <c r="H1616" s="79" t="str">
        <f>IFERROR(VLOOKUP(G1616,DATOS!$M$2:$N$219,2,FALSE),"")</f>
        <v>Maquinaria</v>
      </c>
      <c r="I1616" s="115" t="s">
        <v>390</v>
      </c>
      <c r="J1616" s="115" t="s">
        <v>157</v>
      </c>
      <c r="K1616" s="115"/>
      <c r="L1616" s="35" t="s">
        <v>821</v>
      </c>
      <c r="M1616" s="35" t="s">
        <v>121</v>
      </c>
      <c r="N1616" s="35" t="str" cm="1">
        <f t="array" ref="N1616">IFERROR(IF(Tabla8[[#This Row],[P/NP]]="NO PROGRAMADA","",_xlfn.TEXTJOIN(", ",TRUE,_xlfn._xlws.FILTER(Tabla4[[#All],[PIEZA]],ISNUMBER(SEARCH(Tabla4[[#All],[PCLAVE]],Tabla8[[#This Row],[DESCRIPCION DE TRABAJO]])),""))),"")</f>
        <v/>
      </c>
      <c r="O1616" s="35" t="str" cm="1">
        <f t="array" ref="O1616">_xlfn.TEXTJOIN(", ",TRUE,_xlfn._xlws.FILTER(Tabla28[[#All],[PARTE]],ISNUMBER(SEARCH(Tabla28[[#All],[PCLAVE2]],Tabla8[[#This Row],[DESCRIPCION DE TRABAJO]])),""))</f>
        <v/>
      </c>
      <c r="P1616" s="633" t="str">
        <f>IFERROR(LEFT(O1616, FIND(",", O1616)-1), O1616)</f>
        <v/>
      </c>
      <c r="Q1616" s="633" t="str">
        <f>IFERROR(IF(ISERROR(FIND(",", O1616, FIND(",", O1616)+1)), RIGHT(O1616, LEN(O1616)-FIND(",", O1616)-1), MID(O1616, FIND(",", O1616)+2, FIND(",", O1616, FIND(",", O1616)+1)-FIND(",", O1616)-2)), "")</f>
        <v/>
      </c>
      <c r="R1616" s="633" t="str">
        <f>IFERROR(RIGHT(O1616, LEN(O1616)-FIND(",", O1616, FIND(",", O1616)+1)-1), "")</f>
        <v/>
      </c>
      <c r="S1616" s="35" t="str" cm="1">
        <f t="array" ref="S1616">_xlfn.TEXTJOIN(", ",TRUE,_xlfn._xlws.FILTER(Tabla29[[#All],[PARTE]],ISNUMBER(SEARCH(Tabla29[[#All],[PCLAVE3]],Tabla8[[#This Row],[DESCRIPCION DE TRABAJO]])),""))</f>
        <v/>
      </c>
      <c r="T1616" s="88" t="str">
        <f>IF(AND(Tabla8[[#This Row],[PIEZA]]="",Tabla8[[#This Row],[PARTE]]=""),"VACIO","OK")</f>
        <v>VACIO</v>
      </c>
      <c r="U1616" s="633" t="str">
        <f>+CONCATENATE(WEEKNUM(Tabla8[[#This Row],[FECHA]]),"-",YEAR(Tabla8[[#This Row],[FECHA]]))</f>
        <v>23-2026</v>
      </c>
    </row>
    <row r="1617" spans="1:21" ht="15" customHeight="1">
      <c r="A1617" s="22">
        <v>46177</v>
      </c>
      <c r="B1617" s="16" t="s">
        <v>111</v>
      </c>
      <c r="C1617" s="16" t="s">
        <v>39</v>
      </c>
      <c r="D1617" s="381" t="s">
        <v>1696</v>
      </c>
      <c r="E1617" s="381" t="s">
        <v>422</v>
      </c>
      <c r="F1617" s="632">
        <f>+MOD(Tabla8[[#This Row],[HR. FIN]]-Tabla8[[#This Row],[HR. INICIO]],1)</f>
        <v>1.0416666666666741E-2</v>
      </c>
      <c r="G1617" s="16" t="s">
        <v>24</v>
      </c>
      <c r="H1617" s="79" t="str">
        <f>IFERROR(VLOOKUP(G1617,DATOS!$M$2:$N$219,2,FALSE),"")</f>
        <v>Maquinaria</v>
      </c>
      <c r="I1617" s="115" t="s">
        <v>54</v>
      </c>
      <c r="J1617" s="115" t="s">
        <v>157</v>
      </c>
      <c r="K1617" s="115"/>
      <c r="L1617" s="35" t="s">
        <v>225</v>
      </c>
      <c r="M1617" s="35" t="s">
        <v>121</v>
      </c>
      <c r="N1617" s="35" t="str" cm="1">
        <f t="array" ref="N1617">IFERROR(IF(Tabla8[[#This Row],[P/NP]]="NO PROGRAMADA","",_xlfn.TEXTJOIN(", ",TRUE,_xlfn._xlws.FILTER(Tabla4[[#All],[PIEZA]],ISNUMBER(SEARCH(Tabla4[[#All],[PCLAVE]],Tabla8[[#This Row],[DESCRIPCION DE TRABAJO]])),""))),"")</f>
        <v/>
      </c>
      <c r="O1617" s="35" t="str" cm="1">
        <f t="array" ref="O1617">_xlfn.TEXTJOIN(", ",TRUE,_xlfn._xlws.FILTER(Tabla28[[#All],[PARTE]],ISNUMBER(SEARCH(Tabla28[[#All],[PCLAVE2]],Tabla8[[#This Row],[DESCRIPCION DE TRABAJO]])),""))</f>
        <v/>
      </c>
      <c r="P1617" s="633" t="str">
        <f>IFERROR(LEFT(O1617, FIND(",", O1617)-1), O1617)</f>
        <v/>
      </c>
      <c r="Q1617" s="633" t="str">
        <f>IFERROR(IF(ISERROR(FIND(",", O1617, FIND(",", O1617)+1)), RIGHT(O1617, LEN(O1617)-FIND(",", O1617)-1), MID(O1617, FIND(",", O1617)+2, FIND(",", O1617, FIND(",", O1617)+1)-FIND(",", O1617)-2)), "")</f>
        <v/>
      </c>
      <c r="R1617" s="633" t="str">
        <f>IFERROR(RIGHT(O1617, LEN(O1617)-FIND(",", O1617, FIND(",", O1617)+1)-1), "")</f>
        <v/>
      </c>
      <c r="S1617" s="35" t="str" cm="1">
        <f t="array" ref="S1617">_xlfn.TEXTJOIN(", ",TRUE,_xlfn._xlws.FILTER(Tabla29[[#All],[PARTE]],ISNUMBER(SEARCH(Tabla29[[#All],[PCLAVE3]],Tabla8[[#This Row],[DESCRIPCION DE TRABAJO]])),""))</f>
        <v/>
      </c>
      <c r="T1617" s="88" t="str">
        <f>IF(AND(Tabla8[[#This Row],[PIEZA]]="",Tabla8[[#This Row],[PARTE]]=""),"VACIO","OK")</f>
        <v>VACIO</v>
      </c>
      <c r="U1617" s="633" t="str">
        <f>+CONCATENATE(WEEKNUM(Tabla8[[#This Row],[FECHA]]),"-",YEAR(Tabla8[[#This Row],[FECHA]]))</f>
        <v>23-2026</v>
      </c>
    </row>
    <row r="1618" spans="1:21" ht="15" customHeight="1">
      <c r="A1618" s="22">
        <v>46177</v>
      </c>
      <c r="B1618" s="16" t="s">
        <v>88</v>
      </c>
      <c r="C1618" s="16" t="s">
        <v>36</v>
      </c>
      <c r="D1618" s="381" t="s">
        <v>1608</v>
      </c>
      <c r="E1618" s="381" t="s">
        <v>667</v>
      </c>
      <c r="F1618" s="632">
        <f>+MOD(Tabla8[[#This Row],[HR. FIN]]-Tabla8[[#This Row],[HR. INICIO]],1)</f>
        <v>1.0416666666666685E-2</v>
      </c>
      <c r="G1618" s="16" t="s">
        <v>169</v>
      </c>
      <c r="H1618" s="79" t="str">
        <f>IFERROR(VLOOKUP(G1618,DATOS!$M$2:$N$219,2,FALSE),"")</f>
        <v>Maquinaria</v>
      </c>
      <c r="I1618" s="115" t="s">
        <v>32</v>
      </c>
      <c r="J1618" s="115" t="s">
        <v>157</v>
      </c>
      <c r="K1618" s="115"/>
      <c r="L1618" s="35" t="s">
        <v>2947</v>
      </c>
      <c r="M1618" s="35" t="s">
        <v>2948</v>
      </c>
      <c r="N1618" s="35" t="str" cm="1">
        <f t="array" ref="N1618">IFERROR(IF(Tabla8[[#This Row],[P/NP]]="NO PROGRAMADA","",_xlfn.TEXTJOIN(", ",TRUE,_xlfn._xlws.FILTER(Tabla4[[#All],[PIEZA]],ISNUMBER(SEARCH(Tabla4[[#All],[PCLAVE]],Tabla8[[#This Row],[DESCRIPCION DE TRABAJO]])),""))),"")</f>
        <v/>
      </c>
      <c r="O1618" s="35" t="str" cm="1">
        <f t="array" ref="O1618">_xlfn.TEXTJOIN(", ",TRUE,_xlfn._xlws.FILTER(Tabla28[[#All],[PARTE]],ISNUMBER(SEARCH(Tabla28[[#All],[PCLAVE2]],Tabla8[[#This Row],[DESCRIPCION DE TRABAJO]])),""))</f>
        <v/>
      </c>
      <c r="P1618" s="633" t="str">
        <f>IFERROR(LEFT(O1618, FIND(",", O1618)-1), O1618)</f>
        <v/>
      </c>
      <c r="Q1618" s="633" t="str">
        <f>IFERROR(IF(ISERROR(FIND(",", O1618, FIND(",", O1618)+1)), RIGHT(O1618, LEN(O1618)-FIND(",", O1618)-1), MID(O1618, FIND(",", O1618)+2, FIND(",", O1618, FIND(",", O1618)+1)-FIND(",", O1618)-2)), "")</f>
        <v/>
      </c>
      <c r="R1618" s="633" t="str">
        <f>IFERROR(RIGHT(O1618, LEN(O1618)-FIND(",", O1618, FIND(",", O1618)+1)-1), "")</f>
        <v/>
      </c>
      <c r="S1618" s="35" t="str" cm="1">
        <f t="array" ref="S1618">_xlfn.TEXTJOIN(", ",TRUE,_xlfn._xlws.FILTER(Tabla29[[#All],[PARTE]],ISNUMBER(SEARCH(Tabla29[[#All],[PCLAVE3]],Tabla8[[#This Row],[DESCRIPCION DE TRABAJO]])),""))</f>
        <v/>
      </c>
      <c r="T1618" s="88" t="str">
        <f>IF(AND(Tabla8[[#This Row],[PIEZA]]="",Tabla8[[#This Row],[PARTE]]=""),"VACIO","OK")</f>
        <v>VACIO</v>
      </c>
      <c r="U1618" s="633" t="str">
        <f>+CONCATENATE(WEEKNUM(Tabla8[[#This Row],[FECHA]]),"-",YEAR(Tabla8[[#This Row],[FECHA]]))</f>
        <v>23-2026</v>
      </c>
    </row>
    <row r="1619" spans="1:21" ht="15" customHeight="1">
      <c r="A1619" s="22">
        <v>46177</v>
      </c>
      <c r="B1619" s="16" t="s">
        <v>131</v>
      </c>
      <c r="C1619" s="16" t="s">
        <v>36</v>
      </c>
      <c r="D1619" s="381" t="s">
        <v>126</v>
      </c>
      <c r="E1619" s="381" t="s">
        <v>176</v>
      </c>
      <c r="F1619" s="632">
        <f>+MOD(Tabla8[[#This Row],[HR. FIN]]-Tabla8[[#This Row],[HR. INICIO]],1)</f>
        <v>1.0416666666666685E-2</v>
      </c>
      <c r="G1619" s="16" t="s">
        <v>182</v>
      </c>
      <c r="H1619" s="79" t="str">
        <f>IFERROR(VLOOKUP(G1619,DATOS!$M$2:$N$219,2,FALSE),"")</f>
        <v>Maquinaria</v>
      </c>
      <c r="I1619" s="115" t="s">
        <v>57</v>
      </c>
      <c r="J1619" s="115" t="s">
        <v>157</v>
      </c>
      <c r="K1619" s="115"/>
      <c r="L1619" s="35" t="s">
        <v>2949</v>
      </c>
      <c r="M1619" s="35" t="s">
        <v>121</v>
      </c>
      <c r="N1619" s="35" t="str" cm="1">
        <f t="array" ref="N1619">IFERROR(IF(Tabla8[[#This Row],[P/NP]]="NO PROGRAMADA","",_xlfn.TEXTJOIN(", ",TRUE,_xlfn._xlws.FILTER(Tabla4[[#All],[PIEZA]],ISNUMBER(SEARCH(Tabla4[[#All],[PCLAVE]],Tabla8[[#This Row],[DESCRIPCION DE TRABAJO]])),""))),"")</f>
        <v/>
      </c>
      <c r="O1619" s="35" t="str" cm="1">
        <f t="array" ref="O1619">_xlfn.TEXTJOIN(", ",TRUE,_xlfn._xlws.FILTER(Tabla28[[#All],[PARTE]],ISNUMBER(SEARCH(Tabla28[[#All],[PCLAVE2]],Tabla8[[#This Row],[DESCRIPCION DE TRABAJO]])),""))</f>
        <v/>
      </c>
      <c r="P1619" s="633" t="str">
        <f>IFERROR(LEFT(O1619, FIND(",", O1619)-1), O1619)</f>
        <v/>
      </c>
      <c r="Q1619" s="633" t="str">
        <f>IFERROR(IF(ISERROR(FIND(",", O1619, FIND(",", O1619)+1)), RIGHT(O1619, LEN(O1619)-FIND(",", O1619)-1), MID(O1619, FIND(",", O1619)+2, FIND(",", O1619, FIND(",", O1619)+1)-FIND(",", O1619)-2)), "")</f>
        <v/>
      </c>
      <c r="R1619" s="633" t="str">
        <f>IFERROR(RIGHT(O1619, LEN(O1619)-FIND(",", O1619, FIND(",", O1619)+1)-1), "")</f>
        <v/>
      </c>
      <c r="S1619" s="35" t="str" cm="1">
        <f t="array" ref="S1619">_xlfn.TEXTJOIN(", ",TRUE,_xlfn._xlws.FILTER(Tabla29[[#All],[PARTE]],ISNUMBER(SEARCH(Tabla29[[#All],[PCLAVE3]],Tabla8[[#This Row],[DESCRIPCION DE TRABAJO]])),""))</f>
        <v>Calibracion</v>
      </c>
      <c r="T1619" s="88" t="str">
        <f>IF(AND(Tabla8[[#This Row],[PIEZA]]="",Tabla8[[#This Row],[PARTE]]=""),"VACIO","OK")</f>
        <v>VACIO</v>
      </c>
      <c r="U1619" s="633" t="str">
        <f>+CONCATENATE(WEEKNUM(Tabla8[[#This Row],[FECHA]]),"-",YEAR(Tabla8[[#This Row],[FECHA]]))</f>
        <v>23-2026</v>
      </c>
    </row>
    <row r="1620" spans="1:21" ht="15" customHeight="1">
      <c r="A1620" s="22">
        <v>46177</v>
      </c>
      <c r="B1620" s="16" t="s">
        <v>111</v>
      </c>
      <c r="C1620" s="16" t="s">
        <v>39</v>
      </c>
      <c r="D1620" s="381" t="s">
        <v>1655</v>
      </c>
      <c r="E1620" s="381" t="s">
        <v>1278</v>
      </c>
      <c r="F1620" s="632">
        <f>+MOD(Tabla8[[#This Row],[HR. FIN]]-Tabla8[[#This Row],[HR. INICIO]],1)</f>
        <v>1.0416666666666664E-2</v>
      </c>
      <c r="G1620" s="16" t="s">
        <v>24</v>
      </c>
      <c r="H1620" s="79" t="str">
        <f>IFERROR(VLOOKUP(G1620,DATOS!$M$2:$N$219,2,FALSE),"")</f>
        <v>Maquinaria</v>
      </c>
      <c r="I1620" s="115" t="s">
        <v>57</v>
      </c>
      <c r="J1620" s="115" t="s">
        <v>157</v>
      </c>
      <c r="K1620" s="115"/>
      <c r="L1620" s="35" t="s">
        <v>2950</v>
      </c>
      <c r="M1620" s="35" t="s">
        <v>121</v>
      </c>
      <c r="N1620" s="35" t="str" cm="1">
        <f t="array" ref="N1620">IFERROR(IF(Tabla8[[#This Row],[P/NP]]="NO PROGRAMADA","",_xlfn.TEXTJOIN(", ",TRUE,_xlfn._xlws.FILTER(Tabla4[[#All],[PIEZA]],ISNUMBER(SEARCH(Tabla4[[#All],[PCLAVE]],Tabla8[[#This Row],[DESCRIPCION DE TRABAJO]])),""))),"")</f>
        <v>Banda</v>
      </c>
      <c r="O1620" s="35" t="str" cm="1">
        <f t="array" ref="O1620">_xlfn.TEXTJOIN(", ",TRUE,_xlfn._xlws.FILTER(Tabla28[[#All],[PARTE]],ISNUMBER(SEARCH(Tabla28[[#All],[PCLAVE2]],Tabla8[[#This Row],[DESCRIPCION DE TRABAJO]])),""))</f>
        <v/>
      </c>
      <c r="P1620" s="633" t="str">
        <f>IFERROR(LEFT(O1620, FIND(",", O1620)-1), O1620)</f>
        <v/>
      </c>
      <c r="Q1620" s="633" t="str">
        <f>IFERROR(IF(ISERROR(FIND(",", O1620, FIND(",", O1620)+1)), RIGHT(O1620, LEN(O1620)-FIND(",", O1620)-1), MID(O1620, FIND(",", O1620)+2, FIND(",", O1620, FIND(",", O1620)+1)-FIND(",", O1620)-2)), "")</f>
        <v/>
      </c>
      <c r="R1620" s="633" t="str">
        <f>IFERROR(RIGHT(O1620, LEN(O1620)-FIND(",", O1620, FIND(",", O1620)+1)-1), "")</f>
        <v/>
      </c>
      <c r="S1620" s="35" t="str" cm="1">
        <f t="array" ref="S1620">_xlfn.TEXTJOIN(", ",TRUE,_xlfn._xlws.FILTER(Tabla29[[#All],[PARTE]],ISNUMBER(SEARCH(Tabla29[[#All],[PCLAVE3]],Tabla8[[#This Row],[DESCRIPCION DE TRABAJO]])),""))</f>
        <v/>
      </c>
      <c r="T1620" s="88" t="str">
        <f>IF(AND(Tabla8[[#This Row],[PIEZA]]="",Tabla8[[#This Row],[PARTE]]=""),"VACIO","OK")</f>
        <v>OK</v>
      </c>
      <c r="U1620" s="633" t="str">
        <f>+CONCATENATE(WEEKNUM(Tabla8[[#This Row],[FECHA]]),"-",YEAR(Tabla8[[#This Row],[FECHA]]))</f>
        <v>23-2026</v>
      </c>
    </row>
    <row r="1621" spans="1:21" ht="15" customHeight="1">
      <c r="A1621" s="22">
        <v>46177</v>
      </c>
      <c r="B1621" s="16" t="s">
        <v>111</v>
      </c>
      <c r="C1621" s="16" t="s">
        <v>39</v>
      </c>
      <c r="D1621" s="381" t="s">
        <v>866</v>
      </c>
      <c r="E1621" s="381" t="s">
        <v>1555</v>
      </c>
      <c r="F1621" s="632">
        <f>+MOD(Tabla8[[#This Row],[HR. FIN]]-Tabla8[[#This Row],[HR. INICIO]],1)</f>
        <v>1.0416666666666657E-2</v>
      </c>
      <c r="G1621" s="16" t="s">
        <v>119</v>
      </c>
      <c r="H1621" s="79" t="str">
        <f>IFERROR(VLOOKUP(G1621,DATOS!$M$2:$N$219,2,FALSE),"")</f>
        <v>Maquinaria</v>
      </c>
      <c r="I1621" s="115" t="s">
        <v>32</v>
      </c>
      <c r="J1621" s="115" t="s">
        <v>157</v>
      </c>
      <c r="K1621" s="115"/>
      <c r="L1621" s="35" t="s">
        <v>2951</v>
      </c>
      <c r="M1621" s="35" t="s">
        <v>121</v>
      </c>
      <c r="N1621" s="35" t="str" cm="1">
        <f t="array" ref="N1621">IFERROR(IF(Tabla8[[#This Row],[P/NP]]="NO PROGRAMADA","",_xlfn.TEXTJOIN(", ",TRUE,_xlfn._xlws.FILTER(Tabla4[[#All],[PIEZA]],ISNUMBER(SEARCH(Tabla4[[#All],[PCLAVE]],Tabla8[[#This Row],[DESCRIPCION DE TRABAJO]])),""))),"")</f>
        <v>Husillo, Husillo</v>
      </c>
      <c r="O1621" s="35" t="str" cm="1">
        <f t="array" ref="O1621">_xlfn.TEXTJOIN(", ",TRUE,_xlfn._xlws.FILTER(Tabla28[[#All],[PARTE]],ISNUMBER(SEARCH(Tabla28[[#All],[PCLAVE2]],Tabla8[[#This Row],[DESCRIPCION DE TRABAJO]])),""))</f>
        <v>Mds</v>
      </c>
      <c r="P1621" s="633" t="str">
        <f>IFERROR(LEFT(O1621, FIND(",", O1621)-1), O1621)</f>
        <v>Mds</v>
      </c>
      <c r="Q1621" s="633" t="str">
        <f>IFERROR(IF(ISERROR(FIND(",", O1621, FIND(",", O1621)+1)), RIGHT(O1621, LEN(O1621)-FIND(",", O1621)-1), MID(O1621, FIND(",", O1621)+2, FIND(",", O1621, FIND(",", O1621)+1)-FIND(",", O1621)-2)), "")</f>
        <v/>
      </c>
      <c r="R1621" s="633" t="str">
        <f>IFERROR(RIGHT(O1621, LEN(O1621)-FIND(",", O1621, FIND(",", O1621)+1)-1), "")</f>
        <v/>
      </c>
      <c r="S1621" s="35" t="str" cm="1">
        <f t="array" ref="S1621">_xlfn.TEXTJOIN(", ",TRUE,_xlfn._xlws.FILTER(Tabla29[[#All],[PARTE]],ISNUMBER(SEARCH(Tabla29[[#All],[PCLAVE3]],Tabla8[[#This Row],[DESCRIPCION DE TRABAJO]])),""))</f>
        <v>Sustitucion</v>
      </c>
      <c r="T1621" s="88" t="str">
        <f>IF(AND(Tabla8[[#This Row],[PIEZA]]="",Tabla8[[#This Row],[PARTE]]=""),"VACIO","OK")</f>
        <v>OK</v>
      </c>
      <c r="U1621" s="633" t="str">
        <f>+CONCATENATE(WEEKNUM(Tabla8[[#This Row],[FECHA]]),"-",YEAR(Tabla8[[#This Row],[FECHA]]))</f>
        <v>23-2026</v>
      </c>
    </row>
    <row r="1622" spans="1:21" ht="15" customHeight="1">
      <c r="A1622" s="22">
        <v>46177</v>
      </c>
      <c r="B1622" s="16" t="s">
        <v>111</v>
      </c>
      <c r="C1622" s="16" t="s">
        <v>39</v>
      </c>
      <c r="D1622" s="381" t="s">
        <v>292</v>
      </c>
      <c r="E1622" s="381" t="s">
        <v>2593</v>
      </c>
      <c r="F1622" s="632">
        <f>+MOD(Tabla8[[#This Row],[HR. FIN]]-Tabla8[[#This Row],[HR. INICIO]],1)</f>
        <v>1.0416666666666657E-2</v>
      </c>
      <c r="G1622" s="16" t="s">
        <v>236</v>
      </c>
      <c r="H1622" s="79" t="str">
        <f>IFERROR(VLOOKUP(G1622,DATOS!$M$2:$N$219,2,FALSE),"")</f>
        <v>Sistema</v>
      </c>
      <c r="I1622" s="115" t="s">
        <v>57</v>
      </c>
      <c r="J1622" s="115" t="s">
        <v>92</v>
      </c>
      <c r="K1622" s="115" t="s">
        <v>93</v>
      </c>
      <c r="L1622" s="35" t="s">
        <v>2952</v>
      </c>
      <c r="M1622" s="35" t="s">
        <v>2953</v>
      </c>
      <c r="N1622" s="35" t="str" cm="1">
        <f t="array" ref="N1622">IFERROR(IF(Tabla8[[#This Row],[P/NP]]="NO PROGRAMADA","",_xlfn.TEXTJOIN(", ",TRUE,_xlfn._xlws.FILTER(Tabla4[[#All],[PIEZA]],ISNUMBER(SEARCH(Tabla4[[#All],[PCLAVE]],Tabla8[[#This Row],[DESCRIPCION DE TRABAJO]])),""))),"")</f>
        <v/>
      </c>
      <c r="O1622" s="35" t="str" cm="1">
        <f t="array" ref="O1622">_xlfn.TEXTJOIN(", ",TRUE,_xlfn._xlws.FILTER(Tabla28[[#All],[PARTE]],ISNUMBER(SEARCH(Tabla28[[#All],[PCLAVE2]],Tabla8[[#This Row],[DESCRIPCION DE TRABAJO]])),""))</f>
        <v/>
      </c>
      <c r="P1622" s="633" t="str">
        <f>IFERROR(LEFT(O1622, FIND(",", O1622)-1), O1622)</f>
        <v/>
      </c>
      <c r="Q1622" s="633" t="str">
        <f>IFERROR(IF(ISERROR(FIND(",", O1622, FIND(",", O1622)+1)), RIGHT(O1622, LEN(O1622)-FIND(",", O1622)-1), MID(O1622, FIND(",", O1622)+2, FIND(",", O1622, FIND(",", O1622)+1)-FIND(",", O1622)-2)), "")</f>
        <v/>
      </c>
      <c r="R1622" s="633" t="str">
        <f>IFERROR(RIGHT(O1622, LEN(O1622)-FIND(",", O1622, FIND(",", O1622)+1)-1), "")</f>
        <v/>
      </c>
      <c r="S1622" s="35" t="str" cm="1">
        <f t="array" ref="S1622">_xlfn.TEXTJOIN(", ",TRUE,_xlfn._xlws.FILTER(Tabla29[[#All],[PARTE]],ISNUMBER(SEARCH(Tabla29[[#All],[PCLAVE3]],Tabla8[[#This Row],[DESCRIPCION DE TRABAJO]])),""))</f>
        <v/>
      </c>
      <c r="T1622" s="88" t="str">
        <f>IF(AND(Tabla8[[#This Row],[PIEZA]]="",Tabla8[[#This Row],[PARTE]]=""),"VACIO","OK")</f>
        <v>VACIO</v>
      </c>
      <c r="U1622" s="633" t="str">
        <f>+CONCATENATE(WEEKNUM(Tabla8[[#This Row],[FECHA]]),"-",YEAR(Tabla8[[#This Row],[FECHA]]))</f>
        <v>23-2026</v>
      </c>
    </row>
    <row r="1623" spans="1:21" ht="15" customHeight="1">
      <c r="A1623" s="22">
        <v>46177</v>
      </c>
      <c r="B1623" s="16" t="s">
        <v>88</v>
      </c>
      <c r="C1623" s="16" t="s">
        <v>36</v>
      </c>
      <c r="D1623" s="381" t="s">
        <v>96</v>
      </c>
      <c r="E1623" s="381" t="s">
        <v>523</v>
      </c>
      <c r="F1623" s="632">
        <f>+MOD(Tabla8[[#This Row],[HR. FIN]]-Tabla8[[#This Row],[HR. INICIO]],1)</f>
        <v>1.041666666666663E-2</v>
      </c>
      <c r="G1623" s="16" t="s">
        <v>119</v>
      </c>
      <c r="H1623" s="79" t="str">
        <f>IFERROR(VLOOKUP(G1623,DATOS!$M$2:$N$219,2,FALSE),"")</f>
        <v>Maquinaria</v>
      </c>
      <c r="I1623" s="115" t="s">
        <v>390</v>
      </c>
      <c r="J1623" s="115" t="s">
        <v>157</v>
      </c>
      <c r="K1623" s="115"/>
      <c r="L1623" s="35" t="s">
        <v>2954</v>
      </c>
      <c r="M1623" s="35" t="s">
        <v>2955</v>
      </c>
      <c r="N1623" s="35" t="str" cm="1">
        <f t="array" ref="N1623">IFERROR(IF(Tabla8[[#This Row],[P/NP]]="NO PROGRAMADA","",_xlfn.TEXTJOIN(", ",TRUE,_xlfn._xlws.FILTER(Tabla4[[#All],[PIEZA]],ISNUMBER(SEARCH(Tabla4[[#All],[PCLAVE]],Tabla8[[#This Row],[DESCRIPCION DE TRABAJO]])),""))),"")</f>
        <v/>
      </c>
      <c r="O1623" s="35" t="str" cm="1">
        <f t="array" ref="O1623">_xlfn.TEXTJOIN(", ",TRUE,_xlfn._xlws.FILTER(Tabla28[[#All],[PARTE]],ISNUMBER(SEARCH(Tabla28[[#All],[PCLAVE2]],Tabla8[[#This Row],[DESCRIPCION DE TRABAJO]])),""))</f>
        <v/>
      </c>
      <c r="P1623" s="633" t="str">
        <f>IFERROR(LEFT(O1623, FIND(",", O1623)-1), O1623)</f>
        <v/>
      </c>
      <c r="Q1623" s="633" t="str">
        <f>IFERROR(IF(ISERROR(FIND(",", O1623, FIND(",", O1623)+1)), RIGHT(O1623, LEN(O1623)-FIND(",", O1623)-1), MID(O1623, FIND(",", O1623)+2, FIND(",", O1623, FIND(",", O1623)+1)-FIND(",", O1623)-2)), "")</f>
        <v/>
      </c>
      <c r="R1623" s="633" t="str">
        <f>IFERROR(RIGHT(O1623, LEN(O1623)-FIND(",", O1623, FIND(",", O1623)+1)-1), "")</f>
        <v/>
      </c>
      <c r="S1623" s="35" t="str" cm="1">
        <f t="array" ref="S1623">_xlfn.TEXTJOIN(", ",TRUE,_xlfn._xlws.FILTER(Tabla29[[#All],[PARTE]],ISNUMBER(SEARCH(Tabla29[[#All],[PCLAVE3]],Tabla8[[#This Row],[DESCRIPCION DE TRABAJO]])),""))</f>
        <v>Carga/descarga</v>
      </c>
      <c r="T1623" s="88" t="str">
        <f>IF(AND(Tabla8[[#This Row],[PIEZA]]="",Tabla8[[#This Row],[PARTE]]=""),"VACIO","OK")</f>
        <v>VACIO</v>
      </c>
      <c r="U1623" s="633" t="str">
        <f>+CONCATENATE(WEEKNUM(Tabla8[[#This Row],[FECHA]]),"-",YEAR(Tabla8[[#This Row],[FECHA]]))</f>
        <v>23-2026</v>
      </c>
    </row>
    <row r="1624" spans="1:21" ht="15" customHeight="1">
      <c r="A1624" s="22">
        <v>46177</v>
      </c>
      <c r="B1624" s="16" t="s">
        <v>88</v>
      </c>
      <c r="C1624" s="16" t="s">
        <v>36</v>
      </c>
      <c r="D1624" s="381" t="s">
        <v>403</v>
      </c>
      <c r="E1624" s="381" t="s">
        <v>97</v>
      </c>
      <c r="F1624" s="632">
        <f>+MOD(Tabla8[[#This Row],[HR. FIN]]-Tabla8[[#This Row],[HR. INICIO]],1)</f>
        <v>1.041666666666663E-2</v>
      </c>
      <c r="G1624" s="16" t="s">
        <v>222</v>
      </c>
      <c r="H1624" s="79" t="str">
        <f>IFERROR(VLOOKUP(G1624,DATOS!$M$2:$N$219,2,FALSE),"")</f>
        <v>Maquinaria</v>
      </c>
      <c r="I1624" s="115" t="s">
        <v>57</v>
      </c>
      <c r="J1624" s="115" t="s">
        <v>157</v>
      </c>
      <c r="K1624" s="115"/>
      <c r="L1624" s="35" t="s">
        <v>2956</v>
      </c>
      <c r="M1624" s="35" t="s">
        <v>2957</v>
      </c>
      <c r="N1624" s="35" t="str" cm="1">
        <f t="array" ref="N1624">IFERROR(IF(Tabla8[[#This Row],[P/NP]]="NO PROGRAMADA","",_xlfn.TEXTJOIN(", ",TRUE,_xlfn._xlws.FILTER(Tabla4[[#All],[PIEZA]],ISNUMBER(SEARCH(Tabla4[[#All],[PCLAVE]],Tabla8[[#This Row],[DESCRIPCION DE TRABAJO]])),""))),"")</f>
        <v/>
      </c>
      <c r="O1624" s="35" t="str" cm="1">
        <f t="array" ref="O1624">_xlfn.TEXTJOIN(", ",TRUE,_xlfn._xlws.FILTER(Tabla28[[#All],[PARTE]],ISNUMBER(SEARCH(Tabla28[[#All],[PCLAVE2]],Tabla8[[#This Row],[DESCRIPCION DE TRABAJO]])),""))</f>
        <v/>
      </c>
      <c r="P1624" s="633" t="str">
        <f>IFERROR(LEFT(O1624, FIND(",", O1624)-1), O1624)</f>
        <v/>
      </c>
      <c r="Q1624" s="633" t="str">
        <f>IFERROR(IF(ISERROR(FIND(",", O1624, FIND(",", O1624)+1)), RIGHT(O1624, LEN(O1624)-FIND(",", O1624)-1), MID(O1624, FIND(",", O1624)+2, FIND(",", O1624, FIND(",", O1624)+1)-FIND(",", O1624)-2)), "")</f>
        <v/>
      </c>
      <c r="R1624" s="633" t="str">
        <f>IFERROR(RIGHT(O1624, LEN(O1624)-FIND(",", O1624, FIND(",", O1624)+1)-1), "")</f>
        <v/>
      </c>
      <c r="S1624" s="35" t="str" cm="1">
        <f t="array" ref="S1624">_xlfn.TEXTJOIN(", ",TRUE,_xlfn._xlws.FILTER(Tabla29[[#All],[PARTE]],ISNUMBER(SEARCH(Tabla29[[#All],[PCLAVE3]],Tabla8[[#This Row],[DESCRIPCION DE TRABAJO]])),""))</f>
        <v>Calibracion, Carga/descarga</v>
      </c>
      <c r="T1624" s="88" t="str">
        <f>IF(AND(Tabla8[[#This Row],[PIEZA]]="",Tabla8[[#This Row],[PARTE]]=""),"VACIO","OK")</f>
        <v>VACIO</v>
      </c>
      <c r="U1624" s="633" t="str">
        <f>+CONCATENATE(WEEKNUM(Tabla8[[#This Row],[FECHA]]),"-",YEAR(Tabla8[[#This Row],[FECHA]]))</f>
        <v>23-2026</v>
      </c>
    </row>
    <row r="1625" spans="1:21" ht="15" customHeight="1">
      <c r="A1625" s="22">
        <v>46177</v>
      </c>
      <c r="B1625" s="16" t="s">
        <v>111</v>
      </c>
      <c r="C1625" s="16" t="s">
        <v>39</v>
      </c>
      <c r="D1625" s="381" t="s">
        <v>2658</v>
      </c>
      <c r="E1625" s="381" t="s">
        <v>1662</v>
      </c>
      <c r="F1625" s="632">
        <f>+MOD(Tabla8[[#This Row],[HR. FIN]]-Tabla8[[#This Row],[HR. INICIO]],1)</f>
        <v>6.9444444444444475E-3</v>
      </c>
      <c r="G1625" s="16" t="s">
        <v>119</v>
      </c>
      <c r="H1625" s="79" t="str">
        <f>IFERROR(VLOOKUP(G1625,DATOS!$M$2:$N$219,2,FALSE),"")</f>
        <v>Maquinaria</v>
      </c>
      <c r="I1625" s="115" t="s">
        <v>32</v>
      </c>
      <c r="J1625" s="115" t="s">
        <v>92</v>
      </c>
      <c r="K1625" s="115" t="s">
        <v>148</v>
      </c>
      <c r="L1625" s="35" t="s">
        <v>2958</v>
      </c>
      <c r="M1625" s="35" t="s">
        <v>2959</v>
      </c>
      <c r="N1625" s="35" t="str" cm="1">
        <f t="array" ref="N1625">IFERROR(IF(Tabla8[[#This Row],[P/NP]]="NO PROGRAMADA","",_xlfn.TEXTJOIN(", ",TRUE,_xlfn._xlws.FILTER(Tabla4[[#All],[PIEZA]],ISNUMBER(SEARCH(Tabla4[[#All],[PCLAVE]],Tabla8[[#This Row],[DESCRIPCION DE TRABAJO]])),""))),"")</f>
        <v/>
      </c>
      <c r="O1625" s="35" t="str" cm="1">
        <f t="array" ref="O1625">_xlfn.TEXTJOIN(", ",TRUE,_xlfn._xlws.FILTER(Tabla28[[#All],[PARTE]],ISNUMBER(SEARCH(Tabla28[[#All],[PCLAVE2]],Tabla8[[#This Row],[DESCRIPCION DE TRABAJO]])),""))</f>
        <v>Vibradora</v>
      </c>
      <c r="P1625" s="633" t="str">
        <f>IFERROR(LEFT(O1625, FIND(",", O1625)-1), O1625)</f>
        <v>Vibradora</v>
      </c>
      <c r="Q1625" s="633" t="str">
        <f>IFERROR(IF(ISERROR(FIND(",", O1625, FIND(",", O1625)+1)), RIGHT(O1625, LEN(O1625)-FIND(",", O1625)-1), MID(O1625, FIND(",", O1625)+2, FIND(",", O1625, FIND(",", O1625)+1)-FIND(",", O1625)-2)), "")</f>
        <v/>
      </c>
      <c r="R1625" s="633" t="str">
        <f>IFERROR(RIGHT(O1625, LEN(O1625)-FIND(",", O1625, FIND(",", O1625)+1)-1), "")</f>
        <v/>
      </c>
      <c r="S1625" s="35" t="str" cm="1">
        <f t="array" ref="S1625">_xlfn.TEXTJOIN(", ",TRUE,_xlfn._xlws.FILTER(Tabla29[[#All],[PARTE]],ISNUMBER(SEARCH(Tabla29[[#All],[PCLAVE3]],Tabla8[[#This Row],[DESCRIPCION DE TRABAJO]])),""))</f>
        <v>Error, Vibracion</v>
      </c>
      <c r="T1625" s="88" t="str">
        <f>IF(AND(Tabla8[[#This Row],[PIEZA]]="",Tabla8[[#This Row],[PARTE]]=""),"VACIO","OK")</f>
        <v>OK</v>
      </c>
      <c r="U1625" s="633" t="str">
        <f>+CONCATENATE(WEEKNUM(Tabla8[[#This Row],[FECHA]]),"-",YEAR(Tabla8[[#This Row],[FECHA]]))</f>
        <v>23-2026</v>
      </c>
    </row>
    <row r="1626" spans="1:21" ht="15" customHeight="1">
      <c r="A1626" s="22">
        <v>46181</v>
      </c>
      <c r="B1626" s="16" t="s">
        <v>111</v>
      </c>
      <c r="C1626" s="16" t="s">
        <v>23</v>
      </c>
      <c r="D1626" s="381">
        <v>0.54166666666666663</v>
      </c>
      <c r="E1626" s="381">
        <v>0.60416666666666663</v>
      </c>
      <c r="F1626" s="632">
        <f>+MOD(Tabla8[[#This Row],[HR. FIN]]-Tabla8[[#This Row],[HR. INICIO]],1)</f>
        <v>6.25E-2</v>
      </c>
      <c r="G1626" s="16" t="s">
        <v>266</v>
      </c>
      <c r="H1626" s="79" t="str">
        <f>IFERROR(VLOOKUP(G1626,DATOS!$M$2:$N$219,2,FALSE),"")</f>
        <v>Maquinaria</v>
      </c>
      <c r="I1626" s="115" t="s">
        <v>32</v>
      </c>
      <c r="J1626" s="115" t="s">
        <v>157</v>
      </c>
      <c r="K1626" s="115"/>
      <c r="L1626" s="35" t="s">
        <v>2960</v>
      </c>
      <c r="M1626" s="35" t="s">
        <v>2961</v>
      </c>
      <c r="N1626" s="35" t="str" cm="1">
        <f t="array" ref="N1626">IFERROR(IF(Tabla8[[#This Row],[P/NP]]="NO PROGRAMADA","",_xlfn.TEXTJOIN(", ",TRUE,_xlfn._xlws.FILTER(Tabla4[[#All],[PIEZA]],ISNUMBER(SEARCH(Tabla4[[#All],[PCLAVE]],Tabla8[[#This Row],[DESCRIPCION DE TRABAJO]])),""))),"")</f>
        <v/>
      </c>
      <c r="O1626" s="35" t="str" cm="1">
        <f t="array" ref="O1626">_xlfn.TEXTJOIN(", ",TRUE,_xlfn._xlws.FILTER(Tabla28[[#All],[PARTE]],ISNUMBER(SEARCH(Tabla28[[#All],[PCLAVE2]],Tabla8[[#This Row],[DESCRIPCION DE TRABAJO]])),""))</f>
        <v/>
      </c>
      <c r="P1626" s="633" t="str">
        <f>IFERROR(LEFT(O1626, FIND(",", O1626)-1), O1626)</f>
        <v/>
      </c>
      <c r="Q1626" s="633" t="str">
        <f>IFERROR(IF(ISERROR(FIND(",", O1626, FIND(",", O1626)+1)), RIGHT(O1626, LEN(O1626)-FIND(",", O1626)-1), MID(O1626, FIND(",", O1626)+2, FIND(",", O1626, FIND(",", O1626)+1)-FIND(",", O1626)-2)), "")</f>
        <v/>
      </c>
      <c r="R1626" s="633" t="str">
        <f>IFERROR(RIGHT(O1626, LEN(O1626)-FIND(",", O1626, FIND(",", O1626)+1)-1), "")</f>
        <v/>
      </c>
      <c r="S1626" s="35" t="str" cm="1">
        <f t="array" ref="S1626">_xlfn.TEXTJOIN(", ",TRUE,_xlfn._xlws.FILTER(Tabla29[[#All],[PARTE]],ISNUMBER(SEARCH(Tabla29[[#All],[PCLAVE3]],Tabla8[[#This Row],[DESCRIPCION DE TRABAJO]])),""))</f>
        <v/>
      </c>
      <c r="T1626" s="88" t="str">
        <f>IF(AND(Tabla8[[#This Row],[PIEZA]]="",Tabla8[[#This Row],[PARTE]]=""),"VACIO","OK")</f>
        <v>VACIO</v>
      </c>
      <c r="U1626" s="633" t="str">
        <f>+CONCATENATE(WEEKNUM(Tabla8[[#This Row],[FECHA]]),"-",YEAR(Tabla8[[#This Row],[FECHA]]))</f>
        <v>24-2026</v>
      </c>
    </row>
    <row r="1627" spans="1:21" ht="15" customHeight="1">
      <c r="A1627" s="22">
        <v>46181</v>
      </c>
      <c r="B1627" s="16" t="s">
        <v>111</v>
      </c>
      <c r="C1627" s="16" t="s">
        <v>23</v>
      </c>
      <c r="D1627" s="381">
        <v>0.78125</v>
      </c>
      <c r="E1627" s="381">
        <v>0.83333333333333337</v>
      </c>
      <c r="F1627" s="632">
        <f>+MOD(Tabla8[[#This Row],[HR. FIN]]-Tabla8[[#This Row],[HR. INICIO]],1)</f>
        <v>5.208333333333337E-2</v>
      </c>
      <c r="G1627" s="16" t="s">
        <v>192</v>
      </c>
      <c r="H1627" s="79" t="str">
        <f>IFERROR(VLOOKUP(G1627,DATOS!$M$2:$N$219,2,FALSE),"")</f>
        <v>Maquinaria</v>
      </c>
      <c r="I1627" s="115" t="s">
        <v>57</v>
      </c>
      <c r="J1627" s="115" t="s">
        <v>92</v>
      </c>
      <c r="K1627" s="115" t="s">
        <v>93</v>
      </c>
      <c r="L1627" s="35" t="s">
        <v>2962</v>
      </c>
      <c r="M1627" s="35" t="s">
        <v>2963</v>
      </c>
      <c r="N1627" s="35" t="str" cm="1">
        <f t="array" ref="N1627">IFERROR(IF(Tabla8[[#This Row],[P/NP]]="NO PROGRAMADA","",_xlfn.TEXTJOIN(", ",TRUE,_xlfn._xlws.FILTER(Tabla4[[#All],[PIEZA]],ISNUMBER(SEARCH(Tabla4[[#All],[PCLAVE]],Tabla8[[#This Row],[DESCRIPCION DE TRABAJO]])),""))),"")</f>
        <v/>
      </c>
      <c r="O1627" s="35" t="str" cm="1">
        <f t="array" ref="O1627">_xlfn.TEXTJOIN(", ",TRUE,_xlfn._xlws.FILTER(Tabla28[[#All],[PARTE]],ISNUMBER(SEARCH(Tabla28[[#All],[PCLAVE2]],Tabla8[[#This Row],[DESCRIPCION DE TRABAJO]])),""))</f>
        <v/>
      </c>
      <c r="P1627" s="633" t="str">
        <f>IFERROR(LEFT(O1627, FIND(",", O1627)-1), O1627)</f>
        <v/>
      </c>
      <c r="Q1627" s="633" t="str">
        <f>IFERROR(IF(ISERROR(FIND(",", O1627, FIND(",", O1627)+1)), RIGHT(O1627, LEN(O1627)-FIND(",", O1627)-1), MID(O1627, FIND(",", O1627)+2, FIND(",", O1627, FIND(",", O1627)+1)-FIND(",", O1627)-2)), "")</f>
        <v/>
      </c>
      <c r="R1627" s="633" t="str">
        <f>IFERROR(RIGHT(O1627, LEN(O1627)-FIND(",", O1627, FIND(",", O1627)+1)-1), "")</f>
        <v/>
      </c>
      <c r="S1627" s="35" t="str" cm="1">
        <f t="array" ref="S1627">_xlfn.TEXTJOIN(", ",TRUE,_xlfn._xlws.FILTER(Tabla29[[#All],[PARTE]],ISNUMBER(SEARCH(Tabla29[[#All],[PCLAVE3]],Tabla8[[#This Row],[DESCRIPCION DE TRABAJO]])),""))</f>
        <v/>
      </c>
      <c r="T1627" s="88" t="str">
        <f>IF(AND(Tabla8[[#This Row],[PIEZA]]="",Tabla8[[#This Row],[PARTE]]=""),"VACIO","OK")</f>
        <v>VACIO</v>
      </c>
      <c r="U1627" s="633" t="str">
        <f>+CONCATENATE(WEEKNUM(Tabla8[[#This Row],[FECHA]]),"-",YEAR(Tabla8[[#This Row],[FECHA]]))</f>
        <v>24-2026</v>
      </c>
    </row>
    <row r="1628" spans="1:21" ht="15" customHeight="1">
      <c r="A1628" s="22">
        <v>46181</v>
      </c>
      <c r="B1628" s="16" t="s">
        <v>111</v>
      </c>
      <c r="C1628" s="16" t="s">
        <v>23</v>
      </c>
      <c r="D1628" s="381">
        <v>0.63194444444444442</v>
      </c>
      <c r="E1628" s="381">
        <v>0.68055555555555558</v>
      </c>
      <c r="F1628" s="632">
        <f>+MOD(Tabla8[[#This Row],[HR. FIN]]-Tabla8[[#This Row],[HR. INICIO]],1)</f>
        <v>4.861111111111116E-2</v>
      </c>
      <c r="G1628" s="16" t="s">
        <v>266</v>
      </c>
      <c r="H1628" s="79" t="str">
        <f>IFERROR(VLOOKUP(G1628,DATOS!$M$2:$N$219,2,FALSE),"")</f>
        <v>Maquinaria</v>
      </c>
      <c r="I1628" s="115" t="s">
        <v>32</v>
      </c>
      <c r="J1628" s="115" t="s">
        <v>157</v>
      </c>
      <c r="K1628" s="115"/>
      <c r="L1628" s="35" t="s">
        <v>2964</v>
      </c>
      <c r="M1628" s="35" t="s">
        <v>121</v>
      </c>
      <c r="N1628" s="35" t="str" cm="1">
        <f t="array" ref="N1628">IFERROR(IF(Tabla8[[#This Row],[P/NP]]="NO PROGRAMADA","",_xlfn.TEXTJOIN(", ",TRUE,_xlfn._xlws.FILTER(Tabla4[[#All],[PIEZA]],ISNUMBER(SEARCH(Tabla4[[#All],[PCLAVE]],Tabla8[[#This Row],[DESCRIPCION DE TRABAJO]])),""))),"")</f>
        <v/>
      </c>
      <c r="O1628" s="35" t="str" cm="1">
        <f t="array" ref="O1628">_xlfn.TEXTJOIN(", ",TRUE,_xlfn._xlws.FILTER(Tabla28[[#All],[PARTE]],ISNUMBER(SEARCH(Tabla28[[#All],[PCLAVE2]],Tabla8[[#This Row],[DESCRIPCION DE TRABAJO]])),""))</f>
        <v/>
      </c>
      <c r="P1628" s="633" t="str">
        <f>IFERROR(LEFT(O1628, FIND(",", O1628)-1), O1628)</f>
        <v/>
      </c>
      <c r="Q1628" s="633" t="str">
        <f>IFERROR(IF(ISERROR(FIND(",", O1628, FIND(",", O1628)+1)), RIGHT(O1628, LEN(O1628)-FIND(",", O1628)-1), MID(O1628, FIND(",", O1628)+2, FIND(",", O1628, FIND(",", O1628)+1)-FIND(",", O1628)-2)), "")</f>
        <v/>
      </c>
      <c r="R1628" s="633" t="str">
        <f>IFERROR(RIGHT(O1628, LEN(O1628)-FIND(",", O1628, FIND(",", O1628)+1)-1), "")</f>
        <v/>
      </c>
      <c r="S1628" s="35" t="str" cm="1">
        <f t="array" ref="S1628">_xlfn.TEXTJOIN(", ",TRUE,_xlfn._xlws.FILTER(Tabla29[[#All],[PARTE]],ISNUMBER(SEARCH(Tabla29[[#All],[PCLAVE3]],Tabla8[[#This Row],[DESCRIPCION DE TRABAJO]])),""))</f>
        <v>Sustitucion</v>
      </c>
      <c r="T1628" s="88" t="str">
        <f>IF(AND(Tabla8[[#This Row],[PIEZA]]="",Tabla8[[#This Row],[PARTE]]=""),"VACIO","OK")</f>
        <v>VACIO</v>
      </c>
      <c r="U1628" s="633" t="str">
        <f>+CONCATENATE(WEEKNUM(Tabla8[[#This Row],[FECHA]]),"-",YEAR(Tabla8[[#This Row],[FECHA]]))</f>
        <v>24-2026</v>
      </c>
    </row>
    <row r="1629" spans="1:21" ht="15" customHeight="1">
      <c r="A1629" s="22">
        <v>46181</v>
      </c>
      <c r="B1629" s="16" t="s">
        <v>111</v>
      </c>
      <c r="C1629" s="16" t="s">
        <v>23</v>
      </c>
      <c r="D1629" s="381">
        <v>0.6875</v>
      </c>
      <c r="E1629" s="381">
        <v>0.73611111111111116</v>
      </c>
      <c r="F1629" s="632">
        <f>+MOD(Tabla8[[#This Row],[HR. FIN]]-Tabla8[[#This Row],[HR. INICIO]],1)</f>
        <v>4.861111111111116E-2</v>
      </c>
      <c r="G1629" s="16" t="s">
        <v>182</v>
      </c>
      <c r="H1629" s="79" t="str">
        <f>IFERROR(VLOOKUP(G1629,DATOS!$M$2:$N$219,2,FALSE),"")</f>
        <v>Maquinaria</v>
      </c>
      <c r="I1629" s="115" t="s">
        <v>32</v>
      </c>
      <c r="J1629" s="115" t="s">
        <v>157</v>
      </c>
      <c r="K1629" s="115"/>
      <c r="L1629" s="35" t="s">
        <v>2965</v>
      </c>
      <c r="M1629" s="35" t="s">
        <v>2966</v>
      </c>
      <c r="N1629" s="35" t="str" cm="1">
        <f t="array" ref="N1629">IFERROR(IF(Tabla8[[#This Row],[P/NP]]="NO PROGRAMADA","",_xlfn.TEXTJOIN(", ",TRUE,_xlfn._xlws.FILTER(Tabla4[[#All],[PIEZA]],ISNUMBER(SEARCH(Tabla4[[#All],[PCLAVE]],Tabla8[[#This Row],[DESCRIPCION DE TRABAJO]])),""))),"")</f>
        <v/>
      </c>
      <c r="O1629" s="35" t="str" cm="1">
        <f t="array" ref="O1629">_xlfn.TEXTJOIN(", ",TRUE,_xlfn._xlws.FILTER(Tabla28[[#All],[PARTE]],ISNUMBER(SEARCH(Tabla28[[#All],[PCLAVE2]],Tabla8[[#This Row],[DESCRIPCION DE TRABAJO]])),""))</f>
        <v/>
      </c>
      <c r="P1629" s="633" t="str">
        <f>IFERROR(LEFT(O1629, FIND(",", O1629)-1), O1629)</f>
        <v/>
      </c>
      <c r="Q1629" s="633" t="str">
        <f>IFERROR(IF(ISERROR(FIND(",", O1629, FIND(",", O1629)+1)), RIGHT(O1629, LEN(O1629)-FIND(",", O1629)-1), MID(O1629, FIND(",", O1629)+2, FIND(",", O1629, FIND(",", O1629)+1)-FIND(",", O1629)-2)), "")</f>
        <v/>
      </c>
      <c r="R1629" s="633" t="str">
        <f>IFERROR(RIGHT(O1629, LEN(O1629)-FIND(",", O1629, FIND(",", O1629)+1)-1), "")</f>
        <v/>
      </c>
      <c r="S1629" s="35" t="str" cm="1">
        <f t="array" ref="S1629">_xlfn.TEXTJOIN(", ",TRUE,_xlfn._xlws.FILTER(Tabla29[[#All],[PARTE]],ISNUMBER(SEARCH(Tabla29[[#All],[PCLAVE3]],Tabla8[[#This Row],[DESCRIPCION DE TRABAJO]])),""))</f>
        <v>Cambio De Formato</v>
      </c>
      <c r="T1629" s="88" t="str">
        <f>IF(AND(Tabla8[[#This Row],[PIEZA]]="",Tabla8[[#This Row],[PARTE]]=""),"VACIO","OK")</f>
        <v>VACIO</v>
      </c>
      <c r="U1629" s="633" t="str">
        <f>+CONCATENATE(WEEKNUM(Tabla8[[#This Row],[FECHA]]),"-",YEAR(Tabla8[[#This Row],[FECHA]]))</f>
        <v>24-2026</v>
      </c>
    </row>
    <row r="1630" spans="1:21" ht="15" customHeight="1">
      <c r="A1630" s="22">
        <v>46181</v>
      </c>
      <c r="B1630" s="16" t="s">
        <v>111</v>
      </c>
      <c r="C1630" s="16" t="s">
        <v>23</v>
      </c>
      <c r="D1630" s="381">
        <v>0.83680555555555558</v>
      </c>
      <c r="E1630" s="381">
        <v>0.87847222222222221</v>
      </c>
      <c r="F1630" s="632">
        <f>+MOD(Tabla8[[#This Row],[HR. FIN]]-Tabla8[[#This Row],[HR. INICIO]],1)</f>
        <v>4.166666666666663E-2</v>
      </c>
      <c r="G1630" s="16" t="s">
        <v>192</v>
      </c>
      <c r="H1630" s="79" t="str">
        <f>IFERROR(VLOOKUP(G1630,DATOS!$M$2:$N$219,2,FALSE),"")</f>
        <v>Maquinaria</v>
      </c>
      <c r="I1630" s="115" t="s">
        <v>186</v>
      </c>
      <c r="J1630" s="115" t="s">
        <v>92</v>
      </c>
      <c r="K1630" s="115" t="s">
        <v>93</v>
      </c>
      <c r="L1630" s="35" t="s">
        <v>2967</v>
      </c>
      <c r="M1630" s="35" t="s">
        <v>2968</v>
      </c>
      <c r="N1630" s="35" t="str" cm="1">
        <f t="array" ref="N1630">IFERROR(IF(Tabla8[[#This Row],[P/NP]]="NO PROGRAMADA","",_xlfn.TEXTJOIN(", ",TRUE,_xlfn._xlws.FILTER(Tabla4[[#All],[PIEZA]],ISNUMBER(SEARCH(Tabla4[[#All],[PCLAVE]],Tabla8[[#This Row],[DESCRIPCION DE TRABAJO]])),""))),"")</f>
        <v/>
      </c>
      <c r="O1630" s="35" t="str" cm="1">
        <f t="array" ref="O1630">_xlfn.TEXTJOIN(", ",TRUE,_xlfn._xlws.FILTER(Tabla28[[#All],[PARTE]],ISNUMBER(SEARCH(Tabla28[[#All],[PCLAVE2]],Tabla8[[#This Row],[DESCRIPCION DE TRABAJO]])),""))</f>
        <v/>
      </c>
      <c r="P1630" s="633" t="str">
        <f>IFERROR(LEFT(O1630, FIND(",", O1630)-1), O1630)</f>
        <v/>
      </c>
      <c r="Q1630" s="633" t="str">
        <f>IFERROR(IF(ISERROR(FIND(",", O1630, FIND(",", O1630)+1)), RIGHT(O1630, LEN(O1630)-FIND(",", O1630)-1), MID(O1630, FIND(",", O1630)+2, FIND(",", O1630, FIND(",", O1630)+1)-FIND(",", O1630)-2)), "")</f>
        <v/>
      </c>
      <c r="R1630" s="633" t="str">
        <f>IFERROR(RIGHT(O1630, LEN(O1630)-FIND(",", O1630, FIND(",", O1630)+1)-1), "")</f>
        <v/>
      </c>
      <c r="S1630" s="35" t="str" cm="1">
        <f t="array" ref="S1630">_xlfn.TEXTJOIN(", ",TRUE,_xlfn._xlws.FILTER(Tabla29[[#All],[PARTE]],ISNUMBER(SEARCH(Tabla29[[#All],[PCLAVE3]],Tabla8[[#This Row],[DESCRIPCION DE TRABAJO]])),""))</f>
        <v>Obstruido</v>
      </c>
      <c r="T1630" s="88" t="str">
        <f>IF(AND(Tabla8[[#This Row],[PIEZA]]="",Tabla8[[#This Row],[PARTE]]=""),"VACIO","OK")</f>
        <v>VACIO</v>
      </c>
      <c r="U1630" s="633" t="str">
        <f>+CONCATENATE(WEEKNUM(Tabla8[[#This Row],[FECHA]]),"-",YEAR(Tabla8[[#This Row],[FECHA]]))</f>
        <v>24-2026</v>
      </c>
    </row>
    <row r="1631" spans="1:21" ht="15" customHeight="1">
      <c r="A1631" s="22">
        <v>46181</v>
      </c>
      <c r="B1631" s="16" t="s">
        <v>111</v>
      </c>
      <c r="C1631" s="16" t="s">
        <v>23</v>
      </c>
      <c r="D1631" s="381">
        <v>0.61111111111111116</v>
      </c>
      <c r="E1631" s="381">
        <v>0.62847222222222221</v>
      </c>
      <c r="F1631" s="632">
        <f>+MOD(Tabla8[[#This Row],[HR. FIN]]-Tabla8[[#This Row],[HR. INICIO]],1)</f>
        <v>1.7361111111111049E-2</v>
      </c>
      <c r="G1631" s="16" t="s">
        <v>31</v>
      </c>
      <c r="H1631" s="79" t="str">
        <f>IFERROR(VLOOKUP(G1631,DATOS!$M$2:$N$219,2,FALSE),"")</f>
        <v>Maquinaria</v>
      </c>
      <c r="I1631" s="115" t="s">
        <v>57</v>
      </c>
      <c r="J1631" s="115" t="s">
        <v>157</v>
      </c>
      <c r="K1631" s="115"/>
      <c r="L1631" s="35" t="s">
        <v>2969</v>
      </c>
      <c r="M1631" s="35" t="s">
        <v>121</v>
      </c>
      <c r="N1631" s="35" t="str" cm="1">
        <f t="array" ref="N1631">IFERROR(IF(Tabla8[[#This Row],[P/NP]]="NO PROGRAMADA","",_xlfn.TEXTJOIN(", ",TRUE,_xlfn._xlws.FILTER(Tabla4[[#All],[PIEZA]],ISNUMBER(SEARCH(Tabla4[[#All],[PCLAVE]],Tabla8[[#This Row],[DESCRIPCION DE TRABAJO]])),""))),"")</f>
        <v>Banda</v>
      </c>
      <c r="O1631" s="35" t="str" cm="1">
        <f t="array" ref="O1631">_xlfn.TEXTJOIN(", ",TRUE,_xlfn._xlws.FILTER(Tabla28[[#All],[PARTE]],ISNUMBER(SEARCH(Tabla28[[#All],[PCLAVE2]],Tabla8[[#This Row],[DESCRIPCION DE TRABAJO]])),""))</f>
        <v/>
      </c>
      <c r="P1631" s="633" t="str">
        <f>IFERROR(LEFT(O1631, FIND(",", O1631)-1), O1631)</f>
        <v/>
      </c>
      <c r="Q1631" s="633" t="str">
        <f>IFERROR(IF(ISERROR(FIND(",", O1631, FIND(",", O1631)+1)), RIGHT(O1631, LEN(O1631)-FIND(",", O1631)-1), MID(O1631, FIND(",", O1631)+2, FIND(",", O1631, FIND(",", O1631)+1)-FIND(",", O1631)-2)), "")</f>
        <v/>
      </c>
      <c r="R1631" s="633" t="str">
        <f>IFERROR(RIGHT(O1631, LEN(O1631)-FIND(",", O1631, FIND(",", O1631)+1)-1), "")</f>
        <v/>
      </c>
      <c r="S1631" s="35" t="str" cm="1">
        <f t="array" ref="S1631">_xlfn.TEXTJOIN(", ",TRUE,_xlfn._xlws.FILTER(Tabla29[[#All],[PARTE]],ISNUMBER(SEARCH(Tabla29[[#All],[PCLAVE3]],Tabla8[[#This Row],[DESCRIPCION DE TRABAJO]])),""))</f>
        <v>Cambio De Formato, Desalineado</v>
      </c>
      <c r="T1631" s="88" t="str">
        <f>IF(AND(Tabla8[[#This Row],[PIEZA]]="",Tabla8[[#This Row],[PARTE]]=""),"VACIO","OK")</f>
        <v>OK</v>
      </c>
      <c r="U1631" s="633" t="str">
        <f>+CONCATENATE(WEEKNUM(Tabla8[[#This Row],[FECHA]]),"-",YEAR(Tabla8[[#This Row],[FECHA]]))</f>
        <v>24-2026</v>
      </c>
    </row>
    <row r="1632" spans="1:21" ht="15" customHeight="1">
      <c r="A1632" s="22">
        <v>46182</v>
      </c>
      <c r="B1632" s="16" t="s">
        <v>88</v>
      </c>
      <c r="C1632" s="16" t="s">
        <v>36</v>
      </c>
      <c r="D1632" s="381">
        <v>0.29166666666666669</v>
      </c>
      <c r="E1632" s="381">
        <v>0.39583333333333331</v>
      </c>
      <c r="F1632" s="632">
        <f>+MOD(Tabla8[[#This Row],[HR. FIN]]-Tabla8[[#This Row],[HR. INICIO]],1)</f>
        <v>0.10416666666666663</v>
      </c>
      <c r="G1632" s="16" t="s">
        <v>312</v>
      </c>
      <c r="H1632" s="79" t="str">
        <f>IFERROR(VLOOKUP(G1632,DATOS!$M$2:$N$219,2,FALSE),"")</f>
        <v>Maquinaria</v>
      </c>
      <c r="I1632" s="115" t="s">
        <v>32</v>
      </c>
      <c r="J1632" s="115" t="s">
        <v>157</v>
      </c>
      <c r="K1632" s="115"/>
      <c r="L1632" s="35" t="s">
        <v>2970</v>
      </c>
      <c r="M1632" s="35" t="s">
        <v>2971</v>
      </c>
      <c r="N1632" s="35" t="str" cm="1">
        <f t="array" ref="N1632">IFERROR(IF(Tabla8[[#This Row],[P/NP]]="NO PROGRAMADA","",_xlfn.TEXTJOIN(", ",TRUE,_xlfn._xlws.FILTER(Tabla4[[#All],[PIEZA]],ISNUMBER(SEARCH(Tabla4[[#All],[PCLAVE]],Tabla8[[#This Row],[DESCRIPCION DE TRABAJO]])),""))),"")</f>
        <v>Malla, Tuberias</v>
      </c>
      <c r="O1632" s="35" t="str" cm="1">
        <f t="array" ref="O1632">_xlfn.TEXTJOIN(", ",TRUE,_xlfn._xlws.FILTER(Tabla28[[#All],[PARTE]],ISNUMBER(SEARCH(Tabla28[[#All],[PCLAVE2]],Tabla8[[#This Row],[DESCRIPCION DE TRABAJO]])),""))</f>
        <v/>
      </c>
      <c r="P1632" s="633" t="str">
        <f>IFERROR(LEFT(O1632, FIND(",", O1632)-1), O1632)</f>
        <v/>
      </c>
      <c r="Q1632" s="633" t="str">
        <f>IFERROR(IF(ISERROR(FIND(",", O1632, FIND(",", O1632)+1)), RIGHT(O1632, LEN(O1632)-FIND(",", O1632)-1), MID(O1632, FIND(",", O1632)+2, FIND(",", O1632, FIND(",", O1632)+1)-FIND(",", O1632)-2)), "")</f>
        <v/>
      </c>
      <c r="R1632" s="633" t="str">
        <f>IFERROR(RIGHT(O1632, LEN(O1632)-FIND(",", O1632, FIND(",", O1632)+1)-1), "")</f>
        <v/>
      </c>
      <c r="S1632" s="35" t="str" cm="1">
        <f t="array" ref="S1632">_xlfn.TEXTJOIN(", ",TRUE,_xlfn._xlws.FILTER(Tabla29[[#All],[PARTE]],ISNUMBER(SEARCH(Tabla29[[#All],[PCLAVE3]],Tabla8[[#This Row],[DESCRIPCION DE TRABAJO]])),""))</f>
        <v/>
      </c>
      <c r="T1632" s="88" t="str">
        <f>IF(AND(Tabla8[[#This Row],[PIEZA]]="",Tabla8[[#This Row],[PARTE]]=""),"VACIO","OK")</f>
        <v>OK</v>
      </c>
      <c r="U1632" s="633" t="str">
        <f>+CONCATENATE(WEEKNUM(Tabla8[[#This Row],[FECHA]]),"-",YEAR(Tabla8[[#This Row],[FECHA]]))</f>
        <v>24-2026</v>
      </c>
    </row>
    <row r="1633" spans="1:21" ht="15" customHeight="1">
      <c r="A1633" s="22">
        <v>46182</v>
      </c>
      <c r="B1633" s="16" t="s">
        <v>88</v>
      </c>
      <c r="C1633" s="16" t="s">
        <v>36</v>
      </c>
      <c r="D1633" s="381">
        <v>0.39583333333333331</v>
      </c>
      <c r="E1633" s="381">
        <v>0.47916666666666669</v>
      </c>
      <c r="F1633" s="632">
        <f>+MOD(Tabla8[[#This Row],[HR. FIN]]-Tabla8[[#This Row],[HR. INICIO]],1)</f>
        <v>8.333333333333337E-2</v>
      </c>
      <c r="G1633" s="16" t="s">
        <v>266</v>
      </c>
      <c r="H1633" s="79" t="str">
        <f>IFERROR(VLOOKUP(G1633,DATOS!$M$2:$N$219,2,FALSE),"")</f>
        <v>Maquinaria</v>
      </c>
      <c r="I1633" s="115" t="s">
        <v>32</v>
      </c>
      <c r="J1633" s="115" t="s">
        <v>157</v>
      </c>
      <c r="K1633" s="115"/>
      <c r="L1633" s="35" t="s">
        <v>2972</v>
      </c>
      <c r="M1633" s="35" t="s">
        <v>2973</v>
      </c>
      <c r="N1633" s="35" t="str" cm="1">
        <f t="array" ref="N1633">IFERROR(IF(Tabla8[[#This Row],[P/NP]]="NO PROGRAMADA","",_xlfn.TEXTJOIN(", ",TRUE,_xlfn._xlws.FILTER(Tabla4[[#All],[PIEZA]],ISNUMBER(SEARCH(Tabla4[[#All],[PCLAVE]],Tabla8[[#This Row],[DESCRIPCION DE TRABAJO]])),""))),"")</f>
        <v/>
      </c>
      <c r="O1633" s="35" t="str" cm="1">
        <f t="array" ref="O1633">_xlfn.TEXTJOIN(", ",TRUE,_xlfn._xlws.FILTER(Tabla28[[#All],[PARTE]],ISNUMBER(SEARCH(Tabla28[[#All],[PCLAVE2]],Tabla8[[#This Row],[DESCRIPCION DE TRABAJO]])),""))</f>
        <v/>
      </c>
      <c r="P1633" s="633" t="str">
        <f>IFERROR(LEFT(O1633, FIND(",", O1633)-1), O1633)</f>
        <v/>
      </c>
      <c r="Q1633" s="633" t="str">
        <f>IFERROR(IF(ISERROR(FIND(",", O1633, FIND(",", O1633)+1)), RIGHT(O1633, LEN(O1633)-FIND(",", O1633)-1), MID(O1633, FIND(",", O1633)+2, FIND(",", O1633, FIND(",", O1633)+1)-FIND(",", O1633)-2)), "")</f>
        <v/>
      </c>
      <c r="R1633" s="633" t="str">
        <f>IFERROR(RIGHT(O1633, LEN(O1633)-FIND(",", O1633, FIND(",", O1633)+1)-1), "")</f>
        <v/>
      </c>
      <c r="S1633" s="35" t="str" cm="1">
        <f t="array" ref="S1633">_xlfn.TEXTJOIN(", ",TRUE,_xlfn._xlws.FILTER(Tabla29[[#All],[PARTE]],ISNUMBER(SEARCH(Tabla29[[#All],[PCLAVE3]],Tabla8[[#This Row],[DESCRIPCION DE TRABAJO]])),""))</f>
        <v/>
      </c>
      <c r="T1633" s="88" t="str">
        <f>IF(AND(Tabla8[[#This Row],[PIEZA]]="",Tabla8[[#This Row],[PARTE]]=""),"VACIO","OK")</f>
        <v>VACIO</v>
      </c>
      <c r="U1633" s="633" t="str">
        <f>+CONCATENATE(WEEKNUM(Tabla8[[#This Row],[FECHA]]),"-",YEAR(Tabla8[[#This Row],[FECHA]]))</f>
        <v>24-2026</v>
      </c>
    </row>
    <row r="1634" spans="1:21" ht="15" customHeight="1">
      <c r="A1634" s="22">
        <v>46182</v>
      </c>
      <c r="B1634" s="16" t="s">
        <v>131</v>
      </c>
      <c r="C1634" s="16" t="s">
        <v>39</v>
      </c>
      <c r="D1634" s="381">
        <v>0.91180555555555554</v>
      </c>
      <c r="E1634" s="381">
        <v>0.95486111111111116</v>
      </c>
      <c r="F1634" s="632">
        <f>+MOD(Tabla8[[#This Row],[HR. FIN]]-Tabla8[[#This Row],[HR. INICIO]],1)</f>
        <v>4.3055555555555625E-2</v>
      </c>
      <c r="G1634" s="16" t="s">
        <v>192</v>
      </c>
      <c r="H1634" s="79" t="str">
        <f>IFERROR(VLOOKUP(G1634,DATOS!$M$2:$N$219,2,FALSE),"")</f>
        <v>Maquinaria</v>
      </c>
      <c r="I1634" s="115" t="s">
        <v>32</v>
      </c>
      <c r="J1634" s="115" t="s">
        <v>157</v>
      </c>
      <c r="K1634" s="115"/>
      <c r="L1634" s="35" t="s">
        <v>2441</v>
      </c>
      <c r="M1634" s="35" t="s">
        <v>2974</v>
      </c>
      <c r="N1634" s="35" t="str" cm="1">
        <f t="array" ref="N1634">IFERROR(IF(Tabla8[[#This Row],[P/NP]]="NO PROGRAMADA","",_xlfn.TEXTJOIN(", ",TRUE,_xlfn._xlws.FILTER(Tabla4[[#All],[PIEZA]],ISNUMBER(SEARCH(Tabla4[[#All],[PCLAVE]],Tabla8[[#This Row],[DESCRIPCION DE TRABAJO]])),""))),"")</f>
        <v/>
      </c>
      <c r="O1634" s="35" t="str" cm="1">
        <f t="array" ref="O1634">_xlfn.TEXTJOIN(", ",TRUE,_xlfn._xlws.FILTER(Tabla28[[#All],[PARTE]],ISNUMBER(SEARCH(Tabla28[[#All],[PCLAVE2]],Tabla8[[#This Row],[DESCRIPCION DE TRABAJO]])),""))</f>
        <v/>
      </c>
      <c r="P1634" s="633" t="str">
        <f>IFERROR(LEFT(O1634, FIND(",", O1634)-1), O1634)</f>
        <v/>
      </c>
      <c r="Q1634" s="633" t="str">
        <f>IFERROR(IF(ISERROR(FIND(",", O1634, FIND(",", O1634)+1)), RIGHT(O1634, LEN(O1634)-FIND(",", O1634)-1), MID(O1634, FIND(",", O1634)+2, FIND(",", O1634, FIND(",", O1634)+1)-FIND(",", O1634)-2)), "")</f>
        <v/>
      </c>
      <c r="R1634" s="633" t="str">
        <f>IFERROR(RIGHT(O1634, LEN(O1634)-FIND(",", O1634, FIND(",", O1634)+1)-1), "")</f>
        <v/>
      </c>
      <c r="S1634" s="35" t="str" cm="1">
        <f t="array" ref="S1634">_xlfn.TEXTJOIN(", ",TRUE,_xlfn._xlws.FILTER(Tabla29[[#All],[PARTE]],ISNUMBER(SEARCH(Tabla29[[#All],[PCLAVE3]],Tabla8[[#This Row],[DESCRIPCION DE TRABAJO]])),""))</f>
        <v>Cambio De Formato</v>
      </c>
      <c r="T1634" s="88" t="str">
        <f>IF(AND(Tabla8[[#This Row],[PIEZA]]="",Tabla8[[#This Row],[PARTE]]=""),"VACIO","OK")</f>
        <v>VACIO</v>
      </c>
      <c r="U1634" s="633" t="str">
        <f>+CONCATENATE(WEEKNUM(Tabla8[[#This Row],[FECHA]]),"-",YEAR(Tabla8[[#This Row],[FECHA]]))</f>
        <v>24-2026</v>
      </c>
    </row>
    <row r="1635" spans="1:21" ht="15" customHeight="1">
      <c r="A1635" s="22">
        <v>46182</v>
      </c>
      <c r="B1635" s="16" t="s">
        <v>111</v>
      </c>
      <c r="C1635" s="16" t="s">
        <v>23</v>
      </c>
      <c r="D1635" s="381">
        <v>0.54166666666666663</v>
      </c>
      <c r="E1635" s="381">
        <v>0.58333333333333337</v>
      </c>
      <c r="F1635" s="632">
        <f>+MOD(Tabla8[[#This Row],[HR. FIN]]-Tabla8[[#This Row],[HR. INICIO]],1)</f>
        <v>4.1666666666666741E-2</v>
      </c>
      <c r="G1635" s="16" t="s">
        <v>266</v>
      </c>
      <c r="H1635" s="79" t="str">
        <f>IFERROR(VLOOKUP(G1635,DATOS!$M$2:$N$219,2,FALSE),"")</f>
        <v>Maquinaria</v>
      </c>
      <c r="I1635" s="115" t="s">
        <v>186</v>
      </c>
      <c r="J1635" s="115" t="s">
        <v>157</v>
      </c>
      <c r="K1635" s="115"/>
      <c r="L1635" s="35" t="s">
        <v>2975</v>
      </c>
      <c r="M1635" s="35" t="s">
        <v>121</v>
      </c>
      <c r="N1635" s="35" t="str" cm="1">
        <f t="array" ref="N1635">IFERROR(IF(Tabla8[[#This Row],[P/NP]]="NO PROGRAMADA","",_xlfn.TEXTJOIN(", ",TRUE,_xlfn._xlws.FILTER(Tabla4[[#All],[PIEZA]],ISNUMBER(SEARCH(Tabla4[[#All],[PCLAVE]],Tabla8[[#This Row],[DESCRIPCION DE TRABAJO]])),""))),"")</f>
        <v>Tuberias</v>
      </c>
      <c r="O1635" s="35" t="str" cm="1">
        <f t="array" ref="O1635">_xlfn.TEXTJOIN(", ",TRUE,_xlfn._xlws.FILTER(Tabla28[[#All],[PARTE]],ISNUMBER(SEARCH(Tabla28[[#All],[PCLAVE2]],Tabla8[[#This Row],[DESCRIPCION DE TRABAJO]])),""))</f>
        <v/>
      </c>
      <c r="P1635" s="633" t="str">
        <f>IFERROR(LEFT(O1635, FIND(",", O1635)-1), O1635)</f>
        <v/>
      </c>
      <c r="Q1635" s="633" t="str">
        <f>IFERROR(IF(ISERROR(FIND(",", O1635, FIND(",", O1635)+1)), RIGHT(O1635, LEN(O1635)-FIND(",", O1635)-1), MID(O1635, FIND(",", O1635)+2, FIND(",", O1635, FIND(",", O1635)+1)-FIND(",", O1635)-2)), "")</f>
        <v/>
      </c>
      <c r="R1635" s="633" t="str">
        <f>IFERROR(RIGHT(O1635, LEN(O1635)-FIND(",", O1635, FIND(",", O1635)+1)-1), "")</f>
        <v/>
      </c>
      <c r="S1635" s="35" t="str" cm="1">
        <f t="array" ref="S1635">_xlfn.TEXTJOIN(", ",TRUE,_xlfn._xlws.FILTER(Tabla29[[#All],[PARTE]],ISNUMBER(SEARCH(Tabla29[[#All],[PCLAVE3]],Tabla8[[#This Row],[DESCRIPCION DE TRABAJO]])),""))</f>
        <v>Dañado</v>
      </c>
      <c r="T1635" s="88" t="str">
        <f>IF(AND(Tabla8[[#This Row],[PIEZA]]="",Tabla8[[#This Row],[PARTE]]=""),"VACIO","OK")</f>
        <v>OK</v>
      </c>
      <c r="U1635" s="633" t="str">
        <f>+CONCATENATE(WEEKNUM(Tabla8[[#This Row],[FECHA]]),"-",YEAR(Tabla8[[#This Row],[FECHA]]))</f>
        <v>24-2026</v>
      </c>
    </row>
    <row r="1636" spans="1:21" ht="15" customHeight="1">
      <c r="A1636" s="22">
        <v>46182</v>
      </c>
      <c r="B1636" s="16" t="s">
        <v>111</v>
      </c>
      <c r="C1636" s="16" t="s">
        <v>23</v>
      </c>
      <c r="D1636" s="381">
        <v>0.65625</v>
      </c>
      <c r="E1636" s="381">
        <v>0.69444444444444442</v>
      </c>
      <c r="F1636" s="632">
        <f>+MOD(Tabla8[[#This Row],[HR. FIN]]-Tabla8[[#This Row],[HR. INICIO]],1)</f>
        <v>3.819444444444442E-2</v>
      </c>
      <c r="G1636" s="16" t="s">
        <v>182</v>
      </c>
      <c r="H1636" s="79" t="str">
        <f>IFERROR(VLOOKUP(G1636,DATOS!$M$2:$N$219,2,FALSE),"")</f>
        <v>Maquinaria</v>
      </c>
      <c r="I1636" s="115" t="s">
        <v>57</v>
      </c>
      <c r="J1636" s="115" t="s">
        <v>157</v>
      </c>
      <c r="K1636" s="115"/>
      <c r="L1636" s="35" t="s">
        <v>2976</v>
      </c>
      <c r="M1636" s="35" t="s">
        <v>121</v>
      </c>
      <c r="N1636" s="35" t="str" cm="1">
        <f t="array" ref="N1636">IFERROR(IF(Tabla8[[#This Row],[P/NP]]="NO PROGRAMADA","",_xlfn.TEXTJOIN(", ",TRUE,_xlfn._xlws.FILTER(Tabla4[[#All],[PIEZA]],ISNUMBER(SEARCH(Tabla4[[#All],[PCLAVE]],Tabla8[[#This Row],[DESCRIPCION DE TRABAJO]])),""))),"")</f>
        <v/>
      </c>
      <c r="O1636" s="35" t="str" cm="1">
        <f t="array" ref="O1636">_xlfn.TEXTJOIN(", ",TRUE,_xlfn._xlws.FILTER(Tabla28[[#All],[PARTE]],ISNUMBER(SEARCH(Tabla28[[#All],[PCLAVE2]],Tabla8[[#This Row],[DESCRIPCION DE TRABAJO]])),""))</f>
        <v/>
      </c>
      <c r="P1636" s="633" t="str">
        <f>IFERROR(LEFT(O1636, FIND(",", O1636)-1), O1636)</f>
        <v/>
      </c>
      <c r="Q1636" s="633" t="str">
        <f>IFERROR(IF(ISERROR(FIND(",", O1636, FIND(",", O1636)+1)), RIGHT(O1636, LEN(O1636)-FIND(",", O1636)-1), MID(O1636, FIND(",", O1636)+2, FIND(",", O1636, FIND(",", O1636)+1)-FIND(",", O1636)-2)), "")</f>
        <v/>
      </c>
      <c r="R1636" s="633" t="str">
        <f>IFERROR(RIGHT(O1636, LEN(O1636)-FIND(",", O1636, FIND(",", O1636)+1)-1), "")</f>
        <v/>
      </c>
      <c r="S1636" s="35" t="str" cm="1">
        <f t="array" ref="S1636">_xlfn.TEXTJOIN(", ",TRUE,_xlfn._xlws.FILTER(Tabla29[[#All],[PARTE]],ISNUMBER(SEARCH(Tabla29[[#All],[PCLAVE3]],Tabla8[[#This Row],[DESCRIPCION DE TRABAJO]])),""))</f>
        <v>Calibracion, Cambio De Formato</v>
      </c>
      <c r="T1636" s="88" t="str">
        <f>IF(AND(Tabla8[[#This Row],[PIEZA]]="",Tabla8[[#This Row],[PARTE]]=""),"VACIO","OK")</f>
        <v>VACIO</v>
      </c>
      <c r="U1636" s="633" t="str">
        <f>+CONCATENATE(WEEKNUM(Tabla8[[#This Row],[FECHA]]),"-",YEAR(Tabla8[[#This Row],[FECHA]]))</f>
        <v>24-2026</v>
      </c>
    </row>
    <row r="1637" spans="1:21" ht="15" customHeight="1">
      <c r="A1637" s="22">
        <v>46182</v>
      </c>
      <c r="B1637" s="16" t="s">
        <v>111</v>
      </c>
      <c r="C1637" s="16" t="s">
        <v>23</v>
      </c>
      <c r="D1637" s="381">
        <v>0.81944444444444442</v>
      </c>
      <c r="E1637" s="381">
        <v>0.85416666666666663</v>
      </c>
      <c r="F1637" s="632">
        <f>+MOD(Tabla8[[#This Row],[HR. FIN]]-Tabla8[[#This Row],[HR. INICIO]],1)</f>
        <v>3.472222222222221E-2</v>
      </c>
      <c r="G1637" s="16" t="s">
        <v>182</v>
      </c>
      <c r="H1637" s="79" t="str">
        <f>IFERROR(VLOOKUP(G1637,DATOS!$M$2:$N$219,2,FALSE),"")</f>
        <v>Maquinaria</v>
      </c>
      <c r="I1637" s="115" t="s">
        <v>186</v>
      </c>
      <c r="J1637" s="115" t="s">
        <v>92</v>
      </c>
      <c r="K1637" s="115" t="s">
        <v>148</v>
      </c>
      <c r="L1637" s="35" t="s">
        <v>2977</v>
      </c>
      <c r="M1637" s="35" t="s">
        <v>2978</v>
      </c>
      <c r="N1637" s="35" t="str" cm="1">
        <f t="array" ref="N1637">IFERROR(IF(Tabla8[[#This Row],[P/NP]]="NO PROGRAMADA","",_xlfn.TEXTJOIN(", ",TRUE,_xlfn._xlws.FILTER(Tabla4[[#All],[PIEZA]],ISNUMBER(SEARCH(Tabla4[[#All],[PCLAVE]],Tabla8[[#This Row],[DESCRIPCION DE TRABAJO]])),""))),"")</f>
        <v/>
      </c>
      <c r="O1637" s="35" t="str" cm="1">
        <f t="array" ref="O1637">_xlfn.TEXTJOIN(", ",TRUE,_xlfn._xlws.FILTER(Tabla28[[#All],[PARTE]],ISNUMBER(SEARCH(Tabla28[[#All],[PCLAVE2]],Tabla8[[#This Row],[DESCRIPCION DE TRABAJO]])),""))</f>
        <v/>
      </c>
      <c r="P1637" s="633" t="str">
        <f>IFERROR(LEFT(O1637, FIND(",", O1637)-1), O1637)</f>
        <v/>
      </c>
      <c r="Q1637" s="633" t="str">
        <f>IFERROR(IF(ISERROR(FIND(",", O1637, FIND(",", O1637)+1)), RIGHT(O1637, LEN(O1637)-FIND(",", O1637)-1), MID(O1637, FIND(",", O1637)+2, FIND(",", O1637, FIND(",", O1637)+1)-FIND(",", O1637)-2)), "")</f>
        <v/>
      </c>
      <c r="R1637" s="633" t="str">
        <f>IFERROR(RIGHT(O1637, LEN(O1637)-FIND(",", O1637, FIND(",", O1637)+1)-1), "")</f>
        <v/>
      </c>
      <c r="S1637" s="35" t="str" cm="1">
        <f t="array" ref="S1637">_xlfn.TEXTJOIN(", ",TRUE,_xlfn._xlws.FILTER(Tabla29[[#All],[PARTE]],ISNUMBER(SEARCH(Tabla29[[#All],[PCLAVE3]],Tabla8[[#This Row],[DESCRIPCION DE TRABAJO]])),""))</f>
        <v>Dañado</v>
      </c>
      <c r="T1637" s="88" t="str">
        <f>IF(AND(Tabla8[[#This Row],[PIEZA]]="",Tabla8[[#This Row],[PARTE]]=""),"VACIO","OK")</f>
        <v>VACIO</v>
      </c>
      <c r="U1637" s="633" t="str">
        <f>+CONCATENATE(WEEKNUM(Tabla8[[#This Row],[FECHA]]),"-",YEAR(Tabla8[[#This Row],[FECHA]]))</f>
        <v>24-2026</v>
      </c>
    </row>
    <row r="1638" spans="1:21" ht="15" customHeight="1">
      <c r="A1638" s="22">
        <v>46182</v>
      </c>
      <c r="B1638" s="16" t="s">
        <v>111</v>
      </c>
      <c r="C1638" s="16" t="s">
        <v>23</v>
      </c>
      <c r="D1638" s="381">
        <v>0.60069444444444442</v>
      </c>
      <c r="E1638" s="381">
        <v>0.62847222222222221</v>
      </c>
      <c r="F1638" s="632">
        <f>+MOD(Tabla8[[#This Row],[HR. FIN]]-Tabla8[[#This Row],[HR. INICIO]],1)</f>
        <v>2.777777777777779E-2</v>
      </c>
      <c r="G1638" s="16" t="s">
        <v>182</v>
      </c>
      <c r="H1638" s="79" t="str">
        <f>IFERROR(VLOOKUP(G1638,DATOS!$M$2:$N$219,2,FALSE),"")</f>
        <v>Maquinaria</v>
      </c>
      <c r="I1638" s="115" t="s">
        <v>32</v>
      </c>
      <c r="J1638" s="115" t="s">
        <v>157</v>
      </c>
      <c r="K1638" s="115"/>
      <c r="L1638" s="35" t="s">
        <v>2979</v>
      </c>
      <c r="M1638" s="35" t="s">
        <v>121</v>
      </c>
      <c r="N1638" s="35" t="str" cm="1">
        <f t="array" ref="N1638">IFERROR(IF(Tabla8[[#This Row],[P/NP]]="NO PROGRAMADA","",_xlfn.TEXTJOIN(", ",TRUE,_xlfn._xlws.FILTER(Tabla4[[#All],[PIEZA]],ISNUMBER(SEARCH(Tabla4[[#All],[PCLAVE]],Tabla8[[#This Row],[DESCRIPCION DE TRABAJO]])),""))),"")</f>
        <v/>
      </c>
      <c r="O1638" s="35" t="str" cm="1">
        <f t="array" ref="O1638">_xlfn.TEXTJOIN(", ",TRUE,_xlfn._xlws.FILTER(Tabla28[[#All],[PARTE]],ISNUMBER(SEARCH(Tabla28[[#All],[PCLAVE2]],Tabla8[[#This Row],[DESCRIPCION DE TRABAJO]])),""))</f>
        <v/>
      </c>
      <c r="P1638" s="633" t="str">
        <f>IFERROR(LEFT(O1638, FIND(",", O1638)-1), O1638)</f>
        <v/>
      </c>
      <c r="Q1638" s="633" t="str">
        <f>IFERROR(IF(ISERROR(FIND(",", O1638, FIND(",", O1638)+1)), RIGHT(O1638, LEN(O1638)-FIND(",", O1638)-1), MID(O1638, FIND(",", O1638)+2, FIND(",", O1638, FIND(",", O1638)+1)-FIND(",", O1638)-2)), "")</f>
        <v/>
      </c>
      <c r="R1638" s="633" t="str">
        <f>IFERROR(RIGHT(O1638, LEN(O1638)-FIND(",", O1638, FIND(",", O1638)+1)-1), "")</f>
        <v/>
      </c>
      <c r="S1638" s="35" t="str" cm="1">
        <f t="array" ref="S1638">_xlfn.TEXTJOIN(", ",TRUE,_xlfn._xlws.FILTER(Tabla29[[#All],[PARTE]],ISNUMBER(SEARCH(Tabla29[[#All],[PCLAVE3]],Tabla8[[#This Row],[DESCRIPCION DE TRABAJO]])),""))</f>
        <v>Cambio De Formato</v>
      </c>
      <c r="T1638" s="88" t="str">
        <f>IF(AND(Tabla8[[#This Row],[PIEZA]]="",Tabla8[[#This Row],[PARTE]]=""),"VACIO","OK")</f>
        <v>VACIO</v>
      </c>
      <c r="U1638" s="633" t="str">
        <f>+CONCATENATE(WEEKNUM(Tabla8[[#This Row],[FECHA]]),"-",YEAR(Tabla8[[#This Row],[FECHA]]))</f>
        <v>24-2026</v>
      </c>
    </row>
    <row r="1639" spans="1:21" ht="15" customHeight="1">
      <c r="A1639" s="22">
        <v>46182</v>
      </c>
      <c r="B1639" s="16" t="s">
        <v>131</v>
      </c>
      <c r="C1639" s="16" t="s">
        <v>39</v>
      </c>
      <c r="D1639" s="381">
        <v>6.25E-2</v>
      </c>
      <c r="E1639" s="381">
        <v>8.8888888888888892E-2</v>
      </c>
      <c r="F1639" s="632">
        <f>+MOD(Tabla8[[#This Row],[HR. FIN]]-Tabla8[[#This Row],[HR. INICIO]],1)</f>
        <v>2.6388888888888892E-2</v>
      </c>
      <c r="G1639" s="16" t="s">
        <v>119</v>
      </c>
      <c r="H1639" s="79" t="str">
        <f>IFERROR(VLOOKUP(G1639,DATOS!$M$2:$N$219,2,FALSE),"")</f>
        <v>Maquinaria</v>
      </c>
      <c r="I1639" s="115" t="s">
        <v>32</v>
      </c>
      <c r="J1639" s="115" t="s">
        <v>157</v>
      </c>
      <c r="K1639" s="115"/>
      <c r="L1639" s="35" t="s">
        <v>2980</v>
      </c>
      <c r="M1639" s="35" t="s">
        <v>121</v>
      </c>
      <c r="N1639" s="35" t="str" cm="1">
        <f t="array" ref="N1639">IFERROR(IF(Tabla8[[#This Row],[P/NP]]="NO PROGRAMADA","",_xlfn.TEXTJOIN(", ",TRUE,_xlfn._xlws.FILTER(Tabla4[[#All],[PIEZA]],ISNUMBER(SEARCH(Tabla4[[#All],[PCLAVE]],Tabla8[[#This Row],[DESCRIPCION DE TRABAJO]])),""))),"")</f>
        <v/>
      </c>
      <c r="O1639" s="35" t="str" cm="1">
        <f t="array" ref="O1639">_xlfn.TEXTJOIN(", ",TRUE,_xlfn._xlws.FILTER(Tabla28[[#All],[PARTE]],ISNUMBER(SEARCH(Tabla28[[#All],[PCLAVE2]],Tabla8[[#This Row],[DESCRIPCION DE TRABAJO]])),""))</f>
        <v>Mds</v>
      </c>
      <c r="P1639" s="633" t="str">
        <f>IFERROR(LEFT(O1639, FIND(",", O1639)-1), O1639)</f>
        <v>Mds</v>
      </c>
      <c r="Q1639" s="633" t="str">
        <f>IFERROR(IF(ISERROR(FIND(",", O1639, FIND(",", O1639)+1)), RIGHT(O1639, LEN(O1639)-FIND(",", O1639)-1), MID(O1639, FIND(",", O1639)+2, FIND(",", O1639, FIND(",", O1639)+1)-FIND(",", O1639)-2)), "")</f>
        <v/>
      </c>
      <c r="R1639" s="633" t="str">
        <f>IFERROR(RIGHT(O1639, LEN(O1639)-FIND(",", O1639, FIND(",", O1639)+1)-1), "")</f>
        <v/>
      </c>
      <c r="S1639" s="35" t="str" cm="1">
        <f t="array" ref="S1639">_xlfn.TEXTJOIN(", ",TRUE,_xlfn._xlws.FILTER(Tabla29[[#All],[PARTE]],ISNUMBER(SEARCH(Tabla29[[#All],[PCLAVE3]],Tabla8[[#This Row],[DESCRIPCION DE TRABAJO]])),""))</f>
        <v/>
      </c>
      <c r="T1639" s="88" t="str">
        <f>IF(AND(Tabla8[[#This Row],[PIEZA]]="",Tabla8[[#This Row],[PARTE]]=""),"VACIO","OK")</f>
        <v>OK</v>
      </c>
      <c r="U1639" s="633" t="str">
        <f>+CONCATENATE(WEEKNUM(Tabla8[[#This Row],[FECHA]]),"-",YEAR(Tabla8[[#This Row],[FECHA]]))</f>
        <v>24-2026</v>
      </c>
    </row>
    <row r="1640" spans="1:21" ht="15" customHeight="1">
      <c r="A1640" s="22">
        <v>46182</v>
      </c>
      <c r="B1640" s="16" t="s">
        <v>131</v>
      </c>
      <c r="C1640" s="16" t="s">
        <v>39</v>
      </c>
      <c r="D1640" s="381">
        <v>0.17569444444444443</v>
      </c>
      <c r="E1640" s="381">
        <v>0.19791666666666666</v>
      </c>
      <c r="F1640" s="632">
        <f>+MOD(Tabla8[[#This Row],[HR. FIN]]-Tabla8[[#This Row],[HR. INICIO]],1)</f>
        <v>2.2222222222222227E-2</v>
      </c>
      <c r="G1640" s="16" t="s">
        <v>192</v>
      </c>
      <c r="H1640" s="79" t="str">
        <f>IFERROR(VLOOKUP(G1640,DATOS!$M$2:$N$219,2,FALSE),"")</f>
        <v>Maquinaria</v>
      </c>
      <c r="I1640" s="115" t="s">
        <v>54</v>
      </c>
      <c r="J1640" s="115" t="s">
        <v>157</v>
      </c>
      <c r="K1640" s="115"/>
      <c r="L1640" s="35" t="s">
        <v>225</v>
      </c>
      <c r="M1640" s="35" t="s">
        <v>121</v>
      </c>
      <c r="N1640" s="35" t="str" cm="1">
        <f t="array" ref="N1640">IFERROR(IF(Tabla8[[#This Row],[P/NP]]="NO PROGRAMADA","",_xlfn.TEXTJOIN(", ",TRUE,_xlfn._xlws.FILTER(Tabla4[[#All],[PIEZA]],ISNUMBER(SEARCH(Tabla4[[#All],[PCLAVE]],Tabla8[[#This Row],[DESCRIPCION DE TRABAJO]])),""))),"")</f>
        <v/>
      </c>
      <c r="O1640" s="35" t="str" cm="1">
        <f t="array" ref="O1640">_xlfn.TEXTJOIN(", ",TRUE,_xlfn._xlws.FILTER(Tabla28[[#All],[PARTE]],ISNUMBER(SEARCH(Tabla28[[#All],[PCLAVE2]],Tabla8[[#This Row],[DESCRIPCION DE TRABAJO]])),""))</f>
        <v/>
      </c>
      <c r="P1640" s="633" t="str">
        <f>IFERROR(LEFT(O1640, FIND(",", O1640)-1), O1640)</f>
        <v/>
      </c>
      <c r="Q1640" s="633" t="str">
        <f>IFERROR(IF(ISERROR(FIND(",", O1640, FIND(",", O1640)+1)), RIGHT(O1640, LEN(O1640)-FIND(",", O1640)-1), MID(O1640, FIND(",", O1640)+2, FIND(",", O1640, FIND(",", O1640)+1)-FIND(",", O1640)-2)), "")</f>
        <v/>
      </c>
      <c r="R1640" s="633" t="str">
        <f>IFERROR(RIGHT(O1640, LEN(O1640)-FIND(",", O1640, FIND(",", O1640)+1)-1), "")</f>
        <v/>
      </c>
      <c r="S1640" s="35" t="str" cm="1">
        <f t="array" ref="S1640">_xlfn.TEXTJOIN(", ",TRUE,_xlfn._xlws.FILTER(Tabla29[[#All],[PARTE]],ISNUMBER(SEARCH(Tabla29[[#All],[PCLAVE3]],Tabla8[[#This Row],[DESCRIPCION DE TRABAJO]])),""))</f>
        <v/>
      </c>
      <c r="T1640" s="88" t="str">
        <f>IF(AND(Tabla8[[#This Row],[PIEZA]]="",Tabla8[[#This Row],[PARTE]]=""),"VACIO","OK")</f>
        <v>VACIO</v>
      </c>
      <c r="U1640" s="633" t="str">
        <f>+CONCATENATE(WEEKNUM(Tabla8[[#This Row],[FECHA]]),"-",YEAR(Tabla8[[#This Row],[FECHA]]))</f>
        <v>24-2026</v>
      </c>
    </row>
    <row r="1641" spans="1:21" ht="15" customHeight="1">
      <c r="A1641" s="22">
        <v>46182</v>
      </c>
      <c r="B1641" s="16" t="s">
        <v>131</v>
      </c>
      <c r="C1641" s="16" t="s">
        <v>39</v>
      </c>
      <c r="D1641" s="381">
        <v>0.96875</v>
      </c>
      <c r="E1641" s="381">
        <v>0.98958333333333337</v>
      </c>
      <c r="F1641" s="632">
        <f>+MOD(Tabla8[[#This Row],[HR. FIN]]-Tabla8[[#This Row],[HR. INICIO]],1)</f>
        <v>2.083333333333337E-2</v>
      </c>
      <c r="G1641" s="16" t="s">
        <v>182</v>
      </c>
      <c r="H1641" s="79" t="str">
        <f>IFERROR(VLOOKUP(G1641,DATOS!$M$2:$N$219,2,FALSE),"")</f>
        <v>Maquinaria</v>
      </c>
      <c r="I1641" s="115" t="s">
        <v>57</v>
      </c>
      <c r="J1641" s="115" t="s">
        <v>92</v>
      </c>
      <c r="K1641" s="115" t="s">
        <v>93</v>
      </c>
      <c r="L1641" s="35" t="s">
        <v>2981</v>
      </c>
      <c r="M1641" s="35" t="s">
        <v>2982</v>
      </c>
      <c r="N1641" s="35" t="str" cm="1">
        <f t="array" ref="N1641">IFERROR(IF(Tabla8[[#This Row],[P/NP]]="NO PROGRAMADA","",_xlfn.TEXTJOIN(", ",TRUE,_xlfn._xlws.FILTER(Tabla4[[#All],[PIEZA]],ISNUMBER(SEARCH(Tabla4[[#All],[PCLAVE]],Tabla8[[#This Row],[DESCRIPCION DE TRABAJO]])),""))),"")</f>
        <v/>
      </c>
      <c r="O1641" s="35" t="str" cm="1">
        <f t="array" ref="O1641">_xlfn.TEXTJOIN(", ",TRUE,_xlfn._xlws.FILTER(Tabla28[[#All],[PARTE]],ISNUMBER(SEARCH(Tabla28[[#All],[PCLAVE2]],Tabla8[[#This Row],[DESCRIPCION DE TRABAJO]])),""))</f>
        <v/>
      </c>
      <c r="P1641" s="633" t="str">
        <f>IFERROR(LEFT(O1641, FIND(",", O1641)-1), O1641)</f>
        <v/>
      </c>
      <c r="Q1641" s="633" t="str">
        <f>IFERROR(IF(ISERROR(FIND(",", O1641, FIND(",", O1641)+1)), RIGHT(O1641, LEN(O1641)-FIND(",", O1641)-1), MID(O1641, FIND(",", O1641)+2, FIND(",", O1641, FIND(",", O1641)+1)-FIND(",", O1641)-2)), "")</f>
        <v/>
      </c>
      <c r="R1641" s="633" t="str">
        <f>IFERROR(RIGHT(O1641, LEN(O1641)-FIND(",", O1641, FIND(",", O1641)+1)-1), "")</f>
        <v/>
      </c>
      <c r="S1641" s="35" t="str" cm="1">
        <f t="array" ref="S1641">_xlfn.TEXTJOIN(", ",TRUE,_xlfn._xlws.FILTER(Tabla29[[#All],[PARTE]],ISNUMBER(SEARCH(Tabla29[[#All],[PCLAVE3]],Tabla8[[#This Row],[DESCRIPCION DE TRABAJO]])),""))</f>
        <v/>
      </c>
      <c r="T1641" s="88" t="str">
        <f>IF(AND(Tabla8[[#This Row],[PIEZA]]="",Tabla8[[#This Row],[PARTE]]=""),"VACIO","OK")</f>
        <v>VACIO</v>
      </c>
      <c r="U1641" s="633" t="str">
        <f>+CONCATENATE(WEEKNUM(Tabla8[[#This Row],[FECHA]]),"-",YEAR(Tabla8[[#This Row],[FECHA]]))</f>
        <v>24-2026</v>
      </c>
    </row>
    <row r="1642" spans="1:21" ht="15" customHeight="1">
      <c r="A1642" s="22">
        <v>46182</v>
      </c>
      <c r="B1642" s="16" t="s">
        <v>131</v>
      </c>
      <c r="C1642" s="16" t="s">
        <v>39</v>
      </c>
      <c r="D1642" s="381">
        <v>4.1666666666666664E-2</v>
      </c>
      <c r="E1642" s="381">
        <v>6.25E-2</v>
      </c>
      <c r="F1642" s="632">
        <f>+MOD(Tabla8[[#This Row],[HR. FIN]]-Tabla8[[#This Row],[HR. INICIO]],1)</f>
        <v>2.0833333333333336E-2</v>
      </c>
      <c r="G1642" s="16" t="s">
        <v>119</v>
      </c>
      <c r="H1642" s="79" t="str">
        <f>IFERROR(VLOOKUP(G1642,DATOS!$M$2:$N$219,2,FALSE),"")</f>
        <v>Maquinaria</v>
      </c>
      <c r="I1642" s="115" t="s">
        <v>32</v>
      </c>
      <c r="J1642" s="115" t="s">
        <v>157</v>
      </c>
      <c r="K1642" s="115"/>
      <c r="L1642" s="35" t="s">
        <v>578</v>
      </c>
      <c r="M1642" s="35" t="s">
        <v>121</v>
      </c>
      <c r="N1642" s="35" t="str" cm="1">
        <f t="array" ref="N1642">IFERROR(IF(Tabla8[[#This Row],[P/NP]]="NO PROGRAMADA","",_xlfn.TEXTJOIN(", ",TRUE,_xlfn._xlws.FILTER(Tabla4[[#All],[PIEZA]],ISNUMBER(SEARCH(Tabla4[[#All],[PCLAVE]],Tabla8[[#This Row],[DESCRIPCION DE TRABAJO]])),""))),"")</f>
        <v/>
      </c>
      <c r="O1642" s="35" t="str" cm="1">
        <f t="array" ref="O1642">_xlfn.TEXTJOIN(", ",TRUE,_xlfn._xlws.FILTER(Tabla28[[#All],[PARTE]],ISNUMBER(SEARCH(Tabla28[[#All],[PCLAVE2]],Tabla8[[#This Row],[DESCRIPCION DE TRABAJO]])),""))</f>
        <v>Mds</v>
      </c>
      <c r="P1642" s="633" t="str">
        <f>IFERROR(LEFT(O1642, FIND(",", O1642)-1), O1642)</f>
        <v>Mds</v>
      </c>
      <c r="Q1642" s="633" t="str">
        <f>IFERROR(IF(ISERROR(FIND(",", O1642, FIND(",", O1642)+1)), RIGHT(O1642, LEN(O1642)-FIND(",", O1642)-1), MID(O1642, FIND(",", O1642)+2, FIND(",", O1642, FIND(",", O1642)+1)-FIND(",", O1642)-2)), "")</f>
        <v/>
      </c>
      <c r="R1642" s="633" t="str">
        <f>IFERROR(RIGHT(O1642, LEN(O1642)-FIND(",", O1642, FIND(",", O1642)+1)-1), "")</f>
        <v/>
      </c>
      <c r="S1642" s="35" t="str" cm="1">
        <f t="array" ref="S1642">_xlfn.TEXTJOIN(", ",TRUE,_xlfn._xlws.FILTER(Tabla29[[#All],[PARTE]],ISNUMBER(SEARCH(Tabla29[[#All],[PCLAVE3]],Tabla8[[#This Row],[DESCRIPCION DE TRABAJO]])),""))</f>
        <v>Cambio De Formato</v>
      </c>
      <c r="T1642" s="88" t="str">
        <f>IF(AND(Tabla8[[#This Row],[PIEZA]]="",Tabla8[[#This Row],[PARTE]]=""),"VACIO","OK")</f>
        <v>OK</v>
      </c>
      <c r="U1642" s="633" t="str">
        <f>+CONCATENATE(WEEKNUM(Tabla8[[#This Row],[FECHA]]),"-",YEAR(Tabla8[[#This Row],[FECHA]]))</f>
        <v>24-2026</v>
      </c>
    </row>
    <row r="1643" spans="1:21" ht="15" customHeight="1">
      <c r="A1643" s="22">
        <v>46182</v>
      </c>
      <c r="B1643" s="16" t="s">
        <v>111</v>
      </c>
      <c r="C1643" s="16" t="s">
        <v>23</v>
      </c>
      <c r="D1643" s="381">
        <v>0.63055555555555554</v>
      </c>
      <c r="E1643" s="381">
        <v>0.64930555555555558</v>
      </c>
      <c r="F1643" s="632">
        <f>+MOD(Tabla8[[#This Row],[HR. FIN]]-Tabla8[[#This Row],[HR. INICIO]],1)</f>
        <v>1.8750000000000044E-2</v>
      </c>
      <c r="G1643" s="16" t="s">
        <v>270</v>
      </c>
      <c r="H1643" s="79" t="str">
        <f>IFERROR(VLOOKUP(G1643,DATOS!$M$2:$N$219,2,FALSE),"")</f>
        <v>Maquinaria</v>
      </c>
      <c r="I1643" s="115" t="s">
        <v>245</v>
      </c>
      <c r="J1643" s="115" t="s">
        <v>92</v>
      </c>
      <c r="K1643" s="115" t="s">
        <v>93</v>
      </c>
      <c r="L1643" s="35" t="s">
        <v>2983</v>
      </c>
      <c r="M1643" s="35" t="s">
        <v>2984</v>
      </c>
      <c r="N1643" s="35" t="str" cm="1">
        <f t="array" ref="N1643">IFERROR(IF(Tabla8[[#This Row],[P/NP]]="NO PROGRAMADA","",_xlfn.TEXTJOIN(", ",TRUE,_xlfn._xlws.FILTER(Tabla4[[#All],[PIEZA]],ISNUMBER(SEARCH(Tabla4[[#All],[PCLAVE]],Tabla8[[#This Row],[DESCRIPCION DE TRABAJO]])),""))),"")</f>
        <v/>
      </c>
      <c r="O1643" s="35" t="str" cm="1">
        <f t="array" ref="O1643">_xlfn.TEXTJOIN(", ",TRUE,_xlfn._xlws.FILTER(Tabla28[[#All],[PARTE]],ISNUMBER(SEARCH(Tabla28[[#All],[PCLAVE2]],Tabla8[[#This Row],[DESCRIPCION DE TRABAJO]])),""))</f>
        <v/>
      </c>
      <c r="P1643" s="633" t="str">
        <f>IFERROR(LEFT(O1643, FIND(",", O1643)-1), O1643)</f>
        <v/>
      </c>
      <c r="Q1643" s="633" t="str">
        <f>IFERROR(IF(ISERROR(FIND(",", O1643, FIND(",", O1643)+1)), RIGHT(O1643, LEN(O1643)-FIND(",", O1643)-1), MID(O1643, FIND(",", O1643)+2, FIND(",", O1643, FIND(",", O1643)+1)-FIND(",", O1643)-2)), "")</f>
        <v/>
      </c>
      <c r="R1643" s="633" t="str">
        <f>IFERROR(RIGHT(O1643, LEN(O1643)-FIND(",", O1643, FIND(",", O1643)+1)-1), "")</f>
        <v/>
      </c>
      <c r="S1643" s="35" t="str" cm="1">
        <f t="array" ref="S1643">_xlfn.TEXTJOIN(", ",TRUE,_xlfn._xlws.FILTER(Tabla29[[#All],[PARTE]],ISNUMBER(SEARCH(Tabla29[[#All],[PCLAVE3]],Tabla8[[#This Row],[DESCRIPCION DE TRABAJO]])),""))</f>
        <v/>
      </c>
      <c r="T1643" s="88" t="str">
        <f>IF(AND(Tabla8[[#This Row],[PIEZA]]="",Tabla8[[#This Row],[PARTE]]=""),"VACIO","OK")</f>
        <v>VACIO</v>
      </c>
      <c r="U1643" s="633" t="str">
        <f>+CONCATENATE(WEEKNUM(Tabla8[[#This Row],[FECHA]]),"-",YEAR(Tabla8[[#This Row],[FECHA]]))</f>
        <v>24-2026</v>
      </c>
    </row>
    <row r="1644" spans="1:21" ht="15" customHeight="1">
      <c r="A1644" s="22">
        <v>46182</v>
      </c>
      <c r="B1644" s="16" t="s">
        <v>131</v>
      </c>
      <c r="C1644" s="16" t="s">
        <v>39</v>
      </c>
      <c r="D1644" s="381">
        <v>0</v>
      </c>
      <c r="E1644" s="381">
        <v>1.7361111111111112E-2</v>
      </c>
      <c r="F1644" s="632">
        <f>+MOD(Tabla8[[#This Row],[HR. FIN]]-Tabla8[[#This Row],[HR. INICIO]],1)</f>
        <v>1.7361111111111112E-2</v>
      </c>
      <c r="G1644" s="16" t="s">
        <v>192</v>
      </c>
      <c r="H1644" s="79" t="str">
        <f>IFERROR(VLOOKUP(G1644,DATOS!$M$2:$N$219,2,FALSE),"")</f>
        <v>Maquinaria</v>
      </c>
      <c r="I1644" s="115" t="s">
        <v>57</v>
      </c>
      <c r="J1644" s="115" t="s">
        <v>92</v>
      </c>
      <c r="K1644" s="115" t="s">
        <v>93</v>
      </c>
      <c r="L1644" s="35" t="s">
        <v>2985</v>
      </c>
      <c r="M1644" s="35" t="s">
        <v>2986</v>
      </c>
      <c r="N1644" s="35" t="str" cm="1">
        <f t="array" ref="N1644">IFERROR(IF(Tabla8[[#This Row],[P/NP]]="NO PROGRAMADA","",_xlfn.TEXTJOIN(", ",TRUE,_xlfn._xlws.FILTER(Tabla4[[#All],[PIEZA]],ISNUMBER(SEARCH(Tabla4[[#All],[PCLAVE]],Tabla8[[#This Row],[DESCRIPCION DE TRABAJO]])),""))),"")</f>
        <v/>
      </c>
      <c r="O1644" s="35" t="str" cm="1">
        <f t="array" ref="O1644">_xlfn.TEXTJOIN(", ",TRUE,_xlfn._xlws.FILTER(Tabla28[[#All],[PARTE]],ISNUMBER(SEARCH(Tabla28[[#All],[PCLAVE2]],Tabla8[[#This Row],[DESCRIPCION DE TRABAJO]])),""))</f>
        <v/>
      </c>
      <c r="P1644" s="633" t="str">
        <f>IFERROR(LEFT(O1644, FIND(",", O1644)-1), O1644)</f>
        <v/>
      </c>
      <c r="Q1644" s="633" t="str">
        <f>IFERROR(IF(ISERROR(FIND(",", O1644, FIND(",", O1644)+1)), RIGHT(O1644, LEN(O1644)-FIND(",", O1644)-1), MID(O1644, FIND(",", O1644)+2, FIND(",", O1644, FIND(",", O1644)+1)-FIND(",", O1644)-2)), "")</f>
        <v/>
      </c>
      <c r="R1644" s="633" t="str">
        <f>IFERROR(RIGHT(O1644, LEN(O1644)-FIND(",", O1644, FIND(",", O1644)+1)-1), "")</f>
        <v/>
      </c>
      <c r="S1644" s="35" t="str" cm="1">
        <f t="array" ref="S1644">_xlfn.TEXTJOIN(", ",TRUE,_xlfn._xlws.FILTER(Tabla29[[#All],[PARTE]],ISNUMBER(SEARCH(Tabla29[[#All],[PCLAVE3]],Tabla8[[#This Row],[DESCRIPCION DE TRABAJO]])),""))</f>
        <v>Fuera De Posicion, Rotura, Se Pegan, Sellado</v>
      </c>
      <c r="T1644" s="88" t="str">
        <f>IF(AND(Tabla8[[#This Row],[PIEZA]]="",Tabla8[[#This Row],[PARTE]]=""),"VACIO","OK")</f>
        <v>VACIO</v>
      </c>
      <c r="U1644" s="633" t="str">
        <f>+CONCATENATE(WEEKNUM(Tabla8[[#This Row],[FECHA]]),"-",YEAR(Tabla8[[#This Row],[FECHA]]))</f>
        <v>24-2026</v>
      </c>
    </row>
    <row r="1645" spans="1:21" ht="15" customHeight="1">
      <c r="A1645" s="22">
        <v>46182</v>
      </c>
      <c r="B1645" s="16" t="s">
        <v>131</v>
      </c>
      <c r="C1645" s="16" t="s">
        <v>39</v>
      </c>
      <c r="D1645" s="381">
        <v>1.7361111111111112E-2</v>
      </c>
      <c r="E1645" s="381">
        <v>3.4722222222222224E-2</v>
      </c>
      <c r="F1645" s="632">
        <f>+MOD(Tabla8[[#This Row],[HR. FIN]]-Tabla8[[#This Row],[HR. INICIO]],1)</f>
        <v>1.7361111111111112E-2</v>
      </c>
      <c r="G1645" s="16" t="s">
        <v>192</v>
      </c>
      <c r="H1645" s="79" t="str">
        <f>IFERROR(VLOOKUP(G1645,DATOS!$M$2:$N$219,2,FALSE),"")</f>
        <v>Maquinaria</v>
      </c>
      <c r="I1645" s="115" t="s">
        <v>54</v>
      </c>
      <c r="J1645" s="115" t="s">
        <v>157</v>
      </c>
      <c r="K1645" s="115"/>
      <c r="L1645" s="35" t="s">
        <v>240</v>
      </c>
      <c r="M1645" s="35" t="s">
        <v>121</v>
      </c>
      <c r="N1645" s="35" t="str" cm="1">
        <f t="array" ref="N1645">IFERROR(IF(Tabla8[[#This Row],[P/NP]]="NO PROGRAMADA","",_xlfn.TEXTJOIN(", ",TRUE,_xlfn._xlws.FILTER(Tabla4[[#All],[PIEZA]],ISNUMBER(SEARCH(Tabla4[[#All],[PCLAVE]],Tabla8[[#This Row],[DESCRIPCION DE TRABAJO]])),""))),"")</f>
        <v/>
      </c>
      <c r="O1645" s="35" t="str" cm="1">
        <f t="array" ref="O1645">_xlfn.TEXTJOIN(", ",TRUE,_xlfn._xlws.FILTER(Tabla28[[#All],[PARTE]],ISNUMBER(SEARCH(Tabla28[[#All],[PCLAVE2]],Tabla8[[#This Row],[DESCRIPCION DE TRABAJO]])),""))</f>
        <v/>
      </c>
      <c r="P1645" s="633" t="str">
        <f>IFERROR(LEFT(O1645, FIND(",", O1645)-1), O1645)</f>
        <v/>
      </c>
      <c r="Q1645" s="633" t="str">
        <f>IFERROR(IF(ISERROR(FIND(",", O1645, FIND(",", O1645)+1)), RIGHT(O1645, LEN(O1645)-FIND(",", O1645)-1), MID(O1645, FIND(",", O1645)+2, FIND(",", O1645, FIND(",", O1645)+1)-FIND(",", O1645)-2)), "")</f>
        <v/>
      </c>
      <c r="R1645" s="633" t="str">
        <f>IFERROR(RIGHT(O1645, LEN(O1645)-FIND(",", O1645, FIND(",", O1645)+1)-1), "")</f>
        <v/>
      </c>
      <c r="S1645" s="35" t="str" cm="1">
        <f t="array" ref="S1645">_xlfn.TEXTJOIN(", ",TRUE,_xlfn._xlws.FILTER(Tabla29[[#All],[PARTE]],ISNUMBER(SEARCH(Tabla29[[#All],[PCLAVE3]],Tabla8[[#This Row],[DESCRIPCION DE TRABAJO]])),""))</f>
        <v/>
      </c>
      <c r="T1645" s="88" t="str">
        <f>IF(AND(Tabla8[[#This Row],[PIEZA]]="",Tabla8[[#This Row],[PARTE]]=""),"VACIO","OK")</f>
        <v>VACIO</v>
      </c>
      <c r="U1645" s="633" t="str">
        <f>+CONCATENATE(WEEKNUM(Tabla8[[#This Row],[FECHA]]),"-",YEAR(Tabla8[[#This Row],[FECHA]]))</f>
        <v>24-2026</v>
      </c>
    </row>
    <row r="1646" spans="1:21" ht="15" customHeight="1">
      <c r="A1646" s="22">
        <v>46182</v>
      </c>
      <c r="B1646" s="16" t="s">
        <v>131</v>
      </c>
      <c r="C1646" s="16" t="s">
        <v>39</v>
      </c>
      <c r="D1646" s="381">
        <v>0.14583333333333334</v>
      </c>
      <c r="E1646" s="381">
        <v>0.16319444444444445</v>
      </c>
      <c r="F1646" s="632">
        <f>+MOD(Tabla8[[#This Row],[HR. FIN]]-Tabla8[[#This Row],[HR. INICIO]],1)</f>
        <v>1.7361111111111105E-2</v>
      </c>
      <c r="G1646" s="16" t="s">
        <v>2256</v>
      </c>
      <c r="H1646" s="79" t="str">
        <f>IFERROR(VLOOKUP(G1646,DATOS!$M$2:$N$219,2,FALSE),"")</f>
        <v>Maquinaria</v>
      </c>
      <c r="I1646" s="115" t="s">
        <v>54</v>
      </c>
      <c r="J1646" s="115" t="s">
        <v>157</v>
      </c>
      <c r="K1646" s="115"/>
      <c r="L1646" s="35" t="s">
        <v>154</v>
      </c>
      <c r="M1646" s="35" t="s">
        <v>121</v>
      </c>
      <c r="N1646" s="35" t="str" cm="1">
        <f t="array" ref="N1646">IFERROR(IF(Tabla8[[#This Row],[P/NP]]="NO PROGRAMADA","",_xlfn.TEXTJOIN(", ",TRUE,_xlfn._xlws.FILTER(Tabla4[[#All],[PIEZA]],ISNUMBER(SEARCH(Tabla4[[#All],[PCLAVE]],Tabla8[[#This Row],[DESCRIPCION DE TRABAJO]])),""))),"")</f>
        <v/>
      </c>
      <c r="O1646" s="35" t="str" cm="1">
        <f t="array" ref="O1646">_xlfn.TEXTJOIN(", ",TRUE,_xlfn._xlws.FILTER(Tabla28[[#All],[PARTE]],ISNUMBER(SEARCH(Tabla28[[#All],[PCLAVE2]],Tabla8[[#This Row],[DESCRIPCION DE TRABAJO]])),""))</f>
        <v/>
      </c>
      <c r="P1646" s="633" t="str">
        <f>IFERROR(LEFT(O1646, FIND(",", O1646)-1), O1646)</f>
        <v/>
      </c>
      <c r="Q1646" s="633" t="str">
        <f>IFERROR(IF(ISERROR(FIND(",", O1646, FIND(",", O1646)+1)), RIGHT(O1646, LEN(O1646)-FIND(",", O1646)-1), MID(O1646, FIND(",", O1646)+2, FIND(",", O1646, FIND(",", O1646)+1)-FIND(",", O1646)-2)), "")</f>
        <v/>
      </c>
      <c r="R1646" s="633" t="str">
        <f>IFERROR(RIGHT(O1646, LEN(O1646)-FIND(",", O1646, FIND(",", O1646)+1)-1), "")</f>
        <v/>
      </c>
      <c r="S1646" s="35" t="str" cm="1">
        <f t="array" ref="S1646">_xlfn.TEXTJOIN(", ",TRUE,_xlfn._xlws.FILTER(Tabla29[[#All],[PARTE]],ISNUMBER(SEARCH(Tabla29[[#All],[PCLAVE3]],Tabla8[[#This Row],[DESCRIPCION DE TRABAJO]])),""))</f>
        <v/>
      </c>
      <c r="T1646" s="88" t="str">
        <f>IF(AND(Tabla8[[#This Row],[PIEZA]]="",Tabla8[[#This Row],[PARTE]]=""),"VACIO","OK")</f>
        <v>VACIO</v>
      </c>
      <c r="U1646" s="633" t="str">
        <f>+CONCATENATE(WEEKNUM(Tabla8[[#This Row],[FECHA]]),"-",YEAR(Tabla8[[#This Row],[FECHA]]))</f>
        <v>24-2026</v>
      </c>
    </row>
    <row r="1647" spans="1:21" ht="15" customHeight="1">
      <c r="A1647" s="22">
        <v>46182</v>
      </c>
      <c r="B1647" s="16" t="s">
        <v>111</v>
      </c>
      <c r="C1647" s="16" t="s">
        <v>23</v>
      </c>
      <c r="D1647" s="381">
        <v>0.72222222222222221</v>
      </c>
      <c r="E1647" s="381">
        <v>0.73611111111111116</v>
      </c>
      <c r="F1647" s="632">
        <f>+MOD(Tabla8[[#This Row],[HR. FIN]]-Tabla8[[#This Row],[HR. INICIO]],1)</f>
        <v>1.3888888888888951E-2</v>
      </c>
      <c r="G1647" s="16" t="s">
        <v>2743</v>
      </c>
      <c r="H1647" s="79" t="str">
        <f>IFERROR(VLOOKUP(G1647,DATOS!$M$2:$N$219,2,FALSE),"")</f>
        <v>Maquinaria</v>
      </c>
      <c r="I1647" s="115" t="s">
        <v>186</v>
      </c>
      <c r="J1647" s="115" t="s">
        <v>92</v>
      </c>
      <c r="K1647" s="115" t="s">
        <v>148</v>
      </c>
      <c r="L1647" s="35" t="s">
        <v>2987</v>
      </c>
      <c r="M1647" s="35" t="s">
        <v>2988</v>
      </c>
      <c r="N1647" s="35" t="str" cm="1">
        <f t="array" ref="N1647">IFERROR(IF(Tabla8[[#This Row],[P/NP]]="NO PROGRAMADA","",_xlfn.TEXTJOIN(", ",TRUE,_xlfn._xlws.FILTER(Tabla4[[#All],[PIEZA]],ISNUMBER(SEARCH(Tabla4[[#All],[PCLAVE]],Tabla8[[#This Row],[DESCRIPCION DE TRABAJO]])),""))),"")</f>
        <v/>
      </c>
      <c r="O1647" s="35" t="str" cm="1">
        <f t="array" ref="O1647">_xlfn.TEXTJOIN(", ",TRUE,_xlfn._xlws.FILTER(Tabla28[[#All],[PARTE]],ISNUMBER(SEARCH(Tabla28[[#All],[PCLAVE2]],Tabla8[[#This Row],[DESCRIPCION DE TRABAJO]])),""))</f>
        <v/>
      </c>
      <c r="P1647" s="633" t="str">
        <f>IFERROR(LEFT(O1647, FIND(",", O1647)-1), O1647)</f>
        <v/>
      </c>
      <c r="Q1647" s="633" t="str">
        <f>IFERROR(IF(ISERROR(FIND(",", O1647, FIND(",", O1647)+1)), RIGHT(O1647, LEN(O1647)-FIND(",", O1647)-1), MID(O1647, FIND(",", O1647)+2, FIND(",", O1647, FIND(",", O1647)+1)-FIND(",", O1647)-2)), "")</f>
        <v/>
      </c>
      <c r="R1647" s="633" t="str">
        <f>IFERROR(RIGHT(O1647, LEN(O1647)-FIND(",", O1647, FIND(",", O1647)+1)-1), "")</f>
        <v/>
      </c>
      <c r="S1647" s="35" t="str" cm="1">
        <f t="array" ref="S1647">_xlfn.TEXTJOIN(", ",TRUE,_xlfn._xlws.FILTER(Tabla29[[#All],[PARTE]],ISNUMBER(SEARCH(Tabla29[[#All],[PCLAVE3]],Tabla8[[#This Row],[DESCRIPCION DE TRABAJO]])),""))</f>
        <v>Carga/descarga</v>
      </c>
      <c r="T1647" s="88" t="str">
        <f>IF(AND(Tabla8[[#This Row],[PIEZA]]="",Tabla8[[#This Row],[PARTE]]=""),"VACIO","OK")</f>
        <v>VACIO</v>
      </c>
      <c r="U1647" s="633" t="str">
        <f>+CONCATENATE(WEEKNUM(Tabla8[[#This Row],[FECHA]]),"-",YEAR(Tabla8[[#This Row],[FECHA]]))</f>
        <v>24-2026</v>
      </c>
    </row>
    <row r="1648" spans="1:21" ht="15" customHeight="1">
      <c r="A1648" s="22">
        <v>46182</v>
      </c>
      <c r="B1648" s="16" t="s">
        <v>111</v>
      </c>
      <c r="C1648" s="16" t="s">
        <v>23</v>
      </c>
      <c r="D1648" s="381">
        <v>0.58472222222222225</v>
      </c>
      <c r="E1648" s="381">
        <v>0.59722222222222221</v>
      </c>
      <c r="F1648" s="632">
        <f>+MOD(Tabla8[[#This Row],[HR. FIN]]-Tabla8[[#This Row],[HR. INICIO]],1)</f>
        <v>1.2499999999999956E-2</v>
      </c>
      <c r="G1648" s="16" t="s">
        <v>119</v>
      </c>
      <c r="H1648" s="79" t="str">
        <f>IFERROR(VLOOKUP(G1648,DATOS!$M$2:$N$219,2,FALSE),"")</f>
        <v>Maquinaria</v>
      </c>
      <c r="I1648" s="115" t="s">
        <v>61</v>
      </c>
      <c r="J1648" s="115" t="s">
        <v>157</v>
      </c>
      <c r="K1648" s="115"/>
      <c r="L1648" s="35" t="s">
        <v>2989</v>
      </c>
      <c r="M1648" s="35" t="s">
        <v>2990</v>
      </c>
      <c r="N1648" s="35" t="str" cm="1">
        <f t="array" ref="N1648">IFERROR(IF(Tabla8[[#This Row],[P/NP]]="NO PROGRAMADA","",_xlfn.TEXTJOIN(", ",TRUE,_xlfn._xlws.FILTER(Tabla4[[#All],[PIEZA]],ISNUMBER(SEARCH(Tabla4[[#All],[PCLAVE]],Tabla8[[#This Row],[DESCRIPCION DE TRABAJO]])),""))),"")</f>
        <v>Rodillo</v>
      </c>
      <c r="O1648" s="35" t="str" cm="1">
        <f t="array" ref="O1648">_xlfn.TEXTJOIN(", ",TRUE,_xlfn._xlws.FILTER(Tabla28[[#All],[PARTE]],ISNUMBER(SEARCH(Tabla28[[#All],[PCLAVE2]],Tabla8[[#This Row],[DESCRIPCION DE TRABAJO]])),""))</f>
        <v>Mds</v>
      </c>
      <c r="P1648" s="633" t="str">
        <f>IFERROR(LEFT(O1648, FIND(",", O1648)-1), O1648)</f>
        <v>Mds</v>
      </c>
      <c r="Q1648" s="633" t="str">
        <f>IFERROR(IF(ISERROR(FIND(",", O1648, FIND(",", O1648)+1)), RIGHT(O1648, LEN(O1648)-FIND(",", O1648)-1), MID(O1648, FIND(",", O1648)+2, FIND(",", O1648, FIND(",", O1648)+1)-FIND(",", O1648)-2)), "")</f>
        <v/>
      </c>
      <c r="R1648" s="633" t="str">
        <f>IFERROR(RIGHT(O1648, LEN(O1648)-FIND(",", O1648, FIND(",", O1648)+1)-1), "")</f>
        <v/>
      </c>
      <c r="S1648" s="35" t="str" cm="1">
        <f t="array" ref="S1648">_xlfn.TEXTJOIN(", ",TRUE,_xlfn._xlws.FILTER(Tabla29[[#All],[PARTE]],ISNUMBER(SEARCH(Tabla29[[#All],[PCLAVE3]],Tabla8[[#This Row],[DESCRIPCION DE TRABAJO]])),""))</f>
        <v>Amarrado</v>
      </c>
      <c r="T1648" s="88" t="str">
        <f>IF(AND(Tabla8[[#This Row],[PIEZA]]="",Tabla8[[#This Row],[PARTE]]=""),"VACIO","OK")</f>
        <v>OK</v>
      </c>
      <c r="U1648" s="633" t="str">
        <f>+CONCATENATE(WEEKNUM(Tabla8[[#This Row],[FECHA]]),"-",YEAR(Tabla8[[#This Row],[FECHA]]))</f>
        <v>24-2026</v>
      </c>
    </row>
    <row r="1649" spans="1:21" ht="15" customHeight="1">
      <c r="A1649" s="22">
        <v>46182</v>
      </c>
      <c r="B1649" s="16" t="s">
        <v>131</v>
      </c>
      <c r="C1649" s="16" t="s">
        <v>39</v>
      </c>
      <c r="D1649" s="381">
        <v>9.0277777777777776E-2</v>
      </c>
      <c r="E1649" s="381">
        <v>0.10208333333333333</v>
      </c>
      <c r="F1649" s="632">
        <f>+MOD(Tabla8[[#This Row],[HR. FIN]]-Tabla8[[#This Row],[HR. INICIO]],1)</f>
        <v>1.1805555555555555E-2</v>
      </c>
      <c r="G1649" s="16" t="s">
        <v>31</v>
      </c>
      <c r="H1649" s="79" t="str">
        <f>IFERROR(VLOOKUP(G1649,DATOS!$M$2:$N$219,2,FALSE),"")</f>
        <v>Maquinaria</v>
      </c>
      <c r="I1649" s="115" t="s">
        <v>54</v>
      </c>
      <c r="J1649" s="115" t="s">
        <v>157</v>
      </c>
      <c r="K1649" s="115"/>
      <c r="L1649" s="35" t="s">
        <v>225</v>
      </c>
      <c r="M1649" s="35" t="s">
        <v>121</v>
      </c>
      <c r="N1649" s="35" t="str" cm="1">
        <f t="array" ref="N1649">IFERROR(IF(Tabla8[[#This Row],[P/NP]]="NO PROGRAMADA","",_xlfn.TEXTJOIN(", ",TRUE,_xlfn._xlws.FILTER(Tabla4[[#All],[PIEZA]],ISNUMBER(SEARCH(Tabla4[[#All],[PCLAVE]],Tabla8[[#This Row],[DESCRIPCION DE TRABAJO]])),""))),"")</f>
        <v/>
      </c>
      <c r="O1649" s="35" t="str" cm="1">
        <f t="array" ref="O1649">_xlfn.TEXTJOIN(", ",TRUE,_xlfn._xlws.FILTER(Tabla28[[#All],[PARTE]],ISNUMBER(SEARCH(Tabla28[[#All],[PCLAVE2]],Tabla8[[#This Row],[DESCRIPCION DE TRABAJO]])),""))</f>
        <v/>
      </c>
      <c r="P1649" s="633" t="str">
        <f>IFERROR(LEFT(O1649, FIND(",", O1649)-1), O1649)</f>
        <v/>
      </c>
      <c r="Q1649" s="633" t="str">
        <f>IFERROR(IF(ISERROR(FIND(",", O1649, FIND(",", O1649)+1)), RIGHT(O1649, LEN(O1649)-FIND(",", O1649)-1), MID(O1649, FIND(",", O1649)+2, FIND(",", O1649, FIND(",", O1649)+1)-FIND(",", O1649)-2)), "")</f>
        <v/>
      </c>
      <c r="R1649" s="633" t="str">
        <f>IFERROR(RIGHT(O1649, LEN(O1649)-FIND(",", O1649, FIND(",", O1649)+1)-1), "")</f>
        <v/>
      </c>
      <c r="S1649" s="35" t="str" cm="1">
        <f t="array" ref="S1649">_xlfn.TEXTJOIN(", ",TRUE,_xlfn._xlws.FILTER(Tabla29[[#All],[PARTE]],ISNUMBER(SEARCH(Tabla29[[#All],[PCLAVE3]],Tabla8[[#This Row],[DESCRIPCION DE TRABAJO]])),""))</f>
        <v/>
      </c>
      <c r="T1649" s="88" t="str">
        <f>IF(AND(Tabla8[[#This Row],[PIEZA]]="",Tabla8[[#This Row],[PARTE]]=""),"VACIO","OK")</f>
        <v>VACIO</v>
      </c>
      <c r="U1649" s="633" t="str">
        <f>+CONCATENATE(WEEKNUM(Tabla8[[#This Row],[FECHA]]),"-",YEAR(Tabla8[[#This Row],[FECHA]]))</f>
        <v>24-2026</v>
      </c>
    </row>
    <row r="1650" spans="1:21" ht="15" customHeight="1">
      <c r="A1650" s="22">
        <v>46182</v>
      </c>
      <c r="B1650" s="16" t="s">
        <v>111</v>
      </c>
      <c r="C1650" s="16" t="s">
        <v>23</v>
      </c>
      <c r="D1650" s="381">
        <v>0.70833333333333337</v>
      </c>
      <c r="E1650" s="381">
        <v>0.71875</v>
      </c>
      <c r="F1650" s="632">
        <f>+MOD(Tabla8[[#This Row],[HR. FIN]]-Tabla8[[#This Row],[HR. INICIO]],1)</f>
        <v>1.041666666666663E-2</v>
      </c>
      <c r="G1650" s="16" t="s">
        <v>192</v>
      </c>
      <c r="H1650" s="79" t="str">
        <f>IFERROR(VLOOKUP(G1650,DATOS!$M$2:$N$219,2,FALSE),"")</f>
        <v>Maquinaria</v>
      </c>
      <c r="I1650" s="115" t="s">
        <v>54</v>
      </c>
      <c r="J1650" s="115" t="s">
        <v>157</v>
      </c>
      <c r="K1650" s="115"/>
      <c r="L1650" s="35" t="s">
        <v>225</v>
      </c>
      <c r="M1650" s="35" t="s">
        <v>2991</v>
      </c>
      <c r="N1650" s="35" t="str" cm="1">
        <f t="array" ref="N1650">IFERROR(IF(Tabla8[[#This Row],[P/NP]]="NO PROGRAMADA","",_xlfn.TEXTJOIN(", ",TRUE,_xlfn._xlws.FILTER(Tabla4[[#All],[PIEZA]],ISNUMBER(SEARCH(Tabla4[[#All],[PCLAVE]],Tabla8[[#This Row],[DESCRIPCION DE TRABAJO]])),""))),"")</f>
        <v/>
      </c>
      <c r="O1650" s="35" t="str" cm="1">
        <f t="array" ref="O1650">_xlfn.TEXTJOIN(", ",TRUE,_xlfn._xlws.FILTER(Tabla28[[#All],[PARTE]],ISNUMBER(SEARCH(Tabla28[[#All],[PCLAVE2]],Tabla8[[#This Row],[DESCRIPCION DE TRABAJO]])),""))</f>
        <v/>
      </c>
      <c r="P1650" s="633" t="str">
        <f>IFERROR(LEFT(O1650, FIND(",", O1650)-1), O1650)</f>
        <v/>
      </c>
      <c r="Q1650" s="633" t="str">
        <f>IFERROR(IF(ISERROR(FIND(",", O1650, FIND(",", O1650)+1)), RIGHT(O1650, LEN(O1650)-FIND(",", O1650)-1), MID(O1650, FIND(",", O1650)+2, FIND(",", O1650, FIND(",", O1650)+1)-FIND(",", O1650)-2)), "")</f>
        <v/>
      </c>
      <c r="R1650" s="633" t="str">
        <f>IFERROR(RIGHT(O1650, LEN(O1650)-FIND(",", O1650, FIND(",", O1650)+1)-1), "")</f>
        <v/>
      </c>
      <c r="S1650" s="35" t="str" cm="1">
        <f t="array" ref="S1650">_xlfn.TEXTJOIN(", ",TRUE,_xlfn._xlws.FILTER(Tabla29[[#All],[PARTE]],ISNUMBER(SEARCH(Tabla29[[#All],[PCLAVE3]],Tabla8[[#This Row],[DESCRIPCION DE TRABAJO]])),""))</f>
        <v/>
      </c>
      <c r="T1650" s="88" t="str">
        <f>IF(AND(Tabla8[[#This Row],[PIEZA]]="",Tabla8[[#This Row],[PARTE]]=""),"VACIO","OK")</f>
        <v>VACIO</v>
      </c>
      <c r="U1650" s="633" t="str">
        <f>+CONCATENATE(WEEKNUM(Tabla8[[#This Row],[FECHA]]),"-",YEAR(Tabla8[[#This Row],[FECHA]]))</f>
        <v>24-2026</v>
      </c>
    </row>
    <row r="1651" spans="1:21" ht="15" customHeight="1">
      <c r="A1651" s="22">
        <v>46182</v>
      </c>
      <c r="B1651" s="16" t="s">
        <v>131</v>
      </c>
      <c r="C1651" s="16" t="s">
        <v>39</v>
      </c>
      <c r="D1651" s="381">
        <v>0.89930555555555558</v>
      </c>
      <c r="E1651" s="381">
        <v>0.90833333333333333</v>
      </c>
      <c r="F1651" s="632">
        <f>+MOD(Tabla8[[#This Row],[HR. FIN]]-Tabla8[[#This Row],[HR. INICIO]],1)</f>
        <v>9.0277777777777457E-3</v>
      </c>
      <c r="G1651" s="16" t="s">
        <v>119</v>
      </c>
      <c r="H1651" s="79" t="str">
        <f>IFERROR(VLOOKUP(G1651,DATOS!$M$2:$N$219,2,FALSE),"")</f>
        <v>Maquinaria</v>
      </c>
      <c r="I1651" s="115" t="s">
        <v>32</v>
      </c>
      <c r="J1651" s="115" t="s">
        <v>157</v>
      </c>
      <c r="K1651" s="115"/>
      <c r="L1651" s="35" t="s">
        <v>2992</v>
      </c>
      <c r="M1651" s="35" t="s">
        <v>121</v>
      </c>
      <c r="N1651" s="35" t="str" cm="1">
        <f t="array" ref="N1651">IFERROR(IF(Tabla8[[#This Row],[P/NP]]="NO PROGRAMADA","",_xlfn.TEXTJOIN(", ",TRUE,_xlfn._xlws.FILTER(Tabla4[[#All],[PIEZA]],ISNUMBER(SEARCH(Tabla4[[#All],[PCLAVE]],Tabla8[[#This Row],[DESCRIPCION DE TRABAJO]])),""))),"")</f>
        <v>Husillo, Husillo</v>
      </c>
      <c r="O1651" s="35" t="str" cm="1">
        <f t="array" ref="O1651">_xlfn.TEXTJOIN(", ",TRUE,_xlfn._xlws.FILTER(Tabla28[[#All],[PARTE]],ISNUMBER(SEARCH(Tabla28[[#All],[PCLAVE2]],Tabla8[[#This Row],[DESCRIPCION DE TRABAJO]])),""))</f>
        <v/>
      </c>
      <c r="P1651" s="633" t="str">
        <f>IFERROR(LEFT(O1651, FIND(",", O1651)-1), O1651)</f>
        <v/>
      </c>
      <c r="Q1651" s="633" t="str">
        <f>IFERROR(IF(ISERROR(FIND(",", O1651, FIND(",", O1651)+1)), RIGHT(O1651, LEN(O1651)-FIND(",", O1651)-1), MID(O1651, FIND(",", O1651)+2, FIND(",", O1651, FIND(",", O1651)+1)-FIND(",", O1651)-2)), "")</f>
        <v/>
      </c>
      <c r="R1651" s="633" t="str">
        <f>IFERROR(RIGHT(O1651, LEN(O1651)-FIND(",", O1651, FIND(",", O1651)+1)-1), "")</f>
        <v/>
      </c>
      <c r="S1651" s="35" t="str" cm="1">
        <f t="array" ref="S1651">_xlfn.TEXTJOIN(", ",TRUE,_xlfn._xlws.FILTER(Tabla29[[#All],[PARTE]],ISNUMBER(SEARCH(Tabla29[[#All],[PCLAVE3]],Tabla8[[#This Row],[DESCRIPCION DE TRABAJO]])),""))</f>
        <v>Cambio De Formato, Sustitucion</v>
      </c>
      <c r="T1651" s="88" t="str">
        <f>IF(AND(Tabla8[[#This Row],[PIEZA]]="",Tabla8[[#This Row],[PARTE]]=""),"VACIO","OK")</f>
        <v>OK</v>
      </c>
      <c r="U1651" s="633" t="str">
        <f>+CONCATENATE(WEEKNUM(Tabla8[[#This Row],[FECHA]]),"-",YEAR(Tabla8[[#This Row],[FECHA]]))</f>
        <v>24-2026</v>
      </c>
    </row>
    <row r="1652" spans="1:21" ht="15" customHeight="1">
      <c r="A1652" s="22">
        <v>46182</v>
      </c>
      <c r="B1652" s="16" t="s">
        <v>131</v>
      </c>
      <c r="C1652" s="16" t="s">
        <v>39</v>
      </c>
      <c r="D1652" s="381">
        <v>0.92708333333333337</v>
      </c>
      <c r="E1652" s="381">
        <v>0.93611111111111112</v>
      </c>
      <c r="F1652" s="632">
        <f>+MOD(Tabla8[[#This Row],[HR. FIN]]-Tabla8[[#This Row],[HR. INICIO]],1)</f>
        <v>9.0277777777777457E-3</v>
      </c>
      <c r="G1652" s="16" t="s">
        <v>119</v>
      </c>
      <c r="H1652" s="79" t="str">
        <f>IFERROR(VLOOKUP(G1652,DATOS!$M$2:$N$219,2,FALSE),"")</f>
        <v>Maquinaria</v>
      </c>
      <c r="I1652" s="115" t="s">
        <v>32</v>
      </c>
      <c r="J1652" s="115" t="s">
        <v>157</v>
      </c>
      <c r="K1652" s="115"/>
      <c r="L1652" s="35" t="s">
        <v>2993</v>
      </c>
      <c r="M1652" s="35" t="s">
        <v>121</v>
      </c>
      <c r="N1652" s="35" t="str" cm="1">
        <f t="array" ref="N1652">IFERROR(IF(Tabla8[[#This Row],[P/NP]]="NO PROGRAMADA","",_xlfn.TEXTJOIN(", ",TRUE,_xlfn._xlws.FILTER(Tabla4[[#All],[PIEZA]],ISNUMBER(SEARCH(Tabla4[[#All],[PCLAVE]],Tabla8[[#This Row],[DESCRIPCION DE TRABAJO]])),""))),"")</f>
        <v>Husillo, Husillo</v>
      </c>
      <c r="O1652" s="35" t="str" cm="1">
        <f t="array" ref="O1652">_xlfn.TEXTJOIN(", ",TRUE,_xlfn._xlws.FILTER(Tabla28[[#All],[PARTE]],ISNUMBER(SEARCH(Tabla28[[#All],[PCLAVE2]],Tabla8[[#This Row],[DESCRIPCION DE TRABAJO]])),""))</f>
        <v/>
      </c>
      <c r="P1652" s="633" t="str">
        <f>IFERROR(LEFT(O1652, FIND(",", O1652)-1), O1652)</f>
        <v/>
      </c>
      <c r="Q1652" s="633" t="str">
        <f>IFERROR(IF(ISERROR(FIND(",", O1652, FIND(",", O1652)+1)), RIGHT(O1652, LEN(O1652)-FIND(",", O1652)-1), MID(O1652, FIND(",", O1652)+2, FIND(",", O1652, FIND(",", O1652)+1)-FIND(",", O1652)-2)), "")</f>
        <v/>
      </c>
      <c r="R1652" s="633" t="str">
        <f>IFERROR(RIGHT(O1652, LEN(O1652)-FIND(",", O1652, FIND(",", O1652)+1)-1), "")</f>
        <v/>
      </c>
      <c r="S1652" s="35" t="str" cm="1">
        <f t="array" ref="S1652">_xlfn.TEXTJOIN(", ",TRUE,_xlfn._xlws.FILTER(Tabla29[[#All],[PARTE]],ISNUMBER(SEARCH(Tabla29[[#All],[PCLAVE3]],Tabla8[[#This Row],[DESCRIPCION DE TRABAJO]])),""))</f>
        <v/>
      </c>
      <c r="T1652" s="88" t="str">
        <f>IF(AND(Tabla8[[#This Row],[PIEZA]]="",Tabla8[[#This Row],[PARTE]]=""),"VACIO","OK")</f>
        <v>OK</v>
      </c>
      <c r="U1652" s="633" t="str">
        <f>+CONCATENATE(WEEKNUM(Tabla8[[#This Row],[FECHA]]),"-",YEAR(Tabla8[[#This Row],[FECHA]]))</f>
        <v>24-2026</v>
      </c>
    </row>
    <row r="1653" spans="1:21" ht="15" customHeight="1">
      <c r="A1653" s="22">
        <v>46182</v>
      </c>
      <c r="B1653" s="16" t="s">
        <v>131</v>
      </c>
      <c r="C1653" s="16" t="s">
        <v>39</v>
      </c>
      <c r="D1653" s="381">
        <v>0.95833333333333337</v>
      </c>
      <c r="E1653" s="381">
        <v>0.96666666666666667</v>
      </c>
      <c r="F1653" s="632">
        <f>+MOD(Tabla8[[#This Row],[HR. FIN]]-Tabla8[[#This Row],[HR. INICIO]],1)</f>
        <v>8.3333333333333037E-3</v>
      </c>
      <c r="G1653" s="16" t="s">
        <v>312</v>
      </c>
      <c r="H1653" s="79" t="str">
        <f>IFERROR(VLOOKUP(G1653,DATOS!$M$2:$N$219,2,FALSE),"")</f>
        <v>Maquinaria</v>
      </c>
      <c r="I1653" s="115" t="s">
        <v>54</v>
      </c>
      <c r="J1653" s="115" t="s">
        <v>92</v>
      </c>
      <c r="K1653" s="115" t="s">
        <v>93</v>
      </c>
      <c r="L1653" s="35" t="s">
        <v>2994</v>
      </c>
      <c r="M1653" s="35" t="s">
        <v>2995</v>
      </c>
      <c r="N1653" s="35" t="str" cm="1">
        <f t="array" ref="N1653">IFERROR(IF(Tabla8[[#This Row],[P/NP]]="NO PROGRAMADA","",_xlfn.TEXTJOIN(", ",TRUE,_xlfn._xlws.FILTER(Tabla4[[#All],[PIEZA]],ISNUMBER(SEARCH(Tabla4[[#All],[PCLAVE]],Tabla8[[#This Row],[DESCRIPCION DE TRABAJO]])),""))),"")</f>
        <v/>
      </c>
      <c r="O1653" s="35" t="str" cm="1">
        <f t="array" ref="O1653">_xlfn.TEXTJOIN(", ",TRUE,_xlfn._xlws.FILTER(Tabla28[[#All],[PARTE]],ISNUMBER(SEARCH(Tabla28[[#All],[PCLAVE2]],Tabla8[[#This Row],[DESCRIPCION DE TRABAJO]])),""))</f>
        <v>Temperadora</v>
      </c>
      <c r="P1653" s="633" t="str">
        <f>IFERROR(LEFT(O1653, FIND(",", O1653)-1), O1653)</f>
        <v>Temperadora</v>
      </c>
      <c r="Q1653" s="633" t="str">
        <f>IFERROR(IF(ISERROR(FIND(",", O1653, FIND(",", O1653)+1)), RIGHT(O1653, LEN(O1653)-FIND(",", O1653)-1), MID(O1653, FIND(",", O1653)+2, FIND(",", O1653, FIND(",", O1653)+1)-FIND(",", O1653)-2)), "")</f>
        <v/>
      </c>
      <c r="R1653" s="633" t="str">
        <f>IFERROR(RIGHT(O1653, LEN(O1653)-FIND(",", O1653, FIND(",", O1653)+1)-1), "")</f>
        <v/>
      </c>
      <c r="S1653" s="35" t="str" cm="1">
        <f t="array" ref="S1653">_xlfn.TEXTJOIN(", ",TRUE,_xlfn._xlws.FILTER(Tabla29[[#All],[PARTE]],ISNUMBER(SEARCH(Tabla29[[#All],[PCLAVE3]],Tabla8[[#This Row],[DESCRIPCION DE TRABAJO]])),""))</f>
        <v>Bloqueado</v>
      </c>
      <c r="T1653" s="88" t="str">
        <f>IF(AND(Tabla8[[#This Row],[PIEZA]]="",Tabla8[[#This Row],[PARTE]]=""),"VACIO","OK")</f>
        <v>OK</v>
      </c>
      <c r="U1653" s="633" t="str">
        <f>+CONCATENATE(WEEKNUM(Tabla8[[#This Row],[FECHA]]),"-",YEAR(Tabla8[[#This Row],[FECHA]]))</f>
        <v>24-2026</v>
      </c>
    </row>
    <row r="1654" spans="1:21" ht="15" customHeight="1">
      <c r="A1654" s="22">
        <v>46182</v>
      </c>
      <c r="B1654" s="16" t="s">
        <v>88</v>
      </c>
      <c r="C1654" s="16" t="s">
        <v>36</v>
      </c>
      <c r="D1654" s="381">
        <v>0.2673611111111111</v>
      </c>
      <c r="E1654" s="381">
        <v>0.27430555555555558</v>
      </c>
      <c r="F1654" s="632">
        <f>+MOD(Tabla8[[#This Row],[HR. FIN]]-Tabla8[[#This Row],[HR. INICIO]],1)</f>
        <v>6.9444444444444753E-3</v>
      </c>
      <c r="G1654" s="16" t="s">
        <v>270</v>
      </c>
      <c r="H1654" s="79" t="str">
        <f>IFERROR(VLOOKUP(G1654,DATOS!$M$2:$N$219,2,FALSE),"")</f>
        <v>Maquinaria</v>
      </c>
      <c r="I1654" s="115" t="s">
        <v>57</v>
      </c>
      <c r="J1654" s="115" t="s">
        <v>92</v>
      </c>
      <c r="K1654" s="115" t="s">
        <v>148</v>
      </c>
      <c r="L1654" s="35" t="s">
        <v>2996</v>
      </c>
      <c r="M1654" s="35" t="s">
        <v>2997</v>
      </c>
      <c r="N1654" s="35" t="str" cm="1">
        <f t="array" ref="N1654">IFERROR(IF(Tabla8[[#This Row],[P/NP]]="NO PROGRAMADA","",_xlfn.TEXTJOIN(", ",TRUE,_xlfn._xlws.FILTER(Tabla4[[#All],[PIEZA]],ISNUMBER(SEARCH(Tabla4[[#All],[PCLAVE]],Tabla8[[#This Row],[DESCRIPCION DE TRABAJO]])),""))),"")</f>
        <v/>
      </c>
      <c r="O1654" s="35" t="str" cm="1">
        <f t="array" ref="O1654">_xlfn.TEXTJOIN(", ",TRUE,_xlfn._xlws.FILTER(Tabla28[[#All],[PARTE]],ISNUMBER(SEARCH(Tabla28[[#All],[PCLAVE2]],Tabla8[[#This Row],[DESCRIPCION DE TRABAJO]])),""))</f>
        <v/>
      </c>
      <c r="P1654" s="633" t="str">
        <f>IFERROR(LEFT(O1654, FIND(",", O1654)-1), O1654)</f>
        <v/>
      </c>
      <c r="Q1654" s="633" t="str">
        <f>IFERROR(IF(ISERROR(FIND(",", O1654, FIND(",", O1654)+1)), RIGHT(O1654, LEN(O1654)-FIND(",", O1654)-1), MID(O1654, FIND(",", O1654)+2, FIND(",", O1654, FIND(",", O1654)+1)-FIND(",", O1654)-2)), "")</f>
        <v/>
      </c>
      <c r="R1654" s="633" t="str">
        <f>IFERROR(RIGHT(O1654, LEN(O1654)-FIND(",", O1654, FIND(",", O1654)+1)-1), "")</f>
        <v/>
      </c>
      <c r="S1654" s="35" t="str" cm="1">
        <f t="array" ref="S1654">_xlfn.TEXTJOIN(", ",TRUE,_xlfn._xlws.FILTER(Tabla29[[#All],[PARTE]],ISNUMBER(SEARCH(Tabla29[[#All],[PCLAVE3]],Tabla8[[#This Row],[DESCRIPCION DE TRABAJO]])),""))</f>
        <v>Alarma</v>
      </c>
      <c r="T1654" s="88" t="str">
        <f>IF(AND(Tabla8[[#This Row],[PIEZA]]="",Tabla8[[#This Row],[PARTE]]=""),"VACIO","OK")</f>
        <v>VACIO</v>
      </c>
      <c r="U1654" s="633" t="str">
        <f>+CONCATENATE(WEEKNUM(Tabla8[[#This Row],[FECHA]]),"-",YEAR(Tabla8[[#This Row],[FECHA]]))</f>
        <v>24-2026</v>
      </c>
    </row>
    <row r="1655" spans="1:21" ht="15" customHeight="1">
      <c r="A1655" s="22">
        <v>46182</v>
      </c>
      <c r="B1655" s="16" t="s">
        <v>88</v>
      </c>
      <c r="C1655" s="16" t="s">
        <v>36</v>
      </c>
      <c r="D1655" s="381">
        <v>0.49305555555555558</v>
      </c>
      <c r="E1655" s="381">
        <v>0.5</v>
      </c>
      <c r="F1655" s="632">
        <f>+MOD(Tabla8[[#This Row],[HR. FIN]]-Tabla8[[#This Row],[HR. INICIO]],1)</f>
        <v>6.9444444444444198E-3</v>
      </c>
      <c r="G1655" s="16" t="s">
        <v>270</v>
      </c>
      <c r="H1655" s="79" t="str">
        <f>IFERROR(VLOOKUP(G1655,DATOS!$M$2:$N$219,2,FALSE),"")</f>
        <v>Maquinaria</v>
      </c>
      <c r="I1655" s="115" t="s">
        <v>57</v>
      </c>
      <c r="J1655" s="115" t="s">
        <v>92</v>
      </c>
      <c r="K1655" s="115" t="s">
        <v>148</v>
      </c>
      <c r="L1655" s="35" t="s">
        <v>2998</v>
      </c>
      <c r="M1655" s="35" t="s">
        <v>2999</v>
      </c>
      <c r="N1655" s="35" t="str" cm="1">
        <f t="array" ref="N1655">IFERROR(IF(Tabla8[[#This Row],[P/NP]]="NO PROGRAMADA","",_xlfn.TEXTJOIN(", ",TRUE,_xlfn._xlws.FILTER(Tabla4[[#All],[PIEZA]],ISNUMBER(SEARCH(Tabla4[[#All],[PCLAVE]],Tabla8[[#This Row],[DESCRIPCION DE TRABAJO]])),""))),"")</f>
        <v/>
      </c>
      <c r="O1655" s="35" t="str" cm="1">
        <f t="array" ref="O1655">_xlfn.TEXTJOIN(", ",TRUE,_xlfn._xlws.FILTER(Tabla28[[#All],[PARTE]],ISNUMBER(SEARCH(Tabla28[[#All],[PCLAVE2]],Tabla8[[#This Row],[DESCRIPCION DE TRABAJO]])),""))</f>
        <v/>
      </c>
      <c r="P1655" s="633" t="str">
        <f>IFERROR(LEFT(O1655, FIND(",", O1655)-1), O1655)</f>
        <v/>
      </c>
      <c r="Q1655" s="633" t="str">
        <f>IFERROR(IF(ISERROR(FIND(",", O1655, FIND(",", O1655)+1)), RIGHT(O1655, LEN(O1655)-FIND(",", O1655)-1), MID(O1655, FIND(",", O1655)+2, FIND(",", O1655, FIND(",", O1655)+1)-FIND(",", O1655)-2)), "")</f>
        <v/>
      </c>
      <c r="R1655" s="633" t="str">
        <f>IFERROR(RIGHT(O1655, LEN(O1655)-FIND(",", O1655, FIND(",", O1655)+1)-1), "")</f>
        <v/>
      </c>
      <c r="S1655" s="35" t="str" cm="1">
        <f t="array" ref="S1655">_xlfn.TEXTJOIN(", ",TRUE,_xlfn._xlws.FILTER(Tabla29[[#All],[PARTE]],ISNUMBER(SEARCH(Tabla29[[#All],[PCLAVE3]],Tabla8[[#This Row],[DESCRIPCION DE TRABAJO]])),""))</f>
        <v>Alarma</v>
      </c>
      <c r="T1655" s="88" t="str">
        <f>IF(AND(Tabla8[[#This Row],[PIEZA]]="",Tabla8[[#This Row],[PARTE]]=""),"VACIO","OK")</f>
        <v>VACIO</v>
      </c>
      <c r="U1655" s="633" t="str">
        <f>+CONCATENATE(WEEKNUM(Tabla8[[#This Row],[FECHA]]),"-",YEAR(Tabla8[[#This Row],[FECHA]]))</f>
        <v>24-2026</v>
      </c>
    </row>
    <row r="1656" spans="1:21" ht="15" customHeight="1">
      <c r="A1656" s="22">
        <v>46183</v>
      </c>
      <c r="B1656" s="16" t="s">
        <v>111</v>
      </c>
      <c r="C1656" s="16" t="s">
        <v>23</v>
      </c>
      <c r="D1656" s="381">
        <v>0.75694444444444442</v>
      </c>
      <c r="E1656" s="381">
        <v>0.84722222222222221</v>
      </c>
      <c r="F1656" s="632">
        <f>+MOD(Tabla8[[#This Row],[HR. FIN]]-Tabla8[[#This Row],[HR. INICIO]],1)</f>
        <v>9.027777777777779E-2</v>
      </c>
      <c r="G1656" s="16" t="s">
        <v>192</v>
      </c>
      <c r="H1656" s="79" t="str">
        <f>IFERROR(VLOOKUP(G1656,DATOS!$M$2:$N$219,2,FALSE),"")</f>
        <v>Maquinaria</v>
      </c>
      <c r="I1656" s="115" t="s">
        <v>28</v>
      </c>
      <c r="J1656" s="115" t="s">
        <v>92</v>
      </c>
      <c r="K1656" s="115" t="s">
        <v>93</v>
      </c>
      <c r="L1656" s="35" t="s">
        <v>3000</v>
      </c>
      <c r="M1656" s="35" t="s">
        <v>121</v>
      </c>
      <c r="N1656" s="35" t="str" cm="1">
        <f t="array" ref="N1656">IFERROR(IF(Tabla8[[#This Row],[P/NP]]="NO PROGRAMADA","",_xlfn.TEXTJOIN(", ",TRUE,_xlfn._xlws.FILTER(Tabla4[[#All],[PIEZA]],ISNUMBER(SEARCH(Tabla4[[#All],[PCLAVE]],Tabla8[[#This Row],[DESCRIPCION DE TRABAJO]])),""))),"")</f>
        <v/>
      </c>
      <c r="O1656" s="35" t="str" cm="1">
        <f t="array" ref="O1656">_xlfn.TEXTJOIN(", ",TRUE,_xlfn._xlws.FILTER(Tabla28[[#All],[PARTE]],ISNUMBER(SEARCH(Tabla28[[#All],[PCLAVE2]],Tabla8[[#This Row],[DESCRIPCION DE TRABAJO]])),""))</f>
        <v>Contraelevador</v>
      </c>
      <c r="P1656" s="633" t="str">
        <f>IFERROR(LEFT(O1656, FIND(",", O1656)-1), O1656)</f>
        <v>Contraelevador</v>
      </c>
      <c r="Q1656" s="633" t="str">
        <f>IFERROR(IF(ISERROR(FIND(",", O1656, FIND(",", O1656)+1)), RIGHT(O1656, LEN(O1656)-FIND(",", O1656)-1), MID(O1656, FIND(",", O1656)+2, FIND(",", O1656, FIND(",", O1656)+1)-FIND(",", O1656)-2)), "")</f>
        <v/>
      </c>
      <c r="R1656" s="633" t="str">
        <f>IFERROR(RIGHT(O1656, LEN(O1656)-FIND(",", O1656, FIND(",", O1656)+1)-1), "")</f>
        <v/>
      </c>
      <c r="S1656" s="35" t="str" cm="1">
        <f t="array" ref="S1656">_xlfn.TEXTJOIN(", ",TRUE,_xlfn._xlws.FILTER(Tabla29[[#All],[PARTE]],ISNUMBER(SEARCH(Tabla29[[#All],[PCLAVE3]],Tabla8[[#This Row],[DESCRIPCION DE TRABAJO]])),""))</f>
        <v>Laminado</v>
      </c>
      <c r="T1656" s="88" t="str">
        <f>IF(AND(Tabla8[[#This Row],[PIEZA]]="",Tabla8[[#This Row],[PARTE]]=""),"VACIO","OK")</f>
        <v>OK</v>
      </c>
      <c r="U1656" s="633" t="str">
        <f>+CONCATENATE(WEEKNUM(Tabla8[[#This Row],[FECHA]]),"-",YEAR(Tabla8[[#This Row],[FECHA]]))</f>
        <v>24-2026</v>
      </c>
    </row>
    <row r="1657" spans="1:21" ht="15" customHeight="1">
      <c r="A1657" s="22">
        <v>46183</v>
      </c>
      <c r="B1657" s="16" t="s">
        <v>111</v>
      </c>
      <c r="C1657" s="16" t="s">
        <v>23</v>
      </c>
      <c r="D1657" s="381">
        <v>0.67361111111111116</v>
      </c>
      <c r="E1657" s="381">
        <v>0.72569444444444442</v>
      </c>
      <c r="F1657" s="632">
        <f>+MOD(Tabla8[[#This Row],[HR. FIN]]-Tabla8[[#This Row],[HR. INICIO]],1)</f>
        <v>5.2083333333333259E-2</v>
      </c>
      <c r="G1657" s="16" t="s">
        <v>256</v>
      </c>
      <c r="H1657" s="79" t="str">
        <f>IFERROR(VLOOKUP(G1657,DATOS!$M$2:$N$219,2,FALSE),"")</f>
        <v>Maquinaria</v>
      </c>
      <c r="I1657" s="115" t="s">
        <v>186</v>
      </c>
      <c r="J1657" s="115" t="s">
        <v>92</v>
      </c>
      <c r="K1657" s="115" t="s">
        <v>93</v>
      </c>
      <c r="L1657" s="35" t="s">
        <v>3001</v>
      </c>
      <c r="M1657" s="35" t="s">
        <v>3002</v>
      </c>
      <c r="N1657" s="35" t="str" cm="1">
        <f t="array" ref="N1657">IFERROR(IF(Tabla8[[#This Row],[P/NP]]="NO PROGRAMADA","",_xlfn.TEXTJOIN(", ",TRUE,_xlfn._xlws.FILTER(Tabla4[[#All],[PIEZA]],ISNUMBER(SEARCH(Tabla4[[#All],[PCLAVE]],Tabla8[[#This Row],[DESCRIPCION DE TRABAJO]])),""))),"")</f>
        <v/>
      </c>
      <c r="O1657" s="35" t="str" cm="1">
        <f t="array" ref="O1657">_xlfn.TEXTJOIN(", ",TRUE,_xlfn._xlws.FILTER(Tabla28[[#All],[PARTE]],ISNUMBER(SEARCH(Tabla28[[#All],[PCLAVE2]],Tabla8[[#This Row],[DESCRIPCION DE TRABAJO]])),""))</f>
        <v/>
      </c>
      <c r="P1657" s="633" t="str">
        <f>IFERROR(LEFT(O1657, FIND(",", O1657)-1), O1657)</f>
        <v/>
      </c>
      <c r="Q1657" s="633" t="str">
        <f>IFERROR(IF(ISERROR(FIND(",", O1657, FIND(",", O1657)+1)), RIGHT(O1657, LEN(O1657)-FIND(",", O1657)-1), MID(O1657, FIND(",", O1657)+2, FIND(",", O1657, FIND(",", O1657)+1)-FIND(",", O1657)-2)), "")</f>
        <v/>
      </c>
      <c r="R1657" s="633" t="str">
        <f>IFERROR(RIGHT(O1657, LEN(O1657)-FIND(",", O1657, FIND(",", O1657)+1)-1), "")</f>
        <v/>
      </c>
      <c r="S1657" s="35" t="str" cm="1">
        <f t="array" ref="S1657">_xlfn.TEXTJOIN(", ",TRUE,_xlfn._xlws.FILTER(Tabla29[[#All],[PARTE]],ISNUMBER(SEARCH(Tabla29[[#All],[PCLAVE3]],Tabla8[[#This Row],[DESCRIPCION DE TRABAJO]])),""))</f>
        <v>Rotura, Carga/descarga</v>
      </c>
      <c r="T1657" s="88" t="str">
        <f>IF(AND(Tabla8[[#This Row],[PIEZA]]="",Tabla8[[#This Row],[PARTE]]=""),"VACIO","OK")</f>
        <v>VACIO</v>
      </c>
      <c r="U1657" s="633" t="str">
        <f>+CONCATENATE(WEEKNUM(Tabla8[[#This Row],[FECHA]]),"-",YEAR(Tabla8[[#This Row],[FECHA]]))</f>
        <v>24-2026</v>
      </c>
    </row>
    <row r="1658" spans="1:21" ht="15" customHeight="1">
      <c r="A1658" s="22">
        <v>46183</v>
      </c>
      <c r="B1658" s="16" t="s">
        <v>131</v>
      </c>
      <c r="C1658" s="16" t="s">
        <v>39</v>
      </c>
      <c r="D1658" s="381" t="s">
        <v>422</v>
      </c>
      <c r="E1658" s="381" t="s">
        <v>1264</v>
      </c>
      <c r="F1658" s="632">
        <f>+MOD(Tabla8[[#This Row],[HR. FIN]]-Tabla8[[#This Row],[HR. INICIO]],1)</f>
        <v>4.166666666666663E-2</v>
      </c>
      <c r="G1658" s="16" t="s">
        <v>98</v>
      </c>
      <c r="H1658" s="79" t="str">
        <f>IFERROR(VLOOKUP(G1658,DATOS!$M$2:$N$219,2,FALSE),"")</f>
        <v>Maquinaria</v>
      </c>
      <c r="I1658" s="115" t="s">
        <v>32</v>
      </c>
      <c r="J1658" s="115" t="s">
        <v>157</v>
      </c>
      <c r="K1658" s="115"/>
      <c r="L1658" s="35" t="s">
        <v>371</v>
      </c>
      <c r="M1658" s="35" t="s">
        <v>121</v>
      </c>
      <c r="N1658" s="35" t="str" cm="1">
        <f t="array" ref="N1658">IFERROR(IF(Tabla8[[#This Row],[P/NP]]="NO PROGRAMADA","",_xlfn.TEXTJOIN(", ",TRUE,_xlfn._xlws.FILTER(Tabla4[[#All],[PIEZA]],ISNUMBER(SEARCH(Tabla4[[#All],[PCLAVE]],Tabla8[[#This Row],[DESCRIPCION DE TRABAJO]])),""))),"")</f>
        <v/>
      </c>
      <c r="O1658" s="35" t="str" cm="1">
        <f t="array" ref="O1658">_xlfn.TEXTJOIN(", ",TRUE,_xlfn._xlws.FILTER(Tabla28[[#All],[PARTE]],ISNUMBER(SEARCH(Tabla28[[#All],[PCLAVE2]],Tabla8[[#This Row],[DESCRIPCION DE TRABAJO]])),""))</f>
        <v/>
      </c>
      <c r="P1658" s="633" t="str">
        <f>IFERROR(LEFT(O1658, FIND(",", O1658)-1), O1658)</f>
        <v/>
      </c>
      <c r="Q1658" s="633" t="str">
        <f>IFERROR(IF(ISERROR(FIND(",", O1658, FIND(",", O1658)+1)), RIGHT(O1658, LEN(O1658)-FIND(",", O1658)-1), MID(O1658, FIND(",", O1658)+2, FIND(",", O1658, FIND(",", O1658)+1)-FIND(",", O1658)-2)), "")</f>
        <v/>
      </c>
      <c r="R1658" s="633" t="str">
        <f>IFERROR(RIGHT(O1658, LEN(O1658)-FIND(",", O1658, FIND(",", O1658)+1)-1), "")</f>
        <v/>
      </c>
      <c r="S1658" s="35" t="str" cm="1">
        <f t="array" ref="S1658">_xlfn.TEXTJOIN(", ",TRUE,_xlfn._xlws.FILTER(Tabla29[[#All],[PARTE]],ISNUMBER(SEARCH(Tabla29[[#All],[PCLAVE3]],Tabla8[[#This Row],[DESCRIPCION DE TRABAJO]])),""))</f>
        <v/>
      </c>
      <c r="T1658" s="88" t="str">
        <f>IF(AND(Tabla8[[#This Row],[PIEZA]]="",Tabla8[[#This Row],[PARTE]]=""),"VACIO","OK")</f>
        <v>VACIO</v>
      </c>
      <c r="U1658" s="633" t="str">
        <f>+CONCATENATE(WEEKNUM(Tabla8[[#This Row],[FECHA]]),"-",YEAR(Tabla8[[#This Row],[FECHA]]))</f>
        <v>24-2026</v>
      </c>
    </row>
    <row r="1659" spans="1:21" ht="15" customHeight="1">
      <c r="A1659" s="22">
        <v>46183</v>
      </c>
      <c r="B1659" s="16" t="s">
        <v>111</v>
      </c>
      <c r="C1659" s="16" t="s">
        <v>23</v>
      </c>
      <c r="D1659" s="381">
        <v>0.5625</v>
      </c>
      <c r="E1659" s="381">
        <v>0.58333333333333337</v>
      </c>
      <c r="F1659" s="632">
        <f>+MOD(Tabla8[[#This Row],[HR. FIN]]-Tabla8[[#This Row],[HR. INICIO]],1)</f>
        <v>2.083333333333337E-2</v>
      </c>
      <c r="G1659" s="16" t="s">
        <v>42</v>
      </c>
      <c r="H1659" s="79" t="str">
        <f>IFERROR(VLOOKUP(G1659,DATOS!$M$2:$N$219,2,FALSE),"")</f>
        <v>Maquinaria</v>
      </c>
      <c r="I1659" s="115" t="s">
        <v>54</v>
      </c>
      <c r="J1659" s="115" t="s">
        <v>157</v>
      </c>
      <c r="K1659" s="115"/>
      <c r="L1659" s="35" t="s">
        <v>1191</v>
      </c>
      <c r="M1659" s="35" t="s">
        <v>121</v>
      </c>
      <c r="N1659" s="35" t="str" cm="1">
        <f t="array" ref="N1659">IFERROR(IF(Tabla8[[#This Row],[P/NP]]="NO PROGRAMADA","",_xlfn.TEXTJOIN(", ",TRUE,_xlfn._xlws.FILTER(Tabla4[[#All],[PIEZA]],ISNUMBER(SEARCH(Tabla4[[#All],[PCLAVE]],Tabla8[[#This Row],[DESCRIPCION DE TRABAJO]])),""))),"")</f>
        <v/>
      </c>
      <c r="O1659" s="35" t="str" cm="1">
        <f t="array" ref="O1659">_xlfn.TEXTJOIN(", ",TRUE,_xlfn._xlws.FILTER(Tabla28[[#All],[PARTE]],ISNUMBER(SEARCH(Tabla28[[#All],[PCLAVE2]],Tabla8[[#This Row],[DESCRIPCION DE TRABAJO]])),""))</f>
        <v/>
      </c>
      <c r="P1659" s="633" t="str">
        <f>IFERROR(LEFT(O1659, FIND(",", O1659)-1), O1659)</f>
        <v/>
      </c>
      <c r="Q1659" s="633" t="str">
        <f>IFERROR(IF(ISERROR(FIND(",", O1659, FIND(",", O1659)+1)), RIGHT(O1659, LEN(O1659)-FIND(",", O1659)-1), MID(O1659, FIND(",", O1659)+2, FIND(",", O1659, FIND(",", O1659)+1)-FIND(",", O1659)-2)), "")</f>
        <v/>
      </c>
      <c r="R1659" s="633" t="str">
        <f>IFERROR(RIGHT(O1659, LEN(O1659)-FIND(",", O1659, FIND(",", O1659)+1)-1), "")</f>
        <v/>
      </c>
      <c r="S1659" s="35" t="str" cm="1">
        <f t="array" ref="S1659">_xlfn.TEXTJOIN(", ",TRUE,_xlfn._xlws.FILTER(Tabla29[[#All],[PARTE]],ISNUMBER(SEARCH(Tabla29[[#All],[PCLAVE3]],Tabla8[[#This Row],[DESCRIPCION DE TRABAJO]])),""))</f>
        <v/>
      </c>
      <c r="T1659" s="88" t="str">
        <f>IF(AND(Tabla8[[#This Row],[PIEZA]]="",Tabla8[[#This Row],[PARTE]]=""),"VACIO","OK")</f>
        <v>VACIO</v>
      </c>
      <c r="U1659" s="633" t="str">
        <f>+CONCATENATE(WEEKNUM(Tabla8[[#This Row],[FECHA]]),"-",YEAR(Tabla8[[#This Row],[FECHA]]))</f>
        <v>24-2026</v>
      </c>
    </row>
    <row r="1660" spans="1:21" ht="15" customHeight="1">
      <c r="A1660" s="22">
        <v>46183</v>
      </c>
      <c r="B1660" s="16" t="s">
        <v>131</v>
      </c>
      <c r="C1660" s="16" t="s">
        <v>39</v>
      </c>
      <c r="D1660" s="381" t="s">
        <v>171</v>
      </c>
      <c r="E1660" s="381" t="s">
        <v>426</v>
      </c>
      <c r="F1660" s="632">
        <f>+MOD(Tabla8[[#This Row],[HR. FIN]]-Tabla8[[#This Row],[HR. INICIO]],1)</f>
        <v>2.0833333333333259E-2</v>
      </c>
      <c r="G1660" s="16" t="s">
        <v>256</v>
      </c>
      <c r="H1660" s="79" t="str">
        <f>IFERROR(VLOOKUP(G1660,DATOS!$M$2:$N$219,2,FALSE),"")</f>
        <v>Maquinaria</v>
      </c>
      <c r="I1660" s="115" t="s">
        <v>390</v>
      </c>
      <c r="J1660" s="115" t="s">
        <v>157</v>
      </c>
      <c r="K1660" s="115"/>
      <c r="L1660" s="35" t="s">
        <v>3003</v>
      </c>
      <c r="M1660" s="35" t="s">
        <v>3004</v>
      </c>
      <c r="N1660" s="35" t="str" cm="1">
        <f t="array" ref="N1660">IFERROR(IF(Tabla8[[#This Row],[P/NP]]="NO PROGRAMADA","",_xlfn.TEXTJOIN(", ",TRUE,_xlfn._xlws.FILTER(Tabla4[[#All],[PIEZA]],ISNUMBER(SEARCH(Tabla4[[#All],[PCLAVE]],Tabla8[[#This Row],[DESCRIPCION DE TRABAJO]])),""))),"")</f>
        <v>Bomba , Producto</v>
      </c>
      <c r="O1660" s="35" t="str" cm="1">
        <f t="array" ref="O1660">_xlfn.TEXTJOIN(", ",TRUE,_xlfn._xlws.FILTER(Tabla28[[#All],[PARTE]],ISNUMBER(SEARCH(Tabla28[[#All],[PCLAVE2]],Tabla8[[#This Row],[DESCRIPCION DE TRABAJO]])),""))</f>
        <v/>
      </c>
      <c r="P1660" s="633" t="str">
        <f>IFERROR(LEFT(O1660, FIND(",", O1660)-1), O1660)</f>
        <v/>
      </c>
      <c r="Q1660" s="633" t="str">
        <f>IFERROR(IF(ISERROR(FIND(",", O1660, FIND(",", O1660)+1)), RIGHT(O1660, LEN(O1660)-FIND(",", O1660)-1), MID(O1660, FIND(",", O1660)+2, FIND(",", O1660, FIND(",", O1660)+1)-FIND(",", O1660)-2)), "")</f>
        <v/>
      </c>
      <c r="R1660" s="633" t="str">
        <f>IFERROR(RIGHT(O1660, LEN(O1660)-FIND(",", O1660, FIND(",", O1660)+1)-1), "")</f>
        <v/>
      </c>
      <c r="S1660" s="35" t="str" cm="1">
        <f t="array" ref="S1660">_xlfn.TEXTJOIN(", ",TRUE,_xlfn._xlws.FILTER(Tabla29[[#All],[PARTE]],ISNUMBER(SEARCH(Tabla29[[#All],[PCLAVE3]],Tabla8[[#This Row],[DESCRIPCION DE TRABAJO]])),""))</f>
        <v/>
      </c>
      <c r="T1660" s="88" t="str">
        <f>IF(AND(Tabla8[[#This Row],[PIEZA]]="",Tabla8[[#This Row],[PARTE]]=""),"VACIO","OK")</f>
        <v>OK</v>
      </c>
      <c r="U1660" s="633" t="str">
        <f>+CONCATENATE(WEEKNUM(Tabla8[[#This Row],[FECHA]]),"-",YEAR(Tabla8[[#This Row],[FECHA]]))</f>
        <v>24-2026</v>
      </c>
    </row>
    <row r="1661" spans="1:21" ht="15" customHeight="1">
      <c r="A1661" s="22">
        <v>46183</v>
      </c>
      <c r="B1661" s="16" t="s">
        <v>111</v>
      </c>
      <c r="C1661" s="16" t="s">
        <v>23</v>
      </c>
      <c r="D1661" s="381">
        <v>0.86111111111111116</v>
      </c>
      <c r="E1661" s="381">
        <v>0.88194444444444442</v>
      </c>
      <c r="F1661" s="632">
        <f>+MOD(Tabla8[[#This Row],[HR. FIN]]-Tabla8[[#This Row],[HR. INICIO]],1)</f>
        <v>2.0833333333333259E-2</v>
      </c>
      <c r="G1661" s="16" t="s">
        <v>256</v>
      </c>
      <c r="H1661" s="79" t="str">
        <f>IFERROR(VLOOKUP(G1661,DATOS!$M$2:$N$219,2,FALSE),"")</f>
        <v>Maquinaria</v>
      </c>
      <c r="I1661" s="115" t="s">
        <v>186</v>
      </c>
      <c r="J1661" s="115" t="s">
        <v>157</v>
      </c>
      <c r="K1661" s="115"/>
      <c r="L1661" s="35" t="s">
        <v>3005</v>
      </c>
      <c r="M1661" s="35" t="s">
        <v>121</v>
      </c>
      <c r="N1661" s="35" t="str" cm="1">
        <f t="array" ref="N1661">IFERROR(IF(Tabla8[[#This Row],[P/NP]]="NO PROGRAMADA","",_xlfn.TEXTJOIN(", ",TRUE,_xlfn._xlws.FILTER(Tabla4[[#All],[PIEZA]],ISNUMBER(SEARCH(Tabla4[[#All],[PCLAVE]],Tabla8[[#This Row],[DESCRIPCION DE TRABAJO]])),""))),"")</f>
        <v xml:space="preserve">Bomba </v>
      </c>
      <c r="O1661" s="35" t="str" cm="1">
        <f t="array" ref="O1661">_xlfn.TEXTJOIN(", ",TRUE,_xlfn._xlws.FILTER(Tabla28[[#All],[PARTE]],ISNUMBER(SEARCH(Tabla28[[#All],[PCLAVE2]],Tabla8[[#This Row],[DESCRIPCION DE TRABAJO]])),""))</f>
        <v/>
      </c>
      <c r="P1661" s="633" t="str">
        <f>IFERROR(LEFT(O1661, FIND(",", O1661)-1), O1661)</f>
        <v/>
      </c>
      <c r="Q1661" s="633" t="str">
        <f>IFERROR(IF(ISERROR(FIND(",", O1661, FIND(",", O1661)+1)), RIGHT(O1661, LEN(O1661)-FIND(",", O1661)-1), MID(O1661, FIND(",", O1661)+2, FIND(",", O1661, FIND(",", O1661)+1)-FIND(",", O1661)-2)), "")</f>
        <v/>
      </c>
      <c r="R1661" s="633" t="str">
        <f>IFERROR(RIGHT(O1661, LEN(O1661)-FIND(",", O1661, FIND(",", O1661)+1)-1), "")</f>
        <v/>
      </c>
      <c r="S1661" s="35" t="str" cm="1">
        <f t="array" ref="S1661">_xlfn.TEXTJOIN(", ",TRUE,_xlfn._xlws.FILTER(Tabla29[[#All],[PARTE]],ISNUMBER(SEARCH(Tabla29[[#All],[PCLAVE3]],Tabla8[[#This Row],[DESCRIPCION DE TRABAJO]])),""))</f>
        <v>Setup</v>
      </c>
      <c r="T1661" s="88" t="str">
        <f>IF(AND(Tabla8[[#This Row],[PIEZA]]="",Tabla8[[#This Row],[PARTE]]=""),"VACIO","OK")</f>
        <v>OK</v>
      </c>
      <c r="U1661" s="633" t="str">
        <f>+CONCATENATE(WEEKNUM(Tabla8[[#This Row],[FECHA]]),"-",YEAR(Tabla8[[#This Row],[FECHA]]))</f>
        <v>24-2026</v>
      </c>
    </row>
    <row r="1662" spans="1:21" ht="15" customHeight="1">
      <c r="A1662" s="22">
        <v>46183</v>
      </c>
      <c r="B1662" s="16" t="s">
        <v>191</v>
      </c>
      <c r="C1662" s="16" t="s">
        <v>36</v>
      </c>
      <c r="D1662" s="381" t="s">
        <v>3006</v>
      </c>
      <c r="E1662" s="381" t="s">
        <v>3007</v>
      </c>
      <c r="F1662" s="632">
        <f>+MOD(Tabla8[[#This Row],[HR. FIN]]-Tabla8[[#This Row],[HR. INICIO]],1)</f>
        <v>2.0138888888888873E-2</v>
      </c>
      <c r="G1662" s="16" t="s">
        <v>438</v>
      </c>
      <c r="H1662" s="79" t="str">
        <f>IFERROR(VLOOKUP(G1662,DATOS!$M$2:$N$219,2,FALSE),"")</f>
        <v>Maquinaria</v>
      </c>
      <c r="I1662" s="115" t="s">
        <v>61</v>
      </c>
      <c r="J1662" s="115" t="s">
        <v>92</v>
      </c>
      <c r="K1662" s="115" t="s">
        <v>148</v>
      </c>
      <c r="L1662" s="35" t="s">
        <v>3008</v>
      </c>
      <c r="M1662" s="35" t="s">
        <v>3009</v>
      </c>
      <c r="N1662" s="35" t="str" cm="1">
        <f t="array" ref="N1662">IFERROR(IF(Tabla8[[#This Row],[P/NP]]="NO PROGRAMADA","",_xlfn.TEXTJOIN(", ",TRUE,_xlfn._xlws.FILTER(Tabla4[[#All],[PIEZA]],ISNUMBER(SEARCH(Tabla4[[#All],[PCLAVE]],Tabla8[[#This Row],[DESCRIPCION DE TRABAJO]])),""))),"")</f>
        <v/>
      </c>
      <c r="O1662" s="35" t="str" cm="1">
        <f t="array" ref="O1662">_xlfn.TEXTJOIN(", ",TRUE,_xlfn._xlws.FILTER(Tabla28[[#All],[PARTE]],ISNUMBER(SEARCH(Tabla28[[#All],[PCLAVE2]],Tabla8[[#This Row],[DESCRIPCION DE TRABAJO]])),""))</f>
        <v/>
      </c>
      <c r="P1662" s="633" t="str">
        <f>IFERROR(LEFT(O1662, FIND(",", O1662)-1), O1662)</f>
        <v/>
      </c>
      <c r="Q1662" s="633" t="str">
        <f>IFERROR(IF(ISERROR(FIND(",", O1662, FIND(",", O1662)+1)), RIGHT(O1662, LEN(O1662)-FIND(",", O1662)-1), MID(O1662, FIND(",", O1662)+2, FIND(",", O1662, FIND(",", O1662)+1)-FIND(",", O1662)-2)), "")</f>
        <v/>
      </c>
      <c r="R1662" s="633" t="str">
        <f>IFERROR(RIGHT(O1662, LEN(O1662)-FIND(",", O1662, FIND(",", O1662)+1)-1), "")</f>
        <v/>
      </c>
      <c r="S1662" s="35" t="str" cm="1">
        <f t="array" ref="S1662">_xlfn.TEXTJOIN(", ",TRUE,_xlfn._xlws.FILTER(Tabla29[[#All],[PARTE]],ISNUMBER(SEARCH(Tabla29[[#All],[PCLAVE3]],Tabla8[[#This Row],[DESCRIPCION DE TRABAJO]])),""))</f>
        <v/>
      </c>
      <c r="T1662" s="88" t="str">
        <f>IF(AND(Tabla8[[#This Row],[PIEZA]]="",Tabla8[[#This Row],[PARTE]]=""),"VACIO","OK")</f>
        <v>VACIO</v>
      </c>
      <c r="U1662" s="633" t="str">
        <f>+CONCATENATE(WEEKNUM(Tabla8[[#This Row],[FECHA]]),"-",YEAR(Tabla8[[#This Row],[FECHA]]))</f>
        <v>24-2026</v>
      </c>
    </row>
    <row r="1663" spans="1:21" ht="15" customHeight="1">
      <c r="A1663" s="22">
        <v>46183</v>
      </c>
      <c r="B1663" s="16" t="s">
        <v>131</v>
      </c>
      <c r="C1663" s="16" t="s">
        <v>39</v>
      </c>
      <c r="D1663" s="381" t="s">
        <v>1270</v>
      </c>
      <c r="E1663" s="381" t="s">
        <v>2337</v>
      </c>
      <c r="F1663" s="632">
        <f>+MOD(Tabla8[[#This Row],[HR. FIN]]-Tabla8[[#This Row],[HR. INICIO]],1)</f>
        <v>1.8055555555555491E-2</v>
      </c>
      <c r="G1663" s="16" t="s">
        <v>128</v>
      </c>
      <c r="H1663" s="79" t="str">
        <f>IFERROR(VLOOKUP(G1663,DATOS!$M$2:$N$219,2,FALSE),"")</f>
        <v>Maquinaria</v>
      </c>
      <c r="I1663" s="115" t="s">
        <v>57</v>
      </c>
      <c r="J1663" s="115" t="s">
        <v>92</v>
      </c>
      <c r="K1663" s="115" t="s">
        <v>148</v>
      </c>
      <c r="L1663" s="35" t="s">
        <v>3010</v>
      </c>
      <c r="M1663" s="35" t="s">
        <v>3011</v>
      </c>
      <c r="N1663" s="35" t="str" cm="1">
        <f t="array" ref="N1663">IFERROR(IF(Tabla8[[#This Row],[P/NP]]="NO PROGRAMADA","",_xlfn.TEXTJOIN(", ",TRUE,_xlfn._xlws.FILTER(Tabla4[[#All],[PIEZA]],ISNUMBER(SEARCH(Tabla4[[#All],[PCLAVE]],Tabla8[[#This Row],[DESCRIPCION DE TRABAJO]])),""))),"")</f>
        <v/>
      </c>
      <c r="O1663" s="35" t="str" cm="1">
        <f t="array" ref="O1663">_xlfn.TEXTJOIN(", ",TRUE,_xlfn._xlws.FILTER(Tabla28[[#All],[PARTE]],ISNUMBER(SEARCH(Tabla28[[#All],[PCLAVE2]],Tabla8[[#This Row],[DESCRIPCION DE TRABAJO]])),""))</f>
        <v>Horno</v>
      </c>
      <c r="P1663" s="633" t="str">
        <f>IFERROR(LEFT(O1663, FIND(",", O1663)-1), O1663)</f>
        <v>Horno</v>
      </c>
      <c r="Q1663" s="633" t="str">
        <f>IFERROR(IF(ISERROR(FIND(",", O1663, FIND(",", O1663)+1)), RIGHT(O1663, LEN(O1663)-FIND(",", O1663)-1), MID(O1663, FIND(",", O1663)+2, FIND(",", O1663, FIND(",", O1663)+1)-FIND(",", O1663)-2)), "")</f>
        <v/>
      </c>
      <c r="R1663" s="633" t="str">
        <f>IFERROR(RIGHT(O1663, LEN(O1663)-FIND(",", O1663, FIND(",", O1663)+1)-1), "")</f>
        <v/>
      </c>
      <c r="S1663" s="35" t="str" cm="1">
        <f t="array" ref="S1663">_xlfn.TEXTJOIN(", ",TRUE,_xlfn._xlws.FILTER(Tabla29[[#All],[PARTE]],ISNUMBER(SEARCH(Tabla29[[#All],[PCLAVE3]],Tabla8[[#This Row],[DESCRIPCION DE TRABAJO]])),""))</f>
        <v>Apagado</v>
      </c>
      <c r="T1663" s="88" t="str">
        <f>IF(AND(Tabla8[[#This Row],[PIEZA]]="",Tabla8[[#This Row],[PARTE]]=""),"VACIO","OK")</f>
        <v>OK</v>
      </c>
      <c r="U1663" s="633" t="str">
        <f>+CONCATENATE(WEEKNUM(Tabla8[[#This Row],[FECHA]]),"-",YEAR(Tabla8[[#This Row],[FECHA]]))</f>
        <v>24-2026</v>
      </c>
    </row>
    <row r="1664" spans="1:21" ht="15" customHeight="1">
      <c r="A1664" s="22">
        <v>46183</v>
      </c>
      <c r="B1664" s="16" t="s">
        <v>131</v>
      </c>
      <c r="C1664" s="16" t="s">
        <v>36</v>
      </c>
      <c r="D1664" s="381" t="s">
        <v>660</v>
      </c>
      <c r="E1664" s="381" t="s">
        <v>2306</v>
      </c>
      <c r="F1664" s="632">
        <f>+MOD(Tabla8[[#This Row],[HR. FIN]]-Tabla8[[#This Row],[HR. INICIO]],1)</f>
        <v>1.736111111111116E-2</v>
      </c>
      <c r="G1664" s="16" t="s">
        <v>192</v>
      </c>
      <c r="H1664" s="79" t="str">
        <f>IFERROR(VLOOKUP(G1664,DATOS!$M$2:$N$219,2,FALSE),"")</f>
        <v>Maquinaria</v>
      </c>
      <c r="I1664" s="115" t="s">
        <v>54</v>
      </c>
      <c r="J1664" s="115" t="s">
        <v>157</v>
      </c>
      <c r="K1664" s="115"/>
      <c r="L1664" s="35" t="s">
        <v>225</v>
      </c>
      <c r="M1664" s="35" t="s">
        <v>3012</v>
      </c>
      <c r="N1664" s="35" t="str" cm="1">
        <f t="array" ref="N1664">IFERROR(IF(Tabla8[[#This Row],[P/NP]]="NO PROGRAMADA","",_xlfn.TEXTJOIN(", ",TRUE,_xlfn._xlws.FILTER(Tabla4[[#All],[PIEZA]],ISNUMBER(SEARCH(Tabla4[[#All],[PCLAVE]],Tabla8[[#This Row],[DESCRIPCION DE TRABAJO]])),""))),"")</f>
        <v/>
      </c>
      <c r="O1664" s="35" t="str" cm="1">
        <f t="array" ref="O1664">_xlfn.TEXTJOIN(", ",TRUE,_xlfn._xlws.FILTER(Tabla28[[#All],[PARTE]],ISNUMBER(SEARCH(Tabla28[[#All],[PCLAVE2]],Tabla8[[#This Row],[DESCRIPCION DE TRABAJO]])),""))</f>
        <v/>
      </c>
      <c r="P1664" s="633" t="str">
        <f>IFERROR(LEFT(O1664, FIND(",", O1664)-1), O1664)</f>
        <v/>
      </c>
      <c r="Q1664" s="633" t="str">
        <f>IFERROR(IF(ISERROR(FIND(",", O1664, FIND(",", O1664)+1)), RIGHT(O1664, LEN(O1664)-FIND(",", O1664)-1), MID(O1664, FIND(",", O1664)+2, FIND(",", O1664, FIND(",", O1664)+1)-FIND(",", O1664)-2)), "")</f>
        <v/>
      </c>
      <c r="R1664" s="633" t="str">
        <f>IFERROR(RIGHT(O1664, LEN(O1664)-FIND(",", O1664, FIND(",", O1664)+1)-1), "")</f>
        <v/>
      </c>
      <c r="S1664" s="35" t="str" cm="1">
        <f t="array" ref="S1664">_xlfn.TEXTJOIN(", ",TRUE,_xlfn._xlws.FILTER(Tabla29[[#All],[PARTE]],ISNUMBER(SEARCH(Tabla29[[#All],[PCLAVE3]],Tabla8[[#This Row],[DESCRIPCION DE TRABAJO]])),""))</f>
        <v/>
      </c>
      <c r="T1664" s="88" t="str">
        <f>IF(AND(Tabla8[[#This Row],[PIEZA]]="",Tabla8[[#This Row],[PARTE]]=""),"VACIO","OK")</f>
        <v>VACIO</v>
      </c>
      <c r="U1664" s="633" t="str">
        <f>+CONCATENATE(WEEKNUM(Tabla8[[#This Row],[FECHA]]),"-",YEAR(Tabla8[[#This Row],[FECHA]]))</f>
        <v>24-2026</v>
      </c>
    </row>
    <row r="1665" spans="1:21" ht="15" customHeight="1">
      <c r="A1665" s="22">
        <v>46183</v>
      </c>
      <c r="B1665" s="16" t="s">
        <v>191</v>
      </c>
      <c r="C1665" s="16" t="s">
        <v>36</v>
      </c>
      <c r="D1665" s="381" t="s">
        <v>3013</v>
      </c>
      <c r="E1665" s="381" t="s">
        <v>1944</v>
      </c>
      <c r="F1665" s="632">
        <f>+MOD(Tabla8[[#This Row],[HR. FIN]]-Tabla8[[#This Row],[HR. INICIO]],1)</f>
        <v>1.5277777777777751E-2</v>
      </c>
      <c r="G1665" s="16" t="s">
        <v>215</v>
      </c>
      <c r="H1665" s="79" t="str">
        <f>IFERROR(VLOOKUP(G1665,DATOS!$M$2:$N$219,2,FALSE),"")</f>
        <v>Equipos auxiliares</v>
      </c>
      <c r="I1665" s="115" t="s">
        <v>54</v>
      </c>
      <c r="J1665" s="115" t="s">
        <v>157</v>
      </c>
      <c r="K1665" s="115"/>
      <c r="L1665" s="35" t="s">
        <v>248</v>
      </c>
      <c r="M1665" s="35" t="s">
        <v>121</v>
      </c>
      <c r="N1665" s="35" t="str" cm="1">
        <f t="array" ref="N1665">IFERROR(IF(Tabla8[[#This Row],[P/NP]]="NO PROGRAMADA","",_xlfn.TEXTJOIN(", ",TRUE,_xlfn._xlws.FILTER(Tabla4[[#All],[PIEZA]],ISNUMBER(SEARCH(Tabla4[[#All],[PCLAVE]],Tabla8[[#This Row],[DESCRIPCION DE TRABAJO]])),""))),"")</f>
        <v/>
      </c>
      <c r="O1665" s="35" t="str" cm="1">
        <f t="array" ref="O1665">_xlfn.TEXTJOIN(", ",TRUE,_xlfn._xlws.FILTER(Tabla28[[#All],[PARTE]],ISNUMBER(SEARCH(Tabla28[[#All],[PCLAVE2]],Tabla8[[#This Row],[DESCRIPCION DE TRABAJO]])),""))</f>
        <v/>
      </c>
      <c r="P1665" s="633" t="str">
        <f>IFERROR(LEFT(O1665, FIND(",", O1665)-1), O1665)</f>
        <v/>
      </c>
      <c r="Q1665" s="633" t="str">
        <f>IFERROR(IF(ISERROR(FIND(",", O1665, FIND(",", O1665)+1)), RIGHT(O1665, LEN(O1665)-FIND(",", O1665)-1), MID(O1665, FIND(",", O1665)+2, FIND(",", O1665, FIND(",", O1665)+1)-FIND(",", O1665)-2)), "")</f>
        <v/>
      </c>
      <c r="R1665" s="633" t="str">
        <f>IFERROR(RIGHT(O1665, LEN(O1665)-FIND(",", O1665, FIND(",", O1665)+1)-1), "")</f>
        <v/>
      </c>
      <c r="S1665" s="35" t="str" cm="1">
        <f t="array" ref="S1665">_xlfn.TEXTJOIN(", ",TRUE,_xlfn._xlws.FILTER(Tabla29[[#All],[PARTE]],ISNUMBER(SEARCH(Tabla29[[#All],[PCLAVE3]],Tabla8[[#This Row],[DESCRIPCION DE TRABAJO]])),""))</f>
        <v/>
      </c>
      <c r="T1665" s="88" t="str">
        <f>IF(AND(Tabla8[[#This Row],[PIEZA]]="",Tabla8[[#This Row],[PARTE]]=""),"VACIO","OK")</f>
        <v>VACIO</v>
      </c>
      <c r="U1665" s="633" t="str">
        <f>+CONCATENATE(WEEKNUM(Tabla8[[#This Row],[FECHA]]),"-",YEAR(Tabla8[[#This Row],[FECHA]]))</f>
        <v>24-2026</v>
      </c>
    </row>
    <row r="1666" spans="1:21" ht="15" customHeight="1">
      <c r="A1666" s="22">
        <v>46183</v>
      </c>
      <c r="B1666" s="16" t="s">
        <v>191</v>
      </c>
      <c r="C1666" s="16" t="s">
        <v>36</v>
      </c>
      <c r="D1666" s="381" t="s">
        <v>1944</v>
      </c>
      <c r="E1666" s="381" t="s">
        <v>2624</v>
      </c>
      <c r="F1666" s="632">
        <f>+MOD(Tabla8[[#This Row],[HR. FIN]]-Tabla8[[#This Row],[HR. INICIO]],1)</f>
        <v>1.4583333333333337E-2</v>
      </c>
      <c r="G1666" s="16" t="s">
        <v>1647</v>
      </c>
      <c r="H1666" s="79" t="str">
        <f>IFERROR(VLOOKUP(G1666,DATOS!$M$2:$N$219,2,FALSE),"")</f>
        <v>Equipos auxiliares</v>
      </c>
      <c r="I1666" s="115" t="s">
        <v>186</v>
      </c>
      <c r="J1666" s="115" t="s">
        <v>92</v>
      </c>
      <c r="K1666" s="115" t="s">
        <v>148</v>
      </c>
      <c r="L1666" s="35" t="s">
        <v>3014</v>
      </c>
      <c r="M1666" s="35" t="s">
        <v>3015</v>
      </c>
      <c r="N1666" s="35" t="str" cm="1">
        <f t="array" ref="N1666">IFERROR(IF(Tabla8[[#This Row],[P/NP]]="NO PROGRAMADA","",_xlfn.TEXTJOIN(", ",TRUE,_xlfn._xlws.FILTER(Tabla4[[#All],[PIEZA]],ISNUMBER(SEARCH(Tabla4[[#All],[PCLAVE]],Tabla8[[#This Row],[DESCRIPCION DE TRABAJO]])),""))),"")</f>
        <v/>
      </c>
      <c r="O1666" s="35" t="str" cm="1">
        <f t="array" ref="O1666">_xlfn.TEXTJOIN(", ",TRUE,_xlfn._xlws.FILTER(Tabla28[[#All],[PARTE]],ISNUMBER(SEARCH(Tabla28[[#All],[PCLAVE2]],Tabla8[[#This Row],[DESCRIPCION DE TRABAJO]])),""))</f>
        <v/>
      </c>
      <c r="P1666" s="633" t="str">
        <f>IFERROR(LEFT(O1666, FIND(",", O1666)-1), O1666)</f>
        <v/>
      </c>
      <c r="Q1666" s="633" t="str">
        <f>IFERROR(IF(ISERROR(FIND(",", O1666, FIND(",", O1666)+1)), RIGHT(O1666, LEN(O1666)-FIND(",", O1666)-1), MID(O1666, FIND(",", O1666)+2, FIND(",", O1666, FIND(",", O1666)+1)-FIND(",", O1666)-2)), "")</f>
        <v/>
      </c>
      <c r="R1666" s="633" t="str">
        <f>IFERROR(RIGHT(O1666, LEN(O1666)-FIND(",", O1666, FIND(",", O1666)+1)-1), "")</f>
        <v/>
      </c>
      <c r="S1666" s="35" t="str" cm="1">
        <f t="array" ref="S1666">_xlfn.TEXTJOIN(", ",TRUE,_xlfn._xlws.FILTER(Tabla29[[#All],[PARTE]],ISNUMBER(SEARCH(Tabla29[[#All],[PCLAVE3]],Tabla8[[#This Row],[DESCRIPCION DE TRABAJO]])),""))</f>
        <v>No Responde</v>
      </c>
      <c r="T1666" s="88" t="str">
        <f>IF(AND(Tabla8[[#This Row],[PIEZA]]="",Tabla8[[#This Row],[PARTE]]=""),"VACIO","OK")</f>
        <v>VACIO</v>
      </c>
      <c r="U1666" s="633" t="str">
        <f>+CONCATENATE(WEEKNUM(Tabla8[[#This Row],[FECHA]]),"-",YEAR(Tabla8[[#This Row],[FECHA]]))</f>
        <v>24-2026</v>
      </c>
    </row>
    <row r="1667" spans="1:21" ht="15" customHeight="1">
      <c r="A1667" s="22">
        <v>46183</v>
      </c>
      <c r="B1667" s="16" t="s">
        <v>191</v>
      </c>
      <c r="C1667" s="16" t="s">
        <v>36</v>
      </c>
      <c r="D1667" s="381" t="s">
        <v>3016</v>
      </c>
      <c r="E1667" s="381" t="s">
        <v>2579</v>
      </c>
      <c r="F1667" s="632">
        <f>+MOD(Tabla8[[#This Row],[HR. FIN]]-Tabla8[[#This Row],[HR. INICIO]],1)</f>
        <v>1.4583333333333337E-2</v>
      </c>
      <c r="G1667" s="16" t="s">
        <v>331</v>
      </c>
      <c r="H1667" s="79" t="str">
        <f>IFERROR(VLOOKUP(G1667,DATOS!$M$2:$N$219,2,FALSE),"")</f>
        <v>Maquinaria</v>
      </c>
      <c r="I1667" s="115" t="s">
        <v>186</v>
      </c>
      <c r="J1667" s="115" t="s">
        <v>92</v>
      </c>
      <c r="K1667" s="115" t="s">
        <v>148</v>
      </c>
      <c r="L1667" s="35" t="s">
        <v>3017</v>
      </c>
      <c r="M1667" s="35" t="s">
        <v>3018</v>
      </c>
      <c r="N1667" s="35" t="str" cm="1">
        <f t="array" ref="N1667">IFERROR(IF(Tabla8[[#This Row],[P/NP]]="NO PROGRAMADA","",_xlfn.TEXTJOIN(", ",TRUE,_xlfn._xlws.FILTER(Tabla4[[#All],[PIEZA]],ISNUMBER(SEARCH(Tabla4[[#All],[PCLAVE]],Tabla8[[#This Row],[DESCRIPCION DE TRABAJO]])),""))),"")</f>
        <v/>
      </c>
      <c r="O1667" s="35" t="str" cm="1">
        <f t="array" ref="O1667">_xlfn.TEXTJOIN(", ",TRUE,_xlfn._xlws.FILTER(Tabla28[[#All],[PARTE]],ISNUMBER(SEARCH(Tabla28[[#All],[PCLAVE2]],Tabla8[[#This Row],[DESCRIPCION DE TRABAJO]])),""))</f>
        <v>Extension</v>
      </c>
      <c r="P1667" s="633" t="str">
        <f>IFERROR(LEFT(O1667, FIND(",", O1667)-1), O1667)</f>
        <v>Extension</v>
      </c>
      <c r="Q1667" s="633" t="str">
        <f>IFERROR(IF(ISERROR(FIND(",", O1667, FIND(",", O1667)+1)), RIGHT(O1667, LEN(O1667)-FIND(",", O1667)-1), MID(O1667, FIND(",", O1667)+2, FIND(",", O1667, FIND(",", O1667)+1)-FIND(",", O1667)-2)), "")</f>
        <v/>
      </c>
      <c r="R1667" s="633" t="str">
        <f>IFERROR(RIGHT(O1667, LEN(O1667)-FIND(",", O1667, FIND(",", O1667)+1)-1), "")</f>
        <v/>
      </c>
      <c r="S1667" s="35" t="str" cm="1">
        <f t="array" ref="S1667">_xlfn.TEXTJOIN(", ",TRUE,_xlfn._xlws.FILTER(Tabla29[[#All],[PARTE]],ISNUMBER(SEARCH(Tabla29[[#All],[PCLAVE3]],Tabla8[[#This Row],[DESCRIPCION DE TRABAJO]])),""))</f>
        <v>Dañado</v>
      </c>
      <c r="T1667" s="88" t="str">
        <f>IF(AND(Tabla8[[#This Row],[PIEZA]]="",Tabla8[[#This Row],[PARTE]]=""),"VACIO","OK")</f>
        <v>OK</v>
      </c>
      <c r="U1667" s="633" t="str">
        <f>+CONCATENATE(WEEKNUM(Tabla8[[#This Row],[FECHA]]),"-",YEAR(Tabla8[[#This Row],[FECHA]]))</f>
        <v>24-2026</v>
      </c>
    </row>
    <row r="1668" spans="1:21" ht="15" customHeight="1">
      <c r="A1668" s="22">
        <v>46183</v>
      </c>
      <c r="B1668" s="16" t="s">
        <v>88</v>
      </c>
      <c r="C1668" s="16" t="s">
        <v>36</v>
      </c>
      <c r="D1668" s="381" t="s">
        <v>636</v>
      </c>
      <c r="E1668" s="381" t="s">
        <v>123</v>
      </c>
      <c r="F1668" s="632">
        <f>+MOD(Tabla8[[#This Row],[HR. FIN]]-Tabla8[[#This Row],[HR. INICIO]],1)</f>
        <v>1.3888888888888895E-2</v>
      </c>
      <c r="G1668" s="16" t="s">
        <v>192</v>
      </c>
      <c r="H1668" s="79" t="str">
        <f>IFERROR(VLOOKUP(G1668,DATOS!$M$2:$N$219,2,FALSE),"")</f>
        <v>Maquinaria</v>
      </c>
      <c r="I1668" s="115" t="s">
        <v>186</v>
      </c>
      <c r="J1668" s="115" t="s">
        <v>92</v>
      </c>
      <c r="K1668" s="115" t="s">
        <v>148</v>
      </c>
      <c r="L1668" s="35" t="s">
        <v>3019</v>
      </c>
      <c r="M1668" s="35" t="s">
        <v>3020</v>
      </c>
      <c r="N1668" s="35" t="str" cm="1">
        <f t="array" ref="N1668">IFERROR(IF(Tabla8[[#This Row],[P/NP]]="NO PROGRAMADA","",_xlfn.TEXTJOIN(", ",TRUE,_xlfn._xlws.FILTER(Tabla4[[#All],[PIEZA]],ISNUMBER(SEARCH(Tabla4[[#All],[PCLAVE]],Tabla8[[#This Row],[DESCRIPCION DE TRABAJO]])),""))),"")</f>
        <v/>
      </c>
      <c r="O1668" s="35" t="str" cm="1">
        <f t="array" ref="O1668">_xlfn.TEXTJOIN(", ",TRUE,_xlfn._xlws.FILTER(Tabla28[[#All],[PARTE]],ISNUMBER(SEARCH(Tabla28[[#All],[PCLAVE2]],Tabla8[[#This Row],[DESCRIPCION DE TRABAJO]])),""))</f>
        <v/>
      </c>
      <c r="P1668" s="633" t="str">
        <f>IFERROR(LEFT(O1668, FIND(",", O1668)-1), O1668)</f>
        <v/>
      </c>
      <c r="Q1668" s="633" t="str">
        <f>IFERROR(IF(ISERROR(FIND(",", O1668, FIND(",", O1668)+1)), RIGHT(O1668, LEN(O1668)-FIND(",", O1668)-1), MID(O1668, FIND(",", O1668)+2, FIND(",", O1668, FIND(",", O1668)+1)-FIND(",", O1668)-2)), "")</f>
        <v/>
      </c>
      <c r="R1668" s="633" t="str">
        <f>IFERROR(RIGHT(O1668, LEN(O1668)-FIND(",", O1668, FIND(",", O1668)+1)-1), "")</f>
        <v/>
      </c>
      <c r="S1668" s="35" t="str" cm="1">
        <f t="array" ref="S1668">_xlfn.TEXTJOIN(", ",TRUE,_xlfn._xlws.FILTER(Tabla29[[#All],[PARTE]],ISNUMBER(SEARCH(Tabla29[[#All],[PCLAVE3]],Tabla8[[#This Row],[DESCRIPCION DE TRABAJO]])),""))</f>
        <v>Error</v>
      </c>
      <c r="T1668" s="88" t="str">
        <f>IF(AND(Tabla8[[#This Row],[PIEZA]]="",Tabla8[[#This Row],[PARTE]]=""),"VACIO","OK")</f>
        <v>VACIO</v>
      </c>
      <c r="U1668" s="633" t="str">
        <f>+CONCATENATE(WEEKNUM(Tabla8[[#This Row],[FECHA]]),"-",YEAR(Tabla8[[#This Row],[FECHA]]))</f>
        <v>24-2026</v>
      </c>
    </row>
    <row r="1669" spans="1:21" ht="15" customHeight="1">
      <c r="A1669" s="22">
        <v>46183</v>
      </c>
      <c r="B1669" s="16" t="s">
        <v>111</v>
      </c>
      <c r="C1669" s="16" t="s">
        <v>23</v>
      </c>
      <c r="D1669" s="381">
        <v>0.62013888888888891</v>
      </c>
      <c r="E1669" s="381">
        <v>0.63194444444444442</v>
      </c>
      <c r="F1669" s="632">
        <f>+MOD(Tabla8[[#This Row],[HR. FIN]]-Tabla8[[#This Row],[HR. INICIO]],1)</f>
        <v>1.1805555555555514E-2</v>
      </c>
      <c r="G1669" s="16" t="s">
        <v>119</v>
      </c>
      <c r="H1669" s="79" t="str">
        <f>IFERROR(VLOOKUP(G1669,DATOS!$M$2:$N$219,2,FALSE),"")</f>
        <v>Maquinaria</v>
      </c>
      <c r="I1669" s="115" t="s">
        <v>54</v>
      </c>
      <c r="J1669" s="115" t="s">
        <v>157</v>
      </c>
      <c r="K1669" s="115"/>
      <c r="L1669" s="35" t="s">
        <v>489</v>
      </c>
      <c r="M1669" s="35" t="s">
        <v>3021</v>
      </c>
      <c r="N1669" s="35" t="str" cm="1">
        <f t="array" ref="N1669">IFERROR(IF(Tabla8[[#This Row],[P/NP]]="NO PROGRAMADA","",_xlfn.TEXTJOIN(", ",TRUE,_xlfn._xlws.FILTER(Tabla4[[#All],[PIEZA]],ISNUMBER(SEARCH(Tabla4[[#All],[PCLAVE]],Tabla8[[#This Row],[DESCRIPCION DE TRABAJO]])),""))),"")</f>
        <v/>
      </c>
      <c r="O1669" s="35" t="str" cm="1">
        <f t="array" ref="O1669">_xlfn.TEXTJOIN(", ",TRUE,_xlfn._xlws.FILTER(Tabla28[[#All],[PARTE]],ISNUMBER(SEARCH(Tabla28[[#All],[PCLAVE2]],Tabla8[[#This Row],[DESCRIPCION DE TRABAJO]])),""))</f>
        <v>Temperadora</v>
      </c>
      <c r="P1669" s="633" t="str">
        <f>IFERROR(LEFT(O1669, FIND(",", O1669)-1), O1669)</f>
        <v>Temperadora</v>
      </c>
      <c r="Q1669" s="633" t="str">
        <f>IFERROR(IF(ISERROR(FIND(",", O1669, FIND(",", O1669)+1)), RIGHT(O1669, LEN(O1669)-FIND(",", O1669)-1), MID(O1669, FIND(",", O1669)+2, FIND(",", O1669, FIND(",", O1669)+1)-FIND(",", O1669)-2)), "")</f>
        <v/>
      </c>
      <c r="R1669" s="633" t="str">
        <f>IFERROR(RIGHT(O1669, LEN(O1669)-FIND(",", O1669, FIND(",", O1669)+1)-1), "")</f>
        <v/>
      </c>
      <c r="S1669" s="35" t="str" cm="1">
        <f t="array" ref="S1669">_xlfn.TEXTJOIN(", ",TRUE,_xlfn._xlws.FILTER(Tabla29[[#All],[PARTE]],ISNUMBER(SEARCH(Tabla29[[#All],[PCLAVE3]],Tabla8[[#This Row],[DESCRIPCION DE TRABAJO]])),""))</f>
        <v/>
      </c>
      <c r="T1669" s="88" t="str">
        <f>IF(AND(Tabla8[[#This Row],[PIEZA]]="",Tabla8[[#This Row],[PARTE]]=""),"VACIO","OK")</f>
        <v>OK</v>
      </c>
      <c r="U1669" s="633" t="str">
        <f>+CONCATENATE(WEEKNUM(Tabla8[[#This Row],[FECHA]]),"-",YEAR(Tabla8[[#This Row],[FECHA]]))</f>
        <v>24-2026</v>
      </c>
    </row>
    <row r="1670" spans="1:21" ht="15" customHeight="1">
      <c r="A1670" s="22">
        <v>46183</v>
      </c>
      <c r="B1670" s="16" t="s">
        <v>191</v>
      </c>
      <c r="C1670" s="16" t="s">
        <v>36</v>
      </c>
      <c r="D1670" s="381" t="s">
        <v>3022</v>
      </c>
      <c r="E1670" s="381" t="s">
        <v>3023</v>
      </c>
      <c r="F1670" s="632">
        <f>+MOD(Tabla8[[#This Row],[HR. FIN]]-Tabla8[[#This Row],[HR. INICIO]],1)</f>
        <v>1.1111111111111127E-2</v>
      </c>
      <c r="G1670" s="16" t="s">
        <v>438</v>
      </c>
      <c r="H1670" s="79" t="str">
        <f>IFERROR(VLOOKUP(G1670,DATOS!$M$2:$N$219,2,FALSE),"")</f>
        <v>Maquinaria</v>
      </c>
      <c r="I1670" s="115" t="s">
        <v>57</v>
      </c>
      <c r="J1670" s="115" t="s">
        <v>92</v>
      </c>
      <c r="K1670" s="115" t="s">
        <v>93</v>
      </c>
      <c r="L1670" s="35" t="s">
        <v>3024</v>
      </c>
      <c r="M1670" s="35" t="s">
        <v>3025</v>
      </c>
      <c r="N1670" s="35" t="str" cm="1">
        <f t="array" ref="N1670">IFERROR(IF(Tabla8[[#This Row],[P/NP]]="NO PROGRAMADA","",_xlfn.TEXTJOIN(", ",TRUE,_xlfn._xlws.FILTER(Tabla4[[#All],[PIEZA]],ISNUMBER(SEARCH(Tabla4[[#All],[PCLAVE]],Tabla8[[#This Row],[DESCRIPCION DE TRABAJO]])),""))),"")</f>
        <v/>
      </c>
      <c r="O1670" s="35" t="str" cm="1">
        <f t="array" ref="O1670">_xlfn.TEXTJOIN(", ",TRUE,_xlfn._xlws.FILTER(Tabla28[[#All],[PARTE]],ISNUMBER(SEARCH(Tabla28[[#All],[PCLAVE2]],Tabla8[[#This Row],[DESCRIPCION DE TRABAJO]])),""))</f>
        <v/>
      </c>
      <c r="P1670" s="633" t="str">
        <f>IFERROR(LEFT(O1670, FIND(",", O1670)-1), O1670)</f>
        <v/>
      </c>
      <c r="Q1670" s="633" t="str">
        <f>IFERROR(IF(ISERROR(FIND(",", O1670, FIND(",", O1670)+1)), RIGHT(O1670, LEN(O1670)-FIND(",", O1670)-1), MID(O1670, FIND(",", O1670)+2, FIND(",", O1670, FIND(",", O1670)+1)-FIND(",", O1670)-2)), "")</f>
        <v/>
      </c>
      <c r="R1670" s="633" t="str">
        <f>IFERROR(RIGHT(O1670, LEN(O1670)-FIND(",", O1670, FIND(",", O1670)+1)-1), "")</f>
        <v/>
      </c>
      <c r="S1670" s="35" t="str" cm="1">
        <f t="array" ref="S1670">_xlfn.TEXTJOIN(", ",TRUE,_xlfn._xlws.FILTER(Tabla29[[#All],[PARTE]],ISNUMBER(SEARCH(Tabla29[[#All],[PCLAVE3]],Tabla8[[#This Row],[DESCRIPCION DE TRABAJO]])),""))</f>
        <v>Soltura</v>
      </c>
      <c r="T1670" s="88" t="str">
        <f>IF(AND(Tabla8[[#This Row],[PIEZA]]="",Tabla8[[#This Row],[PARTE]]=""),"VACIO","OK")</f>
        <v>VACIO</v>
      </c>
      <c r="U1670" s="633" t="str">
        <f>+CONCATENATE(WEEKNUM(Tabla8[[#This Row],[FECHA]]),"-",YEAR(Tabla8[[#This Row],[FECHA]]))</f>
        <v>24-2026</v>
      </c>
    </row>
    <row r="1671" spans="1:21" ht="15" customHeight="1">
      <c r="A1671" s="22">
        <v>46183</v>
      </c>
      <c r="B1671" s="16" t="s">
        <v>131</v>
      </c>
      <c r="C1671" s="16" t="s">
        <v>39</v>
      </c>
      <c r="D1671" s="381" t="s">
        <v>887</v>
      </c>
      <c r="E1671" s="381" t="s">
        <v>414</v>
      </c>
      <c r="F1671" s="632">
        <f>+MOD(Tabla8[[#This Row],[HR. FIN]]-Tabla8[[#This Row],[HR. INICIO]],1)</f>
        <v>1.0416666666666741E-2</v>
      </c>
      <c r="G1671" s="16" t="s">
        <v>2256</v>
      </c>
      <c r="H1671" s="79" t="str">
        <f>IFERROR(VLOOKUP(G1671,DATOS!$M$2:$N$219,2,FALSE),"")</f>
        <v>Maquinaria</v>
      </c>
      <c r="I1671" s="115" t="s">
        <v>54</v>
      </c>
      <c r="J1671" s="115" t="s">
        <v>157</v>
      </c>
      <c r="K1671" s="115"/>
      <c r="L1671" s="35" t="s">
        <v>225</v>
      </c>
      <c r="M1671" s="35" t="s">
        <v>121</v>
      </c>
      <c r="N1671" s="35" t="str" cm="1">
        <f t="array" ref="N1671">IFERROR(IF(Tabla8[[#This Row],[P/NP]]="NO PROGRAMADA","",_xlfn.TEXTJOIN(", ",TRUE,_xlfn._xlws.FILTER(Tabla4[[#All],[PIEZA]],ISNUMBER(SEARCH(Tabla4[[#All],[PCLAVE]],Tabla8[[#This Row],[DESCRIPCION DE TRABAJO]])),""))),"")</f>
        <v/>
      </c>
      <c r="O1671" s="35" t="str" cm="1">
        <f t="array" ref="O1671">_xlfn.TEXTJOIN(", ",TRUE,_xlfn._xlws.FILTER(Tabla28[[#All],[PARTE]],ISNUMBER(SEARCH(Tabla28[[#All],[PCLAVE2]],Tabla8[[#This Row],[DESCRIPCION DE TRABAJO]])),""))</f>
        <v/>
      </c>
      <c r="P1671" s="633" t="str">
        <f>IFERROR(LEFT(O1671, FIND(",", O1671)-1), O1671)</f>
        <v/>
      </c>
      <c r="Q1671" s="633" t="str">
        <f>IFERROR(IF(ISERROR(FIND(",", O1671, FIND(",", O1671)+1)), RIGHT(O1671, LEN(O1671)-FIND(",", O1671)-1), MID(O1671, FIND(",", O1671)+2, FIND(",", O1671, FIND(",", O1671)+1)-FIND(",", O1671)-2)), "")</f>
        <v/>
      </c>
      <c r="R1671" s="633" t="str">
        <f>IFERROR(RIGHT(O1671, LEN(O1671)-FIND(",", O1671, FIND(",", O1671)+1)-1), "")</f>
        <v/>
      </c>
      <c r="S1671" s="35" t="str" cm="1">
        <f t="array" ref="S1671">_xlfn.TEXTJOIN(", ",TRUE,_xlfn._xlws.FILTER(Tabla29[[#All],[PARTE]],ISNUMBER(SEARCH(Tabla29[[#All],[PCLAVE3]],Tabla8[[#This Row],[DESCRIPCION DE TRABAJO]])),""))</f>
        <v/>
      </c>
      <c r="T1671" s="88" t="str">
        <f>IF(AND(Tabla8[[#This Row],[PIEZA]]="",Tabla8[[#This Row],[PARTE]]=""),"VACIO","OK")</f>
        <v>VACIO</v>
      </c>
      <c r="U1671" s="633" t="str">
        <f>+CONCATENATE(WEEKNUM(Tabla8[[#This Row],[FECHA]]),"-",YEAR(Tabla8[[#This Row],[FECHA]]))</f>
        <v>24-2026</v>
      </c>
    </row>
    <row r="1672" spans="1:21" ht="15" customHeight="1">
      <c r="A1672" s="22">
        <v>46183</v>
      </c>
      <c r="B1672" s="16" t="s">
        <v>111</v>
      </c>
      <c r="C1672" s="16" t="s">
        <v>23</v>
      </c>
      <c r="D1672" s="381">
        <v>0.60763888888888884</v>
      </c>
      <c r="E1672" s="381">
        <v>0.61805555555555558</v>
      </c>
      <c r="F1672" s="632">
        <f>+MOD(Tabla8[[#This Row],[HR. FIN]]-Tabla8[[#This Row],[HR. INICIO]],1)</f>
        <v>1.0416666666666741E-2</v>
      </c>
      <c r="G1672" s="16" t="s">
        <v>140</v>
      </c>
      <c r="H1672" s="79" t="str">
        <f>IFERROR(VLOOKUP(G1672,DATOS!$M$2:$N$219,2,FALSE),"")</f>
        <v>Maquinaria</v>
      </c>
      <c r="I1672" s="115" t="s">
        <v>1615</v>
      </c>
      <c r="J1672" s="115" t="s">
        <v>157</v>
      </c>
      <c r="K1672" s="115"/>
      <c r="L1672" s="35" t="s">
        <v>3026</v>
      </c>
      <c r="M1672" s="35" t="s">
        <v>121</v>
      </c>
      <c r="N1672" s="35" t="str" cm="1">
        <f t="array" ref="N1672">IFERROR(IF(Tabla8[[#This Row],[P/NP]]="NO PROGRAMADA","",_xlfn.TEXTJOIN(", ",TRUE,_xlfn._xlws.FILTER(Tabla4[[#All],[PIEZA]],ISNUMBER(SEARCH(Tabla4[[#All],[PCLAVE]],Tabla8[[#This Row],[DESCRIPCION DE TRABAJO]])),""))),"")</f>
        <v/>
      </c>
      <c r="O1672" s="35" t="str" cm="1">
        <f t="array" ref="O1672">_xlfn.TEXTJOIN(", ",TRUE,_xlfn._xlws.FILTER(Tabla28[[#All],[PARTE]],ISNUMBER(SEARCH(Tabla28[[#All],[PCLAVE2]],Tabla8[[#This Row],[DESCRIPCION DE TRABAJO]])),""))</f>
        <v/>
      </c>
      <c r="P1672" s="633" t="str">
        <f>IFERROR(LEFT(O1672, FIND(",", O1672)-1), O1672)</f>
        <v/>
      </c>
      <c r="Q1672" s="633" t="str">
        <f>IFERROR(IF(ISERROR(FIND(",", O1672, FIND(",", O1672)+1)), RIGHT(O1672, LEN(O1672)-FIND(",", O1672)-1), MID(O1672, FIND(",", O1672)+2, FIND(",", O1672, FIND(",", O1672)+1)-FIND(",", O1672)-2)), "")</f>
        <v/>
      </c>
      <c r="R1672" s="633" t="str">
        <f>IFERROR(RIGHT(O1672, LEN(O1672)-FIND(",", O1672, FIND(",", O1672)+1)-1), "")</f>
        <v/>
      </c>
      <c r="S1672" s="35" t="str" cm="1">
        <f t="array" ref="S1672">_xlfn.TEXTJOIN(", ",TRUE,_xlfn._xlws.FILTER(Tabla29[[#All],[PARTE]],ISNUMBER(SEARCH(Tabla29[[#All],[PCLAVE3]],Tabla8[[#This Row],[DESCRIPCION DE TRABAJO]])),""))</f>
        <v>Con Oxido, Error</v>
      </c>
      <c r="T1672" s="88" t="str">
        <f>IF(AND(Tabla8[[#This Row],[PIEZA]]="",Tabla8[[#This Row],[PARTE]]=""),"VACIO","OK")</f>
        <v>VACIO</v>
      </c>
      <c r="U1672" s="633" t="str">
        <f>+CONCATENATE(WEEKNUM(Tabla8[[#This Row],[FECHA]]),"-",YEAR(Tabla8[[#This Row],[FECHA]]))</f>
        <v>24-2026</v>
      </c>
    </row>
    <row r="1673" spans="1:21" ht="15" customHeight="1">
      <c r="A1673" s="22">
        <v>46183</v>
      </c>
      <c r="B1673" s="16" t="s">
        <v>88</v>
      </c>
      <c r="C1673" s="16" t="s">
        <v>36</v>
      </c>
      <c r="D1673" s="381" t="s">
        <v>1176</v>
      </c>
      <c r="E1673" s="381" t="s">
        <v>3027</v>
      </c>
      <c r="F1673" s="632">
        <f>+MOD(Tabla8[[#This Row],[HR. FIN]]-Tabla8[[#This Row],[HR. INICIO]],1)</f>
        <v>1.0416666666666685E-2</v>
      </c>
      <c r="G1673" s="16" t="s">
        <v>211</v>
      </c>
      <c r="H1673" s="79" t="str">
        <f>IFERROR(VLOOKUP(G1673,DATOS!$M$2:$N$219,2,FALSE),"")</f>
        <v>Maquinaria</v>
      </c>
      <c r="I1673" s="115" t="s">
        <v>186</v>
      </c>
      <c r="J1673" s="115" t="s">
        <v>157</v>
      </c>
      <c r="K1673" s="115"/>
      <c r="L1673" s="35" t="s">
        <v>3028</v>
      </c>
      <c r="M1673" s="35" t="s">
        <v>3029</v>
      </c>
      <c r="N1673" s="35" t="str" cm="1">
        <f t="array" ref="N1673">IFERROR(IF(Tabla8[[#This Row],[P/NP]]="NO PROGRAMADA","",_xlfn.TEXTJOIN(", ",TRUE,_xlfn._xlws.FILTER(Tabla4[[#All],[PIEZA]],ISNUMBER(SEARCH(Tabla4[[#All],[PCLAVE]],Tabla8[[#This Row],[DESCRIPCION DE TRABAJO]])),""))),"")</f>
        <v>Producto, Tapa, Tuberias</v>
      </c>
      <c r="O1673" s="35" t="str" cm="1">
        <f t="array" ref="O1673">_xlfn.TEXTJOIN(", ",TRUE,_xlfn._xlws.FILTER(Tabla28[[#All],[PARTE]],ISNUMBER(SEARCH(Tabla28[[#All],[PCLAVE2]],Tabla8[[#This Row],[DESCRIPCION DE TRABAJO]])),""))</f>
        <v/>
      </c>
      <c r="P1673" s="633" t="str">
        <f>IFERROR(LEFT(O1673, FIND(",", O1673)-1), O1673)</f>
        <v/>
      </c>
      <c r="Q1673" s="633" t="str">
        <f>IFERROR(IF(ISERROR(FIND(",", O1673, FIND(",", O1673)+1)), RIGHT(O1673, LEN(O1673)-FIND(",", O1673)-1), MID(O1673, FIND(",", O1673)+2, FIND(",", O1673, FIND(",", O1673)+1)-FIND(",", O1673)-2)), "")</f>
        <v/>
      </c>
      <c r="R1673" s="633" t="str">
        <f>IFERROR(RIGHT(O1673, LEN(O1673)-FIND(",", O1673, FIND(",", O1673)+1)-1), "")</f>
        <v/>
      </c>
      <c r="S1673" s="35" t="str" cm="1">
        <f t="array" ref="S1673">_xlfn.TEXTJOIN(", ",TRUE,_xlfn._xlws.FILTER(Tabla29[[#All],[PARTE]],ISNUMBER(SEARCH(Tabla29[[#All],[PCLAVE3]],Tabla8[[#This Row],[DESCRIPCION DE TRABAJO]])),""))</f>
        <v>Sustitucion, Carga/descarga</v>
      </c>
      <c r="T1673" s="88" t="str">
        <f>IF(AND(Tabla8[[#This Row],[PIEZA]]="",Tabla8[[#This Row],[PARTE]]=""),"VACIO","OK")</f>
        <v>OK</v>
      </c>
      <c r="U1673" s="633" t="str">
        <f>+CONCATENATE(WEEKNUM(Tabla8[[#This Row],[FECHA]]),"-",YEAR(Tabla8[[#This Row],[FECHA]]))</f>
        <v>24-2026</v>
      </c>
    </row>
    <row r="1674" spans="1:21" ht="15" customHeight="1">
      <c r="A1674" s="22">
        <v>46183</v>
      </c>
      <c r="B1674" s="16" t="s">
        <v>88</v>
      </c>
      <c r="C1674" s="16" t="s">
        <v>36</v>
      </c>
      <c r="D1674" s="381" t="s">
        <v>670</v>
      </c>
      <c r="E1674" s="381" t="s">
        <v>403</v>
      </c>
      <c r="F1674" s="632">
        <f>+MOD(Tabla8[[#This Row],[HR. FIN]]-Tabla8[[#This Row],[HR. INICIO]],1)</f>
        <v>1.0416666666666685E-2</v>
      </c>
      <c r="G1674" s="16" t="s">
        <v>24</v>
      </c>
      <c r="H1674" s="79" t="str">
        <f>IFERROR(VLOOKUP(G1674,DATOS!$M$2:$N$219,2,FALSE),"")</f>
        <v>Maquinaria</v>
      </c>
      <c r="I1674" s="115" t="s">
        <v>57</v>
      </c>
      <c r="J1674" s="115" t="s">
        <v>92</v>
      </c>
      <c r="K1674" s="115" t="s">
        <v>148</v>
      </c>
      <c r="L1674" s="35" t="s">
        <v>3030</v>
      </c>
      <c r="M1674" s="35" t="s">
        <v>3031</v>
      </c>
      <c r="N1674" s="35" t="str" cm="1">
        <f t="array" ref="N1674">IFERROR(IF(Tabla8[[#This Row],[P/NP]]="NO PROGRAMADA","",_xlfn.TEXTJOIN(", ",TRUE,_xlfn._xlws.FILTER(Tabla4[[#All],[PIEZA]],ISNUMBER(SEARCH(Tabla4[[#All],[PCLAVE]],Tabla8[[#This Row],[DESCRIPCION DE TRABAJO]])),""))),"")</f>
        <v/>
      </c>
      <c r="O1674" s="35" t="str" cm="1">
        <f t="array" ref="O1674">_xlfn.TEXTJOIN(", ",TRUE,_xlfn._xlws.FILTER(Tabla28[[#All],[PARTE]],ISNUMBER(SEARCH(Tabla28[[#All],[PCLAVE2]],Tabla8[[#This Row],[DESCRIPCION DE TRABAJO]])),""))</f>
        <v/>
      </c>
      <c r="P1674" s="633" t="str">
        <f>IFERROR(LEFT(O1674, FIND(",", O1674)-1), O1674)</f>
        <v/>
      </c>
      <c r="Q1674" s="633" t="str">
        <f>IFERROR(IF(ISERROR(FIND(",", O1674, FIND(",", O1674)+1)), RIGHT(O1674, LEN(O1674)-FIND(",", O1674)-1), MID(O1674, FIND(",", O1674)+2, FIND(",", O1674, FIND(",", O1674)+1)-FIND(",", O1674)-2)), "")</f>
        <v/>
      </c>
      <c r="R1674" s="633" t="str">
        <f>IFERROR(RIGHT(O1674, LEN(O1674)-FIND(",", O1674, FIND(",", O1674)+1)-1), "")</f>
        <v/>
      </c>
      <c r="S1674" s="35" t="str" cm="1">
        <f t="array" ref="S1674">_xlfn.TEXTJOIN(", ",TRUE,_xlfn._xlws.FILTER(Tabla29[[#All],[PARTE]],ISNUMBER(SEARCH(Tabla29[[#All],[PCLAVE3]],Tabla8[[#This Row],[DESCRIPCION DE TRABAJO]])),""))</f>
        <v/>
      </c>
      <c r="T1674" s="88" t="str">
        <f>IF(AND(Tabla8[[#This Row],[PIEZA]]="",Tabla8[[#This Row],[PARTE]]=""),"VACIO","OK")</f>
        <v>VACIO</v>
      </c>
      <c r="U1674" s="633" t="str">
        <f>+CONCATENATE(WEEKNUM(Tabla8[[#This Row],[FECHA]]),"-",YEAR(Tabla8[[#This Row],[FECHA]]))</f>
        <v>24-2026</v>
      </c>
    </row>
    <row r="1675" spans="1:21" ht="15" customHeight="1">
      <c r="A1675" s="22">
        <v>46183</v>
      </c>
      <c r="B1675" s="16" t="s">
        <v>111</v>
      </c>
      <c r="C1675" s="16" t="s">
        <v>23</v>
      </c>
      <c r="D1675" s="381">
        <v>0.59375</v>
      </c>
      <c r="E1675" s="381">
        <v>0.60416666666666663</v>
      </c>
      <c r="F1675" s="632">
        <f>+MOD(Tabla8[[#This Row],[HR. FIN]]-Tabla8[[#This Row],[HR. INICIO]],1)</f>
        <v>1.041666666666663E-2</v>
      </c>
      <c r="G1675" s="16" t="s">
        <v>965</v>
      </c>
      <c r="H1675" s="79" t="str">
        <f>IFERROR(VLOOKUP(G1675,DATOS!$M$2:$N$219,2,FALSE),"")</f>
        <v>Maquinaria</v>
      </c>
      <c r="I1675" s="115" t="s">
        <v>57</v>
      </c>
      <c r="J1675" s="115" t="s">
        <v>92</v>
      </c>
      <c r="K1675" s="115" t="s">
        <v>93</v>
      </c>
      <c r="L1675" s="35" t="s">
        <v>819</v>
      </c>
      <c r="M1675" s="35" t="s">
        <v>3032</v>
      </c>
      <c r="N1675" s="35" t="str" cm="1">
        <f t="array" ref="N1675">IFERROR(IF(Tabla8[[#This Row],[P/NP]]="NO PROGRAMADA","",_xlfn.TEXTJOIN(", ",TRUE,_xlfn._xlws.FILTER(Tabla4[[#All],[PIEZA]],ISNUMBER(SEARCH(Tabla4[[#All],[PCLAVE]],Tabla8[[#This Row],[DESCRIPCION DE TRABAJO]])),""))),"")</f>
        <v/>
      </c>
      <c r="O1675" s="35" t="str" cm="1">
        <f t="array" ref="O1675">_xlfn.TEXTJOIN(", ",TRUE,_xlfn._xlws.FILTER(Tabla28[[#All],[PARTE]],ISNUMBER(SEARCH(Tabla28[[#All],[PCLAVE2]],Tabla8[[#This Row],[DESCRIPCION DE TRABAJO]])),""))</f>
        <v>Codificador</v>
      </c>
      <c r="P1675" s="633" t="str">
        <f>IFERROR(LEFT(O1675, FIND(",", O1675)-1), O1675)</f>
        <v>Codificador</v>
      </c>
      <c r="Q1675" s="633" t="str">
        <f>IFERROR(IF(ISERROR(FIND(",", O1675, FIND(",", O1675)+1)), RIGHT(O1675, LEN(O1675)-FIND(",", O1675)-1), MID(O1675, FIND(",", O1675)+2, FIND(",", O1675, FIND(",", O1675)+1)-FIND(",", O1675)-2)), "")</f>
        <v/>
      </c>
      <c r="R1675" s="633" t="str">
        <f>IFERROR(RIGHT(O1675, LEN(O1675)-FIND(",", O1675, FIND(",", O1675)+1)-1), "")</f>
        <v/>
      </c>
      <c r="S1675" s="35" t="str" cm="1">
        <f t="array" ref="S1675">_xlfn.TEXTJOIN(", ",TRUE,_xlfn._xlws.FILTER(Tabla29[[#All],[PARTE]],ISNUMBER(SEARCH(Tabla29[[#All],[PCLAVE3]],Tabla8[[#This Row],[DESCRIPCION DE TRABAJO]])),""))</f>
        <v>Borrosa</v>
      </c>
      <c r="T1675" s="88" t="str">
        <f>IF(AND(Tabla8[[#This Row],[PIEZA]]="",Tabla8[[#This Row],[PARTE]]=""),"VACIO","OK")</f>
        <v>OK</v>
      </c>
      <c r="U1675" s="633" t="str">
        <f>+CONCATENATE(WEEKNUM(Tabla8[[#This Row],[FECHA]]),"-",YEAR(Tabla8[[#This Row],[FECHA]]))</f>
        <v>24-2026</v>
      </c>
    </row>
    <row r="1676" spans="1:21" ht="15" customHeight="1">
      <c r="A1676" s="22">
        <v>46183</v>
      </c>
      <c r="B1676" s="16" t="s">
        <v>191</v>
      </c>
      <c r="C1676" s="16" t="s">
        <v>36</v>
      </c>
      <c r="D1676" s="381" t="s">
        <v>2619</v>
      </c>
      <c r="E1676" s="381" t="s">
        <v>891</v>
      </c>
      <c r="F1676" s="632">
        <f>+MOD(Tabla8[[#This Row],[HR. FIN]]-Tabla8[[#This Row],[HR. INICIO]],1)</f>
        <v>9.0277777777778012E-3</v>
      </c>
      <c r="G1676" s="16" t="s">
        <v>236</v>
      </c>
      <c r="H1676" s="79" t="str">
        <f>IFERROR(VLOOKUP(G1676,DATOS!$M$2:$N$219,2,FALSE),"")</f>
        <v>Sistema</v>
      </c>
      <c r="I1676" s="115" t="s">
        <v>54</v>
      </c>
      <c r="J1676" s="115" t="s">
        <v>157</v>
      </c>
      <c r="K1676" s="115"/>
      <c r="L1676" s="35" t="s">
        <v>3033</v>
      </c>
      <c r="M1676" s="35" t="s">
        <v>121</v>
      </c>
      <c r="N1676" s="35" t="str" cm="1">
        <f t="array" ref="N1676">IFERROR(IF(Tabla8[[#This Row],[P/NP]]="NO PROGRAMADA","",_xlfn.TEXTJOIN(", ",TRUE,_xlfn._xlws.FILTER(Tabla4[[#All],[PIEZA]],ISNUMBER(SEARCH(Tabla4[[#All],[PCLAVE]],Tabla8[[#This Row],[DESCRIPCION DE TRABAJO]])),""))),"")</f>
        <v/>
      </c>
      <c r="O1676" s="35" t="str" cm="1">
        <f t="array" ref="O1676">_xlfn.TEXTJOIN(", ",TRUE,_xlfn._xlws.FILTER(Tabla28[[#All],[PARTE]],ISNUMBER(SEARCH(Tabla28[[#All],[PCLAVE2]],Tabla8[[#This Row],[DESCRIPCION DE TRABAJO]])),""))</f>
        <v/>
      </c>
      <c r="P1676" s="633" t="str">
        <f>IFERROR(LEFT(O1676, FIND(",", O1676)-1), O1676)</f>
        <v/>
      </c>
      <c r="Q1676" s="633" t="str">
        <f>IFERROR(IF(ISERROR(FIND(",", O1676, FIND(",", O1676)+1)), RIGHT(O1676, LEN(O1676)-FIND(",", O1676)-1), MID(O1676, FIND(",", O1676)+2, FIND(",", O1676, FIND(",", O1676)+1)-FIND(",", O1676)-2)), "")</f>
        <v/>
      </c>
      <c r="R1676" s="633" t="str">
        <f>IFERROR(RIGHT(O1676, LEN(O1676)-FIND(",", O1676, FIND(",", O1676)+1)-1), "")</f>
        <v/>
      </c>
      <c r="S1676" s="35" t="str" cm="1">
        <f t="array" ref="S1676">_xlfn.TEXTJOIN(", ",TRUE,_xlfn._xlws.FILTER(Tabla29[[#All],[PARTE]],ISNUMBER(SEARCH(Tabla29[[#All],[PCLAVE3]],Tabla8[[#This Row],[DESCRIPCION DE TRABAJO]])),""))</f>
        <v>Nivel</v>
      </c>
      <c r="T1676" s="88" t="str">
        <f>IF(AND(Tabla8[[#This Row],[PIEZA]]="",Tabla8[[#This Row],[PARTE]]=""),"VACIO","OK")</f>
        <v>VACIO</v>
      </c>
      <c r="U1676" s="633" t="str">
        <f>+CONCATENATE(WEEKNUM(Tabla8[[#This Row],[FECHA]]),"-",YEAR(Tabla8[[#This Row],[FECHA]]))</f>
        <v>24-2026</v>
      </c>
    </row>
    <row r="1677" spans="1:21" ht="15" customHeight="1">
      <c r="A1677" s="22">
        <v>46183</v>
      </c>
      <c r="B1677" s="16" t="s">
        <v>111</v>
      </c>
      <c r="C1677" s="16" t="s">
        <v>23</v>
      </c>
      <c r="D1677" s="381">
        <v>0.72777777777777775</v>
      </c>
      <c r="E1677" s="381">
        <v>0.73611111111111116</v>
      </c>
      <c r="F1677" s="632">
        <f>+MOD(Tabla8[[#This Row],[HR. FIN]]-Tabla8[[#This Row],[HR. INICIO]],1)</f>
        <v>8.3333333333334147E-3</v>
      </c>
      <c r="G1677" s="16" t="s">
        <v>119</v>
      </c>
      <c r="H1677" s="79" t="str">
        <f>IFERROR(VLOOKUP(G1677,DATOS!$M$2:$N$219,2,FALSE),"")</f>
        <v>Maquinaria</v>
      </c>
      <c r="I1677" s="115" t="s">
        <v>32</v>
      </c>
      <c r="J1677" s="115" t="s">
        <v>157</v>
      </c>
      <c r="K1677" s="115"/>
      <c r="L1677" s="35" t="s">
        <v>3034</v>
      </c>
      <c r="M1677" s="35" t="s">
        <v>121</v>
      </c>
      <c r="N1677" s="35" t="str" cm="1">
        <f t="array" ref="N1677">IFERROR(IF(Tabla8[[#This Row],[P/NP]]="NO PROGRAMADA","",_xlfn.TEXTJOIN(", ",TRUE,_xlfn._xlws.FILTER(Tabla4[[#All],[PIEZA]],ISNUMBER(SEARCH(Tabla4[[#All],[PCLAVE]],Tabla8[[#This Row],[DESCRIPCION DE TRABAJO]])),""))),"")</f>
        <v/>
      </c>
      <c r="O1677" s="35" t="str" cm="1">
        <f t="array" ref="O1677">_xlfn.TEXTJOIN(", ",TRUE,_xlfn._xlws.FILTER(Tabla28[[#All],[PARTE]],ISNUMBER(SEARCH(Tabla28[[#All],[PCLAVE2]],Tabla8[[#This Row],[DESCRIPCION DE TRABAJO]])),""))</f>
        <v>Mds</v>
      </c>
      <c r="P1677" s="633" t="str">
        <f>IFERROR(LEFT(O1677, FIND(",", O1677)-1), O1677)</f>
        <v>Mds</v>
      </c>
      <c r="Q1677" s="633" t="str">
        <f>IFERROR(IF(ISERROR(FIND(",", O1677, FIND(",", O1677)+1)), RIGHT(O1677, LEN(O1677)-FIND(",", O1677)-1), MID(O1677, FIND(",", O1677)+2, FIND(",", O1677, FIND(",", O1677)+1)-FIND(",", O1677)-2)), "")</f>
        <v/>
      </c>
      <c r="R1677" s="633" t="str">
        <f>IFERROR(RIGHT(O1677, LEN(O1677)-FIND(",", O1677, FIND(",", O1677)+1)-1), "")</f>
        <v/>
      </c>
      <c r="S1677" s="35" t="str" cm="1">
        <f t="array" ref="S1677">_xlfn.TEXTJOIN(", ",TRUE,_xlfn._xlws.FILTER(Tabla29[[#All],[PARTE]],ISNUMBER(SEARCH(Tabla29[[#All],[PCLAVE3]],Tabla8[[#This Row],[DESCRIPCION DE TRABAJO]])),""))</f>
        <v>Cambio De Formato</v>
      </c>
      <c r="T1677" s="88" t="str">
        <f>IF(AND(Tabla8[[#This Row],[PIEZA]]="",Tabla8[[#This Row],[PARTE]]=""),"VACIO","OK")</f>
        <v>OK</v>
      </c>
      <c r="U1677" s="633" t="str">
        <f>+CONCATENATE(WEEKNUM(Tabla8[[#This Row],[FECHA]]),"-",YEAR(Tabla8[[#This Row],[FECHA]]))</f>
        <v>24-2026</v>
      </c>
    </row>
    <row r="1678" spans="1:21" ht="15" customHeight="1">
      <c r="A1678" s="22">
        <v>46184</v>
      </c>
      <c r="B1678" s="16" t="s">
        <v>88</v>
      </c>
      <c r="C1678" s="16" t="s">
        <v>36</v>
      </c>
      <c r="D1678" s="381">
        <v>0.50694444444444442</v>
      </c>
      <c r="E1678" s="381">
        <v>0.5625</v>
      </c>
      <c r="F1678" s="632">
        <f>+MOD(Tabla8[[#This Row],[HR. FIN]]-Tabla8[[#This Row],[HR. INICIO]],1)</f>
        <v>5.555555555555558E-2</v>
      </c>
      <c r="G1678" s="16" t="s">
        <v>192</v>
      </c>
      <c r="H1678" s="79" t="str">
        <f>IFERROR(VLOOKUP(G1678,DATOS!$M$2:$N$219,2,FALSE),"")</f>
        <v>Maquinaria</v>
      </c>
      <c r="I1678" s="115" t="s">
        <v>32</v>
      </c>
      <c r="J1678" s="115" t="s">
        <v>157</v>
      </c>
      <c r="K1678" s="115"/>
      <c r="L1678" s="35" t="s">
        <v>3035</v>
      </c>
      <c r="M1678" s="35" t="s">
        <v>3036</v>
      </c>
      <c r="N1678" s="35" t="str" cm="1">
        <f t="array" ref="N1678">IFERROR(IF(Tabla8[[#This Row],[P/NP]]="NO PROGRAMADA","",_xlfn.TEXTJOIN(", ",TRUE,_xlfn._xlws.FILTER(Tabla4[[#All],[PIEZA]],ISNUMBER(SEARCH(Tabla4[[#All],[PCLAVE]],Tabla8[[#This Row],[DESCRIPCION DE TRABAJO]])),""))),"")</f>
        <v/>
      </c>
      <c r="O1678" s="35" t="str" cm="1">
        <f t="array" ref="O1678">_xlfn.TEXTJOIN(", ",TRUE,_xlfn._xlws.FILTER(Tabla28[[#All],[PARTE]],ISNUMBER(SEARCH(Tabla28[[#All],[PCLAVE2]],Tabla8[[#This Row],[DESCRIPCION DE TRABAJO]])),""))</f>
        <v/>
      </c>
      <c r="P1678" s="633" t="str">
        <f>IFERROR(LEFT(O1678, FIND(",", O1678)-1), O1678)</f>
        <v/>
      </c>
      <c r="Q1678" s="633" t="str">
        <f>IFERROR(IF(ISERROR(FIND(",", O1678, FIND(",", O1678)+1)), RIGHT(O1678, LEN(O1678)-FIND(",", O1678)-1), MID(O1678, FIND(",", O1678)+2, FIND(",", O1678, FIND(",", O1678)+1)-FIND(",", O1678)-2)), "")</f>
        <v/>
      </c>
      <c r="R1678" s="633" t="str">
        <f>IFERROR(RIGHT(O1678, LEN(O1678)-FIND(",", O1678, FIND(",", O1678)+1)-1), "")</f>
        <v/>
      </c>
      <c r="S1678" s="35" t="str" cm="1">
        <f t="array" ref="S1678">_xlfn.TEXTJOIN(", ",TRUE,_xlfn._xlws.FILTER(Tabla29[[#All],[PARTE]],ISNUMBER(SEARCH(Tabla29[[#All],[PCLAVE3]],Tabla8[[#This Row],[DESCRIPCION DE TRABAJO]])),""))</f>
        <v>Cambio De Formato</v>
      </c>
      <c r="T1678" s="88" t="str">
        <f>IF(AND(Tabla8[[#This Row],[PIEZA]]="",Tabla8[[#This Row],[PARTE]]=""),"VACIO","OK")</f>
        <v>VACIO</v>
      </c>
      <c r="U1678" s="633" t="str">
        <f>+CONCATENATE(WEEKNUM(Tabla8[[#This Row],[FECHA]]),"-",YEAR(Tabla8[[#This Row],[FECHA]]))</f>
        <v>24-2026</v>
      </c>
    </row>
    <row r="1679" spans="1:21" ht="15" customHeight="1">
      <c r="A1679" s="22">
        <v>46184</v>
      </c>
      <c r="B1679" s="16" t="s">
        <v>88</v>
      </c>
      <c r="C1679" s="16" t="s">
        <v>36</v>
      </c>
      <c r="D1679" s="381">
        <v>0.43055555555555558</v>
      </c>
      <c r="E1679" s="381">
        <v>0.47916666666666669</v>
      </c>
      <c r="F1679" s="632">
        <f>+MOD(Tabla8[[#This Row],[HR. FIN]]-Tabla8[[#This Row],[HR. INICIO]],1)</f>
        <v>4.8611111111111105E-2</v>
      </c>
      <c r="G1679" s="16" t="s">
        <v>31</v>
      </c>
      <c r="H1679" s="79" t="str">
        <f>IFERROR(VLOOKUP(G1679,DATOS!$M$2:$N$219,2,FALSE),"")</f>
        <v>Maquinaria</v>
      </c>
      <c r="I1679" s="115" t="s">
        <v>32</v>
      </c>
      <c r="J1679" s="115" t="s">
        <v>157</v>
      </c>
      <c r="K1679" s="115"/>
      <c r="L1679" s="35" t="s">
        <v>3037</v>
      </c>
      <c r="M1679" s="35" t="s">
        <v>3038</v>
      </c>
      <c r="N1679" s="35" t="str" cm="1">
        <f t="array" ref="N1679">IFERROR(IF(Tabla8[[#This Row],[P/NP]]="NO PROGRAMADA","",_xlfn.TEXTJOIN(", ",TRUE,_xlfn._xlws.FILTER(Tabla4[[#All],[PIEZA]],ISNUMBER(SEARCH(Tabla4[[#All],[PCLAVE]],Tabla8[[#This Row],[DESCRIPCION DE TRABAJO]])),""))),"")</f>
        <v/>
      </c>
      <c r="O1679" s="35" t="str" cm="1">
        <f t="array" ref="O1679">_xlfn.TEXTJOIN(", ",TRUE,_xlfn._xlws.FILTER(Tabla28[[#All],[PARTE]],ISNUMBER(SEARCH(Tabla28[[#All],[PCLAVE2]],Tabla8[[#This Row],[DESCRIPCION DE TRABAJO]])),""))</f>
        <v/>
      </c>
      <c r="P1679" s="633" t="str">
        <f>IFERROR(LEFT(O1679, FIND(",", O1679)-1), O1679)</f>
        <v/>
      </c>
      <c r="Q1679" s="633" t="str">
        <f>IFERROR(IF(ISERROR(FIND(",", O1679, FIND(",", O1679)+1)), RIGHT(O1679, LEN(O1679)-FIND(",", O1679)-1), MID(O1679, FIND(",", O1679)+2, FIND(",", O1679, FIND(",", O1679)+1)-FIND(",", O1679)-2)), "")</f>
        <v/>
      </c>
      <c r="R1679" s="633" t="str">
        <f>IFERROR(RIGHT(O1679, LEN(O1679)-FIND(",", O1679, FIND(",", O1679)+1)-1), "")</f>
        <v/>
      </c>
      <c r="S1679" s="35" t="str" cm="1">
        <f t="array" ref="S1679">_xlfn.TEXTJOIN(", ",TRUE,_xlfn._xlws.FILTER(Tabla29[[#All],[PARTE]],ISNUMBER(SEARCH(Tabla29[[#All],[PCLAVE3]],Tabla8[[#This Row],[DESCRIPCION DE TRABAJO]])),""))</f>
        <v>Cambio De Formato</v>
      </c>
      <c r="T1679" s="88" t="str">
        <f>IF(AND(Tabla8[[#This Row],[PIEZA]]="",Tabla8[[#This Row],[PARTE]]=""),"VACIO","OK")</f>
        <v>VACIO</v>
      </c>
      <c r="U1679" s="633" t="str">
        <f>+CONCATENATE(WEEKNUM(Tabla8[[#This Row],[FECHA]]),"-",YEAR(Tabla8[[#This Row],[FECHA]]))</f>
        <v>24-2026</v>
      </c>
    </row>
    <row r="1680" spans="1:21" ht="15" customHeight="1">
      <c r="A1680" s="22">
        <v>46184</v>
      </c>
      <c r="B1680" s="16" t="s">
        <v>131</v>
      </c>
      <c r="C1680" s="16" t="s">
        <v>39</v>
      </c>
      <c r="D1680" s="381" t="s">
        <v>1264</v>
      </c>
      <c r="E1680" s="381" t="s">
        <v>113</v>
      </c>
      <c r="F1680" s="632">
        <f>+MOD(Tabla8[[#This Row],[HR. FIN]]-Tabla8[[#This Row],[HR. INICIO]],1)</f>
        <v>4.5138888888888895E-2</v>
      </c>
      <c r="G1680" s="16" t="s">
        <v>31</v>
      </c>
      <c r="H1680" s="79" t="str">
        <f>IFERROR(VLOOKUP(G1680,DATOS!$M$2:$N$219,2,FALSE),"")</f>
        <v>Maquinaria</v>
      </c>
      <c r="I1680" s="115" t="s">
        <v>32</v>
      </c>
      <c r="J1680" s="115" t="s">
        <v>157</v>
      </c>
      <c r="K1680" s="115"/>
      <c r="L1680" s="35" t="s">
        <v>3039</v>
      </c>
      <c r="M1680" s="35" t="s">
        <v>3040</v>
      </c>
      <c r="N1680" s="35" t="str" cm="1">
        <f t="array" ref="N1680">IFERROR(IF(Tabla8[[#This Row],[P/NP]]="NO PROGRAMADA","",_xlfn.TEXTJOIN(", ",TRUE,_xlfn._xlws.FILTER(Tabla4[[#All],[PIEZA]],ISNUMBER(SEARCH(Tabla4[[#All],[PCLAVE]],Tabla8[[#This Row],[DESCRIPCION DE TRABAJO]])),""))),"")</f>
        <v/>
      </c>
      <c r="O1680" s="35" t="str" cm="1">
        <f t="array" ref="O1680">_xlfn.TEXTJOIN(", ",TRUE,_xlfn._xlws.FILTER(Tabla28[[#All],[PARTE]],ISNUMBER(SEARCH(Tabla28[[#All],[PCLAVE2]],Tabla8[[#This Row],[DESCRIPCION DE TRABAJO]])),""))</f>
        <v/>
      </c>
      <c r="P1680" s="633" t="str">
        <f>IFERROR(LEFT(O1680, FIND(",", O1680)-1), O1680)</f>
        <v/>
      </c>
      <c r="Q1680" s="633" t="str">
        <f>IFERROR(IF(ISERROR(FIND(",", O1680, FIND(",", O1680)+1)), RIGHT(O1680, LEN(O1680)-FIND(",", O1680)-1), MID(O1680, FIND(",", O1680)+2, FIND(",", O1680, FIND(",", O1680)+1)-FIND(",", O1680)-2)), "")</f>
        <v/>
      </c>
      <c r="R1680" s="633" t="str">
        <f>IFERROR(RIGHT(O1680, LEN(O1680)-FIND(",", O1680, FIND(",", O1680)+1)-1), "")</f>
        <v/>
      </c>
      <c r="S1680" s="35" t="str" cm="1">
        <f t="array" ref="S1680">_xlfn.TEXTJOIN(", ",TRUE,_xlfn._xlws.FILTER(Tabla29[[#All],[PARTE]],ISNUMBER(SEARCH(Tabla29[[#All],[PCLAVE3]],Tabla8[[#This Row],[DESCRIPCION DE TRABAJO]])),""))</f>
        <v>Cambio De Formato</v>
      </c>
      <c r="T1680" s="88" t="str">
        <f>IF(AND(Tabla8[[#This Row],[PIEZA]]="",Tabla8[[#This Row],[PARTE]]=""),"VACIO","OK")</f>
        <v>VACIO</v>
      </c>
      <c r="U1680" s="633" t="str">
        <f>+CONCATENATE(WEEKNUM(Tabla8[[#This Row],[FECHA]]),"-",YEAR(Tabla8[[#This Row],[FECHA]]))</f>
        <v>24-2026</v>
      </c>
    </row>
    <row r="1681" spans="1:21" ht="15" customHeight="1">
      <c r="A1681" s="22">
        <v>46184</v>
      </c>
      <c r="B1681" s="16" t="s">
        <v>88</v>
      </c>
      <c r="C1681" s="16" t="s">
        <v>36</v>
      </c>
      <c r="D1681" s="381">
        <v>0.39583333333333331</v>
      </c>
      <c r="E1681" s="381">
        <v>0.42708333333333331</v>
      </c>
      <c r="F1681" s="632">
        <f>+MOD(Tabla8[[#This Row],[HR. FIN]]-Tabla8[[#This Row],[HR. INICIO]],1)</f>
        <v>3.125E-2</v>
      </c>
      <c r="G1681" s="16" t="s">
        <v>2282</v>
      </c>
      <c r="H1681" s="79" t="str">
        <f>IFERROR(VLOOKUP(G1681,DATOS!$M$2:$N$219,2,FALSE),"")</f>
        <v>Area</v>
      </c>
      <c r="I1681" s="115"/>
      <c r="J1681" s="115"/>
      <c r="K1681" s="115"/>
      <c r="L1681" s="35" t="s">
        <v>2283</v>
      </c>
      <c r="M1681" s="35" t="s">
        <v>2283</v>
      </c>
      <c r="N1681" s="35" t="str" cm="1">
        <f t="array" ref="N1681">IFERROR(IF(Tabla8[[#This Row],[P/NP]]="NO PROGRAMADA","",_xlfn.TEXTJOIN(", ",TRUE,_xlfn._xlws.FILTER(Tabla4[[#All],[PIEZA]],ISNUMBER(SEARCH(Tabla4[[#All],[PCLAVE]],Tabla8[[#This Row],[DESCRIPCION DE TRABAJO]])),""))),"")</f>
        <v/>
      </c>
      <c r="O1681" s="35" t="str" cm="1">
        <f t="array" ref="O1681">_xlfn.TEXTJOIN(", ",TRUE,_xlfn._xlws.FILTER(Tabla28[[#All],[PARTE]],ISNUMBER(SEARCH(Tabla28[[#All],[PCLAVE2]],Tabla8[[#This Row],[DESCRIPCION DE TRABAJO]])),""))</f>
        <v/>
      </c>
      <c r="P1681" s="633" t="str">
        <f>IFERROR(LEFT(O1681, FIND(",", O1681)-1), O1681)</f>
        <v/>
      </c>
      <c r="Q1681" s="633" t="str">
        <f>IFERROR(IF(ISERROR(FIND(",", O1681, FIND(",", O1681)+1)), RIGHT(O1681, LEN(O1681)-FIND(",", O1681)-1), MID(O1681, FIND(",", O1681)+2, FIND(",", O1681, FIND(",", O1681)+1)-FIND(",", O1681)-2)), "")</f>
        <v/>
      </c>
      <c r="R1681" s="633" t="str">
        <f>IFERROR(RIGHT(O1681, LEN(O1681)-FIND(",", O1681, FIND(",", O1681)+1)-1), "")</f>
        <v/>
      </c>
      <c r="S1681" s="35" t="str" cm="1">
        <f t="array" ref="S1681">_xlfn.TEXTJOIN(", ",TRUE,_xlfn._xlws.FILTER(Tabla29[[#All],[PARTE]],ISNUMBER(SEARCH(Tabla29[[#All],[PCLAVE3]],Tabla8[[#This Row],[DESCRIPCION DE TRABAJO]])),""))</f>
        <v/>
      </c>
      <c r="T1681" s="88" t="str">
        <f>IF(AND(Tabla8[[#This Row],[PIEZA]]="",Tabla8[[#This Row],[PARTE]]=""),"VACIO","OK")</f>
        <v>VACIO</v>
      </c>
      <c r="U1681" s="633" t="str">
        <f>+CONCATENATE(WEEKNUM(Tabla8[[#This Row],[FECHA]]),"-",YEAR(Tabla8[[#This Row],[FECHA]]))</f>
        <v>24-2026</v>
      </c>
    </row>
    <row r="1682" spans="1:21" ht="15" customHeight="1">
      <c r="A1682" s="22">
        <v>46184</v>
      </c>
      <c r="B1682" s="16" t="s">
        <v>131</v>
      </c>
      <c r="C1682" s="16" t="s">
        <v>39</v>
      </c>
      <c r="D1682" s="381" t="s">
        <v>292</v>
      </c>
      <c r="E1682" s="381" t="s">
        <v>1285</v>
      </c>
      <c r="F1682" s="632">
        <f>+MOD(Tabla8[[#This Row],[HR. FIN]]-Tabla8[[#This Row],[HR. INICIO]],1)</f>
        <v>3.1249999999999986E-2</v>
      </c>
      <c r="G1682" s="16" t="s">
        <v>2282</v>
      </c>
      <c r="H1682" s="79" t="str">
        <f>IFERROR(VLOOKUP(G1682,DATOS!$M$2:$N$219,2,FALSE),"")</f>
        <v>Area</v>
      </c>
      <c r="I1682" s="115"/>
      <c r="J1682" s="115"/>
      <c r="K1682" s="115"/>
      <c r="L1682" s="35" t="s">
        <v>2283</v>
      </c>
      <c r="M1682" s="35" t="s">
        <v>2283</v>
      </c>
      <c r="N1682" s="35" t="str" cm="1">
        <f t="array" ref="N1682">IFERROR(IF(Tabla8[[#This Row],[P/NP]]="NO PROGRAMADA","",_xlfn.TEXTJOIN(", ",TRUE,_xlfn._xlws.FILTER(Tabla4[[#All],[PIEZA]],ISNUMBER(SEARCH(Tabla4[[#All],[PCLAVE]],Tabla8[[#This Row],[DESCRIPCION DE TRABAJO]])),""))),"")</f>
        <v/>
      </c>
      <c r="O1682" s="35" t="str" cm="1">
        <f t="array" ref="O1682">_xlfn.TEXTJOIN(", ",TRUE,_xlfn._xlws.FILTER(Tabla28[[#All],[PARTE]],ISNUMBER(SEARCH(Tabla28[[#All],[PCLAVE2]],Tabla8[[#This Row],[DESCRIPCION DE TRABAJO]])),""))</f>
        <v/>
      </c>
      <c r="P1682" s="633" t="str">
        <f>IFERROR(LEFT(O1682, FIND(",", O1682)-1), O1682)</f>
        <v/>
      </c>
      <c r="Q1682" s="633" t="str">
        <f>IFERROR(IF(ISERROR(FIND(",", O1682, FIND(",", O1682)+1)), RIGHT(O1682, LEN(O1682)-FIND(",", O1682)-1), MID(O1682, FIND(",", O1682)+2, FIND(",", O1682, FIND(",", O1682)+1)-FIND(",", O1682)-2)), "")</f>
        <v/>
      </c>
      <c r="R1682" s="633" t="str">
        <f>IFERROR(RIGHT(O1682, LEN(O1682)-FIND(",", O1682, FIND(",", O1682)+1)-1), "")</f>
        <v/>
      </c>
      <c r="S1682" s="35" t="str" cm="1">
        <f t="array" ref="S1682">_xlfn.TEXTJOIN(", ",TRUE,_xlfn._xlws.FILTER(Tabla29[[#All],[PARTE]],ISNUMBER(SEARCH(Tabla29[[#All],[PCLAVE3]],Tabla8[[#This Row],[DESCRIPCION DE TRABAJO]])),""))</f>
        <v/>
      </c>
      <c r="T1682" s="88" t="str">
        <f>IF(AND(Tabla8[[#This Row],[PIEZA]]="",Tabla8[[#This Row],[PARTE]]=""),"VACIO","OK")</f>
        <v>VACIO</v>
      </c>
      <c r="U1682" s="633" t="str">
        <f>+CONCATENATE(WEEKNUM(Tabla8[[#This Row],[FECHA]]),"-",YEAR(Tabla8[[#This Row],[FECHA]]))</f>
        <v>24-2026</v>
      </c>
    </row>
    <row r="1683" spans="1:21" ht="15" customHeight="1">
      <c r="A1683" s="22">
        <v>46184</v>
      </c>
      <c r="B1683" s="16" t="s">
        <v>111</v>
      </c>
      <c r="C1683" s="16" t="s">
        <v>23</v>
      </c>
      <c r="D1683" s="381">
        <v>0.65972222222222221</v>
      </c>
      <c r="E1683" s="381">
        <v>0.6875</v>
      </c>
      <c r="F1683" s="632">
        <f>+MOD(Tabla8[[#This Row],[HR. FIN]]-Tabla8[[#This Row],[HR. INICIO]],1)</f>
        <v>2.777777777777779E-2</v>
      </c>
      <c r="G1683" s="16" t="s">
        <v>31</v>
      </c>
      <c r="H1683" s="79" t="str">
        <f>IFERROR(VLOOKUP(G1683,DATOS!$M$2:$N$219,2,FALSE),"")</f>
        <v>Maquinaria</v>
      </c>
      <c r="I1683" s="115" t="s">
        <v>57</v>
      </c>
      <c r="J1683" s="115" t="s">
        <v>157</v>
      </c>
      <c r="K1683" s="115"/>
      <c r="L1683" s="35" t="s">
        <v>1272</v>
      </c>
      <c r="M1683" s="35" t="s">
        <v>3041</v>
      </c>
      <c r="N1683" s="35" t="str" cm="1">
        <f t="array" ref="N1683">IFERROR(IF(Tabla8[[#This Row],[P/NP]]="NO PROGRAMADA","",_xlfn.TEXTJOIN(", ",TRUE,_xlfn._xlws.FILTER(Tabla4[[#All],[PIEZA]],ISNUMBER(SEARCH(Tabla4[[#All],[PCLAVE]],Tabla8[[#This Row],[DESCRIPCION DE TRABAJO]])),""))),"")</f>
        <v/>
      </c>
      <c r="O1683" s="35" t="str" cm="1">
        <f t="array" ref="O1683">_xlfn.TEXTJOIN(", ",TRUE,_xlfn._xlws.FILTER(Tabla28[[#All],[PARTE]],ISNUMBER(SEARCH(Tabla28[[#All],[PCLAVE2]],Tabla8[[#This Row],[DESCRIPCION DE TRABAJO]])),""))</f>
        <v/>
      </c>
      <c r="P1683" s="633" t="str">
        <f>IFERROR(LEFT(O1683, FIND(",", O1683)-1), O1683)</f>
        <v/>
      </c>
      <c r="Q1683" s="633" t="str">
        <f>IFERROR(IF(ISERROR(FIND(",", O1683, FIND(",", O1683)+1)), RIGHT(O1683, LEN(O1683)-FIND(",", O1683)-1), MID(O1683, FIND(",", O1683)+2, FIND(",", O1683, FIND(",", O1683)+1)-FIND(",", O1683)-2)), "")</f>
        <v/>
      </c>
      <c r="R1683" s="633" t="str">
        <f>IFERROR(RIGHT(O1683, LEN(O1683)-FIND(",", O1683, FIND(",", O1683)+1)-1), "")</f>
        <v/>
      </c>
      <c r="S1683" s="35" t="str" cm="1">
        <f t="array" ref="S1683">_xlfn.TEXTJOIN(", ",TRUE,_xlfn._xlws.FILTER(Tabla29[[#All],[PARTE]],ISNUMBER(SEARCH(Tabla29[[#All],[PCLAVE3]],Tabla8[[#This Row],[DESCRIPCION DE TRABAJO]])),""))</f>
        <v/>
      </c>
      <c r="T1683" s="88" t="str">
        <f>IF(AND(Tabla8[[#This Row],[PIEZA]]="",Tabla8[[#This Row],[PARTE]]=""),"VACIO","OK")</f>
        <v>VACIO</v>
      </c>
      <c r="U1683" s="633" t="str">
        <f>+CONCATENATE(WEEKNUM(Tabla8[[#This Row],[FECHA]]),"-",YEAR(Tabla8[[#This Row],[FECHA]]))</f>
        <v>24-2026</v>
      </c>
    </row>
    <row r="1684" spans="1:21" ht="15" customHeight="1">
      <c r="A1684" s="22">
        <v>46184</v>
      </c>
      <c r="B1684" s="16" t="s">
        <v>131</v>
      </c>
      <c r="C1684" s="16" t="s">
        <v>39</v>
      </c>
      <c r="D1684" s="381" t="s">
        <v>1265</v>
      </c>
      <c r="E1684" s="381" t="s">
        <v>1474</v>
      </c>
      <c r="F1684" s="632">
        <f>+MOD(Tabla8[[#This Row],[HR. FIN]]-Tabla8[[#This Row],[HR. INICIO]],1)</f>
        <v>2.6388888888888878E-2</v>
      </c>
      <c r="G1684" s="16" t="s">
        <v>119</v>
      </c>
      <c r="H1684" s="79" t="str">
        <f>IFERROR(VLOOKUP(G1684,DATOS!$M$2:$N$219,2,FALSE),"")</f>
        <v>Maquinaria</v>
      </c>
      <c r="I1684" s="115" t="s">
        <v>32</v>
      </c>
      <c r="J1684" s="115" t="s">
        <v>157</v>
      </c>
      <c r="K1684" s="115"/>
      <c r="L1684" s="35" t="s">
        <v>3042</v>
      </c>
      <c r="M1684" s="35" t="s">
        <v>3043</v>
      </c>
      <c r="N1684" s="35" t="str" cm="1">
        <f t="array" ref="N1684">IFERROR(IF(Tabla8[[#This Row],[P/NP]]="NO PROGRAMADA","",_xlfn.TEXTJOIN(", ",TRUE,_xlfn._xlws.FILTER(Tabla4[[#All],[PIEZA]],ISNUMBER(SEARCH(Tabla4[[#All],[PCLAVE]],Tabla8[[#This Row],[DESCRIPCION DE TRABAJO]])),""))),"")</f>
        <v>Husillo, Husillo, Piston(es), Planchas</v>
      </c>
      <c r="O1684" s="35" t="str" cm="1">
        <f t="array" ref="O1684">_xlfn.TEXTJOIN(", ",TRUE,_xlfn._xlws.FILTER(Tabla28[[#All],[PARTE]],ISNUMBER(SEARCH(Tabla28[[#All],[PCLAVE2]],Tabla8[[#This Row],[DESCRIPCION DE TRABAJO]])),""))</f>
        <v/>
      </c>
      <c r="P1684" s="633" t="str">
        <f>IFERROR(LEFT(O1684, FIND(",", O1684)-1), O1684)</f>
        <v/>
      </c>
      <c r="Q1684" s="633" t="str">
        <f>IFERROR(IF(ISERROR(FIND(",", O1684, FIND(",", O1684)+1)), RIGHT(O1684, LEN(O1684)-FIND(",", O1684)-1), MID(O1684, FIND(",", O1684)+2, FIND(",", O1684, FIND(",", O1684)+1)-FIND(",", O1684)-2)), "")</f>
        <v/>
      </c>
      <c r="R1684" s="633" t="str">
        <f>IFERROR(RIGHT(O1684, LEN(O1684)-FIND(",", O1684, FIND(",", O1684)+1)-1), "")</f>
        <v/>
      </c>
      <c r="S1684" s="35" t="str" cm="1">
        <f t="array" ref="S1684">_xlfn.TEXTJOIN(", ",TRUE,_xlfn._xlws.FILTER(Tabla29[[#All],[PARTE]],ISNUMBER(SEARCH(Tabla29[[#All],[PCLAVE3]],Tabla8[[#This Row],[DESCRIPCION DE TRABAJO]])),""))</f>
        <v>Sustitucion</v>
      </c>
      <c r="T1684" s="88" t="str">
        <f>IF(AND(Tabla8[[#This Row],[PIEZA]]="",Tabla8[[#This Row],[PARTE]]=""),"VACIO","OK")</f>
        <v>OK</v>
      </c>
      <c r="U1684" s="633" t="str">
        <f>+CONCATENATE(WEEKNUM(Tabla8[[#This Row],[FECHA]]),"-",YEAR(Tabla8[[#This Row],[FECHA]]))</f>
        <v>24-2026</v>
      </c>
    </row>
    <row r="1685" spans="1:21" ht="15" customHeight="1">
      <c r="A1685" s="22">
        <v>46184</v>
      </c>
      <c r="B1685" s="16" t="s">
        <v>191</v>
      </c>
      <c r="C1685" s="16" t="s">
        <v>36</v>
      </c>
      <c r="D1685" s="381">
        <v>0.38055555555555554</v>
      </c>
      <c r="E1685" s="381">
        <v>0.40208333333333335</v>
      </c>
      <c r="F1685" s="632">
        <f>+MOD(Tabla8[[#This Row],[HR. FIN]]-Tabla8[[#This Row],[HR. INICIO]],1)</f>
        <v>2.1527777777777812E-2</v>
      </c>
      <c r="G1685" s="16" t="s">
        <v>2100</v>
      </c>
      <c r="H1685" s="79" t="str">
        <f>IFERROR(VLOOKUP(G1685,DATOS!$M$2:$N$219,2,FALSE),"")</f>
        <v>Maquinaria</v>
      </c>
      <c r="I1685" s="115" t="s">
        <v>25</v>
      </c>
      <c r="J1685" s="115" t="s">
        <v>157</v>
      </c>
      <c r="K1685" s="115"/>
      <c r="L1685" s="35" t="s">
        <v>3044</v>
      </c>
      <c r="M1685" s="35" t="s">
        <v>121</v>
      </c>
      <c r="N1685" s="35" t="str" cm="1">
        <f t="array" ref="N1685">IFERROR(IF(Tabla8[[#This Row],[P/NP]]="NO PROGRAMADA","",_xlfn.TEXTJOIN(", ",TRUE,_xlfn._xlws.FILTER(Tabla4[[#All],[PIEZA]],ISNUMBER(SEARCH(Tabla4[[#All],[PCLAVE]],Tabla8[[#This Row],[DESCRIPCION DE TRABAJO]])),""))),"")</f>
        <v>Producto, Producto</v>
      </c>
      <c r="O1685" s="35" t="str" cm="1">
        <f t="array" ref="O1685">_xlfn.TEXTJOIN(", ",TRUE,_xlfn._xlws.FILTER(Tabla28[[#All],[PARTE]],ISNUMBER(SEARCH(Tabla28[[#All],[PCLAVE2]],Tabla8[[#This Row],[DESCRIPCION DE TRABAJO]])),""))</f>
        <v/>
      </c>
      <c r="P1685" s="633" t="str">
        <f>IFERROR(LEFT(O1685, FIND(",", O1685)-1), O1685)</f>
        <v/>
      </c>
      <c r="Q1685" s="633" t="str">
        <f>IFERROR(IF(ISERROR(FIND(",", O1685, FIND(",", O1685)+1)), RIGHT(O1685, LEN(O1685)-FIND(",", O1685)-1), MID(O1685, FIND(",", O1685)+2, FIND(",", O1685, FIND(",", O1685)+1)-FIND(",", O1685)-2)), "")</f>
        <v/>
      </c>
      <c r="R1685" s="633" t="str">
        <f>IFERROR(RIGHT(O1685, LEN(O1685)-FIND(",", O1685, FIND(",", O1685)+1)-1), "")</f>
        <v/>
      </c>
      <c r="S1685" s="35" t="str" cm="1">
        <f t="array" ref="S1685">_xlfn.TEXTJOIN(", ",TRUE,_xlfn._xlws.FILTER(Tabla29[[#All],[PARTE]],ISNUMBER(SEARCH(Tabla29[[#All],[PCLAVE3]],Tabla8[[#This Row],[DESCRIPCION DE TRABAJO]])),""))</f>
        <v/>
      </c>
      <c r="T1685" s="88" t="str">
        <f>IF(AND(Tabla8[[#This Row],[PIEZA]]="",Tabla8[[#This Row],[PARTE]]=""),"VACIO","OK")</f>
        <v>OK</v>
      </c>
      <c r="U1685" s="633" t="str">
        <f>+CONCATENATE(WEEKNUM(Tabla8[[#This Row],[FECHA]]),"-",YEAR(Tabla8[[#This Row],[FECHA]]))</f>
        <v>24-2026</v>
      </c>
    </row>
    <row r="1686" spans="1:21" ht="15" customHeight="1">
      <c r="A1686" s="22">
        <v>46184</v>
      </c>
      <c r="B1686" s="16" t="s">
        <v>111</v>
      </c>
      <c r="C1686" s="16" t="s">
        <v>23</v>
      </c>
      <c r="D1686" s="381">
        <v>0.625</v>
      </c>
      <c r="E1686" s="381">
        <v>0.64583333333333337</v>
      </c>
      <c r="F1686" s="632">
        <f>+MOD(Tabla8[[#This Row],[HR. FIN]]-Tabla8[[#This Row],[HR. INICIO]],1)</f>
        <v>2.083333333333337E-2</v>
      </c>
      <c r="G1686" s="16" t="s">
        <v>119</v>
      </c>
      <c r="H1686" s="79" t="str">
        <f>IFERROR(VLOOKUP(G1686,DATOS!$M$2:$N$219,2,FALSE),"")</f>
        <v>Maquinaria</v>
      </c>
      <c r="I1686" s="115" t="s">
        <v>32</v>
      </c>
      <c r="J1686" s="115" t="s">
        <v>157</v>
      </c>
      <c r="K1686" s="115"/>
      <c r="L1686" s="35" t="s">
        <v>3045</v>
      </c>
      <c r="M1686" s="35" t="s">
        <v>121</v>
      </c>
      <c r="N1686" s="35" t="str" cm="1">
        <f t="array" ref="N1686">IFERROR(IF(Tabla8[[#This Row],[P/NP]]="NO PROGRAMADA","",_xlfn.TEXTJOIN(", ",TRUE,_xlfn._xlws.FILTER(Tabla4[[#All],[PIEZA]],ISNUMBER(SEARCH(Tabla4[[#All],[PCLAVE]],Tabla8[[#This Row],[DESCRIPCION DE TRABAJO]])),""))),"")</f>
        <v>Husillo, Husillo, Planchas</v>
      </c>
      <c r="O1686" s="35" t="str" cm="1">
        <f t="array" ref="O1686">_xlfn.TEXTJOIN(", ",TRUE,_xlfn._xlws.FILTER(Tabla28[[#All],[PARTE]],ISNUMBER(SEARCH(Tabla28[[#All],[PCLAVE2]],Tabla8[[#This Row],[DESCRIPCION DE TRABAJO]])),""))</f>
        <v/>
      </c>
      <c r="P1686" s="633" t="str">
        <f>IFERROR(LEFT(O1686, FIND(",", O1686)-1), O1686)</f>
        <v/>
      </c>
      <c r="Q1686" s="633" t="str">
        <f>IFERROR(IF(ISERROR(FIND(",", O1686, FIND(",", O1686)+1)), RIGHT(O1686, LEN(O1686)-FIND(",", O1686)-1), MID(O1686, FIND(",", O1686)+2, FIND(",", O1686, FIND(",", O1686)+1)-FIND(",", O1686)-2)), "")</f>
        <v/>
      </c>
      <c r="R1686" s="633" t="str">
        <f>IFERROR(RIGHT(O1686, LEN(O1686)-FIND(",", O1686, FIND(",", O1686)+1)-1), "")</f>
        <v/>
      </c>
      <c r="S1686" s="35" t="str" cm="1">
        <f t="array" ref="S1686">_xlfn.TEXTJOIN(", ",TRUE,_xlfn._xlws.FILTER(Tabla29[[#All],[PARTE]],ISNUMBER(SEARCH(Tabla29[[#All],[PCLAVE3]],Tabla8[[#This Row],[DESCRIPCION DE TRABAJO]])),""))</f>
        <v>Sustitucion</v>
      </c>
      <c r="T1686" s="88" t="str">
        <f>IF(AND(Tabla8[[#This Row],[PIEZA]]="",Tabla8[[#This Row],[PARTE]]=""),"VACIO","OK")</f>
        <v>OK</v>
      </c>
      <c r="U1686" s="633" t="str">
        <f>+CONCATENATE(WEEKNUM(Tabla8[[#This Row],[FECHA]]),"-",YEAR(Tabla8[[#This Row],[FECHA]]))</f>
        <v>24-2026</v>
      </c>
    </row>
    <row r="1687" spans="1:21" ht="15" customHeight="1">
      <c r="A1687" s="22">
        <v>46184</v>
      </c>
      <c r="B1687" s="16" t="s">
        <v>131</v>
      </c>
      <c r="C1687" s="16" t="s">
        <v>39</v>
      </c>
      <c r="D1687" s="381">
        <v>0.1875</v>
      </c>
      <c r="E1687" s="381">
        <v>0.20833333333333334</v>
      </c>
      <c r="F1687" s="632">
        <f>+MOD(Tabla8[[#This Row],[HR. FIN]]-Tabla8[[#This Row],[HR. INICIO]],1)</f>
        <v>2.0833333333333343E-2</v>
      </c>
      <c r="G1687" s="16" t="s">
        <v>31</v>
      </c>
      <c r="H1687" s="79" t="str">
        <f>IFERROR(VLOOKUP(G1687,DATOS!$M$2:$N$219,2,FALSE),"")</f>
        <v>Maquinaria</v>
      </c>
      <c r="I1687" s="115" t="s">
        <v>54</v>
      </c>
      <c r="J1687" s="115" t="s">
        <v>157</v>
      </c>
      <c r="K1687" s="115"/>
      <c r="L1687" s="35" t="s">
        <v>225</v>
      </c>
      <c r="M1687" s="35" t="s">
        <v>121</v>
      </c>
      <c r="N1687" s="35" t="str" cm="1">
        <f t="array" ref="N1687">IFERROR(IF(Tabla8[[#This Row],[P/NP]]="NO PROGRAMADA","",_xlfn.TEXTJOIN(", ",TRUE,_xlfn._xlws.FILTER(Tabla4[[#All],[PIEZA]],ISNUMBER(SEARCH(Tabla4[[#All],[PCLAVE]],Tabla8[[#This Row],[DESCRIPCION DE TRABAJO]])),""))),"")</f>
        <v/>
      </c>
      <c r="O1687" s="35" t="str" cm="1">
        <f t="array" ref="O1687">_xlfn.TEXTJOIN(", ",TRUE,_xlfn._xlws.FILTER(Tabla28[[#All],[PARTE]],ISNUMBER(SEARCH(Tabla28[[#All],[PCLAVE2]],Tabla8[[#This Row],[DESCRIPCION DE TRABAJO]])),""))</f>
        <v/>
      </c>
      <c r="P1687" s="633" t="str">
        <f>IFERROR(LEFT(O1687, FIND(",", O1687)-1), O1687)</f>
        <v/>
      </c>
      <c r="Q1687" s="633" t="str">
        <f>IFERROR(IF(ISERROR(FIND(",", O1687, FIND(",", O1687)+1)), RIGHT(O1687, LEN(O1687)-FIND(",", O1687)-1), MID(O1687, FIND(",", O1687)+2, FIND(",", O1687, FIND(",", O1687)+1)-FIND(",", O1687)-2)), "")</f>
        <v/>
      </c>
      <c r="R1687" s="633" t="str">
        <f>IFERROR(RIGHT(O1687, LEN(O1687)-FIND(",", O1687, FIND(",", O1687)+1)-1), "")</f>
        <v/>
      </c>
      <c r="S1687" s="35" t="str" cm="1">
        <f t="array" ref="S1687">_xlfn.TEXTJOIN(", ",TRUE,_xlfn._xlws.FILTER(Tabla29[[#All],[PARTE]],ISNUMBER(SEARCH(Tabla29[[#All],[PCLAVE3]],Tabla8[[#This Row],[DESCRIPCION DE TRABAJO]])),""))</f>
        <v/>
      </c>
      <c r="T1687" s="88" t="str">
        <f>IF(AND(Tabla8[[#This Row],[PIEZA]]="",Tabla8[[#This Row],[PARTE]]=""),"VACIO","OK")</f>
        <v>VACIO</v>
      </c>
      <c r="U1687" s="633" t="str">
        <f>+CONCATENATE(WEEKNUM(Tabla8[[#This Row],[FECHA]]),"-",YEAR(Tabla8[[#This Row],[FECHA]]))</f>
        <v>24-2026</v>
      </c>
    </row>
    <row r="1688" spans="1:21" ht="15" customHeight="1">
      <c r="A1688" s="22">
        <v>46184</v>
      </c>
      <c r="B1688" s="16" t="s">
        <v>131</v>
      </c>
      <c r="C1688" s="16" t="s">
        <v>39</v>
      </c>
      <c r="D1688" s="381">
        <v>0.1388888888888889</v>
      </c>
      <c r="E1688" s="381">
        <v>0.15972222222222221</v>
      </c>
      <c r="F1688" s="632">
        <f>+MOD(Tabla8[[#This Row],[HR. FIN]]-Tabla8[[#This Row],[HR. INICIO]],1)</f>
        <v>2.0833333333333315E-2</v>
      </c>
      <c r="G1688" s="16" t="s">
        <v>2256</v>
      </c>
      <c r="H1688" s="79" t="str">
        <f>IFERROR(VLOOKUP(G1688,DATOS!$M$2:$N$219,2,FALSE),"")</f>
        <v>Maquinaria</v>
      </c>
      <c r="I1688" s="115" t="s">
        <v>54</v>
      </c>
      <c r="J1688" s="115" t="s">
        <v>157</v>
      </c>
      <c r="K1688" s="115"/>
      <c r="L1688" s="35" t="s">
        <v>225</v>
      </c>
      <c r="M1688" s="35" t="s">
        <v>121</v>
      </c>
      <c r="N1688" s="35" t="str" cm="1">
        <f t="array" ref="N1688">IFERROR(IF(Tabla8[[#This Row],[P/NP]]="NO PROGRAMADA","",_xlfn.TEXTJOIN(", ",TRUE,_xlfn._xlws.FILTER(Tabla4[[#All],[PIEZA]],ISNUMBER(SEARCH(Tabla4[[#All],[PCLAVE]],Tabla8[[#This Row],[DESCRIPCION DE TRABAJO]])),""))),"")</f>
        <v/>
      </c>
      <c r="O1688" s="35" t="str" cm="1">
        <f t="array" ref="O1688">_xlfn.TEXTJOIN(", ",TRUE,_xlfn._xlws.FILTER(Tabla28[[#All],[PARTE]],ISNUMBER(SEARCH(Tabla28[[#All],[PCLAVE2]],Tabla8[[#This Row],[DESCRIPCION DE TRABAJO]])),""))</f>
        <v/>
      </c>
      <c r="P1688" s="633" t="str">
        <f>IFERROR(LEFT(O1688, FIND(",", O1688)-1), O1688)</f>
        <v/>
      </c>
      <c r="Q1688" s="633" t="str">
        <f>IFERROR(IF(ISERROR(FIND(",", O1688, FIND(",", O1688)+1)), RIGHT(O1688, LEN(O1688)-FIND(",", O1688)-1), MID(O1688, FIND(",", O1688)+2, FIND(",", O1688, FIND(",", O1688)+1)-FIND(",", O1688)-2)), "")</f>
        <v/>
      </c>
      <c r="R1688" s="633" t="str">
        <f>IFERROR(RIGHT(O1688, LEN(O1688)-FIND(",", O1688, FIND(",", O1688)+1)-1), "")</f>
        <v/>
      </c>
      <c r="S1688" s="35" t="str" cm="1">
        <f t="array" ref="S1688">_xlfn.TEXTJOIN(", ",TRUE,_xlfn._xlws.FILTER(Tabla29[[#All],[PARTE]],ISNUMBER(SEARCH(Tabla29[[#All],[PCLAVE3]],Tabla8[[#This Row],[DESCRIPCION DE TRABAJO]])),""))</f>
        <v/>
      </c>
      <c r="T1688" s="88" t="str">
        <f>IF(AND(Tabla8[[#This Row],[PIEZA]]="",Tabla8[[#This Row],[PARTE]]=""),"VACIO","OK")</f>
        <v>VACIO</v>
      </c>
      <c r="U1688" s="633" t="str">
        <f>+CONCATENATE(WEEKNUM(Tabla8[[#This Row],[FECHA]]),"-",YEAR(Tabla8[[#This Row],[FECHA]]))</f>
        <v>24-2026</v>
      </c>
    </row>
    <row r="1689" spans="1:21" ht="15" customHeight="1">
      <c r="A1689" s="22">
        <v>46184</v>
      </c>
      <c r="B1689" s="16" t="s">
        <v>131</v>
      </c>
      <c r="C1689" s="16" t="s">
        <v>39</v>
      </c>
      <c r="D1689" s="381" t="s">
        <v>1604</v>
      </c>
      <c r="E1689" s="381" t="s">
        <v>1271</v>
      </c>
      <c r="F1689" s="632">
        <f>+MOD(Tabla8[[#This Row],[HR. FIN]]-Tabla8[[#This Row],[HR. INICIO]],1)</f>
        <v>2.0138888888888928E-2</v>
      </c>
      <c r="G1689" s="16" t="s">
        <v>192</v>
      </c>
      <c r="H1689" s="79" t="str">
        <f>IFERROR(VLOOKUP(G1689,DATOS!$M$2:$N$219,2,FALSE),"")</f>
        <v>Maquinaria</v>
      </c>
      <c r="I1689" s="115" t="s">
        <v>54</v>
      </c>
      <c r="J1689" s="115" t="s">
        <v>157</v>
      </c>
      <c r="K1689" s="115"/>
      <c r="L1689" s="35" t="s">
        <v>240</v>
      </c>
      <c r="M1689" s="35" t="s">
        <v>121</v>
      </c>
      <c r="N1689" s="35" t="str" cm="1">
        <f t="array" ref="N1689">IFERROR(IF(Tabla8[[#This Row],[P/NP]]="NO PROGRAMADA","",_xlfn.TEXTJOIN(", ",TRUE,_xlfn._xlws.FILTER(Tabla4[[#All],[PIEZA]],ISNUMBER(SEARCH(Tabla4[[#All],[PCLAVE]],Tabla8[[#This Row],[DESCRIPCION DE TRABAJO]])),""))),"")</f>
        <v/>
      </c>
      <c r="O1689" s="35" t="str" cm="1">
        <f t="array" ref="O1689">_xlfn.TEXTJOIN(", ",TRUE,_xlfn._xlws.FILTER(Tabla28[[#All],[PARTE]],ISNUMBER(SEARCH(Tabla28[[#All],[PCLAVE2]],Tabla8[[#This Row],[DESCRIPCION DE TRABAJO]])),""))</f>
        <v/>
      </c>
      <c r="P1689" s="633" t="str">
        <f>IFERROR(LEFT(O1689, FIND(",", O1689)-1), O1689)</f>
        <v/>
      </c>
      <c r="Q1689" s="633" t="str">
        <f>IFERROR(IF(ISERROR(FIND(",", O1689, FIND(",", O1689)+1)), RIGHT(O1689, LEN(O1689)-FIND(",", O1689)-1), MID(O1689, FIND(",", O1689)+2, FIND(",", O1689, FIND(",", O1689)+1)-FIND(",", O1689)-2)), "")</f>
        <v/>
      </c>
      <c r="R1689" s="633" t="str">
        <f>IFERROR(RIGHT(O1689, LEN(O1689)-FIND(",", O1689, FIND(",", O1689)+1)-1), "")</f>
        <v/>
      </c>
      <c r="S1689" s="35" t="str" cm="1">
        <f t="array" ref="S1689">_xlfn.TEXTJOIN(", ",TRUE,_xlfn._xlws.FILTER(Tabla29[[#All],[PARTE]],ISNUMBER(SEARCH(Tabla29[[#All],[PCLAVE3]],Tabla8[[#This Row],[DESCRIPCION DE TRABAJO]])),""))</f>
        <v/>
      </c>
      <c r="T1689" s="88" t="str">
        <f>IF(AND(Tabla8[[#This Row],[PIEZA]]="",Tabla8[[#This Row],[PARTE]]=""),"VACIO","OK")</f>
        <v>VACIO</v>
      </c>
      <c r="U1689" s="633" t="str">
        <f>+CONCATENATE(WEEKNUM(Tabla8[[#This Row],[FECHA]]),"-",YEAR(Tabla8[[#This Row],[FECHA]]))</f>
        <v>24-2026</v>
      </c>
    </row>
    <row r="1690" spans="1:21" ht="15" customHeight="1">
      <c r="A1690" s="22">
        <v>46184</v>
      </c>
      <c r="B1690" s="16" t="s">
        <v>111</v>
      </c>
      <c r="C1690" s="16" t="s">
        <v>23</v>
      </c>
      <c r="D1690" s="381">
        <v>0.57638888888888884</v>
      </c>
      <c r="E1690" s="381">
        <v>0.59375</v>
      </c>
      <c r="F1690" s="632">
        <f>+MOD(Tabla8[[#This Row],[HR. FIN]]-Tabla8[[#This Row],[HR. INICIO]],1)</f>
        <v>1.736111111111116E-2</v>
      </c>
      <c r="G1690" s="16" t="s">
        <v>2743</v>
      </c>
      <c r="H1690" s="79" t="str">
        <f>IFERROR(VLOOKUP(G1690,DATOS!$M$2:$N$219,2,FALSE),"")</f>
        <v>Maquinaria</v>
      </c>
      <c r="I1690" s="115" t="s">
        <v>54</v>
      </c>
      <c r="J1690" s="115" t="s">
        <v>157</v>
      </c>
      <c r="K1690" s="115"/>
      <c r="L1690" s="35" t="s">
        <v>225</v>
      </c>
      <c r="M1690" s="35" t="s">
        <v>3046</v>
      </c>
      <c r="N1690" s="35" t="str" cm="1">
        <f t="array" ref="N1690">IFERROR(IF(Tabla8[[#This Row],[P/NP]]="NO PROGRAMADA","",_xlfn.TEXTJOIN(", ",TRUE,_xlfn._xlws.FILTER(Tabla4[[#All],[PIEZA]],ISNUMBER(SEARCH(Tabla4[[#All],[PCLAVE]],Tabla8[[#This Row],[DESCRIPCION DE TRABAJO]])),""))),"")</f>
        <v/>
      </c>
      <c r="O1690" s="35" t="str" cm="1">
        <f t="array" ref="O1690">_xlfn.TEXTJOIN(", ",TRUE,_xlfn._xlws.FILTER(Tabla28[[#All],[PARTE]],ISNUMBER(SEARCH(Tabla28[[#All],[PCLAVE2]],Tabla8[[#This Row],[DESCRIPCION DE TRABAJO]])),""))</f>
        <v/>
      </c>
      <c r="P1690" s="633" t="str">
        <f>IFERROR(LEFT(O1690, FIND(",", O1690)-1), O1690)</f>
        <v/>
      </c>
      <c r="Q1690" s="633" t="str">
        <f>IFERROR(IF(ISERROR(FIND(",", O1690, FIND(",", O1690)+1)), RIGHT(O1690, LEN(O1690)-FIND(",", O1690)-1), MID(O1690, FIND(",", O1690)+2, FIND(",", O1690, FIND(",", O1690)+1)-FIND(",", O1690)-2)), "")</f>
        <v/>
      </c>
      <c r="R1690" s="633" t="str">
        <f>IFERROR(RIGHT(O1690, LEN(O1690)-FIND(",", O1690, FIND(",", O1690)+1)-1), "")</f>
        <v/>
      </c>
      <c r="S1690" s="35" t="str" cm="1">
        <f t="array" ref="S1690">_xlfn.TEXTJOIN(", ",TRUE,_xlfn._xlws.FILTER(Tabla29[[#All],[PARTE]],ISNUMBER(SEARCH(Tabla29[[#All],[PCLAVE3]],Tabla8[[#This Row],[DESCRIPCION DE TRABAJO]])),""))</f>
        <v/>
      </c>
      <c r="T1690" s="88" t="str">
        <f>IF(AND(Tabla8[[#This Row],[PIEZA]]="",Tabla8[[#This Row],[PARTE]]=""),"VACIO","OK")</f>
        <v>VACIO</v>
      </c>
      <c r="U1690" s="633" t="str">
        <f>+CONCATENATE(WEEKNUM(Tabla8[[#This Row],[FECHA]]),"-",YEAR(Tabla8[[#This Row],[FECHA]]))</f>
        <v>24-2026</v>
      </c>
    </row>
    <row r="1691" spans="1:21" ht="15" customHeight="1">
      <c r="A1691" s="22">
        <v>46184</v>
      </c>
      <c r="B1691" s="16" t="s">
        <v>131</v>
      </c>
      <c r="C1691" s="16" t="s">
        <v>39</v>
      </c>
      <c r="D1691" s="381">
        <v>0.92013888888888884</v>
      </c>
      <c r="E1691" s="381">
        <v>0.9375</v>
      </c>
      <c r="F1691" s="632">
        <f>+MOD(Tabla8[[#This Row],[HR. FIN]]-Tabla8[[#This Row],[HR. INICIO]],1)</f>
        <v>1.736111111111116E-2</v>
      </c>
      <c r="G1691" s="16" t="s">
        <v>182</v>
      </c>
      <c r="H1691" s="79" t="str">
        <f>IFERROR(VLOOKUP(G1691,DATOS!$M$2:$N$219,2,FALSE),"")</f>
        <v>Maquinaria</v>
      </c>
      <c r="I1691" s="115" t="s">
        <v>57</v>
      </c>
      <c r="J1691" s="115" t="s">
        <v>92</v>
      </c>
      <c r="K1691" s="115" t="s">
        <v>93</v>
      </c>
      <c r="L1691" s="35" t="s">
        <v>2927</v>
      </c>
      <c r="M1691" s="35" t="s">
        <v>3047</v>
      </c>
      <c r="N1691" s="35" t="str" cm="1">
        <f t="array" ref="N1691">IFERROR(IF(Tabla8[[#This Row],[P/NP]]="NO PROGRAMADA","",_xlfn.TEXTJOIN(", ",TRUE,_xlfn._xlws.FILTER(Tabla4[[#All],[PIEZA]],ISNUMBER(SEARCH(Tabla4[[#All],[PCLAVE]],Tabla8[[#This Row],[DESCRIPCION DE TRABAJO]])),""))),"")</f>
        <v/>
      </c>
      <c r="O1691" s="35" t="str" cm="1">
        <f t="array" ref="O1691">_xlfn.TEXTJOIN(", ",TRUE,_xlfn._xlws.FILTER(Tabla28[[#All],[PARTE]],ISNUMBER(SEARCH(Tabla28[[#All],[PCLAVE2]],Tabla8[[#This Row],[DESCRIPCION DE TRABAJO]])),""))</f>
        <v/>
      </c>
      <c r="P1691" s="633" t="str">
        <f>IFERROR(LEFT(O1691, FIND(",", O1691)-1), O1691)</f>
        <v/>
      </c>
      <c r="Q1691" s="633" t="str">
        <f>IFERROR(IF(ISERROR(FIND(",", O1691, FIND(",", O1691)+1)), RIGHT(O1691, LEN(O1691)-FIND(",", O1691)-1), MID(O1691, FIND(",", O1691)+2, FIND(",", O1691, FIND(",", O1691)+1)-FIND(",", O1691)-2)), "")</f>
        <v/>
      </c>
      <c r="R1691" s="633" t="str">
        <f>IFERROR(RIGHT(O1691, LEN(O1691)-FIND(",", O1691, FIND(",", O1691)+1)-1), "")</f>
        <v/>
      </c>
      <c r="S1691" s="35" t="str" cm="1">
        <f t="array" ref="S1691">_xlfn.TEXTJOIN(", ",TRUE,_xlfn._xlws.FILTER(Tabla29[[#All],[PARTE]],ISNUMBER(SEARCH(Tabla29[[#All],[PCLAVE3]],Tabla8[[#This Row],[DESCRIPCION DE TRABAJO]])),""))</f>
        <v/>
      </c>
      <c r="T1691" s="88" t="str">
        <f>IF(AND(Tabla8[[#This Row],[PIEZA]]="",Tabla8[[#This Row],[PARTE]]=""),"VACIO","OK")</f>
        <v>VACIO</v>
      </c>
      <c r="U1691" s="633" t="str">
        <f>+CONCATENATE(WEEKNUM(Tabla8[[#This Row],[FECHA]]),"-",YEAR(Tabla8[[#This Row],[FECHA]]))</f>
        <v>24-2026</v>
      </c>
    </row>
    <row r="1692" spans="1:21" ht="15" customHeight="1">
      <c r="A1692" s="22">
        <v>46184</v>
      </c>
      <c r="B1692" s="16" t="s">
        <v>131</v>
      </c>
      <c r="C1692" s="16" t="s">
        <v>39</v>
      </c>
      <c r="D1692" s="381" t="s">
        <v>1290</v>
      </c>
      <c r="E1692" s="381" t="s">
        <v>862</v>
      </c>
      <c r="F1692" s="632">
        <f>+MOD(Tabla8[[#This Row],[HR. FIN]]-Tabla8[[#This Row],[HR. INICIO]],1)</f>
        <v>1.7361111111111112E-2</v>
      </c>
      <c r="G1692" s="16" t="s">
        <v>119</v>
      </c>
      <c r="H1692" s="79" t="str">
        <f>IFERROR(VLOOKUP(G1692,DATOS!$M$2:$N$219,2,FALSE),"")</f>
        <v>Maquinaria</v>
      </c>
      <c r="I1692" s="115" t="s">
        <v>54</v>
      </c>
      <c r="J1692" s="115" t="s">
        <v>157</v>
      </c>
      <c r="K1692" s="115"/>
      <c r="L1692" s="35" t="s">
        <v>489</v>
      </c>
      <c r="M1692" s="35" t="s">
        <v>121</v>
      </c>
      <c r="N1692" s="35" t="str" cm="1">
        <f t="array" ref="N1692">IFERROR(IF(Tabla8[[#This Row],[P/NP]]="NO PROGRAMADA","",_xlfn.TEXTJOIN(", ",TRUE,_xlfn._xlws.FILTER(Tabla4[[#All],[PIEZA]],ISNUMBER(SEARCH(Tabla4[[#All],[PCLAVE]],Tabla8[[#This Row],[DESCRIPCION DE TRABAJO]])),""))),"")</f>
        <v/>
      </c>
      <c r="O1692" s="35" t="str" cm="1">
        <f t="array" ref="O1692">_xlfn.TEXTJOIN(", ",TRUE,_xlfn._xlws.FILTER(Tabla28[[#All],[PARTE]],ISNUMBER(SEARCH(Tabla28[[#All],[PCLAVE2]],Tabla8[[#This Row],[DESCRIPCION DE TRABAJO]])),""))</f>
        <v>Temperadora</v>
      </c>
      <c r="P1692" s="633" t="str">
        <f>IFERROR(LEFT(O1692, FIND(",", O1692)-1), O1692)</f>
        <v>Temperadora</v>
      </c>
      <c r="Q1692" s="633" t="str">
        <f>IFERROR(IF(ISERROR(FIND(",", O1692, FIND(",", O1692)+1)), RIGHT(O1692, LEN(O1692)-FIND(",", O1692)-1), MID(O1692, FIND(",", O1692)+2, FIND(",", O1692, FIND(",", O1692)+1)-FIND(",", O1692)-2)), "")</f>
        <v/>
      </c>
      <c r="R1692" s="633" t="str">
        <f>IFERROR(RIGHT(O1692, LEN(O1692)-FIND(",", O1692, FIND(",", O1692)+1)-1), "")</f>
        <v/>
      </c>
      <c r="S1692" s="35" t="str" cm="1">
        <f t="array" ref="S1692">_xlfn.TEXTJOIN(", ",TRUE,_xlfn._xlws.FILTER(Tabla29[[#All],[PARTE]],ISNUMBER(SEARCH(Tabla29[[#All],[PCLAVE3]],Tabla8[[#This Row],[DESCRIPCION DE TRABAJO]])),""))</f>
        <v/>
      </c>
      <c r="T1692" s="88" t="str">
        <f>IF(AND(Tabla8[[#This Row],[PIEZA]]="",Tabla8[[#This Row],[PARTE]]=""),"VACIO","OK")</f>
        <v>OK</v>
      </c>
      <c r="U1692" s="633" t="str">
        <f>+CONCATENATE(WEEKNUM(Tabla8[[#This Row],[FECHA]]),"-",YEAR(Tabla8[[#This Row],[FECHA]]))</f>
        <v>24-2026</v>
      </c>
    </row>
    <row r="1693" spans="1:21" ht="15" customHeight="1">
      <c r="A1693" s="22">
        <v>46184</v>
      </c>
      <c r="B1693" s="16" t="s">
        <v>191</v>
      </c>
      <c r="C1693" s="16" t="s">
        <v>36</v>
      </c>
      <c r="D1693" s="381">
        <v>0.35069444444444442</v>
      </c>
      <c r="E1693" s="381">
        <v>0.36736111111111114</v>
      </c>
      <c r="F1693" s="632">
        <f>+MOD(Tabla8[[#This Row],[HR. FIN]]-Tabla8[[#This Row],[HR. INICIO]],1)</f>
        <v>1.6666666666666718E-2</v>
      </c>
      <c r="G1693" s="16" t="s">
        <v>438</v>
      </c>
      <c r="H1693" s="79" t="str">
        <f>IFERROR(VLOOKUP(G1693,DATOS!$M$2:$N$219,2,FALSE),"")</f>
        <v>Maquinaria</v>
      </c>
      <c r="I1693" s="115" t="s">
        <v>61</v>
      </c>
      <c r="J1693" s="115" t="s">
        <v>92</v>
      </c>
      <c r="K1693" s="115" t="s">
        <v>148</v>
      </c>
      <c r="L1693" s="35" t="s">
        <v>3048</v>
      </c>
      <c r="M1693" s="35" t="s">
        <v>3049</v>
      </c>
      <c r="N1693" s="35" t="str" cm="1">
        <f t="array" ref="N1693">IFERROR(IF(Tabla8[[#This Row],[P/NP]]="NO PROGRAMADA","",_xlfn.TEXTJOIN(", ",TRUE,_xlfn._xlws.FILTER(Tabla4[[#All],[PIEZA]],ISNUMBER(SEARCH(Tabla4[[#All],[PCLAVE]],Tabla8[[#This Row],[DESCRIPCION DE TRABAJO]])),""))),"")</f>
        <v/>
      </c>
      <c r="O1693" s="35" t="str" cm="1">
        <f t="array" ref="O1693">_xlfn.TEXTJOIN(", ",TRUE,_xlfn._xlws.FILTER(Tabla28[[#All],[PARTE]],ISNUMBER(SEARCH(Tabla28[[#All],[PCLAVE2]],Tabla8[[#This Row],[DESCRIPCION DE TRABAJO]])),""))</f>
        <v/>
      </c>
      <c r="P1693" s="633" t="str">
        <f>IFERROR(LEFT(O1693, FIND(",", O1693)-1), O1693)</f>
        <v/>
      </c>
      <c r="Q1693" s="633" t="str">
        <f>IFERROR(IF(ISERROR(FIND(",", O1693, FIND(",", O1693)+1)), RIGHT(O1693, LEN(O1693)-FIND(",", O1693)-1), MID(O1693, FIND(",", O1693)+2, FIND(",", O1693, FIND(",", O1693)+1)-FIND(",", O1693)-2)), "")</f>
        <v/>
      </c>
      <c r="R1693" s="633" t="str">
        <f>IFERROR(RIGHT(O1693, LEN(O1693)-FIND(",", O1693, FIND(",", O1693)+1)-1), "")</f>
        <v/>
      </c>
      <c r="S1693" s="35" t="str" cm="1">
        <f t="array" ref="S1693">_xlfn.TEXTJOIN(", ",TRUE,_xlfn._xlws.FILTER(Tabla29[[#All],[PARTE]],ISNUMBER(SEARCH(Tabla29[[#All],[PCLAVE3]],Tabla8[[#This Row],[DESCRIPCION DE TRABAJO]])),""))</f>
        <v/>
      </c>
      <c r="T1693" s="88" t="str">
        <f>IF(AND(Tabla8[[#This Row],[PIEZA]]="",Tabla8[[#This Row],[PARTE]]=""),"VACIO","OK")</f>
        <v>VACIO</v>
      </c>
      <c r="U1693" s="633" t="str">
        <f>+CONCATENATE(WEEKNUM(Tabla8[[#This Row],[FECHA]]),"-",YEAR(Tabla8[[#This Row],[FECHA]]))</f>
        <v>24-2026</v>
      </c>
    </row>
    <row r="1694" spans="1:21" ht="15" customHeight="1">
      <c r="A1694" s="22">
        <v>46184</v>
      </c>
      <c r="B1694" s="16" t="s">
        <v>191</v>
      </c>
      <c r="C1694" s="16" t="s">
        <v>36</v>
      </c>
      <c r="D1694" s="381">
        <v>0.26458333333333334</v>
      </c>
      <c r="E1694" s="381">
        <v>0.28055555555555556</v>
      </c>
      <c r="F1694" s="632">
        <f>+MOD(Tabla8[[#This Row],[HR. FIN]]-Tabla8[[#This Row],[HR. INICIO]],1)</f>
        <v>1.5972222222222221E-2</v>
      </c>
      <c r="G1694" s="16" t="s">
        <v>256</v>
      </c>
      <c r="H1694" s="79" t="str">
        <f>IFERROR(VLOOKUP(G1694,DATOS!$M$2:$N$219,2,FALSE),"")</f>
        <v>Maquinaria</v>
      </c>
      <c r="I1694" s="115" t="s">
        <v>390</v>
      </c>
      <c r="J1694" s="115" t="s">
        <v>157</v>
      </c>
      <c r="K1694" s="115"/>
      <c r="L1694" s="35" t="s">
        <v>3050</v>
      </c>
      <c r="M1694" s="35" t="s">
        <v>121</v>
      </c>
      <c r="N1694" s="35" t="str" cm="1">
        <f t="array" ref="N1694">IFERROR(IF(Tabla8[[#This Row],[P/NP]]="NO PROGRAMADA","",_xlfn.TEXTJOIN(", ",TRUE,_xlfn._xlws.FILTER(Tabla4[[#All],[PIEZA]],ISNUMBER(SEARCH(Tabla4[[#All],[PCLAVE]],Tabla8[[#This Row],[DESCRIPCION DE TRABAJO]])),""))),"")</f>
        <v>Bomba , Producto</v>
      </c>
      <c r="O1694" s="35" t="str" cm="1">
        <f t="array" ref="O1694">_xlfn.TEXTJOIN(", ",TRUE,_xlfn._xlws.FILTER(Tabla28[[#All],[PARTE]],ISNUMBER(SEARCH(Tabla28[[#All],[PCLAVE2]],Tabla8[[#This Row],[DESCRIPCION DE TRABAJO]])),""))</f>
        <v/>
      </c>
      <c r="P1694" s="633" t="str">
        <f>IFERROR(LEFT(O1694, FIND(",", O1694)-1), O1694)</f>
        <v/>
      </c>
      <c r="Q1694" s="633" t="str">
        <f>IFERROR(IF(ISERROR(FIND(",", O1694, FIND(",", O1694)+1)), RIGHT(O1694, LEN(O1694)-FIND(",", O1694)-1), MID(O1694, FIND(",", O1694)+2, FIND(",", O1694, FIND(",", O1694)+1)-FIND(",", O1694)-2)), "")</f>
        <v/>
      </c>
      <c r="R1694" s="633" t="str">
        <f>IFERROR(RIGHT(O1694, LEN(O1694)-FIND(",", O1694, FIND(",", O1694)+1)-1), "")</f>
        <v/>
      </c>
      <c r="S1694" s="35" t="str" cm="1">
        <f t="array" ref="S1694">_xlfn.TEXTJOIN(", ",TRUE,_xlfn._xlws.FILTER(Tabla29[[#All],[PARTE]],ISNUMBER(SEARCH(Tabla29[[#All],[PCLAVE3]],Tabla8[[#This Row],[DESCRIPCION DE TRABAJO]])),""))</f>
        <v/>
      </c>
      <c r="T1694" s="88" t="str">
        <f>IF(AND(Tabla8[[#This Row],[PIEZA]]="",Tabla8[[#This Row],[PARTE]]=""),"VACIO","OK")</f>
        <v>OK</v>
      </c>
      <c r="U1694" s="633" t="str">
        <f>+CONCATENATE(WEEKNUM(Tabla8[[#This Row],[FECHA]]),"-",YEAR(Tabla8[[#This Row],[FECHA]]))</f>
        <v>24-2026</v>
      </c>
    </row>
    <row r="1695" spans="1:21" ht="15" customHeight="1">
      <c r="A1695" s="22">
        <v>46184</v>
      </c>
      <c r="B1695" s="16" t="s">
        <v>191</v>
      </c>
      <c r="C1695" s="16" t="s">
        <v>36</v>
      </c>
      <c r="D1695" s="381">
        <v>0.3034722222222222</v>
      </c>
      <c r="E1695" s="381">
        <v>0.31944444444444442</v>
      </c>
      <c r="F1695" s="632">
        <f>+MOD(Tabla8[[#This Row],[HR. FIN]]-Tabla8[[#This Row],[HR. INICIO]],1)</f>
        <v>1.5972222222222221E-2</v>
      </c>
      <c r="G1695" s="16" t="s">
        <v>182</v>
      </c>
      <c r="H1695" s="79" t="str">
        <f>IFERROR(VLOOKUP(G1695,DATOS!$M$2:$N$219,2,FALSE),"")</f>
        <v>Maquinaria</v>
      </c>
      <c r="I1695" s="115" t="s">
        <v>57</v>
      </c>
      <c r="J1695" s="115" t="s">
        <v>92</v>
      </c>
      <c r="K1695" s="115" t="s">
        <v>93</v>
      </c>
      <c r="L1695" s="35" t="s">
        <v>3051</v>
      </c>
      <c r="M1695" s="35" t="s">
        <v>3052</v>
      </c>
      <c r="N1695" s="35" t="str" cm="1">
        <f t="array" ref="N1695">IFERROR(IF(Tabla8[[#This Row],[P/NP]]="NO PROGRAMADA","",_xlfn.TEXTJOIN(", ",TRUE,_xlfn._xlws.FILTER(Tabla4[[#All],[PIEZA]],ISNUMBER(SEARCH(Tabla4[[#All],[PCLAVE]],Tabla8[[#This Row],[DESCRIPCION DE TRABAJO]])),""))),"")</f>
        <v/>
      </c>
      <c r="O1695" s="35" t="str" cm="1">
        <f t="array" ref="O1695">_xlfn.TEXTJOIN(", ",TRUE,_xlfn._xlws.FILTER(Tabla28[[#All],[PARTE]],ISNUMBER(SEARCH(Tabla28[[#All],[PCLAVE2]],Tabla8[[#This Row],[DESCRIPCION DE TRABAJO]])),""))</f>
        <v/>
      </c>
      <c r="P1695" s="633" t="str">
        <f>IFERROR(LEFT(O1695, FIND(",", O1695)-1), O1695)</f>
        <v/>
      </c>
      <c r="Q1695" s="633" t="str">
        <f>IFERROR(IF(ISERROR(FIND(",", O1695, FIND(",", O1695)+1)), RIGHT(O1695, LEN(O1695)-FIND(",", O1695)-1), MID(O1695, FIND(",", O1695)+2, FIND(",", O1695, FIND(",", O1695)+1)-FIND(",", O1695)-2)), "")</f>
        <v/>
      </c>
      <c r="R1695" s="633" t="str">
        <f>IFERROR(RIGHT(O1695, LEN(O1695)-FIND(",", O1695, FIND(",", O1695)+1)-1), "")</f>
        <v/>
      </c>
      <c r="S1695" s="35" t="str" cm="1">
        <f t="array" ref="S1695">_xlfn.TEXTJOIN(", ",TRUE,_xlfn._xlws.FILTER(Tabla29[[#All],[PARTE]],ISNUMBER(SEARCH(Tabla29[[#All],[PCLAVE3]],Tabla8[[#This Row],[DESCRIPCION DE TRABAJO]])),""))</f>
        <v>Se Pegan, Sellado</v>
      </c>
      <c r="T1695" s="88" t="str">
        <f>IF(AND(Tabla8[[#This Row],[PIEZA]]="",Tabla8[[#This Row],[PARTE]]=""),"VACIO","OK")</f>
        <v>VACIO</v>
      </c>
      <c r="U1695" s="633" t="str">
        <f>+CONCATENATE(WEEKNUM(Tabla8[[#This Row],[FECHA]]),"-",YEAR(Tabla8[[#This Row],[FECHA]]))</f>
        <v>24-2026</v>
      </c>
    </row>
    <row r="1696" spans="1:21" ht="15" customHeight="1">
      <c r="A1696" s="22">
        <v>46184</v>
      </c>
      <c r="B1696" s="16" t="s">
        <v>191</v>
      </c>
      <c r="C1696" s="16" t="s">
        <v>36</v>
      </c>
      <c r="D1696" s="381">
        <v>0.33194444444444443</v>
      </c>
      <c r="E1696" s="381">
        <v>0.34652777777777777</v>
      </c>
      <c r="F1696" s="632">
        <f>+MOD(Tabla8[[#This Row],[HR. FIN]]-Tabla8[[#This Row],[HR. INICIO]],1)</f>
        <v>1.4583333333333337E-2</v>
      </c>
      <c r="G1696" s="16" t="s">
        <v>153</v>
      </c>
      <c r="H1696" s="79" t="str">
        <f>IFERROR(VLOOKUP(G1696,DATOS!$M$2:$N$219,2,FALSE),"")</f>
        <v>Maquinaria</v>
      </c>
      <c r="I1696" s="115" t="s">
        <v>57</v>
      </c>
      <c r="J1696" s="115" t="s">
        <v>92</v>
      </c>
      <c r="K1696" s="115" t="s">
        <v>93</v>
      </c>
      <c r="L1696" s="35" t="s">
        <v>3053</v>
      </c>
      <c r="M1696" s="35" t="s">
        <v>3054</v>
      </c>
      <c r="N1696" s="35" t="str" cm="1">
        <f t="array" ref="N1696">IFERROR(IF(Tabla8[[#This Row],[P/NP]]="NO PROGRAMADA","",_xlfn.TEXTJOIN(", ",TRUE,_xlfn._xlws.FILTER(Tabla4[[#All],[PIEZA]],ISNUMBER(SEARCH(Tabla4[[#All],[PCLAVE]],Tabla8[[#This Row],[DESCRIPCION DE TRABAJO]])),""))),"")</f>
        <v/>
      </c>
      <c r="O1696" s="35" t="str" cm="1">
        <f t="array" ref="O1696">_xlfn.TEXTJOIN(", ",TRUE,_xlfn._xlws.FILTER(Tabla28[[#All],[PARTE]],ISNUMBER(SEARCH(Tabla28[[#All],[PCLAVE2]],Tabla8[[#This Row],[DESCRIPCION DE TRABAJO]])),""))</f>
        <v/>
      </c>
      <c r="P1696" s="633" t="str">
        <f>IFERROR(LEFT(O1696, FIND(",", O1696)-1), O1696)</f>
        <v/>
      </c>
      <c r="Q1696" s="633" t="str">
        <f>IFERROR(IF(ISERROR(FIND(",", O1696, FIND(",", O1696)+1)), RIGHT(O1696, LEN(O1696)-FIND(",", O1696)-1), MID(O1696, FIND(",", O1696)+2, FIND(",", O1696, FIND(",", O1696)+1)-FIND(",", O1696)-2)), "")</f>
        <v/>
      </c>
      <c r="R1696" s="633" t="str">
        <f>IFERROR(RIGHT(O1696, LEN(O1696)-FIND(",", O1696, FIND(",", O1696)+1)-1), "")</f>
        <v/>
      </c>
      <c r="S1696" s="35" t="str" cm="1">
        <f t="array" ref="S1696">_xlfn.TEXTJOIN(", ",TRUE,_xlfn._xlws.FILTER(Tabla29[[#All],[PARTE]],ISNUMBER(SEARCH(Tabla29[[#All],[PCLAVE3]],Tabla8[[#This Row],[DESCRIPCION DE TRABAJO]])),""))</f>
        <v>Soltura</v>
      </c>
      <c r="T1696" s="88" t="str">
        <f>IF(AND(Tabla8[[#This Row],[PIEZA]]="",Tabla8[[#This Row],[PARTE]]=""),"VACIO","OK")</f>
        <v>VACIO</v>
      </c>
      <c r="U1696" s="633" t="str">
        <f>+CONCATENATE(WEEKNUM(Tabla8[[#This Row],[FECHA]]),"-",YEAR(Tabla8[[#This Row],[FECHA]]))</f>
        <v>24-2026</v>
      </c>
    </row>
    <row r="1697" spans="1:21" ht="15" customHeight="1">
      <c r="A1697" s="22">
        <v>46184</v>
      </c>
      <c r="B1697" s="16" t="s">
        <v>111</v>
      </c>
      <c r="C1697" s="16" t="s">
        <v>23</v>
      </c>
      <c r="D1697" s="381">
        <v>0.59722222222222221</v>
      </c>
      <c r="E1697" s="381">
        <v>0.61111111111111116</v>
      </c>
      <c r="F1697" s="632">
        <f>+MOD(Tabla8[[#This Row],[HR. FIN]]-Tabla8[[#This Row],[HR. INICIO]],1)</f>
        <v>1.3888888888888951E-2</v>
      </c>
      <c r="G1697" s="16" t="s">
        <v>31</v>
      </c>
      <c r="H1697" s="79" t="str">
        <f>IFERROR(VLOOKUP(G1697,DATOS!$M$2:$N$219,2,FALSE),"")</f>
        <v>Maquinaria</v>
      </c>
      <c r="I1697" s="115" t="s">
        <v>57</v>
      </c>
      <c r="J1697" s="115" t="s">
        <v>92</v>
      </c>
      <c r="K1697" s="115" t="s">
        <v>93</v>
      </c>
      <c r="L1697" s="35" t="s">
        <v>3055</v>
      </c>
      <c r="M1697" s="35" t="s">
        <v>3056</v>
      </c>
      <c r="N1697" s="35" t="str" cm="1">
        <f t="array" ref="N1697">IFERROR(IF(Tabla8[[#This Row],[P/NP]]="NO PROGRAMADA","",_xlfn.TEXTJOIN(", ",TRUE,_xlfn._xlws.FILTER(Tabla4[[#All],[PIEZA]],ISNUMBER(SEARCH(Tabla4[[#All],[PCLAVE]],Tabla8[[#This Row],[DESCRIPCION DE TRABAJO]])),""))),"")</f>
        <v/>
      </c>
      <c r="O1697" s="35" t="str" cm="1">
        <f t="array" ref="O1697">_xlfn.TEXTJOIN(", ",TRUE,_xlfn._xlws.FILTER(Tabla28[[#All],[PARTE]],ISNUMBER(SEARCH(Tabla28[[#All],[PCLAVE2]],Tabla8[[#This Row],[DESCRIPCION DE TRABAJO]])),""))</f>
        <v/>
      </c>
      <c r="P1697" s="633" t="str">
        <f>IFERROR(LEFT(O1697, FIND(",", O1697)-1), O1697)</f>
        <v/>
      </c>
      <c r="Q1697" s="633" t="str">
        <f>IFERROR(IF(ISERROR(FIND(",", O1697, FIND(",", O1697)+1)), RIGHT(O1697, LEN(O1697)-FIND(",", O1697)-1), MID(O1697, FIND(",", O1697)+2, FIND(",", O1697, FIND(",", O1697)+1)-FIND(",", O1697)-2)), "")</f>
        <v/>
      </c>
      <c r="R1697" s="633" t="str">
        <f>IFERROR(RIGHT(O1697, LEN(O1697)-FIND(",", O1697, FIND(",", O1697)+1)-1), "")</f>
        <v/>
      </c>
      <c r="S1697" s="35" t="str" cm="1">
        <f t="array" ref="S1697">_xlfn.TEXTJOIN(", ",TRUE,_xlfn._xlws.FILTER(Tabla29[[#All],[PARTE]],ISNUMBER(SEARCH(Tabla29[[#All],[PCLAVE3]],Tabla8[[#This Row],[DESCRIPCION DE TRABAJO]])),""))</f>
        <v>Alarma, Ruido</v>
      </c>
      <c r="T1697" s="88" t="str">
        <f>IF(AND(Tabla8[[#This Row],[PIEZA]]="",Tabla8[[#This Row],[PARTE]]=""),"VACIO","OK")</f>
        <v>VACIO</v>
      </c>
      <c r="U1697" s="633" t="str">
        <f>+CONCATENATE(WEEKNUM(Tabla8[[#This Row],[FECHA]]),"-",YEAR(Tabla8[[#This Row],[FECHA]]))</f>
        <v>24-2026</v>
      </c>
    </row>
    <row r="1698" spans="1:21" ht="15" customHeight="1">
      <c r="A1698" s="22">
        <v>46184</v>
      </c>
      <c r="B1698" s="16" t="s">
        <v>88</v>
      </c>
      <c r="C1698" s="16" t="s">
        <v>36</v>
      </c>
      <c r="D1698" s="381">
        <v>0.33333333333333331</v>
      </c>
      <c r="E1698" s="381">
        <v>0.34722222222222221</v>
      </c>
      <c r="F1698" s="632">
        <f>+MOD(Tabla8[[#This Row],[HR. FIN]]-Tabla8[[#This Row],[HR. INICIO]],1)</f>
        <v>1.3888888888888895E-2</v>
      </c>
      <c r="G1698" s="16" t="s">
        <v>438</v>
      </c>
      <c r="H1698" s="79" t="str">
        <f>IFERROR(VLOOKUP(G1698,DATOS!$M$2:$N$219,2,FALSE),"")</f>
        <v>Maquinaria</v>
      </c>
      <c r="I1698" s="115" t="s">
        <v>61</v>
      </c>
      <c r="J1698" s="115" t="s">
        <v>92</v>
      </c>
      <c r="K1698" s="115" t="s">
        <v>148</v>
      </c>
      <c r="L1698" s="35" t="s">
        <v>3057</v>
      </c>
      <c r="M1698" s="35" t="s">
        <v>3058</v>
      </c>
      <c r="N1698" s="35" t="str" cm="1">
        <f t="array" ref="N1698">IFERROR(IF(Tabla8[[#This Row],[P/NP]]="NO PROGRAMADA","",_xlfn.TEXTJOIN(", ",TRUE,_xlfn._xlws.FILTER(Tabla4[[#All],[PIEZA]],ISNUMBER(SEARCH(Tabla4[[#All],[PCLAVE]],Tabla8[[#This Row],[DESCRIPCION DE TRABAJO]])),""))),"")</f>
        <v/>
      </c>
      <c r="O1698" s="35" t="str" cm="1">
        <f t="array" ref="O1698">_xlfn.TEXTJOIN(", ",TRUE,_xlfn._xlws.FILTER(Tabla28[[#All],[PARTE]],ISNUMBER(SEARCH(Tabla28[[#All],[PCLAVE2]],Tabla8[[#This Row],[DESCRIPCION DE TRABAJO]])),""))</f>
        <v/>
      </c>
      <c r="P1698" s="633" t="str">
        <f>IFERROR(LEFT(O1698, FIND(",", O1698)-1), O1698)</f>
        <v/>
      </c>
      <c r="Q1698" s="633" t="str">
        <f>IFERROR(IF(ISERROR(FIND(",", O1698, FIND(",", O1698)+1)), RIGHT(O1698, LEN(O1698)-FIND(",", O1698)-1), MID(O1698, FIND(",", O1698)+2, FIND(",", O1698, FIND(",", O1698)+1)-FIND(",", O1698)-2)), "")</f>
        <v/>
      </c>
      <c r="R1698" s="633" t="str">
        <f>IFERROR(RIGHT(O1698, LEN(O1698)-FIND(",", O1698, FIND(",", O1698)+1)-1), "")</f>
        <v/>
      </c>
      <c r="S1698" s="35" t="str" cm="1">
        <f t="array" ref="S1698">_xlfn.TEXTJOIN(", ",TRUE,_xlfn._xlws.FILTER(Tabla29[[#All],[PARTE]],ISNUMBER(SEARCH(Tabla29[[#All],[PCLAVE3]],Tabla8[[#This Row],[DESCRIPCION DE TRABAJO]])),""))</f>
        <v/>
      </c>
      <c r="T1698" s="88" t="str">
        <f>IF(AND(Tabla8[[#This Row],[PIEZA]]="",Tabla8[[#This Row],[PARTE]]=""),"VACIO","OK")</f>
        <v>VACIO</v>
      </c>
      <c r="U1698" s="633" t="str">
        <f>+CONCATENATE(WEEKNUM(Tabla8[[#This Row],[FECHA]]),"-",YEAR(Tabla8[[#This Row],[FECHA]]))</f>
        <v>24-2026</v>
      </c>
    </row>
    <row r="1699" spans="1:21" ht="15" customHeight="1">
      <c r="A1699" s="22">
        <v>46184</v>
      </c>
      <c r="B1699" s="16" t="s">
        <v>88</v>
      </c>
      <c r="C1699" s="16" t="s">
        <v>36</v>
      </c>
      <c r="D1699" s="381">
        <v>0.27777777777777779</v>
      </c>
      <c r="E1699" s="381">
        <v>0.29166666666666669</v>
      </c>
      <c r="F1699" s="632">
        <f>+MOD(Tabla8[[#This Row],[HR. FIN]]-Tabla8[[#This Row],[HR. INICIO]],1)</f>
        <v>1.3888888888888895E-2</v>
      </c>
      <c r="G1699" s="16" t="s">
        <v>256</v>
      </c>
      <c r="H1699" s="79" t="str">
        <f>IFERROR(VLOOKUP(G1699,DATOS!$M$2:$N$219,2,FALSE),"")</f>
        <v>Maquinaria</v>
      </c>
      <c r="I1699" s="115" t="s">
        <v>390</v>
      </c>
      <c r="J1699" s="115" t="s">
        <v>157</v>
      </c>
      <c r="K1699" s="115"/>
      <c r="L1699" s="35" t="s">
        <v>1040</v>
      </c>
      <c r="M1699" s="35" t="s">
        <v>3059</v>
      </c>
      <c r="N1699" s="35" t="str" cm="1">
        <f t="array" ref="N1699">IFERROR(IF(Tabla8[[#This Row],[P/NP]]="NO PROGRAMADA","",_xlfn.TEXTJOIN(", ",TRUE,_xlfn._xlws.FILTER(Tabla4[[#All],[PIEZA]],ISNUMBER(SEARCH(Tabla4[[#All],[PCLAVE]],Tabla8[[#This Row],[DESCRIPCION DE TRABAJO]])),""))),"")</f>
        <v/>
      </c>
      <c r="O1699" s="35" t="str" cm="1">
        <f t="array" ref="O1699">_xlfn.TEXTJOIN(", ",TRUE,_xlfn._xlws.FILTER(Tabla28[[#All],[PARTE]],ISNUMBER(SEARCH(Tabla28[[#All],[PCLAVE2]],Tabla8[[#This Row],[DESCRIPCION DE TRABAJO]])),""))</f>
        <v/>
      </c>
      <c r="P1699" s="633" t="str">
        <f>IFERROR(LEFT(O1699, FIND(",", O1699)-1), O1699)</f>
        <v/>
      </c>
      <c r="Q1699" s="633" t="str">
        <f>IFERROR(IF(ISERROR(FIND(",", O1699, FIND(",", O1699)+1)), RIGHT(O1699, LEN(O1699)-FIND(",", O1699)-1), MID(O1699, FIND(",", O1699)+2, FIND(",", O1699, FIND(",", O1699)+1)-FIND(",", O1699)-2)), "")</f>
        <v/>
      </c>
      <c r="R1699" s="633" t="str">
        <f>IFERROR(RIGHT(O1699, LEN(O1699)-FIND(",", O1699, FIND(",", O1699)+1)-1), "")</f>
        <v/>
      </c>
      <c r="S1699" s="35" t="str" cm="1">
        <f t="array" ref="S1699">_xlfn.TEXTJOIN(", ",TRUE,_xlfn._xlws.FILTER(Tabla29[[#All],[PARTE]],ISNUMBER(SEARCH(Tabla29[[#All],[PCLAVE3]],Tabla8[[#This Row],[DESCRIPCION DE TRABAJO]])),""))</f>
        <v/>
      </c>
      <c r="T1699" s="88" t="str">
        <f>IF(AND(Tabla8[[#This Row],[PIEZA]]="",Tabla8[[#This Row],[PARTE]]=""),"VACIO","OK")</f>
        <v>VACIO</v>
      </c>
      <c r="U1699" s="633" t="str">
        <f>+CONCATENATE(WEEKNUM(Tabla8[[#This Row],[FECHA]]),"-",YEAR(Tabla8[[#This Row],[FECHA]]))</f>
        <v>24-2026</v>
      </c>
    </row>
    <row r="1700" spans="1:21" ht="15" customHeight="1">
      <c r="A1700" s="22">
        <v>46184</v>
      </c>
      <c r="B1700" s="16" t="s">
        <v>131</v>
      </c>
      <c r="C1700" s="16" t="s">
        <v>39</v>
      </c>
      <c r="D1700" s="381">
        <v>0.16666666666666666</v>
      </c>
      <c r="E1700" s="381">
        <v>0.18055555555555555</v>
      </c>
      <c r="F1700" s="632">
        <f>+MOD(Tabla8[[#This Row],[HR. FIN]]-Tabla8[[#This Row],[HR. INICIO]],1)</f>
        <v>1.3888888888888895E-2</v>
      </c>
      <c r="G1700" s="16" t="s">
        <v>256</v>
      </c>
      <c r="H1700" s="79" t="str">
        <f>IFERROR(VLOOKUP(G1700,DATOS!$M$2:$N$219,2,FALSE),"")</f>
        <v>Maquinaria</v>
      </c>
      <c r="I1700" s="115" t="s">
        <v>390</v>
      </c>
      <c r="J1700" s="115" t="s">
        <v>157</v>
      </c>
      <c r="K1700" s="115"/>
      <c r="L1700" s="35" t="s">
        <v>821</v>
      </c>
      <c r="M1700" s="35" t="s">
        <v>121</v>
      </c>
      <c r="N1700" s="35" t="str" cm="1">
        <f t="array" ref="N1700">IFERROR(IF(Tabla8[[#This Row],[P/NP]]="NO PROGRAMADA","",_xlfn.TEXTJOIN(", ",TRUE,_xlfn._xlws.FILTER(Tabla4[[#All],[PIEZA]],ISNUMBER(SEARCH(Tabla4[[#All],[PCLAVE]],Tabla8[[#This Row],[DESCRIPCION DE TRABAJO]])),""))),"")</f>
        <v/>
      </c>
      <c r="O1700" s="35" t="str" cm="1">
        <f t="array" ref="O1700">_xlfn.TEXTJOIN(", ",TRUE,_xlfn._xlws.FILTER(Tabla28[[#All],[PARTE]],ISNUMBER(SEARCH(Tabla28[[#All],[PCLAVE2]],Tabla8[[#This Row],[DESCRIPCION DE TRABAJO]])),""))</f>
        <v/>
      </c>
      <c r="P1700" s="633" t="str">
        <f>IFERROR(LEFT(O1700, FIND(",", O1700)-1), O1700)</f>
        <v/>
      </c>
      <c r="Q1700" s="633" t="str">
        <f>IFERROR(IF(ISERROR(FIND(",", O1700, FIND(",", O1700)+1)), RIGHT(O1700, LEN(O1700)-FIND(",", O1700)-1), MID(O1700, FIND(",", O1700)+2, FIND(",", O1700, FIND(",", O1700)+1)-FIND(",", O1700)-2)), "")</f>
        <v/>
      </c>
      <c r="R1700" s="633" t="str">
        <f>IFERROR(RIGHT(O1700, LEN(O1700)-FIND(",", O1700, FIND(",", O1700)+1)-1), "")</f>
        <v/>
      </c>
      <c r="S1700" s="35" t="str" cm="1">
        <f t="array" ref="S1700">_xlfn.TEXTJOIN(", ",TRUE,_xlfn._xlws.FILTER(Tabla29[[#All],[PARTE]],ISNUMBER(SEARCH(Tabla29[[#All],[PCLAVE3]],Tabla8[[#This Row],[DESCRIPCION DE TRABAJO]])),""))</f>
        <v/>
      </c>
      <c r="T1700" s="88" t="str">
        <f>IF(AND(Tabla8[[#This Row],[PIEZA]]="",Tabla8[[#This Row],[PARTE]]=""),"VACIO","OK")</f>
        <v>VACIO</v>
      </c>
      <c r="U1700" s="633" t="str">
        <f>+CONCATENATE(WEEKNUM(Tabla8[[#This Row],[FECHA]]),"-",YEAR(Tabla8[[#This Row],[FECHA]]))</f>
        <v>24-2026</v>
      </c>
    </row>
    <row r="1701" spans="1:21" ht="15" customHeight="1">
      <c r="A1701" s="22">
        <v>46184</v>
      </c>
      <c r="B1701" s="16" t="s">
        <v>111</v>
      </c>
      <c r="C1701" s="16" t="s">
        <v>23</v>
      </c>
      <c r="D1701" s="381">
        <v>0.54861111111111116</v>
      </c>
      <c r="E1701" s="381">
        <v>0.5625</v>
      </c>
      <c r="F1701" s="632">
        <f>+MOD(Tabla8[[#This Row],[HR. FIN]]-Tabla8[[#This Row],[HR. INICIO]],1)</f>
        <v>1.388888888888884E-2</v>
      </c>
      <c r="G1701" s="16" t="s">
        <v>42</v>
      </c>
      <c r="H1701" s="79" t="str">
        <f>IFERROR(VLOOKUP(G1701,DATOS!$M$2:$N$219,2,FALSE),"")</f>
        <v>Maquinaria</v>
      </c>
      <c r="I1701" s="115" t="s">
        <v>54</v>
      </c>
      <c r="J1701" s="115" t="s">
        <v>157</v>
      </c>
      <c r="K1701" s="115"/>
      <c r="L1701" s="35" t="s">
        <v>1191</v>
      </c>
      <c r="M1701" s="35" t="s">
        <v>121</v>
      </c>
      <c r="N1701" s="35" t="str" cm="1">
        <f t="array" ref="N1701">IFERROR(IF(Tabla8[[#This Row],[P/NP]]="NO PROGRAMADA","",_xlfn.TEXTJOIN(", ",TRUE,_xlfn._xlws.FILTER(Tabla4[[#All],[PIEZA]],ISNUMBER(SEARCH(Tabla4[[#All],[PCLAVE]],Tabla8[[#This Row],[DESCRIPCION DE TRABAJO]])),""))),"")</f>
        <v/>
      </c>
      <c r="O1701" s="35" t="str" cm="1">
        <f t="array" ref="O1701">_xlfn.TEXTJOIN(", ",TRUE,_xlfn._xlws.FILTER(Tabla28[[#All],[PARTE]],ISNUMBER(SEARCH(Tabla28[[#All],[PCLAVE2]],Tabla8[[#This Row],[DESCRIPCION DE TRABAJO]])),""))</f>
        <v/>
      </c>
      <c r="P1701" s="633" t="str">
        <f>IFERROR(LEFT(O1701, FIND(",", O1701)-1), O1701)</f>
        <v/>
      </c>
      <c r="Q1701" s="633" t="str">
        <f>IFERROR(IF(ISERROR(FIND(",", O1701, FIND(",", O1701)+1)), RIGHT(O1701, LEN(O1701)-FIND(",", O1701)-1), MID(O1701, FIND(",", O1701)+2, FIND(",", O1701, FIND(",", O1701)+1)-FIND(",", O1701)-2)), "")</f>
        <v/>
      </c>
      <c r="R1701" s="633" t="str">
        <f>IFERROR(RIGHT(O1701, LEN(O1701)-FIND(",", O1701, FIND(",", O1701)+1)-1), "")</f>
        <v/>
      </c>
      <c r="S1701" s="35" t="str" cm="1">
        <f t="array" ref="S1701">_xlfn.TEXTJOIN(", ",TRUE,_xlfn._xlws.FILTER(Tabla29[[#All],[PARTE]],ISNUMBER(SEARCH(Tabla29[[#All],[PCLAVE3]],Tabla8[[#This Row],[DESCRIPCION DE TRABAJO]])),""))</f>
        <v/>
      </c>
      <c r="T1701" s="88" t="str">
        <f>IF(AND(Tabla8[[#This Row],[PIEZA]]="",Tabla8[[#This Row],[PARTE]]=""),"VACIO","OK")</f>
        <v>VACIO</v>
      </c>
      <c r="U1701" s="633" t="str">
        <f>+CONCATENATE(WEEKNUM(Tabla8[[#This Row],[FECHA]]),"-",YEAR(Tabla8[[#This Row],[FECHA]]))</f>
        <v>24-2026</v>
      </c>
    </row>
    <row r="1702" spans="1:21" ht="15" customHeight="1">
      <c r="A1702" s="22">
        <v>46184</v>
      </c>
      <c r="B1702" s="16" t="s">
        <v>111</v>
      </c>
      <c r="C1702" s="16" t="s">
        <v>23</v>
      </c>
      <c r="D1702" s="381">
        <v>0.70833333333333337</v>
      </c>
      <c r="E1702" s="381">
        <v>0.72222222222222221</v>
      </c>
      <c r="F1702" s="632">
        <f>+MOD(Tabla8[[#This Row],[HR. FIN]]-Tabla8[[#This Row],[HR. INICIO]],1)</f>
        <v>1.388888888888884E-2</v>
      </c>
      <c r="G1702" s="16" t="s">
        <v>103</v>
      </c>
      <c r="H1702" s="79" t="str">
        <f>IFERROR(VLOOKUP(G1702,DATOS!$M$2:$N$219,2,FALSE),"")</f>
        <v>Area</v>
      </c>
      <c r="I1702" s="115" t="s">
        <v>25</v>
      </c>
      <c r="J1702" s="115" t="s">
        <v>157</v>
      </c>
      <c r="K1702" s="115"/>
      <c r="L1702" s="35" t="s">
        <v>3060</v>
      </c>
      <c r="M1702" s="35" t="s">
        <v>121</v>
      </c>
      <c r="N1702" s="35" t="str" cm="1">
        <f t="array" ref="N1702">IFERROR(IF(Tabla8[[#This Row],[P/NP]]="NO PROGRAMADA","",_xlfn.TEXTJOIN(", ",TRUE,_xlfn._xlws.FILTER(Tabla4[[#All],[PIEZA]],ISNUMBER(SEARCH(Tabla4[[#All],[PCLAVE]],Tabla8[[#This Row],[DESCRIPCION DE TRABAJO]])),""))),"")</f>
        <v/>
      </c>
      <c r="O1702" s="35" t="str" cm="1">
        <f t="array" ref="O1702">_xlfn.TEXTJOIN(", ",TRUE,_xlfn._xlws.FILTER(Tabla28[[#All],[PARTE]],ISNUMBER(SEARCH(Tabla28[[#All],[PCLAVE2]],Tabla8[[#This Row],[DESCRIPCION DE TRABAJO]])),""))</f>
        <v/>
      </c>
      <c r="P1702" s="633" t="str">
        <f>IFERROR(LEFT(O1702, FIND(",", O1702)-1), O1702)</f>
        <v/>
      </c>
      <c r="Q1702" s="633" t="str">
        <f>IFERROR(IF(ISERROR(FIND(",", O1702, FIND(",", O1702)+1)), RIGHT(O1702, LEN(O1702)-FIND(",", O1702)-1), MID(O1702, FIND(",", O1702)+2, FIND(",", O1702, FIND(",", O1702)+1)-FIND(",", O1702)-2)), "")</f>
        <v/>
      </c>
      <c r="R1702" s="633" t="str">
        <f>IFERROR(RIGHT(O1702, LEN(O1702)-FIND(",", O1702, FIND(",", O1702)+1)-1), "")</f>
        <v/>
      </c>
      <c r="S1702" s="35" t="str" cm="1">
        <f t="array" ref="S1702">_xlfn.TEXTJOIN(", ",TRUE,_xlfn._xlws.FILTER(Tabla29[[#All],[PARTE]],ISNUMBER(SEARCH(Tabla29[[#All],[PCLAVE3]],Tabla8[[#This Row],[DESCRIPCION DE TRABAJO]])),""))</f>
        <v/>
      </c>
      <c r="T1702" s="88" t="str">
        <f>IF(AND(Tabla8[[#This Row],[PIEZA]]="",Tabla8[[#This Row],[PARTE]]=""),"VACIO","OK")</f>
        <v>VACIO</v>
      </c>
      <c r="U1702" s="633" t="str">
        <f>+CONCATENATE(WEEKNUM(Tabla8[[#This Row],[FECHA]]),"-",YEAR(Tabla8[[#This Row],[FECHA]]))</f>
        <v>24-2026</v>
      </c>
    </row>
    <row r="1703" spans="1:21" ht="15" customHeight="1">
      <c r="A1703" s="22">
        <v>46184</v>
      </c>
      <c r="B1703" s="16" t="s">
        <v>111</v>
      </c>
      <c r="C1703" s="16" t="s">
        <v>23</v>
      </c>
      <c r="D1703" s="381">
        <v>0.79861111111111116</v>
      </c>
      <c r="E1703" s="381">
        <v>0.8125</v>
      </c>
      <c r="F1703" s="632">
        <f>+MOD(Tabla8[[#This Row],[HR. FIN]]-Tabla8[[#This Row],[HR. INICIO]],1)</f>
        <v>1.388888888888884E-2</v>
      </c>
      <c r="G1703" s="16" t="s">
        <v>31</v>
      </c>
      <c r="H1703" s="79" t="str">
        <f>IFERROR(VLOOKUP(G1703,DATOS!$M$2:$N$219,2,FALSE),"")</f>
        <v>Maquinaria</v>
      </c>
      <c r="I1703" s="115" t="s">
        <v>54</v>
      </c>
      <c r="J1703" s="115" t="s">
        <v>157</v>
      </c>
      <c r="K1703" s="115"/>
      <c r="L1703" s="35" t="s">
        <v>3061</v>
      </c>
      <c r="M1703" s="35" t="s">
        <v>121</v>
      </c>
      <c r="N1703" s="35" t="str" cm="1">
        <f t="array" ref="N1703">IFERROR(IF(Tabla8[[#This Row],[P/NP]]="NO PROGRAMADA","",_xlfn.TEXTJOIN(", ",TRUE,_xlfn._xlws.FILTER(Tabla4[[#All],[PIEZA]],ISNUMBER(SEARCH(Tabla4[[#All],[PCLAVE]],Tabla8[[#This Row],[DESCRIPCION DE TRABAJO]])),""))),"")</f>
        <v/>
      </c>
      <c r="O1703" s="35" t="str" cm="1">
        <f t="array" ref="O1703">_xlfn.TEXTJOIN(", ",TRUE,_xlfn._xlws.FILTER(Tabla28[[#All],[PARTE]],ISNUMBER(SEARCH(Tabla28[[#All],[PCLAVE2]],Tabla8[[#This Row],[DESCRIPCION DE TRABAJO]])),""))</f>
        <v/>
      </c>
      <c r="P1703" s="633" t="str">
        <f>IFERROR(LEFT(O1703, FIND(",", O1703)-1), O1703)</f>
        <v/>
      </c>
      <c r="Q1703" s="633" t="str">
        <f>IFERROR(IF(ISERROR(FIND(",", O1703, FIND(",", O1703)+1)), RIGHT(O1703, LEN(O1703)-FIND(",", O1703)-1), MID(O1703, FIND(",", O1703)+2, FIND(",", O1703, FIND(",", O1703)+1)-FIND(",", O1703)-2)), "")</f>
        <v/>
      </c>
      <c r="R1703" s="633" t="str">
        <f>IFERROR(RIGHT(O1703, LEN(O1703)-FIND(",", O1703, FIND(",", O1703)+1)-1), "")</f>
        <v/>
      </c>
      <c r="S1703" s="35" t="str" cm="1">
        <f t="array" ref="S1703">_xlfn.TEXTJOIN(", ",TRUE,_xlfn._xlws.FILTER(Tabla29[[#All],[PARTE]],ISNUMBER(SEARCH(Tabla29[[#All],[PCLAVE3]],Tabla8[[#This Row],[DESCRIPCION DE TRABAJO]])),""))</f>
        <v/>
      </c>
      <c r="T1703" s="88" t="str">
        <f>IF(AND(Tabla8[[#This Row],[PIEZA]]="",Tabla8[[#This Row],[PARTE]]=""),"VACIO","OK")</f>
        <v>VACIO</v>
      </c>
      <c r="U1703" s="633" t="str">
        <f>+CONCATENATE(WEEKNUM(Tabla8[[#This Row],[FECHA]]),"-",YEAR(Tabla8[[#This Row],[FECHA]]))</f>
        <v>24-2026</v>
      </c>
    </row>
    <row r="1704" spans="1:21" ht="15" customHeight="1">
      <c r="A1704" s="22">
        <v>46184</v>
      </c>
      <c r="B1704" s="16" t="s">
        <v>179</v>
      </c>
      <c r="C1704" s="16" t="s">
        <v>23</v>
      </c>
      <c r="D1704" s="381">
        <v>0.54861111111111116</v>
      </c>
      <c r="E1704" s="381">
        <v>0.5625</v>
      </c>
      <c r="F1704" s="632">
        <f>+MOD(Tabla8[[#This Row],[HR. FIN]]-Tabla8[[#This Row],[HR. INICIO]],1)</f>
        <v>1.388888888888884E-2</v>
      </c>
      <c r="G1704" s="16" t="s">
        <v>169</v>
      </c>
      <c r="H1704" s="79" t="str">
        <f>IFERROR(VLOOKUP(G1704,DATOS!$M$2:$N$219,2,FALSE),"")</f>
        <v>Maquinaria</v>
      </c>
      <c r="I1704" s="115" t="s">
        <v>32</v>
      </c>
      <c r="J1704" s="115" t="s">
        <v>157</v>
      </c>
      <c r="K1704" s="115"/>
      <c r="L1704" s="35" t="s">
        <v>3062</v>
      </c>
      <c r="M1704" s="35" t="s">
        <v>121</v>
      </c>
      <c r="N1704" s="35" t="str" cm="1">
        <f t="array" ref="N1704">IFERROR(IF(Tabla8[[#This Row],[P/NP]]="NO PROGRAMADA","",_xlfn.TEXTJOIN(", ",TRUE,_xlfn._xlws.FILTER(Tabla4[[#All],[PIEZA]],ISNUMBER(SEARCH(Tabla4[[#All],[PCLAVE]],Tabla8[[#This Row],[DESCRIPCION DE TRABAJO]])),""))),"")</f>
        <v/>
      </c>
      <c r="O1704" s="35" t="str" cm="1">
        <f t="array" ref="O1704">_xlfn.TEXTJOIN(", ",TRUE,_xlfn._xlws.FILTER(Tabla28[[#All],[PARTE]],ISNUMBER(SEARCH(Tabla28[[#All],[PCLAVE2]],Tabla8[[#This Row],[DESCRIPCION DE TRABAJO]])),""))</f>
        <v/>
      </c>
      <c r="P1704" s="633" t="str">
        <f>IFERROR(LEFT(O1704, FIND(",", O1704)-1), O1704)</f>
        <v/>
      </c>
      <c r="Q1704" s="633" t="str">
        <f>IFERROR(IF(ISERROR(FIND(",", O1704, FIND(",", O1704)+1)), RIGHT(O1704, LEN(O1704)-FIND(",", O1704)-1), MID(O1704, FIND(",", O1704)+2, FIND(",", O1704, FIND(",", O1704)+1)-FIND(",", O1704)-2)), "")</f>
        <v/>
      </c>
      <c r="R1704" s="633" t="str">
        <f>IFERROR(RIGHT(O1704, LEN(O1704)-FIND(",", O1704, FIND(",", O1704)+1)-1), "")</f>
        <v/>
      </c>
      <c r="S1704" s="35" t="str" cm="1">
        <f t="array" ref="S1704">_xlfn.TEXTJOIN(", ",TRUE,_xlfn._xlws.FILTER(Tabla29[[#All],[PARTE]],ISNUMBER(SEARCH(Tabla29[[#All],[PCLAVE3]],Tabla8[[#This Row],[DESCRIPCION DE TRABAJO]])),""))</f>
        <v/>
      </c>
      <c r="T1704" s="88" t="str">
        <f>IF(AND(Tabla8[[#This Row],[PIEZA]]="",Tabla8[[#This Row],[PARTE]]=""),"VACIO","OK")</f>
        <v>VACIO</v>
      </c>
      <c r="U1704" s="633" t="str">
        <f>+CONCATENATE(WEEKNUM(Tabla8[[#This Row],[FECHA]]),"-",YEAR(Tabla8[[#This Row],[FECHA]]))</f>
        <v>24-2026</v>
      </c>
    </row>
    <row r="1705" spans="1:21" ht="15" customHeight="1">
      <c r="A1705" s="22">
        <v>46184</v>
      </c>
      <c r="B1705" s="16" t="s">
        <v>191</v>
      </c>
      <c r="C1705" s="16" t="s">
        <v>36</v>
      </c>
      <c r="D1705" s="381">
        <v>0.24097222222222223</v>
      </c>
      <c r="E1705" s="381">
        <v>0.25416666666666665</v>
      </c>
      <c r="F1705" s="632">
        <f>+MOD(Tabla8[[#This Row],[HR. FIN]]-Tabla8[[#This Row],[HR. INICIO]],1)</f>
        <v>1.3194444444444425E-2</v>
      </c>
      <c r="G1705" s="16" t="s">
        <v>215</v>
      </c>
      <c r="H1705" s="79" t="str">
        <f>IFERROR(VLOOKUP(G1705,DATOS!$M$2:$N$219,2,FALSE),"")</f>
        <v>Equipos auxiliares</v>
      </c>
      <c r="I1705" s="115" t="s">
        <v>54</v>
      </c>
      <c r="J1705" s="115" t="s">
        <v>157</v>
      </c>
      <c r="K1705" s="115"/>
      <c r="L1705" s="35" t="s">
        <v>1751</v>
      </c>
      <c r="M1705" s="35" t="s">
        <v>121</v>
      </c>
      <c r="N1705" s="35" t="str" cm="1">
        <f t="array" ref="N1705">IFERROR(IF(Tabla8[[#This Row],[P/NP]]="NO PROGRAMADA","",_xlfn.TEXTJOIN(", ",TRUE,_xlfn._xlws.FILTER(Tabla4[[#All],[PIEZA]],ISNUMBER(SEARCH(Tabla4[[#All],[PCLAVE]],Tabla8[[#This Row],[DESCRIPCION DE TRABAJO]])),""))),"")</f>
        <v/>
      </c>
      <c r="O1705" s="35" t="str" cm="1">
        <f t="array" ref="O1705">_xlfn.TEXTJOIN(", ",TRUE,_xlfn._xlws.FILTER(Tabla28[[#All],[PARTE]],ISNUMBER(SEARCH(Tabla28[[#All],[PCLAVE2]],Tabla8[[#This Row],[DESCRIPCION DE TRABAJO]])),""))</f>
        <v/>
      </c>
      <c r="P1705" s="633" t="str">
        <f>IFERROR(LEFT(O1705, FIND(",", O1705)-1), O1705)</f>
        <v/>
      </c>
      <c r="Q1705" s="633" t="str">
        <f>IFERROR(IF(ISERROR(FIND(",", O1705, FIND(",", O1705)+1)), RIGHT(O1705, LEN(O1705)-FIND(",", O1705)-1), MID(O1705, FIND(",", O1705)+2, FIND(",", O1705, FIND(",", O1705)+1)-FIND(",", O1705)-2)), "")</f>
        <v/>
      </c>
      <c r="R1705" s="633" t="str">
        <f>IFERROR(RIGHT(O1705, LEN(O1705)-FIND(",", O1705, FIND(",", O1705)+1)-1), "")</f>
        <v/>
      </c>
      <c r="S1705" s="35" t="str" cm="1">
        <f t="array" ref="S1705">_xlfn.TEXTJOIN(", ",TRUE,_xlfn._xlws.FILTER(Tabla29[[#All],[PARTE]],ISNUMBER(SEARCH(Tabla29[[#All],[PCLAVE3]],Tabla8[[#This Row],[DESCRIPCION DE TRABAJO]])),""))</f>
        <v/>
      </c>
      <c r="T1705" s="88" t="str">
        <f>IF(AND(Tabla8[[#This Row],[PIEZA]]="",Tabla8[[#This Row],[PARTE]]=""),"VACIO","OK")</f>
        <v>VACIO</v>
      </c>
      <c r="U1705" s="633" t="str">
        <f>+CONCATENATE(WEEKNUM(Tabla8[[#This Row],[FECHA]]),"-",YEAR(Tabla8[[#This Row],[FECHA]]))</f>
        <v>24-2026</v>
      </c>
    </row>
    <row r="1706" spans="1:21" ht="15" customHeight="1">
      <c r="A1706" s="22">
        <v>46184</v>
      </c>
      <c r="B1706" s="16" t="s">
        <v>111</v>
      </c>
      <c r="C1706" s="16" t="s">
        <v>23</v>
      </c>
      <c r="D1706" s="381">
        <v>0.72569444444444442</v>
      </c>
      <c r="E1706" s="381">
        <v>0.73750000000000004</v>
      </c>
      <c r="F1706" s="632">
        <f>+MOD(Tabla8[[#This Row],[HR. FIN]]-Tabla8[[#This Row],[HR. INICIO]],1)</f>
        <v>1.1805555555555625E-2</v>
      </c>
      <c r="G1706" s="16" t="s">
        <v>119</v>
      </c>
      <c r="H1706" s="79" t="str">
        <f>IFERROR(VLOOKUP(G1706,DATOS!$M$2:$N$219,2,FALSE),"")</f>
        <v>Maquinaria</v>
      </c>
      <c r="I1706" s="115" t="s">
        <v>61</v>
      </c>
      <c r="J1706" s="115" t="s">
        <v>92</v>
      </c>
      <c r="K1706" s="115" t="s">
        <v>93</v>
      </c>
      <c r="L1706" s="35" t="s">
        <v>3063</v>
      </c>
      <c r="M1706" s="35" t="s">
        <v>3064</v>
      </c>
      <c r="N1706" s="35" t="str" cm="1">
        <f t="array" ref="N1706">IFERROR(IF(Tabla8[[#This Row],[P/NP]]="NO PROGRAMADA","",_xlfn.TEXTJOIN(", ",TRUE,_xlfn._xlws.FILTER(Tabla4[[#All],[PIEZA]],ISNUMBER(SEARCH(Tabla4[[#All],[PCLAVE]],Tabla8[[#This Row],[DESCRIPCION DE TRABAJO]])),""))),"")</f>
        <v/>
      </c>
      <c r="O1706" s="35" t="str" cm="1">
        <f t="array" ref="O1706">_xlfn.TEXTJOIN(", ",TRUE,_xlfn._xlws.FILTER(Tabla28[[#All],[PARTE]],ISNUMBER(SEARCH(Tabla28[[#All],[PCLAVE2]],Tabla8[[#This Row],[DESCRIPCION DE TRABAJO]])),""))</f>
        <v>Mds</v>
      </c>
      <c r="P1706" s="633" t="str">
        <f>IFERROR(LEFT(O1706, FIND(",", O1706)-1), O1706)</f>
        <v>Mds</v>
      </c>
      <c r="Q1706" s="633" t="str">
        <f>IFERROR(IF(ISERROR(FIND(",", O1706, FIND(",", O1706)+1)), RIGHT(O1706, LEN(O1706)-FIND(",", O1706)-1), MID(O1706, FIND(",", O1706)+2, FIND(",", O1706, FIND(",", O1706)+1)-FIND(",", O1706)-2)), "")</f>
        <v/>
      </c>
      <c r="R1706" s="633" t="str">
        <f>IFERROR(RIGHT(O1706, LEN(O1706)-FIND(",", O1706, FIND(",", O1706)+1)-1), "")</f>
        <v/>
      </c>
      <c r="S1706" s="35" t="str" cm="1">
        <f t="array" ref="S1706">_xlfn.TEXTJOIN(", ",TRUE,_xlfn._xlws.FILTER(Tabla29[[#All],[PARTE]],ISNUMBER(SEARCH(Tabla29[[#All],[PCLAVE3]],Tabla8[[#This Row],[DESCRIPCION DE TRABAJO]])),""))</f>
        <v/>
      </c>
      <c r="T1706" s="88" t="str">
        <f>IF(AND(Tabla8[[#This Row],[PIEZA]]="",Tabla8[[#This Row],[PARTE]]=""),"VACIO","OK")</f>
        <v>OK</v>
      </c>
      <c r="U1706" s="633" t="str">
        <f>+CONCATENATE(WEEKNUM(Tabla8[[#This Row],[FECHA]]),"-",YEAR(Tabla8[[#This Row],[FECHA]]))</f>
        <v>24-2026</v>
      </c>
    </row>
    <row r="1707" spans="1:21" ht="15" customHeight="1">
      <c r="A1707" s="22">
        <v>46184</v>
      </c>
      <c r="B1707" s="16" t="s">
        <v>191</v>
      </c>
      <c r="C1707" s="16" t="s">
        <v>36</v>
      </c>
      <c r="D1707" s="381">
        <v>0.28263888888888888</v>
      </c>
      <c r="E1707" s="381">
        <v>0.29375000000000001</v>
      </c>
      <c r="F1707" s="632">
        <f>+MOD(Tabla8[[#This Row],[HR. FIN]]-Tabla8[[#This Row],[HR. INICIO]],1)</f>
        <v>1.1111111111111127E-2</v>
      </c>
      <c r="G1707" s="16" t="s">
        <v>119</v>
      </c>
      <c r="H1707" s="79" t="str">
        <f>IFERROR(VLOOKUP(G1707,DATOS!$M$2:$N$219,2,FALSE),"")</f>
        <v>Maquinaria</v>
      </c>
      <c r="I1707" s="115" t="s">
        <v>28</v>
      </c>
      <c r="J1707" s="115" t="s">
        <v>92</v>
      </c>
      <c r="K1707" s="115" t="s">
        <v>93</v>
      </c>
      <c r="L1707" s="35" t="s">
        <v>3065</v>
      </c>
      <c r="M1707" s="35" t="s">
        <v>3066</v>
      </c>
      <c r="N1707" s="35" t="str" cm="1">
        <f t="array" ref="N1707">IFERROR(IF(Tabla8[[#This Row],[P/NP]]="NO PROGRAMADA","",_xlfn.TEXTJOIN(", ",TRUE,_xlfn._xlws.FILTER(Tabla4[[#All],[PIEZA]],ISNUMBER(SEARCH(Tabla4[[#All],[PCLAVE]],Tabla8[[#This Row],[DESCRIPCION DE TRABAJO]])),""))),"")</f>
        <v/>
      </c>
      <c r="O1707" s="35" t="str" cm="1">
        <f t="array" ref="O1707">_xlfn.TEXTJOIN(", ",TRUE,_xlfn._xlws.FILTER(Tabla28[[#All],[PARTE]],ISNUMBER(SEARCH(Tabla28[[#All],[PCLAVE2]],Tabla8[[#This Row],[DESCRIPCION DE TRABAJO]])),""))</f>
        <v/>
      </c>
      <c r="P1707" s="633" t="str">
        <f>IFERROR(LEFT(O1707, FIND(",", O1707)-1), O1707)</f>
        <v/>
      </c>
      <c r="Q1707" s="633" t="str">
        <f>IFERROR(IF(ISERROR(FIND(",", O1707, FIND(",", O1707)+1)), RIGHT(O1707, LEN(O1707)-FIND(",", O1707)-1), MID(O1707, FIND(",", O1707)+2, FIND(",", O1707, FIND(",", O1707)+1)-FIND(",", O1707)-2)), "")</f>
        <v/>
      </c>
      <c r="R1707" s="633" t="str">
        <f>IFERROR(RIGHT(O1707, LEN(O1707)-FIND(",", O1707, FIND(",", O1707)+1)-1), "")</f>
        <v/>
      </c>
      <c r="S1707" s="35" t="str" cm="1">
        <f t="array" ref="S1707">_xlfn.TEXTJOIN(", ",TRUE,_xlfn._xlws.FILTER(Tabla29[[#All],[PARTE]],ISNUMBER(SEARCH(Tabla29[[#All],[PCLAVE3]],Tabla8[[#This Row],[DESCRIPCION DE TRABAJO]])),""))</f>
        <v>Se cae</v>
      </c>
      <c r="T1707" s="88" t="str">
        <f>IF(AND(Tabla8[[#This Row],[PIEZA]]="",Tabla8[[#This Row],[PARTE]]=""),"VACIO","OK")</f>
        <v>VACIO</v>
      </c>
      <c r="U1707" s="633" t="str">
        <f>+CONCATENATE(WEEKNUM(Tabla8[[#This Row],[FECHA]]),"-",YEAR(Tabla8[[#This Row],[FECHA]]))</f>
        <v>24-2026</v>
      </c>
    </row>
    <row r="1708" spans="1:21" ht="15" customHeight="1">
      <c r="A1708" s="22">
        <v>46184</v>
      </c>
      <c r="B1708" s="16" t="s">
        <v>88</v>
      </c>
      <c r="C1708" s="16" t="s">
        <v>36</v>
      </c>
      <c r="D1708" s="381">
        <v>0.48958333333333331</v>
      </c>
      <c r="E1708" s="381">
        <v>0.5</v>
      </c>
      <c r="F1708" s="632">
        <f>+MOD(Tabla8[[#This Row],[HR. FIN]]-Tabla8[[#This Row],[HR. INICIO]],1)</f>
        <v>1.0416666666666685E-2</v>
      </c>
      <c r="G1708" s="16" t="s">
        <v>153</v>
      </c>
      <c r="H1708" s="79" t="str">
        <f>IFERROR(VLOOKUP(G1708,DATOS!$M$2:$N$219,2,FALSE),"")</f>
        <v>Maquinaria</v>
      </c>
      <c r="I1708" s="115" t="s">
        <v>57</v>
      </c>
      <c r="J1708" s="115" t="s">
        <v>157</v>
      </c>
      <c r="K1708" s="115"/>
      <c r="L1708" s="35" t="s">
        <v>3067</v>
      </c>
      <c r="M1708" s="35" t="s">
        <v>3068</v>
      </c>
      <c r="N1708" s="35" t="str" cm="1">
        <f t="array" ref="N1708">IFERROR(IF(Tabla8[[#This Row],[P/NP]]="NO PROGRAMADA","",_xlfn.TEXTJOIN(", ",TRUE,_xlfn._xlws.FILTER(Tabla4[[#All],[PIEZA]],ISNUMBER(SEARCH(Tabla4[[#All],[PCLAVE]],Tabla8[[#This Row],[DESCRIPCION DE TRABAJO]])),""))),"")</f>
        <v/>
      </c>
      <c r="O1708" s="35" t="str" cm="1">
        <f t="array" ref="O1708">_xlfn.TEXTJOIN(", ",TRUE,_xlfn._xlws.FILTER(Tabla28[[#All],[PARTE]],ISNUMBER(SEARCH(Tabla28[[#All],[PCLAVE2]],Tabla8[[#This Row],[DESCRIPCION DE TRABAJO]])),""))</f>
        <v/>
      </c>
      <c r="P1708" s="633" t="str">
        <f>IFERROR(LEFT(O1708, FIND(",", O1708)-1), O1708)</f>
        <v/>
      </c>
      <c r="Q1708" s="633" t="str">
        <f>IFERROR(IF(ISERROR(FIND(",", O1708, FIND(",", O1708)+1)), RIGHT(O1708, LEN(O1708)-FIND(",", O1708)-1), MID(O1708, FIND(",", O1708)+2, FIND(",", O1708, FIND(",", O1708)+1)-FIND(",", O1708)-2)), "")</f>
        <v/>
      </c>
      <c r="R1708" s="633" t="str">
        <f>IFERROR(RIGHT(O1708, LEN(O1708)-FIND(",", O1708, FIND(",", O1708)+1)-1), "")</f>
        <v/>
      </c>
      <c r="S1708" s="35" t="str" cm="1">
        <f t="array" ref="S1708">_xlfn.TEXTJOIN(", ",TRUE,_xlfn._xlws.FILTER(Tabla29[[#All],[PARTE]],ISNUMBER(SEARCH(Tabla29[[#All],[PCLAVE3]],Tabla8[[#This Row],[DESCRIPCION DE TRABAJO]])),""))</f>
        <v>Calibracion</v>
      </c>
      <c r="T1708" s="88" t="str">
        <f>IF(AND(Tabla8[[#This Row],[PIEZA]]="",Tabla8[[#This Row],[PARTE]]=""),"VACIO","OK")</f>
        <v>VACIO</v>
      </c>
      <c r="U1708" s="633" t="str">
        <f>+CONCATENATE(WEEKNUM(Tabla8[[#This Row],[FECHA]]),"-",YEAR(Tabla8[[#This Row],[FECHA]]))</f>
        <v>24-2026</v>
      </c>
    </row>
    <row r="1709" spans="1:21" ht="15" customHeight="1">
      <c r="A1709" s="22">
        <v>46184</v>
      </c>
      <c r="B1709" s="16" t="s">
        <v>88</v>
      </c>
      <c r="C1709" s="16" t="s">
        <v>36</v>
      </c>
      <c r="D1709" s="381">
        <v>0.37847222222222221</v>
      </c>
      <c r="E1709" s="381">
        <v>0.3888888888888889</v>
      </c>
      <c r="F1709" s="632">
        <f>+MOD(Tabla8[[#This Row],[HR. FIN]]-Tabla8[[#This Row],[HR. INICIO]],1)</f>
        <v>1.0416666666666685E-2</v>
      </c>
      <c r="G1709" s="16" t="s">
        <v>119</v>
      </c>
      <c r="H1709" s="79" t="str">
        <f>IFERROR(VLOOKUP(G1709,DATOS!$M$2:$N$219,2,FALSE),"")</f>
        <v>Maquinaria</v>
      </c>
      <c r="I1709" s="115" t="s">
        <v>28</v>
      </c>
      <c r="J1709" s="115" t="s">
        <v>92</v>
      </c>
      <c r="K1709" s="115" t="s">
        <v>93</v>
      </c>
      <c r="L1709" s="35" t="s">
        <v>3069</v>
      </c>
      <c r="M1709" s="35" t="s">
        <v>3070</v>
      </c>
      <c r="N1709" s="35" t="str" cm="1">
        <f t="array" ref="N1709">IFERROR(IF(Tabla8[[#This Row],[P/NP]]="NO PROGRAMADA","",_xlfn.TEXTJOIN(", ",TRUE,_xlfn._xlws.FILTER(Tabla4[[#All],[PIEZA]],ISNUMBER(SEARCH(Tabla4[[#All],[PCLAVE]],Tabla8[[#This Row],[DESCRIPCION DE TRABAJO]])),""))),"")</f>
        <v/>
      </c>
      <c r="O1709" s="35" t="str" cm="1">
        <f t="array" ref="O1709">_xlfn.TEXTJOIN(", ",TRUE,_xlfn._xlws.FILTER(Tabla28[[#All],[PARTE]],ISNUMBER(SEARCH(Tabla28[[#All],[PCLAVE2]],Tabla8[[#This Row],[DESCRIPCION DE TRABAJO]])),""))</f>
        <v/>
      </c>
      <c r="P1709" s="633" t="str">
        <f>IFERROR(LEFT(O1709, FIND(",", O1709)-1), O1709)</f>
        <v/>
      </c>
      <c r="Q1709" s="633" t="str">
        <f>IFERROR(IF(ISERROR(FIND(",", O1709, FIND(",", O1709)+1)), RIGHT(O1709, LEN(O1709)-FIND(",", O1709)-1), MID(O1709, FIND(",", O1709)+2, FIND(",", O1709, FIND(",", O1709)+1)-FIND(",", O1709)-2)), "")</f>
        <v/>
      </c>
      <c r="R1709" s="633" t="str">
        <f>IFERROR(RIGHT(O1709, LEN(O1709)-FIND(",", O1709, FIND(",", O1709)+1)-1), "")</f>
        <v/>
      </c>
      <c r="S1709" s="35" t="str" cm="1">
        <f t="array" ref="S1709">_xlfn.TEXTJOIN(", ",TRUE,_xlfn._xlws.FILTER(Tabla29[[#All],[PARTE]],ISNUMBER(SEARCH(Tabla29[[#All],[PCLAVE3]],Tabla8[[#This Row],[DESCRIPCION DE TRABAJO]])),""))</f>
        <v>Desgaste</v>
      </c>
      <c r="T1709" s="88" t="str">
        <f>IF(AND(Tabla8[[#This Row],[PIEZA]]="",Tabla8[[#This Row],[PARTE]]=""),"VACIO","OK")</f>
        <v>VACIO</v>
      </c>
      <c r="U1709" s="633" t="str">
        <f>+CONCATENATE(WEEKNUM(Tabla8[[#This Row],[FECHA]]),"-",YEAR(Tabla8[[#This Row],[FECHA]]))</f>
        <v>24-2026</v>
      </c>
    </row>
    <row r="1710" spans="1:21" ht="15" customHeight="1">
      <c r="A1710" s="22">
        <v>46184</v>
      </c>
      <c r="B1710" s="16" t="s">
        <v>111</v>
      </c>
      <c r="C1710" s="16" t="s">
        <v>23</v>
      </c>
      <c r="D1710" s="381">
        <v>0.84027777777777779</v>
      </c>
      <c r="E1710" s="381">
        <v>0.85069444444444442</v>
      </c>
      <c r="F1710" s="632">
        <f>+MOD(Tabla8[[#This Row],[HR. FIN]]-Tabla8[[#This Row],[HR. INICIO]],1)</f>
        <v>1.041666666666663E-2</v>
      </c>
      <c r="G1710" s="16" t="s">
        <v>2743</v>
      </c>
      <c r="H1710" s="79" t="str">
        <f>IFERROR(VLOOKUP(G1710,DATOS!$M$2:$N$219,2,FALSE),"")</f>
        <v>Maquinaria</v>
      </c>
      <c r="I1710" s="115" t="s">
        <v>54</v>
      </c>
      <c r="J1710" s="115" t="s">
        <v>157</v>
      </c>
      <c r="K1710" s="115"/>
      <c r="L1710" s="35" t="s">
        <v>3071</v>
      </c>
      <c r="M1710" s="35" t="s">
        <v>3072</v>
      </c>
      <c r="N1710" s="35" t="str" cm="1">
        <f t="array" ref="N1710">IFERROR(IF(Tabla8[[#This Row],[P/NP]]="NO PROGRAMADA","",_xlfn.TEXTJOIN(", ",TRUE,_xlfn._xlws.FILTER(Tabla4[[#All],[PIEZA]],ISNUMBER(SEARCH(Tabla4[[#All],[PCLAVE]],Tabla8[[#This Row],[DESCRIPCION DE TRABAJO]])),""))),"")</f>
        <v xml:space="preserve">Bomba </v>
      </c>
      <c r="O1710" s="35" t="str" cm="1">
        <f t="array" ref="O1710">_xlfn.TEXTJOIN(", ",TRUE,_xlfn._xlws.FILTER(Tabla28[[#All],[PARTE]],ISNUMBER(SEARCH(Tabla28[[#All],[PCLAVE2]],Tabla8[[#This Row],[DESCRIPCION DE TRABAJO]])),""))</f>
        <v>Temperadora</v>
      </c>
      <c r="P1710" s="633" t="str">
        <f>IFERROR(LEFT(O1710, FIND(",", O1710)-1), O1710)</f>
        <v>Temperadora</v>
      </c>
      <c r="Q1710" s="633" t="str">
        <f>IFERROR(IF(ISERROR(FIND(",", O1710, FIND(",", O1710)+1)), RIGHT(O1710, LEN(O1710)-FIND(",", O1710)-1), MID(O1710, FIND(",", O1710)+2, FIND(",", O1710, FIND(",", O1710)+1)-FIND(",", O1710)-2)), "")</f>
        <v/>
      </c>
      <c r="R1710" s="633" t="str">
        <f>IFERROR(RIGHT(O1710, LEN(O1710)-FIND(",", O1710, FIND(",", O1710)+1)-1), "")</f>
        <v/>
      </c>
      <c r="S1710" s="35" t="str" cm="1">
        <f t="array" ref="S1710">_xlfn.TEXTJOIN(", ",TRUE,_xlfn._xlws.FILTER(Tabla29[[#All],[PARTE]],ISNUMBER(SEARCH(Tabla29[[#All],[PCLAVE3]],Tabla8[[#This Row],[DESCRIPCION DE TRABAJO]])),""))</f>
        <v/>
      </c>
      <c r="T1710" s="88" t="str">
        <f>IF(AND(Tabla8[[#This Row],[PIEZA]]="",Tabla8[[#This Row],[PARTE]]=""),"VACIO","OK")</f>
        <v>OK</v>
      </c>
      <c r="U1710" s="633" t="str">
        <f>+CONCATENATE(WEEKNUM(Tabla8[[#This Row],[FECHA]]),"-",YEAR(Tabla8[[#This Row],[FECHA]]))</f>
        <v>24-2026</v>
      </c>
    </row>
    <row r="1711" spans="1:21" ht="15" customHeight="1">
      <c r="A1711" s="22">
        <v>46184</v>
      </c>
      <c r="B1711" s="16" t="s">
        <v>131</v>
      </c>
      <c r="C1711" s="16" t="s">
        <v>39</v>
      </c>
      <c r="D1711" s="381">
        <v>0.94097222222222221</v>
      </c>
      <c r="E1711" s="381">
        <v>0.95138888888888884</v>
      </c>
      <c r="F1711" s="632">
        <f>+MOD(Tabla8[[#This Row],[HR. FIN]]-Tabla8[[#This Row],[HR. INICIO]],1)</f>
        <v>1.041666666666663E-2</v>
      </c>
      <c r="G1711" s="16" t="s">
        <v>119</v>
      </c>
      <c r="H1711" s="79" t="str">
        <f>IFERROR(VLOOKUP(G1711,DATOS!$M$2:$N$219,2,FALSE),"")</f>
        <v>Maquinaria</v>
      </c>
      <c r="I1711" s="115" t="s">
        <v>186</v>
      </c>
      <c r="J1711" s="115" t="s">
        <v>92</v>
      </c>
      <c r="K1711" s="115" t="s">
        <v>93</v>
      </c>
      <c r="L1711" s="35" t="s">
        <v>3073</v>
      </c>
      <c r="M1711" s="35" t="s">
        <v>3074</v>
      </c>
      <c r="N1711" s="35" t="str" cm="1">
        <f t="array" ref="N1711">IFERROR(IF(Tabla8[[#This Row],[P/NP]]="NO PROGRAMADA","",_xlfn.TEXTJOIN(", ",TRUE,_xlfn._xlws.FILTER(Tabla4[[#All],[PIEZA]],ISNUMBER(SEARCH(Tabla4[[#All],[PCLAVE]],Tabla8[[#This Row],[DESCRIPCION DE TRABAJO]])),""))),"")</f>
        <v/>
      </c>
      <c r="O1711" s="35" t="str" cm="1">
        <f t="array" ref="O1711">_xlfn.TEXTJOIN(", ",TRUE,_xlfn._xlws.FILTER(Tabla28[[#All],[PARTE]],ISNUMBER(SEARCH(Tabla28[[#All],[PCLAVE2]],Tabla8[[#This Row],[DESCRIPCION DE TRABAJO]])),""))</f>
        <v>Sammfill, Temperadora</v>
      </c>
      <c r="P1711" s="633" t="str">
        <f>IFERROR(LEFT(O1711, FIND(",", O1711)-1), O1711)</f>
        <v>Sammfill</v>
      </c>
      <c r="Q1711" s="633" t="str">
        <f>IFERROR(IF(ISERROR(FIND(",", O1711, FIND(",", O1711)+1)), RIGHT(O1711, LEN(O1711)-FIND(",", O1711)-1), MID(O1711, FIND(",", O1711)+2, FIND(",", O1711, FIND(",", O1711)+1)-FIND(",", O1711)-2)), "")</f>
        <v>Temperadora</v>
      </c>
      <c r="R1711" s="633" t="str">
        <f>IFERROR(RIGHT(O1711, LEN(O1711)-FIND(",", O1711, FIND(",", O1711)+1)-1), "")</f>
        <v/>
      </c>
      <c r="S1711" s="35" t="str" cm="1">
        <f t="array" ref="S1711">_xlfn.TEXTJOIN(", ",TRUE,_xlfn._xlws.FILTER(Tabla29[[#All],[PARTE]],ISNUMBER(SEARCH(Tabla29[[#All],[PCLAVE3]],Tabla8[[#This Row],[DESCRIPCION DE TRABAJO]])),""))</f>
        <v>Bloqueado, No Cae Producto</v>
      </c>
      <c r="T1711" s="88" t="str">
        <f>IF(AND(Tabla8[[#This Row],[PIEZA]]="",Tabla8[[#This Row],[PARTE]]=""),"VACIO","OK")</f>
        <v>OK</v>
      </c>
      <c r="U1711" s="633" t="str">
        <f>+CONCATENATE(WEEKNUM(Tabla8[[#This Row],[FECHA]]),"-",YEAR(Tabla8[[#This Row],[FECHA]]))</f>
        <v>24-2026</v>
      </c>
    </row>
    <row r="1712" spans="1:21" ht="15" customHeight="1">
      <c r="A1712" s="22">
        <v>46184</v>
      </c>
      <c r="B1712" s="16" t="s">
        <v>131</v>
      </c>
      <c r="C1712" s="16" t="s">
        <v>39</v>
      </c>
      <c r="D1712" s="381">
        <v>0.89930555555555558</v>
      </c>
      <c r="E1712" s="381">
        <v>0.90833333333333333</v>
      </c>
      <c r="F1712" s="632">
        <f>+MOD(Tabla8[[#This Row],[HR. FIN]]-Tabla8[[#This Row],[HR. INICIO]],1)</f>
        <v>9.0277777777777457E-3</v>
      </c>
      <c r="G1712" s="16" t="s">
        <v>312</v>
      </c>
      <c r="H1712" s="79" t="str">
        <f>IFERROR(VLOOKUP(G1712,DATOS!$M$2:$N$219,2,FALSE),"")</f>
        <v>Maquinaria</v>
      </c>
      <c r="I1712" s="115" t="s">
        <v>54</v>
      </c>
      <c r="J1712" s="115" t="s">
        <v>92</v>
      </c>
      <c r="K1712" s="115" t="s">
        <v>93</v>
      </c>
      <c r="L1712" s="35" t="s">
        <v>3075</v>
      </c>
      <c r="M1712" s="35" t="s">
        <v>3076</v>
      </c>
      <c r="N1712" s="35" t="str" cm="1">
        <f t="array" ref="N1712">IFERROR(IF(Tabla8[[#This Row],[P/NP]]="NO PROGRAMADA","",_xlfn.TEXTJOIN(", ",TRUE,_xlfn._xlws.FILTER(Tabla4[[#All],[PIEZA]],ISNUMBER(SEARCH(Tabla4[[#All],[PCLAVE]],Tabla8[[#This Row],[DESCRIPCION DE TRABAJO]])),""))),"")</f>
        <v/>
      </c>
      <c r="O1712" s="35" t="str" cm="1">
        <f t="array" ref="O1712">_xlfn.TEXTJOIN(", ",TRUE,_xlfn._xlws.FILTER(Tabla28[[#All],[PARTE]],ISNUMBER(SEARCH(Tabla28[[#All],[PCLAVE2]],Tabla8[[#This Row],[DESCRIPCION DE TRABAJO]])),""))</f>
        <v>Temperadora</v>
      </c>
      <c r="P1712" s="633" t="str">
        <f>IFERROR(LEFT(O1712, FIND(",", O1712)-1), O1712)</f>
        <v>Temperadora</v>
      </c>
      <c r="Q1712" s="633" t="str">
        <f>IFERROR(IF(ISERROR(FIND(",", O1712, FIND(",", O1712)+1)), RIGHT(O1712, LEN(O1712)-FIND(",", O1712)-1), MID(O1712, FIND(",", O1712)+2, FIND(",", O1712, FIND(",", O1712)+1)-FIND(",", O1712)-2)), "")</f>
        <v/>
      </c>
      <c r="R1712" s="633" t="str">
        <f>IFERROR(RIGHT(O1712, LEN(O1712)-FIND(",", O1712, FIND(",", O1712)+1)-1), "")</f>
        <v/>
      </c>
      <c r="S1712" s="35" t="str" cm="1">
        <f t="array" ref="S1712">_xlfn.TEXTJOIN(", ",TRUE,_xlfn._xlws.FILTER(Tabla29[[#All],[PARTE]],ISNUMBER(SEARCH(Tabla29[[#All],[PCLAVE3]],Tabla8[[#This Row],[DESCRIPCION DE TRABAJO]])),""))</f>
        <v>Fuga, Fuga De Agua</v>
      </c>
      <c r="T1712" s="88" t="str">
        <f>IF(AND(Tabla8[[#This Row],[PIEZA]]="",Tabla8[[#This Row],[PARTE]]=""),"VACIO","OK")</f>
        <v>OK</v>
      </c>
      <c r="U1712" s="633" t="str">
        <f>+CONCATENATE(WEEKNUM(Tabla8[[#This Row],[FECHA]]),"-",YEAR(Tabla8[[#This Row],[FECHA]]))</f>
        <v>24-2026</v>
      </c>
    </row>
    <row r="1713" spans="1:21" ht="15" customHeight="1">
      <c r="A1713" s="22">
        <v>46184</v>
      </c>
      <c r="B1713" s="16" t="s">
        <v>131</v>
      </c>
      <c r="C1713" s="16" t="s">
        <v>39</v>
      </c>
      <c r="D1713" s="381">
        <v>0.96527777777777779</v>
      </c>
      <c r="E1713" s="381">
        <v>0.97361111111111109</v>
      </c>
      <c r="F1713" s="632">
        <f>+MOD(Tabla8[[#This Row],[HR. FIN]]-Tabla8[[#This Row],[HR. INICIO]],1)</f>
        <v>8.3333333333333037E-3</v>
      </c>
      <c r="G1713" s="16" t="s">
        <v>165</v>
      </c>
      <c r="H1713" s="79" t="str">
        <f>IFERROR(VLOOKUP(G1713,DATOS!$M$2:$N$219,2,FALSE),"")</f>
        <v>Maquinaria</v>
      </c>
      <c r="I1713" s="115" t="s">
        <v>57</v>
      </c>
      <c r="J1713" s="115" t="s">
        <v>92</v>
      </c>
      <c r="K1713" s="115" t="s">
        <v>148</v>
      </c>
      <c r="L1713" s="35" t="s">
        <v>3077</v>
      </c>
      <c r="M1713" s="35" t="s">
        <v>3078</v>
      </c>
      <c r="N1713" s="35" t="str" cm="1">
        <f t="array" ref="N1713">IFERROR(IF(Tabla8[[#This Row],[P/NP]]="NO PROGRAMADA","",_xlfn.TEXTJOIN(", ",TRUE,_xlfn._xlws.FILTER(Tabla4[[#All],[PIEZA]],ISNUMBER(SEARCH(Tabla4[[#All],[PCLAVE]],Tabla8[[#This Row],[DESCRIPCION DE TRABAJO]])),""))),"")</f>
        <v/>
      </c>
      <c r="O1713" s="35" t="str" cm="1">
        <f t="array" ref="O1713">_xlfn.TEXTJOIN(", ",TRUE,_xlfn._xlws.FILTER(Tabla28[[#All],[PARTE]],ISNUMBER(SEARCH(Tabla28[[#All],[PCLAVE2]],Tabla8[[#This Row],[DESCRIPCION DE TRABAJO]])),""))</f>
        <v/>
      </c>
      <c r="P1713" s="633" t="str">
        <f>IFERROR(LEFT(O1713, FIND(",", O1713)-1), O1713)</f>
        <v/>
      </c>
      <c r="Q1713" s="633" t="str">
        <f>IFERROR(IF(ISERROR(FIND(",", O1713, FIND(",", O1713)+1)), RIGHT(O1713, LEN(O1713)-FIND(",", O1713)-1), MID(O1713, FIND(",", O1713)+2, FIND(",", O1713, FIND(",", O1713)+1)-FIND(",", O1713)-2)), "")</f>
        <v/>
      </c>
      <c r="R1713" s="633" t="str">
        <f>IFERROR(RIGHT(O1713, LEN(O1713)-FIND(",", O1713, FIND(",", O1713)+1)-1), "")</f>
        <v/>
      </c>
      <c r="S1713" s="35" t="str" cm="1">
        <f t="array" ref="S1713">_xlfn.TEXTJOIN(", ",TRUE,_xlfn._xlws.FILTER(Tabla29[[#All],[PARTE]],ISNUMBER(SEARCH(Tabla29[[#All],[PCLAVE3]],Tabla8[[#This Row],[DESCRIPCION DE TRABAJO]])),""))</f>
        <v>Detenido</v>
      </c>
      <c r="T1713" s="88" t="str">
        <f>IF(AND(Tabla8[[#This Row],[PIEZA]]="",Tabla8[[#This Row],[PARTE]]=""),"VACIO","OK")</f>
        <v>VACIO</v>
      </c>
      <c r="U1713" s="633" t="str">
        <f>+CONCATENATE(WEEKNUM(Tabla8[[#This Row],[FECHA]]),"-",YEAR(Tabla8[[#This Row],[FECHA]]))</f>
        <v>24-2026</v>
      </c>
    </row>
    <row r="1714" spans="1:21" ht="15" customHeight="1">
      <c r="A1714" s="22">
        <v>46184</v>
      </c>
      <c r="B1714" s="16" t="s">
        <v>111</v>
      </c>
      <c r="C1714" s="16" t="s">
        <v>23</v>
      </c>
      <c r="D1714" s="381">
        <v>0.82638888888888884</v>
      </c>
      <c r="E1714" s="381">
        <v>0.83333333333333337</v>
      </c>
      <c r="F1714" s="632">
        <f>+MOD(Tabla8[[#This Row],[HR. FIN]]-Tabla8[[#This Row],[HR. INICIO]],1)</f>
        <v>6.9444444444445308E-3</v>
      </c>
      <c r="G1714" s="16" t="s">
        <v>169</v>
      </c>
      <c r="H1714" s="79" t="str">
        <f>IFERROR(VLOOKUP(G1714,DATOS!$M$2:$N$219,2,FALSE),"")</f>
        <v>Maquinaria</v>
      </c>
      <c r="I1714" s="115" t="s">
        <v>32</v>
      </c>
      <c r="J1714" s="115" t="s">
        <v>157</v>
      </c>
      <c r="K1714" s="115"/>
      <c r="L1714" s="35" t="s">
        <v>170</v>
      </c>
      <c r="M1714" s="35" t="s">
        <v>121</v>
      </c>
      <c r="N1714" s="35" t="str" cm="1">
        <f t="array" ref="N1714">IFERROR(IF(Tabla8[[#This Row],[P/NP]]="NO PROGRAMADA","",_xlfn.TEXTJOIN(", ",TRUE,_xlfn._xlws.FILTER(Tabla4[[#All],[PIEZA]],ISNUMBER(SEARCH(Tabla4[[#All],[PCLAVE]],Tabla8[[#This Row],[DESCRIPCION DE TRABAJO]])),""))),"")</f>
        <v/>
      </c>
      <c r="O1714" s="35" t="str" cm="1">
        <f t="array" ref="O1714">_xlfn.TEXTJOIN(", ",TRUE,_xlfn._xlws.FILTER(Tabla28[[#All],[PARTE]],ISNUMBER(SEARCH(Tabla28[[#All],[PCLAVE2]],Tabla8[[#This Row],[DESCRIPCION DE TRABAJO]])),""))</f>
        <v/>
      </c>
      <c r="P1714" s="633" t="str">
        <f>IFERROR(LEFT(O1714, FIND(",", O1714)-1), O1714)</f>
        <v/>
      </c>
      <c r="Q1714" s="633" t="str">
        <f>IFERROR(IF(ISERROR(FIND(",", O1714, FIND(",", O1714)+1)), RIGHT(O1714, LEN(O1714)-FIND(",", O1714)-1), MID(O1714, FIND(",", O1714)+2, FIND(",", O1714, FIND(",", O1714)+1)-FIND(",", O1714)-2)), "")</f>
        <v/>
      </c>
      <c r="R1714" s="633" t="str">
        <f>IFERROR(RIGHT(O1714, LEN(O1714)-FIND(",", O1714, FIND(",", O1714)+1)-1), "")</f>
        <v/>
      </c>
      <c r="S1714" s="35" t="str" cm="1">
        <f t="array" ref="S1714">_xlfn.TEXTJOIN(", ",TRUE,_xlfn._xlws.FILTER(Tabla29[[#All],[PARTE]],ISNUMBER(SEARCH(Tabla29[[#All],[PCLAVE3]],Tabla8[[#This Row],[DESCRIPCION DE TRABAJO]])),""))</f>
        <v/>
      </c>
      <c r="T1714" s="88" t="str">
        <f>IF(AND(Tabla8[[#This Row],[PIEZA]]="",Tabla8[[#This Row],[PARTE]]=""),"VACIO","OK")</f>
        <v>VACIO</v>
      </c>
      <c r="U1714" s="633" t="str">
        <f>+CONCATENATE(WEEKNUM(Tabla8[[#This Row],[FECHA]]),"-",YEAR(Tabla8[[#This Row],[FECHA]]))</f>
        <v>24-2026</v>
      </c>
    </row>
    <row r="1715" spans="1:21" ht="15" customHeight="1">
      <c r="A1715" s="22">
        <v>46184</v>
      </c>
      <c r="B1715" s="16" t="s">
        <v>88</v>
      </c>
      <c r="C1715" s="16" t="s">
        <v>36</v>
      </c>
      <c r="D1715" s="381">
        <v>0.31944444444444442</v>
      </c>
      <c r="E1715" s="381">
        <v>0.3263888888888889</v>
      </c>
      <c r="F1715" s="632">
        <f>+MOD(Tabla8[[#This Row],[HR. FIN]]-Tabla8[[#This Row],[HR. INICIO]],1)</f>
        <v>6.9444444444444753E-3</v>
      </c>
      <c r="G1715" s="16" t="s">
        <v>136</v>
      </c>
      <c r="H1715" s="79" t="str">
        <f>IFERROR(VLOOKUP(G1715,DATOS!$M$2:$N$219,2,FALSE),"")</f>
        <v>Maquinaria</v>
      </c>
      <c r="I1715" s="115" t="s">
        <v>28</v>
      </c>
      <c r="J1715" s="115" t="s">
        <v>92</v>
      </c>
      <c r="K1715" s="115" t="s">
        <v>93</v>
      </c>
      <c r="L1715" s="35" t="s">
        <v>3079</v>
      </c>
      <c r="M1715" s="35" t="s">
        <v>3080</v>
      </c>
      <c r="N1715" s="35" t="str" cm="1">
        <f t="array" ref="N1715">IFERROR(IF(Tabla8[[#This Row],[P/NP]]="NO PROGRAMADA","",_xlfn.TEXTJOIN(", ",TRUE,_xlfn._xlws.FILTER(Tabla4[[#All],[PIEZA]],ISNUMBER(SEARCH(Tabla4[[#All],[PCLAVE]],Tabla8[[#This Row],[DESCRIPCION DE TRABAJO]])),""))),"")</f>
        <v/>
      </c>
      <c r="O1715" s="35" t="str" cm="1">
        <f t="array" ref="O1715">_xlfn.TEXTJOIN(", ",TRUE,_xlfn._xlws.FILTER(Tabla28[[#All],[PARTE]],ISNUMBER(SEARCH(Tabla28[[#All],[PCLAVE2]],Tabla8[[#This Row],[DESCRIPCION DE TRABAJO]])),""))</f>
        <v/>
      </c>
      <c r="P1715" s="633" t="str">
        <f>IFERROR(LEFT(O1715, FIND(",", O1715)-1), O1715)</f>
        <v/>
      </c>
      <c r="Q1715" s="633" t="str">
        <f>IFERROR(IF(ISERROR(FIND(",", O1715, FIND(",", O1715)+1)), RIGHT(O1715, LEN(O1715)-FIND(",", O1715)-1), MID(O1715, FIND(",", O1715)+2, FIND(",", O1715, FIND(",", O1715)+1)-FIND(",", O1715)-2)), "")</f>
        <v/>
      </c>
      <c r="R1715" s="633" t="str">
        <f>IFERROR(RIGHT(O1715, LEN(O1715)-FIND(",", O1715, FIND(",", O1715)+1)-1), "")</f>
        <v/>
      </c>
      <c r="S1715" s="35" t="str" cm="1">
        <f t="array" ref="S1715">_xlfn.TEXTJOIN(", ",TRUE,_xlfn._xlws.FILTER(Tabla29[[#All],[PARTE]],ISNUMBER(SEARCH(Tabla29[[#All],[PCLAVE3]],Tabla8[[#This Row],[DESCRIPCION DE TRABAJO]])),""))</f>
        <v>Dañado, Carga/descarga</v>
      </c>
      <c r="T1715" s="88" t="str">
        <f>IF(AND(Tabla8[[#This Row],[PIEZA]]="",Tabla8[[#This Row],[PARTE]]=""),"VACIO","OK")</f>
        <v>VACIO</v>
      </c>
      <c r="U1715" s="633" t="str">
        <f>+CONCATENATE(WEEKNUM(Tabla8[[#This Row],[FECHA]]),"-",YEAR(Tabla8[[#This Row],[FECHA]]))</f>
        <v>24-2026</v>
      </c>
    </row>
    <row r="1716" spans="1:21" ht="15" customHeight="1">
      <c r="A1716" s="22">
        <v>46184</v>
      </c>
      <c r="B1716" s="16" t="s">
        <v>111</v>
      </c>
      <c r="C1716" s="16" t="s">
        <v>23</v>
      </c>
      <c r="D1716" s="381">
        <v>0.69444444444444442</v>
      </c>
      <c r="E1716" s="381">
        <v>0.70138888888888884</v>
      </c>
      <c r="F1716" s="632">
        <f>+MOD(Tabla8[[#This Row],[HR. FIN]]-Tabla8[[#This Row],[HR. INICIO]],1)</f>
        <v>6.9444444444444198E-3</v>
      </c>
      <c r="G1716" s="16" t="s">
        <v>169</v>
      </c>
      <c r="H1716" s="79" t="str">
        <f>IFERROR(VLOOKUP(G1716,DATOS!$M$2:$N$219,2,FALSE),"")</f>
        <v>Maquinaria</v>
      </c>
      <c r="I1716" s="115" t="s">
        <v>32</v>
      </c>
      <c r="J1716" s="115" t="s">
        <v>157</v>
      </c>
      <c r="K1716" s="115"/>
      <c r="L1716" s="35" t="s">
        <v>170</v>
      </c>
      <c r="M1716" s="35" t="s">
        <v>121</v>
      </c>
      <c r="N1716" s="35" t="str" cm="1">
        <f t="array" ref="N1716">IFERROR(IF(Tabla8[[#This Row],[P/NP]]="NO PROGRAMADA","",_xlfn.TEXTJOIN(", ",TRUE,_xlfn._xlws.FILTER(Tabla4[[#All],[PIEZA]],ISNUMBER(SEARCH(Tabla4[[#All],[PCLAVE]],Tabla8[[#This Row],[DESCRIPCION DE TRABAJO]])),""))),"")</f>
        <v/>
      </c>
      <c r="O1716" s="35" t="str" cm="1">
        <f t="array" ref="O1716">_xlfn.TEXTJOIN(", ",TRUE,_xlfn._xlws.FILTER(Tabla28[[#All],[PARTE]],ISNUMBER(SEARCH(Tabla28[[#All],[PCLAVE2]],Tabla8[[#This Row],[DESCRIPCION DE TRABAJO]])),""))</f>
        <v/>
      </c>
      <c r="P1716" s="633" t="str">
        <f>IFERROR(LEFT(O1716, FIND(",", O1716)-1), O1716)</f>
        <v/>
      </c>
      <c r="Q1716" s="633" t="str">
        <f>IFERROR(IF(ISERROR(FIND(",", O1716, FIND(",", O1716)+1)), RIGHT(O1716, LEN(O1716)-FIND(",", O1716)-1), MID(O1716, FIND(",", O1716)+2, FIND(",", O1716, FIND(",", O1716)+1)-FIND(",", O1716)-2)), "")</f>
        <v/>
      </c>
      <c r="R1716" s="633" t="str">
        <f>IFERROR(RIGHT(O1716, LEN(O1716)-FIND(",", O1716, FIND(",", O1716)+1)-1), "")</f>
        <v/>
      </c>
      <c r="S1716" s="35" t="str" cm="1">
        <f t="array" ref="S1716">_xlfn.TEXTJOIN(", ",TRUE,_xlfn._xlws.FILTER(Tabla29[[#All],[PARTE]],ISNUMBER(SEARCH(Tabla29[[#All],[PCLAVE3]],Tabla8[[#This Row],[DESCRIPCION DE TRABAJO]])),""))</f>
        <v/>
      </c>
      <c r="T1716" s="88" t="str">
        <f>IF(AND(Tabla8[[#This Row],[PIEZA]]="",Tabla8[[#This Row],[PARTE]]=""),"VACIO","OK")</f>
        <v>VACIO</v>
      </c>
      <c r="U1716" s="633" t="str">
        <f>+CONCATENATE(WEEKNUM(Tabla8[[#This Row],[FECHA]]),"-",YEAR(Tabla8[[#This Row],[FECHA]]))</f>
        <v>24-2026</v>
      </c>
    </row>
    <row r="1717" spans="1:21" ht="15" customHeight="1">
      <c r="A1717" s="22">
        <v>46184</v>
      </c>
      <c r="B1717" s="16" t="s">
        <v>111</v>
      </c>
      <c r="C1717" s="16" t="s">
        <v>23</v>
      </c>
      <c r="D1717" s="381">
        <v>0.74305555555555558</v>
      </c>
      <c r="E1717" s="381">
        <v>0.75</v>
      </c>
      <c r="F1717" s="632">
        <f>+MOD(Tabla8[[#This Row],[HR. FIN]]-Tabla8[[#This Row],[HR. INICIO]],1)</f>
        <v>6.9444444444444198E-3</v>
      </c>
      <c r="G1717" s="16" t="s">
        <v>169</v>
      </c>
      <c r="H1717" s="79" t="str">
        <f>IFERROR(VLOOKUP(G1717,DATOS!$M$2:$N$219,2,FALSE),"")</f>
        <v>Maquinaria</v>
      </c>
      <c r="I1717" s="115" t="s">
        <v>32</v>
      </c>
      <c r="J1717" s="115" t="s">
        <v>157</v>
      </c>
      <c r="K1717" s="115"/>
      <c r="L1717" s="35" t="s">
        <v>449</v>
      </c>
      <c r="M1717" s="35" t="s">
        <v>121</v>
      </c>
      <c r="N1717" s="35" t="str" cm="1">
        <f t="array" ref="N1717">IFERROR(IF(Tabla8[[#This Row],[P/NP]]="NO PROGRAMADA","",_xlfn.TEXTJOIN(", ",TRUE,_xlfn._xlws.FILTER(Tabla4[[#All],[PIEZA]],ISNUMBER(SEARCH(Tabla4[[#All],[PCLAVE]],Tabla8[[#This Row],[DESCRIPCION DE TRABAJO]])),""))),"")</f>
        <v/>
      </c>
      <c r="O1717" s="35" t="str" cm="1">
        <f t="array" ref="O1717">_xlfn.TEXTJOIN(", ",TRUE,_xlfn._xlws.FILTER(Tabla28[[#All],[PARTE]],ISNUMBER(SEARCH(Tabla28[[#All],[PCLAVE2]],Tabla8[[#This Row],[DESCRIPCION DE TRABAJO]])),""))</f>
        <v/>
      </c>
      <c r="P1717" s="633" t="str">
        <f>IFERROR(LEFT(O1717, FIND(",", O1717)-1), O1717)</f>
        <v/>
      </c>
      <c r="Q1717" s="633" t="str">
        <f>IFERROR(IF(ISERROR(FIND(",", O1717, FIND(",", O1717)+1)), RIGHT(O1717, LEN(O1717)-FIND(",", O1717)-1), MID(O1717, FIND(",", O1717)+2, FIND(",", O1717, FIND(",", O1717)+1)-FIND(",", O1717)-2)), "")</f>
        <v/>
      </c>
      <c r="R1717" s="633" t="str">
        <f>IFERROR(RIGHT(O1717, LEN(O1717)-FIND(",", O1717, FIND(",", O1717)+1)-1), "")</f>
        <v/>
      </c>
      <c r="S1717" s="35" t="str" cm="1">
        <f t="array" ref="S1717">_xlfn.TEXTJOIN(", ",TRUE,_xlfn._xlws.FILTER(Tabla29[[#All],[PARTE]],ISNUMBER(SEARCH(Tabla29[[#All],[PCLAVE3]],Tabla8[[#This Row],[DESCRIPCION DE TRABAJO]])),""))</f>
        <v/>
      </c>
      <c r="T1717" s="88" t="str">
        <f>IF(AND(Tabla8[[#This Row],[PIEZA]]="",Tabla8[[#This Row],[PARTE]]=""),"VACIO","OK")</f>
        <v>VACIO</v>
      </c>
      <c r="U1717" s="633" t="str">
        <f>+CONCATENATE(WEEKNUM(Tabla8[[#This Row],[FECHA]]),"-",YEAR(Tabla8[[#This Row],[FECHA]]))</f>
        <v>24-2026</v>
      </c>
    </row>
    <row r="1718" spans="1:21" ht="15" customHeight="1">
      <c r="A1718" s="22">
        <v>46185</v>
      </c>
      <c r="B1718" s="16" t="s">
        <v>179</v>
      </c>
      <c r="C1718" s="16" t="s">
        <v>23</v>
      </c>
      <c r="D1718" s="381">
        <v>0.54861111111111116</v>
      </c>
      <c r="E1718" s="381">
        <v>0.61111111111111116</v>
      </c>
      <c r="F1718" s="632">
        <f>+MOD(Tabla8[[#This Row],[HR. FIN]]-Tabla8[[#This Row],[HR. INICIO]],1)</f>
        <v>6.25E-2</v>
      </c>
      <c r="G1718" s="16" t="s">
        <v>128</v>
      </c>
      <c r="H1718" s="79" t="str">
        <f>IFERROR(VLOOKUP(G1718,DATOS!$M$2:$N$219,2,FALSE),"")</f>
        <v>Maquinaria</v>
      </c>
      <c r="I1718" s="115" t="s">
        <v>61</v>
      </c>
      <c r="J1718" s="115" t="s">
        <v>92</v>
      </c>
      <c r="K1718" s="115" t="s">
        <v>93</v>
      </c>
      <c r="L1718" s="35" t="s">
        <v>3081</v>
      </c>
      <c r="M1718" s="35" t="s">
        <v>3082</v>
      </c>
      <c r="N1718" s="35" t="str" cm="1">
        <f t="array" ref="N1718">IFERROR(IF(Tabla8[[#This Row],[P/NP]]="NO PROGRAMADA","",_xlfn.TEXTJOIN(", ",TRUE,_xlfn._xlws.FILTER(Tabla4[[#All],[PIEZA]],ISNUMBER(SEARCH(Tabla4[[#All],[PCLAVE]],Tabla8[[#This Row],[DESCRIPCION DE TRABAJO]])),""))),"")</f>
        <v/>
      </c>
      <c r="O1718" s="35" t="str" cm="1">
        <f t="array" ref="O1718">_xlfn.TEXTJOIN(", ",TRUE,_xlfn._xlws.FILTER(Tabla28[[#All],[PARTE]],ISNUMBER(SEARCH(Tabla28[[#All],[PCLAVE2]],Tabla8[[#This Row],[DESCRIPCION DE TRABAJO]])),""))</f>
        <v/>
      </c>
      <c r="P1718" s="633" t="str">
        <f>IFERROR(LEFT(O1718, FIND(",", O1718)-1), O1718)</f>
        <v/>
      </c>
      <c r="Q1718" s="633" t="str">
        <f>IFERROR(IF(ISERROR(FIND(",", O1718, FIND(",", O1718)+1)), RIGHT(O1718, LEN(O1718)-FIND(",", O1718)-1), MID(O1718, FIND(",", O1718)+2, FIND(",", O1718, FIND(",", O1718)+1)-FIND(",", O1718)-2)), "")</f>
        <v/>
      </c>
      <c r="R1718" s="633" t="str">
        <f>IFERROR(RIGHT(O1718, LEN(O1718)-FIND(",", O1718, FIND(",", O1718)+1)-1), "")</f>
        <v/>
      </c>
      <c r="S1718" s="35" t="str" cm="1">
        <f t="array" ref="S1718">_xlfn.TEXTJOIN(", ",TRUE,_xlfn._xlws.FILTER(Tabla29[[#All],[PARTE]],ISNUMBER(SEARCH(Tabla29[[#All],[PCLAVE3]],Tabla8[[#This Row],[DESCRIPCION DE TRABAJO]])),""))</f>
        <v>No Corta</v>
      </c>
      <c r="T1718" s="88" t="str">
        <f>IF(AND(Tabla8[[#This Row],[PIEZA]]="",Tabla8[[#This Row],[PARTE]]=""),"VACIO","OK")</f>
        <v>VACIO</v>
      </c>
      <c r="U1718" s="633" t="str">
        <f>+CONCATENATE(WEEKNUM(Tabla8[[#This Row],[FECHA]]),"-",YEAR(Tabla8[[#This Row],[FECHA]]))</f>
        <v>24-2026</v>
      </c>
    </row>
    <row r="1719" spans="1:21" ht="15" customHeight="1">
      <c r="A1719" s="22">
        <v>46185</v>
      </c>
      <c r="B1719" s="16" t="s">
        <v>179</v>
      </c>
      <c r="C1719" s="16" t="s">
        <v>23</v>
      </c>
      <c r="D1719" s="381">
        <v>0.63194444444444442</v>
      </c>
      <c r="E1719" s="381">
        <v>0.66666666666666663</v>
      </c>
      <c r="F1719" s="632">
        <f>+MOD(Tabla8[[#This Row],[HR. FIN]]-Tabla8[[#This Row],[HR. INICIO]],1)</f>
        <v>3.472222222222221E-2</v>
      </c>
      <c r="G1719" s="16" t="s">
        <v>192</v>
      </c>
      <c r="H1719" s="79" t="str">
        <f>IFERROR(VLOOKUP(G1719,DATOS!$M$2:$N$219,2,FALSE),"")</f>
        <v>Maquinaria</v>
      </c>
      <c r="I1719" s="115" t="s">
        <v>32</v>
      </c>
      <c r="J1719" s="115" t="s">
        <v>157</v>
      </c>
      <c r="K1719" s="115"/>
      <c r="L1719" s="35" t="s">
        <v>3083</v>
      </c>
      <c r="M1719" s="35" t="s">
        <v>121</v>
      </c>
      <c r="N1719" s="35" t="str" cm="1">
        <f t="array" ref="N1719">IFERROR(IF(Tabla8[[#This Row],[P/NP]]="NO PROGRAMADA","",_xlfn.TEXTJOIN(", ",TRUE,_xlfn._xlws.FILTER(Tabla4[[#All],[PIEZA]],ISNUMBER(SEARCH(Tabla4[[#All],[PCLAVE]],Tabla8[[#This Row],[DESCRIPCION DE TRABAJO]])),""))),"")</f>
        <v/>
      </c>
      <c r="O1719" s="35" t="str" cm="1">
        <f t="array" ref="O1719">_xlfn.TEXTJOIN(", ",TRUE,_xlfn._xlws.FILTER(Tabla28[[#All],[PARTE]],ISNUMBER(SEARCH(Tabla28[[#All],[PCLAVE2]],Tabla8[[#This Row],[DESCRIPCION DE TRABAJO]])),""))</f>
        <v/>
      </c>
      <c r="P1719" s="633" t="str">
        <f>IFERROR(LEFT(O1719, FIND(",", O1719)-1), O1719)</f>
        <v/>
      </c>
      <c r="Q1719" s="633" t="str">
        <f>IFERROR(IF(ISERROR(FIND(",", O1719, FIND(",", O1719)+1)), RIGHT(O1719, LEN(O1719)-FIND(",", O1719)-1), MID(O1719, FIND(",", O1719)+2, FIND(",", O1719, FIND(",", O1719)+1)-FIND(",", O1719)-2)), "")</f>
        <v/>
      </c>
      <c r="R1719" s="633" t="str">
        <f>IFERROR(RIGHT(O1719, LEN(O1719)-FIND(",", O1719, FIND(",", O1719)+1)-1), "")</f>
        <v/>
      </c>
      <c r="S1719" s="35" t="str" cm="1">
        <f t="array" ref="S1719">_xlfn.TEXTJOIN(", ",TRUE,_xlfn._xlws.FILTER(Tabla29[[#All],[PARTE]],ISNUMBER(SEARCH(Tabla29[[#All],[PCLAVE3]],Tabla8[[#This Row],[DESCRIPCION DE TRABAJO]])),""))</f>
        <v>Cambio De Formato</v>
      </c>
      <c r="T1719" s="88" t="str">
        <f>IF(AND(Tabla8[[#This Row],[PIEZA]]="",Tabla8[[#This Row],[PARTE]]=""),"VACIO","OK")</f>
        <v>VACIO</v>
      </c>
      <c r="U1719" s="633" t="str">
        <f>+CONCATENATE(WEEKNUM(Tabla8[[#This Row],[FECHA]]),"-",YEAR(Tabla8[[#This Row],[FECHA]]))</f>
        <v>24-2026</v>
      </c>
    </row>
    <row r="1720" spans="1:21" ht="15" customHeight="1">
      <c r="A1720" s="22">
        <v>46185</v>
      </c>
      <c r="B1720" s="16" t="s">
        <v>179</v>
      </c>
      <c r="C1720" s="16" t="s">
        <v>23</v>
      </c>
      <c r="D1720" s="381">
        <v>0.71527777777777779</v>
      </c>
      <c r="E1720" s="381">
        <v>0.73611111111111116</v>
      </c>
      <c r="F1720" s="632">
        <f>+MOD(Tabla8[[#This Row],[HR. FIN]]-Tabla8[[#This Row],[HR. INICIO]],1)</f>
        <v>2.083333333333337E-2</v>
      </c>
      <c r="G1720" s="16" t="s">
        <v>365</v>
      </c>
      <c r="H1720" s="79" t="str">
        <f>IFERROR(VLOOKUP(G1720,DATOS!$M$2:$N$219,2,FALSE),"")</f>
        <v>Area</v>
      </c>
      <c r="I1720" s="115" t="s">
        <v>28</v>
      </c>
      <c r="J1720" s="115" t="s">
        <v>92</v>
      </c>
      <c r="K1720" s="115" t="s">
        <v>93</v>
      </c>
      <c r="L1720" s="35" t="s">
        <v>3084</v>
      </c>
      <c r="M1720" s="35" t="s">
        <v>3085</v>
      </c>
      <c r="N1720" s="35" t="str" cm="1">
        <f t="array" ref="N1720">IFERROR(IF(Tabla8[[#This Row],[P/NP]]="NO PROGRAMADA","",_xlfn.TEXTJOIN(", ",TRUE,_xlfn._xlws.FILTER(Tabla4[[#All],[PIEZA]],ISNUMBER(SEARCH(Tabla4[[#All],[PCLAVE]],Tabla8[[#This Row],[DESCRIPCION DE TRABAJO]])),""))),"")</f>
        <v/>
      </c>
      <c r="O1720" s="35" t="str" cm="1">
        <f t="array" ref="O1720">_xlfn.TEXTJOIN(", ",TRUE,_xlfn._xlws.FILTER(Tabla28[[#All],[PARTE]],ISNUMBER(SEARCH(Tabla28[[#All],[PCLAVE2]],Tabla8[[#This Row],[DESCRIPCION DE TRABAJO]])),""))</f>
        <v>Camara De Temperado</v>
      </c>
      <c r="P1720" s="633" t="str">
        <f>IFERROR(LEFT(O1720, FIND(",", O1720)-1), O1720)</f>
        <v>Camara De Temperado</v>
      </c>
      <c r="Q1720" s="633" t="str">
        <f>IFERROR(IF(ISERROR(FIND(",", O1720, FIND(",", O1720)+1)), RIGHT(O1720, LEN(O1720)-FIND(",", O1720)-1), MID(O1720, FIND(",", O1720)+2, FIND(",", O1720, FIND(",", O1720)+1)-FIND(",", O1720)-2)), "")</f>
        <v/>
      </c>
      <c r="R1720" s="633" t="str">
        <f>IFERROR(RIGHT(O1720, LEN(O1720)-FIND(",", O1720, FIND(",", O1720)+1)-1), "")</f>
        <v/>
      </c>
      <c r="S1720" s="35" t="str" cm="1">
        <f t="array" ref="S1720">_xlfn.TEXTJOIN(", ",TRUE,_xlfn._xlws.FILTER(Tabla29[[#All],[PARTE]],ISNUMBER(SEARCH(Tabla29[[#All],[PCLAVE3]],Tabla8[[#This Row],[DESCRIPCION DE TRABAJO]])),""))</f>
        <v>Muy Frio</v>
      </c>
      <c r="T1720" s="88" t="str">
        <f>IF(AND(Tabla8[[#This Row],[PIEZA]]="",Tabla8[[#This Row],[PARTE]]=""),"VACIO","OK")</f>
        <v>OK</v>
      </c>
      <c r="U1720" s="633" t="str">
        <f>+CONCATENATE(WEEKNUM(Tabla8[[#This Row],[FECHA]]),"-",YEAR(Tabla8[[#This Row],[FECHA]]))</f>
        <v>24-2026</v>
      </c>
    </row>
    <row r="1721" spans="1:21" ht="15" customHeight="1">
      <c r="A1721" s="22">
        <v>46185</v>
      </c>
      <c r="B1721" s="16" t="s">
        <v>179</v>
      </c>
      <c r="C1721" s="16" t="s">
        <v>23</v>
      </c>
      <c r="D1721" s="381">
        <v>0.75</v>
      </c>
      <c r="E1721" s="381">
        <v>0.77083333333333337</v>
      </c>
      <c r="F1721" s="632">
        <f>+MOD(Tabla8[[#This Row],[HR. FIN]]-Tabla8[[#This Row],[HR. INICIO]],1)</f>
        <v>2.083333333333337E-2</v>
      </c>
      <c r="G1721" s="16" t="s">
        <v>24</v>
      </c>
      <c r="H1721" s="79" t="str">
        <f>IFERROR(VLOOKUP(G1721,DATOS!$M$2:$N$219,2,FALSE),"")</f>
        <v>Maquinaria</v>
      </c>
      <c r="I1721" s="115" t="s">
        <v>32</v>
      </c>
      <c r="J1721" s="115" t="s">
        <v>157</v>
      </c>
      <c r="K1721" s="115"/>
      <c r="L1721" s="35" t="s">
        <v>3086</v>
      </c>
      <c r="M1721" s="35" t="s">
        <v>121</v>
      </c>
      <c r="N1721" s="35" t="str" cm="1">
        <f t="array" ref="N1721">IFERROR(IF(Tabla8[[#This Row],[P/NP]]="NO PROGRAMADA","",_xlfn.TEXTJOIN(", ",TRUE,_xlfn._xlws.FILTER(Tabla4[[#All],[PIEZA]],ISNUMBER(SEARCH(Tabla4[[#All],[PCLAVE]],Tabla8[[#This Row],[DESCRIPCION DE TRABAJO]])),""))),"")</f>
        <v>Gomas, Pinzas</v>
      </c>
      <c r="O1721" s="35" t="str" cm="1">
        <f t="array" ref="O1721">_xlfn.TEXTJOIN(", ",TRUE,_xlfn._xlws.FILTER(Tabla28[[#All],[PARTE]],ISNUMBER(SEARCH(Tabla28[[#All],[PCLAVE2]],Tabla8[[#This Row],[DESCRIPCION DE TRABAJO]])),""))</f>
        <v/>
      </c>
      <c r="P1721" s="633" t="str">
        <f>IFERROR(LEFT(O1721, FIND(",", O1721)-1), O1721)</f>
        <v/>
      </c>
      <c r="Q1721" s="633" t="str">
        <f>IFERROR(IF(ISERROR(FIND(",", O1721, FIND(",", O1721)+1)), RIGHT(O1721, LEN(O1721)-FIND(",", O1721)-1), MID(O1721, FIND(",", O1721)+2, FIND(",", O1721, FIND(",", O1721)+1)-FIND(",", O1721)-2)), "")</f>
        <v/>
      </c>
      <c r="R1721" s="633" t="str">
        <f>IFERROR(RIGHT(O1721, LEN(O1721)-FIND(",", O1721, FIND(",", O1721)+1)-1), "")</f>
        <v/>
      </c>
      <c r="S1721" s="35" t="str" cm="1">
        <f t="array" ref="S1721">_xlfn.TEXTJOIN(", ",TRUE,_xlfn._xlws.FILTER(Tabla29[[#All],[PARTE]],ISNUMBER(SEARCH(Tabla29[[#All],[PCLAVE3]],Tabla8[[#This Row],[DESCRIPCION DE TRABAJO]])),""))</f>
        <v/>
      </c>
      <c r="T1721" s="88" t="str">
        <f>IF(AND(Tabla8[[#This Row],[PIEZA]]="",Tabla8[[#This Row],[PARTE]]=""),"VACIO","OK")</f>
        <v>OK</v>
      </c>
      <c r="U1721" s="633" t="str">
        <f>+CONCATENATE(WEEKNUM(Tabla8[[#This Row],[FECHA]]),"-",YEAR(Tabla8[[#This Row],[FECHA]]))</f>
        <v>24-2026</v>
      </c>
    </row>
    <row r="1722" spans="1:21" ht="15" customHeight="1">
      <c r="A1722" s="22">
        <v>46185</v>
      </c>
      <c r="B1722" s="16" t="s">
        <v>179</v>
      </c>
      <c r="C1722" s="16" t="s">
        <v>36</v>
      </c>
      <c r="D1722" s="381" t="s">
        <v>464</v>
      </c>
      <c r="E1722" s="381" t="s">
        <v>584</v>
      </c>
      <c r="F1722" s="632">
        <f>+MOD(Tabla8[[#This Row],[HR. FIN]]-Tabla8[[#This Row],[HR. INICIO]],1)</f>
        <v>1.0416666666666741E-2</v>
      </c>
      <c r="G1722" s="16" t="s">
        <v>169</v>
      </c>
      <c r="H1722" s="79" t="str">
        <f>IFERROR(VLOOKUP(G1722,DATOS!$M$2:$N$219,2,FALSE),"")</f>
        <v>Maquinaria</v>
      </c>
      <c r="I1722" s="115" t="s">
        <v>32</v>
      </c>
      <c r="J1722" s="115" t="s">
        <v>157</v>
      </c>
      <c r="K1722" s="115"/>
      <c r="L1722" s="35" t="s">
        <v>1680</v>
      </c>
      <c r="M1722" s="35" t="s">
        <v>121</v>
      </c>
      <c r="N1722" s="35" t="str" cm="1">
        <f t="array" ref="N1722">IFERROR(IF(Tabla8[[#This Row],[P/NP]]="NO PROGRAMADA","",_xlfn.TEXTJOIN(", ",TRUE,_xlfn._xlws.FILTER(Tabla4[[#All],[PIEZA]],ISNUMBER(SEARCH(Tabla4[[#All],[PCLAVE]],Tabla8[[#This Row],[DESCRIPCION DE TRABAJO]])),""))),"")</f>
        <v/>
      </c>
      <c r="O1722" s="35" t="str" cm="1">
        <f t="array" ref="O1722">_xlfn.TEXTJOIN(", ",TRUE,_xlfn._xlws.FILTER(Tabla28[[#All],[PARTE]],ISNUMBER(SEARCH(Tabla28[[#All],[PCLAVE2]],Tabla8[[#This Row],[DESCRIPCION DE TRABAJO]])),""))</f>
        <v/>
      </c>
      <c r="P1722" s="633" t="str">
        <f>IFERROR(LEFT(O1722, FIND(",", O1722)-1), O1722)</f>
        <v/>
      </c>
      <c r="Q1722" s="633" t="str">
        <f>IFERROR(IF(ISERROR(FIND(",", O1722, FIND(",", O1722)+1)), RIGHT(O1722, LEN(O1722)-FIND(",", O1722)-1), MID(O1722, FIND(",", O1722)+2, FIND(",", O1722, FIND(",", O1722)+1)-FIND(",", O1722)-2)), "")</f>
        <v/>
      </c>
      <c r="R1722" s="633" t="str">
        <f>IFERROR(RIGHT(O1722, LEN(O1722)-FIND(",", O1722, FIND(",", O1722)+1)-1), "")</f>
        <v/>
      </c>
      <c r="S1722" s="35" t="str" cm="1">
        <f t="array" ref="S1722">_xlfn.TEXTJOIN(", ",TRUE,_xlfn._xlws.FILTER(Tabla29[[#All],[PARTE]],ISNUMBER(SEARCH(Tabla29[[#All],[PCLAVE3]],Tabla8[[#This Row],[DESCRIPCION DE TRABAJO]])),""))</f>
        <v/>
      </c>
      <c r="T1722" s="88" t="str">
        <f>IF(AND(Tabla8[[#This Row],[PIEZA]]="",Tabla8[[#This Row],[PARTE]]=""),"VACIO","OK")</f>
        <v>VACIO</v>
      </c>
      <c r="U1722" s="633" t="str">
        <f>+CONCATENATE(WEEKNUM(Tabla8[[#This Row],[FECHA]]),"-",YEAR(Tabla8[[#This Row],[FECHA]]))</f>
        <v>24-2026</v>
      </c>
    </row>
    <row r="1723" spans="1:21" ht="15" customHeight="1">
      <c r="A1723" s="22">
        <v>46185</v>
      </c>
      <c r="B1723" s="16" t="s">
        <v>179</v>
      </c>
      <c r="C1723" s="16" t="s">
        <v>23</v>
      </c>
      <c r="D1723" s="381">
        <v>0.80902777777777779</v>
      </c>
      <c r="E1723" s="381">
        <v>0.81944444444444442</v>
      </c>
      <c r="F1723" s="632">
        <f>+MOD(Tabla8[[#This Row],[HR. FIN]]-Tabla8[[#This Row],[HR. INICIO]],1)</f>
        <v>1.041666666666663E-2</v>
      </c>
      <c r="G1723" s="16" t="s">
        <v>192</v>
      </c>
      <c r="H1723" s="79" t="str">
        <f>IFERROR(VLOOKUP(G1723,DATOS!$M$2:$N$219,2,FALSE),"")</f>
        <v>Maquinaria</v>
      </c>
      <c r="I1723" s="115" t="s">
        <v>57</v>
      </c>
      <c r="J1723" s="115" t="s">
        <v>92</v>
      </c>
      <c r="K1723" s="115" t="s">
        <v>93</v>
      </c>
      <c r="L1723" s="35" t="s">
        <v>3087</v>
      </c>
      <c r="M1723" s="35" t="s">
        <v>3088</v>
      </c>
      <c r="N1723" s="35" t="str" cm="1">
        <f t="array" ref="N1723">IFERROR(IF(Tabla8[[#This Row],[P/NP]]="NO PROGRAMADA","",_xlfn.TEXTJOIN(", ",TRUE,_xlfn._xlws.FILTER(Tabla4[[#All],[PIEZA]],ISNUMBER(SEARCH(Tabla4[[#All],[PCLAVE]],Tabla8[[#This Row],[DESCRIPCION DE TRABAJO]])),""))),"")</f>
        <v/>
      </c>
      <c r="O1723" s="35" t="str" cm="1">
        <f t="array" ref="O1723">_xlfn.TEXTJOIN(", ",TRUE,_xlfn._xlws.FILTER(Tabla28[[#All],[PARTE]],ISNUMBER(SEARCH(Tabla28[[#All],[PCLAVE2]],Tabla8[[#This Row],[DESCRIPCION DE TRABAJO]])),""))</f>
        <v/>
      </c>
      <c r="P1723" s="633" t="str">
        <f>IFERROR(LEFT(O1723, FIND(",", O1723)-1), O1723)</f>
        <v/>
      </c>
      <c r="Q1723" s="633" t="str">
        <f>IFERROR(IF(ISERROR(FIND(",", O1723, FIND(",", O1723)+1)), RIGHT(O1723, LEN(O1723)-FIND(",", O1723)-1), MID(O1723, FIND(",", O1723)+2, FIND(",", O1723, FIND(",", O1723)+1)-FIND(",", O1723)-2)), "")</f>
        <v/>
      </c>
      <c r="R1723" s="633" t="str">
        <f>IFERROR(RIGHT(O1723, LEN(O1723)-FIND(",", O1723, FIND(",", O1723)+1)-1), "")</f>
        <v/>
      </c>
      <c r="S1723" s="35" t="str" cm="1">
        <f t="array" ref="S1723">_xlfn.TEXTJOIN(", ",TRUE,_xlfn._xlws.FILTER(Tabla29[[#All],[PARTE]],ISNUMBER(SEARCH(Tabla29[[#All],[PCLAVE3]],Tabla8[[#This Row],[DESCRIPCION DE TRABAJO]])),""))</f>
        <v>Mancha Etiquetas</v>
      </c>
      <c r="T1723" s="88" t="str">
        <f>IF(AND(Tabla8[[#This Row],[PIEZA]]="",Tabla8[[#This Row],[PARTE]]=""),"VACIO","OK")</f>
        <v>VACIO</v>
      </c>
      <c r="U1723" s="633" t="str">
        <f>+CONCATENATE(WEEKNUM(Tabla8[[#This Row],[FECHA]]),"-",YEAR(Tabla8[[#This Row],[FECHA]]))</f>
        <v>24-2026</v>
      </c>
    </row>
    <row r="1724" spans="1:21" ht="15" customHeight="1">
      <c r="A1724" s="22">
        <v>46185</v>
      </c>
      <c r="B1724" s="16" t="s">
        <v>179</v>
      </c>
      <c r="C1724" s="16" t="s">
        <v>36</v>
      </c>
      <c r="D1724" s="381">
        <v>0.69444444444444442</v>
      </c>
      <c r="E1724" s="381">
        <v>0.70138888888888884</v>
      </c>
      <c r="F1724" s="632">
        <f>+MOD(Tabla8[[#This Row],[HR. FIN]]-Tabla8[[#This Row],[HR. INICIO]],1)</f>
        <v>6.9444444444444198E-3</v>
      </c>
      <c r="G1724" s="16" t="s">
        <v>169</v>
      </c>
      <c r="H1724" s="79" t="str">
        <f>IFERROR(VLOOKUP(G1724,DATOS!$M$2:$N$219,2,FALSE),"")</f>
        <v>Maquinaria</v>
      </c>
      <c r="I1724" s="115" t="s">
        <v>32</v>
      </c>
      <c r="J1724" s="115" t="s">
        <v>157</v>
      </c>
      <c r="K1724" s="115"/>
      <c r="L1724" s="35" t="s">
        <v>3089</v>
      </c>
      <c r="M1724" s="35" t="s">
        <v>121</v>
      </c>
      <c r="N1724" s="35" t="str" cm="1">
        <f t="array" ref="N1724">IFERROR(IF(Tabla8[[#This Row],[P/NP]]="NO PROGRAMADA","",_xlfn.TEXTJOIN(", ",TRUE,_xlfn._xlws.FILTER(Tabla4[[#All],[PIEZA]],ISNUMBER(SEARCH(Tabla4[[#All],[PCLAVE]],Tabla8[[#This Row],[DESCRIPCION DE TRABAJO]])),""))),"")</f>
        <v/>
      </c>
      <c r="O1724" s="35" t="str" cm="1">
        <f t="array" ref="O1724">_xlfn.TEXTJOIN(", ",TRUE,_xlfn._xlws.FILTER(Tabla28[[#All],[PARTE]],ISNUMBER(SEARCH(Tabla28[[#All],[PCLAVE2]],Tabla8[[#This Row],[DESCRIPCION DE TRABAJO]])),""))</f>
        <v/>
      </c>
      <c r="P1724" s="633" t="str">
        <f>IFERROR(LEFT(O1724, FIND(",", O1724)-1), O1724)</f>
        <v/>
      </c>
      <c r="Q1724" s="633" t="str">
        <f>IFERROR(IF(ISERROR(FIND(",", O1724, FIND(",", O1724)+1)), RIGHT(O1724, LEN(O1724)-FIND(",", O1724)-1), MID(O1724, FIND(",", O1724)+2, FIND(",", O1724, FIND(",", O1724)+1)-FIND(",", O1724)-2)), "")</f>
        <v/>
      </c>
      <c r="R1724" s="633" t="str">
        <f>IFERROR(RIGHT(O1724, LEN(O1724)-FIND(",", O1724, FIND(",", O1724)+1)-1), "")</f>
        <v/>
      </c>
      <c r="S1724" s="35" t="str" cm="1">
        <f t="array" ref="S1724">_xlfn.TEXTJOIN(", ",TRUE,_xlfn._xlws.FILTER(Tabla29[[#All],[PARTE]],ISNUMBER(SEARCH(Tabla29[[#All],[PCLAVE3]],Tabla8[[#This Row],[DESCRIPCION DE TRABAJO]])),""))</f>
        <v/>
      </c>
      <c r="T1724" s="88" t="str">
        <f>IF(AND(Tabla8[[#This Row],[PIEZA]]="",Tabla8[[#This Row],[PARTE]]=""),"VACIO","OK")</f>
        <v>VACIO</v>
      </c>
      <c r="U1724" s="633" t="str">
        <f>+CONCATENATE(WEEKNUM(Tabla8[[#This Row],[FECHA]]),"-",YEAR(Tabla8[[#This Row],[FECHA]]))</f>
        <v>24-2026</v>
      </c>
    </row>
    <row r="1725" spans="1:21" ht="15" customHeight="1">
      <c r="A1725" s="22">
        <v>46186</v>
      </c>
      <c r="B1725" s="16" t="s">
        <v>179</v>
      </c>
      <c r="C1725" s="16" t="s">
        <v>23</v>
      </c>
      <c r="D1725" s="381">
        <v>0.5625</v>
      </c>
      <c r="E1725" s="381">
        <v>0.59722222222222221</v>
      </c>
      <c r="F1725" s="632">
        <f>+MOD(Tabla8[[#This Row],[HR. FIN]]-Tabla8[[#This Row],[HR. INICIO]],1)</f>
        <v>3.472222222222221E-2</v>
      </c>
      <c r="G1725" s="16" t="s">
        <v>182</v>
      </c>
      <c r="H1725" s="79" t="str">
        <f>IFERROR(VLOOKUP(G1725,DATOS!$M$2:$N$219,2,FALSE),"")</f>
        <v>Maquinaria</v>
      </c>
      <c r="I1725" s="115" t="s">
        <v>57</v>
      </c>
      <c r="J1725" s="115" t="s">
        <v>92</v>
      </c>
      <c r="K1725" s="115" t="s">
        <v>93</v>
      </c>
      <c r="L1725" s="35" t="s">
        <v>3090</v>
      </c>
      <c r="M1725" s="35" t="s">
        <v>3091</v>
      </c>
      <c r="N1725" s="35" t="str" cm="1">
        <f t="array" ref="N1725">IFERROR(IF(Tabla8[[#This Row],[P/NP]]="NO PROGRAMADA","",_xlfn.TEXTJOIN(", ",TRUE,_xlfn._xlws.FILTER(Tabla4[[#All],[PIEZA]],ISNUMBER(SEARCH(Tabla4[[#All],[PCLAVE]],Tabla8[[#This Row],[DESCRIPCION DE TRABAJO]])),""))),"")</f>
        <v/>
      </c>
      <c r="O1725" s="35" t="str" cm="1">
        <f t="array" ref="O1725">_xlfn.TEXTJOIN(", ",TRUE,_xlfn._xlws.FILTER(Tabla28[[#All],[PARTE]],ISNUMBER(SEARCH(Tabla28[[#All],[PCLAVE2]],Tabla8[[#This Row],[DESCRIPCION DE TRABAJO]])),""))</f>
        <v/>
      </c>
      <c r="P1725" s="633" t="str">
        <f>IFERROR(LEFT(O1725, FIND(",", O1725)-1), O1725)</f>
        <v/>
      </c>
      <c r="Q1725" s="633" t="str">
        <f>IFERROR(IF(ISERROR(FIND(",", O1725, FIND(",", O1725)+1)), RIGHT(O1725, LEN(O1725)-FIND(",", O1725)-1), MID(O1725, FIND(",", O1725)+2, FIND(",", O1725, FIND(",", O1725)+1)-FIND(",", O1725)-2)), "")</f>
        <v/>
      </c>
      <c r="R1725" s="633" t="str">
        <f>IFERROR(RIGHT(O1725, LEN(O1725)-FIND(",", O1725, FIND(",", O1725)+1)-1), "")</f>
        <v/>
      </c>
      <c r="S1725" s="35" t="str" cm="1">
        <f t="array" ref="S1725">_xlfn.TEXTJOIN(", ",TRUE,_xlfn._xlws.FILTER(Tabla29[[#All],[PARTE]],ISNUMBER(SEARCH(Tabla29[[#All],[PCLAVE3]],Tabla8[[#This Row],[DESCRIPCION DE TRABAJO]])),""))</f>
        <v>Soltura</v>
      </c>
      <c r="T1725" s="88" t="str">
        <f>IF(AND(Tabla8[[#This Row],[PIEZA]]="",Tabla8[[#This Row],[PARTE]]=""),"VACIO","OK")</f>
        <v>VACIO</v>
      </c>
      <c r="U1725" s="633" t="str">
        <f>+CONCATENATE(WEEKNUM(Tabla8[[#This Row],[FECHA]]),"-",YEAR(Tabla8[[#This Row],[FECHA]]))</f>
        <v>24-2026</v>
      </c>
    </row>
    <row r="1726" spans="1:21" ht="15" customHeight="1">
      <c r="A1726" s="22">
        <v>46186</v>
      </c>
      <c r="B1726" s="16" t="s">
        <v>191</v>
      </c>
      <c r="C1726" s="16" t="s">
        <v>36</v>
      </c>
      <c r="D1726" s="381" t="s">
        <v>3092</v>
      </c>
      <c r="E1726" s="381" t="s">
        <v>2671</v>
      </c>
      <c r="F1726" s="632">
        <f>+MOD(Tabla8[[#This Row],[HR. FIN]]-Tabla8[[#This Row],[HR. INICIO]],1)</f>
        <v>2.7083333333333348E-2</v>
      </c>
      <c r="G1726" s="16" t="s">
        <v>119</v>
      </c>
      <c r="H1726" s="79" t="str">
        <f>IFERROR(VLOOKUP(G1726,DATOS!$M$2:$N$219,2,FALSE),"")</f>
        <v>Maquinaria</v>
      </c>
      <c r="I1726" s="115" t="s">
        <v>32</v>
      </c>
      <c r="J1726" s="115" t="s">
        <v>157</v>
      </c>
      <c r="K1726" s="115"/>
      <c r="L1726" s="35" t="s">
        <v>3093</v>
      </c>
      <c r="M1726" s="35" t="s">
        <v>3094</v>
      </c>
      <c r="N1726" s="35" t="str" cm="1">
        <f t="array" ref="N1726">IFERROR(IF(Tabla8[[#This Row],[P/NP]]="NO PROGRAMADA","",_xlfn.TEXTJOIN(", ",TRUE,_xlfn._xlws.FILTER(Tabla4[[#All],[PIEZA]],ISNUMBER(SEARCH(Tabla4[[#All],[PCLAVE]],Tabla8[[#This Row],[DESCRIPCION DE TRABAJO]])),""))),"")</f>
        <v/>
      </c>
      <c r="O1726" s="35" t="str" cm="1">
        <f t="array" ref="O1726">_xlfn.TEXTJOIN(", ",TRUE,_xlfn._xlws.FILTER(Tabla28[[#All],[PARTE]],ISNUMBER(SEARCH(Tabla28[[#All],[PCLAVE2]],Tabla8[[#This Row],[DESCRIPCION DE TRABAJO]])),""))</f>
        <v>Mds</v>
      </c>
      <c r="P1726" s="633" t="str">
        <f>IFERROR(LEFT(O1726, FIND(",", O1726)-1), O1726)</f>
        <v>Mds</v>
      </c>
      <c r="Q1726" s="633" t="str">
        <f>IFERROR(IF(ISERROR(FIND(",", O1726, FIND(",", O1726)+1)), RIGHT(O1726, LEN(O1726)-FIND(",", O1726)-1), MID(O1726, FIND(",", O1726)+2, FIND(",", O1726, FIND(",", O1726)+1)-FIND(",", O1726)-2)), "")</f>
        <v/>
      </c>
      <c r="R1726" s="633" t="str">
        <f>IFERROR(RIGHT(O1726, LEN(O1726)-FIND(",", O1726, FIND(",", O1726)+1)-1), "")</f>
        <v/>
      </c>
      <c r="S1726" s="35" t="str" cm="1">
        <f t="array" ref="S1726">_xlfn.TEXTJOIN(", ",TRUE,_xlfn._xlws.FILTER(Tabla29[[#All],[PARTE]],ISNUMBER(SEARCH(Tabla29[[#All],[PCLAVE3]],Tabla8[[#This Row],[DESCRIPCION DE TRABAJO]])),""))</f>
        <v/>
      </c>
      <c r="T1726" s="88" t="str">
        <f>IF(AND(Tabla8[[#This Row],[PIEZA]]="",Tabla8[[#This Row],[PARTE]]=""),"VACIO","OK")</f>
        <v>OK</v>
      </c>
      <c r="U1726" s="633" t="str">
        <f>+CONCATENATE(WEEKNUM(Tabla8[[#This Row],[FECHA]]),"-",YEAR(Tabla8[[#This Row],[FECHA]]))</f>
        <v>24-2026</v>
      </c>
    </row>
    <row r="1727" spans="1:21" ht="15" customHeight="1">
      <c r="A1727" s="22">
        <v>46186</v>
      </c>
      <c r="B1727" s="16" t="s">
        <v>191</v>
      </c>
      <c r="C1727" s="16" t="s">
        <v>36</v>
      </c>
      <c r="D1727" s="381">
        <v>0.31805555555555554</v>
      </c>
      <c r="E1727" s="381">
        <v>0.33611111111111114</v>
      </c>
      <c r="F1727" s="632">
        <f>+MOD(Tabla8[[#This Row],[HR. FIN]]-Tabla8[[#This Row],[HR. INICIO]],1)</f>
        <v>1.8055555555555602E-2</v>
      </c>
      <c r="G1727" s="16" t="s">
        <v>942</v>
      </c>
      <c r="H1727" s="79" t="str">
        <f>IFERROR(VLOOKUP(G1727,DATOS!$M$2:$N$219,2,FALSE),"")</f>
        <v>Maquinaria</v>
      </c>
      <c r="I1727" s="115" t="s">
        <v>61</v>
      </c>
      <c r="J1727" s="115" t="s">
        <v>92</v>
      </c>
      <c r="K1727" s="115" t="s">
        <v>93</v>
      </c>
      <c r="L1727" s="35" t="s">
        <v>3095</v>
      </c>
      <c r="M1727" s="35" t="s">
        <v>3096</v>
      </c>
      <c r="N1727" s="35" t="str" cm="1">
        <f t="array" ref="N1727">IFERROR(IF(Tabla8[[#This Row],[P/NP]]="NO PROGRAMADA","",_xlfn.TEXTJOIN(", ",TRUE,_xlfn._xlws.FILTER(Tabla4[[#All],[PIEZA]],ISNUMBER(SEARCH(Tabla4[[#All],[PCLAVE]],Tabla8[[#This Row],[DESCRIPCION DE TRABAJO]])),""))),"")</f>
        <v/>
      </c>
      <c r="O1727" s="35" t="str" cm="1">
        <f t="array" ref="O1727">_xlfn.TEXTJOIN(", ",TRUE,_xlfn._xlws.FILTER(Tabla28[[#All],[PARTE]],ISNUMBER(SEARCH(Tabla28[[#All],[PCLAVE2]],Tabla8[[#This Row],[DESCRIPCION DE TRABAJO]])),""))</f>
        <v/>
      </c>
      <c r="P1727" s="633" t="str">
        <f>IFERROR(LEFT(O1727, FIND(",", O1727)-1), O1727)</f>
        <v/>
      </c>
      <c r="Q1727" s="633" t="str">
        <f>IFERROR(IF(ISERROR(FIND(",", O1727, FIND(",", O1727)+1)), RIGHT(O1727, LEN(O1727)-FIND(",", O1727)-1), MID(O1727, FIND(",", O1727)+2, FIND(",", O1727, FIND(",", O1727)+1)-FIND(",", O1727)-2)), "")</f>
        <v/>
      </c>
      <c r="R1727" s="633" t="str">
        <f>IFERROR(RIGHT(O1727, LEN(O1727)-FIND(",", O1727, FIND(",", O1727)+1)-1), "")</f>
        <v/>
      </c>
      <c r="S1727" s="35" t="str" cm="1">
        <f t="array" ref="S1727">_xlfn.TEXTJOIN(", ",TRUE,_xlfn._xlws.FILTER(Tabla29[[#All],[PARTE]],ISNUMBER(SEARCH(Tabla29[[#All],[PCLAVE3]],Tabla8[[#This Row],[DESCRIPCION DE TRABAJO]])),""))</f>
        <v>Alarma</v>
      </c>
      <c r="T1727" s="88" t="str">
        <f>IF(AND(Tabla8[[#This Row],[PIEZA]]="",Tabla8[[#This Row],[PARTE]]=""),"VACIO","OK")</f>
        <v>VACIO</v>
      </c>
      <c r="U1727" s="633" t="str">
        <f>+CONCATENATE(WEEKNUM(Tabla8[[#This Row],[FECHA]]),"-",YEAR(Tabla8[[#This Row],[FECHA]]))</f>
        <v>24-2026</v>
      </c>
    </row>
    <row r="1728" spans="1:21" ht="15" customHeight="1">
      <c r="A1728" s="22">
        <v>46186</v>
      </c>
      <c r="B1728" s="16" t="s">
        <v>191</v>
      </c>
      <c r="C1728" s="16" t="s">
        <v>36</v>
      </c>
      <c r="D1728" s="381" t="s">
        <v>3097</v>
      </c>
      <c r="E1728" s="381" t="s">
        <v>2564</v>
      </c>
      <c r="F1728" s="632">
        <f>+MOD(Tabla8[[#This Row],[HR. FIN]]-Tabla8[[#This Row],[HR. INICIO]],1)</f>
        <v>1.1805555555555569E-2</v>
      </c>
      <c r="G1728" s="16" t="s">
        <v>312</v>
      </c>
      <c r="H1728" s="79" t="str">
        <f>IFERROR(VLOOKUP(G1728,DATOS!$M$2:$N$219,2,FALSE),"")</f>
        <v>Maquinaria</v>
      </c>
      <c r="I1728" s="115" t="s">
        <v>186</v>
      </c>
      <c r="J1728" s="115" t="s">
        <v>92</v>
      </c>
      <c r="K1728" s="115" t="s">
        <v>93</v>
      </c>
      <c r="L1728" s="35" t="s">
        <v>3098</v>
      </c>
      <c r="M1728" s="35" t="s">
        <v>3099</v>
      </c>
      <c r="N1728" s="35" t="str" cm="1">
        <f t="array" ref="N1728">IFERROR(IF(Tabla8[[#This Row],[P/NP]]="NO PROGRAMADA","",_xlfn.TEXTJOIN(", ",TRUE,_xlfn._xlws.FILTER(Tabla4[[#All],[PIEZA]],ISNUMBER(SEARCH(Tabla4[[#All],[PCLAVE]],Tabla8[[#This Row],[DESCRIPCION DE TRABAJO]])),""))),"")</f>
        <v/>
      </c>
      <c r="O1728" s="35" t="str" cm="1">
        <f t="array" ref="O1728">_xlfn.TEXTJOIN(", ",TRUE,_xlfn._xlws.FILTER(Tabla28[[#All],[PARTE]],ISNUMBER(SEARCH(Tabla28[[#All],[PCLAVE2]],Tabla8[[#This Row],[DESCRIPCION DE TRABAJO]])),""))</f>
        <v/>
      </c>
      <c r="P1728" s="633" t="str">
        <f>IFERROR(LEFT(O1728, FIND(",", O1728)-1), O1728)</f>
        <v/>
      </c>
      <c r="Q1728" s="633" t="str">
        <f>IFERROR(IF(ISERROR(FIND(",", O1728, FIND(",", O1728)+1)), RIGHT(O1728, LEN(O1728)-FIND(",", O1728)-1), MID(O1728, FIND(",", O1728)+2, FIND(",", O1728, FIND(",", O1728)+1)-FIND(",", O1728)-2)), "")</f>
        <v/>
      </c>
      <c r="R1728" s="633" t="str">
        <f>IFERROR(RIGHT(O1728, LEN(O1728)-FIND(",", O1728, FIND(",", O1728)+1)-1), "")</f>
        <v/>
      </c>
      <c r="S1728" s="35" t="str" cm="1">
        <f t="array" ref="S1728">_xlfn.TEXTJOIN(", ",TRUE,_xlfn._xlws.FILTER(Tabla29[[#All],[PARTE]],ISNUMBER(SEARCH(Tabla29[[#All],[PCLAVE3]],Tabla8[[#This Row],[DESCRIPCION DE TRABAJO]])),""))</f>
        <v/>
      </c>
      <c r="T1728" s="88" t="str">
        <f>IF(AND(Tabla8[[#This Row],[PIEZA]]="",Tabla8[[#This Row],[PARTE]]=""),"VACIO","OK")</f>
        <v>VACIO</v>
      </c>
      <c r="U1728" s="633" t="str">
        <f>+CONCATENATE(WEEKNUM(Tabla8[[#This Row],[FECHA]]),"-",YEAR(Tabla8[[#This Row],[FECHA]]))</f>
        <v>24-2026</v>
      </c>
    </row>
    <row r="1729" spans="1:21" ht="15" customHeight="1">
      <c r="A1729" s="22">
        <v>46186</v>
      </c>
      <c r="B1729" s="16" t="s">
        <v>191</v>
      </c>
      <c r="C1729" s="16" t="s">
        <v>36</v>
      </c>
      <c r="D1729" s="381" t="s">
        <v>3100</v>
      </c>
      <c r="E1729" s="381" t="s">
        <v>934</v>
      </c>
      <c r="F1729" s="632">
        <f>+MOD(Tabla8[[#This Row],[HR. FIN]]-Tabla8[[#This Row],[HR. INICIO]],1)</f>
        <v>1.1805555555555541E-2</v>
      </c>
      <c r="G1729" s="16" t="s">
        <v>215</v>
      </c>
      <c r="H1729" s="79" t="str">
        <f>IFERROR(VLOOKUP(G1729,DATOS!$M$2:$N$219,2,FALSE),"")</f>
        <v>Equipos auxiliares</v>
      </c>
      <c r="I1729" s="115" t="s">
        <v>54</v>
      </c>
      <c r="J1729" s="115" t="s">
        <v>157</v>
      </c>
      <c r="K1729" s="115"/>
      <c r="L1729" s="35" t="s">
        <v>1751</v>
      </c>
      <c r="M1729" s="35" t="s">
        <v>121</v>
      </c>
      <c r="N1729" s="35" t="str" cm="1">
        <f t="array" ref="N1729">IFERROR(IF(Tabla8[[#This Row],[P/NP]]="NO PROGRAMADA","",_xlfn.TEXTJOIN(", ",TRUE,_xlfn._xlws.FILTER(Tabla4[[#All],[PIEZA]],ISNUMBER(SEARCH(Tabla4[[#All],[PCLAVE]],Tabla8[[#This Row],[DESCRIPCION DE TRABAJO]])),""))),"")</f>
        <v/>
      </c>
      <c r="O1729" s="35" t="str" cm="1">
        <f t="array" ref="O1729">_xlfn.TEXTJOIN(", ",TRUE,_xlfn._xlws.FILTER(Tabla28[[#All],[PARTE]],ISNUMBER(SEARCH(Tabla28[[#All],[PCLAVE2]],Tabla8[[#This Row],[DESCRIPCION DE TRABAJO]])),""))</f>
        <v/>
      </c>
      <c r="P1729" s="633" t="str">
        <f>IFERROR(LEFT(O1729, FIND(",", O1729)-1), O1729)</f>
        <v/>
      </c>
      <c r="Q1729" s="633" t="str">
        <f>IFERROR(IF(ISERROR(FIND(",", O1729, FIND(",", O1729)+1)), RIGHT(O1729, LEN(O1729)-FIND(",", O1729)-1), MID(O1729, FIND(",", O1729)+2, FIND(",", O1729, FIND(",", O1729)+1)-FIND(",", O1729)-2)), "")</f>
        <v/>
      </c>
      <c r="R1729" s="633" t="str">
        <f>IFERROR(RIGHT(O1729, LEN(O1729)-FIND(",", O1729, FIND(",", O1729)+1)-1), "")</f>
        <v/>
      </c>
      <c r="S1729" s="35" t="str" cm="1">
        <f t="array" ref="S1729">_xlfn.TEXTJOIN(", ",TRUE,_xlfn._xlws.FILTER(Tabla29[[#All],[PARTE]],ISNUMBER(SEARCH(Tabla29[[#All],[PCLAVE3]],Tabla8[[#This Row],[DESCRIPCION DE TRABAJO]])),""))</f>
        <v/>
      </c>
      <c r="T1729" s="88" t="str">
        <f>IF(AND(Tabla8[[#This Row],[PIEZA]]="",Tabla8[[#This Row],[PARTE]]=""),"VACIO","OK")</f>
        <v>VACIO</v>
      </c>
      <c r="U1729" s="633" t="str">
        <f>+CONCATENATE(WEEKNUM(Tabla8[[#This Row],[FECHA]]),"-",YEAR(Tabla8[[#This Row],[FECHA]]))</f>
        <v>24-2026</v>
      </c>
    </row>
    <row r="1730" spans="1:21" ht="15" customHeight="1">
      <c r="A1730" s="22">
        <v>46186</v>
      </c>
      <c r="B1730" s="16" t="s">
        <v>179</v>
      </c>
      <c r="C1730" s="16" t="s">
        <v>23</v>
      </c>
      <c r="D1730" s="381">
        <v>0.54166666666666663</v>
      </c>
      <c r="E1730" s="381">
        <v>0.55208333333333337</v>
      </c>
      <c r="F1730" s="632">
        <f>+MOD(Tabla8[[#This Row],[HR. FIN]]-Tabla8[[#This Row],[HR. INICIO]],1)</f>
        <v>1.0416666666666741E-2</v>
      </c>
      <c r="G1730" s="16" t="s">
        <v>103</v>
      </c>
      <c r="H1730" s="79" t="str">
        <f>IFERROR(VLOOKUP(G1730,DATOS!$M$2:$N$219,2,FALSE),"")</f>
        <v>Area</v>
      </c>
      <c r="I1730" s="115" t="s">
        <v>54</v>
      </c>
      <c r="J1730" s="115" t="s">
        <v>157</v>
      </c>
      <c r="K1730" s="115"/>
      <c r="L1730" s="35" t="s">
        <v>3101</v>
      </c>
      <c r="M1730" s="35" t="s">
        <v>3102</v>
      </c>
      <c r="N1730" s="35" t="str" cm="1">
        <f t="array" ref="N1730">IFERROR(IF(Tabla8[[#This Row],[P/NP]]="NO PROGRAMADA","",_xlfn.TEXTJOIN(", ",TRUE,_xlfn._xlws.FILTER(Tabla4[[#All],[PIEZA]],ISNUMBER(SEARCH(Tabla4[[#All],[PCLAVE]],Tabla8[[#This Row],[DESCRIPCION DE TRABAJO]])),""))),"")</f>
        <v/>
      </c>
      <c r="O1730" s="35" t="str" cm="1">
        <f t="array" ref="O1730">_xlfn.TEXTJOIN(", ",TRUE,_xlfn._xlws.FILTER(Tabla28[[#All],[PARTE]],ISNUMBER(SEARCH(Tabla28[[#All],[PCLAVE2]],Tabla8[[#This Row],[DESCRIPCION DE TRABAJO]])),""))</f>
        <v/>
      </c>
      <c r="P1730" s="633" t="str">
        <f>IFERROR(LEFT(O1730, FIND(",", O1730)-1), O1730)</f>
        <v/>
      </c>
      <c r="Q1730" s="633" t="str">
        <f>IFERROR(IF(ISERROR(FIND(",", O1730, FIND(",", O1730)+1)), RIGHT(O1730, LEN(O1730)-FIND(",", O1730)-1), MID(O1730, FIND(",", O1730)+2, FIND(",", O1730, FIND(",", O1730)+1)-FIND(",", O1730)-2)), "")</f>
        <v/>
      </c>
      <c r="R1730" s="633" t="str">
        <f>IFERROR(RIGHT(O1730, LEN(O1730)-FIND(",", O1730, FIND(",", O1730)+1)-1), "")</f>
        <v/>
      </c>
      <c r="S1730" s="35" t="str" cm="1">
        <f t="array" ref="S1730">_xlfn.TEXTJOIN(", ",TRUE,_xlfn._xlws.FILTER(Tabla29[[#All],[PARTE]],ISNUMBER(SEARCH(Tabla29[[#All],[PCLAVE3]],Tabla8[[#This Row],[DESCRIPCION DE TRABAJO]])),""))</f>
        <v/>
      </c>
      <c r="T1730" s="88" t="str">
        <f>IF(AND(Tabla8[[#This Row],[PIEZA]]="",Tabla8[[#This Row],[PARTE]]=""),"VACIO","OK")</f>
        <v>VACIO</v>
      </c>
      <c r="U1730" s="633" t="str">
        <f>+CONCATENATE(WEEKNUM(Tabla8[[#This Row],[FECHA]]),"-",YEAR(Tabla8[[#This Row],[FECHA]]))</f>
        <v>24-2026</v>
      </c>
    </row>
    <row r="1731" spans="1:21" ht="15" customHeight="1">
      <c r="A1731" s="22">
        <v>46186</v>
      </c>
      <c r="B1731" s="16" t="s">
        <v>191</v>
      </c>
      <c r="C1731" s="16" t="s">
        <v>36</v>
      </c>
      <c r="D1731" s="381" t="s">
        <v>926</v>
      </c>
      <c r="E1731" s="381" t="s">
        <v>2619</v>
      </c>
      <c r="F1731" s="632">
        <f>+MOD(Tabla8[[#This Row],[HR. FIN]]-Tabla8[[#This Row],[HR. INICIO]],1)</f>
        <v>9.0277777777777457E-3</v>
      </c>
      <c r="G1731" s="16" t="s">
        <v>244</v>
      </c>
      <c r="H1731" s="79" t="str">
        <f>IFERROR(VLOOKUP(G1731,DATOS!$M$2:$N$219,2,FALSE),"")</f>
        <v>Maquinaria</v>
      </c>
      <c r="I1731" s="115" t="s">
        <v>186</v>
      </c>
      <c r="J1731" s="115" t="s">
        <v>92</v>
      </c>
      <c r="K1731" s="115" t="s">
        <v>148</v>
      </c>
      <c r="L1731" s="35" t="s">
        <v>3103</v>
      </c>
      <c r="M1731" s="35" t="s">
        <v>3104</v>
      </c>
      <c r="N1731" s="35" t="str" cm="1">
        <f t="array" ref="N1731">IFERROR(IF(Tabla8[[#This Row],[P/NP]]="NO PROGRAMADA","",_xlfn.TEXTJOIN(", ",TRUE,_xlfn._xlws.FILTER(Tabla4[[#All],[PIEZA]],ISNUMBER(SEARCH(Tabla4[[#All],[PCLAVE]],Tabla8[[#This Row],[DESCRIPCION DE TRABAJO]])),""))),"")</f>
        <v/>
      </c>
      <c r="O1731" s="35" t="str" cm="1">
        <f t="array" ref="O1731">_xlfn.TEXTJOIN(", ",TRUE,_xlfn._xlws.FILTER(Tabla28[[#All],[PARTE]],ISNUMBER(SEARCH(Tabla28[[#All],[PCLAVE2]],Tabla8[[#This Row],[DESCRIPCION DE TRABAJO]])),""))</f>
        <v/>
      </c>
      <c r="P1731" s="633" t="str">
        <f>IFERROR(LEFT(O1731, FIND(",", O1731)-1), O1731)</f>
        <v/>
      </c>
      <c r="Q1731" s="633" t="str">
        <f>IFERROR(IF(ISERROR(FIND(",", O1731, FIND(",", O1731)+1)), RIGHT(O1731, LEN(O1731)-FIND(",", O1731)-1), MID(O1731, FIND(",", O1731)+2, FIND(",", O1731, FIND(",", O1731)+1)-FIND(",", O1731)-2)), "")</f>
        <v/>
      </c>
      <c r="R1731" s="633" t="str">
        <f>IFERROR(RIGHT(O1731, LEN(O1731)-FIND(",", O1731, FIND(",", O1731)+1)-1), "")</f>
        <v/>
      </c>
      <c r="S1731" s="35" t="str" cm="1">
        <f t="array" ref="S1731">_xlfn.TEXTJOIN(", ",TRUE,_xlfn._xlws.FILTER(Tabla29[[#All],[PARTE]],ISNUMBER(SEARCH(Tabla29[[#All],[PCLAVE3]],Tabla8[[#This Row],[DESCRIPCION DE TRABAJO]])),""))</f>
        <v>No Inicia</v>
      </c>
      <c r="T1731" s="88" t="str">
        <f>IF(AND(Tabla8[[#This Row],[PIEZA]]="",Tabla8[[#This Row],[PARTE]]=""),"VACIO","OK")</f>
        <v>VACIO</v>
      </c>
      <c r="U1731" s="633" t="str">
        <f>+CONCATENATE(WEEKNUM(Tabla8[[#This Row],[FECHA]]),"-",YEAR(Tabla8[[#This Row],[FECHA]]))</f>
        <v>24-2026</v>
      </c>
    </row>
    <row r="1732" spans="1:21" ht="15" customHeight="1">
      <c r="A1732" s="22">
        <v>46188</v>
      </c>
      <c r="B1732" s="16" t="s">
        <v>88</v>
      </c>
      <c r="C1732" s="16" t="s">
        <v>36</v>
      </c>
      <c r="D1732" s="381">
        <v>0.3125</v>
      </c>
      <c r="E1732" s="381">
        <v>0.375</v>
      </c>
      <c r="F1732" s="632">
        <f>+MOD(Tabla8[[#This Row],[HR. FIN]]-Tabla8[[#This Row],[HR. INICIO]],1)</f>
        <v>6.25E-2</v>
      </c>
      <c r="G1732" s="16" t="s">
        <v>98</v>
      </c>
      <c r="H1732" s="79" t="str">
        <f>IFERROR(VLOOKUP(G1732,DATOS!$M$2:$N$219,2,FALSE),"")</f>
        <v>Maquinaria</v>
      </c>
      <c r="I1732" s="115" t="s">
        <v>32</v>
      </c>
      <c r="J1732" s="115" t="s">
        <v>157</v>
      </c>
      <c r="K1732" s="115"/>
      <c r="L1732" s="35" t="s">
        <v>1593</v>
      </c>
      <c r="M1732" s="35" t="s">
        <v>3105</v>
      </c>
      <c r="N1732" s="35" t="str" cm="1">
        <f t="array" ref="N1732">IFERROR(IF(Tabla8[[#This Row],[P/NP]]="NO PROGRAMADA","",_xlfn.TEXTJOIN(", ",TRUE,_xlfn._xlws.FILTER(Tabla4[[#All],[PIEZA]],ISNUMBER(SEARCH(Tabla4[[#All],[PCLAVE]],Tabla8[[#This Row],[DESCRIPCION DE TRABAJO]])),""))),"")</f>
        <v/>
      </c>
      <c r="O1732" s="35" t="str" cm="1">
        <f t="array" ref="O1732">_xlfn.TEXTJOIN(", ",TRUE,_xlfn._xlws.FILTER(Tabla28[[#All],[PARTE]],ISNUMBER(SEARCH(Tabla28[[#All],[PCLAVE2]],Tabla8[[#This Row],[DESCRIPCION DE TRABAJO]])),""))</f>
        <v/>
      </c>
      <c r="P1732" s="633" t="str">
        <f>IFERROR(LEFT(O1732, FIND(",", O1732)-1), O1732)</f>
        <v/>
      </c>
      <c r="Q1732" s="633" t="str">
        <f>IFERROR(IF(ISERROR(FIND(",", O1732, FIND(",", O1732)+1)), RIGHT(O1732, LEN(O1732)-FIND(",", O1732)-1), MID(O1732, FIND(",", O1732)+2, FIND(",", O1732, FIND(",", O1732)+1)-FIND(",", O1732)-2)), "")</f>
        <v/>
      </c>
      <c r="R1732" s="633" t="str">
        <f>IFERROR(RIGHT(O1732, LEN(O1732)-FIND(",", O1732, FIND(",", O1732)+1)-1), "")</f>
        <v/>
      </c>
      <c r="S1732" s="35" t="str" cm="1">
        <f t="array" ref="S1732">_xlfn.TEXTJOIN(", ",TRUE,_xlfn._xlws.FILTER(Tabla29[[#All],[PARTE]],ISNUMBER(SEARCH(Tabla29[[#All],[PCLAVE3]],Tabla8[[#This Row],[DESCRIPCION DE TRABAJO]])),""))</f>
        <v/>
      </c>
      <c r="T1732" s="88" t="str">
        <f>IF(AND(Tabla8[[#This Row],[PIEZA]]="",Tabla8[[#This Row],[PARTE]]=""),"VACIO","OK")</f>
        <v>VACIO</v>
      </c>
      <c r="U1732" s="633" t="str">
        <f>+CONCATENATE(WEEKNUM(Tabla8[[#This Row],[FECHA]]),"-",YEAR(Tabla8[[#This Row],[FECHA]]))</f>
        <v>25-2026</v>
      </c>
    </row>
    <row r="1733" spans="1:21" ht="15" customHeight="1">
      <c r="A1733" s="22">
        <v>46188</v>
      </c>
      <c r="B1733" s="16" t="s">
        <v>179</v>
      </c>
      <c r="C1733" s="16" t="s">
        <v>23</v>
      </c>
      <c r="D1733" s="381">
        <v>0.64583333333333337</v>
      </c>
      <c r="E1733" s="381">
        <v>0.70138888888888884</v>
      </c>
      <c r="F1733" s="632">
        <f>+MOD(Tabla8[[#This Row],[HR. FIN]]-Tabla8[[#This Row],[HR. INICIO]],1)</f>
        <v>5.5555555555555469E-2</v>
      </c>
      <c r="G1733" s="16" t="s">
        <v>2100</v>
      </c>
      <c r="H1733" s="79" t="str">
        <f>IFERROR(VLOOKUP(G1733,DATOS!$M$2:$N$219,2,FALSE),"")</f>
        <v>Maquinaria</v>
      </c>
      <c r="I1733" s="115" t="s">
        <v>25</v>
      </c>
      <c r="J1733" s="115" t="s">
        <v>157</v>
      </c>
      <c r="K1733" s="115"/>
      <c r="L1733" s="35" t="s">
        <v>3106</v>
      </c>
      <c r="M1733" s="35" t="s">
        <v>3107</v>
      </c>
      <c r="N1733" s="35" t="str" cm="1">
        <f t="array" ref="N1733">IFERROR(IF(Tabla8[[#This Row],[P/NP]]="NO PROGRAMADA","",_xlfn.TEXTJOIN(", ",TRUE,_xlfn._xlws.FILTER(Tabla4[[#All],[PIEZA]],ISNUMBER(SEARCH(Tabla4[[#All],[PCLAVE]],Tabla8[[#This Row],[DESCRIPCION DE TRABAJO]])),""))),"")</f>
        <v/>
      </c>
      <c r="O1733" s="35" t="str" cm="1">
        <f t="array" ref="O1733">_xlfn.TEXTJOIN(", ",TRUE,_xlfn._xlws.FILTER(Tabla28[[#All],[PARTE]],ISNUMBER(SEARCH(Tabla28[[#All],[PCLAVE2]],Tabla8[[#This Row],[DESCRIPCION DE TRABAJO]])),""))</f>
        <v/>
      </c>
      <c r="P1733" s="633" t="str">
        <f>IFERROR(LEFT(O1733, FIND(",", O1733)-1), O1733)</f>
        <v/>
      </c>
      <c r="Q1733" s="633" t="str">
        <f>IFERROR(IF(ISERROR(FIND(",", O1733, FIND(",", O1733)+1)), RIGHT(O1733, LEN(O1733)-FIND(",", O1733)-1), MID(O1733, FIND(",", O1733)+2, FIND(",", O1733, FIND(",", O1733)+1)-FIND(",", O1733)-2)), "")</f>
        <v/>
      </c>
      <c r="R1733" s="633" t="str">
        <f>IFERROR(RIGHT(O1733, LEN(O1733)-FIND(",", O1733, FIND(",", O1733)+1)-1), "")</f>
        <v/>
      </c>
      <c r="S1733" s="35" t="str" cm="1">
        <f t="array" ref="S1733">_xlfn.TEXTJOIN(", ",TRUE,_xlfn._xlws.FILTER(Tabla29[[#All],[PARTE]],ISNUMBER(SEARCH(Tabla29[[#All],[PCLAVE3]],Tabla8[[#This Row],[DESCRIPCION DE TRABAJO]])),""))</f>
        <v/>
      </c>
      <c r="T1733" s="88" t="str">
        <f>IF(AND(Tabla8[[#This Row],[PIEZA]]="",Tabla8[[#This Row],[PARTE]]=""),"VACIO","OK")</f>
        <v>VACIO</v>
      </c>
      <c r="U1733" s="633" t="str">
        <f>+CONCATENATE(WEEKNUM(Tabla8[[#This Row],[FECHA]]),"-",YEAR(Tabla8[[#This Row],[FECHA]]))</f>
        <v>25-2026</v>
      </c>
    </row>
    <row r="1734" spans="1:21" ht="15" customHeight="1">
      <c r="A1734" s="22">
        <v>46188</v>
      </c>
      <c r="B1734" s="16" t="s">
        <v>131</v>
      </c>
      <c r="C1734" s="16" t="s">
        <v>23</v>
      </c>
      <c r="D1734" s="381">
        <v>0.53472222222222221</v>
      </c>
      <c r="E1734" s="381">
        <v>0.58333333333333337</v>
      </c>
      <c r="F1734" s="632">
        <f>+MOD(Tabla8[[#This Row],[HR. FIN]]-Tabla8[[#This Row],[HR. INICIO]],1)</f>
        <v>4.861111111111116E-2</v>
      </c>
      <c r="G1734" s="16" t="s">
        <v>328</v>
      </c>
      <c r="H1734" s="79" t="str">
        <f>IFERROR(VLOOKUP(G1734,DATOS!$M$2:$N$219,2,FALSE),"")</f>
        <v>Area</v>
      </c>
      <c r="I1734" s="115" t="s">
        <v>61</v>
      </c>
      <c r="J1734" s="115" t="s">
        <v>157</v>
      </c>
      <c r="K1734" s="115"/>
      <c r="L1734" s="35" t="s">
        <v>3108</v>
      </c>
      <c r="M1734" s="35" t="s">
        <v>3109</v>
      </c>
      <c r="N1734" s="35" t="str" cm="1">
        <f t="array" ref="N1734">IFERROR(IF(Tabla8[[#This Row],[P/NP]]="NO PROGRAMADA","",_xlfn.TEXTJOIN(", ",TRUE,_xlfn._xlws.FILTER(Tabla4[[#All],[PIEZA]],ISNUMBER(SEARCH(Tabla4[[#All],[PCLAVE]],Tabla8[[#This Row],[DESCRIPCION DE TRABAJO]])),""))),"")</f>
        <v/>
      </c>
      <c r="O1734" s="35" t="str" cm="1">
        <f t="array" ref="O1734">_xlfn.TEXTJOIN(", ",TRUE,_xlfn._xlws.FILTER(Tabla28[[#All],[PARTE]],ISNUMBER(SEARCH(Tabla28[[#All],[PCLAVE2]],Tabla8[[#This Row],[DESCRIPCION DE TRABAJO]])),""))</f>
        <v/>
      </c>
      <c r="P1734" s="633" t="str">
        <f>IFERROR(LEFT(O1734, FIND(",", O1734)-1), O1734)</f>
        <v/>
      </c>
      <c r="Q1734" s="633" t="str">
        <f>IFERROR(IF(ISERROR(FIND(",", O1734, FIND(",", O1734)+1)), RIGHT(O1734, LEN(O1734)-FIND(",", O1734)-1), MID(O1734, FIND(",", O1734)+2, FIND(",", O1734, FIND(",", O1734)+1)-FIND(",", O1734)-2)), "")</f>
        <v/>
      </c>
      <c r="R1734" s="633" t="str">
        <f>IFERROR(RIGHT(O1734, LEN(O1734)-FIND(",", O1734, FIND(",", O1734)+1)-1), "")</f>
        <v/>
      </c>
      <c r="S1734" s="35" t="str" cm="1">
        <f t="array" ref="S1734">_xlfn.TEXTJOIN(", ",TRUE,_xlfn._xlws.FILTER(Tabla29[[#All],[PARTE]],ISNUMBER(SEARCH(Tabla29[[#All],[PCLAVE3]],Tabla8[[#This Row],[DESCRIPCION DE TRABAJO]])),""))</f>
        <v/>
      </c>
      <c r="T1734" s="88" t="str">
        <f>IF(AND(Tabla8[[#This Row],[PIEZA]]="",Tabla8[[#This Row],[PARTE]]=""),"VACIO","OK")</f>
        <v>VACIO</v>
      </c>
      <c r="U1734" s="633" t="str">
        <f>+CONCATENATE(WEEKNUM(Tabla8[[#This Row],[FECHA]]),"-",YEAR(Tabla8[[#This Row],[FECHA]]))</f>
        <v>25-2026</v>
      </c>
    </row>
    <row r="1735" spans="1:21" ht="15" customHeight="1">
      <c r="A1735" s="22">
        <v>46188</v>
      </c>
      <c r="B1735" s="16" t="s">
        <v>131</v>
      </c>
      <c r="C1735" s="16" t="s">
        <v>23</v>
      </c>
      <c r="D1735" s="381">
        <v>0.81944444444444442</v>
      </c>
      <c r="E1735" s="381">
        <v>0.86805555555555558</v>
      </c>
      <c r="F1735" s="632">
        <f>+MOD(Tabla8[[#This Row],[HR. FIN]]-Tabla8[[#This Row],[HR. INICIO]],1)</f>
        <v>4.861111111111116E-2</v>
      </c>
      <c r="G1735" s="16" t="s">
        <v>438</v>
      </c>
      <c r="H1735" s="79" t="str">
        <f>IFERROR(VLOOKUP(G1735,DATOS!$M$2:$N$219,2,FALSE),"")</f>
        <v>Maquinaria</v>
      </c>
      <c r="I1735" s="115" t="s">
        <v>1615</v>
      </c>
      <c r="J1735" s="115" t="s">
        <v>157</v>
      </c>
      <c r="K1735" s="115"/>
      <c r="L1735" s="35" t="s">
        <v>3110</v>
      </c>
      <c r="M1735" s="35" t="s">
        <v>3111</v>
      </c>
      <c r="N1735" s="35" t="str" cm="1">
        <f t="array" ref="N1735">IFERROR(IF(Tabla8[[#This Row],[P/NP]]="NO PROGRAMADA","",_xlfn.TEXTJOIN(", ",TRUE,_xlfn._xlws.FILTER(Tabla4[[#All],[PIEZA]],ISNUMBER(SEARCH(Tabla4[[#All],[PCLAVE]],Tabla8[[#This Row],[DESCRIPCION DE TRABAJO]])),""))),"")</f>
        <v>Laminado, Polin De Arrastre</v>
      </c>
      <c r="O1735" s="35" t="str" cm="1">
        <f t="array" ref="O1735">_xlfn.TEXTJOIN(", ",TRUE,_xlfn._xlws.FILTER(Tabla28[[#All],[PARTE]],ISNUMBER(SEARCH(Tabla28[[#All],[PCLAVE2]],Tabla8[[#This Row],[DESCRIPCION DE TRABAJO]])),""))</f>
        <v/>
      </c>
      <c r="P1735" s="633" t="str">
        <f>IFERROR(LEFT(O1735, FIND(",", O1735)-1), O1735)</f>
        <v/>
      </c>
      <c r="Q1735" s="633" t="str">
        <f>IFERROR(IF(ISERROR(FIND(",", O1735, FIND(",", O1735)+1)), RIGHT(O1735, LEN(O1735)-FIND(",", O1735)-1), MID(O1735, FIND(",", O1735)+2, FIND(",", O1735, FIND(",", O1735)+1)-FIND(",", O1735)-2)), "")</f>
        <v/>
      </c>
      <c r="R1735" s="633" t="str">
        <f>IFERROR(RIGHT(O1735, LEN(O1735)-FIND(",", O1735, FIND(",", O1735)+1)-1), "")</f>
        <v/>
      </c>
      <c r="S1735" s="35" t="str" cm="1">
        <f t="array" ref="S1735">_xlfn.TEXTJOIN(", ",TRUE,_xlfn._xlws.FILTER(Tabla29[[#All],[PARTE]],ISNUMBER(SEARCH(Tabla29[[#All],[PCLAVE3]],Tabla8[[#This Row],[DESCRIPCION DE TRABAJO]])),""))</f>
        <v>Laminado</v>
      </c>
      <c r="T1735" s="88" t="str">
        <f>IF(AND(Tabla8[[#This Row],[PIEZA]]="",Tabla8[[#This Row],[PARTE]]=""),"VACIO","OK")</f>
        <v>OK</v>
      </c>
      <c r="U1735" s="633" t="str">
        <f>+CONCATENATE(WEEKNUM(Tabla8[[#This Row],[FECHA]]),"-",YEAR(Tabla8[[#This Row],[FECHA]]))</f>
        <v>25-2026</v>
      </c>
    </row>
    <row r="1736" spans="1:21" ht="15" customHeight="1">
      <c r="A1736" s="22">
        <v>46188</v>
      </c>
      <c r="B1736" s="16" t="s">
        <v>88</v>
      </c>
      <c r="C1736" s="16" t="s">
        <v>36</v>
      </c>
      <c r="D1736" s="381">
        <v>0.22916666666666666</v>
      </c>
      <c r="E1736" s="381">
        <v>0.27083333333333331</v>
      </c>
      <c r="F1736" s="632">
        <f>+MOD(Tabla8[[#This Row],[HR. FIN]]-Tabla8[[#This Row],[HR. INICIO]],1)</f>
        <v>4.1666666666666657E-2</v>
      </c>
      <c r="G1736" s="16" t="s">
        <v>103</v>
      </c>
      <c r="H1736" s="79" t="str">
        <f>IFERROR(VLOOKUP(G1736,DATOS!$M$2:$N$219,2,FALSE),"")</f>
        <v>Area</v>
      </c>
      <c r="I1736" s="115" t="s">
        <v>43</v>
      </c>
      <c r="J1736" s="115" t="s">
        <v>157</v>
      </c>
      <c r="K1736" s="115"/>
      <c r="L1736" s="35" t="s">
        <v>3112</v>
      </c>
      <c r="M1736" s="35" t="s">
        <v>3113</v>
      </c>
      <c r="N1736" s="35" t="str" cm="1">
        <f t="array" ref="N1736">IFERROR(IF(Tabla8[[#This Row],[P/NP]]="NO PROGRAMADA","",_xlfn.TEXTJOIN(", ",TRUE,_xlfn._xlws.FILTER(Tabla4[[#All],[PIEZA]],ISNUMBER(SEARCH(Tabla4[[#All],[PCLAVE]],Tabla8[[#This Row],[DESCRIPCION DE TRABAJO]])),""))),"")</f>
        <v/>
      </c>
      <c r="O1736" s="35" t="str" cm="1">
        <f t="array" ref="O1736">_xlfn.TEXTJOIN(", ",TRUE,_xlfn._xlws.FILTER(Tabla28[[#All],[PARTE]],ISNUMBER(SEARCH(Tabla28[[#All],[PCLAVE2]],Tabla8[[#This Row],[DESCRIPCION DE TRABAJO]])),""))</f>
        <v/>
      </c>
      <c r="P1736" s="633" t="str">
        <f>IFERROR(LEFT(O1736, FIND(",", O1736)-1), O1736)</f>
        <v/>
      </c>
      <c r="Q1736" s="633" t="str">
        <f>IFERROR(IF(ISERROR(FIND(",", O1736, FIND(",", O1736)+1)), RIGHT(O1736, LEN(O1736)-FIND(",", O1736)-1), MID(O1736, FIND(",", O1736)+2, FIND(",", O1736, FIND(",", O1736)+1)-FIND(",", O1736)-2)), "")</f>
        <v/>
      </c>
      <c r="R1736" s="633" t="str">
        <f>IFERROR(RIGHT(O1736, LEN(O1736)-FIND(",", O1736, FIND(",", O1736)+1)-1), "")</f>
        <v/>
      </c>
      <c r="S1736" s="35" t="str" cm="1">
        <f t="array" ref="S1736">_xlfn.TEXTJOIN(", ",TRUE,_xlfn._xlws.FILTER(Tabla29[[#All],[PARTE]],ISNUMBER(SEARCH(Tabla29[[#All],[PCLAVE3]],Tabla8[[#This Row],[DESCRIPCION DE TRABAJO]])),""))</f>
        <v/>
      </c>
      <c r="T1736" s="88" t="str">
        <f>IF(AND(Tabla8[[#This Row],[PIEZA]]="",Tabla8[[#This Row],[PARTE]]=""),"VACIO","OK")</f>
        <v>VACIO</v>
      </c>
      <c r="U1736" s="633" t="str">
        <f>+CONCATENATE(WEEKNUM(Tabla8[[#This Row],[FECHA]]),"-",YEAR(Tabla8[[#This Row],[FECHA]]))</f>
        <v>25-2026</v>
      </c>
    </row>
    <row r="1737" spans="1:21" ht="15" customHeight="1">
      <c r="A1737" s="22">
        <v>46188</v>
      </c>
      <c r="B1737" s="16" t="s">
        <v>131</v>
      </c>
      <c r="C1737" s="16" t="s">
        <v>23</v>
      </c>
      <c r="D1737" s="381">
        <v>0.77083333333333337</v>
      </c>
      <c r="E1737" s="381">
        <v>0.8125</v>
      </c>
      <c r="F1737" s="632">
        <f>+MOD(Tabla8[[#This Row],[HR. FIN]]-Tabla8[[#This Row],[HR. INICIO]],1)</f>
        <v>4.166666666666663E-2</v>
      </c>
      <c r="G1737" s="16" t="s">
        <v>119</v>
      </c>
      <c r="H1737" s="79" t="str">
        <f>IFERROR(VLOOKUP(G1737,DATOS!$M$2:$N$219,2,FALSE),"")</f>
        <v>Maquinaria</v>
      </c>
      <c r="I1737" s="115" t="s">
        <v>32</v>
      </c>
      <c r="J1737" s="115" t="s">
        <v>157</v>
      </c>
      <c r="K1737" s="115"/>
      <c r="L1737" s="35" t="s">
        <v>3114</v>
      </c>
      <c r="M1737" s="35" t="s">
        <v>3115</v>
      </c>
      <c r="N1737" s="35" t="str" cm="1">
        <f t="array" ref="N1737">IFERROR(IF(Tabla8[[#This Row],[P/NP]]="NO PROGRAMADA","",_xlfn.TEXTJOIN(", ",TRUE,_xlfn._xlws.FILTER(Tabla4[[#All],[PIEZA]],ISNUMBER(SEARCH(Tabla4[[#All],[PCLAVE]],Tabla8[[#This Row],[DESCRIPCION DE TRABAJO]])),""))),"")</f>
        <v/>
      </c>
      <c r="O1737" s="35" t="str" cm="1">
        <f t="array" ref="O1737">_xlfn.TEXTJOIN(", ",TRUE,_xlfn._xlws.FILTER(Tabla28[[#All],[PARTE]],ISNUMBER(SEARCH(Tabla28[[#All],[PCLAVE2]],Tabla8[[#This Row],[DESCRIPCION DE TRABAJO]])),""))</f>
        <v>Mds</v>
      </c>
      <c r="P1737" s="633" t="str">
        <f>IFERROR(LEFT(O1737, FIND(",", O1737)-1), O1737)</f>
        <v>Mds</v>
      </c>
      <c r="Q1737" s="633" t="str">
        <f>IFERROR(IF(ISERROR(FIND(",", O1737, FIND(",", O1737)+1)), RIGHT(O1737, LEN(O1737)-FIND(",", O1737)-1), MID(O1737, FIND(",", O1737)+2, FIND(",", O1737, FIND(",", O1737)+1)-FIND(",", O1737)-2)), "")</f>
        <v/>
      </c>
      <c r="R1737" s="633" t="str">
        <f>IFERROR(RIGHT(O1737, LEN(O1737)-FIND(",", O1737, FIND(",", O1737)+1)-1), "")</f>
        <v/>
      </c>
      <c r="S1737" s="35" t="str" cm="1">
        <f t="array" ref="S1737">_xlfn.TEXTJOIN(", ",TRUE,_xlfn._xlws.FILTER(Tabla29[[#All],[PARTE]],ISNUMBER(SEARCH(Tabla29[[#All],[PCLAVE3]],Tabla8[[#This Row],[DESCRIPCION DE TRABAJO]])),""))</f>
        <v>Cambio De Formato</v>
      </c>
      <c r="T1737" s="88" t="str">
        <f>IF(AND(Tabla8[[#This Row],[PIEZA]]="",Tabla8[[#This Row],[PARTE]]=""),"VACIO","OK")</f>
        <v>OK</v>
      </c>
      <c r="U1737" s="633" t="str">
        <f>+CONCATENATE(WEEKNUM(Tabla8[[#This Row],[FECHA]]),"-",YEAR(Tabla8[[#This Row],[FECHA]]))</f>
        <v>25-2026</v>
      </c>
    </row>
    <row r="1738" spans="1:21" ht="15" customHeight="1">
      <c r="A1738" s="22">
        <v>46188</v>
      </c>
      <c r="B1738" s="16" t="s">
        <v>131</v>
      </c>
      <c r="C1738" s="16" t="s">
        <v>23</v>
      </c>
      <c r="D1738" s="381">
        <v>0.73611111111111116</v>
      </c>
      <c r="E1738" s="381">
        <v>0.76736111111111116</v>
      </c>
      <c r="F1738" s="632">
        <f>+MOD(Tabla8[[#This Row],[HR. FIN]]-Tabla8[[#This Row],[HR. INICIO]],1)</f>
        <v>3.125E-2</v>
      </c>
      <c r="G1738" s="16" t="s">
        <v>2282</v>
      </c>
      <c r="H1738" s="79" t="str">
        <f>IFERROR(VLOOKUP(G1738,DATOS!$M$2:$N$219,2,FALSE),"")</f>
        <v>Area</v>
      </c>
      <c r="I1738" s="115"/>
      <c r="J1738" s="115"/>
      <c r="K1738" s="115"/>
      <c r="L1738" s="35" t="s">
        <v>2283</v>
      </c>
      <c r="M1738" s="35" t="s">
        <v>121</v>
      </c>
      <c r="N1738" s="35" t="str" cm="1">
        <f t="array" ref="N1738">IFERROR(IF(Tabla8[[#This Row],[P/NP]]="NO PROGRAMADA","",_xlfn.TEXTJOIN(", ",TRUE,_xlfn._xlws.FILTER(Tabla4[[#All],[PIEZA]],ISNUMBER(SEARCH(Tabla4[[#All],[PCLAVE]],Tabla8[[#This Row],[DESCRIPCION DE TRABAJO]])),""))),"")</f>
        <v/>
      </c>
      <c r="O1738" s="35" t="str" cm="1">
        <f t="array" ref="O1738">_xlfn.TEXTJOIN(", ",TRUE,_xlfn._xlws.FILTER(Tabla28[[#All],[PARTE]],ISNUMBER(SEARCH(Tabla28[[#All],[PCLAVE2]],Tabla8[[#This Row],[DESCRIPCION DE TRABAJO]])),""))</f>
        <v/>
      </c>
      <c r="P1738" s="633" t="str">
        <f>IFERROR(LEFT(O1738, FIND(",", O1738)-1), O1738)</f>
        <v/>
      </c>
      <c r="Q1738" s="633" t="str">
        <f>IFERROR(IF(ISERROR(FIND(",", O1738, FIND(",", O1738)+1)), RIGHT(O1738, LEN(O1738)-FIND(",", O1738)-1), MID(O1738, FIND(",", O1738)+2, FIND(",", O1738, FIND(",", O1738)+1)-FIND(",", O1738)-2)), "")</f>
        <v/>
      </c>
      <c r="R1738" s="633" t="str">
        <f>IFERROR(RIGHT(O1738, LEN(O1738)-FIND(",", O1738, FIND(",", O1738)+1)-1), "")</f>
        <v/>
      </c>
      <c r="S1738" s="35" t="str" cm="1">
        <f t="array" ref="S1738">_xlfn.TEXTJOIN(", ",TRUE,_xlfn._xlws.FILTER(Tabla29[[#All],[PARTE]],ISNUMBER(SEARCH(Tabla29[[#All],[PCLAVE3]],Tabla8[[#This Row],[DESCRIPCION DE TRABAJO]])),""))</f>
        <v/>
      </c>
      <c r="T1738" s="88" t="str">
        <f>IF(AND(Tabla8[[#This Row],[PIEZA]]="",Tabla8[[#This Row],[PARTE]]=""),"VACIO","OK")</f>
        <v>VACIO</v>
      </c>
      <c r="U1738" s="633" t="str">
        <f>+CONCATENATE(WEEKNUM(Tabla8[[#This Row],[FECHA]]),"-",YEAR(Tabla8[[#This Row],[FECHA]]))</f>
        <v>25-2026</v>
      </c>
    </row>
    <row r="1739" spans="1:21" ht="15" customHeight="1">
      <c r="A1739" s="22">
        <v>46188</v>
      </c>
      <c r="B1739" s="16" t="s">
        <v>179</v>
      </c>
      <c r="C1739" s="16" t="s">
        <v>23</v>
      </c>
      <c r="D1739" s="381">
        <v>0.74444444444444446</v>
      </c>
      <c r="E1739" s="381">
        <v>0.77361111111111114</v>
      </c>
      <c r="F1739" s="632">
        <f>+MOD(Tabla8[[#This Row],[HR. FIN]]-Tabla8[[#This Row],[HR. INICIO]],1)</f>
        <v>2.9166666666666674E-2</v>
      </c>
      <c r="G1739" s="16" t="s">
        <v>312</v>
      </c>
      <c r="H1739" s="79" t="str">
        <f>IFERROR(VLOOKUP(G1739,DATOS!$M$2:$N$219,2,FALSE),"")</f>
        <v>Maquinaria</v>
      </c>
      <c r="I1739" s="115" t="s">
        <v>390</v>
      </c>
      <c r="J1739" s="115" t="s">
        <v>157</v>
      </c>
      <c r="K1739" s="115"/>
      <c r="L1739" s="35" t="s">
        <v>3116</v>
      </c>
      <c r="M1739" s="35" t="s">
        <v>121</v>
      </c>
      <c r="N1739" s="35" t="str" cm="1">
        <f t="array" ref="N1739">IFERROR(IF(Tabla8[[#This Row],[P/NP]]="NO PROGRAMADA","",_xlfn.TEXTJOIN(", ",TRUE,_xlfn._xlws.FILTER(Tabla4[[#All],[PIEZA]],ISNUMBER(SEARCH(Tabla4[[#All],[PCLAVE]],Tabla8[[#This Row],[DESCRIPCION DE TRABAJO]])),""))),"")</f>
        <v>Banda</v>
      </c>
      <c r="O1739" s="35" t="str" cm="1">
        <f t="array" ref="O1739">_xlfn.TEXTJOIN(", ",TRUE,_xlfn._xlws.FILTER(Tabla28[[#All],[PARTE]],ISNUMBER(SEARCH(Tabla28[[#All],[PCLAVE2]],Tabla8[[#This Row],[DESCRIPCION DE TRABAJO]])),""))</f>
        <v/>
      </c>
      <c r="P1739" s="633" t="str">
        <f>IFERROR(LEFT(O1739, FIND(",", O1739)-1), O1739)</f>
        <v/>
      </c>
      <c r="Q1739" s="633" t="str">
        <f>IFERROR(IF(ISERROR(FIND(",", O1739, FIND(",", O1739)+1)), RIGHT(O1739, LEN(O1739)-FIND(",", O1739)-1), MID(O1739, FIND(",", O1739)+2, FIND(",", O1739, FIND(",", O1739)+1)-FIND(",", O1739)-2)), "")</f>
        <v/>
      </c>
      <c r="R1739" s="633" t="str">
        <f>IFERROR(RIGHT(O1739, LEN(O1739)-FIND(",", O1739, FIND(",", O1739)+1)-1), "")</f>
        <v/>
      </c>
      <c r="S1739" s="35" t="str" cm="1">
        <f t="array" ref="S1739">_xlfn.TEXTJOIN(", ",TRUE,_xlfn._xlws.FILTER(Tabla29[[#All],[PARTE]],ISNUMBER(SEARCH(Tabla29[[#All],[PCLAVE3]],Tabla8[[#This Row],[DESCRIPCION DE TRABAJO]])),""))</f>
        <v/>
      </c>
      <c r="T1739" s="88" t="str">
        <f>IF(AND(Tabla8[[#This Row],[PIEZA]]="",Tabla8[[#This Row],[PARTE]]=""),"VACIO","OK")</f>
        <v>OK</v>
      </c>
      <c r="U1739" s="633" t="str">
        <f>+CONCATENATE(WEEKNUM(Tabla8[[#This Row],[FECHA]]),"-",YEAR(Tabla8[[#This Row],[FECHA]]))</f>
        <v>25-2026</v>
      </c>
    </row>
    <row r="1740" spans="1:21" ht="15" customHeight="1">
      <c r="A1740" s="22">
        <v>46188</v>
      </c>
      <c r="B1740" s="16" t="s">
        <v>131</v>
      </c>
      <c r="C1740" s="16" t="s">
        <v>23</v>
      </c>
      <c r="D1740" s="381">
        <v>0.59027777777777779</v>
      </c>
      <c r="E1740" s="381">
        <v>0.61736111111111114</v>
      </c>
      <c r="F1740" s="632">
        <f>+MOD(Tabla8[[#This Row],[HR. FIN]]-Tabla8[[#This Row],[HR. INICIO]],1)</f>
        <v>2.7083333333333348E-2</v>
      </c>
      <c r="G1740" s="16" t="s">
        <v>256</v>
      </c>
      <c r="H1740" s="79" t="str">
        <f>IFERROR(VLOOKUP(G1740,DATOS!$M$2:$N$219,2,FALSE),"")</f>
        <v>Maquinaria</v>
      </c>
      <c r="I1740" s="115" t="s">
        <v>390</v>
      </c>
      <c r="J1740" s="115" t="s">
        <v>157</v>
      </c>
      <c r="K1740" s="115"/>
      <c r="L1740" s="35" t="s">
        <v>3117</v>
      </c>
      <c r="M1740" s="35" t="s">
        <v>121</v>
      </c>
      <c r="N1740" s="35" t="str" cm="1">
        <f t="array" ref="N1740">IFERROR(IF(Tabla8[[#This Row],[P/NP]]="NO PROGRAMADA","",_xlfn.TEXTJOIN(", ",TRUE,_xlfn._xlws.FILTER(Tabla4[[#All],[PIEZA]],ISNUMBER(SEARCH(Tabla4[[#All],[PCLAVE]],Tabla8[[#This Row],[DESCRIPCION DE TRABAJO]])),""))),"")</f>
        <v/>
      </c>
      <c r="O1740" s="35" t="str" cm="1">
        <f t="array" ref="O1740">_xlfn.TEXTJOIN(", ",TRUE,_xlfn._xlws.FILTER(Tabla28[[#All],[PARTE]],ISNUMBER(SEARCH(Tabla28[[#All],[PCLAVE2]],Tabla8[[#This Row],[DESCRIPCION DE TRABAJO]])),""))</f>
        <v/>
      </c>
      <c r="P1740" s="633" t="str">
        <f>IFERROR(LEFT(O1740, FIND(",", O1740)-1), O1740)</f>
        <v/>
      </c>
      <c r="Q1740" s="633" t="str">
        <f>IFERROR(IF(ISERROR(FIND(",", O1740, FIND(",", O1740)+1)), RIGHT(O1740, LEN(O1740)-FIND(",", O1740)-1), MID(O1740, FIND(",", O1740)+2, FIND(",", O1740, FIND(",", O1740)+1)-FIND(",", O1740)-2)), "")</f>
        <v/>
      </c>
      <c r="R1740" s="633" t="str">
        <f>IFERROR(RIGHT(O1740, LEN(O1740)-FIND(",", O1740, FIND(",", O1740)+1)-1), "")</f>
        <v/>
      </c>
      <c r="S1740" s="35" t="str" cm="1">
        <f t="array" ref="S1740">_xlfn.TEXTJOIN(", ",TRUE,_xlfn._xlws.FILTER(Tabla29[[#All],[PARTE]],ISNUMBER(SEARCH(Tabla29[[#All],[PCLAVE3]],Tabla8[[#This Row],[DESCRIPCION DE TRABAJO]])),""))</f>
        <v/>
      </c>
      <c r="T1740" s="88" t="str">
        <f>IF(AND(Tabla8[[#This Row],[PIEZA]]="",Tabla8[[#This Row],[PARTE]]=""),"VACIO","OK")</f>
        <v>VACIO</v>
      </c>
      <c r="U1740" s="633" t="str">
        <f>+CONCATENATE(WEEKNUM(Tabla8[[#This Row],[FECHA]]),"-",YEAR(Tabla8[[#This Row],[FECHA]]))</f>
        <v>25-2026</v>
      </c>
    </row>
    <row r="1741" spans="1:21" ht="15" customHeight="1">
      <c r="A1741" s="22">
        <v>46188</v>
      </c>
      <c r="B1741" s="16" t="s">
        <v>191</v>
      </c>
      <c r="C1741" s="16" t="s">
        <v>39</v>
      </c>
      <c r="D1741" s="381">
        <v>0.95694444444444449</v>
      </c>
      <c r="E1741" s="381">
        <v>0.98402777777777772</v>
      </c>
      <c r="F1741" s="632">
        <f>+MOD(Tabla8[[#This Row],[HR. FIN]]-Tabla8[[#This Row],[HR. INICIO]],1)</f>
        <v>2.7083333333333237E-2</v>
      </c>
      <c r="G1741" s="16" t="s">
        <v>119</v>
      </c>
      <c r="H1741" s="79" t="str">
        <f>IFERROR(VLOOKUP(G1741,DATOS!$M$2:$N$219,2,FALSE),"")</f>
        <v>Maquinaria</v>
      </c>
      <c r="I1741" s="115" t="s">
        <v>28</v>
      </c>
      <c r="J1741" s="115" t="s">
        <v>92</v>
      </c>
      <c r="K1741" s="115" t="s">
        <v>148</v>
      </c>
      <c r="L1741" s="35" t="s">
        <v>3118</v>
      </c>
      <c r="M1741" s="35" t="s">
        <v>3119</v>
      </c>
      <c r="N1741" s="35" t="str" cm="1">
        <f t="array" ref="N1741">IFERROR(IF(Tabla8[[#This Row],[P/NP]]="NO PROGRAMADA","",_xlfn.TEXTJOIN(", ",TRUE,_xlfn._xlws.FILTER(Tabla4[[#All],[PIEZA]],ISNUMBER(SEARCH(Tabla4[[#All],[PCLAVE]],Tabla8[[#This Row],[DESCRIPCION DE TRABAJO]])),""))),"")</f>
        <v/>
      </c>
      <c r="O1741" s="35" t="str" cm="1">
        <f t="array" ref="O1741">_xlfn.TEXTJOIN(", ",TRUE,_xlfn._xlws.FILTER(Tabla28[[#All],[PARTE]],ISNUMBER(SEARCH(Tabla28[[#All],[PCLAVE2]],Tabla8[[#This Row],[DESCRIPCION DE TRABAJO]])),""))</f>
        <v/>
      </c>
      <c r="P1741" s="633" t="str">
        <f>IFERROR(LEFT(O1741, FIND(",", O1741)-1), O1741)</f>
        <v/>
      </c>
      <c r="Q1741" s="633" t="str">
        <f>IFERROR(IF(ISERROR(FIND(",", O1741, FIND(",", O1741)+1)), RIGHT(O1741, LEN(O1741)-FIND(",", O1741)-1), MID(O1741, FIND(",", O1741)+2, FIND(",", O1741, FIND(",", O1741)+1)-FIND(",", O1741)-2)), "")</f>
        <v/>
      </c>
      <c r="R1741" s="633" t="str">
        <f>IFERROR(RIGHT(O1741, LEN(O1741)-FIND(",", O1741, FIND(",", O1741)+1)-1), "")</f>
        <v/>
      </c>
      <c r="S1741" s="35" t="str" cm="1">
        <f t="array" ref="S1741">_xlfn.TEXTJOIN(", ",TRUE,_xlfn._xlws.FILTER(Tabla29[[#All],[PARTE]],ISNUMBER(SEARCH(Tabla29[[#All],[PCLAVE3]],Tabla8[[#This Row],[DESCRIPCION DE TRABAJO]])),""))</f>
        <v>Alarma</v>
      </c>
      <c r="T1741" s="88" t="str">
        <f>IF(AND(Tabla8[[#This Row],[PIEZA]]="",Tabla8[[#This Row],[PARTE]]=""),"VACIO","OK")</f>
        <v>VACIO</v>
      </c>
      <c r="U1741" s="633" t="str">
        <f>+CONCATENATE(WEEKNUM(Tabla8[[#This Row],[FECHA]]),"-",YEAR(Tabla8[[#This Row],[FECHA]]))</f>
        <v>25-2026</v>
      </c>
    </row>
    <row r="1742" spans="1:21" ht="15" customHeight="1">
      <c r="A1742" s="22">
        <v>46188</v>
      </c>
      <c r="B1742" s="16" t="s">
        <v>179</v>
      </c>
      <c r="C1742" s="16" t="s">
        <v>23</v>
      </c>
      <c r="D1742" s="381">
        <v>0.56458333333333333</v>
      </c>
      <c r="E1742" s="381">
        <v>0.59027777777777779</v>
      </c>
      <c r="F1742" s="632">
        <f>+MOD(Tabla8[[#This Row],[HR. FIN]]-Tabla8[[#This Row],[HR. INICIO]],1)</f>
        <v>2.5694444444444464E-2</v>
      </c>
      <c r="G1742" s="16" t="s">
        <v>996</v>
      </c>
      <c r="H1742" s="79" t="str">
        <f>IFERROR(VLOOKUP(G1742,DATOS!$M$2:$N$219,2,FALSE),"")</f>
        <v>Area</v>
      </c>
      <c r="I1742" s="115" t="s">
        <v>57</v>
      </c>
      <c r="J1742" s="115" t="s">
        <v>92</v>
      </c>
      <c r="K1742" s="115" t="s">
        <v>148</v>
      </c>
      <c r="L1742" s="35" t="s">
        <v>3120</v>
      </c>
      <c r="M1742" s="35" t="s">
        <v>3121</v>
      </c>
      <c r="N1742" s="35" t="str" cm="1">
        <f t="array" ref="N1742">IFERROR(IF(Tabla8[[#This Row],[P/NP]]="NO PROGRAMADA","",_xlfn.TEXTJOIN(", ",TRUE,_xlfn._xlws.FILTER(Tabla4[[#All],[PIEZA]],ISNUMBER(SEARCH(Tabla4[[#All],[PCLAVE]],Tabla8[[#This Row],[DESCRIPCION DE TRABAJO]])),""))),"")</f>
        <v/>
      </c>
      <c r="O1742" s="35" t="str" cm="1">
        <f t="array" ref="O1742">_xlfn.TEXTJOIN(", ",TRUE,_xlfn._xlws.FILTER(Tabla28[[#All],[PARTE]],ISNUMBER(SEARCH(Tabla28[[#All],[PCLAVE2]],Tabla8[[#This Row],[DESCRIPCION DE TRABAJO]])),""))</f>
        <v>Columna</v>
      </c>
      <c r="P1742" s="633" t="str">
        <f>IFERROR(LEFT(O1742, FIND(",", O1742)-1), O1742)</f>
        <v>Columna</v>
      </c>
      <c r="Q1742" s="633" t="str">
        <f>IFERROR(IF(ISERROR(FIND(",", O1742, FIND(",", O1742)+1)), RIGHT(O1742, LEN(O1742)-FIND(",", O1742)-1), MID(O1742, FIND(",", O1742)+2, FIND(",", O1742, FIND(",", O1742)+1)-FIND(",", O1742)-2)), "")</f>
        <v/>
      </c>
      <c r="R1742" s="633" t="str">
        <f>IFERROR(RIGHT(O1742, LEN(O1742)-FIND(",", O1742, FIND(",", O1742)+1)-1), "")</f>
        <v/>
      </c>
      <c r="S1742" s="35" t="str" cm="1">
        <f t="array" ref="S1742">_xlfn.TEXTJOIN(", ",TRUE,_xlfn._xlws.FILTER(Tabla29[[#All],[PARTE]],ISNUMBER(SEARCH(Tabla29[[#All],[PCLAVE3]],Tabla8[[#This Row],[DESCRIPCION DE TRABAJO]])),""))</f>
        <v/>
      </c>
      <c r="T1742" s="88" t="str">
        <f>IF(AND(Tabla8[[#This Row],[PIEZA]]="",Tabla8[[#This Row],[PARTE]]=""),"VACIO","OK")</f>
        <v>OK</v>
      </c>
      <c r="U1742" s="633" t="str">
        <f>+CONCATENATE(WEEKNUM(Tabla8[[#This Row],[FECHA]]),"-",YEAR(Tabla8[[#This Row],[FECHA]]))</f>
        <v>25-2026</v>
      </c>
    </row>
    <row r="1743" spans="1:21" ht="15" customHeight="1">
      <c r="A1743" s="22">
        <v>46188</v>
      </c>
      <c r="B1743" s="16" t="s">
        <v>191</v>
      </c>
      <c r="C1743" s="16" t="s">
        <v>39</v>
      </c>
      <c r="D1743" s="381">
        <v>0.98263888888888884</v>
      </c>
      <c r="E1743" s="381">
        <v>6.9444444444444441E-3</v>
      </c>
      <c r="F1743" s="632">
        <f>+MOD(Tabla8[[#This Row],[HR. FIN]]-Tabla8[[#This Row],[HR. INICIO]],1)</f>
        <v>2.430555555555558E-2</v>
      </c>
      <c r="G1743" s="16" t="s">
        <v>256</v>
      </c>
      <c r="H1743" s="79" t="str">
        <f>IFERROR(VLOOKUP(G1743,DATOS!$M$2:$N$219,2,FALSE),"")</f>
        <v>Maquinaria</v>
      </c>
      <c r="I1743" s="115" t="s">
        <v>186</v>
      </c>
      <c r="J1743" s="115" t="s">
        <v>92</v>
      </c>
      <c r="K1743" s="115" t="s">
        <v>93</v>
      </c>
      <c r="L1743" s="35" t="s">
        <v>3122</v>
      </c>
      <c r="M1743" s="35" t="s">
        <v>3123</v>
      </c>
      <c r="N1743" s="35" t="str" cm="1">
        <f t="array" ref="N1743">IFERROR(IF(Tabla8[[#This Row],[P/NP]]="NO PROGRAMADA","",_xlfn.TEXTJOIN(", ",TRUE,_xlfn._xlws.FILTER(Tabla4[[#All],[PIEZA]],ISNUMBER(SEARCH(Tabla4[[#All],[PCLAVE]],Tabla8[[#This Row],[DESCRIPCION DE TRABAJO]])),""))),"")</f>
        <v/>
      </c>
      <c r="O1743" s="35" t="str" cm="1">
        <f t="array" ref="O1743">_xlfn.TEXTJOIN(", ",TRUE,_xlfn._xlws.FILTER(Tabla28[[#All],[PARTE]],ISNUMBER(SEARCH(Tabla28[[#All],[PCLAVE2]],Tabla8[[#This Row],[DESCRIPCION DE TRABAJO]])),""))</f>
        <v/>
      </c>
      <c r="P1743" s="633" t="str">
        <f>IFERROR(LEFT(O1743, FIND(",", O1743)-1), O1743)</f>
        <v/>
      </c>
      <c r="Q1743" s="633" t="str">
        <f>IFERROR(IF(ISERROR(FIND(",", O1743, FIND(",", O1743)+1)), RIGHT(O1743, LEN(O1743)-FIND(",", O1743)-1), MID(O1743, FIND(",", O1743)+2, FIND(",", O1743, FIND(",", O1743)+1)-FIND(",", O1743)-2)), "")</f>
        <v/>
      </c>
      <c r="R1743" s="633" t="str">
        <f>IFERROR(RIGHT(O1743, LEN(O1743)-FIND(",", O1743, FIND(",", O1743)+1)-1), "")</f>
        <v/>
      </c>
      <c r="S1743" s="35" t="str" cm="1">
        <f t="array" ref="S1743">_xlfn.TEXTJOIN(", ",TRUE,_xlfn._xlws.FILTER(Tabla29[[#All],[PARTE]],ISNUMBER(SEARCH(Tabla29[[#All],[PCLAVE3]],Tabla8[[#This Row],[DESCRIPCION DE TRABAJO]])),""))</f>
        <v>Fuga</v>
      </c>
      <c r="T1743" s="88" t="str">
        <f>IF(AND(Tabla8[[#This Row],[PIEZA]]="",Tabla8[[#This Row],[PARTE]]=""),"VACIO","OK")</f>
        <v>VACIO</v>
      </c>
      <c r="U1743" s="633" t="str">
        <f>+CONCATENATE(WEEKNUM(Tabla8[[#This Row],[FECHA]]),"-",YEAR(Tabla8[[#This Row],[FECHA]]))</f>
        <v>25-2026</v>
      </c>
    </row>
    <row r="1744" spans="1:21" ht="15" customHeight="1">
      <c r="A1744" s="22">
        <v>46188</v>
      </c>
      <c r="B1744" s="16" t="s">
        <v>179</v>
      </c>
      <c r="C1744" s="16" t="s">
        <v>23</v>
      </c>
      <c r="D1744" s="381">
        <v>0.61111111111111116</v>
      </c>
      <c r="E1744" s="381">
        <v>0.63541666666666663</v>
      </c>
      <c r="F1744" s="632">
        <f>+MOD(Tabla8[[#This Row],[HR. FIN]]-Tabla8[[#This Row],[HR. INICIO]],1)</f>
        <v>2.4305555555555469E-2</v>
      </c>
      <c r="G1744" s="16" t="s">
        <v>438</v>
      </c>
      <c r="H1744" s="79" t="str">
        <f>IFERROR(VLOOKUP(G1744,DATOS!$M$2:$N$219,2,FALSE),"")</f>
        <v>Maquinaria</v>
      </c>
      <c r="I1744" s="115" t="s">
        <v>186</v>
      </c>
      <c r="J1744" s="115" t="s">
        <v>92</v>
      </c>
      <c r="K1744" s="115" t="s">
        <v>93</v>
      </c>
      <c r="L1744" s="35" t="s">
        <v>3124</v>
      </c>
      <c r="M1744" s="35" t="s">
        <v>3125</v>
      </c>
      <c r="N1744" s="35" t="str" cm="1">
        <f t="array" ref="N1744">IFERROR(IF(Tabla8[[#This Row],[P/NP]]="NO PROGRAMADA","",_xlfn.TEXTJOIN(", ",TRUE,_xlfn._xlws.FILTER(Tabla4[[#All],[PIEZA]],ISNUMBER(SEARCH(Tabla4[[#All],[PCLAVE]],Tabla8[[#This Row],[DESCRIPCION DE TRABAJO]])),""))),"")</f>
        <v/>
      </c>
      <c r="O1744" s="35" t="str" cm="1">
        <f t="array" ref="O1744">_xlfn.TEXTJOIN(", ",TRUE,_xlfn._xlws.FILTER(Tabla28[[#All],[PARTE]],ISNUMBER(SEARCH(Tabla28[[#All],[PCLAVE2]],Tabla8[[#This Row],[DESCRIPCION DE TRABAJO]])),""))</f>
        <v/>
      </c>
      <c r="P1744" s="633" t="str">
        <f>IFERROR(LEFT(O1744, FIND(",", O1744)-1), O1744)</f>
        <v/>
      </c>
      <c r="Q1744" s="633" t="str">
        <f>IFERROR(IF(ISERROR(FIND(",", O1744, FIND(",", O1744)+1)), RIGHT(O1744, LEN(O1744)-FIND(",", O1744)-1), MID(O1744, FIND(",", O1744)+2, FIND(",", O1744, FIND(",", O1744)+1)-FIND(",", O1744)-2)), "")</f>
        <v/>
      </c>
      <c r="R1744" s="633" t="str">
        <f>IFERROR(RIGHT(O1744, LEN(O1744)-FIND(",", O1744, FIND(",", O1744)+1)-1), "")</f>
        <v/>
      </c>
      <c r="S1744" s="35" t="str" cm="1">
        <f t="array" ref="S1744">_xlfn.TEXTJOIN(", ",TRUE,_xlfn._xlws.FILTER(Tabla29[[#All],[PARTE]],ISNUMBER(SEARCH(Tabla29[[#All],[PCLAVE3]],Tabla8[[#This Row],[DESCRIPCION DE TRABAJO]])),""))</f>
        <v/>
      </c>
      <c r="T1744" s="88" t="str">
        <f>IF(AND(Tabla8[[#This Row],[PIEZA]]="",Tabla8[[#This Row],[PARTE]]=""),"VACIO","OK")</f>
        <v>VACIO</v>
      </c>
      <c r="U1744" s="633" t="str">
        <f>+CONCATENATE(WEEKNUM(Tabla8[[#This Row],[FECHA]]),"-",YEAR(Tabla8[[#This Row],[FECHA]]))</f>
        <v>25-2026</v>
      </c>
    </row>
    <row r="1745" spans="1:21" ht="15" customHeight="1">
      <c r="A1745" s="22">
        <v>46188</v>
      </c>
      <c r="B1745" s="16" t="s">
        <v>88</v>
      </c>
      <c r="C1745" s="16" t="s">
        <v>36</v>
      </c>
      <c r="D1745" s="381">
        <v>0.27083333333333331</v>
      </c>
      <c r="E1745" s="381">
        <v>0.29166666666666669</v>
      </c>
      <c r="F1745" s="632">
        <f>+MOD(Tabla8[[#This Row],[HR. FIN]]-Tabla8[[#This Row],[HR. INICIO]],1)</f>
        <v>2.083333333333337E-2</v>
      </c>
      <c r="G1745" s="16" t="s">
        <v>270</v>
      </c>
      <c r="H1745" s="79" t="str">
        <f>IFERROR(VLOOKUP(G1745,DATOS!$M$2:$N$219,2,FALSE),"")</f>
        <v>Maquinaria</v>
      </c>
      <c r="I1745" s="115" t="s">
        <v>186</v>
      </c>
      <c r="J1745" s="115" t="s">
        <v>92</v>
      </c>
      <c r="K1745" s="115" t="s">
        <v>93</v>
      </c>
      <c r="L1745" s="35" t="s">
        <v>3126</v>
      </c>
      <c r="M1745" s="35" t="s">
        <v>3127</v>
      </c>
      <c r="N1745" s="35" t="str" cm="1">
        <f t="array" ref="N1745">IFERROR(IF(Tabla8[[#This Row],[P/NP]]="NO PROGRAMADA","",_xlfn.TEXTJOIN(", ",TRUE,_xlfn._xlws.FILTER(Tabla4[[#All],[PIEZA]],ISNUMBER(SEARCH(Tabla4[[#All],[PCLAVE]],Tabla8[[#This Row],[DESCRIPCION DE TRABAJO]])),""))),"")</f>
        <v/>
      </c>
      <c r="O1745" s="35" t="str" cm="1">
        <f t="array" ref="O1745">_xlfn.TEXTJOIN(", ",TRUE,_xlfn._xlws.FILTER(Tabla28[[#All],[PARTE]],ISNUMBER(SEARCH(Tabla28[[#All],[PCLAVE2]],Tabla8[[#This Row],[DESCRIPCION DE TRABAJO]])),""))</f>
        <v>Tanque, Temperadora</v>
      </c>
      <c r="P1745" s="633" t="str">
        <f>IFERROR(LEFT(O1745, FIND(",", O1745)-1), O1745)</f>
        <v>Tanque</v>
      </c>
      <c r="Q1745" s="633" t="str">
        <f>IFERROR(IF(ISERROR(FIND(",", O1745, FIND(",", O1745)+1)), RIGHT(O1745, LEN(O1745)-FIND(",", O1745)-1), MID(O1745, FIND(",", O1745)+2, FIND(",", O1745, FIND(",", O1745)+1)-FIND(",", O1745)-2)), "")</f>
        <v>Temperadora</v>
      </c>
      <c r="R1745" s="633" t="str">
        <f>IFERROR(RIGHT(O1745, LEN(O1745)-FIND(",", O1745, FIND(",", O1745)+1)-1), "")</f>
        <v/>
      </c>
      <c r="S1745" s="35" t="str" cm="1">
        <f t="array" ref="S1745">_xlfn.TEXTJOIN(", ",TRUE,_xlfn._xlws.FILTER(Tabla29[[#All],[PARTE]],ISNUMBER(SEARCH(Tabla29[[#All],[PCLAVE3]],Tabla8[[#This Row],[DESCRIPCION DE TRABAJO]])),""))</f>
        <v/>
      </c>
      <c r="T1745" s="88" t="str">
        <f>IF(AND(Tabla8[[#This Row],[PIEZA]]="",Tabla8[[#This Row],[PARTE]]=""),"VACIO","OK")</f>
        <v>OK</v>
      </c>
      <c r="U1745" s="633" t="str">
        <f>+CONCATENATE(WEEKNUM(Tabla8[[#This Row],[FECHA]]),"-",YEAR(Tabla8[[#This Row],[FECHA]]))</f>
        <v>25-2026</v>
      </c>
    </row>
    <row r="1746" spans="1:21" ht="15" customHeight="1">
      <c r="A1746" s="22">
        <v>46188</v>
      </c>
      <c r="B1746" s="16" t="s">
        <v>88</v>
      </c>
      <c r="C1746" s="16" t="s">
        <v>36</v>
      </c>
      <c r="D1746" s="381">
        <v>0.39583333333333331</v>
      </c>
      <c r="E1746" s="381">
        <v>0.41666666666666669</v>
      </c>
      <c r="F1746" s="632">
        <f>+MOD(Tabla8[[#This Row],[HR. FIN]]-Tabla8[[#This Row],[HR. INICIO]],1)</f>
        <v>2.083333333333337E-2</v>
      </c>
      <c r="G1746" s="16" t="s">
        <v>2256</v>
      </c>
      <c r="H1746" s="79" t="str">
        <f>IFERROR(VLOOKUP(G1746,DATOS!$M$2:$N$219,2,FALSE),"")</f>
        <v>Maquinaria</v>
      </c>
      <c r="I1746" s="115" t="s">
        <v>390</v>
      </c>
      <c r="J1746" s="115" t="s">
        <v>157</v>
      </c>
      <c r="K1746" s="115"/>
      <c r="L1746" s="35" t="s">
        <v>3128</v>
      </c>
      <c r="M1746" s="35" t="s">
        <v>3129</v>
      </c>
      <c r="N1746" s="35" t="str" cm="1">
        <f t="array" ref="N1746">IFERROR(IF(Tabla8[[#This Row],[P/NP]]="NO PROGRAMADA","",_xlfn.TEXTJOIN(", ",TRUE,_xlfn._xlws.FILTER(Tabla4[[#All],[PIEZA]],ISNUMBER(SEARCH(Tabla4[[#All],[PCLAVE]],Tabla8[[#This Row],[DESCRIPCION DE TRABAJO]])),""))),"")</f>
        <v>Producto</v>
      </c>
      <c r="O1746" s="35" t="str" cm="1">
        <f t="array" ref="O1746">_xlfn.TEXTJOIN(", ",TRUE,_xlfn._xlws.FILTER(Tabla28[[#All],[PARTE]],ISNUMBER(SEARCH(Tabla28[[#All],[PCLAVE2]],Tabla8[[#This Row],[DESCRIPCION DE TRABAJO]])),""))</f>
        <v/>
      </c>
      <c r="P1746" s="633" t="str">
        <f>IFERROR(LEFT(O1746, FIND(",", O1746)-1), O1746)</f>
        <v/>
      </c>
      <c r="Q1746" s="633" t="str">
        <f>IFERROR(IF(ISERROR(FIND(",", O1746, FIND(",", O1746)+1)), RIGHT(O1746, LEN(O1746)-FIND(",", O1746)-1), MID(O1746, FIND(",", O1746)+2, FIND(",", O1746, FIND(",", O1746)+1)-FIND(",", O1746)-2)), "")</f>
        <v/>
      </c>
      <c r="R1746" s="633" t="str">
        <f>IFERROR(RIGHT(O1746, LEN(O1746)-FIND(",", O1746, FIND(",", O1746)+1)-1), "")</f>
        <v/>
      </c>
      <c r="S1746" s="35" t="str" cm="1">
        <f t="array" ref="S1746">_xlfn.TEXTJOIN(", ",TRUE,_xlfn._xlws.FILTER(Tabla29[[#All],[PARTE]],ISNUMBER(SEARCH(Tabla29[[#All],[PCLAVE3]],Tabla8[[#This Row],[DESCRIPCION DE TRABAJO]])),""))</f>
        <v>Carga/descarga</v>
      </c>
      <c r="T1746" s="88" t="str">
        <f>IF(AND(Tabla8[[#This Row],[PIEZA]]="",Tabla8[[#This Row],[PARTE]]=""),"VACIO","OK")</f>
        <v>OK</v>
      </c>
      <c r="U1746" s="633" t="str">
        <f>+CONCATENATE(WEEKNUM(Tabla8[[#This Row],[FECHA]]),"-",YEAR(Tabla8[[#This Row],[FECHA]]))</f>
        <v>25-2026</v>
      </c>
    </row>
    <row r="1747" spans="1:21" ht="15" customHeight="1">
      <c r="A1747" s="22">
        <v>46188</v>
      </c>
      <c r="B1747" s="16" t="s">
        <v>88</v>
      </c>
      <c r="C1747" s="16" t="s">
        <v>36</v>
      </c>
      <c r="D1747" s="381">
        <v>0.29166666666666669</v>
      </c>
      <c r="E1747" s="381">
        <v>0.3125</v>
      </c>
      <c r="F1747" s="632">
        <f>+MOD(Tabla8[[#This Row],[HR. FIN]]-Tabla8[[#This Row],[HR. INICIO]],1)</f>
        <v>2.0833333333333315E-2</v>
      </c>
      <c r="G1747" s="16" t="s">
        <v>153</v>
      </c>
      <c r="H1747" s="79" t="str">
        <f>IFERROR(VLOOKUP(G1747,DATOS!$M$2:$N$219,2,FALSE),"")</f>
        <v>Maquinaria</v>
      </c>
      <c r="I1747" s="115" t="s">
        <v>57</v>
      </c>
      <c r="J1747" s="115" t="s">
        <v>92</v>
      </c>
      <c r="K1747" s="115" t="s">
        <v>93</v>
      </c>
      <c r="L1747" s="35" t="s">
        <v>3130</v>
      </c>
      <c r="M1747" s="35" t="s">
        <v>3131</v>
      </c>
      <c r="N1747" s="35" t="str" cm="1">
        <f t="array" ref="N1747">IFERROR(IF(Tabla8[[#This Row],[P/NP]]="NO PROGRAMADA","",_xlfn.TEXTJOIN(", ",TRUE,_xlfn._xlws.FILTER(Tabla4[[#All],[PIEZA]],ISNUMBER(SEARCH(Tabla4[[#All],[PCLAVE]],Tabla8[[#This Row],[DESCRIPCION DE TRABAJO]])),""))),"")</f>
        <v/>
      </c>
      <c r="O1747" s="35" t="str" cm="1">
        <f t="array" ref="O1747">_xlfn.TEXTJOIN(", ",TRUE,_xlfn._xlws.FILTER(Tabla28[[#All],[PARTE]],ISNUMBER(SEARCH(Tabla28[[#All],[PCLAVE2]],Tabla8[[#This Row],[DESCRIPCION DE TRABAJO]])),""))</f>
        <v/>
      </c>
      <c r="P1747" s="633" t="str">
        <f>IFERROR(LEFT(O1747, FIND(",", O1747)-1), O1747)</f>
        <v/>
      </c>
      <c r="Q1747" s="633" t="str">
        <f>IFERROR(IF(ISERROR(FIND(",", O1747, FIND(",", O1747)+1)), RIGHT(O1747, LEN(O1747)-FIND(",", O1747)-1), MID(O1747, FIND(",", O1747)+2, FIND(",", O1747, FIND(",", O1747)+1)-FIND(",", O1747)-2)), "")</f>
        <v/>
      </c>
      <c r="R1747" s="633" t="str">
        <f>IFERROR(RIGHT(O1747, LEN(O1747)-FIND(",", O1747, FIND(",", O1747)+1)-1), "")</f>
        <v/>
      </c>
      <c r="S1747" s="35" t="str" cm="1">
        <f t="array" ref="S1747">_xlfn.TEXTJOIN(", ",TRUE,_xlfn._xlws.FILTER(Tabla29[[#All],[PARTE]],ISNUMBER(SEARCH(Tabla29[[#All],[PCLAVE3]],Tabla8[[#This Row],[DESCRIPCION DE TRABAJO]])),""))</f>
        <v>No Avanza</v>
      </c>
      <c r="T1747" s="88" t="str">
        <f>IF(AND(Tabla8[[#This Row],[PIEZA]]="",Tabla8[[#This Row],[PARTE]]=""),"VACIO","OK")</f>
        <v>VACIO</v>
      </c>
      <c r="U1747" s="633" t="str">
        <f>+CONCATENATE(WEEKNUM(Tabla8[[#This Row],[FECHA]]),"-",YEAR(Tabla8[[#This Row],[FECHA]]))</f>
        <v>25-2026</v>
      </c>
    </row>
    <row r="1748" spans="1:21" ht="15" customHeight="1">
      <c r="A1748" s="22">
        <v>46188</v>
      </c>
      <c r="B1748" s="16" t="s">
        <v>179</v>
      </c>
      <c r="C1748" s="16" t="s">
        <v>23</v>
      </c>
      <c r="D1748" s="381">
        <v>0.70833333333333337</v>
      </c>
      <c r="E1748" s="381">
        <v>0.72916666666666663</v>
      </c>
      <c r="F1748" s="632">
        <f>+MOD(Tabla8[[#This Row],[HR. FIN]]-Tabla8[[#This Row],[HR. INICIO]],1)</f>
        <v>2.0833333333333259E-2</v>
      </c>
      <c r="G1748" s="16" t="s">
        <v>119</v>
      </c>
      <c r="H1748" s="79" t="str">
        <f>IFERROR(VLOOKUP(G1748,DATOS!$M$2:$N$219,2,FALSE),"")</f>
        <v>Maquinaria</v>
      </c>
      <c r="I1748" s="115" t="s">
        <v>186</v>
      </c>
      <c r="J1748" s="115" t="s">
        <v>92</v>
      </c>
      <c r="K1748" s="115" t="s">
        <v>93</v>
      </c>
      <c r="L1748" s="35" t="s">
        <v>3132</v>
      </c>
      <c r="M1748" s="35" t="s">
        <v>3133</v>
      </c>
      <c r="N1748" s="35" t="str" cm="1">
        <f t="array" ref="N1748">IFERROR(IF(Tabla8[[#This Row],[P/NP]]="NO PROGRAMADA","",_xlfn.TEXTJOIN(", ",TRUE,_xlfn._xlws.FILTER(Tabla4[[#All],[PIEZA]],ISNUMBER(SEARCH(Tabla4[[#All],[PCLAVE]],Tabla8[[#This Row],[DESCRIPCION DE TRABAJO]])),""))),"")</f>
        <v/>
      </c>
      <c r="O1748" s="35" t="str" cm="1">
        <f t="array" ref="O1748">_xlfn.TEXTJOIN(", ",TRUE,_xlfn._xlws.FILTER(Tabla28[[#All],[PARTE]],ISNUMBER(SEARCH(Tabla28[[#All],[PCLAVE2]],Tabla8[[#This Row],[DESCRIPCION DE TRABAJO]])),""))</f>
        <v/>
      </c>
      <c r="P1748" s="633" t="str">
        <f>IFERROR(LEFT(O1748, FIND(",", O1748)-1), O1748)</f>
        <v/>
      </c>
      <c r="Q1748" s="633" t="str">
        <f>IFERROR(IF(ISERROR(FIND(",", O1748, FIND(",", O1748)+1)), RIGHT(O1748, LEN(O1748)-FIND(",", O1748)-1), MID(O1748, FIND(",", O1748)+2, FIND(",", O1748, FIND(",", O1748)+1)-FIND(",", O1748)-2)), "")</f>
        <v/>
      </c>
      <c r="R1748" s="633" t="str">
        <f>IFERROR(RIGHT(O1748, LEN(O1748)-FIND(",", O1748, FIND(",", O1748)+1)-1), "")</f>
        <v/>
      </c>
      <c r="S1748" s="35" t="str" cm="1">
        <f t="array" ref="S1748">_xlfn.TEXTJOIN(", ",TRUE,_xlfn._xlws.FILTER(Tabla29[[#All],[PARTE]],ISNUMBER(SEARCH(Tabla29[[#All],[PCLAVE3]],Tabla8[[#This Row],[DESCRIPCION DE TRABAJO]])),""))</f>
        <v>Temperatura</v>
      </c>
      <c r="T1748" s="88" t="str">
        <f>IF(AND(Tabla8[[#This Row],[PIEZA]]="",Tabla8[[#This Row],[PARTE]]=""),"VACIO","OK")</f>
        <v>VACIO</v>
      </c>
      <c r="U1748" s="633" t="str">
        <f>+CONCATENATE(WEEKNUM(Tabla8[[#This Row],[FECHA]]),"-",YEAR(Tabla8[[#This Row],[FECHA]]))</f>
        <v>25-2026</v>
      </c>
    </row>
    <row r="1749" spans="1:21" ht="15" customHeight="1">
      <c r="A1749" s="22">
        <v>46188</v>
      </c>
      <c r="B1749" s="16" t="s">
        <v>131</v>
      </c>
      <c r="C1749" s="16" t="s">
        <v>23</v>
      </c>
      <c r="D1749" s="381">
        <v>0.67361111111111116</v>
      </c>
      <c r="E1749" s="381">
        <v>0.69444444444444442</v>
      </c>
      <c r="F1749" s="632">
        <f>+MOD(Tabla8[[#This Row],[HR. FIN]]-Tabla8[[#This Row],[HR. INICIO]],1)</f>
        <v>2.0833333333333259E-2</v>
      </c>
      <c r="G1749" s="16" t="s">
        <v>312</v>
      </c>
      <c r="H1749" s="79" t="str">
        <f>IFERROR(VLOOKUP(G1749,DATOS!$M$2:$N$219,2,FALSE),"")</f>
        <v>Maquinaria</v>
      </c>
      <c r="I1749" s="115" t="s">
        <v>57</v>
      </c>
      <c r="J1749" s="115" t="s">
        <v>92</v>
      </c>
      <c r="K1749" s="115" t="s">
        <v>93</v>
      </c>
      <c r="L1749" s="35" t="s">
        <v>3134</v>
      </c>
      <c r="M1749" s="35" t="s">
        <v>3135</v>
      </c>
      <c r="N1749" s="35" t="str" cm="1">
        <f t="array" ref="N1749">IFERROR(IF(Tabla8[[#This Row],[P/NP]]="NO PROGRAMADA","",_xlfn.TEXTJOIN(", ",TRUE,_xlfn._xlws.FILTER(Tabla4[[#All],[PIEZA]],ISNUMBER(SEARCH(Tabla4[[#All],[PCLAVE]],Tabla8[[#This Row],[DESCRIPCION DE TRABAJO]])),""))),"")</f>
        <v/>
      </c>
      <c r="O1749" s="35" t="str" cm="1">
        <f t="array" ref="O1749">_xlfn.TEXTJOIN(", ",TRUE,_xlfn._xlws.FILTER(Tabla28[[#All],[PARTE]],ISNUMBER(SEARCH(Tabla28[[#All],[PCLAVE2]],Tabla8[[#This Row],[DESCRIPCION DE TRABAJO]])),""))</f>
        <v/>
      </c>
      <c r="P1749" s="633" t="str">
        <f>IFERROR(LEFT(O1749, FIND(",", O1749)-1), O1749)</f>
        <v/>
      </c>
      <c r="Q1749" s="633" t="str">
        <f>IFERROR(IF(ISERROR(FIND(",", O1749, FIND(",", O1749)+1)), RIGHT(O1749, LEN(O1749)-FIND(",", O1749)-1), MID(O1749, FIND(",", O1749)+2, FIND(",", O1749, FIND(",", O1749)+1)-FIND(",", O1749)-2)), "")</f>
        <v/>
      </c>
      <c r="R1749" s="633" t="str">
        <f>IFERROR(RIGHT(O1749, LEN(O1749)-FIND(",", O1749, FIND(",", O1749)+1)-1), "")</f>
        <v/>
      </c>
      <c r="S1749" s="35" t="str" cm="1">
        <f t="array" ref="S1749">_xlfn.TEXTJOIN(", ",TRUE,_xlfn._xlws.FILTER(Tabla29[[#All],[PARTE]],ISNUMBER(SEARCH(Tabla29[[#All],[PCLAVE3]],Tabla8[[#This Row],[DESCRIPCION DE TRABAJO]])),""))</f>
        <v>Desalineado</v>
      </c>
      <c r="T1749" s="88" t="str">
        <f>IF(AND(Tabla8[[#This Row],[PIEZA]]="",Tabla8[[#This Row],[PARTE]]=""),"VACIO","OK")</f>
        <v>VACIO</v>
      </c>
      <c r="U1749" s="633" t="str">
        <f>+CONCATENATE(WEEKNUM(Tabla8[[#This Row],[FECHA]]),"-",YEAR(Tabla8[[#This Row],[FECHA]]))</f>
        <v>25-2026</v>
      </c>
    </row>
    <row r="1750" spans="1:21" ht="15" customHeight="1">
      <c r="A1750" s="22">
        <v>46188</v>
      </c>
      <c r="B1750" s="16" t="s">
        <v>131</v>
      </c>
      <c r="C1750" s="16" t="s">
        <v>23</v>
      </c>
      <c r="D1750" s="381">
        <v>0.6430555555555556</v>
      </c>
      <c r="E1750" s="381">
        <v>0.66319444444444442</v>
      </c>
      <c r="F1750" s="632">
        <f>+MOD(Tabla8[[#This Row],[HR. FIN]]-Tabla8[[#This Row],[HR. INICIO]],1)</f>
        <v>2.0138888888888817E-2</v>
      </c>
      <c r="G1750" s="16" t="s">
        <v>438</v>
      </c>
      <c r="H1750" s="79" t="str">
        <f>IFERROR(VLOOKUP(G1750,DATOS!$M$2:$N$219,2,FALSE),"")</f>
        <v>Maquinaria</v>
      </c>
      <c r="I1750" s="115" t="s">
        <v>28</v>
      </c>
      <c r="J1750" s="115" t="s">
        <v>92</v>
      </c>
      <c r="K1750" s="115" t="s">
        <v>148</v>
      </c>
      <c r="L1750" s="35" t="s">
        <v>3136</v>
      </c>
      <c r="M1750" s="35" t="s">
        <v>3137</v>
      </c>
      <c r="N1750" s="35" t="str" cm="1">
        <f t="array" ref="N1750">IFERROR(IF(Tabla8[[#This Row],[P/NP]]="NO PROGRAMADA","",_xlfn.TEXTJOIN(", ",TRUE,_xlfn._xlws.FILTER(Tabla4[[#All],[PIEZA]],ISNUMBER(SEARCH(Tabla4[[#All],[PCLAVE]],Tabla8[[#This Row],[DESCRIPCION DE TRABAJO]])),""))),"")</f>
        <v/>
      </c>
      <c r="O1750" s="35" t="str" cm="1">
        <f t="array" ref="O1750">_xlfn.TEXTJOIN(", ",TRUE,_xlfn._xlws.FILTER(Tabla28[[#All],[PARTE]],ISNUMBER(SEARCH(Tabla28[[#All],[PCLAVE2]],Tabla8[[#This Row],[DESCRIPCION DE TRABAJO]])),""))</f>
        <v/>
      </c>
      <c r="P1750" s="633" t="str">
        <f>IFERROR(LEFT(O1750, FIND(",", O1750)-1), O1750)</f>
        <v/>
      </c>
      <c r="Q1750" s="633" t="str">
        <f>IFERROR(IF(ISERROR(FIND(",", O1750, FIND(",", O1750)+1)), RIGHT(O1750, LEN(O1750)-FIND(",", O1750)-1), MID(O1750, FIND(",", O1750)+2, FIND(",", O1750, FIND(",", O1750)+1)-FIND(",", O1750)-2)), "")</f>
        <v/>
      </c>
      <c r="R1750" s="633" t="str">
        <f>IFERROR(RIGHT(O1750, LEN(O1750)-FIND(",", O1750, FIND(",", O1750)+1)-1), "")</f>
        <v/>
      </c>
      <c r="S1750" s="35" t="str" cm="1">
        <f t="array" ref="S1750">_xlfn.TEXTJOIN(", ",TRUE,_xlfn._xlws.FILTER(Tabla29[[#All],[PARTE]],ISNUMBER(SEARCH(Tabla29[[#All],[PCLAVE3]],Tabla8[[#This Row],[DESCRIPCION DE TRABAJO]])),""))</f>
        <v>Colision, Dañado</v>
      </c>
      <c r="T1750" s="88" t="str">
        <f>IF(AND(Tabla8[[#This Row],[PIEZA]]="",Tabla8[[#This Row],[PARTE]]=""),"VACIO","OK")</f>
        <v>VACIO</v>
      </c>
      <c r="U1750" s="633" t="str">
        <f>+CONCATENATE(WEEKNUM(Tabla8[[#This Row],[FECHA]]),"-",YEAR(Tabla8[[#This Row],[FECHA]]))</f>
        <v>25-2026</v>
      </c>
    </row>
    <row r="1751" spans="1:21" ht="15" customHeight="1">
      <c r="A1751" s="22">
        <v>46188</v>
      </c>
      <c r="B1751" s="16" t="s">
        <v>191</v>
      </c>
      <c r="C1751" s="16" t="s">
        <v>39</v>
      </c>
      <c r="D1751" s="381">
        <v>0.91805555555555551</v>
      </c>
      <c r="E1751" s="381">
        <v>0.93611111111111112</v>
      </c>
      <c r="F1751" s="632">
        <f>+MOD(Tabla8[[#This Row],[HR. FIN]]-Tabla8[[#This Row],[HR. INICIO]],1)</f>
        <v>1.8055555555555602E-2</v>
      </c>
      <c r="G1751" s="16" t="s">
        <v>2100</v>
      </c>
      <c r="H1751" s="79" t="str">
        <f>IFERROR(VLOOKUP(G1751,DATOS!$M$2:$N$219,2,FALSE),"")</f>
        <v>Maquinaria</v>
      </c>
      <c r="I1751" s="115" t="s">
        <v>25</v>
      </c>
      <c r="J1751" s="115" t="s">
        <v>157</v>
      </c>
      <c r="K1751" s="115"/>
      <c r="L1751" s="35" t="s">
        <v>3138</v>
      </c>
      <c r="M1751" s="35" t="s">
        <v>121</v>
      </c>
      <c r="N1751" s="35" t="str" cm="1">
        <f t="array" ref="N1751">IFERROR(IF(Tabla8[[#This Row],[P/NP]]="NO PROGRAMADA","",_xlfn.TEXTJOIN(", ",TRUE,_xlfn._xlws.FILTER(Tabla4[[#All],[PIEZA]],ISNUMBER(SEARCH(Tabla4[[#All],[PCLAVE]],Tabla8[[#This Row],[DESCRIPCION DE TRABAJO]])),""))),"")</f>
        <v xml:space="preserve">Bomba </v>
      </c>
      <c r="O1751" s="35" t="str" cm="1">
        <f t="array" ref="O1751">_xlfn.TEXTJOIN(", ",TRUE,_xlfn._xlws.FILTER(Tabla28[[#All],[PARTE]],ISNUMBER(SEARCH(Tabla28[[#All],[PCLAVE2]],Tabla8[[#This Row],[DESCRIPCION DE TRABAJO]])),""))</f>
        <v/>
      </c>
      <c r="P1751" s="633" t="str">
        <f>IFERROR(LEFT(O1751, FIND(",", O1751)-1), O1751)</f>
        <v/>
      </c>
      <c r="Q1751" s="633" t="str">
        <f>IFERROR(IF(ISERROR(FIND(",", O1751, FIND(",", O1751)+1)), RIGHT(O1751, LEN(O1751)-FIND(",", O1751)-1), MID(O1751, FIND(",", O1751)+2, FIND(",", O1751, FIND(",", O1751)+1)-FIND(",", O1751)-2)), "")</f>
        <v/>
      </c>
      <c r="R1751" s="633" t="str">
        <f>IFERROR(RIGHT(O1751, LEN(O1751)-FIND(",", O1751, FIND(",", O1751)+1)-1), "")</f>
        <v/>
      </c>
      <c r="S1751" s="35" t="str" cm="1">
        <f t="array" ref="S1751">_xlfn.TEXTJOIN(", ",TRUE,_xlfn._xlws.FILTER(Tabla29[[#All],[PARTE]],ISNUMBER(SEARCH(Tabla29[[#All],[PCLAVE3]],Tabla8[[#This Row],[DESCRIPCION DE TRABAJO]])),""))</f>
        <v/>
      </c>
      <c r="T1751" s="88" t="str">
        <f>IF(AND(Tabla8[[#This Row],[PIEZA]]="",Tabla8[[#This Row],[PARTE]]=""),"VACIO","OK")</f>
        <v>OK</v>
      </c>
      <c r="U1751" s="633" t="str">
        <f>+CONCATENATE(WEEKNUM(Tabla8[[#This Row],[FECHA]]),"-",YEAR(Tabla8[[#This Row],[FECHA]]))</f>
        <v>25-2026</v>
      </c>
    </row>
    <row r="1752" spans="1:21" ht="15" customHeight="1">
      <c r="A1752" s="22">
        <v>46188</v>
      </c>
      <c r="B1752" s="16" t="s">
        <v>111</v>
      </c>
      <c r="C1752" s="16" t="s">
        <v>36</v>
      </c>
      <c r="D1752" s="381">
        <v>0.30208333333333331</v>
      </c>
      <c r="E1752" s="381">
        <v>0.31944444444444442</v>
      </c>
      <c r="F1752" s="632">
        <f>+MOD(Tabla8[[#This Row],[HR. FIN]]-Tabla8[[#This Row],[HR. INICIO]],1)</f>
        <v>1.7361111111111105E-2</v>
      </c>
      <c r="G1752" s="16" t="s">
        <v>119</v>
      </c>
      <c r="H1752" s="79" t="str">
        <f>IFERROR(VLOOKUP(G1752,DATOS!$M$2:$N$219,2,FALSE),"")</f>
        <v>Maquinaria</v>
      </c>
      <c r="I1752" s="115" t="s">
        <v>186</v>
      </c>
      <c r="J1752" s="115" t="s">
        <v>92</v>
      </c>
      <c r="K1752" s="115" t="s">
        <v>93</v>
      </c>
      <c r="L1752" s="35" t="s">
        <v>3139</v>
      </c>
      <c r="M1752" s="35" t="s">
        <v>3140</v>
      </c>
      <c r="N1752" s="35" t="str" cm="1">
        <f t="array" ref="N1752">IFERROR(IF(Tabla8[[#This Row],[P/NP]]="NO PROGRAMADA","",_xlfn.TEXTJOIN(", ",TRUE,_xlfn._xlws.FILTER(Tabla4[[#All],[PIEZA]],ISNUMBER(SEARCH(Tabla4[[#All],[PCLAVE]],Tabla8[[#This Row],[DESCRIPCION DE TRABAJO]])),""))),"")</f>
        <v/>
      </c>
      <c r="O1752" s="35" t="str" cm="1">
        <f t="array" ref="O1752">_xlfn.TEXTJOIN(", ",TRUE,_xlfn._xlws.FILTER(Tabla28[[#All],[PARTE]],ISNUMBER(SEARCH(Tabla28[[#All],[PCLAVE2]],Tabla8[[#This Row],[DESCRIPCION DE TRABAJO]])),""))</f>
        <v>Tanque, Temperadora</v>
      </c>
      <c r="P1752" s="633" t="str">
        <f>IFERROR(LEFT(O1752, FIND(",", O1752)-1), O1752)</f>
        <v>Tanque</v>
      </c>
      <c r="Q1752" s="633" t="str">
        <f>IFERROR(IF(ISERROR(FIND(",", O1752, FIND(",", O1752)+1)), RIGHT(O1752, LEN(O1752)-FIND(",", O1752)-1), MID(O1752, FIND(",", O1752)+2, FIND(",", O1752, FIND(",", O1752)+1)-FIND(",", O1752)-2)), "")</f>
        <v>Temperadora</v>
      </c>
      <c r="R1752" s="633" t="str">
        <f>IFERROR(RIGHT(O1752, LEN(O1752)-FIND(",", O1752, FIND(",", O1752)+1)-1), "")</f>
        <v/>
      </c>
      <c r="S1752" s="35" t="str" cm="1">
        <f t="array" ref="S1752">_xlfn.TEXTJOIN(", ",TRUE,_xlfn._xlws.FILTER(Tabla29[[#All],[PARTE]],ISNUMBER(SEARCH(Tabla29[[#All],[PCLAVE3]],Tabla8[[#This Row],[DESCRIPCION DE TRABAJO]])),""))</f>
        <v>Temperatura</v>
      </c>
      <c r="T1752" s="88" t="str">
        <f>IF(AND(Tabla8[[#This Row],[PIEZA]]="",Tabla8[[#This Row],[PARTE]]=""),"VACIO","OK")</f>
        <v>OK</v>
      </c>
      <c r="U1752" s="633" t="str">
        <f>+CONCATENATE(WEEKNUM(Tabla8[[#This Row],[FECHA]]),"-",YEAR(Tabla8[[#This Row],[FECHA]]))</f>
        <v>25-2026</v>
      </c>
    </row>
    <row r="1753" spans="1:21" ht="15" customHeight="1">
      <c r="A1753" s="22">
        <v>46188</v>
      </c>
      <c r="B1753" s="16" t="s">
        <v>179</v>
      </c>
      <c r="C1753" s="16" t="s">
        <v>23</v>
      </c>
      <c r="D1753" s="381">
        <v>0.54861111111111116</v>
      </c>
      <c r="E1753" s="381">
        <v>0.5625</v>
      </c>
      <c r="F1753" s="632">
        <f>+MOD(Tabla8[[#This Row],[HR. FIN]]-Tabla8[[#This Row],[HR. INICIO]],1)</f>
        <v>1.388888888888884E-2</v>
      </c>
      <c r="G1753" s="16" t="s">
        <v>128</v>
      </c>
      <c r="H1753" s="79" t="str">
        <f>IFERROR(VLOOKUP(G1753,DATOS!$M$2:$N$219,2,FALSE),"")</f>
        <v>Maquinaria</v>
      </c>
      <c r="I1753" s="115" t="s">
        <v>57</v>
      </c>
      <c r="J1753" s="115" t="s">
        <v>92</v>
      </c>
      <c r="K1753" s="115" t="s">
        <v>148</v>
      </c>
      <c r="L1753" s="35" t="s">
        <v>994</v>
      </c>
      <c r="M1753" s="35" t="s">
        <v>3141</v>
      </c>
      <c r="N1753" s="35" t="str" cm="1">
        <f t="array" ref="N1753">IFERROR(IF(Tabla8[[#This Row],[P/NP]]="NO PROGRAMADA","",_xlfn.TEXTJOIN(", ",TRUE,_xlfn._xlws.FILTER(Tabla4[[#All],[PIEZA]],ISNUMBER(SEARCH(Tabla4[[#All],[PCLAVE]],Tabla8[[#This Row],[DESCRIPCION DE TRABAJO]])),""))),"")</f>
        <v/>
      </c>
      <c r="O1753" s="35" t="str" cm="1">
        <f t="array" ref="O1753">_xlfn.TEXTJOIN(", ",TRUE,_xlfn._xlws.FILTER(Tabla28[[#All],[PARTE]],ISNUMBER(SEARCH(Tabla28[[#All],[PCLAVE2]],Tabla8[[#This Row],[DESCRIPCION DE TRABAJO]])),""))</f>
        <v/>
      </c>
      <c r="P1753" s="633" t="str">
        <f>IFERROR(LEFT(O1753, FIND(",", O1753)-1), O1753)</f>
        <v/>
      </c>
      <c r="Q1753" s="633" t="str">
        <f>IFERROR(IF(ISERROR(FIND(",", O1753, FIND(",", O1753)+1)), RIGHT(O1753, LEN(O1753)-FIND(",", O1753)-1), MID(O1753, FIND(",", O1753)+2, FIND(",", O1753, FIND(",", O1753)+1)-FIND(",", O1753)-2)), "")</f>
        <v/>
      </c>
      <c r="R1753" s="633" t="str">
        <f>IFERROR(RIGHT(O1753, LEN(O1753)-FIND(",", O1753, FIND(",", O1753)+1)-1), "")</f>
        <v/>
      </c>
      <c r="S1753" s="35" t="str" cm="1">
        <f t="array" ref="S1753">_xlfn.TEXTJOIN(", ",TRUE,_xlfn._xlws.FILTER(Tabla29[[#All],[PARTE]],ISNUMBER(SEARCH(Tabla29[[#All],[PCLAVE3]],Tabla8[[#This Row],[DESCRIPCION DE TRABAJO]])),""))</f>
        <v>No Enciende</v>
      </c>
      <c r="T1753" s="88" t="str">
        <f>IF(AND(Tabla8[[#This Row],[PIEZA]]="",Tabla8[[#This Row],[PARTE]]=""),"VACIO","OK")</f>
        <v>VACIO</v>
      </c>
      <c r="U1753" s="633" t="str">
        <f>+CONCATENATE(WEEKNUM(Tabla8[[#This Row],[FECHA]]),"-",YEAR(Tabla8[[#This Row],[FECHA]]))</f>
        <v>25-2026</v>
      </c>
    </row>
    <row r="1754" spans="1:21" ht="15" customHeight="1">
      <c r="A1754" s="22">
        <v>46188</v>
      </c>
      <c r="B1754" s="16" t="s">
        <v>131</v>
      </c>
      <c r="C1754" s="16" t="s">
        <v>23</v>
      </c>
      <c r="D1754" s="381">
        <v>0.62152777777777779</v>
      </c>
      <c r="E1754" s="381">
        <v>0.63541666666666663</v>
      </c>
      <c r="F1754" s="632">
        <f>+MOD(Tabla8[[#This Row],[HR. FIN]]-Tabla8[[#This Row],[HR. INICIO]],1)</f>
        <v>1.388888888888884E-2</v>
      </c>
      <c r="G1754" s="16" t="s">
        <v>270</v>
      </c>
      <c r="H1754" s="79" t="str">
        <f>IFERROR(VLOOKUP(G1754,DATOS!$M$2:$N$219,2,FALSE),"")</f>
        <v>Maquinaria</v>
      </c>
      <c r="I1754" s="115" t="s">
        <v>186</v>
      </c>
      <c r="J1754" s="115" t="s">
        <v>92</v>
      </c>
      <c r="K1754" s="115" t="s">
        <v>148</v>
      </c>
      <c r="L1754" s="35" t="s">
        <v>343</v>
      </c>
      <c r="M1754" s="35" t="s">
        <v>3142</v>
      </c>
      <c r="N1754" s="35" t="str" cm="1">
        <f t="array" ref="N1754">IFERROR(IF(Tabla8[[#This Row],[P/NP]]="NO PROGRAMADA","",_xlfn.TEXTJOIN(", ",TRUE,_xlfn._xlws.FILTER(Tabla4[[#All],[PIEZA]],ISNUMBER(SEARCH(Tabla4[[#All],[PCLAVE]],Tabla8[[#This Row],[DESCRIPCION DE TRABAJO]])),""))),"")</f>
        <v/>
      </c>
      <c r="O1754" s="35" t="str" cm="1">
        <f t="array" ref="O1754">_xlfn.TEXTJOIN(", ",TRUE,_xlfn._xlws.FILTER(Tabla28[[#All],[PARTE]],ISNUMBER(SEARCH(Tabla28[[#All],[PCLAVE2]],Tabla8[[#This Row],[DESCRIPCION DE TRABAJO]])),""))</f>
        <v>Temperadora</v>
      </c>
      <c r="P1754" s="633" t="str">
        <f>IFERROR(LEFT(O1754, FIND(",", O1754)-1), O1754)</f>
        <v>Temperadora</v>
      </c>
      <c r="Q1754" s="633" t="str">
        <f>IFERROR(IF(ISERROR(FIND(",", O1754, FIND(",", O1754)+1)), RIGHT(O1754, LEN(O1754)-FIND(",", O1754)-1), MID(O1754, FIND(",", O1754)+2, FIND(",", O1754, FIND(",", O1754)+1)-FIND(",", O1754)-2)), "")</f>
        <v/>
      </c>
      <c r="R1754" s="633" t="str">
        <f>IFERROR(RIGHT(O1754, LEN(O1754)-FIND(",", O1754, FIND(",", O1754)+1)-1), "")</f>
        <v/>
      </c>
      <c r="S1754" s="35" t="str" cm="1">
        <f t="array" ref="S1754">_xlfn.TEXTJOIN(", ",TRUE,_xlfn._xlws.FILTER(Tabla29[[#All],[PARTE]],ISNUMBER(SEARCH(Tabla29[[#All],[PCLAVE3]],Tabla8[[#This Row],[DESCRIPCION DE TRABAJO]])),""))</f>
        <v>Bloqueado</v>
      </c>
      <c r="T1754" s="88" t="str">
        <f>IF(AND(Tabla8[[#This Row],[PIEZA]]="",Tabla8[[#This Row],[PARTE]]=""),"VACIO","OK")</f>
        <v>OK</v>
      </c>
      <c r="U1754" s="633" t="str">
        <f>+CONCATENATE(WEEKNUM(Tabla8[[#This Row],[FECHA]]),"-",YEAR(Tabla8[[#This Row],[FECHA]]))</f>
        <v>25-2026</v>
      </c>
    </row>
    <row r="1755" spans="1:21" ht="15" customHeight="1">
      <c r="A1755" s="22">
        <v>46188</v>
      </c>
      <c r="B1755" s="16" t="s">
        <v>131</v>
      </c>
      <c r="C1755" s="16" t="s">
        <v>23</v>
      </c>
      <c r="D1755" s="381">
        <v>0.70486111111111116</v>
      </c>
      <c r="E1755" s="381">
        <v>0.71875</v>
      </c>
      <c r="F1755" s="632">
        <f>+MOD(Tabla8[[#This Row],[HR. FIN]]-Tabla8[[#This Row],[HR. INICIO]],1)</f>
        <v>1.388888888888884E-2</v>
      </c>
      <c r="G1755" s="16" t="s">
        <v>2256</v>
      </c>
      <c r="H1755" s="79" t="str">
        <f>IFERROR(VLOOKUP(G1755,DATOS!$M$2:$N$219,2,FALSE),"")</f>
        <v>Maquinaria</v>
      </c>
      <c r="I1755" s="115" t="s">
        <v>54</v>
      </c>
      <c r="J1755" s="115" t="s">
        <v>157</v>
      </c>
      <c r="K1755" s="115"/>
      <c r="L1755" s="35" t="s">
        <v>225</v>
      </c>
      <c r="M1755" s="35" t="s">
        <v>121</v>
      </c>
      <c r="N1755" s="35" t="str" cm="1">
        <f t="array" ref="N1755">IFERROR(IF(Tabla8[[#This Row],[P/NP]]="NO PROGRAMADA","",_xlfn.TEXTJOIN(", ",TRUE,_xlfn._xlws.FILTER(Tabla4[[#All],[PIEZA]],ISNUMBER(SEARCH(Tabla4[[#All],[PCLAVE]],Tabla8[[#This Row],[DESCRIPCION DE TRABAJO]])),""))),"")</f>
        <v/>
      </c>
      <c r="O1755" s="35" t="str" cm="1">
        <f t="array" ref="O1755">_xlfn.TEXTJOIN(", ",TRUE,_xlfn._xlws.FILTER(Tabla28[[#All],[PARTE]],ISNUMBER(SEARCH(Tabla28[[#All],[PCLAVE2]],Tabla8[[#This Row],[DESCRIPCION DE TRABAJO]])),""))</f>
        <v/>
      </c>
      <c r="P1755" s="633" t="str">
        <f>IFERROR(LEFT(O1755, FIND(",", O1755)-1), O1755)</f>
        <v/>
      </c>
      <c r="Q1755" s="633" t="str">
        <f>IFERROR(IF(ISERROR(FIND(",", O1755, FIND(",", O1755)+1)), RIGHT(O1755, LEN(O1755)-FIND(",", O1755)-1), MID(O1755, FIND(",", O1755)+2, FIND(",", O1755, FIND(",", O1755)+1)-FIND(",", O1755)-2)), "")</f>
        <v/>
      </c>
      <c r="R1755" s="633" t="str">
        <f>IFERROR(RIGHT(O1755, LEN(O1755)-FIND(",", O1755, FIND(",", O1755)+1)-1), "")</f>
        <v/>
      </c>
      <c r="S1755" s="35" t="str" cm="1">
        <f t="array" ref="S1755">_xlfn.TEXTJOIN(", ",TRUE,_xlfn._xlws.FILTER(Tabla29[[#All],[PARTE]],ISNUMBER(SEARCH(Tabla29[[#All],[PCLAVE3]],Tabla8[[#This Row],[DESCRIPCION DE TRABAJO]])),""))</f>
        <v/>
      </c>
      <c r="T1755" s="88" t="str">
        <f>IF(AND(Tabla8[[#This Row],[PIEZA]]="",Tabla8[[#This Row],[PARTE]]=""),"VACIO","OK")</f>
        <v>VACIO</v>
      </c>
      <c r="U1755" s="633" t="str">
        <f>+CONCATENATE(WEEKNUM(Tabla8[[#This Row],[FECHA]]),"-",YEAR(Tabla8[[#This Row],[FECHA]]))</f>
        <v>25-2026</v>
      </c>
    </row>
    <row r="1756" spans="1:21" ht="15" customHeight="1">
      <c r="A1756" s="22">
        <v>46188</v>
      </c>
      <c r="B1756" s="16" t="s">
        <v>191</v>
      </c>
      <c r="C1756" s="16" t="s">
        <v>39</v>
      </c>
      <c r="D1756" s="381">
        <v>0.88402777777777775</v>
      </c>
      <c r="E1756" s="381">
        <v>0.89444444444444449</v>
      </c>
      <c r="F1756" s="632">
        <f>+MOD(Tabla8[[#This Row],[HR. FIN]]-Tabla8[[#This Row],[HR. INICIO]],1)</f>
        <v>1.0416666666666741E-2</v>
      </c>
      <c r="G1756" s="16" t="s">
        <v>215</v>
      </c>
      <c r="H1756" s="79" t="str">
        <f>IFERROR(VLOOKUP(G1756,DATOS!$M$2:$N$219,2,FALSE),"")</f>
        <v>Equipos auxiliares</v>
      </c>
      <c r="I1756" s="115" t="s">
        <v>54</v>
      </c>
      <c r="J1756" s="115" t="s">
        <v>157</v>
      </c>
      <c r="K1756" s="115"/>
      <c r="L1756" s="35" t="s">
        <v>248</v>
      </c>
      <c r="M1756" s="35" t="s">
        <v>121</v>
      </c>
      <c r="N1756" s="35" t="str" cm="1">
        <f t="array" ref="N1756">IFERROR(IF(Tabla8[[#This Row],[P/NP]]="NO PROGRAMADA","",_xlfn.TEXTJOIN(", ",TRUE,_xlfn._xlws.FILTER(Tabla4[[#All],[PIEZA]],ISNUMBER(SEARCH(Tabla4[[#All],[PCLAVE]],Tabla8[[#This Row],[DESCRIPCION DE TRABAJO]])),""))),"")</f>
        <v/>
      </c>
      <c r="O1756" s="35" t="str" cm="1">
        <f t="array" ref="O1756">_xlfn.TEXTJOIN(", ",TRUE,_xlfn._xlws.FILTER(Tabla28[[#All],[PARTE]],ISNUMBER(SEARCH(Tabla28[[#All],[PCLAVE2]],Tabla8[[#This Row],[DESCRIPCION DE TRABAJO]])),""))</f>
        <v/>
      </c>
      <c r="P1756" s="633" t="str">
        <f>IFERROR(LEFT(O1756, FIND(",", O1756)-1), O1756)</f>
        <v/>
      </c>
      <c r="Q1756" s="633" t="str">
        <f>IFERROR(IF(ISERROR(FIND(",", O1756, FIND(",", O1756)+1)), RIGHT(O1756, LEN(O1756)-FIND(",", O1756)-1), MID(O1756, FIND(",", O1756)+2, FIND(",", O1756, FIND(",", O1756)+1)-FIND(",", O1756)-2)), "")</f>
        <v/>
      </c>
      <c r="R1756" s="633" t="str">
        <f>IFERROR(RIGHT(O1756, LEN(O1756)-FIND(",", O1756, FIND(",", O1756)+1)-1), "")</f>
        <v/>
      </c>
      <c r="S1756" s="35" t="str" cm="1">
        <f t="array" ref="S1756">_xlfn.TEXTJOIN(", ",TRUE,_xlfn._xlws.FILTER(Tabla29[[#All],[PARTE]],ISNUMBER(SEARCH(Tabla29[[#All],[PCLAVE3]],Tabla8[[#This Row],[DESCRIPCION DE TRABAJO]])),""))</f>
        <v/>
      </c>
      <c r="T1756" s="88" t="str">
        <f>IF(AND(Tabla8[[#This Row],[PIEZA]]="",Tabla8[[#This Row],[PARTE]]=""),"VACIO","OK")</f>
        <v>VACIO</v>
      </c>
      <c r="U1756" s="633" t="str">
        <f>+CONCATENATE(WEEKNUM(Tabla8[[#This Row],[FECHA]]),"-",YEAR(Tabla8[[#This Row],[FECHA]]))</f>
        <v>25-2026</v>
      </c>
    </row>
    <row r="1757" spans="1:21" ht="15" customHeight="1">
      <c r="A1757" s="22">
        <v>46188</v>
      </c>
      <c r="B1757" s="16" t="s">
        <v>88</v>
      </c>
      <c r="C1757" s="16" t="s">
        <v>36</v>
      </c>
      <c r="D1757" s="381">
        <v>0.41666666666666669</v>
      </c>
      <c r="E1757" s="381">
        <v>0.42708333333333331</v>
      </c>
      <c r="F1757" s="632">
        <f>+MOD(Tabla8[[#This Row],[HR. FIN]]-Tabla8[[#This Row],[HR. INICIO]],1)</f>
        <v>1.041666666666663E-2</v>
      </c>
      <c r="G1757" s="16" t="s">
        <v>1575</v>
      </c>
      <c r="H1757" s="79" t="str">
        <f>IFERROR(VLOOKUP(G1757,DATOS!$M$2:$N$219,2,FALSE),"")</f>
        <v>Sistema</v>
      </c>
      <c r="I1757" s="115" t="s">
        <v>28</v>
      </c>
      <c r="J1757" s="115" t="s">
        <v>92</v>
      </c>
      <c r="K1757" s="115" t="s">
        <v>93</v>
      </c>
      <c r="L1757" s="35" t="s">
        <v>3143</v>
      </c>
      <c r="M1757" s="35" t="s">
        <v>3144</v>
      </c>
      <c r="N1757" s="35" t="str" cm="1">
        <f t="array" ref="N1757">IFERROR(IF(Tabla8[[#This Row],[P/NP]]="NO PROGRAMADA","",_xlfn.TEXTJOIN(", ",TRUE,_xlfn._xlws.FILTER(Tabla4[[#All],[PIEZA]],ISNUMBER(SEARCH(Tabla4[[#All],[PCLAVE]],Tabla8[[#This Row],[DESCRIPCION DE TRABAJO]])),""))),"")</f>
        <v/>
      </c>
      <c r="O1757" s="35" t="str" cm="1">
        <f t="array" ref="O1757">_xlfn.TEXTJOIN(", ",TRUE,_xlfn._xlws.FILTER(Tabla28[[#All],[PARTE]],ISNUMBER(SEARCH(Tabla28[[#All],[PCLAVE2]],Tabla8[[#This Row],[DESCRIPCION DE TRABAJO]])),""))</f>
        <v/>
      </c>
      <c r="P1757" s="633" t="str">
        <f>IFERROR(LEFT(O1757, FIND(",", O1757)-1), O1757)</f>
        <v/>
      </c>
      <c r="Q1757" s="633" t="str">
        <f>IFERROR(IF(ISERROR(FIND(",", O1757, FIND(",", O1757)+1)), RIGHT(O1757, LEN(O1757)-FIND(",", O1757)-1), MID(O1757, FIND(",", O1757)+2, FIND(",", O1757, FIND(",", O1757)+1)-FIND(",", O1757)-2)), "")</f>
        <v/>
      </c>
      <c r="R1757" s="633" t="str">
        <f>IFERROR(RIGHT(O1757, LEN(O1757)-FIND(",", O1757, FIND(",", O1757)+1)-1), "")</f>
        <v/>
      </c>
      <c r="S1757" s="35" t="str" cm="1">
        <f t="array" ref="S1757">_xlfn.TEXTJOIN(", ",TRUE,_xlfn._xlws.FILTER(Tabla29[[#All],[PARTE]],ISNUMBER(SEARCH(Tabla29[[#All],[PCLAVE3]],Tabla8[[#This Row],[DESCRIPCION DE TRABAJO]])),""))</f>
        <v>Falla De Presion</v>
      </c>
      <c r="T1757" s="88" t="str">
        <f>IF(AND(Tabla8[[#This Row],[PIEZA]]="",Tabla8[[#This Row],[PARTE]]=""),"VACIO","OK")</f>
        <v>VACIO</v>
      </c>
      <c r="U1757" s="633" t="str">
        <f>+CONCATENATE(WEEKNUM(Tabla8[[#This Row],[FECHA]]),"-",YEAR(Tabla8[[#This Row],[FECHA]]))</f>
        <v>25-2026</v>
      </c>
    </row>
    <row r="1758" spans="1:21" ht="15" customHeight="1">
      <c r="A1758" s="22">
        <v>46188</v>
      </c>
      <c r="B1758" s="16" t="s">
        <v>88</v>
      </c>
      <c r="C1758" s="16" t="s">
        <v>36</v>
      </c>
      <c r="D1758" s="381">
        <v>0.44791666666666669</v>
      </c>
      <c r="E1758" s="381">
        <v>0.45833333333333331</v>
      </c>
      <c r="F1758" s="632">
        <f>+MOD(Tabla8[[#This Row],[HR. FIN]]-Tabla8[[#This Row],[HR. INICIO]],1)</f>
        <v>1.041666666666663E-2</v>
      </c>
      <c r="G1758" s="16" t="s">
        <v>1465</v>
      </c>
      <c r="H1758" s="79" t="str">
        <f>IFERROR(VLOOKUP(G1758,DATOS!$M$2:$N$219,2,FALSE),"")</f>
        <v>Maquinaria</v>
      </c>
      <c r="I1758" s="115" t="s">
        <v>54</v>
      </c>
      <c r="J1758" s="115" t="s">
        <v>92</v>
      </c>
      <c r="K1758" s="115" t="s">
        <v>148</v>
      </c>
      <c r="L1758" s="35" t="s">
        <v>3145</v>
      </c>
      <c r="M1758" s="35" t="s">
        <v>3146</v>
      </c>
      <c r="N1758" s="35" t="str" cm="1">
        <f t="array" ref="N1758">IFERROR(IF(Tabla8[[#This Row],[P/NP]]="NO PROGRAMADA","",_xlfn.TEXTJOIN(", ",TRUE,_xlfn._xlws.FILTER(Tabla4[[#All],[PIEZA]],ISNUMBER(SEARCH(Tabla4[[#All],[PCLAVE]],Tabla8[[#This Row],[DESCRIPCION DE TRABAJO]])),""))),"")</f>
        <v/>
      </c>
      <c r="O1758" s="35" t="str" cm="1">
        <f t="array" ref="O1758">_xlfn.TEXTJOIN(", ",TRUE,_xlfn._xlws.FILTER(Tabla28[[#All],[PARTE]],ISNUMBER(SEARCH(Tabla28[[#All],[PCLAVE2]],Tabla8[[#This Row],[DESCRIPCION DE TRABAJO]])),""))</f>
        <v/>
      </c>
      <c r="P1758" s="633" t="str">
        <f>IFERROR(LEFT(O1758, FIND(",", O1758)-1), O1758)</f>
        <v/>
      </c>
      <c r="Q1758" s="633" t="str">
        <f>IFERROR(IF(ISERROR(FIND(",", O1758, FIND(",", O1758)+1)), RIGHT(O1758, LEN(O1758)-FIND(",", O1758)-1), MID(O1758, FIND(",", O1758)+2, FIND(",", O1758, FIND(",", O1758)+1)-FIND(",", O1758)-2)), "")</f>
        <v/>
      </c>
      <c r="R1758" s="633" t="str">
        <f>IFERROR(RIGHT(O1758, LEN(O1758)-FIND(",", O1758, FIND(",", O1758)+1)-1), "")</f>
        <v/>
      </c>
      <c r="S1758" s="35" t="str" cm="1">
        <f t="array" ref="S1758">_xlfn.TEXTJOIN(", ",TRUE,_xlfn._xlws.FILTER(Tabla29[[#All],[PARTE]],ISNUMBER(SEARCH(Tabla29[[#All],[PCLAVE3]],Tabla8[[#This Row],[DESCRIPCION DE TRABAJO]])),""))</f>
        <v>No Enciende, No Gira</v>
      </c>
      <c r="T1758" s="88" t="str">
        <f>IF(AND(Tabla8[[#This Row],[PIEZA]]="",Tabla8[[#This Row],[PARTE]]=""),"VACIO","OK")</f>
        <v>VACIO</v>
      </c>
      <c r="U1758" s="633" t="str">
        <f>+CONCATENATE(WEEKNUM(Tabla8[[#This Row],[FECHA]]),"-",YEAR(Tabla8[[#This Row],[FECHA]]))</f>
        <v>25-2026</v>
      </c>
    </row>
    <row r="1759" spans="1:21" ht="15" customHeight="1">
      <c r="A1759" s="22">
        <v>46188</v>
      </c>
      <c r="B1759" s="16" t="s">
        <v>179</v>
      </c>
      <c r="C1759" s="16" t="s">
        <v>23</v>
      </c>
      <c r="D1759" s="381">
        <v>0.59375</v>
      </c>
      <c r="E1759" s="381">
        <v>0.60416666666666663</v>
      </c>
      <c r="F1759" s="632">
        <f>+MOD(Tabla8[[#This Row],[HR. FIN]]-Tabla8[[#This Row],[HR. INICIO]],1)</f>
        <v>1.041666666666663E-2</v>
      </c>
      <c r="G1759" s="16" t="s">
        <v>42</v>
      </c>
      <c r="H1759" s="79" t="str">
        <f>IFERROR(VLOOKUP(G1759,DATOS!$M$2:$N$219,2,FALSE),"")</f>
        <v>Maquinaria</v>
      </c>
      <c r="I1759" s="115" t="s">
        <v>32</v>
      </c>
      <c r="J1759" s="115" t="s">
        <v>157</v>
      </c>
      <c r="K1759" s="115"/>
      <c r="L1759" s="35" t="s">
        <v>3147</v>
      </c>
      <c r="M1759" s="35" t="s">
        <v>121</v>
      </c>
      <c r="N1759" s="35" t="str" cm="1">
        <f t="array" ref="N1759">IFERROR(IF(Tabla8[[#This Row],[P/NP]]="NO PROGRAMADA","",_xlfn.TEXTJOIN(", ",TRUE,_xlfn._xlws.FILTER(Tabla4[[#All],[PIEZA]],ISNUMBER(SEARCH(Tabla4[[#All],[PCLAVE]],Tabla8[[#This Row],[DESCRIPCION DE TRABAJO]])),""))),"")</f>
        <v>Husillo, Husillo</v>
      </c>
      <c r="O1759" s="35" t="str" cm="1">
        <f t="array" ref="O1759">_xlfn.TEXTJOIN(", ",TRUE,_xlfn._xlws.FILTER(Tabla28[[#All],[PARTE]],ISNUMBER(SEARCH(Tabla28[[#All],[PCLAVE2]],Tabla8[[#This Row],[DESCRIPCION DE TRABAJO]])),""))</f>
        <v/>
      </c>
      <c r="P1759" s="633" t="str">
        <f>IFERROR(LEFT(O1759, FIND(",", O1759)-1), O1759)</f>
        <v/>
      </c>
      <c r="Q1759" s="633" t="str">
        <f>IFERROR(IF(ISERROR(FIND(",", O1759, FIND(",", O1759)+1)), RIGHT(O1759, LEN(O1759)-FIND(",", O1759)-1), MID(O1759, FIND(",", O1759)+2, FIND(",", O1759, FIND(",", O1759)+1)-FIND(",", O1759)-2)), "")</f>
        <v/>
      </c>
      <c r="R1759" s="633" t="str">
        <f>IFERROR(RIGHT(O1759, LEN(O1759)-FIND(",", O1759, FIND(",", O1759)+1)-1), "")</f>
        <v/>
      </c>
      <c r="S1759" s="35" t="str" cm="1">
        <f t="array" ref="S1759">_xlfn.TEXTJOIN(", ",TRUE,_xlfn._xlws.FILTER(Tabla29[[#All],[PARTE]],ISNUMBER(SEARCH(Tabla29[[#All],[PCLAVE3]],Tabla8[[#This Row],[DESCRIPCION DE TRABAJO]])),""))</f>
        <v/>
      </c>
      <c r="T1759" s="88" t="str">
        <f>IF(AND(Tabla8[[#This Row],[PIEZA]]="",Tabla8[[#This Row],[PARTE]]=""),"VACIO","OK")</f>
        <v>OK</v>
      </c>
      <c r="U1759" s="633" t="str">
        <f>+CONCATENATE(WEEKNUM(Tabla8[[#This Row],[FECHA]]),"-",YEAR(Tabla8[[#This Row],[FECHA]]))</f>
        <v>25-2026</v>
      </c>
    </row>
    <row r="1760" spans="1:21" ht="15" customHeight="1">
      <c r="A1760" s="22">
        <v>46188</v>
      </c>
      <c r="B1760" s="16" t="s">
        <v>191</v>
      </c>
      <c r="C1760" s="16" t="s">
        <v>39</v>
      </c>
      <c r="D1760" s="381">
        <v>0.90347222222222223</v>
      </c>
      <c r="E1760" s="381">
        <v>0.91319444444444442</v>
      </c>
      <c r="F1760" s="632">
        <f>+MOD(Tabla8[[#This Row],[HR. FIN]]-Tabla8[[#This Row],[HR. INICIO]],1)</f>
        <v>9.7222222222221877E-3</v>
      </c>
      <c r="G1760" s="16" t="s">
        <v>119</v>
      </c>
      <c r="H1760" s="79" t="str">
        <f>IFERROR(VLOOKUP(G1760,DATOS!$M$2:$N$219,2,FALSE),"")</f>
        <v>Maquinaria</v>
      </c>
      <c r="I1760" s="115" t="s">
        <v>54</v>
      </c>
      <c r="J1760" s="115" t="s">
        <v>92</v>
      </c>
      <c r="K1760" s="115" t="s">
        <v>148</v>
      </c>
      <c r="L1760" s="35" t="s">
        <v>3148</v>
      </c>
      <c r="M1760" s="35" t="s">
        <v>3149</v>
      </c>
      <c r="N1760" s="35" t="str" cm="1">
        <f t="array" ref="N1760">IFERROR(IF(Tabla8[[#This Row],[P/NP]]="NO PROGRAMADA","",_xlfn.TEXTJOIN(", ",TRUE,_xlfn._xlws.FILTER(Tabla4[[#All],[PIEZA]],ISNUMBER(SEARCH(Tabla4[[#All],[PCLAVE]],Tabla8[[#This Row],[DESCRIPCION DE TRABAJO]])),""))),"")</f>
        <v/>
      </c>
      <c r="O1760" s="35" t="str" cm="1">
        <f t="array" ref="O1760">_xlfn.TEXTJOIN(", ",TRUE,_xlfn._xlws.FILTER(Tabla28[[#All],[PARTE]],ISNUMBER(SEARCH(Tabla28[[#All],[PCLAVE2]],Tabla8[[#This Row],[DESCRIPCION DE TRABAJO]])),""))</f>
        <v>Sammfill</v>
      </c>
      <c r="P1760" s="633" t="str">
        <f>IFERROR(LEFT(O1760, FIND(",", O1760)-1), O1760)</f>
        <v>Sammfill</v>
      </c>
      <c r="Q1760" s="633" t="str">
        <f>IFERROR(IF(ISERROR(FIND(",", O1760, FIND(",", O1760)+1)), RIGHT(O1760, LEN(O1760)-FIND(",", O1760)-1), MID(O1760, FIND(",", O1760)+2, FIND(",", O1760, FIND(",", O1760)+1)-FIND(",", O1760)-2)), "")</f>
        <v/>
      </c>
      <c r="R1760" s="633" t="str">
        <f>IFERROR(RIGHT(O1760, LEN(O1760)-FIND(",", O1760, FIND(",", O1760)+1)-1), "")</f>
        <v/>
      </c>
      <c r="S1760" s="35" t="str" cm="1">
        <f t="array" ref="S1760">_xlfn.TEXTJOIN(", ",TRUE,_xlfn._xlws.FILTER(Tabla29[[#All],[PARTE]],ISNUMBER(SEARCH(Tabla29[[#All],[PCLAVE3]],Tabla8[[#This Row],[DESCRIPCION DE TRABAJO]])),""))</f>
        <v>Alarma</v>
      </c>
      <c r="T1760" s="88" t="str">
        <f>IF(AND(Tabla8[[#This Row],[PIEZA]]="",Tabla8[[#This Row],[PARTE]]=""),"VACIO","OK")</f>
        <v>OK</v>
      </c>
      <c r="U1760" s="633" t="str">
        <f>+CONCATENATE(WEEKNUM(Tabla8[[#This Row],[FECHA]]),"-",YEAR(Tabla8[[#This Row],[FECHA]]))</f>
        <v>25-2026</v>
      </c>
    </row>
    <row r="1761" spans="1:21" ht="15" customHeight="1">
      <c r="A1761" s="22">
        <v>46188</v>
      </c>
      <c r="B1761" s="16" t="s">
        <v>191</v>
      </c>
      <c r="C1761" s="16" t="s">
        <v>39</v>
      </c>
      <c r="D1761" s="381">
        <v>0.94861111111111107</v>
      </c>
      <c r="E1761" s="381">
        <v>0.95694444444444449</v>
      </c>
      <c r="F1761" s="632">
        <f>+MOD(Tabla8[[#This Row],[HR. FIN]]-Tabla8[[#This Row],[HR. INICIO]],1)</f>
        <v>8.3333333333334147E-3</v>
      </c>
      <c r="G1761" s="16" t="s">
        <v>256</v>
      </c>
      <c r="H1761" s="79" t="str">
        <f>IFERROR(VLOOKUP(G1761,DATOS!$M$2:$N$219,2,FALSE),"")</f>
        <v>Maquinaria</v>
      </c>
      <c r="I1761" s="115" t="s">
        <v>186</v>
      </c>
      <c r="J1761" s="115" t="s">
        <v>92</v>
      </c>
      <c r="K1761" s="115" t="s">
        <v>93</v>
      </c>
      <c r="L1761" s="35" t="s">
        <v>3150</v>
      </c>
      <c r="M1761" s="35" t="s">
        <v>3151</v>
      </c>
      <c r="N1761" s="35" t="str" cm="1">
        <f t="array" ref="N1761">IFERROR(IF(Tabla8[[#This Row],[P/NP]]="NO PROGRAMADA","",_xlfn.TEXTJOIN(", ",TRUE,_xlfn._xlws.FILTER(Tabla4[[#All],[PIEZA]],ISNUMBER(SEARCH(Tabla4[[#All],[PCLAVE]],Tabla8[[#This Row],[DESCRIPCION DE TRABAJO]])),""))),"")</f>
        <v/>
      </c>
      <c r="O1761" s="35" t="str" cm="1">
        <f t="array" ref="O1761">_xlfn.TEXTJOIN(", ",TRUE,_xlfn._xlws.FILTER(Tabla28[[#All],[PARTE]],ISNUMBER(SEARCH(Tabla28[[#All],[PCLAVE2]],Tabla8[[#This Row],[DESCRIPCION DE TRABAJO]])),""))</f>
        <v/>
      </c>
      <c r="P1761" s="633" t="str">
        <f>IFERROR(LEFT(O1761, FIND(",", O1761)-1), O1761)</f>
        <v/>
      </c>
      <c r="Q1761" s="633" t="str">
        <f>IFERROR(IF(ISERROR(FIND(",", O1761, FIND(",", O1761)+1)), RIGHT(O1761, LEN(O1761)-FIND(",", O1761)-1), MID(O1761, FIND(",", O1761)+2, FIND(",", O1761, FIND(",", O1761)+1)-FIND(",", O1761)-2)), "")</f>
        <v/>
      </c>
      <c r="R1761" s="633" t="str">
        <f>IFERROR(RIGHT(O1761, LEN(O1761)-FIND(",", O1761, FIND(",", O1761)+1)-1), "")</f>
        <v/>
      </c>
      <c r="S1761" s="35" t="str" cm="1">
        <f t="array" ref="S1761">_xlfn.TEXTJOIN(", ",TRUE,_xlfn._xlws.FILTER(Tabla29[[#All],[PARTE]],ISNUMBER(SEARCH(Tabla29[[#All],[PCLAVE3]],Tabla8[[#This Row],[DESCRIPCION DE TRABAJO]])),""))</f>
        <v>Dañado, Fuga</v>
      </c>
      <c r="T1761" s="88" t="str">
        <f>IF(AND(Tabla8[[#This Row],[PIEZA]]="",Tabla8[[#This Row],[PARTE]]=""),"VACIO","OK")</f>
        <v>VACIO</v>
      </c>
      <c r="U1761" s="633" t="str">
        <f>+CONCATENATE(WEEKNUM(Tabla8[[#This Row],[FECHA]]),"-",YEAR(Tabla8[[#This Row],[FECHA]]))</f>
        <v>25-2026</v>
      </c>
    </row>
    <row r="1762" spans="1:21" ht="15" customHeight="1">
      <c r="A1762" s="22">
        <v>46188</v>
      </c>
      <c r="B1762" s="16" t="s">
        <v>191</v>
      </c>
      <c r="C1762" s="16" t="s">
        <v>39</v>
      </c>
      <c r="D1762" s="381">
        <v>0.93888888888888888</v>
      </c>
      <c r="E1762" s="381">
        <v>0.94652777777777775</v>
      </c>
      <c r="F1762" s="632">
        <f>+MOD(Tabla8[[#This Row],[HR. FIN]]-Tabla8[[#This Row],[HR. INICIO]],1)</f>
        <v>7.6388888888888618E-3</v>
      </c>
      <c r="G1762" s="16" t="s">
        <v>438</v>
      </c>
      <c r="H1762" s="79" t="str">
        <f>IFERROR(VLOOKUP(G1762,DATOS!$M$2:$N$219,2,FALSE),"")</f>
        <v>Maquinaria</v>
      </c>
      <c r="I1762" s="115" t="s">
        <v>1426</v>
      </c>
      <c r="J1762" s="115" t="s">
        <v>157</v>
      </c>
      <c r="K1762" s="115"/>
      <c r="L1762" s="35" t="s">
        <v>3152</v>
      </c>
      <c r="M1762" s="35" t="s">
        <v>121</v>
      </c>
      <c r="N1762" s="35" t="str" cm="1">
        <f t="array" ref="N1762">IFERROR(IF(Tabla8[[#This Row],[P/NP]]="NO PROGRAMADA","",_xlfn.TEXTJOIN(", ",TRUE,_xlfn._xlws.FILTER(Tabla4[[#All],[PIEZA]],ISNUMBER(SEARCH(Tabla4[[#All],[PCLAVE]],Tabla8[[#This Row],[DESCRIPCION DE TRABAJO]])),""))),"")</f>
        <v>Bobina</v>
      </c>
      <c r="O1762" s="35" t="str" cm="1">
        <f t="array" ref="O1762">_xlfn.TEXTJOIN(", ",TRUE,_xlfn._xlws.FILTER(Tabla28[[#All],[PARTE]],ISNUMBER(SEARCH(Tabla28[[#All],[PCLAVE2]],Tabla8[[#This Row],[DESCRIPCION DE TRABAJO]])),""))</f>
        <v/>
      </c>
      <c r="P1762" s="633" t="str">
        <f>IFERROR(LEFT(O1762, FIND(",", O1762)-1), O1762)</f>
        <v/>
      </c>
      <c r="Q1762" s="633" t="str">
        <f>IFERROR(IF(ISERROR(FIND(",", O1762, FIND(",", O1762)+1)), RIGHT(O1762, LEN(O1762)-FIND(",", O1762)-1), MID(O1762, FIND(",", O1762)+2, FIND(",", O1762, FIND(",", O1762)+1)-FIND(",", O1762)-2)), "")</f>
        <v/>
      </c>
      <c r="R1762" s="633" t="str">
        <f>IFERROR(RIGHT(O1762, LEN(O1762)-FIND(",", O1762, FIND(",", O1762)+1)-1), "")</f>
        <v/>
      </c>
      <c r="S1762" s="35" t="str" cm="1">
        <f t="array" ref="S1762">_xlfn.TEXTJOIN(", ",TRUE,_xlfn._xlws.FILTER(Tabla29[[#All],[PARTE]],ISNUMBER(SEARCH(Tabla29[[#All],[PCLAVE3]],Tabla8[[#This Row],[DESCRIPCION DE TRABAJO]])),""))</f>
        <v/>
      </c>
      <c r="T1762" s="88" t="str">
        <f>IF(AND(Tabla8[[#This Row],[PIEZA]]="",Tabla8[[#This Row],[PARTE]]=""),"VACIO","OK")</f>
        <v>OK</v>
      </c>
      <c r="U1762" s="633" t="str">
        <f>+CONCATENATE(WEEKNUM(Tabla8[[#This Row],[FECHA]]),"-",YEAR(Tabla8[[#This Row],[FECHA]]))</f>
        <v>25-2026</v>
      </c>
    </row>
    <row r="1763" spans="1:21" ht="15" customHeight="1">
      <c r="A1763" s="22">
        <v>46188</v>
      </c>
      <c r="B1763" s="16" t="s">
        <v>111</v>
      </c>
      <c r="C1763" s="16" t="s">
        <v>36</v>
      </c>
      <c r="D1763" s="381">
        <v>0.27777777777777779</v>
      </c>
      <c r="E1763" s="381">
        <v>0.28472222222222221</v>
      </c>
      <c r="F1763" s="632">
        <f>+MOD(Tabla8[[#This Row],[HR. FIN]]-Tabla8[[#This Row],[HR. INICIO]],1)</f>
        <v>6.9444444444444198E-3</v>
      </c>
      <c r="G1763" s="16" t="s">
        <v>236</v>
      </c>
      <c r="H1763" s="79" t="str">
        <f>IFERROR(VLOOKUP(G1763,DATOS!$M$2:$N$219,2,FALSE),"")</f>
        <v>Sistema</v>
      </c>
      <c r="I1763" s="115" t="s">
        <v>57</v>
      </c>
      <c r="J1763" s="115" t="s">
        <v>92</v>
      </c>
      <c r="K1763" s="115" t="s">
        <v>93</v>
      </c>
      <c r="L1763" s="35" t="s">
        <v>3153</v>
      </c>
      <c r="M1763" s="35" t="s">
        <v>3154</v>
      </c>
      <c r="N1763" s="35" t="str" cm="1">
        <f t="array" ref="N1763">IFERROR(IF(Tabla8[[#This Row],[P/NP]]="NO PROGRAMADA","",_xlfn.TEXTJOIN(", ",TRUE,_xlfn._xlws.FILTER(Tabla4[[#All],[PIEZA]],ISNUMBER(SEARCH(Tabla4[[#All],[PCLAVE]],Tabla8[[#This Row],[DESCRIPCION DE TRABAJO]])),""))),"")</f>
        <v/>
      </c>
      <c r="O1763" s="35" t="str" cm="1">
        <f t="array" ref="O1763">_xlfn.TEXTJOIN(", ",TRUE,_xlfn._xlws.FILTER(Tabla28[[#All],[PARTE]],ISNUMBER(SEARCH(Tabla28[[#All],[PCLAVE2]],Tabla8[[#This Row],[DESCRIPCION DE TRABAJO]])),""))</f>
        <v/>
      </c>
      <c r="P1763" s="633" t="str">
        <f>IFERROR(LEFT(O1763, FIND(",", O1763)-1), O1763)</f>
        <v/>
      </c>
      <c r="Q1763" s="633" t="str">
        <f>IFERROR(IF(ISERROR(FIND(",", O1763, FIND(",", O1763)+1)), RIGHT(O1763, LEN(O1763)-FIND(",", O1763)-1), MID(O1763, FIND(",", O1763)+2, FIND(",", O1763, FIND(",", O1763)+1)-FIND(",", O1763)-2)), "")</f>
        <v/>
      </c>
      <c r="R1763" s="633" t="str">
        <f>IFERROR(RIGHT(O1763, LEN(O1763)-FIND(",", O1763, FIND(",", O1763)+1)-1), "")</f>
        <v/>
      </c>
      <c r="S1763" s="35" t="str" cm="1">
        <f t="array" ref="S1763">_xlfn.TEXTJOIN(", ",TRUE,_xlfn._xlws.FILTER(Tabla29[[#All],[PARTE]],ISNUMBER(SEARCH(Tabla29[[#All],[PCLAVE3]],Tabla8[[#This Row],[DESCRIPCION DE TRABAJO]])),""))</f>
        <v>Desgaste</v>
      </c>
      <c r="T1763" s="88" t="str">
        <f>IF(AND(Tabla8[[#This Row],[PIEZA]]="",Tabla8[[#This Row],[PARTE]]=""),"VACIO","OK")</f>
        <v>VACIO</v>
      </c>
      <c r="U1763" s="633" t="str">
        <f>+CONCATENATE(WEEKNUM(Tabla8[[#This Row],[FECHA]]),"-",YEAR(Tabla8[[#This Row],[FECHA]]))</f>
        <v>25-2026</v>
      </c>
    </row>
    <row r="1764" spans="1:21" ht="15" customHeight="1">
      <c r="A1764" s="22">
        <v>46188</v>
      </c>
      <c r="B1764" s="16" t="s">
        <v>111</v>
      </c>
      <c r="C1764" s="16" t="s">
        <v>36</v>
      </c>
      <c r="D1764" s="381">
        <v>0.29166666666666669</v>
      </c>
      <c r="E1764" s="381">
        <v>0.2986111111111111</v>
      </c>
      <c r="F1764" s="632">
        <f>+MOD(Tabla8[[#This Row],[HR. FIN]]-Tabla8[[#This Row],[HR. INICIO]],1)</f>
        <v>6.9444444444444198E-3</v>
      </c>
      <c r="G1764" s="16" t="s">
        <v>205</v>
      </c>
      <c r="H1764" s="79" t="str">
        <f>IFERROR(VLOOKUP(G1764,DATOS!$M$2:$N$219,2,FALSE),"")</f>
        <v>Maquinaria</v>
      </c>
      <c r="I1764" s="115" t="s">
        <v>43</v>
      </c>
      <c r="J1764" s="115" t="s">
        <v>157</v>
      </c>
      <c r="K1764" s="115"/>
      <c r="L1764" s="35" t="s">
        <v>3155</v>
      </c>
      <c r="M1764" s="35" t="s">
        <v>121</v>
      </c>
      <c r="N1764" s="35" t="str" cm="1">
        <f t="array" ref="N1764">IFERROR(IF(Tabla8[[#This Row],[P/NP]]="NO PROGRAMADA","",_xlfn.TEXTJOIN(", ",TRUE,_xlfn._xlws.FILTER(Tabla4[[#All],[PIEZA]],ISNUMBER(SEARCH(Tabla4[[#All],[PCLAVE]],Tabla8[[#This Row],[DESCRIPCION DE TRABAJO]])),""))),"")</f>
        <v/>
      </c>
      <c r="O1764" s="35" t="str" cm="1">
        <f t="array" ref="O1764">_xlfn.TEXTJOIN(", ",TRUE,_xlfn._xlws.FILTER(Tabla28[[#All],[PARTE]],ISNUMBER(SEARCH(Tabla28[[#All],[PCLAVE2]],Tabla8[[#This Row],[DESCRIPCION DE TRABAJO]])),""))</f>
        <v/>
      </c>
      <c r="P1764" s="633" t="str">
        <f>IFERROR(LEFT(O1764, FIND(",", O1764)-1), O1764)</f>
        <v/>
      </c>
      <c r="Q1764" s="633" t="str">
        <f>IFERROR(IF(ISERROR(FIND(",", O1764, FIND(",", O1764)+1)), RIGHT(O1764, LEN(O1764)-FIND(",", O1764)-1), MID(O1764, FIND(",", O1764)+2, FIND(",", O1764, FIND(",", O1764)+1)-FIND(",", O1764)-2)), "")</f>
        <v/>
      </c>
      <c r="R1764" s="633" t="str">
        <f>IFERROR(RIGHT(O1764, LEN(O1764)-FIND(",", O1764, FIND(",", O1764)+1)-1), "")</f>
        <v/>
      </c>
      <c r="S1764" s="35" t="str" cm="1">
        <f t="array" ref="S1764">_xlfn.TEXTJOIN(", ",TRUE,_xlfn._xlws.FILTER(Tabla29[[#All],[PARTE]],ISNUMBER(SEARCH(Tabla29[[#All],[PCLAVE3]],Tabla8[[#This Row],[DESCRIPCION DE TRABAJO]])),""))</f>
        <v/>
      </c>
      <c r="T1764" s="88" t="str">
        <f>IF(AND(Tabla8[[#This Row],[PIEZA]]="",Tabla8[[#This Row],[PARTE]]=""),"VACIO","OK")</f>
        <v>VACIO</v>
      </c>
      <c r="U1764" s="633" t="str">
        <f>+CONCATENATE(WEEKNUM(Tabla8[[#This Row],[FECHA]]),"-",YEAR(Tabla8[[#This Row],[FECHA]]))</f>
        <v>25-2026</v>
      </c>
    </row>
    <row r="1765" spans="1:21" ht="15" customHeight="1">
      <c r="A1765" s="22">
        <v>46188</v>
      </c>
      <c r="B1765" s="16" t="s">
        <v>131</v>
      </c>
      <c r="C1765" s="16" t="s">
        <v>23</v>
      </c>
      <c r="D1765" s="381">
        <v>0.72222222222222221</v>
      </c>
      <c r="E1765" s="381">
        <v>0.72916666666666663</v>
      </c>
      <c r="F1765" s="632">
        <f>+MOD(Tabla8[[#This Row],[HR. FIN]]-Tabla8[[#This Row],[HR. INICIO]],1)</f>
        <v>6.9444444444444198E-3</v>
      </c>
      <c r="G1765" s="16" t="s">
        <v>119</v>
      </c>
      <c r="H1765" s="79" t="str">
        <f>IFERROR(VLOOKUP(G1765,DATOS!$M$2:$N$219,2,FALSE),"")</f>
        <v>Maquinaria</v>
      </c>
      <c r="I1765" s="115" t="s">
        <v>186</v>
      </c>
      <c r="J1765" s="115" t="s">
        <v>92</v>
      </c>
      <c r="K1765" s="115" t="s">
        <v>93</v>
      </c>
      <c r="L1765" s="35" t="s">
        <v>3156</v>
      </c>
      <c r="M1765" s="35" t="s">
        <v>3157</v>
      </c>
      <c r="N1765" s="35" t="str" cm="1">
        <f t="array" ref="N1765">IFERROR(IF(Tabla8[[#This Row],[P/NP]]="NO PROGRAMADA","",_xlfn.TEXTJOIN(", ",TRUE,_xlfn._xlws.FILTER(Tabla4[[#All],[PIEZA]],ISNUMBER(SEARCH(Tabla4[[#All],[PCLAVE]],Tabla8[[#This Row],[DESCRIPCION DE TRABAJO]])),""))),"")</f>
        <v/>
      </c>
      <c r="O1765" s="35" t="str" cm="1">
        <f t="array" ref="O1765">_xlfn.TEXTJOIN(", ",TRUE,_xlfn._xlws.FILTER(Tabla28[[#All],[PARTE]],ISNUMBER(SEARCH(Tabla28[[#All],[PCLAVE2]],Tabla8[[#This Row],[DESCRIPCION DE TRABAJO]])),""))</f>
        <v/>
      </c>
      <c r="P1765" s="633" t="str">
        <f>IFERROR(LEFT(O1765, FIND(",", O1765)-1), O1765)</f>
        <v/>
      </c>
      <c r="Q1765" s="633" t="str">
        <f>IFERROR(IF(ISERROR(FIND(",", O1765, FIND(",", O1765)+1)), RIGHT(O1765, LEN(O1765)-FIND(",", O1765)-1), MID(O1765, FIND(",", O1765)+2, FIND(",", O1765, FIND(",", O1765)+1)-FIND(",", O1765)-2)), "")</f>
        <v/>
      </c>
      <c r="R1765" s="633" t="str">
        <f>IFERROR(RIGHT(O1765, LEN(O1765)-FIND(",", O1765, FIND(",", O1765)+1)-1), "")</f>
        <v/>
      </c>
      <c r="S1765" s="35" t="str" cm="1">
        <f t="array" ref="S1765">_xlfn.TEXTJOIN(", ",TRUE,_xlfn._xlws.FILTER(Tabla29[[#All],[PARTE]],ISNUMBER(SEARCH(Tabla29[[#All],[PCLAVE3]],Tabla8[[#This Row],[DESCRIPCION DE TRABAJO]])),""))</f>
        <v/>
      </c>
      <c r="T1765" s="88" t="str">
        <f>IF(AND(Tabla8[[#This Row],[PIEZA]]="",Tabla8[[#This Row],[PARTE]]=""),"VACIO","OK")</f>
        <v>VACIO</v>
      </c>
      <c r="U1765" s="633" t="str">
        <f>+CONCATENATE(WEEKNUM(Tabla8[[#This Row],[FECHA]]),"-",YEAR(Tabla8[[#This Row],[FECHA]]))</f>
        <v>25-2026</v>
      </c>
    </row>
    <row r="1766" spans="1:21" ht="15" customHeight="1">
      <c r="A1766" s="22">
        <v>46189</v>
      </c>
      <c r="B1766" s="16" t="s">
        <v>111</v>
      </c>
      <c r="C1766" s="16" t="s">
        <v>36</v>
      </c>
      <c r="D1766" s="381">
        <v>0.2638888888888889</v>
      </c>
      <c r="E1766" s="381">
        <v>0.32013888888888886</v>
      </c>
      <c r="F1766" s="632">
        <f>+MOD(Tabla8[[#This Row],[HR. FIN]]-Tabla8[[#This Row],[HR. INICIO]],1)</f>
        <v>5.6249999999999967E-2</v>
      </c>
      <c r="G1766" s="16" t="s">
        <v>182</v>
      </c>
      <c r="H1766" s="79" t="str">
        <f>IFERROR(VLOOKUP(G1766,DATOS!$M$2:$N$219,2,FALSE),"")</f>
        <v>Maquinaria</v>
      </c>
      <c r="I1766" s="115" t="s">
        <v>57</v>
      </c>
      <c r="J1766" s="115" t="s">
        <v>157</v>
      </c>
      <c r="K1766" s="115"/>
      <c r="L1766" s="35" t="s">
        <v>3158</v>
      </c>
      <c r="M1766" s="35" t="s">
        <v>121</v>
      </c>
      <c r="N1766" s="35" t="str" cm="1">
        <f t="array" ref="N1766">IFERROR(IF(Tabla8[[#This Row],[P/NP]]="NO PROGRAMADA","",_xlfn.TEXTJOIN(", ",TRUE,_xlfn._xlws.FILTER(Tabla4[[#All],[PIEZA]],ISNUMBER(SEARCH(Tabla4[[#All],[PCLAVE]],Tabla8[[#This Row],[DESCRIPCION DE TRABAJO]])),""))),"")</f>
        <v/>
      </c>
      <c r="O1766" s="35" t="str" cm="1">
        <f t="array" ref="O1766">_xlfn.TEXTJOIN(", ",TRUE,_xlfn._xlws.FILTER(Tabla28[[#All],[PARTE]],ISNUMBER(SEARCH(Tabla28[[#All],[PCLAVE2]],Tabla8[[#This Row],[DESCRIPCION DE TRABAJO]])),""))</f>
        <v/>
      </c>
      <c r="P1766" s="633" t="str">
        <f>IFERROR(LEFT(O1766, FIND(",", O1766)-1), O1766)</f>
        <v/>
      </c>
      <c r="Q1766" s="633" t="str">
        <f>IFERROR(IF(ISERROR(FIND(",", O1766, FIND(",", O1766)+1)), RIGHT(O1766, LEN(O1766)-FIND(",", O1766)-1), MID(O1766, FIND(",", O1766)+2, FIND(",", O1766, FIND(",", O1766)+1)-FIND(",", O1766)-2)), "")</f>
        <v/>
      </c>
      <c r="R1766" s="633" t="str">
        <f>IFERROR(RIGHT(O1766, LEN(O1766)-FIND(",", O1766, FIND(",", O1766)+1)-1), "")</f>
        <v/>
      </c>
      <c r="S1766" s="35" t="str" cm="1">
        <f t="array" ref="S1766">_xlfn.TEXTJOIN(", ",TRUE,_xlfn._xlws.FILTER(Tabla29[[#All],[PARTE]],ISNUMBER(SEARCH(Tabla29[[#All],[PCLAVE3]],Tabla8[[#This Row],[DESCRIPCION DE TRABAJO]])),""))</f>
        <v>Calibracion, Cambio De Formato</v>
      </c>
      <c r="T1766" s="88" t="str">
        <f>IF(AND(Tabla8[[#This Row],[PIEZA]]="",Tabla8[[#This Row],[PARTE]]=""),"VACIO","OK")</f>
        <v>VACIO</v>
      </c>
      <c r="U1766" s="633" t="str">
        <f>+CONCATENATE(WEEKNUM(Tabla8[[#This Row],[FECHA]]),"-",YEAR(Tabla8[[#This Row],[FECHA]]))</f>
        <v>25-2026</v>
      </c>
    </row>
    <row r="1767" spans="1:21" ht="15" customHeight="1">
      <c r="A1767" s="22">
        <v>46189</v>
      </c>
      <c r="B1767" s="16" t="s">
        <v>131</v>
      </c>
      <c r="C1767" s="16" t="s">
        <v>23</v>
      </c>
      <c r="D1767" s="381">
        <v>0.56944444444444442</v>
      </c>
      <c r="E1767" s="381">
        <v>0.60416666666666663</v>
      </c>
      <c r="F1767" s="632">
        <f>+MOD(Tabla8[[#This Row],[HR. FIN]]-Tabla8[[#This Row],[HR. INICIO]],1)</f>
        <v>3.472222222222221E-2</v>
      </c>
      <c r="G1767" s="16" t="s">
        <v>182</v>
      </c>
      <c r="H1767" s="79" t="str">
        <f>IFERROR(VLOOKUP(G1767,DATOS!$M$2:$N$219,2,FALSE),"")</f>
        <v>Maquinaria</v>
      </c>
      <c r="I1767" s="115" t="s">
        <v>32</v>
      </c>
      <c r="J1767" s="115" t="s">
        <v>157</v>
      </c>
      <c r="K1767" s="115"/>
      <c r="L1767" s="35" t="s">
        <v>3159</v>
      </c>
      <c r="M1767" s="35" t="s">
        <v>3160</v>
      </c>
      <c r="N1767" s="35" t="str" cm="1">
        <f t="array" ref="N1767">IFERROR(IF(Tabla8[[#This Row],[P/NP]]="NO PROGRAMADA","",_xlfn.TEXTJOIN(", ",TRUE,_xlfn._xlws.FILTER(Tabla4[[#All],[PIEZA]],ISNUMBER(SEARCH(Tabla4[[#All],[PCLAVE]],Tabla8[[#This Row],[DESCRIPCION DE TRABAJO]])),""))),"")</f>
        <v/>
      </c>
      <c r="O1767" s="35" t="str" cm="1">
        <f t="array" ref="O1767">_xlfn.TEXTJOIN(", ",TRUE,_xlfn._xlws.FILTER(Tabla28[[#All],[PARTE]],ISNUMBER(SEARCH(Tabla28[[#All],[PCLAVE2]],Tabla8[[#This Row],[DESCRIPCION DE TRABAJO]])),""))</f>
        <v/>
      </c>
      <c r="P1767" s="633" t="str">
        <f>IFERROR(LEFT(O1767, FIND(",", O1767)-1), O1767)</f>
        <v/>
      </c>
      <c r="Q1767" s="633" t="str">
        <f>IFERROR(IF(ISERROR(FIND(",", O1767, FIND(",", O1767)+1)), RIGHT(O1767, LEN(O1767)-FIND(",", O1767)-1), MID(O1767, FIND(",", O1767)+2, FIND(",", O1767, FIND(",", O1767)+1)-FIND(",", O1767)-2)), "")</f>
        <v/>
      </c>
      <c r="R1767" s="633" t="str">
        <f>IFERROR(RIGHT(O1767, LEN(O1767)-FIND(",", O1767, FIND(",", O1767)+1)-1), "")</f>
        <v/>
      </c>
      <c r="S1767" s="35" t="str" cm="1">
        <f t="array" ref="S1767">_xlfn.TEXTJOIN(", ",TRUE,_xlfn._xlws.FILTER(Tabla29[[#All],[PARTE]],ISNUMBER(SEARCH(Tabla29[[#All],[PCLAVE3]],Tabla8[[#This Row],[DESCRIPCION DE TRABAJO]])),""))</f>
        <v>Cambio De Formato</v>
      </c>
      <c r="T1767" s="88" t="str">
        <f>IF(AND(Tabla8[[#This Row],[PIEZA]]="",Tabla8[[#This Row],[PARTE]]=""),"VACIO","OK")</f>
        <v>VACIO</v>
      </c>
      <c r="U1767" s="633" t="str">
        <f>+CONCATENATE(WEEKNUM(Tabla8[[#This Row],[FECHA]]),"-",YEAR(Tabla8[[#This Row],[FECHA]]))</f>
        <v>25-2026</v>
      </c>
    </row>
    <row r="1768" spans="1:21" ht="15" customHeight="1">
      <c r="A1768" s="22">
        <v>46189</v>
      </c>
      <c r="B1768" s="16" t="s">
        <v>131</v>
      </c>
      <c r="C1768" s="16" t="s">
        <v>23</v>
      </c>
      <c r="D1768" s="381">
        <v>0.73958333333333337</v>
      </c>
      <c r="E1768" s="381">
        <v>0.77083333333333337</v>
      </c>
      <c r="F1768" s="632">
        <f>+MOD(Tabla8[[#This Row],[HR. FIN]]-Tabla8[[#This Row],[HR. INICIO]],1)</f>
        <v>3.125E-2</v>
      </c>
      <c r="G1768" s="16" t="s">
        <v>2282</v>
      </c>
      <c r="H1768" s="79" t="str">
        <f>IFERROR(VLOOKUP(G1768,DATOS!$M$2:$N$219,2,FALSE),"")</f>
        <v>Area</v>
      </c>
      <c r="I1768" s="115"/>
      <c r="J1768" s="115"/>
      <c r="K1768" s="115"/>
      <c r="L1768" s="35" t="s">
        <v>2283</v>
      </c>
      <c r="M1768" s="35" t="s">
        <v>121</v>
      </c>
      <c r="N1768" s="35" t="str" cm="1">
        <f t="array" ref="N1768">IFERROR(IF(Tabla8[[#This Row],[P/NP]]="NO PROGRAMADA","",_xlfn.TEXTJOIN(", ",TRUE,_xlfn._xlws.FILTER(Tabla4[[#All],[PIEZA]],ISNUMBER(SEARCH(Tabla4[[#All],[PCLAVE]],Tabla8[[#This Row],[DESCRIPCION DE TRABAJO]])),""))),"")</f>
        <v/>
      </c>
      <c r="O1768" s="35" t="str" cm="1">
        <f t="array" ref="O1768">_xlfn.TEXTJOIN(", ",TRUE,_xlfn._xlws.FILTER(Tabla28[[#All],[PARTE]],ISNUMBER(SEARCH(Tabla28[[#All],[PCLAVE2]],Tabla8[[#This Row],[DESCRIPCION DE TRABAJO]])),""))</f>
        <v/>
      </c>
      <c r="P1768" s="633" t="str">
        <f>IFERROR(LEFT(O1768, FIND(",", O1768)-1), O1768)</f>
        <v/>
      </c>
      <c r="Q1768" s="633" t="str">
        <f>IFERROR(IF(ISERROR(FIND(",", O1768, FIND(",", O1768)+1)), RIGHT(O1768, LEN(O1768)-FIND(",", O1768)-1), MID(O1768, FIND(",", O1768)+2, FIND(",", O1768, FIND(",", O1768)+1)-FIND(",", O1768)-2)), "")</f>
        <v/>
      </c>
      <c r="R1768" s="633" t="str">
        <f>IFERROR(RIGHT(O1768, LEN(O1768)-FIND(",", O1768, FIND(",", O1768)+1)-1), "")</f>
        <v/>
      </c>
      <c r="S1768" s="35" t="str" cm="1">
        <f t="array" ref="S1768">_xlfn.TEXTJOIN(", ",TRUE,_xlfn._xlws.FILTER(Tabla29[[#All],[PARTE]],ISNUMBER(SEARCH(Tabla29[[#All],[PCLAVE3]],Tabla8[[#This Row],[DESCRIPCION DE TRABAJO]])),""))</f>
        <v/>
      </c>
      <c r="T1768" s="88" t="str">
        <f>IF(AND(Tabla8[[#This Row],[PIEZA]]="",Tabla8[[#This Row],[PARTE]]=""),"VACIO","OK")</f>
        <v>VACIO</v>
      </c>
      <c r="U1768" s="633" t="str">
        <f>+CONCATENATE(WEEKNUM(Tabla8[[#This Row],[FECHA]]),"-",YEAR(Tabla8[[#This Row],[FECHA]]))</f>
        <v>25-2026</v>
      </c>
    </row>
    <row r="1769" spans="1:21" ht="15" customHeight="1">
      <c r="A1769" s="22">
        <v>46189</v>
      </c>
      <c r="B1769" s="16" t="s">
        <v>131</v>
      </c>
      <c r="C1769" s="16" t="s">
        <v>23</v>
      </c>
      <c r="D1769" s="381">
        <v>0.80208333333333337</v>
      </c>
      <c r="E1769" s="381">
        <v>0.83333333333333337</v>
      </c>
      <c r="F1769" s="632">
        <f>+MOD(Tabla8[[#This Row],[HR. FIN]]-Tabla8[[#This Row],[HR. INICIO]],1)</f>
        <v>3.125E-2</v>
      </c>
      <c r="G1769" s="16" t="s">
        <v>153</v>
      </c>
      <c r="H1769" s="79" t="str">
        <f>IFERROR(VLOOKUP(G1769,DATOS!$M$2:$N$219,2,FALSE),"")</f>
        <v>Maquinaria</v>
      </c>
      <c r="I1769" s="115" t="s">
        <v>54</v>
      </c>
      <c r="J1769" s="115" t="s">
        <v>157</v>
      </c>
      <c r="K1769" s="115"/>
      <c r="L1769" s="35" t="s">
        <v>154</v>
      </c>
      <c r="M1769" s="35" t="s">
        <v>121</v>
      </c>
      <c r="N1769" s="35" t="str" cm="1">
        <f t="array" ref="N1769">IFERROR(IF(Tabla8[[#This Row],[P/NP]]="NO PROGRAMADA","",_xlfn.TEXTJOIN(", ",TRUE,_xlfn._xlws.FILTER(Tabla4[[#All],[PIEZA]],ISNUMBER(SEARCH(Tabla4[[#All],[PCLAVE]],Tabla8[[#This Row],[DESCRIPCION DE TRABAJO]])),""))),"")</f>
        <v/>
      </c>
      <c r="O1769" s="35" t="str" cm="1">
        <f t="array" ref="O1769">_xlfn.TEXTJOIN(", ",TRUE,_xlfn._xlws.FILTER(Tabla28[[#All],[PARTE]],ISNUMBER(SEARCH(Tabla28[[#All],[PCLAVE2]],Tabla8[[#This Row],[DESCRIPCION DE TRABAJO]])),""))</f>
        <v/>
      </c>
      <c r="P1769" s="633" t="str">
        <f>IFERROR(LEFT(O1769, FIND(",", O1769)-1), O1769)</f>
        <v/>
      </c>
      <c r="Q1769" s="633" t="str">
        <f>IFERROR(IF(ISERROR(FIND(",", O1769, FIND(",", O1769)+1)), RIGHT(O1769, LEN(O1769)-FIND(",", O1769)-1), MID(O1769, FIND(",", O1769)+2, FIND(",", O1769, FIND(",", O1769)+1)-FIND(",", O1769)-2)), "")</f>
        <v/>
      </c>
      <c r="R1769" s="633" t="str">
        <f>IFERROR(RIGHT(O1769, LEN(O1769)-FIND(",", O1769, FIND(",", O1769)+1)-1), "")</f>
        <v/>
      </c>
      <c r="S1769" s="35" t="str" cm="1">
        <f t="array" ref="S1769">_xlfn.TEXTJOIN(", ",TRUE,_xlfn._xlws.FILTER(Tabla29[[#All],[PARTE]],ISNUMBER(SEARCH(Tabla29[[#All],[PCLAVE3]],Tabla8[[#This Row],[DESCRIPCION DE TRABAJO]])),""))</f>
        <v/>
      </c>
      <c r="T1769" s="88" t="str">
        <f>IF(AND(Tabla8[[#This Row],[PIEZA]]="",Tabla8[[#This Row],[PARTE]]=""),"VACIO","OK")</f>
        <v>VACIO</v>
      </c>
      <c r="U1769" s="633" t="str">
        <f>+CONCATENATE(WEEKNUM(Tabla8[[#This Row],[FECHA]]),"-",YEAR(Tabla8[[#This Row],[FECHA]]))</f>
        <v>25-2026</v>
      </c>
    </row>
    <row r="1770" spans="1:21" ht="15" customHeight="1">
      <c r="A1770" s="22">
        <v>46189</v>
      </c>
      <c r="B1770" s="16" t="s">
        <v>111</v>
      </c>
      <c r="C1770" s="16" t="s">
        <v>36</v>
      </c>
      <c r="D1770" s="381">
        <v>0.3263888888888889</v>
      </c>
      <c r="E1770" s="381">
        <v>0.35416666666666669</v>
      </c>
      <c r="F1770" s="632">
        <f>+MOD(Tabla8[[#This Row],[HR. FIN]]-Tabla8[[#This Row],[HR. INICIO]],1)</f>
        <v>2.777777777777779E-2</v>
      </c>
      <c r="G1770" s="16" t="s">
        <v>438</v>
      </c>
      <c r="H1770" s="79" t="str">
        <f>IFERROR(VLOOKUP(G1770,DATOS!$M$2:$N$219,2,FALSE),"")</f>
        <v>Maquinaria</v>
      </c>
      <c r="I1770" s="115" t="s">
        <v>61</v>
      </c>
      <c r="J1770" s="115" t="s">
        <v>92</v>
      </c>
      <c r="K1770" s="115" t="s">
        <v>148</v>
      </c>
      <c r="L1770" s="35" t="s">
        <v>3161</v>
      </c>
      <c r="M1770" s="35" t="s">
        <v>3162</v>
      </c>
      <c r="N1770" s="35" t="str" cm="1">
        <f t="array" ref="N1770">IFERROR(IF(Tabla8[[#This Row],[P/NP]]="NO PROGRAMADA","",_xlfn.TEXTJOIN(", ",TRUE,_xlfn._xlws.FILTER(Tabla4[[#All],[PIEZA]],ISNUMBER(SEARCH(Tabla4[[#All],[PCLAVE]],Tabla8[[#This Row],[DESCRIPCION DE TRABAJO]])),""))),"")</f>
        <v/>
      </c>
      <c r="O1770" s="35" t="str" cm="1">
        <f t="array" ref="O1770">_xlfn.TEXTJOIN(", ",TRUE,_xlfn._xlws.FILTER(Tabla28[[#All],[PARTE]],ISNUMBER(SEARCH(Tabla28[[#All],[PCLAVE2]],Tabla8[[#This Row],[DESCRIPCION DE TRABAJO]])),""))</f>
        <v/>
      </c>
      <c r="P1770" s="633" t="str">
        <f>IFERROR(LEFT(O1770, FIND(",", O1770)-1), O1770)</f>
        <v/>
      </c>
      <c r="Q1770" s="633" t="str">
        <f>IFERROR(IF(ISERROR(FIND(",", O1770, FIND(",", O1770)+1)), RIGHT(O1770, LEN(O1770)-FIND(",", O1770)-1), MID(O1770, FIND(",", O1770)+2, FIND(",", O1770, FIND(",", O1770)+1)-FIND(",", O1770)-2)), "")</f>
        <v/>
      </c>
      <c r="R1770" s="633" t="str">
        <f>IFERROR(RIGHT(O1770, LEN(O1770)-FIND(",", O1770, FIND(",", O1770)+1)-1), "")</f>
        <v/>
      </c>
      <c r="S1770" s="35" t="str" cm="1">
        <f t="array" ref="S1770">_xlfn.TEXTJOIN(", ",TRUE,_xlfn._xlws.FILTER(Tabla29[[#All],[PARTE]],ISNUMBER(SEARCH(Tabla29[[#All],[PCLAVE3]],Tabla8[[#This Row],[DESCRIPCION DE TRABAJO]])),""))</f>
        <v/>
      </c>
      <c r="T1770" s="88" t="str">
        <f>IF(AND(Tabla8[[#This Row],[PIEZA]]="",Tabla8[[#This Row],[PARTE]]=""),"VACIO","OK")</f>
        <v>VACIO</v>
      </c>
      <c r="U1770" s="633" t="str">
        <f>+CONCATENATE(WEEKNUM(Tabla8[[#This Row],[FECHA]]),"-",YEAR(Tabla8[[#This Row],[FECHA]]))</f>
        <v>25-2026</v>
      </c>
    </row>
    <row r="1771" spans="1:21" ht="15" customHeight="1">
      <c r="A1771" s="22">
        <v>46189</v>
      </c>
      <c r="B1771" s="16" t="s">
        <v>111</v>
      </c>
      <c r="C1771" s="16" t="s">
        <v>36</v>
      </c>
      <c r="D1771" s="381">
        <v>0.42708333333333331</v>
      </c>
      <c r="E1771" s="381">
        <v>0.4548611111111111</v>
      </c>
      <c r="F1771" s="632">
        <f>+MOD(Tabla8[[#This Row],[HR. FIN]]-Tabla8[[#This Row],[HR. INICIO]],1)</f>
        <v>2.777777777777779E-2</v>
      </c>
      <c r="G1771" s="16" t="s">
        <v>31</v>
      </c>
      <c r="H1771" s="79" t="str">
        <f>IFERROR(VLOOKUP(G1771,DATOS!$M$2:$N$219,2,FALSE),"")</f>
        <v>Maquinaria</v>
      </c>
      <c r="I1771" s="115" t="s">
        <v>57</v>
      </c>
      <c r="J1771" s="115" t="s">
        <v>157</v>
      </c>
      <c r="K1771" s="115"/>
      <c r="L1771" s="35" t="s">
        <v>3163</v>
      </c>
      <c r="M1771" s="35" t="s">
        <v>121</v>
      </c>
      <c r="N1771" s="35" t="str" cm="1">
        <f t="array" ref="N1771">IFERROR(IF(Tabla8[[#This Row],[P/NP]]="NO PROGRAMADA","",_xlfn.TEXTJOIN(", ",TRUE,_xlfn._xlws.FILTER(Tabla4[[#All],[PIEZA]],ISNUMBER(SEARCH(Tabla4[[#All],[PCLAVE]],Tabla8[[#This Row],[DESCRIPCION DE TRABAJO]])),""))),"")</f>
        <v>Banda</v>
      </c>
      <c r="O1771" s="35" t="str" cm="1">
        <f t="array" ref="O1771">_xlfn.TEXTJOIN(", ",TRUE,_xlfn._xlws.FILTER(Tabla28[[#All],[PARTE]],ISNUMBER(SEARCH(Tabla28[[#All],[PCLAVE2]],Tabla8[[#This Row],[DESCRIPCION DE TRABAJO]])),""))</f>
        <v/>
      </c>
      <c r="P1771" s="633" t="str">
        <f>IFERROR(LEFT(O1771, FIND(",", O1771)-1), O1771)</f>
        <v/>
      </c>
      <c r="Q1771" s="633" t="str">
        <f>IFERROR(IF(ISERROR(FIND(",", O1771, FIND(",", O1771)+1)), RIGHT(O1771, LEN(O1771)-FIND(",", O1771)-1), MID(O1771, FIND(",", O1771)+2, FIND(",", O1771, FIND(",", O1771)+1)-FIND(",", O1771)-2)), "")</f>
        <v/>
      </c>
      <c r="R1771" s="633" t="str">
        <f>IFERROR(RIGHT(O1771, LEN(O1771)-FIND(",", O1771, FIND(",", O1771)+1)-1), "")</f>
        <v/>
      </c>
      <c r="S1771" s="35" t="str" cm="1">
        <f t="array" ref="S1771">_xlfn.TEXTJOIN(", ",TRUE,_xlfn._xlws.FILTER(Tabla29[[#All],[PARTE]],ISNUMBER(SEARCH(Tabla29[[#All],[PCLAVE3]],Tabla8[[#This Row],[DESCRIPCION DE TRABAJO]])),""))</f>
        <v>Falla En Velocid*, Velocidad</v>
      </c>
      <c r="T1771" s="88" t="str">
        <f>IF(AND(Tabla8[[#This Row],[PIEZA]]="",Tabla8[[#This Row],[PARTE]]=""),"VACIO","OK")</f>
        <v>OK</v>
      </c>
      <c r="U1771" s="633" t="str">
        <f>+CONCATENATE(WEEKNUM(Tabla8[[#This Row],[FECHA]]),"-",YEAR(Tabla8[[#This Row],[FECHA]]))</f>
        <v>25-2026</v>
      </c>
    </row>
    <row r="1772" spans="1:21" ht="15" customHeight="1">
      <c r="A1772" s="22">
        <v>46189</v>
      </c>
      <c r="B1772" s="16" t="s">
        <v>179</v>
      </c>
      <c r="C1772" s="16" t="s">
        <v>23</v>
      </c>
      <c r="D1772" s="381">
        <v>0.56944444444444442</v>
      </c>
      <c r="E1772" s="381">
        <v>0.59375</v>
      </c>
      <c r="F1772" s="632">
        <f>+MOD(Tabla8[[#This Row],[HR. FIN]]-Tabla8[[#This Row],[HR. INICIO]],1)</f>
        <v>2.430555555555558E-2</v>
      </c>
      <c r="G1772" s="16" t="s">
        <v>182</v>
      </c>
      <c r="H1772" s="79" t="str">
        <f>IFERROR(VLOOKUP(G1772,DATOS!$M$2:$N$219,2,FALSE),"")</f>
        <v>Maquinaria</v>
      </c>
      <c r="I1772" s="115" t="s">
        <v>32</v>
      </c>
      <c r="J1772" s="115" t="s">
        <v>157</v>
      </c>
      <c r="K1772" s="115"/>
      <c r="L1772" s="35" t="s">
        <v>3164</v>
      </c>
      <c r="M1772" s="35" t="s">
        <v>121</v>
      </c>
      <c r="N1772" s="35" t="str" cm="1">
        <f t="array" ref="N1772">IFERROR(IF(Tabla8[[#This Row],[P/NP]]="NO PROGRAMADA","",_xlfn.TEXTJOIN(", ",TRUE,_xlfn._xlws.FILTER(Tabla4[[#All],[PIEZA]],ISNUMBER(SEARCH(Tabla4[[#All],[PCLAVE]],Tabla8[[#This Row],[DESCRIPCION DE TRABAJO]])),""))),"")</f>
        <v/>
      </c>
      <c r="O1772" s="35" t="str" cm="1">
        <f t="array" ref="O1772">_xlfn.TEXTJOIN(", ",TRUE,_xlfn._xlws.FILTER(Tabla28[[#All],[PARTE]],ISNUMBER(SEARCH(Tabla28[[#All],[PCLAVE2]],Tabla8[[#This Row],[DESCRIPCION DE TRABAJO]])),""))</f>
        <v/>
      </c>
      <c r="P1772" s="633" t="str">
        <f>IFERROR(LEFT(O1772, FIND(",", O1772)-1), O1772)</f>
        <v/>
      </c>
      <c r="Q1772" s="633" t="str">
        <f>IFERROR(IF(ISERROR(FIND(",", O1772, FIND(",", O1772)+1)), RIGHT(O1772, LEN(O1772)-FIND(",", O1772)-1), MID(O1772, FIND(",", O1772)+2, FIND(",", O1772, FIND(",", O1772)+1)-FIND(",", O1772)-2)), "")</f>
        <v/>
      </c>
      <c r="R1772" s="633" t="str">
        <f>IFERROR(RIGHT(O1772, LEN(O1772)-FIND(",", O1772, FIND(",", O1772)+1)-1), "")</f>
        <v/>
      </c>
      <c r="S1772" s="35" t="str" cm="1">
        <f t="array" ref="S1772">_xlfn.TEXTJOIN(", ",TRUE,_xlfn._xlws.FILTER(Tabla29[[#All],[PARTE]],ISNUMBER(SEARCH(Tabla29[[#All],[PCLAVE3]],Tabla8[[#This Row],[DESCRIPCION DE TRABAJO]])),""))</f>
        <v>Cambio De Formato</v>
      </c>
      <c r="T1772" s="88" t="str">
        <f>IF(AND(Tabla8[[#This Row],[PIEZA]]="",Tabla8[[#This Row],[PARTE]]=""),"VACIO","OK")</f>
        <v>VACIO</v>
      </c>
      <c r="U1772" s="633" t="str">
        <f>+CONCATENATE(WEEKNUM(Tabla8[[#This Row],[FECHA]]),"-",YEAR(Tabla8[[#This Row],[FECHA]]))</f>
        <v>25-2026</v>
      </c>
    </row>
    <row r="1773" spans="1:21" ht="15" customHeight="1">
      <c r="A1773" s="22">
        <v>46189</v>
      </c>
      <c r="B1773" s="16" t="s">
        <v>179</v>
      </c>
      <c r="C1773" s="16" t="s">
        <v>23</v>
      </c>
      <c r="D1773" s="381">
        <v>0.81944444444444442</v>
      </c>
      <c r="E1773" s="381">
        <v>0.84375</v>
      </c>
      <c r="F1773" s="632">
        <f>+MOD(Tabla8[[#This Row],[HR. FIN]]-Tabla8[[#This Row],[HR. INICIO]],1)</f>
        <v>2.430555555555558E-2</v>
      </c>
      <c r="G1773" s="16" t="s">
        <v>3165</v>
      </c>
      <c r="H1773" s="79" t="str">
        <f>IFERROR(VLOOKUP(G1773,DATOS!$M$2:$N$219,2,FALSE),"")</f>
        <v/>
      </c>
      <c r="I1773" s="115" t="s">
        <v>32</v>
      </c>
      <c r="J1773" s="115" t="s">
        <v>157</v>
      </c>
      <c r="K1773" s="115"/>
      <c r="L1773" s="35" t="s">
        <v>3166</v>
      </c>
      <c r="M1773" s="35" t="s">
        <v>121</v>
      </c>
      <c r="N1773" s="35" t="str" cm="1">
        <f t="array" ref="N1773">IFERROR(IF(Tabla8[[#This Row],[P/NP]]="NO PROGRAMADA","",_xlfn.TEXTJOIN(", ",TRUE,_xlfn._xlws.FILTER(Tabla4[[#All],[PIEZA]],ISNUMBER(SEARCH(Tabla4[[#All],[PCLAVE]],Tabla8[[#This Row],[DESCRIPCION DE TRABAJO]])),""))),"")</f>
        <v/>
      </c>
      <c r="O1773" s="35" t="str" cm="1">
        <f t="array" ref="O1773">_xlfn.TEXTJOIN(", ",TRUE,_xlfn._xlws.FILTER(Tabla28[[#All],[PARTE]],ISNUMBER(SEARCH(Tabla28[[#All],[PCLAVE2]],Tabla8[[#This Row],[DESCRIPCION DE TRABAJO]])),""))</f>
        <v/>
      </c>
      <c r="P1773" s="633" t="str">
        <f>IFERROR(LEFT(O1773, FIND(",", O1773)-1), O1773)</f>
        <v/>
      </c>
      <c r="Q1773" s="633" t="str">
        <f>IFERROR(IF(ISERROR(FIND(",", O1773, FIND(",", O1773)+1)), RIGHT(O1773, LEN(O1773)-FIND(",", O1773)-1), MID(O1773, FIND(",", O1773)+2, FIND(",", O1773, FIND(",", O1773)+1)-FIND(",", O1773)-2)), "")</f>
        <v/>
      </c>
      <c r="R1773" s="633" t="str">
        <f>IFERROR(RIGHT(O1773, LEN(O1773)-FIND(",", O1773, FIND(",", O1773)+1)-1), "")</f>
        <v/>
      </c>
      <c r="S1773" s="35" t="str" cm="1">
        <f t="array" ref="S1773">_xlfn.TEXTJOIN(", ",TRUE,_xlfn._xlws.FILTER(Tabla29[[#All],[PARTE]],ISNUMBER(SEARCH(Tabla29[[#All],[PCLAVE3]],Tabla8[[#This Row],[DESCRIPCION DE TRABAJO]])),""))</f>
        <v>Cambio De Formato</v>
      </c>
      <c r="T1773" s="88" t="str">
        <f>IF(AND(Tabla8[[#This Row],[PIEZA]]="",Tabla8[[#This Row],[PARTE]]=""),"VACIO","OK")</f>
        <v>VACIO</v>
      </c>
      <c r="U1773" s="633" t="str">
        <f>+CONCATENATE(WEEKNUM(Tabla8[[#This Row],[FECHA]]),"-",YEAR(Tabla8[[#This Row],[FECHA]]))</f>
        <v>25-2026</v>
      </c>
    </row>
    <row r="1774" spans="1:21" ht="15" customHeight="1">
      <c r="A1774" s="22">
        <v>46189</v>
      </c>
      <c r="B1774" s="16" t="s">
        <v>131</v>
      </c>
      <c r="C1774" s="16" t="s">
        <v>23</v>
      </c>
      <c r="D1774" s="381">
        <v>0.53472222222222221</v>
      </c>
      <c r="E1774" s="381">
        <v>0.55902777777777779</v>
      </c>
      <c r="F1774" s="632">
        <f>+MOD(Tabla8[[#This Row],[HR. FIN]]-Tabla8[[#This Row],[HR. INICIO]],1)</f>
        <v>2.430555555555558E-2</v>
      </c>
      <c r="G1774" s="16" t="s">
        <v>236</v>
      </c>
      <c r="H1774" s="79" t="str">
        <f>IFERROR(VLOOKUP(G1774,DATOS!$M$2:$N$219,2,FALSE),"")</f>
        <v>Sistema</v>
      </c>
      <c r="I1774" s="115" t="s">
        <v>186</v>
      </c>
      <c r="J1774" s="115" t="s">
        <v>92</v>
      </c>
      <c r="K1774" s="115" t="s">
        <v>93</v>
      </c>
      <c r="L1774" s="35" t="s">
        <v>3167</v>
      </c>
      <c r="M1774" s="35" t="s">
        <v>3168</v>
      </c>
      <c r="N1774" s="35" t="str" cm="1">
        <f t="array" ref="N1774">IFERROR(IF(Tabla8[[#This Row],[P/NP]]="NO PROGRAMADA","",_xlfn.TEXTJOIN(", ",TRUE,_xlfn._xlws.FILTER(Tabla4[[#All],[PIEZA]],ISNUMBER(SEARCH(Tabla4[[#All],[PCLAVE]],Tabla8[[#This Row],[DESCRIPCION DE TRABAJO]])),""))),"")</f>
        <v/>
      </c>
      <c r="O1774" s="35" t="str" cm="1">
        <f t="array" ref="O1774">_xlfn.TEXTJOIN(", ",TRUE,_xlfn._xlws.FILTER(Tabla28[[#All],[PARTE]],ISNUMBER(SEARCH(Tabla28[[#All],[PCLAVE2]],Tabla8[[#This Row],[DESCRIPCION DE TRABAJO]])),""))</f>
        <v/>
      </c>
      <c r="P1774" s="633" t="str">
        <f>IFERROR(LEFT(O1774, FIND(",", O1774)-1), O1774)</f>
        <v/>
      </c>
      <c r="Q1774" s="633" t="str">
        <f>IFERROR(IF(ISERROR(FIND(",", O1774, FIND(",", O1774)+1)), RIGHT(O1774, LEN(O1774)-FIND(",", O1774)-1), MID(O1774, FIND(",", O1774)+2, FIND(",", O1774, FIND(",", O1774)+1)-FIND(",", O1774)-2)), "")</f>
        <v/>
      </c>
      <c r="R1774" s="633" t="str">
        <f>IFERROR(RIGHT(O1774, LEN(O1774)-FIND(",", O1774, FIND(",", O1774)+1)-1), "")</f>
        <v/>
      </c>
      <c r="S1774" s="35" t="str" cm="1">
        <f t="array" ref="S1774">_xlfn.TEXTJOIN(", ",TRUE,_xlfn._xlws.FILTER(Tabla29[[#All],[PARTE]],ISNUMBER(SEARCH(Tabla29[[#All],[PCLAVE3]],Tabla8[[#This Row],[DESCRIPCION DE TRABAJO]])),""))</f>
        <v/>
      </c>
      <c r="T1774" s="88" t="str">
        <f>IF(AND(Tabla8[[#This Row],[PIEZA]]="",Tabla8[[#This Row],[PARTE]]=""),"VACIO","OK")</f>
        <v>VACIO</v>
      </c>
      <c r="U1774" s="633" t="str">
        <f>+CONCATENATE(WEEKNUM(Tabla8[[#This Row],[FECHA]]),"-",YEAR(Tabla8[[#This Row],[FECHA]]))</f>
        <v>25-2026</v>
      </c>
    </row>
    <row r="1775" spans="1:21" ht="15" customHeight="1">
      <c r="A1775" s="22">
        <v>46189</v>
      </c>
      <c r="B1775" s="16" t="s">
        <v>111</v>
      </c>
      <c r="C1775" s="16" t="s">
        <v>36</v>
      </c>
      <c r="D1775" s="381">
        <v>0.55208333333333337</v>
      </c>
      <c r="E1775" s="381">
        <v>0.57638888888888884</v>
      </c>
      <c r="F1775" s="632">
        <f>+MOD(Tabla8[[#This Row],[HR. FIN]]-Tabla8[[#This Row],[HR. INICIO]],1)</f>
        <v>2.4305555555555469E-2</v>
      </c>
      <c r="G1775" s="16" t="s">
        <v>236</v>
      </c>
      <c r="H1775" s="79" t="str">
        <f>IFERROR(VLOOKUP(G1775,DATOS!$M$2:$N$219,2,FALSE),"")</f>
        <v>Sistema</v>
      </c>
      <c r="I1775" s="115" t="s">
        <v>186</v>
      </c>
      <c r="J1775" s="115" t="s">
        <v>92</v>
      </c>
      <c r="K1775" s="115" t="s">
        <v>93</v>
      </c>
      <c r="L1775" s="35" t="s">
        <v>3169</v>
      </c>
      <c r="M1775" s="35" t="s">
        <v>3170</v>
      </c>
      <c r="N1775" s="35" t="str" cm="1">
        <f t="array" ref="N1775">IFERROR(IF(Tabla8[[#This Row],[P/NP]]="NO PROGRAMADA","",_xlfn.TEXTJOIN(", ",TRUE,_xlfn._xlws.FILTER(Tabla4[[#All],[PIEZA]],ISNUMBER(SEARCH(Tabla4[[#All],[PCLAVE]],Tabla8[[#This Row],[DESCRIPCION DE TRABAJO]])),""))),"")</f>
        <v/>
      </c>
      <c r="O1775" s="35" t="str" cm="1">
        <f t="array" ref="O1775">_xlfn.TEXTJOIN(", ",TRUE,_xlfn._xlws.FILTER(Tabla28[[#All],[PARTE]],ISNUMBER(SEARCH(Tabla28[[#All],[PCLAVE2]],Tabla8[[#This Row],[DESCRIPCION DE TRABAJO]])),""))</f>
        <v/>
      </c>
      <c r="P1775" s="633" t="str">
        <f>IFERROR(LEFT(O1775, FIND(",", O1775)-1), O1775)</f>
        <v/>
      </c>
      <c r="Q1775" s="633" t="str">
        <f>IFERROR(IF(ISERROR(FIND(",", O1775, FIND(",", O1775)+1)), RIGHT(O1775, LEN(O1775)-FIND(",", O1775)-1), MID(O1775, FIND(",", O1775)+2, FIND(",", O1775, FIND(",", O1775)+1)-FIND(",", O1775)-2)), "")</f>
        <v/>
      </c>
      <c r="R1775" s="633" t="str">
        <f>IFERROR(RIGHT(O1775, LEN(O1775)-FIND(",", O1775, FIND(",", O1775)+1)-1), "")</f>
        <v/>
      </c>
      <c r="S1775" s="35" t="str" cm="1">
        <f t="array" ref="S1775">_xlfn.TEXTJOIN(", ",TRUE,_xlfn._xlws.FILTER(Tabla29[[#All],[PARTE]],ISNUMBER(SEARCH(Tabla29[[#All],[PCLAVE3]],Tabla8[[#This Row],[DESCRIPCION DE TRABAJO]])),""))</f>
        <v>Desgaste</v>
      </c>
      <c r="T1775" s="88" t="str">
        <f>IF(AND(Tabla8[[#This Row],[PIEZA]]="",Tabla8[[#This Row],[PARTE]]=""),"VACIO","OK")</f>
        <v>VACIO</v>
      </c>
      <c r="U1775" s="633" t="str">
        <f>+CONCATENATE(WEEKNUM(Tabla8[[#This Row],[FECHA]]),"-",YEAR(Tabla8[[#This Row],[FECHA]]))</f>
        <v>25-2026</v>
      </c>
    </row>
    <row r="1776" spans="1:21" ht="15" customHeight="1">
      <c r="A1776" s="22">
        <v>46189</v>
      </c>
      <c r="B1776" s="16" t="s">
        <v>191</v>
      </c>
      <c r="C1776" s="16" t="s">
        <v>39</v>
      </c>
      <c r="D1776" s="381">
        <v>4.1666666666666666E-3</v>
      </c>
      <c r="E1776" s="381">
        <v>2.6388888888888889E-2</v>
      </c>
      <c r="F1776" s="632">
        <f>+MOD(Tabla8[[#This Row],[HR. FIN]]-Tabla8[[#This Row],[HR. INICIO]],1)</f>
        <v>2.2222222222222223E-2</v>
      </c>
      <c r="G1776" s="16" t="s">
        <v>119</v>
      </c>
      <c r="H1776" s="79" t="str">
        <f>IFERROR(VLOOKUP(G1776,DATOS!$M$2:$N$219,2,FALSE),"")</f>
        <v>Maquinaria</v>
      </c>
      <c r="I1776" s="115" t="s">
        <v>32</v>
      </c>
      <c r="J1776" s="115" t="s">
        <v>157</v>
      </c>
      <c r="K1776" s="115"/>
      <c r="L1776" s="35" t="s">
        <v>3171</v>
      </c>
      <c r="M1776" s="35" t="s">
        <v>121</v>
      </c>
      <c r="N1776" s="35" t="str" cm="1">
        <f t="array" ref="N1776">IFERROR(IF(Tabla8[[#This Row],[P/NP]]="NO PROGRAMADA","",_xlfn.TEXTJOIN(", ",TRUE,_xlfn._xlws.FILTER(Tabla4[[#All],[PIEZA]],ISNUMBER(SEARCH(Tabla4[[#All],[PCLAVE]],Tabla8[[#This Row],[DESCRIPCION DE TRABAJO]])),""))),"")</f>
        <v/>
      </c>
      <c r="O1776" s="35" t="str" cm="1">
        <f t="array" ref="O1776">_xlfn.TEXTJOIN(", ",TRUE,_xlfn._xlws.FILTER(Tabla28[[#All],[PARTE]],ISNUMBER(SEARCH(Tabla28[[#All],[PCLAVE2]],Tabla8[[#This Row],[DESCRIPCION DE TRABAJO]])),""))</f>
        <v>Mds</v>
      </c>
      <c r="P1776" s="633" t="str">
        <f>IFERROR(LEFT(O1776, FIND(",", O1776)-1), O1776)</f>
        <v>Mds</v>
      </c>
      <c r="Q1776" s="633" t="str">
        <f>IFERROR(IF(ISERROR(FIND(",", O1776, FIND(",", O1776)+1)), RIGHT(O1776, LEN(O1776)-FIND(",", O1776)-1), MID(O1776, FIND(",", O1776)+2, FIND(",", O1776, FIND(",", O1776)+1)-FIND(",", O1776)-2)), "")</f>
        <v/>
      </c>
      <c r="R1776" s="633" t="str">
        <f>IFERROR(RIGHT(O1776, LEN(O1776)-FIND(",", O1776, FIND(",", O1776)+1)-1), "")</f>
        <v/>
      </c>
      <c r="S1776" s="35" t="str" cm="1">
        <f t="array" ref="S1776">_xlfn.TEXTJOIN(", ",TRUE,_xlfn._xlws.FILTER(Tabla29[[#All],[PARTE]],ISNUMBER(SEARCH(Tabla29[[#All],[PCLAVE3]],Tabla8[[#This Row],[DESCRIPCION DE TRABAJO]])),""))</f>
        <v>Cambio De Formato</v>
      </c>
      <c r="T1776" s="88" t="str">
        <f>IF(AND(Tabla8[[#This Row],[PIEZA]]="",Tabla8[[#This Row],[PARTE]]=""),"VACIO","OK")</f>
        <v>OK</v>
      </c>
      <c r="U1776" s="633" t="str">
        <f>+CONCATENATE(WEEKNUM(Tabla8[[#This Row],[FECHA]]),"-",YEAR(Tabla8[[#This Row],[FECHA]]))</f>
        <v>25-2026</v>
      </c>
    </row>
    <row r="1777" spans="1:21" ht="15" customHeight="1">
      <c r="A1777" s="22">
        <v>46189</v>
      </c>
      <c r="B1777" s="16" t="s">
        <v>191</v>
      </c>
      <c r="C1777" s="16" t="s">
        <v>39</v>
      </c>
      <c r="D1777" s="381">
        <v>3.8194444444444448E-2</v>
      </c>
      <c r="E1777" s="381">
        <v>5.9722222222222225E-2</v>
      </c>
      <c r="F1777" s="632">
        <f>+MOD(Tabla8[[#This Row],[HR. FIN]]-Tabla8[[#This Row],[HR. INICIO]],1)</f>
        <v>2.1527777777777778E-2</v>
      </c>
      <c r="G1777" s="16" t="s">
        <v>119</v>
      </c>
      <c r="H1777" s="79" t="str">
        <f>IFERROR(VLOOKUP(G1777,DATOS!$M$2:$N$219,2,FALSE),"")</f>
        <v>Maquinaria</v>
      </c>
      <c r="I1777" s="115" t="s">
        <v>32</v>
      </c>
      <c r="J1777" s="115" t="s">
        <v>157</v>
      </c>
      <c r="K1777" s="115"/>
      <c r="L1777" s="35" t="s">
        <v>3172</v>
      </c>
      <c r="M1777" s="35" t="s">
        <v>121</v>
      </c>
      <c r="N1777" s="35" t="str" cm="1">
        <f t="array" ref="N1777">IFERROR(IF(Tabla8[[#This Row],[P/NP]]="NO PROGRAMADA","",_xlfn.TEXTJOIN(", ",TRUE,_xlfn._xlws.FILTER(Tabla4[[#All],[PIEZA]],ISNUMBER(SEARCH(Tabla4[[#All],[PCLAVE]],Tabla8[[#This Row],[DESCRIPCION DE TRABAJO]])),""))),"")</f>
        <v/>
      </c>
      <c r="O1777" s="35" t="str" cm="1">
        <f t="array" ref="O1777">_xlfn.TEXTJOIN(", ",TRUE,_xlfn._xlws.FILTER(Tabla28[[#All],[PARTE]],ISNUMBER(SEARCH(Tabla28[[#All],[PCLAVE2]],Tabla8[[#This Row],[DESCRIPCION DE TRABAJO]])),""))</f>
        <v>Mds</v>
      </c>
      <c r="P1777" s="633" t="str">
        <f>IFERROR(LEFT(O1777, FIND(",", O1777)-1), O1777)</f>
        <v>Mds</v>
      </c>
      <c r="Q1777" s="633" t="str">
        <f>IFERROR(IF(ISERROR(FIND(",", O1777, FIND(",", O1777)+1)), RIGHT(O1777, LEN(O1777)-FIND(",", O1777)-1), MID(O1777, FIND(",", O1777)+2, FIND(",", O1777, FIND(",", O1777)+1)-FIND(",", O1777)-2)), "")</f>
        <v/>
      </c>
      <c r="R1777" s="633" t="str">
        <f>IFERROR(RIGHT(O1777, LEN(O1777)-FIND(",", O1777, FIND(",", O1777)+1)-1), "")</f>
        <v/>
      </c>
      <c r="S1777" s="35" t="str" cm="1">
        <f t="array" ref="S1777">_xlfn.TEXTJOIN(", ",TRUE,_xlfn._xlws.FILTER(Tabla29[[#All],[PARTE]],ISNUMBER(SEARCH(Tabla29[[#All],[PCLAVE3]],Tabla8[[#This Row],[DESCRIPCION DE TRABAJO]])),""))</f>
        <v>Cambio De Formato</v>
      </c>
      <c r="T1777" s="88" t="str">
        <f>IF(AND(Tabla8[[#This Row],[PIEZA]]="",Tabla8[[#This Row],[PARTE]]=""),"VACIO","OK")</f>
        <v>OK</v>
      </c>
      <c r="U1777" s="633" t="str">
        <f>+CONCATENATE(WEEKNUM(Tabla8[[#This Row],[FECHA]]),"-",YEAR(Tabla8[[#This Row],[FECHA]]))</f>
        <v>25-2026</v>
      </c>
    </row>
    <row r="1778" spans="1:21" ht="15" customHeight="1">
      <c r="A1778" s="22">
        <v>46189</v>
      </c>
      <c r="B1778" s="16" t="s">
        <v>179</v>
      </c>
      <c r="C1778" s="16" t="s">
        <v>36</v>
      </c>
      <c r="D1778" s="381">
        <v>0.54166666666666663</v>
      </c>
      <c r="E1778" s="381">
        <v>0.5625</v>
      </c>
      <c r="F1778" s="632">
        <f>+MOD(Tabla8[[#This Row],[HR. FIN]]-Tabla8[[#This Row],[HR. INICIO]],1)</f>
        <v>2.083333333333337E-2</v>
      </c>
      <c r="G1778" s="16" t="s">
        <v>1575</v>
      </c>
      <c r="H1778" s="79" t="str">
        <f>IFERROR(VLOOKUP(G1778,DATOS!$M$2:$N$219,2,FALSE),"")</f>
        <v>Sistema</v>
      </c>
      <c r="I1778" s="115" t="s">
        <v>186</v>
      </c>
      <c r="J1778" s="115" t="s">
        <v>92</v>
      </c>
      <c r="K1778" s="115" t="s">
        <v>93</v>
      </c>
      <c r="L1778" s="35" t="s">
        <v>3173</v>
      </c>
      <c r="M1778" s="35" t="s">
        <v>121</v>
      </c>
      <c r="N1778" s="35" t="str" cm="1">
        <f t="array" ref="N1778">IFERROR(IF(Tabla8[[#This Row],[P/NP]]="NO PROGRAMADA","",_xlfn.TEXTJOIN(", ",TRUE,_xlfn._xlws.FILTER(Tabla4[[#All],[PIEZA]],ISNUMBER(SEARCH(Tabla4[[#All],[PCLAVE]],Tabla8[[#This Row],[DESCRIPCION DE TRABAJO]])),""))),"")</f>
        <v/>
      </c>
      <c r="O1778" s="35" t="str" cm="1">
        <f t="array" ref="O1778">_xlfn.TEXTJOIN(", ",TRUE,_xlfn._xlws.FILTER(Tabla28[[#All],[PARTE]],ISNUMBER(SEARCH(Tabla28[[#All],[PCLAVE2]],Tabla8[[#This Row],[DESCRIPCION DE TRABAJO]])),""))</f>
        <v/>
      </c>
      <c r="P1778" s="633" t="str">
        <f>IFERROR(LEFT(O1778, FIND(",", O1778)-1), O1778)</f>
        <v/>
      </c>
      <c r="Q1778" s="633" t="str">
        <f>IFERROR(IF(ISERROR(FIND(",", O1778, FIND(",", O1778)+1)), RIGHT(O1778, LEN(O1778)-FIND(",", O1778)-1), MID(O1778, FIND(",", O1778)+2, FIND(",", O1778, FIND(",", O1778)+1)-FIND(",", O1778)-2)), "")</f>
        <v/>
      </c>
      <c r="R1778" s="633" t="str">
        <f>IFERROR(RIGHT(O1778, LEN(O1778)-FIND(",", O1778, FIND(",", O1778)+1)-1), "")</f>
        <v/>
      </c>
      <c r="S1778" s="35" t="str" cm="1">
        <f t="array" ref="S1778">_xlfn.TEXTJOIN(", ",TRUE,_xlfn._xlws.FILTER(Tabla29[[#All],[PARTE]],ISNUMBER(SEARCH(Tabla29[[#All],[PCLAVE3]],Tabla8[[#This Row],[DESCRIPCION DE TRABAJO]])),""))</f>
        <v>Falla De Presion</v>
      </c>
      <c r="T1778" s="88" t="str">
        <f>IF(AND(Tabla8[[#This Row],[PIEZA]]="",Tabla8[[#This Row],[PARTE]]=""),"VACIO","OK")</f>
        <v>VACIO</v>
      </c>
      <c r="U1778" s="633" t="str">
        <f>+CONCATENATE(WEEKNUM(Tabla8[[#This Row],[FECHA]]),"-",YEAR(Tabla8[[#This Row],[FECHA]]))</f>
        <v>25-2026</v>
      </c>
    </row>
    <row r="1779" spans="1:21" ht="15" customHeight="1">
      <c r="A1779" s="22">
        <v>46189</v>
      </c>
      <c r="B1779" s="16" t="s">
        <v>179</v>
      </c>
      <c r="C1779" s="16" t="s">
        <v>23</v>
      </c>
      <c r="D1779" s="381">
        <v>0.6875</v>
      </c>
      <c r="E1779" s="381">
        <v>0.70833333333333337</v>
      </c>
      <c r="F1779" s="632">
        <f>+MOD(Tabla8[[#This Row],[HR. FIN]]-Tabla8[[#This Row],[HR. INICIO]],1)</f>
        <v>2.083333333333337E-2</v>
      </c>
      <c r="G1779" s="16" t="s">
        <v>119</v>
      </c>
      <c r="H1779" s="79" t="str">
        <f>IFERROR(VLOOKUP(G1779,DATOS!$M$2:$N$219,2,FALSE),"")</f>
        <v>Maquinaria</v>
      </c>
      <c r="I1779" s="115" t="s">
        <v>186</v>
      </c>
      <c r="J1779" s="115" t="s">
        <v>92</v>
      </c>
      <c r="K1779" s="115" t="s">
        <v>93</v>
      </c>
      <c r="L1779" s="35" t="s">
        <v>343</v>
      </c>
      <c r="M1779" s="35" t="s">
        <v>3174</v>
      </c>
      <c r="N1779" s="35" t="str" cm="1">
        <f t="array" ref="N1779">IFERROR(IF(Tabla8[[#This Row],[P/NP]]="NO PROGRAMADA","",_xlfn.TEXTJOIN(", ",TRUE,_xlfn._xlws.FILTER(Tabla4[[#All],[PIEZA]],ISNUMBER(SEARCH(Tabla4[[#All],[PCLAVE]],Tabla8[[#This Row],[DESCRIPCION DE TRABAJO]])),""))),"")</f>
        <v/>
      </c>
      <c r="O1779" s="35" t="str" cm="1">
        <f t="array" ref="O1779">_xlfn.TEXTJOIN(", ",TRUE,_xlfn._xlws.FILTER(Tabla28[[#All],[PARTE]],ISNUMBER(SEARCH(Tabla28[[#All],[PCLAVE2]],Tabla8[[#This Row],[DESCRIPCION DE TRABAJO]])),""))</f>
        <v>Temperadora</v>
      </c>
      <c r="P1779" s="633" t="str">
        <f>IFERROR(LEFT(O1779, FIND(",", O1779)-1), O1779)</f>
        <v>Temperadora</v>
      </c>
      <c r="Q1779" s="633" t="str">
        <f>IFERROR(IF(ISERROR(FIND(",", O1779, FIND(",", O1779)+1)), RIGHT(O1779, LEN(O1779)-FIND(",", O1779)-1), MID(O1779, FIND(",", O1779)+2, FIND(",", O1779, FIND(",", O1779)+1)-FIND(",", O1779)-2)), "")</f>
        <v/>
      </c>
      <c r="R1779" s="633" t="str">
        <f>IFERROR(RIGHT(O1779, LEN(O1779)-FIND(",", O1779, FIND(",", O1779)+1)-1), "")</f>
        <v/>
      </c>
      <c r="S1779" s="35" t="str" cm="1">
        <f t="array" ref="S1779">_xlfn.TEXTJOIN(", ",TRUE,_xlfn._xlws.FILTER(Tabla29[[#All],[PARTE]],ISNUMBER(SEARCH(Tabla29[[#All],[PCLAVE3]],Tabla8[[#This Row],[DESCRIPCION DE TRABAJO]])),""))</f>
        <v>Bloqueado</v>
      </c>
      <c r="T1779" s="88" t="str">
        <f>IF(AND(Tabla8[[#This Row],[PIEZA]]="",Tabla8[[#This Row],[PARTE]]=""),"VACIO","OK")</f>
        <v>OK</v>
      </c>
      <c r="U1779" s="633" t="str">
        <f>+CONCATENATE(WEEKNUM(Tabla8[[#This Row],[FECHA]]),"-",YEAR(Tabla8[[#This Row],[FECHA]]))</f>
        <v>25-2026</v>
      </c>
    </row>
    <row r="1780" spans="1:21" ht="15" customHeight="1">
      <c r="A1780" s="22">
        <v>46189</v>
      </c>
      <c r="B1780" s="16" t="s">
        <v>179</v>
      </c>
      <c r="C1780" s="16" t="s">
        <v>23</v>
      </c>
      <c r="D1780" s="381">
        <v>0.72916666666666663</v>
      </c>
      <c r="E1780" s="381">
        <v>0.75</v>
      </c>
      <c r="F1780" s="632">
        <f>+MOD(Tabla8[[#This Row],[HR. FIN]]-Tabla8[[#This Row],[HR. INICIO]],1)</f>
        <v>2.083333333333337E-2</v>
      </c>
      <c r="G1780" s="16" t="s">
        <v>119</v>
      </c>
      <c r="H1780" s="79" t="str">
        <f>IFERROR(VLOOKUP(G1780,DATOS!$M$2:$N$219,2,FALSE),"")</f>
        <v>Maquinaria</v>
      </c>
      <c r="I1780" s="115" t="s">
        <v>32</v>
      </c>
      <c r="J1780" s="115" t="s">
        <v>157</v>
      </c>
      <c r="K1780" s="115"/>
      <c r="L1780" s="35" t="s">
        <v>3175</v>
      </c>
      <c r="M1780" s="35" t="s">
        <v>121</v>
      </c>
      <c r="N1780" s="35" t="str" cm="1">
        <f t="array" ref="N1780">IFERROR(IF(Tabla8[[#This Row],[P/NP]]="NO PROGRAMADA","",_xlfn.TEXTJOIN(", ",TRUE,_xlfn._xlws.FILTER(Tabla4[[#All],[PIEZA]],ISNUMBER(SEARCH(Tabla4[[#All],[PCLAVE]],Tabla8[[#This Row],[DESCRIPCION DE TRABAJO]])),""))),"")</f>
        <v/>
      </c>
      <c r="O1780" s="35" t="str" cm="1">
        <f t="array" ref="O1780">_xlfn.TEXTJOIN(", ",TRUE,_xlfn._xlws.FILTER(Tabla28[[#All],[PARTE]],ISNUMBER(SEARCH(Tabla28[[#All],[PCLAVE2]],Tabla8[[#This Row],[DESCRIPCION DE TRABAJO]])),""))</f>
        <v>Mds</v>
      </c>
      <c r="P1780" s="633" t="str">
        <f>IFERROR(LEFT(O1780, FIND(",", O1780)-1), O1780)</f>
        <v>Mds</v>
      </c>
      <c r="Q1780" s="633" t="str">
        <f>IFERROR(IF(ISERROR(FIND(",", O1780, FIND(",", O1780)+1)), RIGHT(O1780, LEN(O1780)-FIND(",", O1780)-1), MID(O1780, FIND(",", O1780)+2, FIND(",", O1780, FIND(",", O1780)+1)-FIND(",", O1780)-2)), "")</f>
        <v/>
      </c>
      <c r="R1780" s="633" t="str">
        <f>IFERROR(RIGHT(O1780, LEN(O1780)-FIND(",", O1780, FIND(",", O1780)+1)-1), "")</f>
        <v/>
      </c>
      <c r="S1780" s="35" t="str" cm="1">
        <f t="array" ref="S1780">_xlfn.TEXTJOIN(", ",TRUE,_xlfn._xlws.FILTER(Tabla29[[#All],[PARTE]],ISNUMBER(SEARCH(Tabla29[[#All],[PCLAVE3]],Tabla8[[#This Row],[DESCRIPCION DE TRABAJO]])),""))</f>
        <v>Cambio De Formato</v>
      </c>
      <c r="T1780" s="88" t="str">
        <f>IF(AND(Tabla8[[#This Row],[PIEZA]]="",Tabla8[[#This Row],[PARTE]]=""),"VACIO","OK")</f>
        <v>OK</v>
      </c>
      <c r="U1780" s="633" t="str">
        <f>+CONCATENATE(WEEKNUM(Tabla8[[#This Row],[FECHA]]),"-",YEAR(Tabla8[[#This Row],[FECHA]]))</f>
        <v>25-2026</v>
      </c>
    </row>
    <row r="1781" spans="1:21" ht="15" customHeight="1">
      <c r="A1781" s="22">
        <v>46189</v>
      </c>
      <c r="B1781" s="16" t="s">
        <v>179</v>
      </c>
      <c r="C1781" s="16" t="s">
        <v>23</v>
      </c>
      <c r="D1781" s="381">
        <v>0.85416666666666663</v>
      </c>
      <c r="E1781" s="381">
        <v>0.875</v>
      </c>
      <c r="F1781" s="632">
        <f>+MOD(Tabla8[[#This Row],[HR. FIN]]-Tabla8[[#This Row],[HR. INICIO]],1)</f>
        <v>2.083333333333337E-2</v>
      </c>
      <c r="G1781" s="16" t="s">
        <v>119</v>
      </c>
      <c r="H1781" s="79" t="str">
        <f>IFERROR(VLOOKUP(G1781,DATOS!$M$2:$N$219,2,FALSE),"")</f>
        <v>Maquinaria</v>
      </c>
      <c r="I1781" s="115" t="s">
        <v>32</v>
      </c>
      <c r="J1781" s="115" t="s">
        <v>157</v>
      </c>
      <c r="K1781" s="115"/>
      <c r="L1781" s="35" t="s">
        <v>3176</v>
      </c>
      <c r="M1781" s="35" t="s">
        <v>121</v>
      </c>
      <c r="N1781" s="35" t="str" cm="1">
        <f t="array" ref="N1781">IFERROR(IF(Tabla8[[#This Row],[P/NP]]="NO PROGRAMADA","",_xlfn.TEXTJOIN(", ",TRUE,_xlfn._xlws.FILTER(Tabla4[[#All],[PIEZA]],ISNUMBER(SEARCH(Tabla4[[#All],[PCLAVE]],Tabla8[[#This Row],[DESCRIPCION DE TRABAJO]])),""))),"")</f>
        <v/>
      </c>
      <c r="O1781" s="35" t="str" cm="1">
        <f t="array" ref="O1781">_xlfn.TEXTJOIN(", ",TRUE,_xlfn._xlws.FILTER(Tabla28[[#All],[PARTE]],ISNUMBER(SEARCH(Tabla28[[#All],[PCLAVE2]],Tabla8[[#This Row],[DESCRIPCION DE TRABAJO]])),""))</f>
        <v/>
      </c>
      <c r="P1781" s="633" t="str">
        <f>IFERROR(LEFT(O1781, FIND(",", O1781)-1), O1781)</f>
        <v/>
      </c>
      <c r="Q1781" s="633" t="str">
        <f>IFERROR(IF(ISERROR(FIND(",", O1781, FIND(",", O1781)+1)), RIGHT(O1781, LEN(O1781)-FIND(",", O1781)-1), MID(O1781, FIND(",", O1781)+2, FIND(",", O1781, FIND(",", O1781)+1)-FIND(",", O1781)-2)), "")</f>
        <v/>
      </c>
      <c r="R1781" s="633" t="str">
        <f>IFERROR(RIGHT(O1781, LEN(O1781)-FIND(",", O1781, FIND(",", O1781)+1)-1), "")</f>
        <v/>
      </c>
      <c r="S1781" s="35" t="str" cm="1">
        <f t="array" ref="S1781">_xlfn.TEXTJOIN(", ",TRUE,_xlfn._xlws.FILTER(Tabla29[[#All],[PARTE]],ISNUMBER(SEARCH(Tabla29[[#All],[PCLAVE3]],Tabla8[[#This Row],[DESCRIPCION DE TRABAJO]])),""))</f>
        <v>Cambio De Formato</v>
      </c>
      <c r="T1781" s="88" t="str">
        <f>IF(AND(Tabla8[[#This Row],[PIEZA]]="",Tabla8[[#This Row],[PARTE]]=""),"VACIO","OK")</f>
        <v>VACIO</v>
      </c>
      <c r="U1781" s="633" t="str">
        <f>+CONCATENATE(WEEKNUM(Tabla8[[#This Row],[FECHA]]),"-",YEAR(Tabla8[[#This Row],[FECHA]]))</f>
        <v>25-2026</v>
      </c>
    </row>
    <row r="1782" spans="1:21" ht="15" customHeight="1">
      <c r="A1782" s="22">
        <v>46189</v>
      </c>
      <c r="B1782" s="16" t="s">
        <v>131</v>
      </c>
      <c r="C1782" s="16" t="s">
        <v>23</v>
      </c>
      <c r="D1782" s="381">
        <v>0.6875</v>
      </c>
      <c r="E1782" s="381">
        <v>0.70833333333333337</v>
      </c>
      <c r="F1782" s="632">
        <f>+MOD(Tabla8[[#This Row],[HR. FIN]]-Tabla8[[#This Row],[HR. INICIO]],1)</f>
        <v>2.083333333333337E-2</v>
      </c>
      <c r="G1782" s="16" t="s">
        <v>119</v>
      </c>
      <c r="H1782" s="79" t="str">
        <f>IFERROR(VLOOKUP(G1782,DATOS!$M$2:$N$219,2,FALSE),"")</f>
        <v>Maquinaria</v>
      </c>
      <c r="I1782" s="115" t="s">
        <v>186</v>
      </c>
      <c r="J1782" s="115" t="s">
        <v>92</v>
      </c>
      <c r="K1782" s="115" t="s">
        <v>93</v>
      </c>
      <c r="L1782" s="35" t="s">
        <v>343</v>
      </c>
      <c r="M1782" s="35" t="s">
        <v>3177</v>
      </c>
      <c r="N1782" s="35" t="str" cm="1">
        <f t="array" ref="N1782">IFERROR(IF(Tabla8[[#This Row],[P/NP]]="NO PROGRAMADA","",_xlfn.TEXTJOIN(", ",TRUE,_xlfn._xlws.FILTER(Tabla4[[#All],[PIEZA]],ISNUMBER(SEARCH(Tabla4[[#All],[PCLAVE]],Tabla8[[#This Row],[DESCRIPCION DE TRABAJO]])),""))),"")</f>
        <v/>
      </c>
      <c r="O1782" s="35" t="str" cm="1">
        <f t="array" ref="O1782">_xlfn.TEXTJOIN(", ",TRUE,_xlfn._xlws.FILTER(Tabla28[[#All],[PARTE]],ISNUMBER(SEARCH(Tabla28[[#All],[PCLAVE2]],Tabla8[[#This Row],[DESCRIPCION DE TRABAJO]])),""))</f>
        <v>Temperadora</v>
      </c>
      <c r="P1782" s="633" t="str">
        <f>IFERROR(LEFT(O1782, FIND(",", O1782)-1), O1782)</f>
        <v>Temperadora</v>
      </c>
      <c r="Q1782" s="633" t="str">
        <f>IFERROR(IF(ISERROR(FIND(",", O1782, FIND(",", O1782)+1)), RIGHT(O1782, LEN(O1782)-FIND(",", O1782)-1), MID(O1782, FIND(",", O1782)+2, FIND(",", O1782, FIND(",", O1782)+1)-FIND(",", O1782)-2)), "")</f>
        <v/>
      </c>
      <c r="R1782" s="633" t="str">
        <f>IFERROR(RIGHT(O1782, LEN(O1782)-FIND(",", O1782, FIND(",", O1782)+1)-1), "")</f>
        <v/>
      </c>
      <c r="S1782" s="35" t="str" cm="1">
        <f t="array" ref="S1782">_xlfn.TEXTJOIN(", ",TRUE,_xlfn._xlws.FILTER(Tabla29[[#All],[PARTE]],ISNUMBER(SEARCH(Tabla29[[#All],[PCLAVE3]],Tabla8[[#This Row],[DESCRIPCION DE TRABAJO]])),""))</f>
        <v>Bloqueado</v>
      </c>
      <c r="T1782" s="88" t="str">
        <f>IF(AND(Tabla8[[#This Row],[PIEZA]]="",Tabla8[[#This Row],[PARTE]]=""),"VACIO","OK")</f>
        <v>OK</v>
      </c>
      <c r="U1782" s="633" t="str">
        <f>+CONCATENATE(WEEKNUM(Tabla8[[#This Row],[FECHA]]),"-",YEAR(Tabla8[[#This Row],[FECHA]]))</f>
        <v>25-2026</v>
      </c>
    </row>
    <row r="1783" spans="1:21" ht="15" customHeight="1">
      <c r="A1783" s="22">
        <v>46189</v>
      </c>
      <c r="B1783" s="16" t="s">
        <v>111</v>
      </c>
      <c r="C1783" s="16" t="s">
        <v>36</v>
      </c>
      <c r="D1783" s="381">
        <v>0.3611111111111111</v>
      </c>
      <c r="E1783" s="381">
        <v>0.38194444444444442</v>
      </c>
      <c r="F1783" s="632">
        <f>+MOD(Tabla8[[#This Row],[HR. FIN]]-Tabla8[[#This Row],[HR. INICIO]],1)</f>
        <v>2.0833333333333315E-2</v>
      </c>
      <c r="G1783" s="16" t="s">
        <v>140</v>
      </c>
      <c r="H1783" s="79" t="str">
        <f>IFERROR(VLOOKUP(G1783,DATOS!$M$2:$N$219,2,FALSE),"")</f>
        <v>Maquinaria</v>
      </c>
      <c r="I1783" s="115" t="s">
        <v>186</v>
      </c>
      <c r="J1783" s="115" t="s">
        <v>157</v>
      </c>
      <c r="K1783" s="115"/>
      <c r="L1783" s="35" t="s">
        <v>3178</v>
      </c>
      <c r="M1783" s="35" t="s">
        <v>121</v>
      </c>
      <c r="N1783" s="35" t="str" cm="1">
        <f t="array" ref="N1783">IFERROR(IF(Tabla8[[#This Row],[P/NP]]="NO PROGRAMADA","",_xlfn.TEXTJOIN(", ",TRUE,_xlfn._xlws.FILTER(Tabla4[[#All],[PIEZA]],ISNUMBER(SEARCH(Tabla4[[#All],[PCLAVE]],Tabla8[[#This Row],[DESCRIPCION DE TRABAJO]])),""))),"")</f>
        <v/>
      </c>
      <c r="O1783" s="35" t="str" cm="1">
        <f t="array" ref="O1783">_xlfn.TEXTJOIN(", ",TRUE,_xlfn._xlws.FILTER(Tabla28[[#All],[PARTE]],ISNUMBER(SEARCH(Tabla28[[#All],[PCLAVE2]],Tabla8[[#This Row],[DESCRIPCION DE TRABAJO]])),""))</f>
        <v/>
      </c>
      <c r="P1783" s="633" t="str">
        <f>IFERROR(LEFT(O1783, FIND(",", O1783)-1), O1783)</f>
        <v/>
      </c>
      <c r="Q1783" s="633" t="str">
        <f>IFERROR(IF(ISERROR(FIND(",", O1783, FIND(",", O1783)+1)), RIGHT(O1783, LEN(O1783)-FIND(",", O1783)-1), MID(O1783, FIND(",", O1783)+2, FIND(",", O1783, FIND(",", O1783)+1)-FIND(",", O1783)-2)), "")</f>
        <v/>
      </c>
      <c r="R1783" s="633" t="str">
        <f>IFERROR(RIGHT(O1783, LEN(O1783)-FIND(",", O1783, FIND(",", O1783)+1)-1), "")</f>
        <v/>
      </c>
      <c r="S1783" s="35" t="str" cm="1">
        <f t="array" ref="S1783">_xlfn.TEXTJOIN(", ",TRUE,_xlfn._xlws.FILTER(Tabla29[[#All],[PARTE]],ISNUMBER(SEARCH(Tabla29[[#All],[PCLAVE3]],Tabla8[[#This Row],[DESCRIPCION DE TRABAJO]])),""))</f>
        <v/>
      </c>
      <c r="T1783" s="88" t="str">
        <f>IF(AND(Tabla8[[#This Row],[PIEZA]]="",Tabla8[[#This Row],[PARTE]]=""),"VACIO","OK")</f>
        <v>VACIO</v>
      </c>
      <c r="U1783" s="633" t="str">
        <f>+CONCATENATE(WEEKNUM(Tabla8[[#This Row],[FECHA]]),"-",YEAR(Tabla8[[#This Row],[FECHA]]))</f>
        <v>25-2026</v>
      </c>
    </row>
    <row r="1784" spans="1:21" ht="15" customHeight="1">
      <c r="A1784" s="22">
        <v>46189</v>
      </c>
      <c r="B1784" s="16" t="s">
        <v>179</v>
      </c>
      <c r="C1784" s="16" t="s">
        <v>23</v>
      </c>
      <c r="D1784" s="381">
        <v>0.64583333333333337</v>
      </c>
      <c r="E1784" s="381">
        <v>0.66666666666666663</v>
      </c>
      <c r="F1784" s="632">
        <f>+MOD(Tabla8[[#This Row],[HR. FIN]]-Tabla8[[#This Row],[HR. INICIO]],1)</f>
        <v>2.0833333333333259E-2</v>
      </c>
      <c r="G1784" s="16" t="s">
        <v>31</v>
      </c>
      <c r="H1784" s="79" t="str">
        <f>IFERROR(VLOOKUP(G1784,DATOS!$M$2:$N$219,2,FALSE),"")</f>
        <v>Maquinaria</v>
      </c>
      <c r="I1784" s="115" t="s">
        <v>57</v>
      </c>
      <c r="J1784" s="115" t="s">
        <v>92</v>
      </c>
      <c r="K1784" s="115" t="s">
        <v>93</v>
      </c>
      <c r="L1784" s="35" t="s">
        <v>3179</v>
      </c>
      <c r="M1784" s="35" t="s">
        <v>3180</v>
      </c>
      <c r="N1784" s="35" t="str" cm="1">
        <f t="array" ref="N1784">IFERROR(IF(Tabla8[[#This Row],[P/NP]]="NO PROGRAMADA","",_xlfn.TEXTJOIN(", ",TRUE,_xlfn._xlws.FILTER(Tabla4[[#All],[PIEZA]],ISNUMBER(SEARCH(Tabla4[[#All],[PCLAVE]],Tabla8[[#This Row],[DESCRIPCION DE TRABAJO]])),""))),"")</f>
        <v/>
      </c>
      <c r="O1784" s="35" t="str" cm="1">
        <f t="array" ref="O1784">_xlfn.TEXTJOIN(", ",TRUE,_xlfn._xlws.FILTER(Tabla28[[#All],[PARTE]],ISNUMBER(SEARCH(Tabla28[[#All],[PCLAVE2]],Tabla8[[#This Row],[DESCRIPCION DE TRABAJO]])),""))</f>
        <v/>
      </c>
      <c r="P1784" s="633" t="str">
        <f>IFERROR(LEFT(O1784, FIND(",", O1784)-1), O1784)</f>
        <v/>
      </c>
      <c r="Q1784" s="633" t="str">
        <f>IFERROR(IF(ISERROR(FIND(",", O1784, FIND(",", O1784)+1)), RIGHT(O1784, LEN(O1784)-FIND(",", O1784)-1), MID(O1784, FIND(",", O1784)+2, FIND(",", O1784, FIND(",", O1784)+1)-FIND(",", O1784)-2)), "")</f>
        <v/>
      </c>
      <c r="R1784" s="633" t="str">
        <f>IFERROR(RIGHT(O1784, LEN(O1784)-FIND(",", O1784, FIND(",", O1784)+1)-1), "")</f>
        <v/>
      </c>
      <c r="S1784" s="35" t="str" cm="1">
        <f t="array" ref="S1784">_xlfn.TEXTJOIN(", ",TRUE,_xlfn._xlws.FILTER(Tabla29[[#All],[PARTE]],ISNUMBER(SEARCH(Tabla29[[#All],[PCLAVE3]],Tabla8[[#This Row],[DESCRIPCION DE TRABAJO]])),""))</f>
        <v>No Sella</v>
      </c>
      <c r="T1784" s="88" t="str">
        <f>IF(AND(Tabla8[[#This Row],[PIEZA]]="",Tabla8[[#This Row],[PARTE]]=""),"VACIO","OK")</f>
        <v>VACIO</v>
      </c>
      <c r="U1784" s="633" t="str">
        <f>+CONCATENATE(WEEKNUM(Tabla8[[#This Row],[FECHA]]),"-",YEAR(Tabla8[[#This Row],[FECHA]]))</f>
        <v>25-2026</v>
      </c>
    </row>
    <row r="1785" spans="1:21" ht="15" customHeight="1">
      <c r="A1785" s="22">
        <v>46189</v>
      </c>
      <c r="B1785" s="16" t="s">
        <v>191</v>
      </c>
      <c r="C1785" s="16" t="s">
        <v>39</v>
      </c>
      <c r="D1785" s="381">
        <v>0.93958333333333333</v>
      </c>
      <c r="E1785" s="381">
        <v>0.95972222222222225</v>
      </c>
      <c r="F1785" s="632">
        <f>+MOD(Tabla8[[#This Row],[HR. FIN]]-Tabla8[[#This Row],[HR. INICIO]],1)</f>
        <v>2.0138888888888928E-2</v>
      </c>
      <c r="G1785" s="16" t="s">
        <v>153</v>
      </c>
      <c r="H1785" s="79" t="str">
        <f>IFERROR(VLOOKUP(G1785,DATOS!$M$2:$N$219,2,FALSE),"")</f>
        <v>Maquinaria</v>
      </c>
      <c r="I1785" s="115" t="s">
        <v>57</v>
      </c>
      <c r="J1785" s="115" t="s">
        <v>92</v>
      </c>
      <c r="K1785" s="115" t="s">
        <v>93</v>
      </c>
      <c r="L1785" s="35" t="s">
        <v>3181</v>
      </c>
      <c r="M1785" s="35" t="s">
        <v>3182</v>
      </c>
      <c r="N1785" s="35" t="str" cm="1">
        <f t="array" ref="N1785">IFERROR(IF(Tabla8[[#This Row],[P/NP]]="NO PROGRAMADA","",_xlfn.TEXTJOIN(", ",TRUE,_xlfn._xlws.FILTER(Tabla4[[#All],[PIEZA]],ISNUMBER(SEARCH(Tabla4[[#All],[PCLAVE]],Tabla8[[#This Row],[DESCRIPCION DE TRABAJO]])),""))),"")</f>
        <v/>
      </c>
      <c r="O1785" s="35" t="str" cm="1">
        <f t="array" ref="O1785">_xlfn.TEXTJOIN(", ",TRUE,_xlfn._xlws.FILTER(Tabla28[[#All],[PARTE]],ISNUMBER(SEARCH(Tabla28[[#All],[PCLAVE2]],Tabla8[[#This Row],[DESCRIPCION DE TRABAJO]])),""))</f>
        <v>Contraelevador</v>
      </c>
      <c r="P1785" s="633" t="str">
        <f>IFERROR(LEFT(O1785, FIND(",", O1785)-1), O1785)</f>
        <v>Contraelevador</v>
      </c>
      <c r="Q1785" s="633" t="str">
        <f>IFERROR(IF(ISERROR(FIND(",", O1785, FIND(",", O1785)+1)), RIGHT(O1785, LEN(O1785)-FIND(",", O1785)-1), MID(O1785, FIND(",", O1785)+2, FIND(",", O1785, FIND(",", O1785)+1)-FIND(",", O1785)-2)), "")</f>
        <v/>
      </c>
      <c r="R1785" s="633" t="str">
        <f>IFERROR(RIGHT(O1785, LEN(O1785)-FIND(",", O1785, FIND(",", O1785)+1)-1), "")</f>
        <v/>
      </c>
      <c r="S1785" s="35" t="str" cm="1">
        <f t="array" ref="S1785">_xlfn.TEXTJOIN(", ",TRUE,_xlfn._xlws.FILTER(Tabla29[[#All],[PARTE]],ISNUMBER(SEARCH(Tabla29[[#All],[PCLAVE3]],Tabla8[[#This Row],[DESCRIPCION DE TRABAJO]])),""))</f>
        <v/>
      </c>
      <c r="T1785" s="88" t="str">
        <f>IF(AND(Tabla8[[#This Row],[PIEZA]]="",Tabla8[[#This Row],[PARTE]]=""),"VACIO","OK")</f>
        <v>OK</v>
      </c>
      <c r="U1785" s="633" t="str">
        <f>+CONCATENATE(WEEKNUM(Tabla8[[#This Row],[FECHA]]),"-",YEAR(Tabla8[[#This Row],[FECHA]]))</f>
        <v>25-2026</v>
      </c>
    </row>
    <row r="1786" spans="1:21" ht="15" customHeight="1">
      <c r="A1786" s="22">
        <v>46189</v>
      </c>
      <c r="B1786" s="16" t="s">
        <v>191</v>
      </c>
      <c r="C1786" s="16" t="s">
        <v>39</v>
      </c>
      <c r="D1786" s="381">
        <v>0.96250000000000002</v>
      </c>
      <c r="E1786" s="381">
        <v>0.98055555555555551</v>
      </c>
      <c r="F1786" s="632">
        <f>+MOD(Tabla8[[#This Row],[HR. FIN]]-Tabla8[[#This Row],[HR. INICIO]],1)</f>
        <v>1.8055555555555491E-2</v>
      </c>
      <c r="G1786" s="16" t="s">
        <v>192</v>
      </c>
      <c r="H1786" s="79" t="str">
        <f>IFERROR(VLOOKUP(G1786,DATOS!$M$2:$N$219,2,FALSE),"")</f>
        <v>Maquinaria</v>
      </c>
      <c r="I1786" s="115" t="s">
        <v>57</v>
      </c>
      <c r="J1786" s="115" t="s">
        <v>92</v>
      </c>
      <c r="K1786" s="115" t="s">
        <v>93</v>
      </c>
      <c r="L1786" s="35" t="s">
        <v>3183</v>
      </c>
      <c r="M1786" s="35" t="s">
        <v>3184</v>
      </c>
      <c r="N1786" s="35" t="str" cm="1">
        <f t="array" ref="N1786">IFERROR(IF(Tabla8[[#This Row],[P/NP]]="NO PROGRAMADA","",_xlfn.TEXTJOIN(", ",TRUE,_xlfn._xlws.FILTER(Tabla4[[#All],[PIEZA]],ISNUMBER(SEARCH(Tabla4[[#All],[PCLAVE]],Tabla8[[#This Row],[DESCRIPCION DE TRABAJO]])),""))),"")</f>
        <v/>
      </c>
      <c r="O1786" s="35" t="str" cm="1">
        <f t="array" ref="O1786">_xlfn.TEXTJOIN(", ",TRUE,_xlfn._xlws.FILTER(Tabla28[[#All],[PARTE]],ISNUMBER(SEARCH(Tabla28[[#All],[PCLAVE2]],Tabla8[[#This Row],[DESCRIPCION DE TRABAJO]])),""))</f>
        <v/>
      </c>
      <c r="P1786" s="633" t="str">
        <f>IFERROR(LEFT(O1786, FIND(",", O1786)-1), O1786)</f>
        <v/>
      </c>
      <c r="Q1786" s="633" t="str">
        <f>IFERROR(IF(ISERROR(FIND(",", O1786, FIND(",", O1786)+1)), RIGHT(O1786, LEN(O1786)-FIND(",", O1786)-1), MID(O1786, FIND(",", O1786)+2, FIND(",", O1786, FIND(",", O1786)+1)-FIND(",", O1786)-2)), "")</f>
        <v/>
      </c>
      <c r="R1786" s="633" t="str">
        <f>IFERROR(RIGHT(O1786, LEN(O1786)-FIND(",", O1786, FIND(",", O1786)+1)-1), "")</f>
        <v/>
      </c>
      <c r="S1786" s="35" t="str" cm="1">
        <f t="array" ref="S1786">_xlfn.TEXTJOIN(", ",TRUE,_xlfn._xlws.FILTER(Tabla29[[#All],[PARTE]],ISNUMBER(SEARCH(Tabla29[[#All],[PCLAVE3]],Tabla8[[#This Row],[DESCRIPCION DE TRABAJO]])),""))</f>
        <v>Mancha Etiquetas, No Pega, Obstruido, Volteado</v>
      </c>
      <c r="T1786" s="88" t="str">
        <f>IF(AND(Tabla8[[#This Row],[PIEZA]]="",Tabla8[[#This Row],[PARTE]]=""),"VACIO","OK")</f>
        <v>VACIO</v>
      </c>
      <c r="U1786" s="633" t="str">
        <f>+CONCATENATE(WEEKNUM(Tabla8[[#This Row],[FECHA]]),"-",YEAR(Tabla8[[#This Row],[FECHA]]))</f>
        <v>25-2026</v>
      </c>
    </row>
    <row r="1787" spans="1:21" ht="15" customHeight="1">
      <c r="A1787" s="22">
        <v>46189</v>
      </c>
      <c r="B1787" s="16" t="s">
        <v>179</v>
      </c>
      <c r="C1787" s="16" t="s">
        <v>23</v>
      </c>
      <c r="D1787" s="381">
        <v>0.75694444444444442</v>
      </c>
      <c r="E1787" s="381">
        <v>0.77430555555555558</v>
      </c>
      <c r="F1787" s="632">
        <f>+MOD(Tabla8[[#This Row],[HR. FIN]]-Tabla8[[#This Row],[HR. INICIO]],1)</f>
        <v>1.736111111111116E-2</v>
      </c>
      <c r="G1787" s="16" t="s">
        <v>965</v>
      </c>
      <c r="H1787" s="79" t="str">
        <f>IFERROR(VLOOKUP(G1787,DATOS!$M$2:$N$219,2,FALSE),"")</f>
        <v>Maquinaria</v>
      </c>
      <c r="I1787" s="115" t="s">
        <v>57</v>
      </c>
      <c r="J1787" s="115" t="s">
        <v>92</v>
      </c>
      <c r="K1787" s="115" t="s">
        <v>93</v>
      </c>
      <c r="L1787" s="35" t="s">
        <v>3185</v>
      </c>
      <c r="M1787" s="35" t="s">
        <v>3186</v>
      </c>
      <c r="N1787" s="35" t="str" cm="1">
        <f t="array" ref="N1787">IFERROR(IF(Tabla8[[#This Row],[P/NP]]="NO PROGRAMADA","",_xlfn.TEXTJOIN(", ",TRUE,_xlfn._xlws.FILTER(Tabla4[[#All],[PIEZA]],ISNUMBER(SEARCH(Tabla4[[#All],[PCLAVE]],Tabla8[[#This Row],[DESCRIPCION DE TRABAJO]])),""))),"")</f>
        <v/>
      </c>
      <c r="O1787" s="35" t="str" cm="1">
        <f t="array" ref="O1787">_xlfn.TEXTJOIN(", ",TRUE,_xlfn._xlws.FILTER(Tabla28[[#All],[PARTE]],ISNUMBER(SEARCH(Tabla28[[#All],[PCLAVE2]],Tabla8[[#This Row],[DESCRIPCION DE TRABAJO]])),""))</f>
        <v/>
      </c>
      <c r="P1787" s="633" t="str">
        <f>IFERROR(LEFT(O1787, FIND(",", O1787)-1), O1787)</f>
        <v/>
      </c>
      <c r="Q1787" s="633" t="str">
        <f>IFERROR(IF(ISERROR(FIND(",", O1787, FIND(",", O1787)+1)), RIGHT(O1787, LEN(O1787)-FIND(",", O1787)-1), MID(O1787, FIND(",", O1787)+2, FIND(",", O1787, FIND(",", O1787)+1)-FIND(",", O1787)-2)), "")</f>
        <v/>
      </c>
      <c r="R1787" s="633" t="str">
        <f>IFERROR(RIGHT(O1787, LEN(O1787)-FIND(",", O1787, FIND(",", O1787)+1)-1), "")</f>
        <v/>
      </c>
      <c r="S1787" s="35" t="str" cm="1">
        <f t="array" ref="S1787">_xlfn.TEXTJOIN(", ",TRUE,_xlfn._xlws.FILTER(Tabla29[[#All],[PARTE]],ISNUMBER(SEARCH(Tabla29[[#All],[PCLAVE3]],Tabla8[[#This Row],[DESCRIPCION DE TRABAJO]])),""))</f>
        <v/>
      </c>
      <c r="T1787" s="88" t="str">
        <f>IF(AND(Tabla8[[#This Row],[PIEZA]]="",Tabla8[[#This Row],[PARTE]]=""),"VACIO","OK")</f>
        <v>VACIO</v>
      </c>
      <c r="U1787" s="633" t="str">
        <f>+CONCATENATE(WEEKNUM(Tabla8[[#This Row],[FECHA]]),"-",YEAR(Tabla8[[#This Row],[FECHA]]))</f>
        <v>25-2026</v>
      </c>
    </row>
    <row r="1788" spans="1:21" ht="15" customHeight="1">
      <c r="A1788" s="22">
        <v>46189</v>
      </c>
      <c r="B1788" s="16" t="s">
        <v>131</v>
      </c>
      <c r="C1788" s="16" t="s">
        <v>23</v>
      </c>
      <c r="D1788" s="381">
        <v>0.63888888888888884</v>
      </c>
      <c r="E1788" s="381">
        <v>0.65625</v>
      </c>
      <c r="F1788" s="632">
        <f>+MOD(Tabla8[[#This Row],[HR. FIN]]-Tabla8[[#This Row],[HR. INICIO]],1)</f>
        <v>1.736111111111116E-2</v>
      </c>
      <c r="G1788" s="16" t="s">
        <v>119</v>
      </c>
      <c r="H1788" s="79" t="str">
        <f>IFERROR(VLOOKUP(G1788,DATOS!$M$2:$N$219,2,FALSE),"")</f>
        <v>Maquinaria</v>
      </c>
      <c r="I1788" s="115" t="s">
        <v>32</v>
      </c>
      <c r="J1788" s="115" t="s">
        <v>157</v>
      </c>
      <c r="K1788" s="115"/>
      <c r="L1788" s="35" t="s">
        <v>3187</v>
      </c>
      <c r="M1788" s="35" t="s">
        <v>121</v>
      </c>
      <c r="N1788" s="35" t="str" cm="1">
        <f t="array" ref="N1788">IFERROR(IF(Tabla8[[#This Row],[P/NP]]="NO PROGRAMADA","",_xlfn.TEXTJOIN(", ",TRUE,_xlfn._xlws.FILTER(Tabla4[[#All],[PIEZA]],ISNUMBER(SEARCH(Tabla4[[#All],[PCLAVE]],Tabla8[[#This Row],[DESCRIPCION DE TRABAJO]])),""))),"")</f>
        <v>Planchas</v>
      </c>
      <c r="O1788" s="35" t="str" cm="1">
        <f t="array" ref="O1788">_xlfn.TEXTJOIN(", ",TRUE,_xlfn._xlws.FILTER(Tabla28[[#All],[PARTE]],ISNUMBER(SEARCH(Tabla28[[#All],[PCLAVE2]],Tabla8[[#This Row],[DESCRIPCION DE TRABAJO]])),""))</f>
        <v>Mds</v>
      </c>
      <c r="P1788" s="633" t="str">
        <f>IFERROR(LEFT(O1788, FIND(",", O1788)-1), O1788)</f>
        <v>Mds</v>
      </c>
      <c r="Q1788" s="633" t="str">
        <f>IFERROR(IF(ISERROR(FIND(",", O1788, FIND(",", O1788)+1)), RIGHT(O1788, LEN(O1788)-FIND(",", O1788)-1), MID(O1788, FIND(",", O1788)+2, FIND(",", O1788, FIND(",", O1788)+1)-FIND(",", O1788)-2)), "")</f>
        <v/>
      </c>
      <c r="R1788" s="633" t="str">
        <f>IFERROR(RIGHT(O1788, LEN(O1788)-FIND(",", O1788, FIND(",", O1788)+1)-1), "")</f>
        <v/>
      </c>
      <c r="S1788" s="35" t="str" cm="1">
        <f t="array" ref="S1788">_xlfn.TEXTJOIN(", ",TRUE,_xlfn._xlws.FILTER(Tabla29[[#All],[PARTE]],ISNUMBER(SEARCH(Tabla29[[#All],[PCLAVE3]],Tabla8[[#This Row],[DESCRIPCION DE TRABAJO]])),""))</f>
        <v/>
      </c>
      <c r="T1788" s="88" t="str">
        <f>IF(AND(Tabla8[[#This Row],[PIEZA]]="",Tabla8[[#This Row],[PARTE]]=""),"VACIO","OK")</f>
        <v>OK</v>
      </c>
      <c r="U1788" s="633" t="str">
        <f>+CONCATENATE(WEEKNUM(Tabla8[[#This Row],[FECHA]]),"-",YEAR(Tabla8[[#This Row],[FECHA]]))</f>
        <v>25-2026</v>
      </c>
    </row>
    <row r="1789" spans="1:21" ht="15" customHeight="1">
      <c r="A1789" s="22">
        <v>46189</v>
      </c>
      <c r="B1789" s="16" t="s">
        <v>131</v>
      </c>
      <c r="C1789" s="16" t="s">
        <v>23</v>
      </c>
      <c r="D1789" s="381">
        <v>0.77777777777777779</v>
      </c>
      <c r="E1789" s="381">
        <v>0.79513888888888884</v>
      </c>
      <c r="F1789" s="632">
        <f>+MOD(Tabla8[[#This Row],[HR. FIN]]-Tabla8[[#This Row],[HR. INICIO]],1)</f>
        <v>1.7361111111111049E-2</v>
      </c>
      <c r="G1789" s="16" t="s">
        <v>153</v>
      </c>
      <c r="H1789" s="79" t="str">
        <f>IFERROR(VLOOKUP(G1789,DATOS!$M$2:$N$219,2,FALSE),"")</f>
        <v>Maquinaria</v>
      </c>
      <c r="I1789" s="115" t="s">
        <v>57</v>
      </c>
      <c r="J1789" s="115" t="s">
        <v>92</v>
      </c>
      <c r="K1789" s="115" t="s">
        <v>93</v>
      </c>
      <c r="L1789" s="35" t="s">
        <v>3188</v>
      </c>
      <c r="M1789" s="35" t="s">
        <v>3189</v>
      </c>
      <c r="N1789" s="35" t="str" cm="1">
        <f t="array" ref="N1789">IFERROR(IF(Tabla8[[#This Row],[P/NP]]="NO PROGRAMADA","",_xlfn.TEXTJOIN(", ",TRUE,_xlfn._xlws.FILTER(Tabla4[[#All],[PIEZA]],ISNUMBER(SEARCH(Tabla4[[#All],[PCLAVE]],Tabla8[[#This Row],[DESCRIPCION DE TRABAJO]])),""))),"")</f>
        <v/>
      </c>
      <c r="O1789" s="35" t="str" cm="1">
        <f t="array" ref="O1789">_xlfn.TEXTJOIN(", ",TRUE,_xlfn._xlws.FILTER(Tabla28[[#All],[PARTE]],ISNUMBER(SEARCH(Tabla28[[#All],[PCLAVE2]],Tabla8[[#This Row],[DESCRIPCION DE TRABAJO]])),""))</f>
        <v/>
      </c>
      <c r="P1789" s="633" t="str">
        <f>IFERROR(LEFT(O1789, FIND(",", O1789)-1), O1789)</f>
        <v/>
      </c>
      <c r="Q1789" s="633" t="str">
        <f>IFERROR(IF(ISERROR(FIND(",", O1789, FIND(",", O1789)+1)), RIGHT(O1789, LEN(O1789)-FIND(",", O1789)-1), MID(O1789, FIND(",", O1789)+2, FIND(",", O1789, FIND(",", O1789)+1)-FIND(",", O1789)-2)), "")</f>
        <v/>
      </c>
      <c r="R1789" s="633" t="str">
        <f>IFERROR(RIGHT(O1789, LEN(O1789)-FIND(",", O1789, FIND(",", O1789)+1)-1), "")</f>
        <v/>
      </c>
      <c r="S1789" s="35" t="str" cm="1">
        <f t="array" ref="S1789">_xlfn.TEXTJOIN(", ",TRUE,_xlfn._xlws.FILTER(Tabla29[[#All],[PARTE]],ISNUMBER(SEARCH(Tabla29[[#All],[PCLAVE3]],Tabla8[[#This Row],[DESCRIPCION DE TRABAJO]])),""))</f>
        <v>Laminado</v>
      </c>
      <c r="T1789" s="88" t="str">
        <f>IF(AND(Tabla8[[#This Row],[PIEZA]]="",Tabla8[[#This Row],[PARTE]]=""),"VACIO","OK")</f>
        <v>VACIO</v>
      </c>
      <c r="U1789" s="633" t="str">
        <f>+CONCATENATE(WEEKNUM(Tabla8[[#This Row],[FECHA]]),"-",YEAR(Tabla8[[#This Row],[FECHA]]))</f>
        <v>25-2026</v>
      </c>
    </row>
    <row r="1790" spans="1:21" ht="15" customHeight="1">
      <c r="A1790" s="22">
        <v>46189</v>
      </c>
      <c r="B1790" s="16" t="s">
        <v>191</v>
      </c>
      <c r="C1790" s="16" t="s">
        <v>39</v>
      </c>
      <c r="D1790" s="381">
        <v>0.90833333333333333</v>
      </c>
      <c r="E1790" s="381">
        <v>0.92291666666666672</v>
      </c>
      <c r="F1790" s="632">
        <f>+MOD(Tabla8[[#This Row],[HR. FIN]]-Tabla8[[#This Row],[HR. INICIO]],1)</f>
        <v>1.4583333333333393E-2</v>
      </c>
      <c r="G1790" s="16" t="s">
        <v>119</v>
      </c>
      <c r="H1790" s="79" t="str">
        <f>IFERROR(VLOOKUP(G1790,DATOS!$M$2:$N$219,2,FALSE),"")</f>
        <v>Maquinaria</v>
      </c>
      <c r="I1790" s="115" t="s">
        <v>57</v>
      </c>
      <c r="J1790" s="115" t="s">
        <v>92</v>
      </c>
      <c r="K1790" s="115" t="s">
        <v>93</v>
      </c>
      <c r="L1790" s="35" t="s">
        <v>3190</v>
      </c>
      <c r="M1790" s="35" t="s">
        <v>3191</v>
      </c>
      <c r="N1790" s="35" t="str" cm="1">
        <f t="array" ref="N1790">IFERROR(IF(Tabla8[[#This Row],[P/NP]]="NO PROGRAMADA","",_xlfn.TEXTJOIN(", ",TRUE,_xlfn._xlws.FILTER(Tabla4[[#All],[PIEZA]],ISNUMBER(SEARCH(Tabla4[[#All],[PCLAVE]],Tabla8[[#This Row],[DESCRIPCION DE TRABAJO]])),""))),"")</f>
        <v/>
      </c>
      <c r="O1790" s="35" t="str" cm="1">
        <f t="array" ref="O1790">_xlfn.TEXTJOIN(", ",TRUE,_xlfn._xlws.FILTER(Tabla28[[#All],[PARTE]],ISNUMBER(SEARCH(Tabla28[[#All],[PCLAVE2]],Tabla8[[#This Row],[DESCRIPCION DE TRABAJO]])),""))</f>
        <v>Mds</v>
      </c>
      <c r="P1790" s="633" t="str">
        <f>IFERROR(LEFT(O1790, FIND(",", O1790)-1), O1790)</f>
        <v>Mds</v>
      </c>
      <c r="Q1790" s="633" t="str">
        <f>IFERROR(IF(ISERROR(FIND(",", O1790, FIND(",", O1790)+1)), RIGHT(O1790, LEN(O1790)-FIND(",", O1790)-1), MID(O1790, FIND(",", O1790)+2, FIND(",", O1790, FIND(",", O1790)+1)-FIND(",", O1790)-2)), "")</f>
        <v/>
      </c>
      <c r="R1790" s="633" t="str">
        <f>IFERROR(RIGHT(O1790, LEN(O1790)-FIND(",", O1790, FIND(",", O1790)+1)-1), "")</f>
        <v/>
      </c>
      <c r="S1790" s="35" t="str" cm="1">
        <f t="array" ref="S1790">_xlfn.TEXTJOIN(", ",TRUE,_xlfn._xlws.FILTER(Tabla29[[#All],[PARTE]],ISNUMBER(SEARCH(Tabla29[[#All],[PCLAVE3]],Tabla8[[#This Row],[DESCRIPCION DE TRABAJO]])),""))</f>
        <v>Fuga</v>
      </c>
      <c r="T1790" s="88" t="str">
        <f>IF(AND(Tabla8[[#This Row],[PIEZA]]="",Tabla8[[#This Row],[PARTE]]=""),"VACIO","OK")</f>
        <v>OK</v>
      </c>
      <c r="U1790" s="633" t="str">
        <f>+CONCATENATE(WEEKNUM(Tabla8[[#This Row],[FECHA]]),"-",YEAR(Tabla8[[#This Row],[FECHA]]))</f>
        <v>25-2026</v>
      </c>
    </row>
    <row r="1791" spans="1:21" ht="15" customHeight="1">
      <c r="A1791" s="22">
        <v>46189</v>
      </c>
      <c r="B1791" s="16" t="s">
        <v>179</v>
      </c>
      <c r="C1791" s="16" t="s">
        <v>23</v>
      </c>
      <c r="D1791" s="381">
        <v>0.67013888888888884</v>
      </c>
      <c r="E1791" s="381">
        <v>0.68402777777777779</v>
      </c>
      <c r="F1791" s="632">
        <f>+MOD(Tabla8[[#This Row],[HR. FIN]]-Tabla8[[#This Row],[HR. INICIO]],1)</f>
        <v>1.3888888888888951E-2</v>
      </c>
      <c r="G1791" s="16" t="s">
        <v>103</v>
      </c>
      <c r="H1791" s="79" t="str">
        <f>IFERROR(VLOOKUP(G1791,DATOS!$M$2:$N$219,2,FALSE),"")</f>
        <v>Area</v>
      </c>
      <c r="I1791" s="115" t="s">
        <v>25</v>
      </c>
      <c r="J1791" s="115" t="s">
        <v>157</v>
      </c>
      <c r="K1791" s="115"/>
      <c r="L1791" s="35" t="s">
        <v>3192</v>
      </c>
      <c r="M1791" s="35" t="s">
        <v>121</v>
      </c>
      <c r="N1791" s="35" t="str" cm="1">
        <f t="array" ref="N1791">IFERROR(IF(Tabla8[[#This Row],[P/NP]]="NO PROGRAMADA","",_xlfn.TEXTJOIN(", ",TRUE,_xlfn._xlws.FILTER(Tabla4[[#All],[PIEZA]],ISNUMBER(SEARCH(Tabla4[[#All],[PCLAVE]],Tabla8[[#This Row],[DESCRIPCION DE TRABAJO]])),""))),"")</f>
        <v/>
      </c>
      <c r="O1791" s="35" t="str" cm="1">
        <f t="array" ref="O1791">_xlfn.TEXTJOIN(", ",TRUE,_xlfn._xlws.FILTER(Tabla28[[#All],[PARTE]],ISNUMBER(SEARCH(Tabla28[[#All],[PCLAVE2]],Tabla8[[#This Row],[DESCRIPCION DE TRABAJO]])),""))</f>
        <v/>
      </c>
      <c r="P1791" s="633" t="str">
        <f>IFERROR(LEFT(O1791, FIND(",", O1791)-1), O1791)</f>
        <v/>
      </c>
      <c r="Q1791" s="633" t="str">
        <f>IFERROR(IF(ISERROR(FIND(",", O1791, FIND(",", O1791)+1)), RIGHT(O1791, LEN(O1791)-FIND(",", O1791)-1), MID(O1791, FIND(",", O1791)+2, FIND(",", O1791, FIND(",", O1791)+1)-FIND(",", O1791)-2)), "")</f>
        <v/>
      </c>
      <c r="R1791" s="633" t="str">
        <f>IFERROR(RIGHT(O1791, LEN(O1791)-FIND(",", O1791, FIND(",", O1791)+1)-1), "")</f>
        <v/>
      </c>
      <c r="S1791" s="35" t="str" cm="1">
        <f t="array" ref="S1791">_xlfn.TEXTJOIN(", ",TRUE,_xlfn._xlws.FILTER(Tabla29[[#All],[PARTE]],ISNUMBER(SEARCH(Tabla29[[#All],[PCLAVE3]],Tabla8[[#This Row],[DESCRIPCION DE TRABAJO]])),""))</f>
        <v/>
      </c>
      <c r="T1791" s="88" t="str">
        <f>IF(AND(Tabla8[[#This Row],[PIEZA]]="",Tabla8[[#This Row],[PARTE]]=""),"VACIO","OK")</f>
        <v>VACIO</v>
      </c>
      <c r="U1791" s="633" t="str">
        <f>+CONCATENATE(WEEKNUM(Tabla8[[#This Row],[FECHA]]),"-",YEAR(Tabla8[[#This Row],[FECHA]]))</f>
        <v>25-2026</v>
      </c>
    </row>
    <row r="1792" spans="1:21" ht="15" customHeight="1">
      <c r="A1792" s="22">
        <v>46189</v>
      </c>
      <c r="B1792" s="16" t="s">
        <v>191</v>
      </c>
      <c r="C1792" s="16" t="s">
        <v>39</v>
      </c>
      <c r="D1792" s="381">
        <v>0.98402777777777772</v>
      </c>
      <c r="E1792" s="381">
        <v>0.99791666666666667</v>
      </c>
      <c r="F1792" s="632">
        <f>+MOD(Tabla8[[#This Row],[HR. FIN]]-Tabla8[[#This Row],[HR. INICIO]],1)</f>
        <v>1.3888888888888951E-2</v>
      </c>
      <c r="G1792" s="16" t="s">
        <v>236</v>
      </c>
      <c r="H1792" s="79" t="str">
        <f>IFERROR(VLOOKUP(G1792,DATOS!$M$2:$N$219,2,FALSE),"")</f>
        <v>Sistema</v>
      </c>
      <c r="I1792" s="115" t="s">
        <v>25</v>
      </c>
      <c r="J1792" s="115" t="s">
        <v>157</v>
      </c>
      <c r="K1792" s="115"/>
      <c r="L1792" s="35" t="s">
        <v>3193</v>
      </c>
      <c r="M1792" s="35" t="s">
        <v>121</v>
      </c>
      <c r="N1792" s="35" t="str" cm="1">
        <f t="array" ref="N1792">IFERROR(IF(Tabla8[[#This Row],[P/NP]]="NO PROGRAMADA","",_xlfn.TEXTJOIN(", ",TRUE,_xlfn._xlws.FILTER(Tabla4[[#All],[PIEZA]],ISNUMBER(SEARCH(Tabla4[[#All],[PCLAVE]],Tabla8[[#This Row],[DESCRIPCION DE TRABAJO]])),""))),"")</f>
        <v/>
      </c>
      <c r="O1792" s="35" t="str" cm="1">
        <f t="array" ref="O1792">_xlfn.TEXTJOIN(", ",TRUE,_xlfn._xlws.FILTER(Tabla28[[#All],[PARTE]],ISNUMBER(SEARCH(Tabla28[[#All],[PCLAVE2]],Tabla8[[#This Row],[DESCRIPCION DE TRABAJO]])),""))</f>
        <v/>
      </c>
      <c r="P1792" s="633" t="str">
        <f>IFERROR(LEFT(O1792, FIND(",", O1792)-1), O1792)</f>
        <v/>
      </c>
      <c r="Q1792" s="633" t="str">
        <f>IFERROR(IF(ISERROR(FIND(",", O1792, FIND(",", O1792)+1)), RIGHT(O1792, LEN(O1792)-FIND(",", O1792)-1), MID(O1792, FIND(",", O1792)+2, FIND(",", O1792, FIND(",", O1792)+1)-FIND(",", O1792)-2)), "")</f>
        <v/>
      </c>
      <c r="R1792" s="633" t="str">
        <f>IFERROR(RIGHT(O1792, LEN(O1792)-FIND(",", O1792, FIND(",", O1792)+1)-1), "")</f>
        <v/>
      </c>
      <c r="S1792" s="35" t="str" cm="1">
        <f t="array" ref="S1792">_xlfn.TEXTJOIN(", ",TRUE,_xlfn._xlws.FILTER(Tabla29[[#All],[PARTE]],ISNUMBER(SEARCH(Tabla29[[#All],[PCLAVE3]],Tabla8[[#This Row],[DESCRIPCION DE TRABAJO]])),""))</f>
        <v/>
      </c>
      <c r="T1792" s="88" t="str">
        <f>IF(AND(Tabla8[[#This Row],[PIEZA]]="",Tabla8[[#This Row],[PARTE]]=""),"VACIO","OK")</f>
        <v>VACIO</v>
      </c>
      <c r="U1792" s="633" t="str">
        <f>+CONCATENATE(WEEKNUM(Tabla8[[#This Row],[FECHA]]),"-",YEAR(Tabla8[[#This Row],[FECHA]]))</f>
        <v>25-2026</v>
      </c>
    </row>
    <row r="1793" spans="1:21" ht="15" customHeight="1">
      <c r="A1793" s="22">
        <v>46189</v>
      </c>
      <c r="B1793" s="16" t="s">
        <v>111</v>
      </c>
      <c r="C1793" s="16" t="s">
        <v>36</v>
      </c>
      <c r="D1793" s="381">
        <v>0.40277777777777779</v>
      </c>
      <c r="E1793" s="381">
        <v>0.41666666666666669</v>
      </c>
      <c r="F1793" s="632">
        <f>+MOD(Tabla8[[#This Row],[HR. FIN]]-Tabla8[[#This Row],[HR. INICIO]],1)</f>
        <v>1.3888888888888895E-2</v>
      </c>
      <c r="G1793" s="16" t="s">
        <v>236</v>
      </c>
      <c r="H1793" s="79" t="str">
        <f>IFERROR(VLOOKUP(G1793,DATOS!$M$2:$N$219,2,FALSE),"")</f>
        <v>Sistema</v>
      </c>
      <c r="I1793" s="115" t="s">
        <v>54</v>
      </c>
      <c r="J1793" s="115" t="s">
        <v>157</v>
      </c>
      <c r="K1793" s="115"/>
      <c r="L1793" s="35" t="s">
        <v>3194</v>
      </c>
      <c r="M1793" s="35" t="s">
        <v>121</v>
      </c>
      <c r="N1793" s="35" t="str" cm="1">
        <f t="array" ref="N1793">IFERROR(IF(Tabla8[[#This Row],[P/NP]]="NO PROGRAMADA","",_xlfn.TEXTJOIN(", ",TRUE,_xlfn._xlws.FILTER(Tabla4[[#All],[PIEZA]],ISNUMBER(SEARCH(Tabla4[[#All],[PCLAVE]],Tabla8[[#This Row],[DESCRIPCION DE TRABAJO]])),""))),"")</f>
        <v xml:space="preserve">Bomba </v>
      </c>
      <c r="O1793" s="35" t="str" cm="1">
        <f t="array" ref="O1793">_xlfn.TEXTJOIN(", ",TRUE,_xlfn._xlws.FILTER(Tabla28[[#All],[PARTE]],ISNUMBER(SEARCH(Tabla28[[#All],[PCLAVE2]],Tabla8[[#This Row],[DESCRIPCION DE TRABAJO]])),""))</f>
        <v/>
      </c>
      <c r="P1793" s="633" t="str">
        <f>IFERROR(LEFT(O1793, FIND(",", O1793)-1), O1793)</f>
        <v/>
      </c>
      <c r="Q1793" s="633" t="str">
        <f>IFERROR(IF(ISERROR(FIND(",", O1793, FIND(",", O1793)+1)), RIGHT(O1793, LEN(O1793)-FIND(",", O1793)-1), MID(O1793, FIND(",", O1793)+2, FIND(",", O1793, FIND(",", O1793)+1)-FIND(",", O1793)-2)), "")</f>
        <v/>
      </c>
      <c r="R1793" s="633" t="str">
        <f>IFERROR(RIGHT(O1793, LEN(O1793)-FIND(",", O1793, FIND(",", O1793)+1)-1), "")</f>
        <v/>
      </c>
      <c r="S1793" s="35" t="str" cm="1">
        <f t="array" ref="S1793">_xlfn.TEXTJOIN(", ",TRUE,_xlfn._xlws.FILTER(Tabla29[[#All],[PARTE]],ISNUMBER(SEARCH(Tabla29[[#All],[PCLAVE3]],Tabla8[[#This Row],[DESCRIPCION DE TRABAJO]])),""))</f>
        <v/>
      </c>
      <c r="T1793" s="88" t="str">
        <f>IF(AND(Tabla8[[#This Row],[PIEZA]]="",Tabla8[[#This Row],[PARTE]]=""),"VACIO","OK")</f>
        <v>OK</v>
      </c>
      <c r="U1793" s="633" t="str">
        <f>+CONCATENATE(WEEKNUM(Tabla8[[#This Row],[FECHA]]),"-",YEAR(Tabla8[[#This Row],[FECHA]]))</f>
        <v>25-2026</v>
      </c>
    </row>
    <row r="1794" spans="1:21" ht="15" customHeight="1">
      <c r="A1794" s="22">
        <v>46189</v>
      </c>
      <c r="B1794" s="16" t="s">
        <v>179</v>
      </c>
      <c r="C1794" s="16" t="s">
        <v>23</v>
      </c>
      <c r="D1794" s="381">
        <v>0.71180555555555558</v>
      </c>
      <c r="E1794" s="381">
        <v>0.72569444444444442</v>
      </c>
      <c r="F1794" s="632">
        <f>+MOD(Tabla8[[#This Row],[HR. FIN]]-Tabla8[[#This Row],[HR. INICIO]],1)</f>
        <v>1.388888888888884E-2</v>
      </c>
      <c r="G1794" s="16" t="s">
        <v>103</v>
      </c>
      <c r="H1794" s="79" t="str">
        <f>IFERROR(VLOOKUP(G1794,DATOS!$M$2:$N$219,2,FALSE),"")</f>
        <v>Area</v>
      </c>
      <c r="I1794" s="115" t="s">
        <v>186</v>
      </c>
      <c r="J1794" s="115" t="s">
        <v>157</v>
      </c>
      <c r="K1794" s="115"/>
      <c r="L1794" s="35" t="s">
        <v>3195</v>
      </c>
      <c r="M1794" s="35" t="s">
        <v>3196</v>
      </c>
      <c r="N1794" s="35" t="str" cm="1">
        <f t="array" ref="N1794">IFERROR(IF(Tabla8[[#This Row],[P/NP]]="NO PROGRAMADA","",_xlfn.TEXTJOIN(", ",TRUE,_xlfn._xlws.FILTER(Tabla4[[#All],[PIEZA]],ISNUMBER(SEARCH(Tabla4[[#All],[PCLAVE]],Tabla8[[#This Row],[DESCRIPCION DE TRABAJO]])),""))),"")</f>
        <v/>
      </c>
      <c r="O1794" s="35" t="str" cm="1">
        <f t="array" ref="O1794">_xlfn.TEXTJOIN(", ",TRUE,_xlfn._xlws.FILTER(Tabla28[[#All],[PARTE]],ISNUMBER(SEARCH(Tabla28[[#All],[PCLAVE2]],Tabla8[[#This Row],[DESCRIPCION DE TRABAJO]])),""))</f>
        <v>Extension</v>
      </c>
      <c r="P1794" s="633" t="str">
        <f>IFERROR(LEFT(O1794, FIND(",", O1794)-1), O1794)</f>
        <v>Extension</v>
      </c>
      <c r="Q1794" s="633" t="str">
        <f>IFERROR(IF(ISERROR(FIND(",", O1794, FIND(",", O1794)+1)), RIGHT(O1794, LEN(O1794)-FIND(",", O1794)-1), MID(O1794, FIND(",", O1794)+2, FIND(",", O1794, FIND(",", O1794)+1)-FIND(",", O1794)-2)), "")</f>
        <v/>
      </c>
      <c r="R1794" s="633" t="str">
        <f>IFERROR(RIGHT(O1794, LEN(O1794)-FIND(",", O1794, FIND(",", O1794)+1)-1), "")</f>
        <v/>
      </c>
      <c r="S1794" s="35" t="str" cm="1">
        <f t="array" ref="S1794">_xlfn.TEXTJOIN(", ",TRUE,_xlfn._xlws.FILTER(Tabla29[[#All],[PARTE]],ISNUMBER(SEARCH(Tabla29[[#All],[PCLAVE3]],Tabla8[[#This Row],[DESCRIPCION DE TRABAJO]])),""))</f>
        <v/>
      </c>
      <c r="T1794" s="88" t="str">
        <f>IF(AND(Tabla8[[#This Row],[PIEZA]]="",Tabla8[[#This Row],[PARTE]]=""),"VACIO","OK")</f>
        <v>OK</v>
      </c>
      <c r="U1794" s="633" t="str">
        <f>+CONCATENATE(WEEKNUM(Tabla8[[#This Row],[FECHA]]),"-",YEAR(Tabla8[[#This Row],[FECHA]]))</f>
        <v>25-2026</v>
      </c>
    </row>
    <row r="1795" spans="1:21" ht="15" customHeight="1">
      <c r="A1795" s="22">
        <v>46189</v>
      </c>
      <c r="B1795" s="16" t="s">
        <v>131</v>
      </c>
      <c r="C1795" s="16" t="s">
        <v>23</v>
      </c>
      <c r="D1795" s="381">
        <v>0.61111111111111116</v>
      </c>
      <c r="E1795" s="381">
        <v>0.625</v>
      </c>
      <c r="F1795" s="632">
        <f>+MOD(Tabla8[[#This Row],[HR. FIN]]-Tabla8[[#This Row],[HR. INICIO]],1)</f>
        <v>1.388888888888884E-2</v>
      </c>
      <c r="G1795" s="16" t="s">
        <v>438</v>
      </c>
      <c r="H1795" s="79" t="str">
        <f>IFERROR(VLOOKUP(G1795,DATOS!$M$2:$N$219,2,FALSE),"")</f>
        <v>Maquinaria</v>
      </c>
      <c r="I1795" s="115" t="s">
        <v>390</v>
      </c>
      <c r="J1795" s="115" t="s">
        <v>157</v>
      </c>
      <c r="K1795" s="115"/>
      <c r="L1795" s="35" t="s">
        <v>3197</v>
      </c>
      <c r="M1795" s="35" t="s">
        <v>121</v>
      </c>
      <c r="N1795" s="35" t="str" cm="1">
        <f t="array" ref="N1795">IFERROR(IF(Tabla8[[#This Row],[P/NP]]="NO PROGRAMADA","",_xlfn.TEXTJOIN(", ",TRUE,_xlfn._xlws.FILTER(Tabla4[[#All],[PIEZA]],ISNUMBER(SEARCH(Tabla4[[#All],[PCLAVE]],Tabla8[[#This Row],[DESCRIPCION DE TRABAJO]])),""))),"")</f>
        <v>Freno</v>
      </c>
      <c r="O1795" s="35" t="str" cm="1">
        <f t="array" ref="O1795">_xlfn.TEXTJOIN(", ",TRUE,_xlfn._xlws.FILTER(Tabla28[[#All],[PARTE]],ISNUMBER(SEARCH(Tabla28[[#All],[PCLAVE2]],Tabla8[[#This Row],[DESCRIPCION DE TRABAJO]])),""))</f>
        <v/>
      </c>
      <c r="P1795" s="633" t="str">
        <f>IFERROR(LEFT(O1795, FIND(",", O1795)-1), O1795)</f>
        <v/>
      </c>
      <c r="Q1795" s="633" t="str">
        <f>IFERROR(IF(ISERROR(FIND(",", O1795, FIND(",", O1795)+1)), RIGHT(O1795, LEN(O1795)-FIND(",", O1795)-1), MID(O1795, FIND(",", O1795)+2, FIND(",", O1795, FIND(",", O1795)+1)-FIND(",", O1795)-2)), "")</f>
        <v/>
      </c>
      <c r="R1795" s="633" t="str">
        <f>IFERROR(RIGHT(O1795, LEN(O1795)-FIND(",", O1795, FIND(",", O1795)+1)-1), "")</f>
        <v/>
      </c>
      <c r="S1795" s="35" t="str" cm="1">
        <f t="array" ref="S1795">_xlfn.TEXTJOIN(", ",TRUE,_xlfn._xlws.FILTER(Tabla29[[#All],[PARTE]],ISNUMBER(SEARCH(Tabla29[[#All],[PCLAVE3]],Tabla8[[#This Row],[DESCRIPCION DE TRABAJO]])),""))</f>
        <v>Calibracion</v>
      </c>
      <c r="T1795" s="88" t="str">
        <f>IF(AND(Tabla8[[#This Row],[PIEZA]]="",Tabla8[[#This Row],[PARTE]]=""),"VACIO","OK")</f>
        <v>OK</v>
      </c>
      <c r="U1795" s="633" t="str">
        <f>+CONCATENATE(WEEKNUM(Tabla8[[#This Row],[FECHA]]),"-",YEAR(Tabla8[[#This Row],[FECHA]]))</f>
        <v>25-2026</v>
      </c>
    </row>
    <row r="1796" spans="1:21" ht="15" customHeight="1">
      <c r="A1796" s="22">
        <v>46189</v>
      </c>
      <c r="B1796" s="16" t="s">
        <v>191</v>
      </c>
      <c r="C1796" s="16" t="s">
        <v>39</v>
      </c>
      <c r="D1796" s="381">
        <v>0.9243055555555556</v>
      </c>
      <c r="E1796" s="381">
        <v>0.93541666666666667</v>
      </c>
      <c r="F1796" s="632">
        <f>+MOD(Tabla8[[#This Row],[HR. FIN]]-Tabla8[[#This Row],[HR. INICIO]],1)</f>
        <v>1.1111111111111072E-2</v>
      </c>
      <c r="G1796" s="16" t="s">
        <v>31</v>
      </c>
      <c r="H1796" s="79" t="str">
        <f>IFERROR(VLOOKUP(G1796,DATOS!$M$2:$N$219,2,FALSE),"")</f>
        <v>Maquinaria</v>
      </c>
      <c r="I1796" s="115" t="s">
        <v>32</v>
      </c>
      <c r="J1796" s="115" t="s">
        <v>157</v>
      </c>
      <c r="K1796" s="115"/>
      <c r="L1796" s="35" t="s">
        <v>3198</v>
      </c>
      <c r="M1796" s="35" t="s">
        <v>121</v>
      </c>
      <c r="N1796" s="35" t="str" cm="1">
        <f t="array" ref="N1796">IFERROR(IF(Tabla8[[#This Row],[P/NP]]="NO PROGRAMADA","",_xlfn.TEXTJOIN(", ",TRUE,_xlfn._xlws.FILTER(Tabla4[[#All],[PIEZA]],ISNUMBER(SEARCH(Tabla4[[#All],[PCLAVE]],Tabla8[[#This Row],[DESCRIPCION DE TRABAJO]])),""))),"")</f>
        <v/>
      </c>
      <c r="O1796" s="35" t="str" cm="1">
        <f t="array" ref="O1796">_xlfn.TEXTJOIN(", ",TRUE,_xlfn._xlws.FILTER(Tabla28[[#All],[PARTE]],ISNUMBER(SEARCH(Tabla28[[#All],[PCLAVE2]],Tabla8[[#This Row],[DESCRIPCION DE TRABAJO]])),""))</f>
        <v/>
      </c>
      <c r="P1796" s="633" t="str">
        <f>IFERROR(LEFT(O1796, FIND(",", O1796)-1), O1796)</f>
        <v/>
      </c>
      <c r="Q1796" s="633" t="str">
        <f>IFERROR(IF(ISERROR(FIND(",", O1796, FIND(",", O1796)+1)), RIGHT(O1796, LEN(O1796)-FIND(",", O1796)-1), MID(O1796, FIND(",", O1796)+2, FIND(",", O1796, FIND(",", O1796)+1)-FIND(",", O1796)-2)), "")</f>
        <v/>
      </c>
      <c r="R1796" s="633" t="str">
        <f>IFERROR(RIGHT(O1796, LEN(O1796)-FIND(",", O1796, FIND(",", O1796)+1)-1), "")</f>
        <v/>
      </c>
      <c r="S1796" s="35" t="str" cm="1">
        <f t="array" ref="S1796">_xlfn.TEXTJOIN(", ",TRUE,_xlfn._xlws.FILTER(Tabla29[[#All],[PARTE]],ISNUMBER(SEARCH(Tabla29[[#All],[PCLAVE3]],Tabla8[[#This Row],[DESCRIPCION DE TRABAJO]])),""))</f>
        <v/>
      </c>
      <c r="T1796" s="88" t="str">
        <f>IF(AND(Tabla8[[#This Row],[PIEZA]]="",Tabla8[[#This Row],[PARTE]]=""),"VACIO","OK")</f>
        <v>VACIO</v>
      </c>
      <c r="U1796" s="633" t="str">
        <f>+CONCATENATE(WEEKNUM(Tabla8[[#This Row],[FECHA]]),"-",YEAR(Tabla8[[#This Row],[FECHA]]))</f>
        <v>25-2026</v>
      </c>
    </row>
    <row r="1797" spans="1:21" ht="15" customHeight="1">
      <c r="A1797" s="22">
        <v>46189</v>
      </c>
      <c r="B1797" s="16" t="s">
        <v>131</v>
      </c>
      <c r="C1797" s="16" t="s">
        <v>23</v>
      </c>
      <c r="D1797" s="381">
        <v>0.72916666666666663</v>
      </c>
      <c r="E1797" s="381">
        <v>0.73958333333333337</v>
      </c>
      <c r="F1797" s="632">
        <f>+MOD(Tabla8[[#This Row],[HR. FIN]]-Tabla8[[#This Row],[HR. INICIO]],1)</f>
        <v>1.0416666666666741E-2</v>
      </c>
      <c r="G1797" s="16" t="s">
        <v>256</v>
      </c>
      <c r="H1797" s="79" t="str">
        <f>IFERROR(VLOOKUP(G1797,DATOS!$M$2:$N$219,2,FALSE),"")</f>
        <v>Maquinaria</v>
      </c>
      <c r="I1797" s="115" t="s">
        <v>54</v>
      </c>
      <c r="J1797" s="115" t="s">
        <v>157</v>
      </c>
      <c r="K1797" s="115"/>
      <c r="L1797" s="35" t="s">
        <v>225</v>
      </c>
      <c r="M1797" s="35" t="s">
        <v>121</v>
      </c>
      <c r="N1797" s="35" t="str" cm="1">
        <f t="array" ref="N1797">IFERROR(IF(Tabla8[[#This Row],[P/NP]]="NO PROGRAMADA","",_xlfn.TEXTJOIN(", ",TRUE,_xlfn._xlws.FILTER(Tabla4[[#All],[PIEZA]],ISNUMBER(SEARCH(Tabla4[[#All],[PCLAVE]],Tabla8[[#This Row],[DESCRIPCION DE TRABAJO]])),""))),"")</f>
        <v/>
      </c>
      <c r="O1797" s="35" t="str" cm="1">
        <f t="array" ref="O1797">_xlfn.TEXTJOIN(", ",TRUE,_xlfn._xlws.FILTER(Tabla28[[#All],[PARTE]],ISNUMBER(SEARCH(Tabla28[[#All],[PCLAVE2]],Tabla8[[#This Row],[DESCRIPCION DE TRABAJO]])),""))</f>
        <v/>
      </c>
      <c r="P1797" s="633" t="str">
        <f>IFERROR(LEFT(O1797, FIND(",", O1797)-1), O1797)</f>
        <v/>
      </c>
      <c r="Q1797" s="633" t="str">
        <f>IFERROR(IF(ISERROR(FIND(",", O1797, FIND(",", O1797)+1)), RIGHT(O1797, LEN(O1797)-FIND(",", O1797)-1), MID(O1797, FIND(",", O1797)+2, FIND(",", O1797, FIND(",", O1797)+1)-FIND(",", O1797)-2)), "")</f>
        <v/>
      </c>
      <c r="R1797" s="633" t="str">
        <f>IFERROR(RIGHT(O1797, LEN(O1797)-FIND(",", O1797, FIND(",", O1797)+1)-1), "")</f>
        <v/>
      </c>
      <c r="S1797" s="35" t="str" cm="1">
        <f t="array" ref="S1797">_xlfn.TEXTJOIN(", ",TRUE,_xlfn._xlws.FILTER(Tabla29[[#All],[PARTE]],ISNUMBER(SEARCH(Tabla29[[#All],[PCLAVE3]],Tabla8[[#This Row],[DESCRIPCION DE TRABAJO]])),""))</f>
        <v/>
      </c>
      <c r="T1797" s="88" t="str">
        <f>IF(AND(Tabla8[[#This Row],[PIEZA]]="",Tabla8[[#This Row],[PARTE]]=""),"VACIO","OK")</f>
        <v>VACIO</v>
      </c>
      <c r="U1797" s="633" t="str">
        <f>+CONCATENATE(WEEKNUM(Tabla8[[#This Row],[FECHA]]),"-",YEAR(Tabla8[[#This Row],[FECHA]]))</f>
        <v>25-2026</v>
      </c>
    </row>
    <row r="1798" spans="1:21" ht="15" customHeight="1">
      <c r="A1798" s="22">
        <v>46189</v>
      </c>
      <c r="B1798" s="16" t="s">
        <v>111</v>
      </c>
      <c r="C1798" s="16" t="s">
        <v>36</v>
      </c>
      <c r="D1798" s="381">
        <v>0.50347222222222221</v>
      </c>
      <c r="E1798" s="381">
        <v>0.51388888888888884</v>
      </c>
      <c r="F1798" s="632">
        <f>+MOD(Tabla8[[#This Row],[HR. FIN]]-Tabla8[[#This Row],[HR. INICIO]],1)</f>
        <v>1.041666666666663E-2</v>
      </c>
      <c r="G1798" s="16" t="s">
        <v>256</v>
      </c>
      <c r="H1798" s="79" t="str">
        <f>IFERROR(VLOOKUP(G1798,DATOS!$M$2:$N$219,2,FALSE),"")</f>
        <v>Maquinaria</v>
      </c>
      <c r="I1798" s="115" t="s">
        <v>54</v>
      </c>
      <c r="J1798" s="115" t="s">
        <v>157</v>
      </c>
      <c r="K1798" s="115"/>
      <c r="L1798" s="35" t="s">
        <v>3199</v>
      </c>
      <c r="M1798" s="35" t="s">
        <v>121</v>
      </c>
      <c r="N1798" s="35" t="str" cm="1">
        <f t="array" ref="N1798">IFERROR(IF(Tabla8[[#This Row],[P/NP]]="NO PROGRAMADA","",_xlfn.TEXTJOIN(", ",TRUE,_xlfn._xlws.FILTER(Tabla4[[#All],[PIEZA]],ISNUMBER(SEARCH(Tabla4[[#All],[PCLAVE]],Tabla8[[#This Row],[DESCRIPCION DE TRABAJO]])),""))),"")</f>
        <v xml:space="preserve">Bomba </v>
      </c>
      <c r="O1798" s="35" t="str" cm="1">
        <f t="array" ref="O1798">_xlfn.TEXTJOIN(", ",TRUE,_xlfn._xlws.FILTER(Tabla28[[#All],[PARTE]],ISNUMBER(SEARCH(Tabla28[[#All],[PCLAVE2]],Tabla8[[#This Row],[DESCRIPCION DE TRABAJO]])),""))</f>
        <v/>
      </c>
      <c r="P1798" s="633" t="str">
        <f>IFERROR(LEFT(O1798, FIND(",", O1798)-1), O1798)</f>
        <v/>
      </c>
      <c r="Q1798" s="633" t="str">
        <f>IFERROR(IF(ISERROR(FIND(",", O1798, FIND(",", O1798)+1)), RIGHT(O1798, LEN(O1798)-FIND(",", O1798)-1), MID(O1798, FIND(",", O1798)+2, FIND(",", O1798, FIND(",", O1798)+1)-FIND(",", O1798)-2)), "")</f>
        <v/>
      </c>
      <c r="R1798" s="633" t="str">
        <f>IFERROR(RIGHT(O1798, LEN(O1798)-FIND(",", O1798, FIND(",", O1798)+1)-1), "")</f>
        <v/>
      </c>
      <c r="S1798" s="35" t="str" cm="1">
        <f t="array" ref="S1798">_xlfn.TEXTJOIN(", ",TRUE,_xlfn._xlws.FILTER(Tabla29[[#All],[PARTE]],ISNUMBER(SEARCH(Tabla29[[#All],[PCLAVE3]],Tabla8[[#This Row],[DESCRIPCION DE TRABAJO]])),""))</f>
        <v>Carga/descarga</v>
      </c>
      <c r="T1798" s="88" t="str">
        <f>IF(AND(Tabla8[[#This Row],[PIEZA]]="",Tabla8[[#This Row],[PARTE]]=""),"VACIO","OK")</f>
        <v>OK</v>
      </c>
      <c r="U1798" s="633" t="str">
        <f>+CONCATENATE(WEEKNUM(Tabla8[[#This Row],[FECHA]]),"-",YEAR(Tabla8[[#This Row],[FECHA]]))</f>
        <v>25-2026</v>
      </c>
    </row>
    <row r="1799" spans="1:21" ht="15" customHeight="1">
      <c r="A1799" s="22">
        <v>46189</v>
      </c>
      <c r="B1799" s="16" t="s">
        <v>191</v>
      </c>
      <c r="C1799" s="16" t="s">
        <v>39</v>
      </c>
      <c r="D1799" s="381">
        <v>0.88680555555555551</v>
      </c>
      <c r="E1799" s="381">
        <v>0.89652777777777781</v>
      </c>
      <c r="F1799" s="632">
        <f>+MOD(Tabla8[[#This Row],[HR. FIN]]-Tabla8[[#This Row],[HR. INICIO]],1)</f>
        <v>9.7222222222222987E-3</v>
      </c>
      <c r="G1799" s="16" t="s">
        <v>215</v>
      </c>
      <c r="H1799" s="79" t="str">
        <f>IFERROR(VLOOKUP(G1799,DATOS!$M$2:$N$219,2,FALSE),"")</f>
        <v>Equipos auxiliares</v>
      </c>
      <c r="I1799" s="115" t="s">
        <v>54</v>
      </c>
      <c r="J1799" s="115" t="s">
        <v>157</v>
      </c>
      <c r="K1799" s="115"/>
      <c r="L1799" s="35" t="s">
        <v>248</v>
      </c>
      <c r="M1799" s="35" t="s">
        <v>121</v>
      </c>
      <c r="N1799" s="35" t="str" cm="1">
        <f t="array" ref="N1799">IFERROR(IF(Tabla8[[#This Row],[P/NP]]="NO PROGRAMADA","",_xlfn.TEXTJOIN(", ",TRUE,_xlfn._xlws.FILTER(Tabla4[[#All],[PIEZA]],ISNUMBER(SEARCH(Tabla4[[#All],[PCLAVE]],Tabla8[[#This Row],[DESCRIPCION DE TRABAJO]])),""))),"")</f>
        <v/>
      </c>
      <c r="O1799" s="35" t="str" cm="1">
        <f t="array" ref="O1799">_xlfn.TEXTJOIN(", ",TRUE,_xlfn._xlws.FILTER(Tabla28[[#All],[PARTE]],ISNUMBER(SEARCH(Tabla28[[#All],[PCLAVE2]],Tabla8[[#This Row],[DESCRIPCION DE TRABAJO]])),""))</f>
        <v/>
      </c>
      <c r="P1799" s="633" t="str">
        <f>IFERROR(LEFT(O1799, FIND(",", O1799)-1), O1799)</f>
        <v/>
      </c>
      <c r="Q1799" s="633" t="str">
        <f>IFERROR(IF(ISERROR(FIND(",", O1799, FIND(",", O1799)+1)), RIGHT(O1799, LEN(O1799)-FIND(",", O1799)-1), MID(O1799, FIND(",", O1799)+2, FIND(",", O1799, FIND(",", O1799)+1)-FIND(",", O1799)-2)), "")</f>
        <v/>
      </c>
      <c r="R1799" s="633" t="str">
        <f>IFERROR(RIGHT(O1799, LEN(O1799)-FIND(",", O1799, FIND(",", O1799)+1)-1), "")</f>
        <v/>
      </c>
      <c r="S1799" s="35" t="str" cm="1">
        <f t="array" ref="S1799">_xlfn.TEXTJOIN(", ",TRUE,_xlfn._xlws.FILTER(Tabla29[[#All],[PARTE]],ISNUMBER(SEARCH(Tabla29[[#All],[PCLAVE3]],Tabla8[[#This Row],[DESCRIPCION DE TRABAJO]])),""))</f>
        <v/>
      </c>
      <c r="T1799" s="88" t="str">
        <f>IF(AND(Tabla8[[#This Row],[PIEZA]]="",Tabla8[[#This Row],[PARTE]]=""),"VACIO","OK")</f>
        <v>VACIO</v>
      </c>
      <c r="U1799" s="633" t="str">
        <f>+CONCATENATE(WEEKNUM(Tabla8[[#This Row],[FECHA]]),"-",YEAR(Tabla8[[#This Row],[FECHA]]))</f>
        <v>25-2026</v>
      </c>
    </row>
    <row r="1800" spans="1:21" ht="15" customHeight="1">
      <c r="A1800" s="22">
        <v>46189</v>
      </c>
      <c r="B1800" s="16" t="s">
        <v>111</v>
      </c>
      <c r="C1800" s="16" t="s">
        <v>36</v>
      </c>
      <c r="D1800" s="381">
        <v>0.38750000000000001</v>
      </c>
      <c r="E1800" s="381">
        <v>0.39583333333333331</v>
      </c>
      <c r="F1800" s="632">
        <f>+MOD(Tabla8[[#This Row],[HR. FIN]]-Tabla8[[#This Row],[HR. INICIO]],1)</f>
        <v>8.3333333333333037E-3</v>
      </c>
      <c r="G1800" s="16" t="s">
        <v>81</v>
      </c>
      <c r="H1800" s="79" t="str">
        <f>IFERROR(VLOOKUP(G1800,DATOS!$M$2:$N$219,2,FALSE),"")</f>
        <v>Maquinaria</v>
      </c>
      <c r="I1800" s="115" t="s">
        <v>57</v>
      </c>
      <c r="J1800" s="115" t="s">
        <v>92</v>
      </c>
      <c r="K1800" s="115" t="s">
        <v>93</v>
      </c>
      <c r="L1800" s="35" t="s">
        <v>3200</v>
      </c>
      <c r="M1800" s="35" t="s">
        <v>3201</v>
      </c>
      <c r="N1800" s="35" t="str" cm="1">
        <f t="array" ref="N1800">IFERROR(IF(Tabla8[[#This Row],[P/NP]]="NO PROGRAMADA","",_xlfn.TEXTJOIN(", ",TRUE,_xlfn._xlws.FILTER(Tabla4[[#All],[PIEZA]],ISNUMBER(SEARCH(Tabla4[[#All],[PCLAVE]],Tabla8[[#This Row],[DESCRIPCION DE TRABAJO]])),""))),"")</f>
        <v/>
      </c>
      <c r="O1800" s="35" t="str" cm="1">
        <f t="array" ref="O1800">_xlfn.TEXTJOIN(", ",TRUE,_xlfn._xlws.FILTER(Tabla28[[#All],[PARTE]],ISNUMBER(SEARCH(Tabla28[[#All],[PCLAVE2]],Tabla8[[#This Row],[DESCRIPCION DE TRABAJO]])),""))</f>
        <v/>
      </c>
      <c r="P1800" s="633" t="str">
        <f>IFERROR(LEFT(O1800, FIND(",", O1800)-1), O1800)</f>
        <v/>
      </c>
      <c r="Q1800" s="633" t="str">
        <f>IFERROR(IF(ISERROR(FIND(",", O1800, FIND(",", O1800)+1)), RIGHT(O1800, LEN(O1800)-FIND(",", O1800)-1), MID(O1800, FIND(",", O1800)+2, FIND(",", O1800, FIND(",", O1800)+1)-FIND(",", O1800)-2)), "")</f>
        <v/>
      </c>
      <c r="R1800" s="633" t="str">
        <f>IFERROR(RIGHT(O1800, LEN(O1800)-FIND(",", O1800, FIND(",", O1800)+1)-1), "")</f>
        <v/>
      </c>
      <c r="S1800" s="35" t="str" cm="1">
        <f t="array" ref="S1800">_xlfn.TEXTJOIN(", ",TRUE,_xlfn._xlws.FILTER(Tabla29[[#All],[PARTE]],ISNUMBER(SEARCH(Tabla29[[#All],[PCLAVE3]],Tabla8[[#This Row],[DESCRIPCION DE TRABAJO]])),""))</f>
        <v>Laminado, No Corta</v>
      </c>
      <c r="T1800" s="88" t="str">
        <f>IF(AND(Tabla8[[#This Row],[PIEZA]]="",Tabla8[[#This Row],[PARTE]]=""),"VACIO","OK")</f>
        <v>VACIO</v>
      </c>
      <c r="U1800" s="633" t="str">
        <f>+CONCATENATE(WEEKNUM(Tabla8[[#This Row],[FECHA]]),"-",YEAR(Tabla8[[#This Row],[FECHA]]))</f>
        <v>25-2026</v>
      </c>
    </row>
    <row r="1801" spans="1:21" ht="15" customHeight="1">
      <c r="A1801" s="22">
        <v>46189</v>
      </c>
      <c r="B1801" s="16" t="s">
        <v>131</v>
      </c>
      <c r="C1801" s="16" t="s">
        <v>23</v>
      </c>
      <c r="D1801" s="381">
        <v>0.70833333333333337</v>
      </c>
      <c r="E1801" s="381">
        <v>0.71666666666666667</v>
      </c>
      <c r="F1801" s="632">
        <f>+MOD(Tabla8[[#This Row],[HR. FIN]]-Tabla8[[#This Row],[HR. INICIO]],1)</f>
        <v>8.3333333333333037E-3</v>
      </c>
      <c r="G1801" s="16" t="s">
        <v>31</v>
      </c>
      <c r="H1801" s="79" t="str">
        <f>IFERROR(VLOOKUP(G1801,DATOS!$M$2:$N$219,2,FALSE),"")</f>
        <v>Maquinaria</v>
      </c>
      <c r="I1801" s="115" t="s">
        <v>57</v>
      </c>
      <c r="J1801" s="115" t="s">
        <v>92</v>
      </c>
      <c r="K1801" s="115" t="s">
        <v>148</v>
      </c>
      <c r="L1801" s="35" t="s">
        <v>3202</v>
      </c>
      <c r="M1801" s="35" t="s">
        <v>3203</v>
      </c>
      <c r="N1801" s="35" t="str" cm="1">
        <f t="array" ref="N1801">IFERROR(IF(Tabla8[[#This Row],[P/NP]]="NO PROGRAMADA","",_xlfn.TEXTJOIN(", ",TRUE,_xlfn._xlws.FILTER(Tabla4[[#All],[PIEZA]],ISNUMBER(SEARCH(Tabla4[[#All],[PCLAVE]],Tabla8[[#This Row],[DESCRIPCION DE TRABAJO]])),""))),"")</f>
        <v/>
      </c>
      <c r="O1801" s="35" t="str" cm="1">
        <f t="array" ref="O1801">_xlfn.TEXTJOIN(", ",TRUE,_xlfn._xlws.FILTER(Tabla28[[#All],[PARTE]],ISNUMBER(SEARCH(Tabla28[[#All],[PCLAVE2]],Tabla8[[#This Row],[DESCRIPCION DE TRABAJO]])),""))</f>
        <v/>
      </c>
      <c r="P1801" s="633" t="str">
        <f>IFERROR(LEFT(O1801, FIND(",", O1801)-1), O1801)</f>
        <v/>
      </c>
      <c r="Q1801" s="633" t="str">
        <f>IFERROR(IF(ISERROR(FIND(",", O1801, FIND(",", O1801)+1)), RIGHT(O1801, LEN(O1801)-FIND(",", O1801)-1), MID(O1801, FIND(",", O1801)+2, FIND(",", O1801, FIND(",", O1801)+1)-FIND(",", O1801)-2)), "")</f>
        <v/>
      </c>
      <c r="R1801" s="633" t="str">
        <f>IFERROR(RIGHT(O1801, LEN(O1801)-FIND(",", O1801, FIND(",", O1801)+1)-1), "")</f>
        <v/>
      </c>
      <c r="S1801" s="35" t="str" cm="1">
        <f t="array" ref="S1801">_xlfn.TEXTJOIN(", ",TRUE,_xlfn._xlws.FILTER(Tabla29[[#All],[PARTE]],ISNUMBER(SEARCH(Tabla29[[#All],[PCLAVE3]],Tabla8[[#This Row],[DESCRIPCION DE TRABAJO]])),""))</f>
        <v>Laminado, No Sella</v>
      </c>
      <c r="T1801" s="88" t="str">
        <f>IF(AND(Tabla8[[#This Row],[PIEZA]]="",Tabla8[[#This Row],[PARTE]]=""),"VACIO","OK")</f>
        <v>VACIO</v>
      </c>
      <c r="U1801" s="633" t="str">
        <f>+CONCATENATE(WEEKNUM(Tabla8[[#This Row],[FECHA]]),"-",YEAR(Tabla8[[#This Row],[FECHA]]))</f>
        <v>25-2026</v>
      </c>
    </row>
    <row r="1802" spans="1:21" ht="15" customHeight="1">
      <c r="A1802" s="22">
        <v>46190</v>
      </c>
      <c r="B1802" s="16" t="s">
        <v>88</v>
      </c>
      <c r="C1802" s="16" t="s">
        <v>23</v>
      </c>
      <c r="D1802" s="381">
        <v>0.625</v>
      </c>
      <c r="E1802" s="381">
        <v>0.6875</v>
      </c>
      <c r="F1802" s="632">
        <f>+MOD(Tabla8[[#This Row],[HR. FIN]]-Tabla8[[#This Row],[HR. INICIO]],1)</f>
        <v>6.25E-2</v>
      </c>
      <c r="G1802" s="16" t="s">
        <v>182</v>
      </c>
      <c r="H1802" s="79" t="str">
        <f>IFERROR(VLOOKUP(G1802,DATOS!$M$2:$N$219,2,FALSE),"")</f>
        <v>Maquinaria</v>
      </c>
      <c r="I1802" s="115" t="s">
        <v>32</v>
      </c>
      <c r="J1802" s="115" t="s">
        <v>157</v>
      </c>
      <c r="K1802" s="115"/>
      <c r="L1802" s="35" t="s">
        <v>3204</v>
      </c>
      <c r="M1802" s="35" t="s">
        <v>3205</v>
      </c>
      <c r="N1802" s="35" t="str" cm="1">
        <f t="array" ref="N1802">IFERROR(IF(Tabla8[[#This Row],[P/NP]]="NO PROGRAMADA","",_xlfn.TEXTJOIN(", ",TRUE,_xlfn._xlws.FILTER(Tabla4[[#All],[PIEZA]],ISNUMBER(SEARCH(Tabla4[[#All],[PCLAVE]],Tabla8[[#This Row],[DESCRIPCION DE TRABAJO]])),""))),"")</f>
        <v/>
      </c>
      <c r="O1802" s="35" t="str" cm="1">
        <f t="array" ref="O1802">_xlfn.TEXTJOIN(", ",TRUE,_xlfn._xlws.FILTER(Tabla28[[#All],[PARTE]],ISNUMBER(SEARCH(Tabla28[[#All],[PCLAVE2]],Tabla8[[#This Row],[DESCRIPCION DE TRABAJO]])),""))</f>
        <v/>
      </c>
      <c r="P1802" s="633" t="str">
        <f>IFERROR(LEFT(O1802, FIND(",", O1802)-1), O1802)</f>
        <v/>
      </c>
      <c r="Q1802" s="633" t="str">
        <f>IFERROR(IF(ISERROR(FIND(",", O1802, FIND(",", O1802)+1)), RIGHT(O1802, LEN(O1802)-FIND(",", O1802)-1), MID(O1802, FIND(",", O1802)+2, FIND(",", O1802, FIND(",", O1802)+1)-FIND(",", O1802)-2)), "")</f>
        <v/>
      </c>
      <c r="R1802" s="633" t="str">
        <f>IFERROR(RIGHT(O1802, LEN(O1802)-FIND(",", O1802, FIND(",", O1802)+1)-1), "")</f>
        <v/>
      </c>
      <c r="S1802" s="35" t="str" cm="1">
        <f t="array" ref="S1802">_xlfn.TEXTJOIN(", ",TRUE,_xlfn._xlws.FILTER(Tabla29[[#All],[PARTE]],ISNUMBER(SEARCH(Tabla29[[#All],[PCLAVE3]],Tabla8[[#This Row],[DESCRIPCION DE TRABAJO]])),""))</f>
        <v>Cambio De Formato</v>
      </c>
      <c r="T1802" s="88" t="str">
        <f>IF(AND(Tabla8[[#This Row],[PIEZA]]="",Tabla8[[#This Row],[PARTE]]=""),"VACIO","OK")</f>
        <v>VACIO</v>
      </c>
      <c r="U1802" s="633" t="str">
        <f>+CONCATENATE(WEEKNUM(Tabla8[[#This Row],[FECHA]]),"-",YEAR(Tabla8[[#This Row],[FECHA]]))</f>
        <v>25-2026</v>
      </c>
    </row>
    <row r="1803" spans="1:21" ht="15" customHeight="1">
      <c r="A1803" s="22">
        <v>46190</v>
      </c>
      <c r="B1803" s="16" t="s">
        <v>179</v>
      </c>
      <c r="C1803" s="16" t="s">
        <v>23</v>
      </c>
      <c r="D1803" s="381">
        <v>0.62152777777777779</v>
      </c>
      <c r="E1803" s="381">
        <v>0.67361111111111116</v>
      </c>
      <c r="F1803" s="632">
        <f>+MOD(Tabla8[[#This Row],[HR. FIN]]-Tabla8[[#This Row],[HR. INICIO]],1)</f>
        <v>5.208333333333337E-2</v>
      </c>
      <c r="G1803" s="16" t="s">
        <v>98</v>
      </c>
      <c r="H1803" s="79" t="str">
        <f>IFERROR(VLOOKUP(G1803,DATOS!$M$2:$N$219,2,FALSE),"")</f>
        <v>Maquinaria</v>
      </c>
      <c r="I1803" s="115" t="s">
        <v>32</v>
      </c>
      <c r="J1803" s="115" t="s">
        <v>157</v>
      </c>
      <c r="K1803" s="115"/>
      <c r="L1803" s="35" t="s">
        <v>3206</v>
      </c>
      <c r="M1803" s="35" t="s">
        <v>121</v>
      </c>
      <c r="N1803" s="35" t="str" cm="1">
        <f t="array" ref="N1803">IFERROR(IF(Tabla8[[#This Row],[P/NP]]="NO PROGRAMADA","",_xlfn.TEXTJOIN(", ",TRUE,_xlfn._xlws.FILTER(Tabla4[[#All],[PIEZA]],ISNUMBER(SEARCH(Tabla4[[#All],[PCLAVE]],Tabla8[[#This Row],[DESCRIPCION DE TRABAJO]])),""))),"")</f>
        <v/>
      </c>
      <c r="O1803" s="35" t="str" cm="1">
        <f t="array" ref="O1803">_xlfn.TEXTJOIN(", ",TRUE,_xlfn._xlws.FILTER(Tabla28[[#All],[PARTE]],ISNUMBER(SEARCH(Tabla28[[#All],[PCLAVE2]],Tabla8[[#This Row],[DESCRIPCION DE TRABAJO]])),""))</f>
        <v/>
      </c>
      <c r="P1803" s="633" t="str">
        <f>IFERROR(LEFT(O1803, FIND(",", O1803)-1), O1803)</f>
        <v/>
      </c>
      <c r="Q1803" s="633" t="str">
        <f>IFERROR(IF(ISERROR(FIND(",", O1803, FIND(",", O1803)+1)), RIGHT(O1803, LEN(O1803)-FIND(",", O1803)-1), MID(O1803, FIND(",", O1803)+2, FIND(",", O1803, FIND(",", O1803)+1)-FIND(",", O1803)-2)), "")</f>
        <v/>
      </c>
      <c r="R1803" s="633" t="str">
        <f>IFERROR(RIGHT(O1803, LEN(O1803)-FIND(",", O1803, FIND(",", O1803)+1)-1), "")</f>
        <v/>
      </c>
      <c r="S1803" s="35" t="str" cm="1">
        <f t="array" ref="S1803">_xlfn.TEXTJOIN(", ",TRUE,_xlfn._xlws.FILTER(Tabla29[[#All],[PARTE]],ISNUMBER(SEARCH(Tabla29[[#All],[PCLAVE3]],Tabla8[[#This Row],[DESCRIPCION DE TRABAJO]])),""))</f>
        <v/>
      </c>
      <c r="T1803" s="88" t="str">
        <f>IF(AND(Tabla8[[#This Row],[PIEZA]]="",Tabla8[[#This Row],[PARTE]]=""),"VACIO","OK")</f>
        <v>VACIO</v>
      </c>
      <c r="U1803" s="633" t="str">
        <f>+CONCATENATE(WEEKNUM(Tabla8[[#This Row],[FECHA]]),"-",YEAR(Tabla8[[#This Row],[FECHA]]))</f>
        <v>25-2026</v>
      </c>
    </row>
    <row r="1804" spans="1:21" ht="15" customHeight="1">
      <c r="A1804" s="22">
        <v>46190</v>
      </c>
      <c r="B1804" s="16" t="s">
        <v>111</v>
      </c>
      <c r="C1804" s="16" t="s">
        <v>36</v>
      </c>
      <c r="D1804" s="381">
        <v>0.38541666666666669</v>
      </c>
      <c r="E1804" s="381">
        <v>0.42708333333333331</v>
      </c>
      <c r="F1804" s="632">
        <f>+MOD(Tabla8[[#This Row],[HR. FIN]]-Tabla8[[#This Row],[HR. INICIO]],1)</f>
        <v>4.166666666666663E-2</v>
      </c>
      <c r="G1804" s="16" t="s">
        <v>182</v>
      </c>
      <c r="H1804" s="79" t="str">
        <f>IFERROR(VLOOKUP(G1804,DATOS!$M$2:$N$219,2,FALSE),"")</f>
        <v>Maquinaria</v>
      </c>
      <c r="I1804" s="115" t="s">
        <v>32</v>
      </c>
      <c r="J1804" s="115" t="s">
        <v>157</v>
      </c>
      <c r="K1804" s="115"/>
      <c r="L1804" s="35" t="s">
        <v>3207</v>
      </c>
      <c r="M1804" s="35" t="s">
        <v>121</v>
      </c>
      <c r="N1804" s="35" t="str" cm="1">
        <f t="array" ref="N1804">IFERROR(IF(Tabla8[[#This Row],[P/NP]]="NO PROGRAMADA","",_xlfn.TEXTJOIN(", ",TRUE,_xlfn._xlws.FILTER(Tabla4[[#All],[PIEZA]],ISNUMBER(SEARCH(Tabla4[[#All],[PCLAVE]],Tabla8[[#This Row],[DESCRIPCION DE TRABAJO]])),""))),"")</f>
        <v/>
      </c>
      <c r="O1804" s="35" t="str" cm="1">
        <f t="array" ref="O1804">_xlfn.TEXTJOIN(", ",TRUE,_xlfn._xlws.FILTER(Tabla28[[#All],[PARTE]],ISNUMBER(SEARCH(Tabla28[[#All],[PCLAVE2]],Tabla8[[#This Row],[DESCRIPCION DE TRABAJO]])),""))</f>
        <v/>
      </c>
      <c r="P1804" s="633" t="str">
        <f>IFERROR(LEFT(O1804, FIND(",", O1804)-1), O1804)</f>
        <v/>
      </c>
      <c r="Q1804" s="633" t="str">
        <f>IFERROR(IF(ISERROR(FIND(",", O1804, FIND(",", O1804)+1)), RIGHT(O1804, LEN(O1804)-FIND(",", O1804)-1), MID(O1804, FIND(",", O1804)+2, FIND(",", O1804, FIND(",", O1804)+1)-FIND(",", O1804)-2)), "")</f>
        <v/>
      </c>
      <c r="R1804" s="633" t="str">
        <f>IFERROR(RIGHT(O1804, LEN(O1804)-FIND(",", O1804, FIND(",", O1804)+1)-1), "")</f>
        <v/>
      </c>
      <c r="S1804" s="35" t="str" cm="1">
        <f t="array" ref="S1804">_xlfn.TEXTJOIN(", ",TRUE,_xlfn._xlws.FILTER(Tabla29[[#All],[PARTE]],ISNUMBER(SEARCH(Tabla29[[#All],[PCLAVE3]],Tabla8[[#This Row],[DESCRIPCION DE TRABAJO]])),""))</f>
        <v>Calibracion, Cambio De Formato</v>
      </c>
      <c r="T1804" s="88" t="str">
        <f>IF(AND(Tabla8[[#This Row],[PIEZA]]="",Tabla8[[#This Row],[PARTE]]=""),"VACIO","OK")</f>
        <v>VACIO</v>
      </c>
      <c r="U1804" s="633" t="str">
        <f>+CONCATENATE(WEEKNUM(Tabla8[[#This Row],[FECHA]]),"-",YEAR(Tabla8[[#This Row],[FECHA]]))</f>
        <v>25-2026</v>
      </c>
    </row>
    <row r="1805" spans="1:21" ht="15" customHeight="1">
      <c r="A1805" s="22">
        <v>46190</v>
      </c>
      <c r="B1805" s="16" t="s">
        <v>179</v>
      </c>
      <c r="C1805" s="16" t="s">
        <v>23</v>
      </c>
      <c r="D1805" s="381">
        <v>0.55208333333333337</v>
      </c>
      <c r="E1805" s="381">
        <v>0.59027777777777779</v>
      </c>
      <c r="F1805" s="632">
        <f>+MOD(Tabla8[[#This Row],[HR. FIN]]-Tabla8[[#This Row],[HR. INICIO]],1)</f>
        <v>3.819444444444442E-2</v>
      </c>
      <c r="G1805" s="16" t="s">
        <v>24</v>
      </c>
      <c r="H1805" s="79" t="str">
        <f>IFERROR(VLOOKUP(G1805,DATOS!$M$2:$N$219,2,FALSE),"")</f>
        <v>Maquinaria</v>
      </c>
      <c r="I1805" s="115" t="s">
        <v>32</v>
      </c>
      <c r="J1805" s="115" t="s">
        <v>157</v>
      </c>
      <c r="K1805" s="115"/>
      <c r="L1805" s="35" t="s">
        <v>3208</v>
      </c>
      <c r="M1805" s="35" t="s">
        <v>121</v>
      </c>
      <c r="N1805" s="35" t="str" cm="1">
        <f t="array" ref="N1805">IFERROR(IF(Tabla8[[#This Row],[P/NP]]="NO PROGRAMADA","",_xlfn.TEXTJOIN(", ",TRUE,_xlfn._xlws.FILTER(Tabla4[[#All],[PIEZA]],ISNUMBER(SEARCH(Tabla4[[#All],[PCLAVE]],Tabla8[[#This Row],[DESCRIPCION DE TRABAJO]])),""))),"")</f>
        <v/>
      </c>
      <c r="O1805" s="35" t="str" cm="1">
        <f t="array" ref="O1805">_xlfn.TEXTJOIN(", ",TRUE,_xlfn._xlws.FILTER(Tabla28[[#All],[PARTE]],ISNUMBER(SEARCH(Tabla28[[#All],[PCLAVE2]],Tabla8[[#This Row],[DESCRIPCION DE TRABAJO]])),""))</f>
        <v/>
      </c>
      <c r="P1805" s="633" t="str">
        <f>IFERROR(LEFT(O1805, FIND(",", O1805)-1), O1805)</f>
        <v/>
      </c>
      <c r="Q1805" s="633" t="str">
        <f>IFERROR(IF(ISERROR(FIND(",", O1805, FIND(",", O1805)+1)), RIGHT(O1805, LEN(O1805)-FIND(",", O1805)-1), MID(O1805, FIND(",", O1805)+2, FIND(",", O1805, FIND(",", O1805)+1)-FIND(",", O1805)-2)), "")</f>
        <v/>
      </c>
      <c r="R1805" s="633" t="str">
        <f>IFERROR(RIGHT(O1805, LEN(O1805)-FIND(",", O1805, FIND(",", O1805)+1)-1), "")</f>
        <v/>
      </c>
      <c r="S1805" s="35" t="str" cm="1">
        <f t="array" ref="S1805">_xlfn.TEXTJOIN(", ",TRUE,_xlfn._xlws.FILTER(Tabla29[[#All],[PARTE]],ISNUMBER(SEARCH(Tabla29[[#All],[PCLAVE3]],Tabla8[[#This Row],[DESCRIPCION DE TRABAJO]])),""))</f>
        <v/>
      </c>
      <c r="T1805" s="88" t="str">
        <f>IF(AND(Tabla8[[#This Row],[PIEZA]]="",Tabla8[[#This Row],[PARTE]]=""),"VACIO","OK")</f>
        <v>VACIO</v>
      </c>
      <c r="U1805" s="633" t="str">
        <f>+CONCATENATE(WEEKNUM(Tabla8[[#This Row],[FECHA]]),"-",YEAR(Tabla8[[#This Row],[FECHA]]))</f>
        <v>25-2026</v>
      </c>
    </row>
    <row r="1806" spans="1:21" ht="15" customHeight="1">
      <c r="A1806" s="22">
        <v>46190</v>
      </c>
      <c r="B1806" s="16" t="s">
        <v>88</v>
      </c>
      <c r="C1806" s="16" t="s">
        <v>23</v>
      </c>
      <c r="D1806" s="381">
        <v>0.69791666666666663</v>
      </c>
      <c r="E1806" s="381">
        <v>0.72916666666666663</v>
      </c>
      <c r="F1806" s="632">
        <f>+MOD(Tabla8[[#This Row],[HR. FIN]]-Tabla8[[#This Row],[HR. INICIO]],1)</f>
        <v>3.125E-2</v>
      </c>
      <c r="G1806" s="16" t="s">
        <v>438</v>
      </c>
      <c r="H1806" s="79" t="str">
        <f>IFERROR(VLOOKUP(G1806,DATOS!$M$2:$N$219,2,FALSE),"")</f>
        <v>Maquinaria</v>
      </c>
      <c r="I1806" s="115" t="s">
        <v>1615</v>
      </c>
      <c r="J1806" s="115" t="s">
        <v>157</v>
      </c>
      <c r="K1806" s="115"/>
      <c r="L1806" s="35" t="s">
        <v>3209</v>
      </c>
      <c r="M1806" s="35" t="s">
        <v>3210</v>
      </c>
      <c r="N1806" s="35" t="str" cm="1">
        <f t="array" ref="N1806">IFERROR(IF(Tabla8[[#This Row],[P/NP]]="NO PROGRAMADA","",_xlfn.TEXTJOIN(", ",TRUE,_xlfn._xlws.FILTER(Tabla4[[#All],[PIEZA]],ISNUMBER(SEARCH(Tabla4[[#All],[PCLAVE]],Tabla8[[#This Row],[DESCRIPCION DE TRABAJO]])),""))),"")</f>
        <v>Laminado, Producto</v>
      </c>
      <c r="O1806" s="35" t="str" cm="1">
        <f t="array" ref="O1806">_xlfn.TEXTJOIN(", ",TRUE,_xlfn._xlws.FILTER(Tabla28[[#All],[PARTE]],ISNUMBER(SEARCH(Tabla28[[#All],[PCLAVE2]],Tabla8[[#This Row],[DESCRIPCION DE TRABAJO]])),""))</f>
        <v/>
      </c>
      <c r="P1806" s="633" t="str">
        <f>IFERROR(LEFT(O1806, FIND(",", O1806)-1), O1806)</f>
        <v/>
      </c>
      <c r="Q1806" s="633" t="str">
        <f>IFERROR(IF(ISERROR(FIND(",", O1806, FIND(",", O1806)+1)), RIGHT(O1806, LEN(O1806)-FIND(",", O1806)-1), MID(O1806, FIND(",", O1806)+2, FIND(",", O1806, FIND(",", O1806)+1)-FIND(",", O1806)-2)), "")</f>
        <v/>
      </c>
      <c r="R1806" s="633" t="str">
        <f>IFERROR(RIGHT(O1806, LEN(O1806)-FIND(",", O1806, FIND(",", O1806)+1)-1), "")</f>
        <v/>
      </c>
      <c r="S1806" s="35" t="str" cm="1">
        <f t="array" ref="S1806">_xlfn.TEXTJOIN(", ",TRUE,_xlfn._xlws.FILTER(Tabla29[[#All],[PARTE]],ISNUMBER(SEARCH(Tabla29[[#All],[PCLAVE3]],Tabla8[[#This Row],[DESCRIPCION DE TRABAJO]])),""))</f>
        <v>Laminado</v>
      </c>
      <c r="T1806" s="88" t="str">
        <f>IF(AND(Tabla8[[#This Row],[PIEZA]]="",Tabla8[[#This Row],[PARTE]]=""),"VACIO","OK")</f>
        <v>OK</v>
      </c>
      <c r="U1806" s="633" t="str">
        <f>+CONCATENATE(WEEKNUM(Tabla8[[#This Row],[FECHA]]),"-",YEAR(Tabla8[[#This Row],[FECHA]]))</f>
        <v>25-2026</v>
      </c>
    </row>
    <row r="1807" spans="1:21" ht="15" customHeight="1">
      <c r="A1807" s="22">
        <v>46190</v>
      </c>
      <c r="B1807" s="16" t="s">
        <v>179</v>
      </c>
      <c r="C1807" s="16" t="s">
        <v>23</v>
      </c>
      <c r="D1807" s="381">
        <v>0.76388888888888884</v>
      </c>
      <c r="E1807" s="381">
        <v>0.79513888888888884</v>
      </c>
      <c r="F1807" s="632">
        <f>+MOD(Tabla8[[#This Row],[HR. FIN]]-Tabla8[[#This Row],[HR. INICIO]],1)</f>
        <v>3.125E-2</v>
      </c>
      <c r="G1807" s="16" t="s">
        <v>119</v>
      </c>
      <c r="H1807" s="79" t="str">
        <f>IFERROR(VLOOKUP(G1807,DATOS!$M$2:$N$219,2,FALSE),"")</f>
        <v>Maquinaria</v>
      </c>
      <c r="I1807" s="115" t="s">
        <v>32</v>
      </c>
      <c r="J1807" s="115" t="s">
        <v>157</v>
      </c>
      <c r="K1807" s="115"/>
      <c r="L1807" s="35" t="s">
        <v>3211</v>
      </c>
      <c r="M1807" s="35" t="s">
        <v>121</v>
      </c>
      <c r="N1807" s="35" t="str" cm="1">
        <f t="array" ref="N1807">IFERROR(IF(Tabla8[[#This Row],[P/NP]]="NO PROGRAMADA","",_xlfn.TEXTJOIN(", ",TRUE,_xlfn._xlws.FILTER(Tabla4[[#All],[PIEZA]],ISNUMBER(SEARCH(Tabla4[[#All],[PCLAVE]],Tabla8[[#This Row],[DESCRIPCION DE TRABAJO]])),""))),"")</f>
        <v/>
      </c>
      <c r="O1807" s="35" t="str" cm="1">
        <f t="array" ref="O1807">_xlfn.TEXTJOIN(", ",TRUE,_xlfn._xlws.FILTER(Tabla28[[#All],[PARTE]],ISNUMBER(SEARCH(Tabla28[[#All],[PCLAVE2]],Tabla8[[#This Row],[DESCRIPCION DE TRABAJO]])),""))</f>
        <v/>
      </c>
      <c r="P1807" s="633" t="str">
        <f>IFERROR(LEFT(O1807, FIND(",", O1807)-1), O1807)</f>
        <v/>
      </c>
      <c r="Q1807" s="633" t="str">
        <f>IFERROR(IF(ISERROR(FIND(",", O1807, FIND(",", O1807)+1)), RIGHT(O1807, LEN(O1807)-FIND(",", O1807)-1), MID(O1807, FIND(",", O1807)+2, FIND(",", O1807, FIND(",", O1807)+1)-FIND(",", O1807)-2)), "")</f>
        <v/>
      </c>
      <c r="R1807" s="633" t="str">
        <f>IFERROR(RIGHT(O1807, LEN(O1807)-FIND(",", O1807, FIND(",", O1807)+1)-1), "")</f>
        <v/>
      </c>
      <c r="S1807" s="35" t="str" cm="1">
        <f t="array" ref="S1807">_xlfn.TEXTJOIN(", ",TRUE,_xlfn._xlws.FILTER(Tabla29[[#All],[PARTE]],ISNUMBER(SEARCH(Tabla29[[#All],[PCLAVE3]],Tabla8[[#This Row],[DESCRIPCION DE TRABAJO]])),""))</f>
        <v>Cambio De Formato</v>
      </c>
      <c r="T1807" s="88" t="str">
        <f>IF(AND(Tabla8[[#This Row],[PIEZA]]="",Tabla8[[#This Row],[PARTE]]=""),"VACIO","OK")</f>
        <v>VACIO</v>
      </c>
      <c r="U1807" s="633" t="str">
        <f>+CONCATENATE(WEEKNUM(Tabla8[[#This Row],[FECHA]]),"-",YEAR(Tabla8[[#This Row],[FECHA]]))</f>
        <v>25-2026</v>
      </c>
    </row>
    <row r="1808" spans="1:21" ht="15" customHeight="1">
      <c r="A1808" s="22">
        <v>46190</v>
      </c>
      <c r="B1808" s="16" t="s">
        <v>111</v>
      </c>
      <c r="C1808" s="16" t="s">
        <v>36</v>
      </c>
      <c r="D1808" s="381">
        <v>0.27083333333333331</v>
      </c>
      <c r="E1808" s="381">
        <v>0.2986111111111111</v>
      </c>
      <c r="F1808" s="632">
        <f>+MOD(Tabla8[[#This Row],[HR. FIN]]-Tabla8[[#This Row],[HR. INICIO]],1)</f>
        <v>2.777777777777779E-2</v>
      </c>
      <c r="G1808" s="16" t="s">
        <v>140</v>
      </c>
      <c r="H1808" s="79" t="str">
        <f>IFERROR(VLOOKUP(G1808,DATOS!$M$2:$N$219,2,FALSE),"")</f>
        <v>Maquinaria</v>
      </c>
      <c r="I1808" s="115" t="s">
        <v>61</v>
      </c>
      <c r="J1808" s="115" t="s">
        <v>92</v>
      </c>
      <c r="K1808" s="115" t="s">
        <v>93</v>
      </c>
      <c r="L1808" s="35" t="s">
        <v>3212</v>
      </c>
      <c r="M1808" s="35" t="s">
        <v>3213</v>
      </c>
      <c r="N1808" s="35" t="str" cm="1">
        <f t="array" ref="N1808">IFERROR(IF(Tabla8[[#This Row],[P/NP]]="NO PROGRAMADA","",_xlfn.TEXTJOIN(", ",TRUE,_xlfn._xlws.FILTER(Tabla4[[#All],[PIEZA]],ISNUMBER(SEARCH(Tabla4[[#All],[PCLAVE]],Tabla8[[#This Row],[DESCRIPCION DE TRABAJO]])),""))),"")</f>
        <v/>
      </c>
      <c r="O1808" s="35" t="str" cm="1">
        <f t="array" ref="O1808">_xlfn.TEXTJOIN(", ",TRUE,_xlfn._xlws.FILTER(Tabla28[[#All],[PARTE]],ISNUMBER(SEARCH(Tabla28[[#All],[PCLAVE2]],Tabla8[[#This Row],[DESCRIPCION DE TRABAJO]])),""))</f>
        <v/>
      </c>
      <c r="P1808" s="633" t="str">
        <f>IFERROR(LEFT(O1808, FIND(",", O1808)-1), O1808)</f>
        <v/>
      </c>
      <c r="Q1808" s="633" t="str">
        <f>IFERROR(IF(ISERROR(FIND(",", O1808, FIND(",", O1808)+1)), RIGHT(O1808, LEN(O1808)-FIND(",", O1808)-1), MID(O1808, FIND(",", O1808)+2, FIND(",", O1808, FIND(",", O1808)+1)-FIND(",", O1808)-2)), "")</f>
        <v/>
      </c>
      <c r="R1808" s="633" t="str">
        <f>IFERROR(RIGHT(O1808, LEN(O1808)-FIND(",", O1808, FIND(",", O1808)+1)-1), "")</f>
        <v/>
      </c>
      <c r="S1808" s="35" t="str" cm="1">
        <f t="array" ref="S1808">_xlfn.TEXTJOIN(", ",TRUE,_xlfn._xlws.FILTER(Tabla29[[#All],[PARTE]],ISNUMBER(SEARCH(Tabla29[[#All],[PCLAVE3]],Tabla8[[#This Row],[DESCRIPCION DE TRABAJO]])),""))</f>
        <v/>
      </c>
      <c r="T1808" s="88" t="str">
        <f>IF(AND(Tabla8[[#This Row],[PIEZA]]="",Tabla8[[#This Row],[PARTE]]=""),"VACIO","OK")</f>
        <v>VACIO</v>
      </c>
      <c r="U1808" s="633" t="str">
        <f>+CONCATENATE(WEEKNUM(Tabla8[[#This Row],[FECHA]]),"-",YEAR(Tabla8[[#This Row],[FECHA]]))</f>
        <v>25-2026</v>
      </c>
    </row>
    <row r="1809" spans="1:21" ht="15" customHeight="1">
      <c r="A1809" s="22">
        <v>46190</v>
      </c>
      <c r="B1809" s="16" t="s">
        <v>191</v>
      </c>
      <c r="C1809" s="16" t="s">
        <v>39</v>
      </c>
      <c r="D1809" s="381">
        <v>3.125E-2</v>
      </c>
      <c r="E1809" s="381">
        <v>5.6250000000000001E-2</v>
      </c>
      <c r="F1809" s="632">
        <f>+MOD(Tabla8[[#This Row],[HR. FIN]]-Tabla8[[#This Row],[HR. INICIO]],1)</f>
        <v>2.5000000000000001E-2</v>
      </c>
      <c r="G1809" s="16" t="s">
        <v>119</v>
      </c>
      <c r="H1809" s="79" t="str">
        <f>IFERROR(VLOOKUP(G1809,DATOS!$M$2:$N$219,2,FALSE),"")</f>
        <v>Maquinaria</v>
      </c>
      <c r="I1809" s="115" t="s">
        <v>32</v>
      </c>
      <c r="J1809" s="115" t="s">
        <v>157</v>
      </c>
      <c r="K1809" s="115"/>
      <c r="L1809" s="35" t="s">
        <v>712</v>
      </c>
      <c r="M1809" s="35" t="s">
        <v>121</v>
      </c>
      <c r="N1809" s="35" t="str" cm="1">
        <f t="array" ref="N1809">IFERROR(IF(Tabla8[[#This Row],[P/NP]]="NO PROGRAMADA","",_xlfn.TEXTJOIN(", ",TRUE,_xlfn._xlws.FILTER(Tabla4[[#All],[PIEZA]],ISNUMBER(SEARCH(Tabla4[[#All],[PCLAVE]],Tabla8[[#This Row],[DESCRIPCION DE TRABAJO]])),""))),"")</f>
        <v/>
      </c>
      <c r="O1809" s="35" t="str" cm="1">
        <f t="array" ref="O1809">_xlfn.TEXTJOIN(", ",TRUE,_xlfn._xlws.FILTER(Tabla28[[#All],[PARTE]],ISNUMBER(SEARCH(Tabla28[[#All],[PCLAVE2]],Tabla8[[#This Row],[DESCRIPCION DE TRABAJO]])),""))</f>
        <v>Mds</v>
      </c>
      <c r="P1809" s="633" t="str">
        <f>IFERROR(LEFT(O1809, FIND(",", O1809)-1), O1809)</f>
        <v>Mds</v>
      </c>
      <c r="Q1809" s="633" t="str">
        <f>IFERROR(IF(ISERROR(FIND(",", O1809, FIND(",", O1809)+1)), RIGHT(O1809, LEN(O1809)-FIND(",", O1809)-1), MID(O1809, FIND(",", O1809)+2, FIND(",", O1809, FIND(",", O1809)+1)-FIND(",", O1809)-2)), "")</f>
        <v/>
      </c>
      <c r="R1809" s="633" t="str">
        <f>IFERROR(RIGHT(O1809, LEN(O1809)-FIND(",", O1809, FIND(",", O1809)+1)-1), "")</f>
        <v/>
      </c>
      <c r="S1809" s="35" t="str" cm="1">
        <f t="array" ref="S1809">_xlfn.TEXTJOIN(", ",TRUE,_xlfn._xlws.FILTER(Tabla29[[#All],[PARTE]],ISNUMBER(SEARCH(Tabla29[[#All],[PCLAVE3]],Tabla8[[#This Row],[DESCRIPCION DE TRABAJO]])),""))</f>
        <v>Cambio De Formato</v>
      </c>
      <c r="T1809" s="88" t="str">
        <f>IF(AND(Tabla8[[#This Row],[PIEZA]]="",Tabla8[[#This Row],[PARTE]]=""),"VACIO","OK")</f>
        <v>OK</v>
      </c>
      <c r="U1809" s="633" t="str">
        <f>+CONCATENATE(WEEKNUM(Tabla8[[#This Row],[FECHA]]),"-",YEAR(Tabla8[[#This Row],[FECHA]]))</f>
        <v>25-2026</v>
      </c>
    </row>
    <row r="1810" spans="1:21" ht="15" customHeight="1">
      <c r="A1810" s="22">
        <v>46190</v>
      </c>
      <c r="B1810" s="16" t="s">
        <v>191</v>
      </c>
      <c r="C1810" s="16" t="s">
        <v>39</v>
      </c>
      <c r="D1810" s="381">
        <v>2.0833333333333333E-3</v>
      </c>
      <c r="E1810" s="381">
        <v>2.361111111111111E-2</v>
      </c>
      <c r="F1810" s="632">
        <f>+MOD(Tabla8[[#This Row],[HR. FIN]]-Tabla8[[#This Row],[HR. INICIO]],1)</f>
        <v>2.1527777777777778E-2</v>
      </c>
      <c r="G1810" s="16" t="s">
        <v>119</v>
      </c>
      <c r="H1810" s="79" t="str">
        <f>IFERROR(VLOOKUP(G1810,DATOS!$M$2:$N$219,2,FALSE),"")</f>
        <v>Maquinaria</v>
      </c>
      <c r="I1810" s="115" t="s">
        <v>32</v>
      </c>
      <c r="J1810" s="115" t="s">
        <v>157</v>
      </c>
      <c r="K1810" s="115"/>
      <c r="L1810" s="35" t="s">
        <v>709</v>
      </c>
      <c r="M1810" s="35" t="s">
        <v>121</v>
      </c>
      <c r="N1810" s="35" t="str" cm="1">
        <f t="array" ref="N1810">IFERROR(IF(Tabla8[[#This Row],[P/NP]]="NO PROGRAMADA","",_xlfn.TEXTJOIN(", ",TRUE,_xlfn._xlws.FILTER(Tabla4[[#All],[PIEZA]],ISNUMBER(SEARCH(Tabla4[[#All],[PCLAVE]],Tabla8[[#This Row],[DESCRIPCION DE TRABAJO]])),""))),"")</f>
        <v/>
      </c>
      <c r="O1810" s="35" t="str" cm="1">
        <f t="array" ref="O1810">_xlfn.TEXTJOIN(", ",TRUE,_xlfn._xlws.FILTER(Tabla28[[#All],[PARTE]],ISNUMBER(SEARCH(Tabla28[[#All],[PCLAVE2]],Tabla8[[#This Row],[DESCRIPCION DE TRABAJO]])),""))</f>
        <v>Mds</v>
      </c>
      <c r="P1810" s="633" t="str">
        <f>IFERROR(LEFT(O1810, FIND(",", O1810)-1), O1810)</f>
        <v>Mds</v>
      </c>
      <c r="Q1810" s="633" t="str">
        <f>IFERROR(IF(ISERROR(FIND(",", O1810, FIND(",", O1810)+1)), RIGHT(O1810, LEN(O1810)-FIND(",", O1810)-1), MID(O1810, FIND(",", O1810)+2, FIND(",", O1810, FIND(",", O1810)+1)-FIND(",", O1810)-2)), "")</f>
        <v/>
      </c>
      <c r="R1810" s="633" t="str">
        <f>IFERROR(RIGHT(O1810, LEN(O1810)-FIND(",", O1810, FIND(",", O1810)+1)-1), "")</f>
        <v/>
      </c>
      <c r="S1810" s="35" t="str" cm="1">
        <f t="array" ref="S1810">_xlfn.TEXTJOIN(", ",TRUE,_xlfn._xlws.FILTER(Tabla29[[#All],[PARTE]],ISNUMBER(SEARCH(Tabla29[[#All],[PCLAVE3]],Tabla8[[#This Row],[DESCRIPCION DE TRABAJO]])),""))</f>
        <v>Cambio De Formato</v>
      </c>
      <c r="T1810" s="88" t="str">
        <f>IF(AND(Tabla8[[#This Row],[PIEZA]]="",Tabla8[[#This Row],[PARTE]]=""),"VACIO","OK")</f>
        <v>OK</v>
      </c>
      <c r="U1810" s="633" t="str">
        <f>+CONCATENATE(WEEKNUM(Tabla8[[#This Row],[FECHA]]),"-",YEAR(Tabla8[[#This Row],[FECHA]]))</f>
        <v>25-2026</v>
      </c>
    </row>
    <row r="1811" spans="1:21" ht="15" customHeight="1">
      <c r="A1811" s="22">
        <v>46190</v>
      </c>
      <c r="B1811" s="16" t="s">
        <v>88</v>
      </c>
      <c r="C1811" s="16" t="s">
        <v>23</v>
      </c>
      <c r="D1811" s="381">
        <v>0.59027777777777779</v>
      </c>
      <c r="E1811" s="381">
        <v>0.61111111111111116</v>
      </c>
      <c r="F1811" s="632">
        <f>+MOD(Tabla8[[#This Row],[HR. FIN]]-Tabla8[[#This Row],[HR. INICIO]],1)</f>
        <v>2.083333333333337E-2</v>
      </c>
      <c r="G1811" s="16" t="s">
        <v>312</v>
      </c>
      <c r="H1811" s="79" t="str">
        <f>IFERROR(VLOOKUP(G1811,DATOS!$M$2:$N$219,2,FALSE),"")</f>
        <v>Maquinaria</v>
      </c>
      <c r="I1811" s="115" t="s">
        <v>186</v>
      </c>
      <c r="J1811" s="115" t="s">
        <v>92</v>
      </c>
      <c r="K1811" s="115" t="s">
        <v>93</v>
      </c>
      <c r="L1811" s="35" t="s">
        <v>3214</v>
      </c>
      <c r="M1811" s="35" t="s">
        <v>3215</v>
      </c>
      <c r="N1811" s="35" t="str" cm="1">
        <f t="array" ref="N1811">IFERROR(IF(Tabla8[[#This Row],[P/NP]]="NO PROGRAMADA","",_xlfn.TEXTJOIN(", ",TRUE,_xlfn._xlws.FILTER(Tabla4[[#All],[PIEZA]],ISNUMBER(SEARCH(Tabla4[[#All],[PCLAVE]],Tabla8[[#This Row],[DESCRIPCION DE TRABAJO]])),""))),"")</f>
        <v/>
      </c>
      <c r="O1811" s="35" t="str" cm="1">
        <f t="array" ref="O1811">_xlfn.TEXTJOIN(", ",TRUE,_xlfn._xlws.FILTER(Tabla28[[#All],[PARTE]],ISNUMBER(SEARCH(Tabla28[[#All],[PCLAVE2]],Tabla8[[#This Row],[DESCRIPCION DE TRABAJO]])),""))</f>
        <v/>
      </c>
      <c r="P1811" s="633" t="str">
        <f>IFERROR(LEFT(O1811, FIND(",", O1811)-1), O1811)</f>
        <v/>
      </c>
      <c r="Q1811" s="633" t="str">
        <f>IFERROR(IF(ISERROR(FIND(",", O1811, FIND(",", O1811)+1)), RIGHT(O1811, LEN(O1811)-FIND(",", O1811)-1), MID(O1811, FIND(",", O1811)+2, FIND(",", O1811, FIND(",", O1811)+1)-FIND(",", O1811)-2)), "")</f>
        <v/>
      </c>
      <c r="R1811" s="633" t="str">
        <f>IFERROR(RIGHT(O1811, LEN(O1811)-FIND(",", O1811, FIND(",", O1811)+1)-1), "")</f>
        <v/>
      </c>
      <c r="S1811" s="35" t="str" cm="1">
        <f t="array" ref="S1811">_xlfn.TEXTJOIN(", ",TRUE,_xlfn._xlws.FILTER(Tabla29[[#All],[PARTE]],ISNUMBER(SEARCH(Tabla29[[#All],[PCLAVE3]],Tabla8[[#This Row],[DESCRIPCION DE TRABAJO]])),""))</f>
        <v/>
      </c>
      <c r="T1811" s="88" t="str">
        <f>IF(AND(Tabla8[[#This Row],[PIEZA]]="",Tabla8[[#This Row],[PARTE]]=""),"VACIO","OK")</f>
        <v>VACIO</v>
      </c>
      <c r="U1811" s="633" t="str">
        <f>+CONCATENATE(WEEKNUM(Tabla8[[#This Row],[FECHA]]),"-",YEAR(Tabla8[[#This Row],[FECHA]]))</f>
        <v>25-2026</v>
      </c>
    </row>
    <row r="1812" spans="1:21" ht="15" customHeight="1">
      <c r="A1812" s="22">
        <v>46190</v>
      </c>
      <c r="B1812" s="16" t="s">
        <v>179</v>
      </c>
      <c r="C1812" s="16" t="s">
        <v>36</v>
      </c>
      <c r="D1812" s="381" t="s">
        <v>526</v>
      </c>
      <c r="E1812" s="381" t="s">
        <v>584</v>
      </c>
      <c r="F1812" s="632">
        <f>+MOD(Tabla8[[#This Row],[HR. FIN]]-Tabla8[[#This Row],[HR. INICIO]],1)</f>
        <v>2.083333333333337E-2</v>
      </c>
      <c r="G1812" s="16" t="s">
        <v>1305</v>
      </c>
      <c r="H1812" s="79" t="str">
        <f>IFERROR(VLOOKUP(G1812,DATOS!$M$2:$N$219,2,FALSE),"")</f>
        <v>Area</v>
      </c>
      <c r="I1812" s="115" t="s">
        <v>32</v>
      </c>
      <c r="J1812" s="115" t="s">
        <v>157</v>
      </c>
      <c r="K1812" s="115"/>
      <c r="L1812" s="35" t="s">
        <v>3216</v>
      </c>
      <c r="M1812" s="35" t="s">
        <v>121</v>
      </c>
      <c r="N1812" s="35" t="str" cm="1">
        <f t="array" ref="N1812">IFERROR(IF(Tabla8[[#This Row],[P/NP]]="NO PROGRAMADA","",_xlfn.TEXTJOIN(", ",TRUE,_xlfn._xlws.FILTER(Tabla4[[#All],[PIEZA]],ISNUMBER(SEARCH(Tabla4[[#All],[PCLAVE]],Tabla8[[#This Row],[DESCRIPCION DE TRABAJO]])),""))),"")</f>
        <v/>
      </c>
      <c r="O1812" s="35" t="str" cm="1">
        <f t="array" ref="O1812">_xlfn.TEXTJOIN(", ",TRUE,_xlfn._xlws.FILTER(Tabla28[[#All],[PARTE]],ISNUMBER(SEARCH(Tabla28[[#All],[PCLAVE2]],Tabla8[[#This Row],[DESCRIPCION DE TRABAJO]])),""))</f>
        <v/>
      </c>
      <c r="P1812" s="633" t="str">
        <f>IFERROR(LEFT(O1812, FIND(",", O1812)-1), O1812)</f>
        <v/>
      </c>
      <c r="Q1812" s="633" t="str">
        <f>IFERROR(IF(ISERROR(FIND(",", O1812, FIND(",", O1812)+1)), RIGHT(O1812, LEN(O1812)-FIND(",", O1812)-1), MID(O1812, FIND(",", O1812)+2, FIND(",", O1812, FIND(",", O1812)+1)-FIND(",", O1812)-2)), "")</f>
        <v/>
      </c>
      <c r="R1812" s="633" t="str">
        <f>IFERROR(RIGHT(O1812, LEN(O1812)-FIND(",", O1812, FIND(",", O1812)+1)-1), "")</f>
        <v/>
      </c>
      <c r="S1812" s="35" t="str" cm="1">
        <f t="array" ref="S1812">_xlfn.TEXTJOIN(", ",TRUE,_xlfn._xlws.FILTER(Tabla29[[#All],[PARTE]],ISNUMBER(SEARCH(Tabla29[[#All],[PCLAVE3]],Tabla8[[#This Row],[DESCRIPCION DE TRABAJO]])),""))</f>
        <v/>
      </c>
      <c r="T1812" s="88" t="str">
        <f>IF(AND(Tabla8[[#This Row],[PIEZA]]="",Tabla8[[#This Row],[PARTE]]=""),"VACIO","OK")</f>
        <v>VACIO</v>
      </c>
      <c r="U1812" s="633" t="str">
        <f>+CONCATENATE(WEEKNUM(Tabla8[[#This Row],[FECHA]]),"-",YEAR(Tabla8[[#This Row],[FECHA]]))</f>
        <v>25-2026</v>
      </c>
    </row>
    <row r="1813" spans="1:21" ht="15" customHeight="1">
      <c r="A1813" s="22">
        <v>46190</v>
      </c>
      <c r="B1813" s="16" t="s">
        <v>111</v>
      </c>
      <c r="C1813" s="16" t="s">
        <v>36</v>
      </c>
      <c r="D1813" s="381">
        <v>0.4861111111111111</v>
      </c>
      <c r="E1813" s="381">
        <v>0.50694444444444442</v>
      </c>
      <c r="F1813" s="632">
        <f>+MOD(Tabla8[[#This Row],[HR. FIN]]-Tabla8[[#This Row],[HR. INICIO]],1)</f>
        <v>2.0833333333333315E-2</v>
      </c>
      <c r="G1813" s="16" t="s">
        <v>266</v>
      </c>
      <c r="H1813" s="79" t="str">
        <f>IFERROR(VLOOKUP(G1813,DATOS!$M$2:$N$219,2,FALSE),"")</f>
        <v>Maquinaria</v>
      </c>
      <c r="I1813" s="115" t="s">
        <v>43</v>
      </c>
      <c r="J1813" s="115" t="s">
        <v>157</v>
      </c>
      <c r="K1813" s="115"/>
      <c r="L1813" s="35" t="s">
        <v>3217</v>
      </c>
      <c r="M1813" s="35" t="s">
        <v>121</v>
      </c>
      <c r="N1813" s="35" t="str" cm="1">
        <f t="array" ref="N1813">IFERROR(IF(Tabla8[[#This Row],[P/NP]]="NO PROGRAMADA","",_xlfn.TEXTJOIN(", ",TRUE,_xlfn._xlws.FILTER(Tabla4[[#All],[PIEZA]],ISNUMBER(SEARCH(Tabla4[[#All],[PCLAVE]],Tabla8[[#This Row],[DESCRIPCION DE TRABAJO]])),""))),"")</f>
        <v/>
      </c>
      <c r="O1813" s="35" t="str" cm="1">
        <f t="array" ref="O1813">_xlfn.TEXTJOIN(", ",TRUE,_xlfn._xlws.FILTER(Tabla28[[#All],[PARTE]],ISNUMBER(SEARCH(Tabla28[[#All],[PCLAVE2]],Tabla8[[#This Row],[DESCRIPCION DE TRABAJO]])),""))</f>
        <v/>
      </c>
      <c r="P1813" s="633" t="str">
        <f>IFERROR(LEFT(O1813, FIND(",", O1813)-1), O1813)</f>
        <v/>
      </c>
      <c r="Q1813" s="633" t="str">
        <f>IFERROR(IF(ISERROR(FIND(",", O1813, FIND(",", O1813)+1)), RIGHT(O1813, LEN(O1813)-FIND(",", O1813)-1), MID(O1813, FIND(",", O1813)+2, FIND(",", O1813, FIND(",", O1813)+1)-FIND(",", O1813)-2)), "")</f>
        <v/>
      </c>
      <c r="R1813" s="633" t="str">
        <f>IFERROR(RIGHT(O1813, LEN(O1813)-FIND(",", O1813, FIND(",", O1813)+1)-1), "")</f>
        <v/>
      </c>
      <c r="S1813" s="35" t="str" cm="1">
        <f t="array" ref="S1813">_xlfn.TEXTJOIN(", ",TRUE,_xlfn._xlws.FILTER(Tabla29[[#All],[PARTE]],ISNUMBER(SEARCH(Tabla29[[#All],[PCLAVE3]],Tabla8[[#This Row],[DESCRIPCION DE TRABAJO]])),""))</f>
        <v>Calibracion</v>
      </c>
      <c r="T1813" s="88" t="str">
        <f>IF(AND(Tabla8[[#This Row],[PIEZA]]="",Tabla8[[#This Row],[PARTE]]=""),"VACIO","OK")</f>
        <v>VACIO</v>
      </c>
      <c r="U1813" s="633" t="str">
        <f>+CONCATENATE(WEEKNUM(Tabla8[[#This Row],[FECHA]]),"-",YEAR(Tabla8[[#This Row],[FECHA]]))</f>
        <v>25-2026</v>
      </c>
    </row>
    <row r="1814" spans="1:21" ht="15" customHeight="1">
      <c r="A1814" s="22">
        <v>46190</v>
      </c>
      <c r="B1814" s="16" t="s">
        <v>179</v>
      </c>
      <c r="C1814" s="16" t="s">
        <v>23</v>
      </c>
      <c r="D1814" s="381">
        <v>0.67777777777777781</v>
      </c>
      <c r="E1814" s="381">
        <v>0.69791666666666663</v>
      </c>
      <c r="F1814" s="632">
        <f>+MOD(Tabla8[[#This Row],[HR. FIN]]-Tabla8[[#This Row],[HR. INICIO]],1)</f>
        <v>2.0138888888888817E-2</v>
      </c>
      <c r="G1814" s="16" t="s">
        <v>91</v>
      </c>
      <c r="H1814" s="79" t="str">
        <f>IFERROR(VLOOKUP(G1814,DATOS!$M$2:$N$219,2,FALSE),"")</f>
        <v>Area</v>
      </c>
      <c r="I1814" s="115" t="s">
        <v>186</v>
      </c>
      <c r="J1814" s="115" t="s">
        <v>92</v>
      </c>
      <c r="K1814" s="115" t="s">
        <v>148</v>
      </c>
      <c r="L1814" s="35" t="s">
        <v>3218</v>
      </c>
      <c r="M1814" s="35" t="s">
        <v>3219</v>
      </c>
      <c r="N1814" s="35" t="str" cm="1">
        <f t="array" ref="N1814">IFERROR(IF(Tabla8[[#This Row],[P/NP]]="NO PROGRAMADA","",_xlfn.TEXTJOIN(", ",TRUE,_xlfn._xlws.FILTER(Tabla4[[#All],[PIEZA]],ISNUMBER(SEARCH(Tabla4[[#All],[PCLAVE]],Tabla8[[#This Row],[DESCRIPCION DE TRABAJO]])),""))),"")</f>
        <v/>
      </c>
      <c r="O1814" s="35" t="str" cm="1">
        <f t="array" ref="O1814">_xlfn.TEXTJOIN(", ",TRUE,_xlfn._xlws.FILTER(Tabla28[[#All],[PARTE]],ISNUMBER(SEARCH(Tabla28[[#All],[PCLAVE2]],Tabla8[[#This Row],[DESCRIPCION DE TRABAJO]])),""))</f>
        <v/>
      </c>
      <c r="P1814" s="633" t="str">
        <f>IFERROR(LEFT(O1814, FIND(",", O1814)-1), O1814)</f>
        <v/>
      </c>
      <c r="Q1814" s="633" t="str">
        <f>IFERROR(IF(ISERROR(FIND(",", O1814, FIND(",", O1814)+1)), RIGHT(O1814, LEN(O1814)-FIND(",", O1814)-1), MID(O1814, FIND(",", O1814)+2, FIND(",", O1814, FIND(",", O1814)+1)-FIND(",", O1814)-2)), "")</f>
        <v/>
      </c>
      <c r="R1814" s="633" t="str">
        <f>IFERROR(RIGHT(O1814, LEN(O1814)-FIND(",", O1814, FIND(",", O1814)+1)-1), "")</f>
        <v/>
      </c>
      <c r="S1814" s="35" t="str" cm="1">
        <f t="array" ref="S1814">_xlfn.TEXTJOIN(", ",TRUE,_xlfn._xlws.FILTER(Tabla29[[#All],[PARTE]],ISNUMBER(SEARCH(Tabla29[[#All],[PCLAVE3]],Tabla8[[#This Row],[DESCRIPCION DE TRABAJO]])),""))</f>
        <v/>
      </c>
      <c r="T1814" s="88" t="str">
        <f>IF(AND(Tabla8[[#This Row],[PIEZA]]="",Tabla8[[#This Row],[PARTE]]=""),"VACIO","OK")</f>
        <v>VACIO</v>
      </c>
      <c r="U1814" s="633" t="str">
        <f>+CONCATENATE(WEEKNUM(Tabla8[[#This Row],[FECHA]]),"-",YEAR(Tabla8[[#This Row],[FECHA]]))</f>
        <v>25-2026</v>
      </c>
    </row>
    <row r="1815" spans="1:21" ht="15" customHeight="1">
      <c r="A1815" s="22">
        <v>46190</v>
      </c>
      <c r="B1815" s="16" t="s">
        <v>191</v>
      </c>
      <c r="C1815" s="16" t="s">
        <v>39</v>
      </c>
      <c r="D1815" s="381">
        <v>0.9604166666666667</v>
      </c>
      <c r="E1815" s="381">
        <v>0.97847222222222219</v>
      </c>
      <c r="F1815" s="632">
        <f>+MOD(Tabla8[[#This Row],[HR. FIN]]-Tabla8[[#This Row],[HR. INICIO]],1)</f>
        <v>1.8055555555555491E-2</v>
      </c>
      <c r="G1815" s="16" t="s">
        <v>312</v>
      </c>
      <c r="H1815" s="79" t="str">
        <f>IFERROR(VLOOKUP(G1815,DATOS!$M$2:$N$219,2,FALSE),"")</f>
        <v>Maquinaria</v>
      </c>
      <c r="I1815" s="115" t="s">
        <v>57</v>
      </c>
      <c r="J1815" s="115" t="s">
        <v>92</v>
      </c>
      <c r="K1815" s="115" t="s">
        <v>93</v>
      </c>
      <c r="L1815" s="35" t="s">
        <v>2836</v>
      </c>
      <c r="M1815" s="35" t="s">
        <v>3220</v>
      </c>
      <c r="N1815" s="35" t="str" cm="1">
        <f t="array" ref="N1815">IFERROR(IF(Tabla8[[#This Row],[P/NP]]="NO PROGRAMADA","",_xlfn.TEXTJOIN(", ",TRUE,_xlfn._xlws.FILTER(Tabla4[[#All],[PIEZA]],ISNUMBER(SEARCH(Tabla4[[#All],[PCLAVE]],Tabla8[[#This Row],[DESCRIPCION DE TRABAJO]])),""))),"")</f>
        <v/>
      </c>
      <c r="O1815" s="35" t="str" cm="1">
        <f t="array" ref="O1815">_xlfn.TEXTJOIN(", ",TRUE,_xlfn._xlws.FILTER(Tabla28[[#All],[PARTE]],ISNUMBER(SEARCH(Tabla28[[#All],[PCLAVE2]],Tabla8[[#This Row],[DESCRIPCION DE TRABAJO]])),""))</f>
        <v/>
      </c>
      <c r="P1815" s="633" t="str">
        <f>IFERROR(LEFT(O1815, FIND(",", O1815)-1), O1815)</f>
        <v/>
      </c>
      <c r="Q1815" s="633" t="str">
        <f>IFERROR(IF(ISERROR(FIND(",", O1815, FIND(",", O1815)+1)), RIGHT(O1815, LEN(O1815)-FIND(",", O1815)-1), MID(O1815, FIND(",", O1815)+2, FIND(",", O1815, FIND(",", O1815)+1)-FIND(",", O1815)-2)), "")</f>
        <v/>
      </c>
      <c r="R1815" s="633" t="str">
        <f>IFERROR(RIGHT(O1815, LEN(O1815)-FIND(",", O1815, FIND(",", O1815)+1)-1), "")</f>
        <v/>
      </c>
      <c r="S1815" s="35" t="str" cm="1">
        <f t="array" ref="S1815">_xlfn.TEXTJOIN(", ",TRUE,_xlfn._xlws.FILTER(Tabla29[[#All],[PARTE]],ISNUMBER(SEARCH(Tabla29[[#All],[PCLAVE3]],Tabla8[[#This Row],[DESCRIPCION DE TRABAJO]])),""))</f>
        <v/>
      </c>
      <c r="T1815" s="88" t="str">
        <f>IF(AND(Tabla8[[#This Row],[PIEZA]]="",Tabla8[[#This Row],[PARTE]]=""),"VACIO","OK")</f>
        <v>VACIO</v>
      </c>
      <c r="U1815" s="633" t="str">
        <f>+CONCATENATE(WEEKNUM(Tabla8[[#This Row],[FECHA]]),"-",YEAR(Tabla8[[#This Row],[FECHA]]))</f>
        <v>25-2026</v>
      </c>
    </row>
    <row r="1816" spans="1:21" ht="15" customHeight="1">
      <c r="A1816" s="22">
        <v>46190</v>
      </c>
      <c r="B1816" s="16" t="s">
        <v>179</v>
      </c>
      <c r="C1816" s="16" t="s">
        <v>23</v>
      </c>
      <c r="D1816" s="381">
        <v>0.73958333333333337</v>
      </c>
      <c r="E1816" s="381">
        <v>0.75694444444444442</v>
      </c>
      <c r="F1816" s="632">
        <f>+MOD(Tabla8[[#This Row],[HR. FIN]]-Tabla8[[#This Row],[HR. INICIO]],1)</f>
        <v>1.7361111111111049E-2</v>
      </c>
      <c r="G1816" s="16" t="s">
        <v>1305</v>
      </c>
      <c r="H1816" s="79" t="str">
        <f>IFERROR(VLOOKUP(G1816,DATOS!$M$2:$N$219,2,FALSE),"")</f>
        <v>Area</v>
      </c>
      <c r="I1816" s="115" t="s">
        <v>32</v>
      </c>
      <c r="J1816" s="115" t="s">
        <v>157</v>
      </c>
      <c r="K1816" s="115"/>
      <c r="L1816" s="35" t="s">
        <v>3221</v>
      </c>
      <c r="M1816" s="35" t="s">
        <v>121</v>
      </c>
      <c r="N1816" s="35" t="str" cm="1">
        <f t="array" ref="N1816">IFERROR(IF(Tabla8[[#This Row],[P/NP]]="NO PROGRAMADA","",_xlfn.TEXTJOIN(", ",TRUE,_xlfn._xlws.FILTER(Tabla4[[#All],[PIEZA]],ISNUMBER(SEARCH(Tabla4[[#All],[PCLAVE]],Tabla8[[#This Row],[DESCRIPCION DE TRABAJO]])),""))),"")</f>
        <v>Iman</v>
      </c>
      <c r="O1816" s="35" t="str" cm="1">
        <f t="array" ref="O1816">_xlfn.TEXTJOIN(", ",TRUE,_xlfn._xlws.FILTER(Tabla28[[#All],[PARTE]],ISNUMBER(SEARCH(Tabla28[[#All],[PCLAVE2]],Tabla8[[#This Row],[DESCRIPCION DE TRABAJO]])),""))</f>
        <v/>
      </c>
      <c r="P1816" s="633" t="str">
        <f>IFERROR(LEFT(O1816, FIND(",", O1816)-1), O1816)</f>
        <v/>
      </c>
      <c r="Q1816" s="633" t="str">
        <f>IFERROR(IF(ISERROR(FIND(",", O1816, FIND(",", O1816)+1)), RIGHT(O1816, LEN(O1816)-FIND(",", O1816)-1), MID(O1816, FIND(",", O1816)+2, FIND(",", O1816, FIND(",", O1816)+1)-FIND(",", O1816)-2)), "")</f>
        <v/>
      </c>
      <c r="R1816" s="633" t="str">
        <f>IFERROR(RIGHT(O1816, LEN(O1816)-FIND(",", O1816, FIND(",", O1816)+1)-1), "")</f>
        <v/>
      </c>
      <c r="S1816" s="35" t="str" cm="1">
        <f t="array" ref="S1816">_xlfn.TEXTJOIN(", ",TRUE,_xlfn._xlws.FILTER(Tabla29[[#All],[PARTE]],ISNUMBER(SEARCH(Tabla29[[#All],[PCLAVE3]],Tabla8[[#This Row],[DESCRIPCION DE TRABAJO]])),""))</f>
        <v/>
      </c>
      <c r="T1816" s="88" t="str">
        <f>IF(AND(Tabla8[[#This Row],[PIEZA]]="",Tabla8[[#This Row],[PARTE]]=""),"VACIO","OK")</f>
        <v>OK</v>
      </c>
      <c r="U1816" s="633" t="str">
        <f>+CONCATENATE(WEEKNUM(Tabla8[[#This Row],[FECHA]]),"-",YEAR(Tabla8[[#This Row],[FECHA]]))</f>
        <v>25-2026</v>
      </c>
    </row>
    <row r="1817" spans="1:21" ht="15" customHeight="1">
      <c r="A1817" s="22">
        <v>46190</v>
      </c>
      <c r="B1817" s="16" t="s">
        <v>191</v>
      </c>
      <c r="C1817" s="16" t="s">
        <v>39</v>
      </c>
      <c r="D1817" s="381">
        <v>0.92500000000000004</v>
      </c>
      <c r="E1817" s="381">
        <v>0.94027777777777777</v>
      </c>
      <c r="F1817" s="632">
        <f>+MOD(Tabla8[[#This Row],[HR. FIN]]-Tabla8[[#This Row],[HR. INICIO]],1)</f>
        <v>1.5277777777777724E-2</v>
      </c>
      <c r="G1817" s="16" t="s">
        <v>438</v>
      </c>
      <c r="H1817" s="79" t="str">
        <f>IFERROR(VLOOKUP(G1817,DATOS!$M$2:$N$219,2,FALSE),"")</f>
        <v>Maquinaria</v>
      </c>
      <c r="I1817" s="115" t="s">
        <v>61</v>
      </c>
      <c r="J1817" s="115" t="s">
        <v>92</v>
      </c>
      <c r="K1817" s="115" t="s">
        <v>93</v>
      </c>
      <c r="L1817" s="35" t="s">
        <v>3222</v>
      </c>
      <c r="M1817" s="35" t="s">
        <v>3223</v>
      </c>
      <c r="N1817" s="35" t="str" cm="1">
        <f t="array" ref="N1817">IFERROR(IF(Tabla8[[#This Row],[P/NP]]="NO PROGRAMADA","",_xlfn.TEXTJOIN(", ",TRUE,_xlfn._xlws.FILTER(Tabla4[[#All],[PIEZA]],ISNUMBER(SEARCH(Tabla4[[#All],[PCLAVE]],Tabla8[[#This Row],[DESCRIPCION DE TRABAJO]])),""))),"")</f>
        <v/>
      </c>
      <c r="O1817" s="35" t="str" cm="1">
        <f t="array" ref="O1817">_xlfn.TEXTJOIN(", ",TRUE,_xlfn._xlws.FILTER(Tabla28[[#All],[PARTE]],ISNUMBER(SEARCH(Tabla28[[#All],[PCLAVE2]],Tabla8[[#This Row],[DESCRIPCION DE TRABAJO]])),""))</f>
        <v/>
      </c>
      <c r="P1817" s="633" t="str">
        <f>IFERROR(LEFT(O1817, FIND(",", O1817)-1), O1817)</f>
        <v/>
      </c>
      <c r="Q1817" s="633" t="str">
        <f>IFERROR(IF(ISERROR(FIND(",", O1817, FIND(",", O1817)+1)), RIGHT(O1817, LEN(O1817)-FIND(",", O1817)-1), MID(O1817, FIND(",", O1817)+2, FIND(",", O1817, FIND(",", O1817)+1)-FIND(",", O1817)-2)), "")</f>
        <v/>
      </c>
      <c r="R1817" s="633" t="str">
        <f>IFERROR(RIGHT(O1817, LEN(O1817)-FIND(",", O1817, FIND(",", O1817)+1)-1), "")</f>
        <v/>
      </c>
      <c r="S1817" s="35" t="str" cm="1">
        <f t="array" ref="S1817">_xlfn.TEXTJOIN(", ",TRUE,_xlfn._xlws.FILTER(Tabla29[[#All],[PARTE]],ISNUMBER(SEARCH(Tabla29[[#All],[PCLAVE3]],Tabla8[[#This Row],[DESCRIPCION DE TRABAJO]])),""))</f>
        <v/>
      </c>
      <c r="T1817" s="88" t="str">
        <f>IF(AND(Tabla8[[#This Row],[PIEZA]]="",Tabla8[[#This Row],[PARTE]]=""),"VACIO","OK")</f>
        <v>VACIO</v>
      </c>
      <c r="U1817" s="633" t="str">
        <f>+CONCATENATE(WEEKNUM(Tabla8[[#This Row],[FECHA]]),"-",YEAR(Tabla8[[#This Row],[FECHA]]))</f>
        <v>25-2026</v>
      </c>
    </row>
    <row r="1818" spans="1:21" ht="15" customHeight="1">
      <c r="A1818" s="22">
        <v>46190</v>
      </c>
      <c r="B1818" s="16" t="s">
        <v>88</v>
      </c>
      <c r="C1818" s="16" t="s">
        <v>23</v>
      </c>
      <c r="D1818" s="381">
        <v>0.54166666666666663</v>
      </c>
      <c r="E1818" s="381">
        <v>0.55555555555555558</v>
      </c>
      <c r="F1818" s="632">
        <f>+MOD(Tabla8[[#This Row],[HR. FIN]]-Tabla8[[#This Row],[HR. INICIO]],1)</f>
        <v>1.3888888888888951E-2</v>
      </c>
      <c r="G1818" s="16" t="s">
        <v>1305</v>
      </c>
      <c r="H1818" s="79" t="str">
        <f>IFERROR(VLOOKUP(G1818,DATOS!$M$2:$N$219,2,FALSE),"")</f>
        <v>Area</v>
      </c>
      <c r="I1818" s="115" t="s">
        <v>25</v>
      </c>
      <c r="J1818" s="115" t="s">
        <v>157</v>
      </c>
      <c r="K1818" s="115"/>
      <c r="L1818" s="35" t="s">
        <v>3224</v>
      </c>
      <c r="M1818" s="35" t="s">
        <v>3225</v>
      </c>
      <c r="N1818" s="35" t="str" cm="1">
        <f t="array" ref="N1818">IFERROR(IF(Tabla8[[#This Row],[P/NP]]="NO PROGRAMADA","",_xlfn.TEXTJOIN(", ",TRUE,_xlfn._xlws.FILTER(Tabla4[[#All],[PIEZA]],ISNUMBER(SEARCH(Tabla4[[#All],[PCLAVE]],Tabla8[[#This Row],[DESCRIPCION DE TRABAJO]])),""))),"")</f>
        <v/>
      </c>
      <c r="O1818" s="35" t="str" cm="1">
        <f t="array" ref="O1818">_xlfn.TEXTJOIN(", ",TRUE,_xlfn._xlws.FILTER(Tabla28[[#All],[PARTE]],ISNUMBER(SEARCH(Tabla28[[#All],[PCLAVE2]],Tabla8[[#This Row],[DESCRIPCION DE TRABAJO]])),""))</f>
        <v/>
      </c>
      <c r="P1818" s="633" t="str">
        <f>IFERROR(LEFT(O1818, FIND(",", O1818)-1), O1818)</f>
        <v/>
      </c>
      <c r="Q1818" s="633" t="str">
        <f>IFERROR(IF(ISERROR(FIND(",", O1818, FIND(",", O1818)+1)), RIGHT(O1818, LEN(O1818)-FIND(",", O1818)-1), MID(O1818, FIND(",", O1818)+2, FIND(",", O1818, FIND(",", O1818)+1)-FIND(",", O1818)-2)), "")</f>
        <v/>
      </c>
      <c r="R1818" s="633" t="str">
        <f>IFERROR(RIGHT(O1818, LEN(O1818)-FIND(",", O1818, FIND(",", O1818)+1)-1), "")</f>
        <v/>
      </c>
      <c r="S1818" s="35" t="str" cm="1">
        <f t="array" ref="S1818">_xlfn.TEXTJOIN(", ",TRUE,_xlfn._xlws.FILTER(Tabla29[[#All],[PARTE]],ISNUMBER(SEARCH(Tabla29[[#All],[PCLAVE3]],Tabla8[[#This Row],[DESCRIPCION DE TRABAJO]])),""))</f>
        <v/>
      </c>
      <c r="T1818" s="88" t="str">
        <f>IF(AND(Tabla8[[#This Row],[PIEZA]]="",Tabla8[[#This Row],[PARTE]]=""),"VACIO","OK")</f>
        <v>VACIO</v>
      </c>
      <c r="U1818" s="633" t="str">
        <f>+CONCATENATE(WEEKNUM(Tabla8[[#This Row],[FECHA]]),"-",YEAR(Tabla8[[#This Row],[FECHA]]))</f>
        <v>25-2026</v>
      </c>
    </row>
    <row r="1819" spans="1:21" ht="15" customHeight="1">
      <c r="A1819" s="22">
        <v>46190</v>
      </c>
      <c r="B1819" s="16" t="s">
        <v>88</v>
      </c>
      <c r="C1819" s="16" t="s">
        <v>23</v>
      </c>
      <c r="D1819" s="381">
        <v>0.56944444444444442</v>
      </c>
      <c r="E1819" s="381">
        <v>0.58333333333333337</v>
      </c>
      <c r="F1819" s="632">
        <f>+MOD(Tabla8[[#This Row],[HR. FIN]]-Tabla8[[#This Row],[HR. INICIO]],1)</f>
        <v>1.3888888888888951E-2</v>
      </c>
      <c r="G1819" s="16" t="s">
        <v>266</v>
      </c>
      <c r="H1819" s="79" t="str">
        <f>IFERROR(VLOOKUP(G1819,DATOS!$M$2:$N$219,2,FALSE),"")</f>
        <v>Maquinaria</v>
      </c>
      <c r="I1819" s="115" t="s">
        <v>186</v>
      </c>
      <c r="J1819" s="115" t="s">
        <v>92</v>
      </c>
      <c r="K1819" s="115" t="s">
        <v>93</v>
      </c>
      <c r="L1819" s="35" t="s">
        <v>3226</v>
      </c>
      <c r="M1819" s="35" t="s">
        <v>3227</v>
      </c>
      <c r="N1819" s="35" t="str" cm="1">
        <f t="array" ref="N1819">IFERROR(IF(Tabla8[[#This Row],[P/NP]]="NO PROGRAMADA","",_xlfn.TEXTJOIN(", ",TRUE,_xlfn._xlws.FILTER(Tabla4[[#All],[PIEZA]],ISNUMBER(SEARCH(Tabla4[[#All],[PCLAVE]],Tabla8[[#This Row],[DESCRIPCION DE TRABAJO]])),""))),"")</f>
        <v/>
      </c>
      <c r="O1819" s="35" t="str" cm="1">
        <f t="array" ref="O1819">_xlfn.TEXTJOIN(", ",TRUE,_xlfn._xlws.FILTER(Tabla28[[#All],[PARTE]],ISNUMBER(SEARCH(Tabla28[[#All],[PCLAVE2]],Tabla8[[#This Row],[DESCRIPCION DE TRABAJO]])),""))</f>
        <v/>
      </c>
      <c r="P1819" s="633" t="str">
        <f>IFERROR(LEFT(O1819, FIND(",", O1819)-1), O1819)</f>
        <v/>
      </c>
      <c r="Q1819" s="633" t="str">
        <f>IFERROR(IF(ISERROR(FIND(",", O1819, FIND(",", O1819)+1)), RIGHT(O1819, LEN(O1819)-FIND(",", O1819)-1), MID(O1819, FIND(",", O1819)+2, FIND(",", O1819, FIND(",", O1819)+1)-FIND(",", O1819)-2)), "")</f>
        <v/>
      </c>
      <c r="R1819" s="633" t="str">
        <f>IFERROR(RIGHT(O1819, LEN(O1819)-FIND(",", O1819, FIND(",", O1819)+1)-1), "")</f>
        <v/>
      </c>
      <c r="S1819" s="35" t="str" cm="1">
        <f t="array" ref="S1819">_xlfn.TEXTJOIN(", ",TRUE,_xlfn._xlws.FILTER(Tabla29[[#All],[PARTE]],ISNUMBER(SEARCH(Tabla29[[#All],[PCLAVE3]],Tabla8[[#This Row],[DESCRIPCION DE TRABAJO]])),""))</f>
        <v>Bajo Nivel, Nivel, Temperatura</v>
      </c>
      <c r="T1819" s="88" t="str">
        <f>IF(AND(Tabla8[[#This Row],[PIEZA]]="",Tabla8[[#This Row],[PARTE]]=""),"VACIO","OK")</f>
        <v>VACIO</v>
      </c>
      <c r="U1819" s="633" t="str">
        <f>+CONCATENATE(WEEKNUM(Tabla8[[#This Row],[FECHA]]),"-",YEAR(Tabla8[[#This Row],[FECHA]]))</f>
        <v>25-2026</v>
      </c>
    </row>
    <row r="1820" spans="1:21" ht="15" customHeight="1">
      <c r="A1820" s="22">
        <v>46190</v>
      </c>
      <c r="B1820" s="16" t="s">
        <v>88</v>
      </c>
      <c r="C1820" s="16" t="s">
        <v>23</v>
      </c>
      <c r="D1820" s="381">
        <v>0.79166666666666663</v>
      </c>
      <c r="E1820" s="381">
        <v>0.80555555555555558</v>
      </c>
      <c r="F1820" s="632">
        <f>+MOD(Tabla8[[#This Row],[HR. FIN]]-Tabla8[[#This Row],[HR. INICIO]],1)</f>
        <v>1.3888888888888951E-2</v>
      </c>
      <c r="G1820" s="16" t="s">
        <v>49</v>
      </c>
      <c r="H1820" s="79" t="str">
        <f>IFERROR(VLOOKUP(G1820,DATOS!$M$2:$N$219,2,FALSE),"")</f>
        <v>Area</v>
      </c>
      <c r="I1820" s="115" t="s">
        <v>25</v>
      </c>
      <c r="J1820" s="115" t="s">
        <v>157</v>
      </c>
      <c r="K1820" s="115"/>
      <c r="L1820" s="35" t="s">
        <v>3228</v>
      </c>
      <c r="M1820" s="35" t="s">
        <v>3229</v>
      </c>
      <c r="N1820" s="35" t="str" cm="1">
        <f t="array" ref="N1820">IFERROR(IF(Tabla8[[#This Row],[P/NP]]="NO PROGRAMADA","",_xlfn.TEXTJOIN(", ",TRUE,_xlfn._xlws.FILTER(Tabla4[[#All],[PIEZA]],ISNUMBER(SEARCH(Tabla4[[#All],[PCLAVE]],Tabla8[[#This Row],[DESCRIPCION DE TRABAJO]])),""))),"")</f>
        <v>Mesa</v>
      </c>
      <c r="O1820" s="35" t="str" cm="1">
        <f t="array" ref="O1820">_xlfn.TEXTJOIN(", ",TRUE,_xlfn._xlws.FILTER(Tabla28[[#All],[PARTE]],ISNUMBER(SEARCH(Tabla28[[#All],[PCLAVE2]],Tabla8[[#This Row],[DESCRIPCION DE TRABAJO]])),""))</f>
        <v/>
      </c>
      <c r="P1820" s="633" t="str">
        <f>IFERROR(LEFT(O1820, FIND(",", O1820)-1), O1820)</f>
        <v/>
      </c>
      <c r="Q1820" s="633" t="str">
        <f>IFERROR(IF(ISERROR(FIND(",", O1820, FIND(",", O1820)+1)), RIGHT(O1820, LEN(O1820)-FIND(",", O1820)-1), MID(O1820, FIND(",", O1820)+2, FIND(",", O1820, FIND(",", O1820)+1)-FIND(",", O1820)-2)), "")</f>
        <v/>
      </c>
      <c r="R1820" s="633" t="str">
        <f>IFERROR(RIGHT(O1820, LEN(O1820)-FIND(",", O1820, FIND(",", O1820)+1)-1), "")</f>
        <v/>
      </c>
      <c r="S1820" s="35" t="str" cm="1">
        <f t="array" ref="S1820">_xlfn.TEXTJOIN(", ",TRUE,_xlfn._xlws.FILTER(Tabla29[[#All],[PARTE]],ISNUMBER(SEARCH(Tabla29[[#All],[PCLAVE3]],Tabla8[[#This Row],[DESCRIPCION DE TRABAJO]])),""))</f>
        <v/>
      </c>
      <c r="T1820" s="88" t="str">
        <f>IF(AND(Tabla8[[#This Row],[PIEZA]]="",Tabla8[[#This Row],[PARTE]]=""),"VACIO","OK")</f>
        <v>OK</v>
      </c>
      <c r="U1820" s="633" t="str">
        <f>+CONCATENATE(WEEKNUM(Tabla8[[#This Row],[FECHA]]),"-",YEAR(Tabla8[[#This Row],[FECHA]]))</f>
        <v>25-2026</v>
      </c>
    </row>
    <row r="1821" spans="1:21" ht="15" customHeight="1">
      <c r="A1821" s="22">
        <v>46190</v>
      </c>
      <c r="B1821" s="16" t="s">
        <v>111</v>
      </c>
      <c r="C1821" s="16" t="s">
        <v>36</v>
      </c>
      <c r="D1821" s="381">
        <v>0.34027777777777779</v>
      </c>
      <c r="E1821" s="381">
        <v>0.35416666666666669</v>
      </c>
      <c r="F1821" s="632">
        <f>+MOD(Tabla8[[#This Row],[HR. FIN]]-Tabla8[[#This Row],[HR. INICIO]],1)</f>
        <v>1.3888888888888895E-2</v>
      </c>
      <c r="G1821" s="16" t="s">
        <v>438</v>
      </c>
      <c r="H1821" s="79" t="str">
        <f>IFERROR(VLOOKUP(G1821,DATOS!$M$2:$N$219,2,FALSE),"")</f>
        <v>Maquinaria</v>
      </c>
      <c r="I1821" s="115" t="s">
        <v>54</v>
      </c>
      <c r="J1821" s="115" t="s">
        <v>157</v>
      </c>
      <c r="K1821" s="115"/>
      <c r="L1821" s="35" t="s">
        <v>3230</v>
      </c>
      <c r="M1821" s="35" t="s">
        <v>121</v>
      </c>
      <c r="N1821" s="35" t="str" cm="1">
        <f t="array" ref="N1821">IFERROR(IF(Tabla8[[#This Row],[P/NP]]="NO PROGRAMADA","",_xlfn.TEXTJOIN(", ",TRUE,_xlfn._xlws.FILTER(Tabla4[[#All],[PIEZA]],ISNUMBER(SEARCH(Tabla4[[#All],[PCLAVE]],Tabla8[[#This Row],[DESCRIPCION DE TRABAJO]])),""))),"")</f>
        <v>Bobina, Freno</v>
      </c>
      <c r="O1821" s="35" t="str" cm="1">
        <f t="array" ref="O1821">_xlfn.TEXTJOIN(", ",TRUE,_xlfn._xlws.FILTER(Tabla28[[#All],[PARTE]],ISNUMBER(SEARCH(Tabla28[[#All],[PCLAVE2]],Tabla8[[#This Row],[DESCRIPCION DE TRABAJO]])),""))</f>
        <v/>
      </c>
      <c r="P1821" s="633" t="str">
        <f>IFERROR(LEFT(O1821, FIND(",", O1821)-1), O1821)</f>
        <v/>
      </c>
      <c r="Q1821" s="633" t="str">
        <f>IFERROR(IF(ISERROR(FIND(",", O1821, FIND(",", O1821)+1)), RIGHT(O1821, LEN(O1821)-FIND(",", O1821)-1), MID(O1821, FIND(",", O1821)+2, FIND(",", O1821, FIND(",", O1821)+1)-FIND(",", O1821)-2)), "")</f>
        <v/>
      </c>
      <c r="R1821" s="633" t="str">
        <f>IFERROR(RIGHT(O1821, LEN(O1821)-FIND(",", O1821, FIND(",", O1821)+1)-1), "")</f>
        <v/>
      </c>
      <c r="S1821" s="35" t="str" cm="1">
        <f t="array" ref="S1821">_xlfn.TEXTJOIN(", ",TRUE,_xlfn._xlws.FILTER(Tabla29[[#All],[PARTE]],ISNUMBER(SEARCH(Tabla29[[#All],[PCLAVE3]],Tabla8[[#This Row],[DESCRIPCION DE TRABAJO]])),""))</f>
        <v/>
      </c>
      <c r="T1821" s="88" t="str">
        <f>IF(AND(Tabla8[[#This Row],[PIEZA]]="",Tabla8[[#This Row],[PARTE]]=""),"VACIO","OK")</f>
        <v>OK</v>
      </c>
      <c r="U1821" s="633" t="str">
        <f>+CONCATENATE(WEEKNUM(Tabla8[[#This Row],[FECHA]]),"-",YEAR(Tabla8[[#This Row],[FECHA]]))</f>
        <v>25-2026</v>
      </c>
    </row>
    <row r="1822" spans="1:21" ht="15" customHeight="1">
      <c r="A1822" s="22">
        <v>46190</v>
      </c>
      <c r="B1822" s="16" t="s">
        <v>111</v>
      </c>
      <c r="C1822" s="16" t="s">
        <v>36</v>
      </c>
      <c r="D1822" s="381">
        <v>0.30555555555555558</v>
      </c>
      <c r="E1822" s="381">
        <v>0.31944444444444442</v>
      </c>
      <c r="F1822" s="632">
        <f>+MOD(Tabla8[[#This Row],[HR. FIN]]-Tabla8[[#This Row],[HR. INICIO]],1)</f>
        <v>1.388888888888884E-2</v>
      </c>
      <c r="G1822" s="16" t="s">
        <v>1379</v>
      </c>
      <c r="H1822" s="79" t="str">
        <f>IFERROR(VLOOKUP(G1822,DATOS!$M$2:$N$219,2,FALSE),"")</f>
        <v>Maquinaria</v>
      </c>
      <c r="I1822" s="115" t="s">
        <v>61</v>
      </c>
      <c r="J1822" s="115" t="s">
        <v>157</v>
      </c>
      <c r="K1822" s="115"/>
      <c r="L1822" s="35" t="s">
        <v>3231</v>
      </c>
      <c r="M1822" s="35" t="s">
        <v>121</v>
      </c>
      <c r="N1822" s="35" t="str" cm="1">
        <f t="array" ref="N1822">IFERROR(IF(Tabla8[[#This Row],[P/NP]]="NO PROGRAMADA","",_xlfn.TEXTJOIN(", ",TRUE,_xlfn._xlws.FILTER(Tabla4[[#All],[PIEZA]],ISNUMBER(SEARCH(Tabla4[[#All],[PCLAVE]],Tabla8[[#This Row],[DESCRIPCION DE TRABAJO]])),""))),"")</f>
        <v/>
      </c>
      <c r="O1822" s="35" t="str" cm="1">
        <f t="array" ref="O1822">_xlfn.TEXTJOIN(", ",TRUE,_xlfn._xlws.FILTER(Tabla28[[#All],[PARTE]],ISNUMBER(SEARCH(Tabla28[[#All],[PCLAVE2]],Tabla8[[#This Row],[DESCRIPCION DE TRABAJO]])),""))</f>
        <v/>
      </c>
      <c r="P1822" s="633" t="str">
        <f>IFERROR(LEFT(O1822, FIND(",", O1822)-1), O1822)</f>
        <v/>
      </c>
      <c r="Q1822" s="633" t="str">
        <f>IFERROR(IF(ISERROR(FIND(",", O1822, FIND(",", O1822)+1)), RIGHT(O1822, LEN(O1822)-FIND(",", O1822)-1), MID(O1822, FIND(",", O1822)+2, FIND(",", O1822, FIND(",", O1822)+1)-FIND(",", O1822)-2)), "")</f>
        <v/>
      </c>
      <c r="R1822" s="633" t="str">
        <f>IFERROR(RIGHT(O1822, LEN(O1822)-FIND(",", O1822, FIND(",", O1822)+1)-1), "")</f>
        <v/>
      </c>
      <c r="S1822" s="35" t="str" cm="1">
        <f t="array" ref="S1822">_xlfn.TEXTJOIN(", ",TRUE,_xlfn._xlws.FILTER(Tabla29[[#All],[PARTE]],ISNUMBER(SEARCH(Tabla29[[#All],[PCLAVE3]],Tabla8[[#This Row],[DESCRIPCION DE TRABAJO]])),""))</f>
        <v>Falla De Presion</v>
      </c>
      <c r="T1822" s="88" t="str">
        <f>IF(AND(Tabla8[[#This Row],[PIEZA]]="",Tabla8[[#This Row],[PARTE]]=""),"VACIO","OK")</f>
        <v>VACIO</v>
      </c>
      <c r="U1822" s="633" t="str">
        <f>+CONCATENATE(WEEKNUM(Tabla8[[#This Row],[FECHA]]),"-",YEAR(Tabla8[[#This Row],[FECHA]]))</f>
        <v>25-2026</v>
      </c>
    </row>
    <row r="1823" spans="1:21" ht="15" customHeight="1">
      <c r="A1823" s="22">
        <v>46190</v>
      </c>
      <c r="B1823" s="16" t="s">
        <v>88</v>
      </c>
      <c r="C1823" s="16" t="s">
        <v>23</v>
      </c>
      <c r="D1823" s="381">
        <v>0.83333333333333337</v>
      </c>
      <c r="E1823" s="381">
        <v>0.84722222222222221</v>
      </c>
      <c r="F1823" s="632">
        <f>+MOD(Tabla8[[#This Row],[HR. FIN]]-Tabla8[[#This Row],[HR. INICIO]],1)</f>
        <v>1.388888888888884E-2</v>
      </c>
      <c r="G1823" s="16" t="s">
        <v>438</v>
      </c>
      <c r="H1823" s="79" t="str">
        <f>IFERROR(VLOOKUP(G1823,DATOS!$M$2:$N$219,2,FALSE),"")</f>
        <v>Maquinaria</v>
      </c>
      <c r="I1823" s="115" t="s">
        <v>390</v>
      </c>
      <c r="J1823" s="115" t="s">
        <v>157</v>
      </c>
      <c r="K1823" s="115"/>
      <c r="L1823" s="35" t="s">
        <v>1040</v>
      </c>
      <c r="M1823" s="35" t="s">
        <v>214</v>
      </c>
      <c r="N1823" s="35" t="str" cm="1">
        <f t="array" ref="N1823">IFERROR(IF(Tabla8[[#This Row],[P/NP]]="NO PROGRAMADA","",_xlfn.TEXTJOIN(", ",TRUE,_xlfn._xlws.FILTER(Tabla4[[#All],[PIEZA]],ISNUMBER(SEARCH(Tabla4[[#All],[PCLAVE]],Tabla8[[#This Row],[DESCRIPCION DE TRABAJO]])),""))),"")</f>
        <v/>
      </c>
      <c r="O1823" s="35" t="str" cm="1">
        <f t="array" ref="O1823">_xlfn.TEXTJOIN(", ",TRUE,_xlfn._xlws.FILTER(Tabla28[[#All],[PARTE]],ISNUMBER(SEARCH(Tabla28[[#All],[PCLAVE2]],Tabla8[[#This Row],[DESCRIPCION DE TRABAJO]])),""))</f>
        <v/>
      </c>
      <c r="P1823" s="633" t="str">
        <f>IFERROR(LEFT(O1823, FIND(",", O1823)-1), O1823)</f>
        <v/>
      </c>
      <c r="Q1823" s="633" t="str">
        <f>IFERROR(IF(ISERROR(FIND(",", O1823, FIND(",", O1823)+1)), RIGHT(O1823, LEN(O1823)-FIND(",", O1823)-1), MID(O1823, FIND(",", O1823)+2, FIND(",", O1823, FIND(",", O1823)+1)-FIND(",", O1823)-2)), "")</f>
        <v/>
      </c>
      <c r="R1823" s="633" t="str">
        <f>IFERROR(RIGHT(O1823, LEN(O1823)-FIND(",", O1823, FIND(",", O1823)+1)-1), "")</f>
        <v/>
      </c>
      <c r="S1823" s="35" t="str" cm="1">
        <f t="array" ref="S1823">_xlfn.TEXTJOIN(", ",TRUE,_xlfn._xlws.FILTER(Tabla29[[#All],[PARTE]],ISNUMBER(SEARCH(Tabla29[[#All],[PCLAVE3]],Tabla8[[#This Row],[DESCRIPCION DE TRABAJO]])),""))</f>
        <v/>
      </c>
      <c r="T1823" s="88" t="str">
        <f>IF(AND(Tabla8[[#This Row],[PIEZA]]="",Tabla8[[#This Row],[PARTE]]=""),"VACIO","OK")</f>
        <v>VACIO</v>
      </c>
      <c r="U1823" s="633" t="str">
        <f>+CONCATENATE(WEEKNUM(Tabla8[[#This Row],[FECHA]]),"-",YEAR(Tabla8[[#This Row],[FECHA]]))</f>
        <v>25-2026</v>
      </c>
    </row>
    <row r="1824" spans="1:21" ht="15" customHeight="1">
      <c r="A1824" s="22">
        <v>46190</v>
      </c>
      <c r="B1824" s="16" t="s">
        <v>191</v>
      </c>
      <c r="C1824" s="16" t="s">
        <v>39</v>
      </c>
      <c r="D1824" s="381">
        <v>0.88680555555555551</v>
      </c>
      <c r="E1824" s="381">
        <v>0.9</v>
      </c>
      <c r="F1824" s="632">
        <f>+MOD(Tabla8[[#This Row],[HR. FIN]]-Tabla8[[#This Row],[HR. INICIO]],1)</f>
        <v>1.3194444444444509E-2</v>
      </c>
      <c r="G1824" s="16" t="s">
        <v>215</v>
      </c>
      <c r="H1824" s="79" t="str">
        <f>IFERROR(VLOOKUP(G1824,DATOS!$M$2:$N$219,2,FALSE),"")</f>
        <v>Equipos auxiliares</v>
      </c>
      <c r="I1824" s="115" t="s">
        <v>54</v>
      </c>
      <c r="J1824" s="115" t="s">
        <v>157</v>
      </c>
      <c r="K1824" s="115"/>
      <c r="L1824" s="35" t="s">
        <v>248</v>
      </c>
      <c r="M1824" s="35" t="s">
        <v>121</v>
      </c>
      <c r="N1824" s="35" t="str" cm="1">
        <f t="array" ref="N1824">IFERROR(IF(Tabla8[[#This Row],[P/NP]]="NO PROGRAMADA","",_xlfn.TEXTJOIN(", ",TRUE,_xlfn._xlws.FILTER(Tabla4[[#All],[PIEZA]],ISNUMBER(SEARCH(Tabla4[[#All],[PCLAVE]],Tabla8[[#This Row],[DESCRIPCION DE TRABAJO]])),""))),"")</f>
        <v/>
      </c>
      <c r="O1824" s="35" t="str" cm="1">
        <f t="array" ref="O1824">_xlfn.TEXTJOIN(", ",TRUE,_xlfn._xlws.FILTER(Tabla28[[#All],[PARTE]],ISNUMBER(SEARCH(Tabla28[[#All],[PCLAVE2]],Tabla8[[#This Row],[DESCRIPCION DE TRABAJO]])),""))</f>
        <v/>
      </c>
      <c r="P1824" s="633" t="str">
        <f>IFERROR(LEFT(O1824, FIND(",", O1824)-1), O1824)</f>
        <v/>
      </c>
      <c r="Q1824" s="633" t="str">
        <f>IFERROR(IF(ISERROR(FIND(",", O1824, FIND(",", O1824)+1)), RIGHT(O1824, LEN(O1824)-FIND(",", O1824)-1), MID(O1824, FIND(",", O1824)+2, FIND(",", O1824, FIND(",", O1824)+1)-FIND(",", O1824)-2)), "")</f>
        <v/>
      </c>
      <c r="R1824" s="633" t="str">
        <f>IFERROR(RIGHT(O1824, LEN(O1824)-FIND(",", O1824, FIND(",", O1824)+1)-1), "")</f>
        <v/>
      </c>
      <c r="S1824" s="35" t="str" cm="1">
        <f t="array" ref="S1824">_xlfn.TEXTJOIN(", ",TRUE,_xlfn._xlws.FILTER(Tabla29[[#All],[PARTE]],ISNUMBER(SEARCH(Tabla29[[#All],[PCLAVE3]],Tabla8[[#This Row],[DESCRIPCION DE TRABAJO]])),""))</f>
        <v/>
      </c>
      <c r="T1824" s="88" t="str">
        <f>IF(AND(Tabla8[[#This Row],[PIEZA]]="",Tabla8[[#This Row],[PARTE]]=""),"VACIO","OK")</f>
        <v>VACIO</v>
      </c>
      <c r="U1824" s="633" t="str">
        <f>+CONCATENATE(WEEKNUM(Tabla8[[#This Row],[FECHA]]),"-",YEAR(Tabla8[[#This Row],[FECHA]]))</f>
        <v>25-2026</v>
      </c>
    </row>
    <row r="1825" spans="1:21" ht="15" customHeight="1">
      <c r="A1825" s="22">
        <v>46190</v>
      </c>
      <c r="B1825" s="16" t="s">
        <v>191</v>
      </c>
      <c r="C1825" s="16" t="s">
        <v>39</v>
      </c>
      <c r="D1825" s="381">
        <v>0.98333333333333328</v>
      </c>
      <c r="E1825" s="381">
        <v>0.99652777777777779</v>
      </c>
      <c r="F1825" s="632">
        <f>+MOD(Tabla8[[#This Row],[HR. FIN]]-Tabla8[[#This Row],[HR. INICIO]],1)</f>
        <v>1.3194444444444509E-2</v>
      </c>
      <c r="G1825" s="16" t="s">
        <v>312</v>
      </c>
      <c r="H1825" s="79" t="str">
        <f>IFERROR(VLOOKUP(G1825,DATOS!$M$2:$N$219,2,FALSE),"")</f>
        <v>Maquinaria</v>
      </c>
      <c r="I1825" s="115" t="s">
        <v>61</v>
      </c>
      <c r="J1825" s="115" t="s">
        <v>92</v>
      </c>
      <c r="K1825" s="115" t="s">
        <v>93</v>
      </c>
      <c r="L1825" s="35" t="s">
        <v>3232</v>
      </c>
      <c r="M1825" s="35" t="s">
        <v>3233</v>
      </c>
      <c r="N1825" s="35" t="str" cm="1">
        <f t="array" ref="N1825">IFERROR(IF(Tabla8[[#This Row],[P/NP]]="NO PROGRAMADA","",_xlfn.TEXTJOIN(", ",TRUE,_xlfn._xlws.FILTER(Tabla4[[#All],[PIEZA]],ISNUMBER(SEARCH(Tabla4[[#All],[PCLAVE]],Tabla8[[#This Row],[DESCRIPCION DE TRABAJO]])),""))),"")</f>
        <v/>
      </c>
      <c r="O1825" s="35" t="str" cm="1">
        <f t="array" ref="O1825">_xlfn.TEXTJOIN(", ",TRUE,_xlfn._xlws.FILTER(Tabla28[[#All],[PARTE]],ISNUMBER(SEARCH(Tabla28[[#All],[PCLAVE2]],Tabla8[[#This Row],[DESCRIPCION DE TRABAJO]])),""))</f>
        <v/>
      </c>
      <c r="P1825" s="633" t="str">
        <f>IFERROR(LEFT(O1825, FIND(",", O1825)-1), O1825)</f>
        <v/>
      </c>
      <c r="Q1825" s="633" t="str">
        <f>IFERROR(IF(ISERROR(FIND(",", O1825, FIND(",", O1825)+1)), RIGHT(O1825, LEN(O1825)-FIND(",", O1825)-1), MID(O1825, FIND(",", O1825)+2, FIND(",", O1825, FIND(",", O1825)+1)-FIND(",", O1825)-2)), "")</f>
        <v/>
      </c>
      <c r="R1825" s="633" t="str">
        <f>IFERROR(RIGHT(O1825, LEN(O1825)-FIND(",", O1825, FIND(",", O1825)+1)-1), "")</f>
        <v/>
      </c>
      <c r="S1825" s="35" t="str" cm="1">
        <f t="array" ref="S1825">_xlfn.TEXTJOIN(", ",TRUE,_xlfn._xlws.FILTER(Tabla29[[#All],[PARTE]],ISNUMBER(SEARCH(Tabla29[[#All],[PCLAVE3]],Tabla8[[#This Row],[DESCRIPCION DE TRABAJO]])),""))</f>
        <v/>
      </c>
      <c r="T1825" s="88" t="str">
        <f>IF(AND(Tabla8[[#This Row],[PIEZA]]="",Tabla8[[#This Row],[PARTE]]=""),"VACIO","OK")</f>
        <v>VACIO</v>
      </c>
      <c r="U1825" s="633" t="str">
        <f>+CONCATENATE(WEEKNUM(Tabla8[[#This Row],[FECHA]]),"-",YEAR(Tabla8[[#This Row],[FECHA]]))</f>
        <v>25-2026</v>
      </c>
    </row>
    <row r="1826" spans="1:21" ht="15" customHeight="1">
      <c r="A1826" s="22">
        <v>46190</v>
      </c>
      <c r="B1826" s="16" t="s">
        <v>191</v>
      </c>
      <c r="C1826" s="16" t="s">
        <v>39</v>
      </c>
      <c r="D1826" s="381">
        <v>0.90694444444444444</v>
      </c>
      <c r="E1826" s="381">
        <v>0.91874999999999996</v>
      </c>
      <c r="F1826" s="632">
        <f>+MOD(Tabla8[[#This Row],[HR. FIN]]-Tabla8[[#This Row],[HR. INICIO]],1)</f>
        <v>1.1805555555555514E-2</v>
      </c>
      <c r="G1826" s="16" t="s">
        <v>312</v>
      </c>
      <c r="H1826" s="79" t="str">
        <f>IFERROR(VLOOKUP(G1826,DATOS!$M$2:$N$219,2,FALSE),"")</f>
        <v>Maquinaria</v>
      </c>
      <c r="I1826" s="115" t="s">
        <v>245</v>
      </c>
      <c r="J1826" s="115" t="s">
        <v>92</v>
      </c>
      <c r="K1826" s="115" t="s">
        <v>93</v>
      </c>
      <c r="L1826" s="35" t="s">
        <v>3234</v>
      </c>
      <c r="M1826" s="35" t="s">
        <v>3235</v>
      </c>
      <c r="N1826" s="35" t="str" cm="1">
        <f t="array" ref="N1826">IFERROR(IF(Tabla8[[#This Row],[P/NP]]="NO PROGRAMADA","",_xlfn.TEXTJOIN(", ",TRUE,_xlfn._xlws.FILTER(Tabla4[[#All],[PIEZA]],ISNUMBER(SEARCH(Tabla4[[#All],[PCLAVE]],Tabla8[[#This Row],[DESCRIPCION DE TRABAJO]])),""))),"")</f>
        <v/>
      </c>
      <c r="O1826" s="35" t="str" cm="1">
        <f t="array" ref="O1826">_xlfn.TEXTJOIN(", ",TRUE,_xlfn._xlws.FILTER(Tabla28[[#All],[PARTE]],ISNUMBER(SEARCH(Tabla28[[#All],[PCLAVE2]],Tabla8[[#This Row],[DESCRIPCION DE TRABAJO]])),""))</f>
        <v/>
      </c>
      <c r="P1826" s="633" t="str">
        <f>IFERROR(LEFT(O1826, FIND(",", O1826)-1), O1826)</f>
        <v/>
      </c>
      <c r="Q1826" s="633" t="str">
        <f>IFERROR(IF(ISERROR(FIND(",", O1826, FIND(",", O1826)+1)), RIGHT(O1826, LEN(O1826)-FIND(",", O1826)-1), MID(O1826, FIND(",", O1826)+2, FIND(",", O1826, FIND(",", O1826)+1)-FIND(",", O1826)-2)), "")</f>
        <v/>
      </c>
      <c r="R1826" s="633" t="str">
        <f>IFERROR(RIGHT(O1826, LEN(O1826)-FIND(",", O1826, FIND(",", O1826)+1)-1), "")</f>
        <v/>
      </c>
      <c r="S1826" s="35" t="str" cm="1">
        <f t="array" ref="S1826">_xlfn.TEXTJOIN(", ",TRUE,_xlfn._xlws.FILTER(Tabla29[[#All],[PARTE]],ISNUMBER(SEARCH(Tabla29[[#All],[PCLAVE3]],Tabla8[[#This Row],[DESCRIPCION DE TRABAJO]])),""))</f>
        <v>Ruido</v>
      </c>
      <c r="T1826" s="88" t="str">
        <f>IF(AND(Tabla8[[#This Row],[PIEZA]]="",Tabla8[[#This Row],[PARTE]]=""),"VACIO","OK")</f>
        <v>VACIO</v>
      </c>
      <c r="U1826" s="633" t="str">
        <f>+CONCATENATE(WEEKNUM(Tabla8[[#This Row],[FECHA]]),"-",YEAR(Tabla8[[#This Row],[FECHA]]))</f>
        <v>25-2026</v>
      </c>
    </row>
    <row r="1827" spans="1:21" ht="15" customHeight="1">
      <c r="A1827" s="22">
        <v>46190</v>
      </c>
      <c r="B1827" s="16" t="s">
        <v>111</v>
      </c>
      <c r="C1827" s="16" t="s">
        <v>36</v>
      </c>
      <c r="D1827" s="381">
        <v>0.3576388888888889</v>
      </c>
      <c r="E1827" s="381">
        <v>0.36805555555555558</v>
      </c>
      <c r="F1827" s="632">
        <f>+MOD(Tabla8[[#This Row],[HR. FIN]]-Tabla8[[#This Row],[HR. INICIO]],1)</f>
        <v>1.0416666666666685E-2</v>
      </c>
      <c r="G1827" s="16" t="s">
        <v>266</v>
      </c>
      <c r="H1827" s="79" t="str">
        <f>IFERROR(VLOOKUP(G1827,DATOS!$M$2:$N$219,2,FALSE),"")</f>
        <v>Maquinaria</v>
      </c>
      <c r="I1827" s="115" t="s">
        <v>25</v>
      </c>
      <c r="J1827" s="115" t="s">
        <v>157</v>
      </c>
      <c r="K1827" s="115"/>
      <c r="L1827" s="35" t="s">
        <v>3236</v>
      </c>
      <c r="M1827" s="35" t="s">
        <v>121</v>
      </c>
      <c r="N1827" s="35" t="str" cm="1">
        <f t="array" ref="N1827">IFERROR(IF(Tabla8[[#This Row],[P/NP]]="NO PROGRAMADA","",_xlfn.TEXTJOIN(", ",TRUE,_xlfn._xlws.FILTER(Tabla4[[#All],[PIEZA]],ISNUMBER(SEARCH(Tabla4[[#All],[PCLAVE]],Tabla8[[#This Row],[DESCRIPCION DE TRABAJO]])),""))),"")</f>
        <v>Producto, Tuberias</v>
      </c>
      <c r="O1827" s="35" t="str" cm="1">
        <f t="array" ref="O1827">_xlfn.TEXTJOIN(", ",TRUE,_xlfn._xlws.FILTER(Tabla28[[#All],[PARTE]],ISNUMBER(SEARCH(Tabla28[[#All],[PCLAVE2]],Tabla8[[#This Row],[DESCRIPCION DE TRABAJO]])),""))</f>
        <v/>
      </c>
      <c r="P1827" s="633" t="str">
        <f>IFERROR(LEFT(O1827, FIND(",", O1827)-1), O1827)</f>
        <v/>
      </c>
      <c r="Q1827" s="633" t="str">
        <f>IFERROR(IF(ISERROR(FIND(",", O1827, FIND(",", O1827)+1)), RIGHT(O1827, LEN(O1827)-FIND(",", O1827)-1), MID(O1827, FIND(",", O1827)+2, FIND(",", O1827, FIND(",", O1827)+1)-FIND(",", O1827)-2)), "")</f>
        <v/>
      </c>
      <c r="R1827" s="633" t="str">
        <f>IFERROR(RIGHT(O1827, LEN(O1827)-FIND(",", O1827, FIND(",", O1827)+1)-1), "")</f>
        <v/>
      </c>
      <c r="S1827" s="35" t="str" cm="1">
        <f t="array" ref="S1827">_xlfn.TEXTJOIN(", ",TRUE,_xlfn._xlws.FILTER(Tabla29[[#All],[PARTE]],ISNUMBER(SEARCH(Tabla29[[#All],[PCLAVE3]],Tabla8[[#This Row],[DESCRIPCION DE TRABAJO]])),""))</f>
        <v/>
      </c>
      <c r="T1827" s="88" t="str">
        <f>IF(AND(Tabla8[[#This Row],[PIEZA]]="",Tabla8[[#This Row],[PARTE]]=""),"VACIO","OK")</f>
        <v>OK</v>
      </c>
      <c r="U1827" s="633" t="str">
        <f>+CONCATENATE(WEEKNUM(Tabla8[[#This Row],[FECHA]]),"-",YEAR(Tabla8[[#This Row],[FECHA]]))</f>
        <v>25-2026</v>
      </c>
    </row>
    <row r="1828" spans="1:21" ht="15" customHeight="1">
      <c r="A1828" s="22">
        <v>46190</v>
      </c>
      <c r="B1828" s="16" t="s">
        <v>111</v>
      </c>
      <c r="C1828" s="16" t="s">
        <v>36</v>
      </c>
      <c r="D1828" s="381">
        <v>0.46875</v>
      </c>
      <c r="E1828" s="381">
        <v>0.47916666666666669</v>
      </c>
      <c r="F1828" s="632">
        <f>+MOD(Tabla8[[#This Row],[HR. FIN]]-Tabla8[[#This Row],[HR. INICIO]],1)</f>
        <v>1.0416666666666685E-2</v>
      </c>
      <c r="G1828" s="16" t="s">
        <v>182</v>
      </c>
      <c r="H1828" s="79" t="str">
        <f>IFERROR(VLOOKUP(G1828,DATOS!$M$2:$N$219,2,FALSE),"")</f>
        <v>Maquinaria</v>
      </c>
      <c r="I1828" s="115" t="s">
        <v>57</v>
      </c>
      <c r="J1828" s="115" t="s">
        <v>92</v>
      </c>
      <c r="K1828" s="115" t="s">
        <v>93</v>
      </c>
      <c r="L1828" s="35" t="s">
        <v>2506</v>
      </c>
      <c r="M1828" s="35" t="s">
        <v>3237</v>
      </c>
      <c r="N1828" s="35" t="str" cm="1">
        <f t="array" ref="N1828">IFERROR(IF(Tabla8[[#This Row],[P/NP]]="NO PROGRAMADA","",_xlfn.TEXTJOIN(", ",TRUE,_xlfn._xlws.FILTER(Tabla4[[#All],[PIEZA]],ISNUMBER(SEARCH(Tabla4[[#All],[PCLAVE]],Tabla8[[#This Row],[DESCRIPCION DE TRABAJO]])),""))),"")</f>
        <v/>
      </c>
      <c r="O1828" s="35" t="str" cm="1">
        <f t="array" ref="O1828">_xlfn.TEXTJOIN(", ",TRUE,_xlfn._xlws.FILTER(Tabla28[[#All],[PARTE]],ISNUMBER(SEARCH(Tabla28[[#All],[PCLAVE2]],Tabla8[[#This Row],[DESCRIPCION DE TRABAJO]])),""))</f>
        <v/>
      </c>
      <c r="P1828" s="633" t="str">
        <f>IFERROR(LEFT(O1828, FIND(",", O1828)-1), O1828)</f>
        <v/>
      </c>
      <c r="Q1828" s="633" t="str">
        <f>IFERROR(IF(ISERROR(FIND(",", O1828, FIND(",", O1828)+1)), RIGHT(O1828, LEN(O1828)-FIND(",", O1828)-1), MID(O1828, FIND(",", O1828)+2, FIND(",", O1828, FIND(",", O1828)+1)-FIND(",", O1828)-2)), "")</f>
        <v/>
      </c>
      <c r="R1828" s="633" t="str">
        <f>IFERROR(RIGHT(O1828, LEN(O1828)-FIND(",", O1828, FIND(",", O1828)+1)-1), "")</f>
        <v/>
      </c>
      <c r="S1828" s="35" t="str" cm="1">
        <f t="array" ref="S1828">_xlfn.TEXTJOIN(", ",TRUE,_xlfn._xlws.FILTER(Tabla29[[#All],[PARTE]],ISNUMBER(SEARCH(Tabla29[[#All],[PCLAVE3]],Tabla8[[#This Row],[DESCRIPCION DE TRABAJO]])),""))</f>
        <v>Sellado</v>
      </c>
      <c r="T1828" s="88" t="str">
        <f>IF(AND(Tabla8[[#This Row],[PIEZA]]="",Tabla8[[#This Row],[PARTE]]=""),"VACIO","OK")</f>
        <v>VACIO</v>
      </c>
      <c r="U1828" s="633" t="str">
        <f>+CONCATENATE(WEEKNUM(Tabla8[[#This Row],[FECHA]]),"-",YEAR(Tabla8[[#This Row],[FECHA]]))</f>
        <v>25-2026</v>
      </c>
    </row>
    <row r="1829" spans="1:21" ht="15" customHeight="1">
      <c r="A1829" s="22">
        <v>46190</v>
      </c>
      <c r="B1829" s="16" t="s">
        <v>191</v>
      </c>
      <c r="C1829" s="16" t="s">
        <v>39</v>
      </c>
      <c r="D1829" s="381">
        <v>6.805555555555555E-2</v>
      </c>
      <c r="E1829" s="381">
        <v>7.8472222222222221E-2</v>
      </c>
      <c r="F1829" s="632">
        <f>+MOD(Tabla8[[#This Row],[HR. FIN]]-Tabla8[[#This Row],[HR. INICIO]],1)</f>
        <v>1.0416666666666671E-2</v>
      </c>
      <c r="G1829" s="16" t="s">
        <v>153</v>
      </c>
      <c r="H1829" s="79" t="str">
        <f>IFERROR(VLOOKUP(G1829,DATOS!$M$2:$N$219,2,FALSE),"")</f>
        <v>Maquinaria</v>
      </c>
      <c r="I1829" s="115" t="s">
        <v>186</v>
      </c>
      <c r="J1829" s="115" t="s">
        <v>92</v>
      </c>
      <c r="K1829" s="115" t="s">
        <v>93</v>
      </c>
      <c r="L1829" s="35" t="s">
        <v>3238</v>
      </c>
      <c r="M1829" s="35" t="s">
        <v>3239</v>
      </c>
      <c r="N1829" s="35" t="str" cm="1">
        <f t="array" ref="N1829">IFERROR(IF(Tabla8[[#This Row],[P/NP]]="NO PROGRAMADA","",_xlfn.TEXTJOIN(", ",TRUE,_xlfn._xlws.FILTER(Tabla4[[#All],[PIEZA]],ISNUMBER(SEARCH(Tabla4[[#All],[PCLAVE]],Tabla8[[#This Row],[DESCRIPCION DE TRABAJO]])),""))),"")</f>
        <v/>
      </c>
      <c r="O1829" s="35" t="str" cm="1">
        <f t="array" ref="O1829">_xlfn.TEXTJOIN(", ",TRUE,_xlfn._xlws.FILTER(Tabla28[[#All],[PARTE]],ISNUMBER(SEARCH(Tabla28[[#All],[PCLAVE2]],Tabla8[[#This Row],[DESCRIPCION DE TRABAJO]])),""))</f>
        <v>Contraelevador</v>
      </c>
      <c r="P1829" s="633" t="str">
        <f>IFERROR(LEFT(O1829, FIND(",", O1829)-1), O1829)</f>
        <v>Contraelevador</v>
      </c>
      <c r="Q1829" s="633" t="str">
        <f>IFERROR(IF(ISERROR(FIND(",", O1829, FIND(",", O1829)+1)), RIGHT(O1829, LEN(O1829)-FIND(",", O1829)-1), MID(O1829, FIND(",", O1829)+2, FIND(",", O1829, FIND(",", O1829)+1)-FIND(",", O1829)-2)), "")</f>
        <v/>
      </c>
      <c r="R1829" s="633" t="str">
        <f>IFERROR(RIGHT(O1829, LEN(O1829)-FIND(",", O1829, FIND(",", O1829)+1)-1), "")</f>
        <v/>
      </c>
      <c r="S1829" s="35" t="str" cm="1">
        <f t="array" ref="S1829">_xlfn.TEXTJOIN(", ",TRUE,_xlfn._xlws.FILTER(Tabla29[[#All],[PARTE]],ISNUMBER(SEARCH(Tabla29[[#All],[PCLAVE3]],Tabla8[[#This Row],[DESCRIPCION DE TRABAJO]])),""))</f>
        <v>Desalineado</v>
      </c>
      <c r="T1829" s="88" t="str">
        <f>IF(AND(Tabla8[[#This Row],[PIEZA]]="",Tabla8[[#This Row],[PARTE]]=""),"VACIO","OK")</f>
        <v>OK</v>
      </c>
      <c r="U1829" s="633" t="str">
        <f>+CONCATENATE(WEEKNUM(Tabla8[[#This Row],[FECHA]]),"-",YEAR(Tabla8[[#This Row],[FECHA]]))</f>
        <v>25-2026</v>
      </c>
    </row>
    <row r="1830" spans="1:21" ht="15" customHeight="1">
      <c r="A1830" s="22">
        <v>46190</v>
      </c>
      <c r="B1830" s="16" t="s">
        <v>191</v>
      </c>
      <c r="C1830" s="16" t="s">
        <v>39</v>
      </c>
      <c r="D1830" s="381">
        <v>0.94513888888888886</v>
      </c>
      <c r="E1830" s="381">
        <v>0.95347222222222228</v>
      </c>
      <c r="F1830" s="632">
        <f>+MOD(Tabla8[[#This Row],[HR. FIN]]-Tabla8[[#This Row],[HR. INICIO]],1)</f>
        <v>8.3333333333334147E-3</v>
      </c>
      <c r="G1830" s="16" t="s">
        <v>552</v>
      </c>
      <c r="H1830" s="79" t="str">
        <f>IFERROR(VLOOKUP(G1830,DATOS!$M$2:$N$219,2,FALSE),"")</f>
        <v>Maquinaria</v>
      </c>
      <c r="I1830" s="115" t="s">
        <v>57</v>
      </c>
      <c r="J1830" s="115" t="s">
        <v>92</v>
      </c>
      <c r="K1830" s="115" t="s">
        <v>93</v>
      </c>
      <c r="L1830" s="35" t="s">
        <v>3240</v>
      </c>
      <c r="M1830" s="35" t="s">
        <v>3241</v>
      </c>
      <c r="N1830" s="35" t="str" cm="1">
        <f t="array" ref="N1830">IFERROR(IF(Tabla8[[#This Row],[P/NP]]="NO PROGRAMADA","",_xlfn.TEXTJOIN(", ",TRUE,_xlfn._xlws.FILTER(Tabla4[[#All],[PIEZA]],ISNUMBER(SEARCH(Tabla4[[#All],[PCLAVE]],Tabla8[[#This Row],[DESCRIPCION DE TRABAJO]])),""))),"")</f>
        <v/>
      </c>
      <c r="O1830" s="35" t="str" cm="1">
        <f t="array" ref="O1830">_xlfn.TEXTJOIN(", ",TRUE,_xlfn._xlws.FILTER(Tabla28[[#All],[PARTE]],ISNUMBER(SEARCH(Tabla28[[#All],[PCLAVE2]],Tabla8[[#This Row],[DESCRIPCION DE TRABAJO]])),""))</f>
        <v>Impresora</v>
      </c>
      <c r="P1830" s="633" t="str">
        <f>IFERROR(LEFT(O1830, FIND(",", O1830)-1), O1830)</f>
        <v>Impresora</v>
      </c>
      <c r="Q1830" s="633" t="str">
        <f>IFERROR(IF(ISERROR(FIND(",", O1830, FIND(",", O1830)+1)), RIGHT(O1830, LEN(O1830)-FIND(",", O1830)-1), MID(O1830, FIND(",", O1830)+2, FIND(",", O1830, FIND(",", O1830)+1)-FIND(",", O1830)-2)), "")</f>
        <v/>
      </c>
      <c r="R1830" s="633" t="str">
        <f>IFERROR(RIGHT(O1830, LEN(O1830)-FIND(",", O1830, FIND(",", O1830)+1)-1), "")</f>
        <v/>
      </c>
      <c r="S1830" s="35" t="str" cm="1">
        <f t="array" ref="S1830">_xlfn.TEXTJOIN(", ",TRUE,_xlfn._xlws.FILTER(Tabla29[[#All],[PARTE]],ISNUMBER(SEARCH(Tabla29[[#All],[PCLAVE3]],Tabla8[[#This Row],[DESCRIPCION DE TRABAJO]])),""))</f>
        <v>No Inicia</v>
      </c>
      <c r="T1830" s="88" t="str">
        <f>IF(AND(Tabla8[[#This Row],[PIEZA]]="",Tabla8[[#This Row],[PARTE]]=""),"VACIO","OK")</f>
        <v>OK</v>
      </c>
      <c r="U1830" s="633" t="str">
        <f>+CONCATENATE(WEEKNUM(Tabla8[[#This Row],[FECHA]]),"-",YEAR(Tabla8[[#This Row],[FECHA]]))</f>
        <v>25-2026</v>
      </c>
    </row>
    <row r="1831" spans="1:21" ht="15" customHeight="1">
      <c r="A1831" s="22">
        <v>46190</v>
      </c>
      <c r="B1831" s="16" t="s">
        <v>111</v>
      </c>
      <c r="C1831" s="16" t="s">
        <v>36</v>
      </c>
      <c r="D1831" s="381">
        <v>0.3263888888888889</v>
      </c>
      <c r="E1831" s="381">
        <v>0.33333333333333331</v>
      </c>
      <c r="F1831" s="632">
        <f>+MOD(Tabla8[[#This Row],[HR. FIN]]-Tabla8[[#This Row],[HR. INICIO]],1)</f>
        <v>6.9444444444444198E-3</v>
      </c>
      <c r="G1831" s="16" t="s">
        <v>3242</v>
      </c>
      <c r="H1831" s="79" t="str">
        <f>IFERROR(VLOOKUP(G1831,DATOS!$M$2:$N$219,2,FALSE),"")</f>
        <v>Area</v>
      </c>
      <c r="I1831" s="115" t="s">
        <v>186</v>
      </c>
      <c r="J1831" s="115" t="s">
        <v>157</v>
      </c>
      <c r="K1831" s="115"/>
      <c r="L1831" s="35" t="s">
        <v>3243</v>
      </c>
      <c r="M1831" s="35" t="s">
        <v>121</v>
      </c>
      <c r="N1831" s="35" t="str" cm="1">
        <f t="array" ref="N1831">IFERROR(IF(Tabla8[[#This Row],[P/NP]]="NO PROGRAMADA","",_xlfn.TEXTJOIN(", ",TRUE,_xlfn._xlws.FILTER(Tabla4[[#All],[PIEZA]],ISNUMBER(SEARCH(Tabla4[[#All],[PCLAVE]],Tabla8[[#This Row],[DESCRIPCION DE TRABAJO]])),""))),"")</f>
        <v>Elevador, Tuberias, Elevador</v>
      </c>
      <c r="O1831" s="35" t="str" cm="1">
        <f t="array" ref="O1831">_xlfn.TEXTJOIN(", ",TRUE,_xlfn._xlws.FILTER(Tabla28[[#All],[PARTE]],ISNUMBER(SEARCH(Tabla28[[#All],[PCLAVE2]],Tabla8[[#This Row],[DESCRIPCION DE TRABAJO]])),""))</f>
        <v>Columna</v>
      </c>
      <c r="P1831" s="633" t="str">
        <f>IFERROR(LEFT(O1831, FIND(",", O1831)-1), O1831)</f>
        <v>Columna</v>
      </c>
      <c r="Q1831" s="633" t="str">
        <f>IFERROR(IF(ISERROR(FIND(",", O1831, FIND(",", O1831)+1)), RIGHT(O1831, LEN(O1831)-FIND(",", O1831)-1), MID(O1831, FIND(",", O1831)+2, FIND(",", O1831, FIND(",", O1831)+1)-FIND(",", O1831)-2)), "")</f>
        <v/>
      </c>
      <c r="R1831" s="633" t="str">
        <f>IFERROR(RIGHT(O1831, LEN(O1831)-FIND(",", O1831, FIND(",", O1831)+1)-1), "")</f>
        <v/>
      </c>
      <c r="S1831" s="35" t="str" cm="1">
        <f t="array" ref="S1831">_xlfn.TEXTJOIN(", ",TRUE,_xlfn._xlws.FILTER(Tabla29[[#All],[PARTE]],ISNUMBER(SEARCH(Tabla29[[#All],[PCLAVE3]],Tabla8[[#This Row],[DESCRIPCION DE TRABAJO]])),""))</f>
        <v/>
      </c>
      <c r="T1831" s="88" t="str">
        <f>IF(AND(Tabla8[[#This Row],[PIEZA]]="",Tabla8[[#This Row],[PARTE]]=""),"VACIO","OK")</f>
        <v>OK</v>
      </c>
      <c r="U1831" s="633" t="str">
        <f>+CONCATENATE(WEEKNUM(Tabla8[[#This Row],[FECHA]]),"-",YEAR(Tabla8[[#This Row],[FECHA]]))</f>
        <v>25-2026</v>
      </c>
    </row>
    <row r="1832" spans="1:21" ht="15" customHeight="1">
      <c r="A1832" s="22">
        <v>46190</v>
      </c>
      <c r="B1832" s="16" t="s">
        <v>111</v>
      </c>
      <c r="C1832" s="16" t="s">
        <v>36</v>
      </c>
      <c r="D1832" s="381">
        <v>0.375</v>
      </c>
      <c r="E1832" s="381">
        <v>0.38194444444444442</v>
      </c>
      <c r="F1832" s="632">
        <f>+MOD(Tabla8[[#This Row],[HR. FIN]]-Tabla8[[#This Row],[HR. INICIO]],1)</f>
        <v>6.9444444444444198E-3</v>
      </c>
      <c r="G1832" s="16" t="s">
        <v>205</v>
      </c>
      <c r="H1832" s="79" t="str">
        <f>IFERROR(VLOOKUP(G1832,DATOS!$M$2:$N$219,2,FALSE),"")</f>
        <v>Maquinaria</v>
      </c>
      <c r="I1832" s="115" t="s">
        <v>25</v>
      </c>
      <c r="J1832" s="115" t="s">
        <v>157</v>
      </c>
      <c r="K1832" s="115"/>
      <c r="L1832" s="35" t="s">
        <v>3244</v>
      </c>
      <c r="M1832" s="35" t="s">
        <v>121</v>
      </c>
      <c r="N1832" s="35" t="str" cm="1">
        <f t="array" ref="N1832">IFERROR(IF(Tabla8[[#This Row],[P/NP]]="NO PROGRAMADA","",_xlfn.TEXTJOIN(", ",TRUE,_xlfn._xlws.FILTER(Tabla4[[#All],[PIEZA]],ISNUMBER(SEARCH(Tabla4[[#All],[PCLAVE]],Tabla8[[#This Row],[DESCRIPCION DE TRABAJO]])),""))),"")</f>
        <v/>
      </c>
      <c r="O1832" s="35" t="str" cm="1">
        <f t="array" ref="O1832">_xlfn.TEXTJOIN(", ",TRUE,_xlfn._xlws.FILTER(Tabla28[[#All],[PARTE]],ISNUMBER(SEARCH(Tabla28[[#All],[PCLAVE2]],Tabla8[[#This Row],[DESCRIPCION DE TRABAJO]])),""))</f>
        <v/>
      </c>
      <c r="P1832" s="633" t="str">
        <f>IFERROR(LEFT(O1832, FIND(",", O1832)-1), O1832)</f>
        <v/>
      </c>
      <c r="Q1832" s="633" t="str">
        <f>IFERROR(IF(ISERROR(FIND(",", O1832, FIND(",", O1832)+1)), RIGHT(O1832, LEN(O1832)-FIND(",", O1832)-1), MID(O1832, FIND(",", O1832)+2, FIND(",", O1832, FIND(",", O1832)+1)-FIND(",", O1832)-2)), "")</f>
        <v/>
      </c>
      <c r="R1832" s="633" t="str">
        <f>IFERROR(RIGHT(O1832, LEN(O1832)-FIND(",", O1832, FIND(",", O1832)+1)-1), "")</f>
        <v/>
      </c>
      <c r="S1832" s="35" t="str" cm="1">
        <f t="array" ref="S1832">_xlfn.TEXTJOIN(", ",TRUE,_xlfn._xlws.FILTER(Tabla29[[#All],[PARTE]],ISNUMBER(SEARCH(Tabla29[[#All],[PCLAVE3]],Tabla8[[#This Row],[DESCRIPCION DE TRABAJO]])),""))</f>
        <v/>
      </c>
      <c r="T1832" s="88" t="str">
        <f>IF(AND(Tabla8[[#This Row],[PIEZA]]="",Tabla8[[#This Row],[PARTE]]=""),"VACIO","OK")</f>
        <v>VACIO</v>
      </c>
      <c r="U1832" s="633" t="str">
        <f>+CONCATENATE(WEEKNUM(Tabla8[[#This Row],[FECHA]]),"-",YEAR(Tabla8[[#This Row],[FECHA]]))</f>
        <v>25-2026</v>
      </c>
    </row>
    <row r="1833" spans="1:21" ht="15" customHeight="1">
      <c r="A1833" s="22">
        <v>46191</v>
      </c>
      <c r="B1833" s="16" t="s">
        <v>191</v>
      </c>
      <c r="C1833" s="16" t="s">
        <v>39</v>
      </c>
      <c r="D1833" s="381">
        <v>1.7361111111111112E-2</v>
      </c>
      <c r="E1833" s="381">
        <v>6.805555555555555E-2</v>
      </c>
      <c r="F1833" s="632">
        <f>+MOD(Tabla8[[#This Row],[HR. FIN]]-Tabla8[[#This Row],[HR. INICIO]],1)</f>
        <v>5.0694444444444438E-2</v>
      </c>
      <c r="G1833" s="16" t="s">
        <v>2256</v>
      </c>
      <c r="H1833" s="79" t="str">
        <f>IFERROR(VLOOKUP(G1833,DATOS!$M$2:$N$219,2,FALSE),"")</f>
        <v>Maquinaria</v>
      </c>
      <c r="I1833" s="115" t="s">
        <v>61</v>
      </c>
      <c r="J1833" s="115" t="s">
        <v>92</v>
      </c>
      <c r="K1833" s="115" t="s">
        <v>93</v>
      </c>
      <c r="L1833" s="35" t="s">
        <v>3245</v>
      </c>
      <c r="M1833" s="35" t="s">
        <v>3246</v>
      </c>
      <c r="N1833" s="35" t="str" cm="1">
        <f t="array" ref="N1833">IFERROR(IF(Tabla8[[#This Row],[P/NP]]="NO PROGRAMADA","",_xlfn.TEXTJOIN(", ",TRUE,_xlfn._xlws.FILTER(Tabla4[[#All],[PIEZA]],ISNUMBER(SEARCH(Tabla4[[#All],[PCLAVE]],Tabla8[[#This Row],[DESCRIPCION DE TRABAJO]])),""))),"")</f>
        <v/>
      </c>
      <c r="O1833" s="35" t="str" cm="1">
        <f t="array" ref="O1833">_xlfn.TEXTJOIN(", ",TRUE,_xlfn._xlws.FILTER(Tabla28[[#All],[PARTE]],ISNUMBER(SEARCH(Tabla28[[#All],[PCLAVE2]],Tabla8[[#This Row],[DESCRIPCION DE TRABAJO]])),""))</f>
        <v/>
      </c>
      <c r="P1833" s="633" t="str">
        <f>IFERROR(LEFT(O1833, FIND(",", O1833)-1), O1833)</f>
        <v/>
      </c>
      <c r="Q1833" s="633" t="str">
        <f>IFERROR(IF(ISERROR(FIND(",", O1833, FIND(",", O1833)+1)), RIGHT(O1833, LEN(O1833)-FIND(",", O1833)-1), MID(O1833, FIND(",", O1833)+2, FIND(",", O1833, FIND(",", O1833)+1)-FIND(",", O1833)-2)), "")</f>
        <v/>
      </c>
      <c r="R1833" s="633" t="str">
        <f>IFERROR(RIGHT(O1833, LEN(O1833)-FIND(",", O1833, FIND(",", O1833)+1)-1), "")</f>
        <v/>
      </c>
      <c r="S1833" s="35" t="str" cm="1">
        <f t="array" ref="S1833">_xlfn.TEXTJOIN(", ",TRUE,_xlfn._xlws.FILTER(Tabla29[[#All],[PARTE]],ISNUMBER(SEARCH(Tabla29[[#All],[PCLAVE3]],Tabla8[[#This Row],[DESCRIPCION DE TRABAJO]])),""))</f>
        <v>Error, No Avanza, Obstruido</v>
      </c>
      <c r="T1833" s="88" t="str">
        <f>IF(AND(Tabla8[[#This Row],[PIEZA]]="",Tabla8[[#This Row],[PARTE]]=""),"VACIO","OK")</f>
        <v>VACIO</v>
      </c>
      <c r="U1833" s="633" t="str">
        <f>+CONCATENATE(WEEKNUM(Tabla8[[#This Row],[FECHA]]),"-",YEAR(Tabla8[[#This Row],[FECHA]]))</f>
        <v>25-2026</v>
      </c>
    </row>
    <row r="1834" spans="1:21" ht="15" customHeight="1">
      <c r="A1834" s="22">
        <v>46191</v>
      </c>
      <c r="B1834" s="16" t="s">
        <v>179</v>
      </c>
      <c r="C1834" s="16" t="s">
        <v>23</v>
      </c>
      <c r="D1834" s="381">
        <v>0.75</v>
      </c>
      <c r="E1834" s="381">
        <v>0.79166666666666663</v>
      </c>
      <c r="F1834" s="632">
        <f>+MOD(Tabla8[[#This Row],[HR. FIN]]-Tabla8[[#This Row],[HR. INICIO]],1)</f>
        <v>4.166666666666663E-2</v>
      </c>
      <c r="G1834" s="16" t="s">
        <v>312</v>
      </c>
      <c r="H1834" s="79" t="str">
        <f>IFERROR(VLOOKUP(G1834,DATOS!$M$2:$N$219,2,FALSE),"")</f>
        <v>Maquinaria</v>
      </c>
      <c r="I1834" s="115" t="s">
        <v>54</v>
      </c>
      <c r="J1834" s="115" t="s">
        <v>92</v>
      </c>
      <c r="K1834" s="115"/>
      <c r="L1834" s="35" t="s">
        <v>3247</v>
      </c>
      <c r="M1834" s="35" t="s">
        <v>3248</v>
      </c>
      <c r="N1834" s="35" t="str" cm="1">
        <f t="array" ref="N1834">IFERROR(IF(Tabla8[[#This Row],[P/NP]]="NO PROGRAMADA","",_xlfn.TEXTJOIN(", ",TRUE,_xlfn._xlws.FILTER(Tabla4[[#All],[PIEZA]],ISNUMBER(SEARCH(Tabla4[[#All],[PCLAVE]],Tabla8[[#This Row],[DESCRIPCION DE TRABAJO]])),""))),"")</f>
        <v/>
      </c>
      <c r="O1834" s="35" t="str" cm="1">
        <f t="array" ref="O1834">_xlfn.TEXTJOIN(", ",TRUE,_xlfn._xlws.FILTER(Tabla28[[#All],[PARTE]],ISNUMBER(SEARCH(Tabla28[[#All],[PCLAVE2]],Tabla8[[#This Row],[DESCRIPCION DE TRABAJO]])),""))</f>
        <v/>
      </c>
      <c r="P1834" s="633" t="str">
        <f>IFERROR(LEFT(O1834, FIND(",", O1834)-1), O1834)</f>
        <v/>
      </c>
      <c r="Q1834" s="633" t="str">
        <f>IFERROR(IF(ISERROR(FIND(",", O1834, FIND(",", O1834)+1)), RIGHT(O1834, LEN(O1834)-FIND(",", O1834)-1), MID(O1834, FIND(",", O1834)+2, FIND(",", O1834, FIND(",", O1834)+1)-FIND(",", O1834)-2)), "")</f>
        <v/>
      </c>
      <c r="R1834" s="633" t="str">
        <f>IFERROR(RIGHT(O1834, LEN(O1834)-FIND(",", O1834, FIND(",", O1834)+1)-1), "")</f>
        <v/>
      </c>
      <c r="S1834" s="35" t="str" cm="1">
        <f t="array" ref="S1834">_xlfn.TEXTJOIN(", ",TRUE,_xlfn._xlws.FILTER(Tabla29[[#All],[PARTE]],ISNUMBER(SEARCH(Tabla29[[#All],[PCLAVE3]],Tabla8[[#This Row],[DESCRIPCION DE TRABAJO]])),""))</f>
        <v>Desalineado</v>
      </c>
      <c r="T1834" s="88" t="str">
        <f>IF(AND(Tabla8[[#This Row],[PIEZA]]="",Tabla8[[#This Row],[PARTE]]=""),"VACIO","OK")</f>
        <v>VACIO</v>
      </c>
      <c r="U1834" s="633" t="str">
        <f>+CONCATENATE(WEEKNUM(Tabla8[[#This Row],[FECHA]]),"-",YEAR(Tabla8[[#This Row],[FECHA]]))</f>
        <v>25-2026</v>
      </c>
    </row>
    <row r="1835" spans="1:21" ht="15" customHeight="1">
      <c r="A1835" s="22">
        <v>46191</v>
      </c>
      <c r="B1835" s="16" t="s">
        <v>179</v>
      </c>
      <c r="C1835" s="16" t="s">
        <v>23</v>
      </c>
      <c r="D1835" s="381">
        <v>0.83333333333333337</v>
      </c>
      <c r="E1835" s="381">
        <v>0.875</v>
      </c>
      <c r="F1835" s="632">
        <f>+MOD(Tabla8[[#This Row],[HR. FIN]]-Tabla8[[#This Row],[HR. INICIO]],1)</f>
        <v>4.166666666666663E-2</v>
      </c>
      <c r="G1835" s="16" t="s">
        <v>192</v>
      </c>
      <c r="H1835" s="79" t="str">
        <f>IFERROR(VLOOKUP(G1835,DATOS!$M$2:$N$219,2,FALSE),"")</f>
        <v>Maquinaria</v>
      </c>
      <c r="I1835" s="115" t="s">
        <v>32</v>
      </c>
      <c r="J1835" s="115" t="s">
        <v>157</v>
      </c>
      <c r="K1835" s="115"/>
      <c r="L1835" s="35" t="s">
        <v>3249</v>
      </c>
      <c r="M1835" s="35" t="s">
        <v>121</v>
      </c>
      <c r="N1835" s="35" t="str" cm="1">
        <f t="array" ref="N1835">IFERROR(IF(Tabla8[[#This Row],[P/NP]]="NO PROGRAMADA","",_xlfn.TEXTJOIN(", ",TRUE,_xlfn._xlws.FILTER(Tabla4[[#All],[PIEZA]],ISNUMBER(SEARCH(Tabla4[[#All],[PCLAVE]],Tabla8[[#This Row],[DESCRIPCION DE TRABAJO]])),""))),"")</f>
        <v/>
      </c>
      <c r="O1835" s="35" t="str" cm="1">
        <f t="array" ref="O1835">_xlfn.TEXTJOIN(", ",TRUE,_xlfn._xlws.FILTER(Tabla28[[#All],[PARTE]],ISNUMBER(SEARCH(Tabla28[[#All],[PCLAVE2]],Tabla8[[#This Row],[DESCRIPCION DE TRABAJO]])),""))</f>
        <v/>
      </c>
      <c r="P1835" s="633" t="str">
        <f>IFERROR(LEFT(O1835, FIND(",", O1835)-1), O1835)</f>
        <v/>
      </c>
      <c r="Q1835" s="633" t="str">
        <f>IFERROR(IF(ISERROR(FIND(",", O1835, FIND(",", O1835)+1)), RIGHT(O1835, LEN(O1835)-FIND(",", O1835)-1), MID(O1835, FIND(",", O1835)+2, FIND(",", O1835, FIND(",", O1835)+1)-FIND(",", O1835)-2)), "")</f>
        <v/>
      </c>
      <c r="R1835" s="633" t="str">
        <f>IFERROR(RIGHT(O1835, LEN(O1835)-FIND(",", O1835, FIND(",", O1835)+1)-1), "")</f>
        <v/>
      </c>
      <c r="S1835" s="35" t="str" cm="1">
        <f t="array" ref="S1835">_xlfn.TEXTJOIN(", ",TRUE,_xlfn._xlws.FILTER(Tabla29[[#All],[PARTE]],ISNUMBER(SEARCH(Tabla29[[#All],[PCLAVE3]],Tabla8[[#This Row],[DESCRIPCION DE TRABAJO]])),""))</f>
        <v>Cambio De Formato</v>
      </c>
      <c r="T1835" s="88" t="str">
        <f>IF(AND(Tabla8[[#This Row],[PIEZA]]="",Tabla8[[#This Row],[PARTE]]=""),"VACIO","OK")</f>
        <v>VACIO</v>
      </c>
      <c r="U1835" s="633" t="str">
        <f>+CONCATENATE(WEEKNUM(Tabla8[[#This Row],[FECHA]]),"-",YEAR(Tabla8[[#This Row],[FECHA]]))</f>
        <v>25-2026</v>
      </c>
    </row>
    <row r="1836" spans="1:21" ht="15" customHeight="1">
      <c r="A1836" s="22">
        <v>46191</v>
      </c>
      <c r="B1836" s="16" t="s">
        <v>191</v>
      </c>
      <c r="C1836" s="16" t="s">
        <v>39</v>
      </c>
      <c r="D1836" s="381">
        <v>0.94930555555555551</v>
      </c>
      <c r="E1836" s="381">
        <v>0.98472222222222228</v>
      </c>
      <c r="F1836" s="632">
        <f>+MOD(Tabla8[[#This Row],[HR. FIN]]-Tabla8[[#This Row],[HR. INICIO]],1)</f>
        <v>3.5416666666666763E-2</v>
      </c>
      <c r="G1836" s="16" t="s">
        <v>182</v>
      </c>
      <c r="H1836" s="79" t="str">
        <f>IFERROR(VLOOKUP(G1836,DATOS!$M$2:$N$219,2,FALSE),"")</f>
        <v>Maquinaria</v>
      </c>
      <c r="I1836" s="115" t="s">
        <v>32</v>
      </c>
      <c r="J1836" s="115" t="s">
        <v>157</v>
      </c>
      <c r="K1836" s="115"/>
      <c r="L1836" s="35" t="s">
        <v>3250</v>
      </c>
      <c r="M1836" s="35" t="s">
        <v>121</v>
      </c>
      <c r="N1836" s="35" t="str" cm="1">
        <f t="array" ref="N1836">IFERROR(IF(Tabla8[[#This Row],[P/NP]]="NO PROGRAMADA","",_xlfn.TEXTJOIN(", ",TRUE,_xlfn._xlws.FILTER(Tabla4[[#All],[PIEZA]],ISNUMBER(SEARCH(Tabla4[[#All],[PCLAVE]],Tabla8[[#This Row],[DESCRIPCION DE TRABAJO]])),""))),"")</f>
        <v/>
      </c>
      <c r="O1836" s="35" t="str" cm="1">
        <f t="array" ref="O1836">_xlfn.TEXTJOIN(", ",TRUE,_xlfn._xlws.FILTER(Tabla28[[#All],[PARTE]],ISNUMBER(SEARCH(Tabla28[[#All],[PCLAVE2]],Tabla8[[#This Row],[DESCRIPCION DE TRABAJO]])),""))</f>
        <v/>
      </c>
      <c r="P1836" s="633" t="str">
        <f>IFERROR(LEFT(O1836, FIND(",", O1836)-1), O1836)</f>
        <v/>
      </c>
      <c r="Q1836" s="633" t="str">
        <f>IFERROR(IF(ISERROR(FIND(",", O1836, FIND(",", O1836)+1)), RIGHT(O1836, LEN(O1836)-FIND(",", O1836)-1), MID(O1836, FIND(",", O1836)+2, FIND(",", O1836, FIND(",", O1836)+1)-FIND(",", O1836)-2)), "")</f>
        <v/>
      </c>
      <c r="R1836" s="633" t="str">
        <f>IFERROR(RIGHT(O1836, LEN(O1836)-FIND(",", O1836, FIND(",", O1836)+1)-1), "")</f>
        <v/>
      </c>
      <c r="S1836" s="35" t="str" cm="1">
        <f t="array" ref="S1836">_xlfn.TEXTJOIN(", ",TRUE,_xlfn._xlws.FILTER(Tabla29[[#All],[PARTE]],ISNUMBER(SEARCH(Tabla29[[#All],[PCLAVE3]],Tabla8[[#This Row],[DESCRIPCION DE TRABAJO]])),""))</f>
        <v>Cambio De Formato</v>
      </c>
      <c r="T1836" s="88" t="str">
        <f>IF(AND(Tabla8[[#This Row],[PIEZA]]="",Tabla8[[#This Row],[PARTE]]=""),"VACIO","OK")</f>
        <v>VACIO</v>
      </c>
      <c r="U1836" s="633" t="str">
        <f>+CONCATENATE(WEEKNUM(Tabla8[[#This Row],[FECHA]]),"-",YEAR(Tabla8[[#This Row],[FECHA]]))</f>
        <v>25-2026</v>
      </c>
    </row>
    <row r="1837" spans="1:21" ht="15" customHeight="1">
      <c r="A1837" s="22">
        <v>46191</v>
      </c>
      <c r="B1837" s="16" t="s">
        <v>179</v>
      </c>
      <c r="C1837" s="16" t="s">
        <v>23</v>
      </c>
      <c r="D1837" s="381">
        <v>0.67708333333333337</v>
      </c>
      <c r="E1837" s="381">
        <v>0.70833333333333337</v>
      </c>
      <c r="F1837" s="632">
        <f>+MOD(Tabla8[[#This Row],[HR. FIN]]-Tabla8[[#This Row],[HR. INICIO]],1)</f>
        <v>3.125E-2</v>
      </c>
      <c r="G1837" s="16" t="s">
        <v>996</v>
      </c>
      <c r="H1837" s="79" t="str">
        <f>IFERROR(VLOOKUP(G1837,DATOS!$M$2:$N$219,2,FALSE),"")</f>
        <v>Area</v>
      </c>
      <c r="I1837" s="115" t="s">
        <v>186</v>
      </c>
      <c r="J1837" s="115" t="s">
        <v>92</v>
      </c>
      <c r="K1837" s="115" t="s">
        <v>93</v>
      </c>
      <c r="L1837" s="35" t="s">
        <v>3251</v>
      </c>
      <c r="M1837" s="35" t="s">
        <v>3252</v>
      </c>
      <c r="N1837" s="35" t="str" cm="1">
        <f t="array" ref="N1837">IFERROR(IF(Tabla8[[#This Row],[P/NP]]="NO PROGRAMADA","",_xlfn.TEXTJOIN(", ",TRUE,_xlfn._xlws.FILTER(Tabla4[[#All],[PIEZA]],ISNUMBER(SEARCH(Tabla4[[#All],[PCLAVE]],Tabla8[[#This Row],[DESCRIPCION DE TRABAJO]])),""))),"")</f>
        <v/>
      </c>
      <c r="O1837" s="35" t="str" cm="1">
        <f t="array" ref="O1837">_xlfn.TEXTJOIN(", ",TRUE,_xlfn._xlws.FILTER(Tabla28[[#All],[PARTE]],ISNUMBER(SEARCH(Tabla28[[#All],[PCLAVE2]],Tabla8[[#This Row],[DESCRIPCION DE TRABAJO]])),""))</f>
        <v/>
      </c>
      <c r="P1837" s="633" t="str">
        <f>IFERROR(LEFT(O1837, FIND(",", O1837)-1), O1837)</f>
        <v/>
      </c>
      <c r="Q1837" s="633" t="str">
        <f>IFERROR(IF(ISERROR(FIND(",", O1837, FIND(",", O1837)+1)), RIGHT(O1837, LEN(O1837)-FIND(",", O1837)-1), MID(O1837, FIND(",", O1837)+2, FIND(",", O1837, FIND(",", O1837)+1)-FIND(",", O1837)-2)), "")</f>
        <v/>
      </c>
      <c r="R1837" s="633" t="str">
        <f>IFERROR(RIGHT(O1837, LEN(O1837)-FIND(",", O1837, FIND(",", O1837)+1)-1), "")</f>
        <v/>
      </c>
      <c r="S1837" s="35" t="str" cm="1">
        <f t="array" ref="S1837">_xlfn.TEXTJOIN(", ",TRUE,_xlfn._xlws.FILTER(Tabla29[[#All],[PARTE]],ISNUMBER(SEARCH(Tabla29[[#All],[PCLAVE3]],Tabla8[[#This Row],[DESCRIPCION DE TRABAJO]])),""))</f>
        <v/>
      </c>
      <c r="T1837" s="88" t="str">
        <f>IF(AND(Tabla8[[#This Row],[PIEZA]]="",Tabla8[[#This Row],[PARTE]]=""),"VACIO","OK")</f>
        <v>VACIO</v>
      </c>
      <c r="U1837" s="633" t="str">
        <f>+CONCATENATE(WEEKNUM(Tabla8[[#This Row],[FECHA]]),"-",YEAR(Tabla8[[#This Row],[FECHA]]))</f>
        <v>25-2026</v>
      </c>
    </row>
    <row r="1838" spans="1:21" ht="15" customHeight="1">
      <c r="A1838" s="22">
        <v>46191</v>
      </c>
      <c r="B1838" s="16" t="s">
        <v>131</v>
      </c>
      <c r="C1838" s="16" t="s">
        <v>23</v>
      </c>
      <c r="D1838" s="381">
        <v>0.55555555555555558</v>
      </c>
      <c r="E1838" s="381">
        <v>0.58333333333333337</v>
      </c>
      <c r="F1838" s="632">
        <f>+MOD(Tabla8[[#This Row],[HR. FIN]]-Tabla8[[#This Row],[HR. INICIO]],1)</f>
        <v>2.777777777777779E-2</v>
      </c>
      <c r="G1838" s="16" t="s">
        <v>182</v>
      </c>
      <c r="H1838" s="79" t="str">
        <f>IFERROR(VLOOKUP(G1838,DATOS!$M$2:$N$219,2,FALSE),"")</f>
        <v>Maquinaria</v>
      </c>
      <c r="I1838" s="115" t="s">
        <v>57</v>
      </c>
      <c r="J1838" s="115" t="s">
        <v>92</v>
      </c>
      <c r="K1838" s="115" t="s">
        <v>93</v>
      </c>
      <c r="L1838" s="35" t="s">
        <v>3253</v>
      </c>
      <c r="M1838" s="35" t="s">
        <v>864</v>
      </c>
      <c r="N1838" s="35" t="str" cm="1">
        <f t="array" ref="N1838">IFERROR(IF(Tabla8[[#This Row],[P/NP]]="NO PROGRAMADA","",_xlfn.TEXTJOIN(", ",TRUE,_xlfn._xlws.FILTER(Tabla4[[#All],[PIEZA]],ISNUMBER(SEARCH(Tabla4[[#All],[PCLAVE]],Tabla8[[#This Row],[DESCRIPCION DE TRABAJO]])),""))),"")</f>
        <v/>
      </c>
      <c r="O1838" s="35" t="str" cm="1">
        <f t="array" ref="O1838">_xlfn.TEXTJOIN(", ",TRUE,_xlfn._xlws.FILTER(Tabla28[[#All],[PARTE]],ISNUMBER(SEARCH(Tabla28[[#All],[PCLAVE2]],Tabla8[[#This Row],[DESCRIPCION DE TRABAJO]])),""))</f>
        <v/>
      </c>
      <c r="P1838" s="633" t="str">
        <f>IFERROR(LEFT(O1838, FIND(",", O1838)-1), O1838)</f>
        <v/>
      </c>
      <c r="Q1838" s="633" t="str">
        <f>IFERROR(IF(ISERROR(FIND(",", O1838, FIND(",", O1838)+1)), RIGHT(O1838, LEN(O1838)-FIND(",", O1838)-1), MID(O1838, FIND(",", O1838)+2, FIND(",", O1838, FIND(",", O1838)+1)-FIND(",", O1838)-2)), "")</f>
        <v/>
      </c>
      <c r="R1838" s="633" t="str">
        <f>IFERROR(RIGHT(O1838, LEN(O1838)-FIND(",", O1838, FIND(",", O1838)+1)-1), "")</f>
        <v/>
      </c>
      <c r="S1838" s="35" t="str" cm="1">
        <f t="array" ref="S1838">_xlfn.TEXTJOIN(", ",TRUE,_xlfn._xlws.FILTER(Tabla29[[#All],[PARTE]],ISNUMBER(SEARCH(Tabla29[[#All],[PCLAVE3]],Tabla8[[#This Row],[DESCRIPCION DE TRABAJO]])),""))</f>
        <v>Se Pegan</v>
      </c>
      <c r="T1838" s="88" t="str">
        <f>IF(AND(Tabla8[[#This Row],[PIEZA]]="",Tabla8[[#This Row],[PARTE]]=""),"VACIO","OK")</f>
        <v>VACIO</v>
      </c>
      <c r="U1838" s="633" t="str">
        <f>+CONCATENATE(WEEKNUM(Tabla8[[#This Row],[FECHA]]),"-",YEAR(Tabla8[[#This Row],[FECHA]]))</f>
        <v>25-2026</v>
      </c>
    </row>
    <row r="1839" spans="1:21" ht="15" customHeight="1">
      <c r="A1839" s="22">
        <v>46191</v>
      </c>
      <c r="B1839" s="16" t="s">
        <v>131</v>
      </c>
      <c r="C1839" s="16" t="s">
        <v>23</v>
      </c>
      <c r="D1839" s="381">
        <v>0.68055555555555558</v>
      </c>
      <c r="E1839" s="381">
        <v>0.70833333333333337</v>
      </c>
      <c r="F1839" s="632">
        <f>+MOD(Tabla8[[#This Row],[HR. FIN]]-Tabla8[[#This Row],[HR. INICIO]],1)</f>
        <v>2.777777777777779E-2</v>
      </c>
      <c r="G1839" s="16" t="s">
        <v>2074</v>
      </c>
      <c r="H1839" s="79" t="str">
        <f>IFERROR(VLOOKUP(G1839,DATOS!$M$2:$N$219,2,FALSE),"")</f>
        <v>Maquinaria</v>
      </c>
      <c r="I1839" s="115" t="s">
        <v>186</v>
      </c>
      <c r="J1839" s="115" t="s">
        <v>92</v>
      </c>
      <c r="K1839" s="115" t="s">
        <v>93</v>
      </c>
      <c r="L1839" s="35" t="s">
        <v>3254</v>
      </c>
      <c r="M1839" s="35" t="s">
        <v>3255</v>
      </c>
      <c r="N1839" s="35" t="str" cm="1">
        <f t="array" ref="N1839">IFERROR(IF(Tabla8[[#This Row],[P/NP]]="NO PROGRAMADA","",_xlfn.TEXTJOIN(", ",TRUE,_xlfn._xlws.FILTER(Tabla4[[#All],[PIEZA]],ISNUMBER(SEARCH(Tabla4[[#All],[PCLAVE]],Tabla8[[#This Row],[DESCRIPCION DE TRABAJO]])),""))),"")</f>
        <v/>
      </c>
      <c r="O1839" s="35" t="str" cm="1">
        <f t="array" ref="O1839">_xlfn.TEXTJOIN(", ",TRUE,_xlfn._xlws.FILTER(Tabla28[[#All],[PARTE]],ISNUMBER(SEARCH(Tabla28[[#All],[PCLAVE2]],Tabla8[[#This Row],[DESCRIPCION DE TRABAJO]])),""))</f>
        <v/>
      </c>
      <c r="P1839" s="633" t="str">
        <f>IFERROR(LEFT(O1839, FIND(",", O1839)-1), O1839)</f>
        <v/>
      </c>
      <c r="Q1839" s="633" t="str">
        <f>IFERROR(IF(ISERROR(FIND(",", O1839, FIND(",", O1839)+1)), RIGHT(O1839, LEN(O1839)-FIND(",", O1839)-1), MID(O1839, FIND(",", O1839)+2, FIND(",", O1839, FIND(",", O1839)+1)-FIND(",", O1839)-2)), "")</f>
        <v/>
      </c>
      <c r="R1839" s="633" t="str">
        <f>IFERROR(RIGHT(O1839, LEN(O1839)-FIND(",", O1839, FIND(",", O1839)+1)-1), "")</f>
        <v/>
      </c>
      <c r="S1839" s="35" t="str" cm="1">
        <f t="array" ref="S1839">_xlfn.TEXTJOIN(", ",TRUE,_xlfn._xlws.FILTER(Tabla29[[#All],[PARTE]],ISNUMBER(SEARCH(Tabla29[[#All],[PCLAVE3]],Tabla8[[#This Row],[DESCRIPCION DE TRABAJO]])),""))</f>
        <v/>
      </c>
      <c r="T1839" s="88" t="str">
        <f>IF(AND(Tabla8[[#This Row],[PIEZA]]="",Tabla8[[#This Row],[PARTE]]=""),"VACIO","OK")</f>
        <v>VACIO</v>
      </c>
      <c r="U1839" s="633" t="str">
        <f>+CONCATENATE(WEEKNUM(Tabla8[[#This Row],[FECHA]]),"-",YEAR(Tabla8[[#This Row],[FECHA]]))</f>
        <v>25-2026</v>
      </c>
    </row>
    <row r="1840" spans="1:21" ht="15" customHeight="1">
      <c r="A1840" s="22">
        <v>46191</v>
      </c>
      <c r="B1840" s="16" t="s">
        <v>179</v>
      </c>
      <c r="C1840" s="16" t="s">
        <v>23</v>
      </c>
      <c r="D1840" s="381">
        <v>0.63541666666666663</v>
      </c>
      <c r="E1840" s="381">
        <v>0.65972222222222221</v>
      </c>
      <c r="F1840" s="632">
        <f>+MOD(Tabla8[[#This Row],[HR. FIN]]-Tabla8[[#This Row],[HR. INICIO]],1)</f>
        <v>2.430555555555558E-2</v>
      </c>
      <c r="G1840" s="16" t="s">
        <v>153</v>
      </c>
      <c r="H1840" s="79" t="str">
        <f>IFERROR(VLOOKUP(G1840,DATOS!$M$2:$N$219,2,FALSE),"")</f>
        <v>Maquinaria</v>
      </c>
      <c r="I1840" s="115" t="s">
        <v>186</v>
      </c>
      <c r="J1840" s="115" t="s">
        <v>92</v>
      </c>
      <c r="K1840" s="115" t="s">
        <v>93</v>
      </c>
      <c r="L1840" s="35" t="s">
        <v>3256</v>
      </c>
      <c r="M1840" s="35" t="s">
        <v>3257</v>
      </c>
      <c r="N1840" s="35" t="str" cm="1">
        <f t="array" ref="N1840">IFERROR(IF(Tabla8[[#This Row],[P/NP]]="NO PROGRAMADA","",_xlfn.TEXTJOIN(", ",TRUE,_xlfn._xlws.FILTER(Tabla4[[#All],[PIEZA]],ISNUMBER(SEARCH(Tabla4[[#All],[PCLAVE]],Tabla8[[#This Row],[DESCRIPCION DE TRABAJO]])),""))),"")</f>
        <v/>
      </c>
      <c r="O1840" s="35" t="str" cm="1">
        <f t="array" ref="O1840">_xlfn.TEXTJOIN(", ",TRUE,_xlfn._xlws.FILTER(Tabla28[[#All],[PARTE]],ISNUMBER(SEARCH(Tabla28[[#All],[PCLAVE2]],Tabla8[[#This Row],[DESCRIPCION DE TRABAJO]])),""))</f>
        <v/>
      </c>
      <c r="P1840" s="633" t="str">
        <f>IFERROR(LEFT(O1840, FIND(",", O1840)-1), O1840)</f>
        <v/>
      </c>
      <c r="Q1840" s="633" t="str">
        <f>IFERROR(IF(ISERROR(FIND(",", O1840, FIND(",", O1840)+1)), RIGHT(O1840, LEN(O1840)-FIND(",", O1840)-1), MID(O1840, FIND(",", O1840)+2, FIND(",", O1840, FIND(",", O1840)+1)-FIND(",", O1840)-2)), "")</f>
        <v/>
      </c>
      <c r="R1840" s="633" t="str">
        <f>IFERROR(RIGHT(O1840, LEN(O1840)-FIND(",", O1840, FIND(",", O1840)+1)-1), "")</f>
        <v/>
      </c>
      <c r="S1840" s="35" t="str" cm="1">
        <f t="array" ref="S1840">_xlfn.TEXTJOIN(", ",TRUE,_xlfn._xlws.FILTER(Tabla29[[#All],[PARTE]],ISNUMBER(SEARCH(Tabla29[[#All],[PCLAVE3]],Tabla8[[#This Row],[DESCRIPCION DE TRABAJO]])),""))</f>
        <v/>
      </c>
      <c r="T1840" s="88" t="str">
        <f>IF(AND(Tabla8[[#This Row],[PIEZA]]="",Tabla8[[#This Row],[PARTE]]=""),"VACIO","OK")</f>
        <v>VACIO</v>
      </c>
      <c r="U1840" s="633" t="str">
        <f>+CONCATENATE(WEEKNUM(Tabla8[[#This Row],[FECHA]]),"-",YEAR(Tabla8[[#This Row],[FECHA]]))</f>
        <v>25-2026</v>
      </c>
    </row>
    <row r="1841" spans="1:21" ht="15" customHeight="1">
      <c r="A1841" s="22">
        <v>46191</v>
      </c>
      <c r="B1841" s="16" t="s">
        <v>131</v>
      </c>
      <c r="C1841" s="16" t="s">
        <v>23</v>
      </c>
      <c r="D1841" s="381">
        <v>0.63194444444444442</v>
      </c>
      <c r="E1841" s="381">
        <v>0.65625</v>
      </c>
      <c r="F1841" s="632">
        <f>+MOD(Tabla8[[#This Row],[HR. FIN]]-Tabla8[[#This Row],[HR. INICIO]],1)</f>
        <v>2.430555555555558E-2</v>
      </c>
      <c r="G1841" s="16" t="s">
        <v>119</v>
      </c>
      <c r="H1841" s="79" t="str">
        <f>IFERROR(VLOOKUP(G1841,DATOS!$M$2:$N$219,2,FALSE),"")</f>
        <v>Maquinaria</v>
      </c>
      <c r="I1841" s="115" t="s">
        <v>32</v>
      </c>
      <c r="J1841" s="115" t="s">
        <v>157</v>
      </c>
      <c r="K1841" s="115"/>
      <c r="L1841" s="35" t="s">
        <v>3258</v>
      </c>
      <c r="M1841" s="35" t="s">
        <v>121</v>
      </c>
      <c r="N1841" s="35" t="str" cm="1">
        <f t="array" ref="N1841">IFERROR(IF(Tabla8[[#This Row],[P/NP]]="NO PROGRAMADA","",_xlfn.TEXTJOIN(", ",TRUE,_xlfn._xlws.FILTER(Tabla4[[#All],[PIEZA]],ISNUMBER(SEARCH(Tabla4[[#All],[PCLAVE]],Tabla8[[#This Row],[DESCRIPCION DE TRABAJO]])),""))),"")</f>
        <v/>
      </c>
      <c r="O1841" s="35" t="str" cm="1">
        <f t="array" ref="O1841">_xlfn.TEXTJOIN(", ",TRUE,_xlfn._xlws.FILTER(Tabla28[[#All],[PARTE]],ISNUMBER(SEARCH(Tabla28[[#All],[PCLAVE2]],Tabla8[[#This Row],[DESCRIPCION DE TRABAJO]])),""))</f>
        <v>Mds</v>
      </c>
      <c r="P1841" s="633" t="str">
        <f>IFERROR(LEFT(O1841, FIND(",", O1841)-1), O1841)</f>
        <v>Mds</v>
      </c>
      <c r="Q1841" s="633" t="str">
        <f>IFERROR(IF(ISERROR(FIND(",", O1841, FIND(",", O1841)+1)), RIGHT(O1841, LEN(O1841)-FIND(",", O1841)-1), MID(O1841, FIND(",", O1841)+2, FIND(",", O1841, FIND(",", O1841)+1)-FIND(",", O1841)-2)), "")</f>
        <v/>
      </c>
      <c r="R1841" s="633" t="str">
        <f>IFERROR(RIGHT(O1841, LEN(O1841)-FIND(",", O1841, FIND(",", O1841)+1)-1), "")</f>
        <v/>
      </c>
      <c r="S1841" s="35" t="str" cm="1">
        <f t="array" ref="S1841">_xlfn.TEXTJOIN(", ",TRUE,_xlfn._xlws.FILTER(Tabla29[[#All],[PARTE]],ISNUMBER(SEARCH(Tabla29[[#All],[PCLAVE3]],Tabla8[[#This Row],[DESCRIPCION DE TRABAJO]])),""))</f>
        <v/>
      </c>
      <c r="T1841" s="88" t="str">
        <f>IF(AND(Tabla8[[#This Row],[PIEZA]]="",Tabla8[[#This Row],[PARTE]]=""),"VACIO","OK")</f>
        <v>OK</v>
      </c>
      <c r="U1841" s="633" t="str">
        <f>+CONCATENATE(WEEKNUM(Tabla8[[#This Row],[FECHA]]),"-",YEAR(Tabla8[[#This Row],[FECHA]]))</f>
        <v>25-2026</v>
      </c>
    </row>
    <row r="1842" spans="1:21" ht="15" customHeight="1">
      <c r="A1842" s="22">
        <v>46191</v>
      </c>
      <c r="B1842" s="16" t="s">
        <v>179</v>
      </c>
      <c r="C1842" s="16" t="s">
        <v>23</v>
      </c>
      <c r="D1842" s="381">
        <v>0.60763888888888884</v>
      </c>
      <c r="E1842" s="381">
        <v>0.62916666666666665</v>
      </c>
      <c r="F1842" s="632">
        <f>+MOD(Tabla8[[#This Row],[HR. FIN]]-Tabla8[[#This Row],[HR. INICIO]],1)</f>
        <v>2.1527777777777812E-2</v>
      </c>
      <c r="G1842" s="16" t="s">
        <v>140</v>
      </c>
      <c r="H1842" s="79" t="str">
        <f>IFERROR(VLOOKUP(G1842,DATOS!$M$2:$N$219,2,FALSE),"")</f>
        <v>Maquinaria</v>
      </c>
      <c r="I1842" s="115" t="s">
        <v>61</v>
      </c>
      <c r="J1842" s="115" t="s">
        <v>92</v>
      </c>
      <c r="K1842" s="115" t="s">
        <v>93</v>
      </c>
      <c r="L1842" s="35" t="s">
        <v>3259</v>
      </c>
      <c r="M1842" s="35" t="s">
        <v>3260</v>
      </c>
      <c r="N1842" s="35" t="str" cm="1">
        <f t="array" ref="N1842">IFERROR(IF(Tabla8[[#This Row],[P/NP]]="NO PROGRAMADA","",_xlfn.TEXTJOIN(", ",TRUE,_xlfn._xlws.FILTER(Tabla4[[#All],[PIEZA]],ISNUMBER(SEARCH(Tabla4[[#All],[PCLAVE]],Tabla8[[#This Row],[DESCRIPCION DE TRABAJO]])),""))),"")</f>
        <v/>
      </c>
      <c r="O1842" s="35" t="str" cm="1">
        <f t="array" ref="O1842">_xlfn.TEXTJOIN(", ",TRUE,_xlfn._xlws.FILTER(Tabla28[[#All],[PARTE]],ISNUMBER(SEARCH(Tabla28[[#All],[PCLAVE2]],Tabla8[[#This Row],[DESCRIPCION DE TRABAJO]])),""))</f>
        <v/>
      </c>
      <c r="P1842" s="633" t="str">
        <f>IFERROR(LEFT(O1842, FIND(",", O1842)-1), O1842)</f>
        <v/>
      </c>
      <c r="Q1842" s="633" t="str">
        <f>IFERROR(IF(ISERROR(FIND(",", O1842, FIND(",", O1842)+1)), RIGHT(O1842, LEN(O1842)-FIND(",", O1842)-1), MID(O1842, FIND(",", O1842)+2, FIND(",", O1842, FIND(",", O1842)+1)-FIND(",", O1842)-2)), "")</f>
        <v/>
      </c>
      <c r="R1842" s="633" t="str">
        <f>IFERROR(RIGHT(O1842, LEN(O1842)-FIND(",", O1842, FIND(",", O1842)+1)-1), "")</f>
        <v/>
      </c>
      <c r="S1842" s="35" t="str" cm="1">
        <f t="array" ref="S1842">_xlfn.TEXTJOIN(", ",TRUE,_xlfn._xlws.FILTER(Tabla29[[#All],[PARTE]],ISNUMBER(SEARCH(Tabla29[[#All],[PCLAVE3]],Tabla8[[#This Row],[DESCRIPCION DE TRABAJO]])),""))</f>
        <v>No Pega</v>
      </c>
      <c r="T1842" s="88" t="str">
        <f>IF(AND(Tabla8[[#This Row],[PIEZA]]="",Tabla8[[#This Row],[PARTE]]=""),"VACIO","OK")</f>
        <v>VACIO</v>
      </c>
      <c r="U1842" s="633" t="str">
        <f>+CONCATENATE(WEEKNUM(Tabla8[[#This Row],[FECHA]]),"-",YEAR(Tabla8[[#This Row],[FECHA]]))</f>
        <v>25-2026</v>
      </c>
    </row>
    <row r="1843" spans="1:21" ht="15" customHeight="1">
      <c r="A1843" s="22">
        <v>46191</v>
      </c>
      <c r="B1843" s="16" t="s">
        <v>131</v>
      </c>
      <c r="C1843" s="16" t="s">
        <v>23</v>
      </c>
      <c r="D1843" s="381">
        <v>0.78819444444444442</v>
      </c>
      <c r="E1843" s="381">
        <v>0.80972222222222223</v>
      </c>
      <c r="F1843" s="632">
        <f>+MOD(Tabla8[[#This Row],[HR. FIN]]-Tabla8[[#This Row],[HR. INICIO]],1)</f>
        <v>2.1527777777777812E-2</v>
      </c>
      <c r="G1843" s="16" t="s">
        <v>438</v>
      </c>
      <c r="H1843" s="79" t="str">
        <f>IFERROR(VLOOKUP(G1843,DATOS!$M$2:$N$219,2,FALSE),"")</f>
        <v>Maquinaria</v>
      </c>
      <c r="I1843" s="115" t="s">
        <v>390</v>
      </c>
      <c r="J1843" s="115" t="s">
        <v>157</v>
      </c>
      <c r="K1843" s="115"/>
      <c r="L1843" s="35" t="s">
        <v>3261</v>
      </c>
      <c r="M1843" s="35" t="s">
        <v>121</v>
      </c>
      <c r="N1843" s="35" t="str" cm="1">
        <f t="array" ref="N1843">IFERROR(IF(Tabla8[[#This Row],[P/NP]]="NO PROGRAMADA","",_xlfn.TEXTJOIN(", ",TRUE,_xlfn._xlws.FILTER(Tabla4[[#All],[PIEZA]],ISNUMBER(SEARCH(Tabla4[[#All],[PCLAVE]],Tabla8[[#This Row],[DESCRIPCION DE TRABAJO]])),""))),"")</f>
        <v>Freno</v>
      </c>
      <c r="O1843" s="35" t="str" cm="1">
        <f t="array" ref="O1843">_xlfn.TEXTJOIN(", ",TRUE,_xlfn._xlws.FILTER(Tabla28[[#All],[PARTE]],ISNUMBER(SEARCH(Tabla28[[#All],[PCLAVE2]],Tabla8[[#This Row],[DESCRIPCION DE TRABAJO]])),""))</f>
        <v/>
      </c>
      <c r="P1843" s="633" t="str">
        <f>IFERROR(LEFT(O1843, FIND(",", O1843)-1), O1843)</f>
        <v/>
      </c>
      <c r="Q1843" s="633" t="str">
        <f>IFERROR(IF(ISERROR(FIND(",", O1843, FIND(",", O1843)+1)), RIGHT(O1843, LEN(O1843)-FIND(",", O1843)-1), MID(O1843, FIND(",", O1843)+2, FIND(",", O1843, FIND(",", O1843)+1)-FIND(",", O1843)-2)), "")</f>
        <v/>
      </c>
      <c r="R1843" s="633" t="str">
        <f>IFERROR(RIGHT(O1843, LEN(O1843)-FIND(",", O1843, FIND(",", O1843)+1)-1), "")</f>
        <v/>
      </c>
      <c r="S1843" s="35" t="str" cm="1">
        <f t="array" ref="S1843">_xlfn.TEXTJOIN(", ",TRUE,_xlfn._xlws.FILTER(Tabla29[[#All],[PARTE]],ISNUMBER(SEARCH(Tabla29[[#All],[PCLAVE3]],Tabla8[[#This Row],[DESCRIPCION DE TRABAJO]])),""))</f>
        <v/>
      </c>
      <c r="T1843" s="88" t="str">
        <f>IF(AND(Tabla8[[#This Row],[PIEZA]]="",Tabla8[[#This Row],[PARTE]]=""),"VACIO","OK")</f>
        <v>OK</v>
      </c>
      <c r="U1843" s="633" t="str">
        <f>+CONCATENATE(WEEKNUM(Tabla8[[#This Row],[FECHA]]),"-",YEAR(Tabla8[[#This Row],[FECHA]]))</f>
        <v>25-2026</v>
      </c>
    </row>
    <row r="1844" spans="1:21" ht="15" customHeight="1">
      <c r="A1844" s="22">
        <v>46191</v>
      </c>
      <c r="B1844" s="16" t="s">
        <v>179</v>
      </c>
      <c r="C1844" s="16" t="s">
        <v>23</v>
      </c>
      <c r="D1844" s="381">
        <v>0.71875</v>
      </c>
      <c r="E1844" s="381">
        <v>0.73958333333333337</v>
      </c>
      <c r="F1844" s="632">
        <f>+MOD(Tabla8[[#This Row],[HR. FIN]]-Tabla8[[#This Row],[HR. INICIO]],1)</f>
        <v>2.083333333333337E-2</v>
      </c>
      <c r="G1844" s="16" t="s">
        <v>49</v>
      </c>
      <c r="H1844" s="79" t="str">
        <f>IFERROR(VLOOKUP(G1844,DATOS!$M$2:$N$219,2,FALSE),"")</f>
        <v>Area</v>
      </c>
      <c r="I1844" s="115" t="s">
        <v>186</v>
      </c>
      <c r="J1844" s="115" t="s">
        <v>92</v>
      </c>
      <c r="K1844" s="115" t="s">
        <v>93</v>
      </c>
      <c r="L1844" s="35" t="s">
        <v>3262</v>
      </c>
      <c r="M1844" s="35" t="s">
        <v>3263</v>
      </c>
      <c r="N1844" s="35" t="str" cm="1">
        <f t="array" ref="N1844">IFERROR(IF(Tabla8[[#This Row],[P/NP]]="NO PROGRAMADA","",_xlfn.TEXTJOIN(", ",TRUE,_xlfn._xlws.FILTER(Tabla4[[#All],[PIEZA]],ISNUMBER(SEARCH(Tabla4[[#All],[PCLAVE]],Tabla8[[#This Row],[DESCRIPCION DE TRABAJO]])),""))),"")</f>
        <v/>
      </c>
      <c r="O1844" s="35" t="str" cm="1">
        <f t="array" ref="O1844">_xlfn.TEXTJOIN(", ",TRUE,_xlfn._xlws.FILTER(Tabla28[[#All],[PARTE]],ISNUMBER(SEARCH(Tabla28[[#All],[PCLAVE2]],Tabla8[[#This Row],[DESCRIPCION DE TRABAJO]])),""))</f>
        <v/>
      </c>
      <c r="P1844" s="633" t="str">
        <f>IFERROR(LEFT(O1844, FIND(",", O1844)-1), O1844)</f>
        <v/>
      </c>
      <c r="Q1844" s="633" t="str">
        <f>IFERROR(IF(ISERROR(FIND(",", O1844, FIND(",", O1844)+1)), RIGHT(O1844, LEN(O1844)-FIND(",", O1844)-1), MID(O1844, FIND(",", O1844)+2, FIND(",", O1844, FIND(",", O1844)+1)-FIND(",", O1844)-2)), "")</f>
        <v/>
      </c>
      <c r="R1844" s="633" t="str">
        <f>IFERROR(RIGHT(O1844, LEN(O1844)-FIND(",", O1844, FIND(",", O1844)+1)-1), "")</f>
        <v/>
      </c>
      <c r="S1844" s="35" t="str" cm="1">
        <f t="array" ref="S1844">_xlfn.TEXTJOIN(", ",TRUE,_xlfn._xlws.FILTER(Tabla29[[#All],[PARTE]],ISNUMBER(SEARCH(Tabla29[[#All],[PCLAVE3]],Tabla8[[#This Row],[DESCRIPCION DE TRABAJO]])),""))</f>
        <v>No Corta</v>
      </c>
      <c r="T1844" s="88" t="str">
        <f>IF(AND(Tabla8[[#This Row],[PIEZA]]="",Tabla8[[#This Row],[PARTE]]=""),"VACIO","OK")</f>
        <v>VACIO</v>
      </c>
      <c r="U1844" s="633" t="str">
        <f>+CONCATENATE(WEEKNUM(Tabla8[[#This Row],[FECHA]]),"-",YEAR(Tabla8[[#This Row],[FECHA]]))</f>
        <v>25-2026</v>
      </c>
    </row>
    <row r="1845" spans="1:21" ht="15" customHeight="1">
      <c r="A1845" s="22">
        <v>46191</v>
      </c>
      <c r="B1845" s="16" t="s">
        <v>131</v>
      </c>
      <c r="C1845" s="16" t="s">
        <v>23</v>
      </c>
      <c r="D1845" s="381">
        <v>0.53263888888888888</v>
      </c>
      <c r="E1845" s="381">
        <v>0.55208333333333337</v>
      </c>
      <c r="F1845" s="632">
        <f>+MOD(Tabla8[[#This Row],[HR. FIN]]-Tabla8[[#This Row],[HR. INICIO]],1)</f>
        <v>1.9444444444444486E-2</v>
      </c>
      <c r="G1845" s="16" t="s">
        <v>328</v>
      </c>
      <c r="H1845" s="79" t="str">
        <f>IFERROR(VLOOKUP(G1845,DATOS!$M$2:$N$219,2,FALSE),"")</f>
        <v>Area</v>
      </c>
      <c r="I1845" s="115" t="s">
        <v>61</v>
      </c>
      <c r="J1845" s="115" t="s">
        <v>157</v>
      </c>
      <c r="K1845" s="115"/>
      <c r="L1845" s="35" t="s">
        <v>3264</v>
      </c>
      <c r="M1845" s="35" t="s">
        <v>121</v>
      </c>
      <c r="N1845" s="35" t="str" cm="1">
        <f t="array" ref="N1845">IFERROR(IF(Tabla8[[#This Row],[P/NP]]="NO PROGRAMADA","",_xlfn.TEXTJOIN(", ",TRUE,_xlfn._xlws.FILTER(Tabla4[[#All],[PIEZA]],ISNUMBER(SEARCH(Tabla4[[#All],[PCLAVE]],Tabla8[[#This Row],[DESCRIPCION DE TRABAJO]])),""))),"")</f>
        <v/>
      </c>
      <c r="O1845" s="35" t="str" cm="1">
        <f t="array" ref="O1845">_xlfn.TEXTJOIN(", ",TRUE,_xlfn._xlws.FILTER(Tabla28[[#All],[PARTE]],ISNUMBER(SEARCH(Tabla28[[#All],[PCLAVE2]],Tabla8[[#This Row],[DESCRIPCION DE TRABAJO]])),""))</f>
        <v/>
      </c>
      <c r="P1845" s="633" t="str">
        <f>IFERROR(LEFT(O1845, FIND(",", O1845)-1), O1845)</f>
        <v/>
      </c>
      <c r="Q1845" s="633" t="str">
        <f>IFERROR(IF(ISERROR(FIND(",", O1845, FIND(",", O1845)+1)), RIGHT(O1845, LEN(O1845)-FIND(",", O1845)-1), MID(O1845, FIND(",", O1845)+2, FIND(",", O1845, FIND(",", O1845)+1)-FIND(",", O1845)-2)), "")</f>
        <v/>
      </c>
      <c r="R1845" s="633" t="str">
        <f>IFERROR(RIGHT(O1845, LEN(O1845)-FIND(",", O1845, FIND(",", O1845)+1)-1), "")</f>
        <v/>
      </c>
      <c r="S1845" s="35" t="str" cm="1">
        <f t="array" ref="S1845">_xlfn.TEXTJOIN(", ",TRUE,_xlfn._xlws.FILTER(Tabla29[[#All],[PARTE]],ISNUMBER(SEARCH(Tabla29[[#All],[PCLAVE3]],Tabla8[[#This Row],[DESCRIPCION DE TRABAJO]])),""))</f>
        <v/>
      </c>
      <c r="T1845" s="88" t="str">
        <f>IF(AND(Tabla8[[#This Row],[PIEZA]]="",Tabla8[[#This Row],[PARTE]]=""),"VACIO","OK")</f>
        <v>VACIO</v>
      </c>
      <c r="U1845" s="633" t="str">
        <f>+CONCATENATE(WEEKNUM(Tabla8[[#This Row],[FECHA]]),"-",YEAR(Tabla8[[#This Row],[FECHA]]))</f>
        <v>25-2026</v>
      </c>
    </row>
    <row r="1846" spans="1:21" ht="15" customHeight="1">
      <c r="A1846" s="22">
        <v>46191</v>
      </c>
      <c r="B1846" s="16" t="s">
        <v>191</v>
      </c>
      <c r="C1846" s="16" t="s">
        <v>39</v>
      </c>
      <c r="D1846" s="381">
        <v>0.90763888888888888</v>
      </c>
      <c r="E1846" s="381">
        <v>0.92569444444444449</v>
      </c>
      <c r="F1846" s="632">
        <f>+MOD(Tabla8[[#This Row],[HR. FIN]]-Tabla8[[#This Row],[HR. INICIO]],1)</f>
        <v>1.8055555555555602E-2</v>
      </c>
      <c r="G1846" s="16" t="s">
        <v>192</v>
      </c>
      <c r="H1846" s="79" t="str">
        <f>IFERROR(VLOOKUP(G1846,DATOS!$M$2:$N$219,2,FALSE),"")</f>
        <v>Maquinaria</v>
      </c>
      <c r="I1846" s="115" t="s">
        <v>32</v>
      </c>
      <c r="J1846" s="115" t="s">
        <v>157</v>
      </c>
      <c r="K1846" s="115"/>
      <c r="L1846" s="35" t="s">
        <v>3265</v>
      </c>
      <c r="M1846" s="35" t="s">
        <v>121</v>
      </c>
      <c r="N1846" s="35" t="str" cm="1">
        <f t="array" ref="N1846">IFERROR(IF(Tabla8[[#This Row],[P/NP]]="NO PROGRAMADA","",_xlfn.TEXTJOIN(", ",TRUE,_xlfn._xlws.FILTER(Tabla4[[#All],[PIEZA]],ISNUMBER(SEARCH(Tabla4[[#All],[PCLAVE]],Tabla8[[#This Row],[DESCRIPCION DE TRABAJO]])),""))),"")</f>
        <v/>
      </c>
      <c r="O1846" s="35" t="str" cm="1">
        <f t="array" ref="O1846">_xlfn.TEXTJOIN(", ",TRUE,_xlfn._xlws.FILTER(Tabla28[[#All],[PARTE]],ISNUMBER(SEARCH(Tabla28[[#All],[PCLAVE2]],Tabla8[[#This Row],[DESCRIPCION DE TRABAJO]])),""))</f>
        <v/>
      </c>
      <c r="P1846" s="633" t="str">
        <f>IFERROR(LEFT(O1846, FIND(",", O1846)-1), O1846)</f>
        <v/>
      </c>
      <c r="Q1846" s="633" t="str">
        <f>IFERROR(IF(ISERROR(FIND(",", O1846, FIND(",", O1846)+1)), RIGHT(O1846, LEN(O1846)-FIND(",", O1846)-1), MID(O1846, FIND(",", O1846)+2, FIND(",", O1846, FIND(",", O1846)+1)-FIND(",", O1846)-2)), "")</f>
        <v/>
      </c>
      <c r="R1846" s="633" t="str">
        <f>IFERROR(RIGHT(O1846, LEN(O1846)-FIND(",", O1846, FIND(",", O1846)+1)-1), "")</f>
        <v/>
      </c>
      <c r="S1846" s="35" t="str" cm="1">
        <f t="array" ref="S1846">_xlfn.TEXTJOIN(", ",TRUE,_xlfn._xlws.FILTER(Tabla29[[#All],[PARTE]],ISNUMBER(SEARCH(Tabla29[[#All],[PCLAVE3]],Tabla8[[#This Row],[DESCRIPCION DE TRABAJO]])),""))</f>
        <v>Cambio De Formato</v>
      </c>
      <c r="T1846" s="88" t="str">
        <f>IF(AND(Tabla8[[#This Row],[PIEZA]]="",Tabla8[[#This Row],[PARTE]]=""),"VACIO","OK")</f>
        <v>VACIO</v>
      </c>
      <c r="U1846" s="633" t="str">
        <f>+CONCATENATE(WEEKNUM(Tabla8[[#This Row],[FECHA]]),"-",YEAR(Tabla8[[#This Row],[FECHA]]))</f>
        <v>25-2026</v>
      </c>
    </row>
    <row r="1847" spans="1:21" ht="15" customHeight="1">
      <c r="A1847" s="22">
        <v>46191</v>
      </c>
      <c r="B1847" s="16" t="s">
        <v>131</v>
      </c>
      <c r="C1847" s="16" t="s">
        <v>23</v>
      </c>
      <c r="D1847" s="381">
        <v>0.71875</v>
      </c>
      <c r="E1847" s="381">
        <v>0.73611111111111116</v>
      </c>
      <c r="F1847" s="632">
        <f>+MOD(Tabla8[[#This Row],[HR. FIN]]-Tabla8[[#This Row],[HR. INICIO]],1)</f>
        <v>1.736111111111116E-2</v>
      </c>
      <c r="G1847" s="16" t="s">
        <v>119</v>
      </c>
      <c r="H1847" s="79" t="str">
        <f>IFERROR(VLOOKUP(G1847,DATOS!$M$2:$N$219,2,FALSE),"")</f>
        <v>Maquinaria</v>
      </c>
      <c r="I1847" s="115" t="s">
        <v>54</v>
      </c>
      <c r="J1847" s="115" t="s">
        <v>157</v>
      </c>
      <c r="K1847" s="115"/>
      <c r="L1847" s="35" t="s">
        <v>225</v>
      </c>
      <c r="M1847" s="35" t="s">
        <v>121</v>
      </c>
      <c r="N1847" s="35" t="str" cm="1">
        <f t="array" ref="N1847">IFERROR(IF(Tabla8[[#This Row],[P/NP]]="NO PROGRAMADA","",_xlfn.TEXTJOIN(", ",TRUE,_xlfn._xlws.FILTER(Tabla4[[#All],[PIEZA]],ISNUMBER(SEARCH(Tabla4[[#All],[PCLAVE]],Tabla8[[#This Row],[DESCRIPCION DE TRABAJO]])),""))),"")</f>
        <v/>
      </c>
      <c r="O1847" s="35" t="str" cm="1">
        <f t="array" ref="O1847">_xlfn.TEXTJOIN(", ",TRUE,_xlfn._xlws.FILTER(Tabla28[[#All],[PARTE]],ISNUMBER(SEARCH(Tabla28[[#All],[PCLAVE2]],Tabla8[[#This Row],[DESCRIPCION DE TRABAJO]])),""))</f>
        <v/>
      </c>
      <c r="P1847" s="633" t="str">
        <f>IFERROR(LEFT(O1847, FIND(",", O1847)-1), O1847)</f>
        <v/>
      </c>
      <c r="Q1847" s="633" t="str">
        <f>IFERROR(IF(ISERROR(FIND(",", O1847, FIND(",", O1847)+1)), RIGHT(O1847, LEN(O1847)-FIND(",", O1847)-1), MID(O1847, FIND(",", O1847)+2, FIND(",", O1847, FIND(",", O1847)+1)-FIND(",", O1847)-2)), "")</f>
        <v/>
      </c>
      <c r="R1847" s="633" t="str">
        <f>IFERROR(RIGHT(O1847, LEN(O1847)-FIND(",", O1847, FIND(",", O1847)+1)-1), "")</f>
        <v/>
      </c>
      <c r="S1847" s="35" t="str" cm="1">
        <f t="array" ref="S1847">_xlfn.TEXTJOIN(", ",TRUE,_xlfn._xlws.FILTER(Tabla29[[#All],[PARTE]],ISNUMBER(SEARCH(Tabla29[[#All],[PCLAVE3]],Tabla8[[#This Row],[DESCRIPCION DE TRABAJO]])),""))</f>
        <v/>
      </c>
      <c r="T1847" s="88" t="str">
        <f>IF(AND(Tabla8[[#This Row],[PIEZA]]="",Tabla8[[#This Row],[PARTE]]=""),"VACIO","OK")</f>
        <v>VACIO</v>
      </c>
      <c r="U1847" s="633" t="str">
        <f>+CONCATENATE(WEEKNUM(Tabla8[[#This Row],[FECHA]]),"-",YEAR(Tabla8[[#This Row],[FECHA]]))</f>
        <v>25-2026</v>
      </c>
    </row>
    <row r="1848" spans="1:21" ht="15" customHeight="1">
      <c r="A1848" s="22">
        <v>46191</v>
      </c>
      <c r="B1848" s="16" t="s">
        <v>191</v>
      </c>
      <c r="C1848" s="16" t="s">
        <v>39</v>
      </c>
      <c r="D1848" s="381">
        <v>0.99444444444444446</v>
      </c>
      <c r="E1848" s="381">
        <v>1.1805555555555555E-2</v>
      </c>
      <c r="F1848" s="632">
        <f>+MOD(Tabla8[[#This Row],[HR. FIN]]-Tabla8[[#This Row],[HR. INICIO]],1)</f>
        <v>1.7361111111111049E-2</v>
      </c>
      <c r="G1848" s="16" t="s">
        <v>192</v>
      </c>
      <c r="H1848" s="79" t="str">
        <f>IFERROR(VLOOKUP(G1848,DATOS!$M$2:$N$219,2,FALSE),"")</f>
        <v>Maquinaria</v>
      </c>
      <c r="I1848" s="115" t="s">
        <v>57</v>
      </c>
      <c r="J1848" s="115" t="s">
        <v>92</v>
      </c>
      <c r="K1848" s="115" t="s">
        <v>93</v>
      </c>
      <c r="L1848" s="35" t="s">
        <v>3266</v>
      </c>
      <c r="M1848" s="35" t="s">
        <v>3267</v>
      </c>
      <c r="N1848" s="35" t="str" cm="1">
        <f t="array" ref="N1848">IFERROR(IF(Tabla8[[#This Row],[P/NP]]="NO PROGRAMADA","",_xlfn.TEXTJOIN(", ",TRUE,_xlfn._xlws.FILTER(Tabla4[[#All],[PIEZA]],ISNUMBER(SEARCH(Tabla4[[#All],[PCLAVE]],Tabla8[[#This Row],[DESCRIPCION DE TRABAJO]])),""))),"")</f>
        <v/>
      </c>
      <c r="O1848" s="35" t="str" cm="1">
        <f t="array" ref="O1848">_xlfn.TEXTJOIN(", ",TRUE,_xlfn._xlws.FILTER(Tabla28[[#All],[PARTE]],ISNUMBER(SEARCH(Tabla28[[#All],[PCLAVE2]],Tabla8[[#This Row],[DESCRIPCION DE TRABAJO]])),""))</f>
        <v/>
      </c>
      <c r="P1848" s="633" t="str">
        <f>IFERROR(LEFT(O1848, FIND(",", O1848)-1), O1848)</f>
        <v/>
      </c>
      <c r="Q1848" s="633" t="str">
        <f>IFERROR(IF(ISERROR(FIND(",", O1848, FIND(",", O1848)+1)), RIGHT(O1848, LEN(O1848)-FIND(",", O1848)-1), MID(O1848, FIND(",", O1848)+2, FIND(",", O1848, FIND(",", O1848)+1)-FIND(",", O1848)-2)), "")</f>
        <v/>
      </c>
      <c r="R1848" s="633" t="str">
        <f>IFERROR(RIGHT(O1848, LEN(O1848)-FIND(",", O1848, FIND(",", O1848)+1)-1), "")</f>
        <v/>
      </c>
      <c r="S1848" s="35" t="str" cm="1">
        <f t="array" ref="S1848">_xlfn.TEXTJOIN(", ",TRUE,_xlfn._xlws.FILTER(Tabla29[[#All],[PARTE]],ISNUMBER(SEARCH(Tabla29[[#All],[PCLAVE3]],Tabla8[[#This Row],[DESCRIPCION DE TRABAJO]])),""))</f>
        <v/>
      </c>
      <c r="T1848" s="88" t="str">
        <f>IF(AND(Tabla8[[#This Row],[PIEZA]]="",Tabla8[[#This Row],[PARTE]]=""),"VACIO","OK")</f>
        <v>VACIO</v>
      </c>
      <c r="U1848" s="633" t="str">
        <f>+CONCATENATE(WEEKNUM(Tabla8[[#This Row],[FECHA]]),"-",YEAR(Tabla8[[#This Row],[FECHA]]))</f>
        <v>25-2026</v>
      </c>
    </row>
    <row r="1849" spans="1:21" ht="15" customHeight="1">
      <c r="A1849" s="22">
        <v>46191</v>
      </c>
      <c r="B1849" s="16" t="s">
        <v>191</v>
      </c>
      <c r="C1849" s="16" t="s">
        <v>39</v>
      </c>
      <c r="D1849" s="381">
        <v>0.8881944444444444</v>
      </c>
      <c r="E1849" s="381">
        <v>0.90416666666666667</v>
      </c>
      <c r="F1849" s="632">
        <f>+MOD(Tabla8[[#This Row],[HR. FIN]]-Tabla8[[#This Row],[HR. INICIO]],1)</f>
        <v>1.5972222222222276E-2</v>
      </c>
      <c r="G1849" s="16" t="s">
        <v>215</v>
      </c>
      <c r="H1849" s="79" t="str">
        <f>IFERROR(VLOOKUP(G1849,DATOS!$M$2:$N$219,2,FALSE),"")</f>
        <v>Equipos auxiliares</v>
      </c>
      <c r="I1849" s="115" t="s">
        <v>54</v>
      </c>
      <c r="J1849" s="115" t="s">
        <v>157</v>
      </c>
      <c r="K1849" s="115"/>
      <c r="L1849" s="35" t="s">
        <v>248</v>
      </c>
      <c r="M1849" s="35" t="s">
        <v>121</v>
      </c>
      <c r="N1849" s="35" t="str" cm="1">
        <f t="array" ref="N1849">IFERROR(IF(Tabla8[[#This Row],[P/NP]]="NO PROGRAMADA","",_xlfn.TEXTJOIN(", ",TRUE,_xlfn._xlws.FILTER(Tabla4[[#All],[PIEZA]],ISNUMBER(SEARCH(Tabla4[[#All],[PCLAVE]],Tabla8[[#This Row],[DESCRIPCION DE TRABAJO]])),""))),"")</f>
        <v/>
      </c>
      <c r="O1849" s="35" t="str" cm="1">
        <f t="array" ref="O1849">_xlfn.TEXTJOIN(", ",TRUE,_xlfn._xlws.FILTER(Tabla28[[#All],[PARTE]],ISNUMBER(SEARCH(Tabla28[[#All],[PCLAVE2]],Tabla8[[#This Row],[DESCRIPCION DE TRABAJO]])),""))</f>
        <v/>
      </c>
      <c r="P1849" s="633" t="str">
        <f>IFERROR(LEFT(O1849, FIND(",", O1849)-1), O1849)</f>
        <v/>
      </c>
      <c r="Q1849" s="633" t="str">
        <f>IFERROR(IF(ISERROR(FIND(",", O1849, FIND(",", O1849)+1)), RIGHT(O1849, LEN(O1849)-FIND(",", O1849)-1), MID(O1849, FIND(",", O1849)+2, FIND(",", O1849, FIND(",", O1849)+1)-FIND(",", O1849)-2)), "")</f>
        <v/>
      </c>
      <c r="R1849" s="633" t="str">
        <f>IFERROR(RIGHT(O1849, LEN(O1849)-FIND(",", O1849, FIND(",", O1849)+1)-1), "")</f>
        <v/>
      </c>
      <c r="S1849" s="35" t="str" cm="1">
        <f t="array" ref="S1849">_xlfn.TEXTJOIN(", ",TRUE,_xlfn._xlws.FILTER(Tabla29[[#All],[PARTE]],ISNUMBER(SEARCH(Tabla29[[#All],[PCLAVE3]],Tabla8[[#This Row],[DESCRIPCION DE TRABAJO]])),""))</f>
        <v/>
      </c>
      <c r="T1849" s="88" t="str">
        <f>IF(AND(Tabla8[[#This Row],[PIEZA]]="",Tabla8[[#This Row],[PARTE]]=""),"VACIO","OK")</f>
        <v>VACIO</v>
      </c>
      <c r="U1849" s="633" t="str">
        <f>+CONCATENATE(WEEKNUM(Tabla8[[#This Row],[FECHA]]),"-",YEAR(Tabla8[[#This Row],[FECHA]]))</f>
        <v>25-2026</v>
      </c>
    </row>
    <row r="1850" spans="1:21" ht="15" customHeight="1">
      <c r="A1850" s="22">
        <v>46191</v>
      </c>
      <c r="B1850" s="16" t="s">
        <v>131</v>
      </c>
      <c r="C1850" s="16" t="s">
        <v>23</v>
      </c>
      <c r="D1850" s="381">
        <v>0.59166666666666667</v>
      </c>
      <c r="E1850" s="381">
        <v>0.60763888888888884</v>
      </c>
      <c r="F1850" s="632">
        <f>+MOD(Tabla8[[#This Row],[HR. FIN]]-Tabla8[[#This Row],[HR. INICIO]],1)</f>
        <v>1.5972222222222165E-2</v>
      </c>
      <c r="G1850" s="16" t="s">
        <v>2256</v>
      </c>
      <c r="H1850" s="79" t="str">
        <f>IFERROR(VLOOKUP(G1850,DATOS!$M$2:$N$219,2,FALSE),"")</f>
        <v>Maquinaria</v>
      </c>
      <c r="I1850" s="115" t="s">
        <v>61</v>
      </c>
      <c r="J1850" s="115" t="s">
        <v>92</v>
      </c>
      <c r="K1850" s="115" t="s">
        <v>93</v>
      </c>
      <c r="L1850" s="35" t="s">
        <v>3268</v>
      </c>
      <c r="M1850" s="35" t="s">
        <v>3269</v>
      </c>
      <c r="N1850" s="35" t="str" cm="1">
        <f t="array" ref="N1850">IFERROR(IF(Tabla8[[#This Row],[P/NP]]="NO PROGRAMADA","",_xlfn.TEXTJOIN(", ",TRUE,_xlfn._xlws.FILTER(Tabla4[[#All],[PIEZA]],ISNUMBER(SEARCH(Tabla4[[#All],[PCLAVE]],Tabla8[[#This Row],[DESCRIPCION DE TRABAJO]])),""))),"")</f>
        <v/>
      </c>
      <c r="O1850" s="35" t="str" cm="1">
        <f t="array" ref="O1850">_xlfn.TEXTJOIN(", ",TRUE,_xlfn._xlws.FILTER(Tabla28[[#All],[PARTE]],ISNUMBER(SEARCH(Tabla28[[#All],[PCLAVE2]],Tabla8[[#This Row],[DESCRIPCION DE TRABAJO]])),""))</f>
        <v/>
      </c>
      <c r="P1850" s="633" t="str">
        <f>IFERROR(LEFT(O1850, FIND(",", O1850)-1), O1850)</f>
        <v/>
      </c>
      <c r="Q1850" s="633" t="str">
        <f>IFERROR(IF(ISERROR(FIND(",", O1850, FIND(",", O1850)+1)), RIGHT(O1850, LEN(O1850)-FIND(",", O1850)-1), MID(O1850, FIND(",", O1850)+2, FIND(",", O1850, FIND(",", O1850)+1)-FIND(",", O1850)-2)), "")</f>
        <v/>
      </c>
      <c r="R1850" s="633" t="str">
        <f>IFERROR(RIGHT(O1850, LEN(O1850)-FIND(",", O1850, FIND(",", O1850)+1)-1), "")</f>
        <v/>
      </c>
      <c r="S1850" s="35" t="str" cm="1">
        <f t="array" ref="S1850">_xlfn.TEXTJOIN(", ",TRUE,_xlfn._xlws.FILTER(Tabla29[[#All],[PARTE]],ISNUMBER(SEARCH(Tabla29[[#All],[PCLAVE3]],Tabla8[[#This Row],[DESCRIPCION DE TRABAJO]])),""))</f>
        <v>No Gira, Carga/descarga</v>
      </c>
      <c r="T1850" s="88" t="str">
        <f>IF(AND(Tabla8[[#This Row],[PIEZA]]="",Tabla8[[#This Row],[PARTE]]=""),"VACIO","OK")</f>
        <v>VACIO</v>
      </c>
      <c r="U1850" s="633" t="str">
        <f>+CONCATENATE(WEEKNUM(Tabla8[[#This Row],[FECHA]]),"-",YEAR(Tabla8[[#This Row],[FECHA]]))</f>
        <v>25-2026</v>
      </c>
    </row>
    <row r="1851" spans="1:21" ht="15" customHeight="1">
      <c r="A1851" s="22">
        <v>46191</v>
      </c>
      <c r="B1851" s="16" t="s">
        <v>131</v>
      </c>
      <c r="C1851" s="16" t="s">
        <v>23</v>
      </c>
      <c r="D1851" s="381">
        <v>0.66041666666666665</v>
      </c>
      <c r="E1851" s="381">
        <v>0.67500000000000004</v>
      </c>
      <c r="F1851" s="632">
        <f>+MOD(Tabla8[[#This Row],[HR. FIN]]-Tabla8[[#This Row],[HR. INICIO]],1)</f>
        <v>1.4583333333333393E-2</v>
      </c>
      <c r="G1851" s="16" t="s">
        <v>31</v>
      </c>
      <c r="H1851" s="79" t="str">
        <f>IFERROR(VLOOKUP(G1851,DATOS!$M$2:$N$219,2,FALSE),"")</f>
        <v>Maquinaria</v>
      </c>
      <c r="I1851" s="115" t="s">
        <v>186</v>
      </c>
      <c r="J1851" s="115" t="s">
        <v>92</v>
      </c>
      <c r="K1851" s="115" t="s">
        <v>93</v>
      </c>
      <c r="L1851" s="35" t="s">
        <v>3270</v>
      </c>
      <c r="M1851" s="35" t="s">
        <v>3271</v>
      </c>
      <c r="N1851" s="35" t="str" cm="1">
        <f t="array" ref="N1851">IFERROR(IF(Tabla8[[#This Row],[P/NP]]="NO PROGRAMADA","",_xlfn.TEXTJOIN(", ",TRUE,_xlfn._xlws.FILTER(Tabla4[[#All],[PIEZA]],ISNUMBER(SEARCH(Tabla4[[#All],[PCLAVE]],Tabla8[[#This Row],[DESCRIPCION DE TRABAJO]])),""))),"")</f>
        <v/>
      </c>
      <c r="O1851" s="35" t="str" cm="1">
        <f t="array" ref="O1851">_xlfn.TEXTJOIN(", ",TRUE,_xlfn._xlws.FILTER(Tabla28[[#All],[PARTE]],ISNUMBER(SEARCH(Tabla28[[#All],[PCLAVE2]],Tabla8[[#This Row],[DESCRIPCION DE TRABAJO]])),""))</f>
        <v>Codificador</v>
      </c>
      <c r="P1851" s="633" t="str">
        <f>IFERROR(LEFT(O1851, FIND(",", O1851)-1), O1851)</f>
        <v>Codificador</v>
      </c>
      <c r="Q1851" s="633" t="str">
        <f>IFERROR(IF(ISERROR(FIND(",", O1851, FIND(",", O1851)+1)), RIGHT(O1851, LEN(O1851)-FIND(",", O1851)-1), MID(O1851, FIND(",", O1851)+2, FIND(",", O1851, FIND(",", O1851)+1)-FIND(",", O1851)-2)), "")</f>
        <v/>
      </c>
      <c r="R1851" s="633" t="str">
        <f>IFERROR(RIGHT(O1851, LEN(O1851)-FIND(",", O1851, FIND(",", O1851)+1)-1), "")</f>
        <v/>
      </c>
      <c r="S1851" s="35" t="str" cm="1">
        <f t="array" ref="S1851">_xlfn.TEXTJOIN(", ",TRUE,_xlfn._xlws.FILTER(Tabla29[[#All],[PARTE]],ISNUMBER(SEARCH(Tabla29[[#All],[PCLAVE3]],Tabla8[[#This Row],[DESCRIPCION DE TRABAJO]])),""))</f>
        <v>Error, No Inicia</v>
      </c>
      <c r="T1851" s="88" t="str">
        <f>IF(AND(Tabla8[[#This Row],[PIEZA]]="",Tabla8[[#This Row],[PARTE]]=""),"VACIO","OK")</f>
        <v>OK</v>
      </c>
      <c r="U1851" s="633" t="str">
        <f>+CONCATENATE(WEEKNUM(Tabla8[[#This Row],[FECHA]]),"-",YEAR(Tabla8[[#This Row],[FECHA]]))</f>
        <v>25-2026</v>
      </c>
    </row>
    <row r="1852" spans="1:21" ht="15" customHeight="1">
      <c r="A1852" s="22">
        <v>46191</v>
      </c>
      <c r="B1852" s="16" t="s">
        <v>191</v>
      </c>
      <c r="C1852" s="16" t="s">
        <v>39</v>
      </c>
      <c r="D1852" s="381">
        <v>0.93125000000000002</v>
      </c>
      <c r="E1852" s="381">
        <v>0.9458333333333333</v>
      </c>
      <c r="F1852" s="632">
        <f>+MOD(Tabla8[[#This Row],[HR. FIN]]-Tabla8[[#This Row],[HR. INICIO]],1)</f>
        <v>1.4583333333333282E-2</v>
      </c>
      <c r="G1852" s="16" t="s">
        <v>1465</v>
      </c>
      <c r="H1852" s="79" t="str">
        <f>IFERROR(VLOOKUP(G1852,DATOS!$M$2:$N$219,2,FALSE),"")</f>
        <v>Maquinaria</v>
      </c>
      <c r="I1852" s="115" t="s">
        <v>57</v>
      </c>
      <c r="J1852" s="115" t="s">
        <v>92</v>
      </c>
      <c r="K1852" s="115" t="s">
        <v>93</v>
      </c>
      <c r="L1852" s="35" t="s">
        <v>3272</v>
      </c>
      <c r="M1852" s="35" t="s">
        <v>3273</v>
      </c>
      <c r="N1852" s="35" t="str" cm="1">
        <f t="array" ref="N1852">IFERROR(IF(Tabla8[[#This Row],[P/NP]]="NO PROGRAMADA","",_xlfn.TEXTJOIN(", ",TRUE,_xlfn._xlws.FILTER(Tabla4[[#All],[PIEZA]],ISNUMBER(SEARCH(Tabla4[[#All],[PCLAVE]],Tabla8[[#This Row],[DESCRIPCION DE TRABAJO]])),""))),"")</f>
        <v/>
      </c>
      <c r="O1852" s="35" t="str" cm="1">
        <f t="array" ref="O1852">_xlfn.TEXTJOIN(", ",TRUE,_xlfn._xlws.FILTER(Tabla28[[#All],[PARTE]],ISNUMBER(SEARCH(Tabla28[[#All],[PCLAVE2]],Tabla8[[#This Row],[DESCRIPCION DE TRABAJO]])),""))</f>
        <v>Climatizador</v>
      </c>
      <c r="P1852" s="633" t="str">
        <f>IFERROR(LEFT(O1852, FIND(",", O1852)-1), O1852)</f>
        <v>Climatizador</v>
      </c>
      <c r="Q1852" s="633" t="str">
        <f>IFERROR(IF(ISERROR(FIND(",", O1852, FIND(",", O1852)+1)), RIGHT(O1852, LEN(O1852)-FIND(",", O1852)-1), MID(O1852, FIND(",", O1852)+2, FIND(",", O1852, FIND(",", O1852)+1)-FIND(",", O1852)-2)), "")</f>
        <v/>
      </c>
      <c r="R1852" s="633" t="str">
        <f>IFERROR(RIGHT(O1852, LEN(O1852)-FIND(",", O1852, FIND(",", O1852)+1)-1), "")</f>
        <v/>
      </c>
      <c r="S1852" s="35" t="str" cm="1">
        <f t="array" ref="S1852">_xlfn.TEXTJOIN(", ",TRUE,_xlfn._xlws.FILTER(Tabla29[[#All],[PARTE]],ISNUMBER(SEARCH(Tabla29[[#All],[PCLAVE3]],Tabla8[[#This Row],[DESCRIPCION DE TRABAJO]])),""))</f>
        <v>Goteo</v>
      </c>
      <c r="T1852" s="88" t="str">
        <f>IF(AND(Tabla8[[#This Row],[PIEZA]]="",Tabla8[[#This Row],[PARTE]]=""),"VACIO","OK")</f>
        <v>OK</v>
      </c>
      <c r="U1852" s="633" t="str">
        <f>+CONCATENATE(WEEKNUM(Tabla8[[#This Row],[FECHA]]),"-",YEAR(Tabla8[[#This Row],[FECHA]]))</f>
        <v>25-2026</v>
      </c>
    </row>
    <row r="1853" spans="1:21" ht="15" customHeight="1">
      <c r="A1853" s="22">
        <v>46191</v>
      </c>
      <c r="B1853" s="16" t="s">
        <v>131</v>
      </c>
      <c r="C1853" s="16" t="s">
        <v>23</v>
      </c>
      <c r="D1853" s="381">
        <v>0.61805555555555558</v>
      </c>
      <c r="E1853" s="381">
        <v>0.62638888888888888</v>
      </c>
      <c r="F1853" s="632">
        <f>+MOD(Tabla8[[#This Row],[HR. FIN]]-Tabla8[[#This Row],[HR. INICIO]],1)</f>
        <v>8.3333333333333037E-3</v>
      </c>
      <c r="G1853" s="16" t="s">
        <v>24</v>
      </c>
      <c r="H1853" s="79" t="str">
        <f>IFERROR(VLOOKUP(G1853,DATOS!$M$2:$N$219,2,FALSE),"")</f>
        <v>Maquinaria</v>
      </c>
      <c r="I1853" s="115" t="s">
        <v>57</v>
      </c>
      <c r="J1853" s="115" t="s">
        <v>92</v>
      </c>
      <c r="K1853" s="115" t="s">
        <v>148</v>
      </c>
      <c r="L1853" s="35" t="s">
        <v>3274</v>
      </c>
      <c r="M1853" s="35" t="s">
        <v>3275</v>
      </c>
      <c r="N1853" s="35" t="str" cm="1">
        <f t="array" ref="N1853">IFERROR(IF(Tabla8[[#This Row],[P/NP]]="NO PROGRAMADA","",_xlfn.TEXTJOIN(", ",TRUE,_xlfn._xlws.FILTER(Tabla4[[#All],[PIEZA]],ISNUMBER(SEARCH(Tabla4[[#All],[PCLAVE]],Tabla8[[#This Row],[DESCRIPCION DE TRABAJO]])),""))),"")</f>
        <v/>
      </c>
      <c r="O1853" s="35" t="str" cm="1">
        <f t="array" ref="O1853">_xlfn.TEXTJOIN(", ",TRUE,_xlfn._xlws.FILTER(Tabla28[[#All],[PARTE]],ISNUMBER(SEARCH(Tabla28[[#All],[PCLAVE2]],Tabla8[[#This Row],[DESCRIPCION DE TRABAJO]])),""))</f>
        <v/>
      </c>
      <c r="P1853" s="633" t="str">
        <f>IFERROR(LEFT(O1853, FIND(",", O1853)-1), O1853)</f>
        <v/>
      </c>
      <c r="Q1853" s="633" t="str">
        <f>IFERROR(IF(ISERROR(FIND(",", O1853, FIND(",", O1853)+1)), RIGHT(O1853, LEN(O1853)-FIND(",", O1853)-1), MID(O1853, FIND(",", O1853)+2, FIND(",", O1853, FIND(",", O1853)+1)-FIND(",", O1853)-2)), "")</f>
        <v/>
      </c>
      <c r="R1853" s="633" t="str">
        <f>IFERROR(RIGHT(O1853, LEN(O1853)-FIND(",", O1853, FIND(",", O1853)+1)-1), "")</f>
        <v/>
      </c>
      <c r="S1853" s="35" t="str" cm="1">
        <f t="array" ref="S1853">_xlfn.TEXTJOIN(", ",TRUE,_xlfn._xlws.FILTER(Tabla29[[#All],[PARTE]],ISNUMBER(SEARCH(Tabla29[[#All],[PCLAVE3]],Tabla8[[#This Row],[DESCRIPCION DE TRABAJO]])),""))</f>
        <v>No Avanza</v>
      </c>
      <c r="T1853" s="88" t="str">
        <f>IF(AND(Tabla8[[#This Row],[PIEZA]]="",Tabla8[[#This Row],[PARTE]]=""),"VACIO","OK")</f>
        <v>VACIO</v>
      </c>
      <c r="U1853" s="633" t="str">
        <f>+CONCATENATE(WEEKNUM(Tabla8[[#This Row],[FECHA]]),"-",YEAR(Tabla8[[#This Row],[FECHA]]))</f>
        <v>25-2026</v>
      </c>
    </row>
    <row r="1854" spans="1:21" ht="15" customHeight="1">
      <c r="A1854" s="22">
        <v>46195</v>
      </c>
      <c r="B1854" s="16" t="s">
        <v>179</v>
      </c>
      <c r="C1854" s="16" t="s">
        <v>23</v>
      </c>
      <c r="D1854" s="381" t="s">
        <v>1692</v>
      </c>
      <c r="E1854" s="381" t="s">
        <v>2805</v>
      </c>
      <c r="F1854" s="632">
        <f>+MOD(Tabla8[[#This Row],[HR. FIN]]-Tabla8[[#This Row],[HR. INICIO]],1)</f>
        <v>8.680555555555558E-2</v>
      </c>
      <c r="G1854" s="16" t="s">
        <v>965</v>
      </c>
      <c r="H1854" s="79" t="str">
        <f>IFERROR(VLOOKUP(G1854,DATOS!$M$2:$N$219,2,FALSE),"")</f>
        <v>Maquinaria</v>
      </c>
      <c r="I1854" s="115" t="s">
        <v>390</v>
      </c>
      <c r="J1854" s="115" t="s">
        <v>157</v>
      </c>
      <c r="K1854" s="115"/>
      <c r="L1854" s="35" t="s">
        <v>3276</v>
      </c>
      <c r="M1854" s="35" t="s">
        <v>3277</v>
      </c>
      <c r="N1854" s="35" t="str" cm="1">
        <f t="array" ref="N1854">IFERROR(IF(Tabla8[[#This Row],[P/NP]]="NO PROGRAMADA","",_xlfn.TEXTJOIN(", ",TRUE,_xlfn._xlws.FILTER(Tabla4[[#All],[PIEZA]],ISNUMBER(SEARCH(Tabla4[[#All],[PCLAVE]],Tabla8[[#This Row],[DESCRIPCION DE TRABAJO]])),""))),"")</f>
        <v>Laminado</v>
      </c>
      <c r="O1854" s="35" t="str" cm="1">
        <f t="array" ref="O1854">_xlfn.TEXTJOIN(", ",TRUE,_xlfn._xlws.FILTER(Tabla28[[#All],[PARTE]],ISNUMBER(SEARCH(Tabla28[[#All],[PCLAVE2]],Tabla8[[#This Row],[DESCRIPCION DE TRABAJO]])),""))</f>
        <v/>
      </c>
      <c r="P1854" s="633" t="str">
        <f>IFERROR(LEFT(O1854, FIND(",", O1854)-1), O1854)</f>
        <v/>
      </c>
      <c r="Q1854" s="633" t="str">
        <f>IFERROR(IF(ISERROR(FIND(",", O1854, FIND(",", O1854)+1)), RIGHT(O1854, LEN(O1854)-FIND(",", O1854)-1), MID(O1854, FIND(",", O1854)+2, FIND(",", O1854, FIND(",", O1854)+1)-FIND(",", O1854)-2)), "")</f>
        <v/>
      </c>
      <c r="R1854" s="633" t="str">
        <f>IFERROR(RIGHT(O1854, LEN(O1854)-FIND(",", O1854, FIND(",", O1854)+1)-1), "")</f>
        <v/>
      </c>
      <c r="S1854" s="35" t="str" cm="1">
        <f t="array" ref="S1854">_xlfn.TEXTJOIN(", ",TRUE,_xlfn._xlws.FILTER(Tabla29[[#All],[PARTE]],ISNUMBER(SEARCH(Tabla29[[#All],[PCLAVE3]],Tabla8[[#This Row],[DESCRIPCION DE TRABAJO]])),""))</f>
        <v>Laminado, Rotura</v>
      </c>
      <c r="T1854" s="88" t="str">
        <f>IF(AND(Tabla8[[#This Row],[PIEZA]]="",Tabla8[[#This Row],[PARTE]]=""),"VACIO","OK")</f>
        <v>OK</v>
      </c>
      <c r="U1854" s="633" t="str">
        <f>+CONCATENATE(WEEKNUM(Tabla8[[#This Row],[FECHA]]),"-",YEAR(Tabla8[[#This Row],[FECHA]]))</f>
        <v>26-2026</v>
      </c>
    </row>
    <row r="1855" spans="1:21" ht="15" customHeight="1">
      <c r="A1855" s="22">
        <v>46195</v>
      </c>
      <c r="B1855" s="16" t="s">
        <v>111</v>
      </c>
      <c r="C1855" s="16" t="s">
        <v>39</v>
      </c>
      <c r="D1855" s="381" t="s">
        <v>167</v>
      </c>
      <c r="E1855" s="381" t="s">
        <v>145</v>
      </c>
      <c r="F1855" s="632">
        <f>+MOD(Tabla8[[#This Row],[HR. FIN]]-Tabla8[[#This Row],[HR. INICIO]],1)</f>
        <v>6.25E-2</v>
      </c>
      <c r="G1855" s="16" t="s">
        <v>182</v>
      </c>
      <c r="H1855" s="79" t="str">
        <f>IFERROR(VLOOKUP(G1855,DATOS!$M$2:$N$219,2,FALSE),"")</f>
        <v>Maquinaria</v>
      </c>
      <c r="I1855" s="115" t="s">
        <v>32</v>
      </c>
      <c r="J1855" s="115" t="s">
        <v>157</v>
      </c>
      <c r="K1855" s="115"/>
      <c r="L1855" s="35" t="s">
        <v>3278</v>
      </c>
      <c r="M1855" s="35" t="s">
        <v>3279</v>
      </c>
      <c r="N1855" s="35" t="str" cm="1">
        <f t="array" ref="N1855">IFERROR(IF(Tabla8[[#This Row],[P/NP]]="NO PROGRAMADA","",_xlfn.TEXTJOIN(", ",TRUE,_xlfn._xlws.FILTER(Tabla4[[#All],[PIEZA]],ISNUMBER(SEARCH(Tabla4[[#All],[PCLAVE]],Tabla8[[#This Row],[DESCRIPCION DE TRABAJO]])),""))),"")</f>
        <v/>
      </c>
      <c r="O1855" s="35" t="str" cm="1">
        <f t="array" ref="O1855">_xlfn.TEXTJOIN(", ",TRUE,_xlfn._xlws.FILTER(Tabla28[[#All],[PARTE]],ISNUMBER(SEARCH(Tabla28[[#All],[PCLAVE2]],Tabla8[[#This Row],[DESCRIPCION DE TRABAJO]])),""))</f>
        <v/>
      </c>
      <c r="P1855" s="633" t="str">
        <f>IFERROR(LEFT(O1855, FIND(",", O1855)-1), O1855)</f>
        <v/>
      </c>
      <c r="Q1855" s="633" t="str">
        <f>IFERROR(IF(ISERROR(FIND(",", O1855, FIND(",", O1855)+1)), RIGHT(O1855, LEN(O1855)-FIND(",", O1855)-1), MID(O1855, FIND(",", O1855)+2, FIND(",", O1855, FIND(",", O1855)+1)-FIND(",", O1855)-2)), "")</f>
        <v/>
      </c>
      <c r="R1855" s="633" t="str">
        <f>IFERROR(RIGHT(O1855, LEN(O1855)-FIND(",", O1855, FIND(",", O1855)+1)-1), "")</f>
        <v/>
      </c>
      <c r="S1855" s="35" t="str" cm="1">
        <f t="array" ref="S1855">_xlfn.TEXTJOIN(", ",TRUE,_xlfn._xlws.FILTER(Tabla29[[#All],[PARTE]],ISNUMBER(SEARCH(Tabla29[[#All],[PCLAVE3]],Tabla8[[#This Row],[DESCRIPCION DE TRABAJO]])),""))</f>
        <v>Cambio De Formato</v>
      </c>
      <c r="T1855" s="88" t="str">
        <f>IF(AND(Tabla8[[#This Row],[PIEZA]]="",Tabla8[[#This Row],[PARTE]]=""),"VACIO","OK")</f>
        <v>VACIO</v>
      </c>
      <c r="U1855" s="633" t="str">
        <f>+CONCATENATE(WEEKNUM(Tabla8[[#This Row],[FECHA]]),"-",YEAR(Tabla8[[#This Row],[FECHA]]))</f>
        <v>26-2026</v>
      </c>
    </row>
    <row r="1856" spans="1:21" ht="15" customHeight="1">
      <c r="A1856" s="22">
        <v>46195</v>
      </c>
      <c r="B1856" s="16" t="s">
        <v>88</v>
      </c>
      <c r="C1856" s="16" t="s">
        <v>36</v>
      </c>
      <c r="D1856" s="381" t="s">
        <v>556</v>
      </c>
      <c r="E1856" s="381" t="s">
        <v>670</v>
      </c>
      <c r="F1856" s="632">
        <f>+MOD(Tabla8[[#This Row],[HR. FIN]]-Tabla8[[#This Row],[HR. INICIO]],1)</f>
        <v>6.25E-2</v>
      </c>
      <c r="G1856" s="16" t="s">
        <v>98</v>
      </c>
      <c r="H1856" s="79" t="str">
        <f>IFERROR(VLOOKUP(G1856,DATOS!$M$2:$N$219,2,FALSE),"")</f>
        <v>Maquinaria</v>
      </c>
      <c r="I1856" s="115" t="s">
        <v>32</v>
      </c>
      <c r="J1856" s="115" t="s">
        <v>157</v>
      </c>
      <c r="K1856" s="115"/>
      <c r="L1856" s="35" t="s">
        <v>3280</v>
      </c>
      <c r="M1856" s="35" t="s">
        <v>1129</v>
      </c>
      <c r="N1856" s="35" t="str" cm="1">
        <f t="array" ref="N1856">IFERROR(IF(Tabla8[[#This Row],[P/NP]]="NO PROGRAMADA","",_xlfn.TEXTJOIN(", ",TRUE,_xlfn._xlws.FILTER(Tabla4[[#All],[PIEZA]],ISNUMBER(SEARCH(Tabla4[[#All],[PCLAVE]],Tabla8[[#This Row],[DESCRIPCION DE TRABAJO]])),""))),"")</f>
        <v/>
      </c>
      <c r="O1856" s="35" t="str" cm="1">
        <f t="array" ref="O1856">_xlfn.TEXTJOIN(", ",TRUE,_xlfn._xlws.FILTER(Tabla28[[#All],[PARTE]],ISNUMBER(SEARCH(Tabla28[[#All],[PCLAVE2]],Tabla8[[#This Row],[DESCRIPCION DE TRABAJO]])),""))</f>
        <v/>
      </c>
      <c r="P1856" s="633" t="str">
        <f>IFERROR(LEFT(O1856, FIND(",", O1856)-1), O1856)</f>
        <v/>
      </c>
      <c r="Q1856" s="633" t="str">
        <f>IFERROR(IF(ISERROR(FIND(",", O1856, FIND(",", O1856)+1)), RIGHT(O1856, LEN(O1856)-FIND(",", O1856)-1), MID(O1856, FIND(",", O1856)+2, FIND(",", O1856, FIND(",", O1856)+1)-FIND(",", O1856)-2)), "")</f>
        <v/>
      </c>
      <c r="R1856" s="633" t="str">
        <f>IFERROR(RIGHT(O1856, LEN(O1856)-FIND(",", O1856, FIND(",", O1856)+1)-1), "")</f>
        <v/>
      </c>
      <c r="S1856" s="35" t="str" cm="1">
        <f t="array" ref="S1856">_xlfn.TEXTJOIN(", ",TRUE,_xlfn._xlws.FILTER(Tabla29[[#All],[PARTE]],ISNUMBER(SEARCH(Tabla29[[#All],[PCLAVE3]],Tabla8[[#This Row],[DESCRIPCION DE TRABAJO]])),""))</f>
        <v/>
      </c>
      <c r="T1856" s="88" t="str">
        <f>IF(AND(Tabla8[[#This Row],[PIEZA]]="",Tabla8[[#This Row],[PARTE]]=""),"VACIO","OK")</f>
        <v>VACIO</v>
      </c>
      <c r="U1856" s="633" t="str">
        <f>+CONCATENATE(WEEKNUM(Tabla8[[#This Row],[FECHA]]),"-",YEAR(Tabla8[[#This Row],[FECHA]]))</f>
        <v>26-2026</v>
      </c>
    </row>
    <row r="1857" spans="1:21" ht="15" customHeight="1">
      <c r="A1857" s="22">
        <v>46195</v>
      </c>
      <c r="B1857" s="16" t="s">
        <v>88</v>
      </c>
      <c r="C1857" s="16" t="s">
        <v>36</v>
      </c>
      <c r="D1857" s="381" t="s">
        <v>126</v>
      </c>
      <c r="E1857" s="381" t="s">
        <v>495</v>
      </c>
      <c r="F1857" s="632">
        <f>+MOD(Tabla8[[#This Row],[HR. FIN]]-Tabla8[[#This Row],[HR. INICIO]],1)</f>
        <v>4.8611111111111105E-2</v>
      </c>
      <c r="G1857" s="16" t="s">
        <v>31</v>
      </c>
      <c r="H1857" s="79" t="str">
        <f>IFERROR(VLOOKUP(G1857,DATOS!$M$2:$N$219,2,FALSE),"")</f>
        <v>Maquinaria</v>
      </c>
      <c r="I1857" s="115" t="s">
        <v>32</v>
      </c>
      <c r="J1857" s="115" t="s">
        <v>157</v>
      </c>
      <c r="K1857" s="115"/>
      <c r="L1857" s="35" t="s">
        <v>3281</v>
      </c>
      <c r="M1857" s="35" t="s">
        <v>3282</v>
      </c>
      <c r="N1857" s="35" t="str" cm="1">
        <f t="array" ref="N1857">IFERROR(IF(Tabla8[[#This Row],[P/NP]]="NO PROGRAMADA","",_xlfn.TEXTJOIN(", ",TRUE,_xlfn._xlws.FILTER(Tabla4[[#All],[PIEZA]],ISNUMBER(SEARCH(Tabla4[[#All],[PCLAVE]],Tabla8[[#This Row],[DESCRIPCION DE TRABAJO]])),""))),"")</f>
        <v/>
      </c>
      <c r="O1857" s="35" t="str" cm="1">
        <f t="array" ref="O1857">_xlfn.TEXTJOIN(", ",TRUE,_xlfn._xlws.FILTER(Tabla28[[#All],[PARTE]],ISNUMBER(SEARCH(Tabla28[[#All],[PCLAVE2]],Tabla8[[#This Row],[DESCRIPCION DE TRABAJO]])),""))</f>
        <v/>
      </c>
      <c r="P1857" s="633" t="str">
        <f>IFERROR(LEFT(O1857, FIND(",", O1857)-1), O1857)</f>
        <v/>
      </c>
      <c r="Q1857" s="633" t="str">
        <f>IFERROR(IF(ISERROR(FIND(",", O1857, FIND(",", O1857)+1)), RIGHT(O1857, LEN(O1857)-FIND(",", O1857)-1), MID(O1857, FIND(",", O1857)+2, FIND(",", O1857, FIND(",", O1857)+1)-FIND(",", O1857)-2)), "")</f>
        <v/>
      </c>
      <c r="R1857" s="633" t="str">
        <f>IFERROR(RIGHT(O1857, LEN(O1857)-FIND(",", O1857, FIND(",", O1857)+1)-1), "")</f>
        <v/>
      </c>
      <c r="S1857" s="35" t="str" cm="1">
        <f t="array" ref="S1857">_xlfn.TEXTJOIN(", ",TRUE,_xlfn._xlws.FILTER(Tabla29[[#All],[PARTE]],ISNUMBER(SEARCH(Tabla29[[#All],[PCLAVE3]],Tabla8[[#This Row],[DESCRIPCION DE TRABAJO]])),""))</f>
        <v>Cambio De Formato</v>
      </c>
      <c r="T1857" s="88" t="str">
        <f>IF(AND(Tabla8[[#This Row],[PIEZA]]="",Tabla8[[#This Row],[PARTE]]=""),"VACIO","OK")</f>
        <v>VACIO</v>
      </c>
      <c r="U1857" s="633" t="str">
        <f>+CONCATENATE(WEEKNUM(Tabla8[[#This Row],[FECHA]]),"-",YEAR(Tabla8[[#This Row],[FECHA]]))</f>
        <v>26-2026</v>
      </c>
    </row>
    <row r="1858" spans="1:21" ht="15" customHeight="1">
      <c r="A1858" s="22">
        <v>46195</v>
      </c>
      <c r="B1858" s="16" t="s">
        <v>88</v>
      </c>
      <c r="C1858" s="16" t="s">
        <v>36</v>
      </c>
      <c r="D1858" s="381" t="s">
        <v>101</v>
      </c>
      <c r="E1858" s="381" t="s">
        <v>122</v>
      </c>
      <c r="F1858" s="632">
        <f>+MOD(Tabla8[[#This Row],[HR. FIN]]-Tabla8[[#This Row],[HR. INICIO]],1)</f>
        <v>4.1666666666666657E-2</v>
      </c>
      <c r="G1858" s="16" t="s">
        <v>103</v>
      </c>
      <c r="H1858" s="79" t="str">
        <f>IFERROR(VLOOKUP(G1858,DATOS!$M$2:$N$219,2,FALSE),"")</f>
        <v>Area</v>
      </c>
      <c r="I1858" s="115" t="s">
        <v>43</v>
      </c>
      <c r="J1858" s="115" t="s">
        <v>157</v>
      </c>
      <c r="K1858" s="115"/>
      <c r="L1858" s="35" t="s">
        <v>104</v>
      </c>
      <c r="M1858" s="35" t="s">
        <v>3283</v>
      </c>
      <c r="N1858" s="35" t="str" cm="1">
        <f t="array" ref="N1858">IFERROR(IF(Tabla8[[#This Row],[P/NP]]="NO PROGRAMADA","",_xlfn.TEXTJOIN(", ",TRUE,_xlfn._xlws.FILTER(Tabla4[[#All],[PIEZA]],ISNUMBER(SEARCH(Tabla4[[#All],[PCLAVE]],Tabla8[[#This Row],[DESCRIPCION DE TRABAJO]])),""))),"")</f>
        <v/>
      </c>
      <c r="O1858" s="35" t="str" cm="1">
        <f t="array" ref="O1858">_xlfn.TEXTJOIN(", ",TRUE,_xlfn._xlws.FILTER(Tabla28[[#All],[PARTE]],ISNUMBER(SEARCH(Tabla28[[#All],[PCLAVE2]],Tabla8[[#This Row],[DESCRIPCION DE TRABAJO]])),""))</f>
        <v/>
      </c>
      <c r="P1858" s="633" t="str">
        <f>IFERROR(LEFT(O1858, FIND(",", O1858)-1), O1858)</f>
        <v/>
      </c>
      <c r="Q1858" s="633" t="str">
        <f>IFERROR(IF(ISERROR(FIND(",", O1858, FIND(",", O1858)+1)), RIGHT(O1858, LEN(O1858)-FIND(",", O1858)-1), MID(O1858, FIND(",", O1858)+2, FIND(",", O1858, FIND(",", O1858)+1)-FIND(",", O1858)-2)), "")</f>
        <v/>
      </c>
      <c r="R1858" s="633" t="str">
        <f>IFERROR(RIGHT(O1858, LEN(O1858)-FIND(",", O1858, FIND(",", O1858)+1)-1), "")</f>
        <v/>
      </c>
      <c r="S1858" s="35" t="str" cm="1">
        <f t="array" ref="S1858">_xlfn.TEXTJOIN(", ",TRUE,_xlfn._xlws.FILTER(Tabla29[[#All],[PARTE]],ISNUMBER(SEARCH(Tabla29[[#All],[PCLAVE3]],Tabla8[[#This Row],[DESCRIPCION DE TRABAJO]])),""))</f>
        <v/>
      </c>
      <c r="T1858" s="88" t="str">
        <f>IF(AND(Tabla8[[#This Row],[PIEZA]]="",Tabla8[[#This Row],[PARTE]]=""),"VACIO","OK")</f>
        <v>VACIO</v>
      </c>
      <c r="U1858" s="633" t="str">
        <f>+CONCATENATE(WEEKNUM(Tabla8[[#This Row],[FECHA]]),"-",YEAR(Tabla8[[#This Row],[FECHA]]))</f>
        <v>26-2026</v>
      </c>
    </row>
    <row r="1859" spans="1:21" ht="15" customHeight="1">
      <c r="A1859" s="22">
        <v>46195</v>
      </c>
      <c r="B1859" s="16" t="s">
        <v>179</v>
      </c>
      <c r="C1859" s="16" t="s">
        <v>23</v>
      </c>
      <c r="D1859" s="381" t="s">
        <v>948</v>
      </c>
      <c r="E1859" s="381" t="s">
        <v>265</v>
      </c>
      <c r="F1859" s="632">
        <f>+MOD(Tabla8[[#This Row],[HR. FIN]]-Tabla8[[#This Row],[HR. INICIO]],1)</f>
        <v>3.4027777777777768E-2</v>
      </c>
      <c r="G1859" s="16" t="s">
        <v>31</v>
      </c>
      <c r="H1859" s="79" t="str">
        <f>IFERROR(VLOOKUP(G1859,DATOS!$M$2:$N$219,2,FALSE),"")</f>
        <v>Maquinaria</v>
      </c>
      <c r="I1859" s="115" t="s">
        <v>32</v>
      </c>
      <c r="J1859" s="115" t="s">
        <v>157</v>
      </c>
      <c r="K1859" s="115"/>
      <c r="L1859" s="35" t="s">
        <v>3284</v>
      </c>
      <c r="M1859" s="35" t="s">
        <v>121</v>
      </c>
      <c r="N1859" s="35" t="str" cm="1">
        <f t="array" ref="N1859">IFERROR(IF(Tabla8[[#This Row],[P/NP]]="NO PROGRAMADA","",_xlfn.TEXTJOIN(", ",TRUE,_xlfn._xlws.FILTER(Tabla4[[#All],[PIEZA]],ISNUMBER(SEARCH(Tabla4[[#All],[PCLAVE]],Tabla8[[#This Row],[DESCRIPCION DE TRABAJO]])),""))),"")</f>
        <v/>
      </c>
      <c r="O1859" s="35" t="str" cm="1">
        <f t="array" ref="O1859">_xlfn.TEXTJOIN(", ",TRUE,_xlfn._xlws.FILTER(Tabla28[[#All],[PARTE]],ISNUMBER(SEARCH(Tabla28[[#All],[PCLAVE2]],Tabla8[[#This Row],[DESCRIPCION DE TRABAJO]])),""))</f>
        <v/>
      </c>
      <c r="P1859" s="633" t="str">
        <f>IFERROR(LEFT(O1859, FIND(",", O1859)-1), O1859)</f>
        <v/>
      </c>
      <c r="Q1859" s="633" t="str">
        <f>IFERROR(IF(ISERROR(FIND(",", O1859, FIND(",", O1859)+1)), RIGHT(O1859, LEN(O1859)-FIND(",", O1859)-1), MID(O1859, FIND(",", O1859)+2, FIND(",", O1859, FIND(",", O1859)+1)-FIND(",", O1859)-2)), "")</f>
        <v/>
      </c>
      <c r="R1859" s="633" t="str">
        <f>IFERROR(RIGHT(O1859, LEN(O1859)-FIND(",", O1859, FIND(",", O1859)+1)-1), "")</f>
        <v/>
      </c>
      <c r="S1859" s="35" t="str" cm="1">
        <f t="array" ref="S1859">_xlfn.TEXTJOIN(", ",TRUE,_xlfn._xlws.FILTER(Tabla29[[#All],[PARTE]],ISNUMBER(SEARCH(Tabla29[[#All],[PCLAVE3]],Tabla8[[#This Row],[DESCRIPCION DE TRABAJO]])),""))</f>
        <v>Cambio De Formato</v>
      </c>
      <c r="T1859" s="88" t="str">
        <f>IF(AND(Tabla8[[#This Row],[PIEZA]]="",Tabla8[[#This Row],[PARTE]]=""),"VACIO","OK")</f>
        <v>VACIO</v>
      </c>
      <c r="U1859" s="633" t="str">
        <f>+CONCATENATE(WEEKNUM(Tabla8[[#This Row],[FECHA]]),"-",YEAR(Tabla8[[#This Row],[FECHA]]))</f>
        <v>26-2026</v>
      </c>
    </row>
    <row r="1860" spans="1:21" ht="15" customHeight="1">
      <c r="A1860" s="22">
        <v>46195</v>
      </c>
      <c r="B1860" s="16" t="s">
        <v>179</v>
      </c>
      <c r="C1860" s="16" t="s">
        <v>23</v>
      </c>
      <c r="D1860" s="381" t="s">
        <v>468</v>
      </c>
      <c r="E1860" s="381" t="s">
        <v>456</v>
      </c>
      <c r="F1860" s="632">
        <f>+MOD(Tabla8[[#This Row],[HR. FIN]]-Tabla8[[#This Row],[HR. INICIO]],1)</f>
        <v>2.777777777777779E-2</v>
      </c>
      <c r="G1860" s="16" t="s">
        <v>119</v>
      </c>
      <c r="H1860" s="79" t="str">
        <f>IFERROR(VLOOKUP(G1860,DATOS!$M$2:$N$219,2,FALSE),"")</f>
        <v>Maquinaria</v>
      </c>
      <c r="I1860" s="115" t="s">
        <v>32</v>
      </c>
      <c r="J1860" s="115" t="s">
        <v>157</v>
      </c>
      <c r="K1860" s="115"/>
      <c r="L1860" s="35" t="s">
        <v>3285</v>
      </c>
      <c r="M1860" s="35" t="s">
        <v>121</v>
      </c>
      <c r="N1860" s="35" t="str" cm="1">
        <f t="array" ref="N1860">IFERROR(IF(Tabla8[[#This Row],[P/NP]]="NO PROGRAMADA","",_xlfn.TEXTJOIN(", ",TRUE,_xlfn._xlws.FILTER(Tabla4[[#All],[PIEZA]],ISNUMBER(SEARCH(Tabla4[[#All],[PCLAVE]],Tabla8[[#This Row],[DESCRIPCION DE TRABAJO]])),""))),"")</f>
        <v/>
      </c>
      <c r="O1860" s="35" t="str" cm="1">
        <f t="array" ref="O1860">_xlfn.TEXTJOIN(", ",TRUE,_xlfn._xlws.FILTER(Tabla28[[#All],[PARTE]],ISNUMBER(SEARCH(Tabla28[[#All],[PCLAVE2]],Tabla8[[#This Row],[DESCRIPCION DE TRABAJO]])),""))</f>
        <v>Mds</v>
      </c>
      <c r="P1860" s="633" t="str">
        <f>IFERROR(LEFT(O1860, FIND(",", O1860)-1), O1860)</f>
        <v>Mds</v>
      </c>
      <c r="Q1860" s="633" t="str">
        <f>IFERROR(IF(ISERROR(FIND(",", O1860, FIND(",", O1860)+1)), RIGHT(O1860, LEN(O1860)-FIND(",", O1860)-1), MID(O1860, FIND(",", O1860)+2, FIND(",", O1860, FIND(",", O1860)+1)-FIND(",", O1860)-2)), "")</f>
        <v/>
      </c>
      <c r="R1860" s="633" t="str">
        <f>IFERROR(RIGHT(O1860, LEN(O1860)-FIND(",", O1860, FIND(",", O1860)+1)-1), "")</f>
        <v/>
      </c>
      <c r="S1860" s="35" t="str" cm="1">
        <f t="array" ref="S1860">_xlfn.TEXTJOIN(", ",TRUE,_xlfn._xlws.FILTER(Tabla29[[#All],[PARTE]],ISNUMBER(SEARCH(Tabla29[[#All],[PCLAVE3]],Tabla8[[#This Row],[DESCRIPCION DE TRABAJO]])),""))</f>
        <v>Cambio De Formato</v>
      </c>
      <c r="T1860" s="88" t="str">
        <f>IF(AND(Tabla8[[#This Row],[PIEZA]]="",Tabla8[[#This Row],[PARTE]]=""),"VACIO","OK")</f>
        <v>OK</v>
      </c>
      <c r="U1860" s="633" t="str">
        <f>+CONCATENATE(WEEKNUM(Tabla8[[#This Row],[FECHA]]),"-",YEAR(Tabla8[[#This Row],[FECHA]]))</f>
        <v>26-2026</v>
      </c>
    </row>
    <row r="1861" spans="1:21" ht="15" customHeight="1">
      <c r="A1861" s="22">
        <v>46195</v>
      </c>
      <c r="B1861" s="16" t="s">
        <v>179</v>
      </c>
      <c r="C1861" s="16" t="s">
        <v>23</v>
      </c>
      <c r="D1861" s="381" t="s">
        <v>1960</v>
      </c>
      <c r="E1861" s="381" t="s">
        <v>1707</v>
      </c>
      <c r="F1861" s="632">
        <f>+MOD(Tabla8[[#This Row],[HR. FIN]]-Tabla8[[#This Row],[HR. INICIO]],1)</f>
        <v>2.777777777777779E-2</v>
      </c>
      <c r="G1861" s="16" t="s">
        <v>965</v>
      </c>
      <c r="H1861" s="79" t="str">
        <f>IFERROR(VLOOKUP(G1861,DATOS!$M$2:$N$219,2,FALSE),"")</f>
        <v>Maquinaria</v>
      </c>
      <c r="I1861" s="115" t="s">
        <v>390</v>
      </c>
      <c r="J1861" s="115" t="s">
        <v>157</v>
      </c>
      <c r="K1861" s="115"/>
      <c r="L1861" s="35" t="s">
        <v>3286</v>
      </c>
      <c r="M1861" s="35" t="s">
        <v>121</v>
      </c>
      <c r="N1861" s="35" t="str" cm="1">
        <f t="array" ref="N1861">IFERROR(IF(Tabla8[[#This Row],[P/NP]]="NO PROGRAMADA","",_xlfn.TEXTJOIN(", ",TRUE,_xlfn._xlws.FILTER(Tabla4[[#All],[PIEZA]],ISNUMBER(SEARCH(Tabla4[[#All],[PCLAVE]],Tabla8[[#This Row],[DESCRIPCION DE TRABAJO]])),""))),"")</f>
        <v>Dientes</v>
      </c>
      <c r="O1861" s="35" t="str" cm="1">
        <f t="array" ref="O1861">_xlfn.TEXTJOIN(", ",TRUE,_xlfn._xlws.FILTER(Tabla28[[#All],[PARTE]],ISNUMBER(SEARCH(Tabla28[[#All],[PCLAVE2]],Tabla8[[#This Row],[DESCRIPCION DE TRABAJO]])),""))</f>
        <v/>
      </c>
      <c r="P1861" s="633" t="str">
        <f>IFERROR(LEFT(O1861, FIND(",", O1861)-1), O1861)</f>
        <v/>
      </c>
      <c r="Q1861" s="633" t="str">
        <f>IFERROR(IF(ISERROR(FIND(",", O1861, FIND(",", O1861)+1)), RIGHT(O1861, LEN(O1861)-FIND(",", O1861)-1), MID(O1861, FIND(",", O1861)+2, FIND(",", O1861, FIND(",", O1861)+1)-FIND(",", O1861)-2)), "")</f>
        <v/>
      </c>
      <c r="R1861" s="633" t="str">
        <f>IFERROR(RIGHT(O1861, LEN(O1861)-FIND(",", O1861, FIND(",", O1861)+1)-1), "")</f>
        <v/>
      </c>
      <c r="S1861" s="35" t="str" cm="1">
        <f t="array" ref="S1861">_xlfn.TEXTJOIN(", ",TRUE,_xlfn._xlws.FILTER(Tabla29[[#All],[PARTE]],ISNUMBER(SEARCH(Tabla29[[#All],[PCLAVE3]],Tabla8[[#This Row],[DESCRIPCION DE TRABAJO]])),""))</f>
        <v/>
      </c>
      <c r="T1861" s="88" t="str">
        <f>IF(AND(Tabla8[[#This Row],[PIEZA]]="",Tabla8[[#This Row],[PARTE]]=""),"VACIO","OK")</f>
        <v>OK</v>
      </c>
      <c r="U1861" s="633" t="str">
        <f>+CONCATENATE(WEEKNUM(Tabla8[[#This Row],[FECHA]]),"-",YEAR(Tabla8[[#This Row],[FECHA]]))</f>
        <v>26-2026</v>
      </c>
    </row>
    <row r="1862" spans="1:21" ht="15" customHeight="1">
      <c r="A1862" s="22">
        <v>46195</v>
      </c>
      <c r="B1862" s="16" t="s">
        <v>131</v>
      </c>
      <c r="C1862" s="16" t="s">
        <v>36</v>
      </c>
      <c r="D1862" s="381" t="s">
        <v>557</v>
      </c>
      <c r="E1862" s="381" t="s">
        <v>522</v>
      </c>
      <c r="F1862" s="632">
        <f>+MOD(Tabla8[[#This Row],[HR. FIN]]-Tabla8[[#This Row],[HR. INICIO]],1)</f>
        <v>2.430555555555558E-2</v>
      </c>
      <c r="G1862" s="16" t="s">
        <v>312</v>
      </c>
      <c r="H1862" s="79" t="str">
        <f>IFERROR(VLOOKUP(G1862,DATOS!$M$2:$N$219,2,FALSE),"")</f>
        <v>Maquinaria</v>
      </c>
      <c r="I1862" s="115" t="s">
        <v>32</v>
      </c>
      <c r="J1862" s="115" t="s">
        <v>157</v>
      </c>
      <c r="K1862" s="115"/>
      <c r="L1862" s="35" t="s">
        <v>3287</v>
      </c>
      <c r="M1862" s="35" t="s">
        <v>121</v>
      </c>
      <c r="N1862" s="35" t="str" cm="1">
        <f t="array" ref="N1862">IFERROR(IF(Tabla8[[#This Row],[P/NP]]="NO PROGRAMADA","",_xlfn.TEXTJOIN(", ",TRUE,_xlfn._xlws.FILTER(Tabla4[[#All],[PIEZA]],ISNUMBER(SEARCH(Tabla4[[#All],[PCLAVE]],Tabla8[[#This Row],[DESCRIPCION DE TRABAJO]])),""))),"")</f>
        <v>Polin De Arrastre</v>
      </c>
      <c r="O1862" s="35" t="str" cm="1">
        <f t="array" ref="O1862">_xlfn.TEXTJOIN(", ",TRUE,_xlfn._xlws.FILTER(Tabla28[[#All],[PARTE]],ISNUMBER(SEARCH(Tabla28[[#All],[PCLAVE2]],Tabla8[[#This Row],[DESCRIPCION DE TRABAJO]])),""))</f>
        <v/>
      </c>
      <c r="P1862" s="633" t="str">
        <f>IFERROR(LEFT(O1862, FIND(",", O1862)-1), O1862)</f>
        <v/>
      </c>
      <c r="Q1862" s="633" t="str">
        <f>IFERROR(IF(ISERROR(FIND(",", O1862, FIND(",", O1862)+1)), RIGHT(O1862, LEN(O1862)-FIND(",", O1862)-1), MID(O1862, FIND(",", O1862)+2, FIND(",", O1862, FIND(",", O1862)+1)-FIND(",", O1862)-2)), "")</f>
        <v/>
      </c>
      <c r="R1862" s="633" t="str">
        <f>IFERROR(RIGHT(O1862, LEN(O1862)-FIND(",", O1862, FIND(",", O1862)+1)-1), "")</f>
        <v/>
      </c>
      <c r="S1862" s="35" t="str" cm="1">
        <f t="array" ref="S1862">_xlfn.TEXTJOIN(", ",TRUE,_xlfn._xlws.FILTER(Tabla29[[#All],[PARTE]],ISNUMBER(SEARCH(Tabla29[[#All],[PCLAVE3]],Tabla8[[#This Row],[DESCRIPCION DE TRABAJO]])),""))</f>
        <v/>
      </c>
      <c r="T1862" s="88" t="str">
        <f>IF(AND(Tabla8[[#This Row],[PIEZA]]="",Tabla8[[#This Row],[PARTE]]=""),"VACIO","OK")</f>
        <v>OK</v>
      </c>
      <c r="U1862" s="633" t="str">
        <f>+CONCATENATE(WEEKNUM(Tabla8[[#This Row],[FECHA]]),"-",YEAR(Tabla8[[#This Row],[FECHA]]))</f>
        <v>26-2026</v>
      </c>
    </row>
    <row r="1863" spans="1:21" ht="15" customHeight="1">
      <c r="A1863" s="22">
        <v>46195</v>
      </c>
      <c r="B1863" s="16" t="s">
        <v>131</v>
      </c>
      <c r="C1863" s="16" t="s">
        <v>36</v>
      </c>
      <c r="D1863" s="381" t="s">
        <v>586</v>
      </c>
      <c r="E1863" s="381" t="s">
        <v>3288</v>
      </c>
      <c r="F1863" s="632">
        <f>+MOD(Tabla8[[#This Row],[HR. FIN]]-Tabla8[[#This Row],[HR. INICIO]],1)</f>
        <v>2.430555555555558E-2</v>
      </c>
      <c r="G1863" s="16" t="s">
        <v>153</v>
      </c>
      <c r="H1863" s="79" t="str">
        <f>IFERROR(VLOOKUP(G1863,DATOS!$M$2:$N$219,2,FALSE),"")</f>
        <v>Maquinaria</v>
      </c>
      <c r="I1863" s="115" t="s">
        <v>32</v>
      </c>
      <c r="J1863" s="115" t="s">
        <v>157</v>
      </c>
      <c r="K1863" s="115"/>
      <c r="L1863" s="35" t="s">
        <v>449</v>
      </c>
      <c r="M1863" s="35" t="s">
        <v>121</v>
      </c>
      <c r="N1863" s="35" t="str" cm="1">
        <f t="array" ref="N1863">IFERROR(IF(Tabla8[[#This Row],[P/NP]]="NO PROGRAMADA","",_xlfn.TEXTJOIN(", ",TRUE,_xlfn._xlws.FILTER(Tabla4[[#All],[PIEZA]],ISNUMBER(SEARCH(Tabla4[[#All],[PCLAVE]],Tabla8[[#This Row],[DESCRIPCION DE TRABAJO]])),""))),"")</f>
        <v/>
      </c>
      <c r="O1863" s="35" t="str" cm="1">
        <f t="array" ref="O1863">_xlfn.TEXTJOIN(", ",TRUE,_xlfn._xlws.FILTER(Tabla28[[#All],[PARTE]],ISNUMBER(SEARCH(Tabla28[[#All],[PCLAVE2]],Tabla8[[#This Row],[DESCRIPCION DE TRABAJO]])),""))</f>
        <v/>
      </c>
      <c r="P1863" s="633" t="str">
        <f>IFERROR(LEFT(O1863, FIND(",", O1863)-1), O1863)</f>
        <v/>
      </c>
      <c r="Q1863" s="633" t="str">
        <f>IFERROR(IF(ISERROR(FIND(",", O1863, FIND(",", O1863)+1)), RIGHT(O1863, LEN(O1863)-FIND(",", O1863)-1), MID(O1863, FIND(",", O1863)+2, FIND(",", O1863, FIND(",", O1863)+1)-FIND(",", O1863)-2)), "")</f>
        <v/>
      </c>
      <c r="R1863" s="633" t="str">
        <f>IFERROR(RIGHT(O1863, LEN(O1863)-FIND(",", O1863, FIND(",", O1863)+1)-1), "")</f>
        <v/>
      </c>
      <c r="S1863" s="35" t="str" cm="1">
        <f t="array" ref="S1863">_xlfn.TEXTJOIN(", ",TRUE,_xlfn._xlws.FILTER(Tabla29[[#All],[PARTE]],ISNUMBER(SEARCH(Tabla29[[#All],[PCLAVE3]],Tabla8[[#This Row],[DESCRIPCION DE TRABAJO]])),""))</f>
        <v/>
      </c>
      <c r="T1863" s="88" t="str">
        <f>IF(AND(Tabla8[[#This Row],[PIEZA]]="",Tabla8[[#This Row],[PARTE]]=""),"VACIO","OK")</f>
        <v>VACIO</v>
      </c>
      <c r="U1863" s="633" t="str">
        <f>+CONCATENATE(WEEKNUM(Tabla8[[#This Row],[FECHA]]),"-",YEAR(Tabla8[[#This Row],[FECHA]]))</f>
        <v>26-2026</v>
      </c>
    </row>
    <row r="1864" spans="1:21" ht="15" customHeight="1">
      <c r="A1864" s="22">
        <v>46195</v>
      </c>
      <c r="B1864" s="16" t="s">
        <v>179</v>
      </c>
      <c r="C1864" s="16" t="s">
        <v>23</v>
      </c>
      <c r="D1864" s="381" t="s">
        <v>940</v>
      </c>
      <c r="E1864" s="381" t="s">
        <v>282</v>
      </c>
      <c r="F1864" s="632">
        <f>+MOD(Tabla8[[#This Row],[HR. FIN]]-Tabla8[[#This Row],[HR. INICIO]],1)</f>
        <v>2.4305555555555469E-2</v>
      </c>
      <c r="G1864" s="16" t="s">
        <v>182</v>
      </c>
      <c r="H1864" s="79" t="str">
        <f>IFERROR(VLOOKUP(G1864,DATOS!$M$2:$N$219,2,FALSE),"")</f>
        <v>Maquinaria</v>
      </c>
      <c r="I1864" s="115" t="s">
        <v>32</v>
      </c>
      <c r="J1864" s="115" t="s">
        <v>157</v>
      </c>
      <c r="K1864" s="115"/>
      <c r="L1864" s="35" t="s">
        <v>3289</v>
      </c>
      <c r="M1864" s="35" t="s">
        <v>121</v>
      </c>
      <c r="N1864" s="35" t="str" cm="1">
        <f t="array" ref="N1864">IFERROR(IF(Tabla8[[#This Row],[P/NP]]="NO PROGRAMADA","",_xlfn.TEXTJOIN(", ",TRUE,_xlfn._xlws.FILTER(Tabla4[[#All],[PIEZA]],ISNUMBER(SEARCH(Tabla4[[#All],[PCLAVE]],Tabla8[[#This Row],[DESCRIPCION DE TRABAJO]])),""))),"")</f>
        <v/>
      </c>
      <c r="O1864" s="35" t="str" cm="1">
        <f t="array" ref="O1864">_xlfn.TEXTJOIN(", ",TRUE,_xlfn._xlws.FILTER(Tabla28[[#All],[PARTE]],ISNUMBER(SEARCH(Tabla28[[#All],[PCLAVE2]],Tabla8[[#This Row],[DESCRIPCION DE TRABAJO]])),""))</f>
        <v/>
      </c>
      <c r="P1864" s="633" t="str">
        <f>IFERROR(LEFT(O1864, FIND(",", O1864)-1), O1864)</f>
        <v/>
      </c>
      <c r="Q1864" s="633" t="str">
        <f>IFERROR(IF(ISERROR(FIND(",", O1864, FIND(",", O1864)+1)), RIGHT(O1864, LEN(O1864)-FIND(",", O1864)-1), MID(O1864, FIND(",", O1864)+2, FIND(",", O1864, FIND(",", O1864)+1)-FIND(",", O1864)-2)), "")</f>
        <v/>
      </c>
      <c r="R1864" s="633" t="str">
        <f>IFERROR(RIGHT(O1864, LEN(O1864)-FIND(",", O1864, FIND(",", O1864)+1)-1), "")</f>
        <v/>
      </c>
      <c r="S1864" s="35" t="str" cm="1">
        <f t="array" ref="S1864">_xlfn.TEXTJOIN(", ",TRUE,_xlfn._xlws.FILTER(Tabla29[[#All],[PARTE]],ISNUMBER(SEARCH(Tabla29[[#All],[PCLAVE3]],Tabla8[[#This Row],[DESCRIPCION DE TRABAJO]])),""))</f>
        <v>Cambio De Formato</v>
      </c>
      <c r="T1864" s="88" t="str">
        <f>IF(AND(Tabla8[[#This Row],[PIEZA]]="",Tabla8[[#This Row],[PARTE]]=""),"VACIO","OK")</f>
        <v>VACIO</v>
      </c>
      <c r="U1864" s="633" t="str">
        <f>+CONCATENATE(WEEKNUM(Tabla8[[#This Row],[FECHA]]),"-",YEAR(Tabla8[[#This Row],[FECHA]]))</f>
        <v>26-2026</v>
      </c>
    </row>
    <row r="1865" spans="1:21" ht="15" customHeight="1">
      <c r="A1865" s="22">
        <v>46195</v>
      </c>
      <c r="B1865" s="16" t="s">
        <v>111</v>
      </c>
      <c r="C1865" s="16" t="s">
        <v>39</v>
      </c>
      <c r="D1865" s="381" t="s">
        <v>134</v>
      </c>
      <c r="E1865" s="381" t="s">
        <v>2275</v>
      </c>
      <c r="F1865" s="632">
        <f>+MOD(Tabla8[[#This Row],[HR. FIN]]-Tabla8[[#This Row],[HR. INICIO]],1)</f>
        <v>2.1527777777777812E-2</v>
      </c>
      <c r="G1865" s="16" t="s">
        <v>965</v>
      </c>
      <c r="H1865" s="79" t="str">
        <f>IFERROR(VLOOKUP(G1865,DATOS!$M$2:$N$219,2,FALSE),"")</f>
        <v>Maquinaria</v>
      </c>
      <c r="I1865" s="115" t="s">
        <v>57</v>
      </c>
      <c r="J1865" s="115" t="s">
        <v>92</v>
      </c>
      <c r="K1865" s="115" t="s">
        <v>93</v>
      </c>
      <c r="L1865" s="35" t="s">
        <v>3290</v>
      </c>
      <c r="M1865" s="35" t="s">
        <v>3291</v>
      </c>
      <c r="N1865" s="35" t="str" cm="1">
        <f t="array" ref="N1865">IFERROR(IF(Tabla8[[#This Row],[P/NP]]="NO PROGRAMADA","",_xlfn.TEXTJOIN(", ",TRUE,_xlfn._xlws.FILTER(Tabla4[[#All],[PIEZA]],ISNUMBER(SEARCH(Tabla4[[#All],[PCLAVE]],Tabla8[[#This Row],[DESCRIPCION DE TRABAJO]])),""))),"")</f>
        <v/>
      </c>
      <c r="O1865" s="35" t="str" cm="1">
        <f t="array" ref="O1865">_xlfn.TEXTJOIN(", ",TRUE,_xlfn._xlws.FILTER(Tabla28[[#All],[PARTE]],ISNUMBER(SEARCH(Tabla28[[#All],[PCLAVE2]],Tabla8[[#This Row],[DESCRIPCION DE TRABAJO]])),""))</f>
        <v/>
      </c>
      <c r="P1865" s="633" t="str">
        <f>IFERROR(LEFT(O1865, FIND(",", O1865)-1), O1865)</f>
        <v/>
      </c>
      <c r="Q1865" s="633" t="str">
        <f>IFERROR(IF(ISERROR(FIND(",", O1865, FIND(",", O1865)+1)), RIGHT(O1865, LEN(O1865)-FIND(",", O1865)-1), MID(O1865, FIND(",", O1865)+2, FIND(",", O1865, FIND(",", O1865)+1)-FIND(",", O1865)-2)), "")</f>
        <v/>
      </c>
      <c r="R1865" s="633" t="str">
        <f>IFERROR(RIGHT(O1865, LEN(O1865)-FIND(",", O1865, FIND(",", O1865)+1)-1), "")</f>
        <v/>
      </c>
      <c r="S1865" s="35" t="str" cm="1">
        <f t="array" ref="S1865">_xlfn.TEXTJOIN(", ",TRUE,_xlfn._xlws.FILTER(Tabla29[[#All],[PARTE]],ISNUMBER(SEARCH(Tabla29[[#All],[PCLAVE3]],Tabla8[[#This Row],[DESCRIPCION DE TRABAJO]])),""))</f>
        <v>Desalineado, Laminado, No Corta</v>
      </c>
      <c r="T1865" s="88" t="str">
        <f>IF(AND(Tabla8[[#This Row],[PIEZA]]="",Tabla8[[#This Row],[PARTE]]=""),"VACIO","OK")</f>
        <v>VACIO</v>
      </c>
      <c r="U1865" s="633" t="str">
        <f>+CONCATENATE(WEEKNUM(Tabla8[[#This Row],[FECHA]]),"-",YEAR(Tabla8[[#This Row],[FECHA]]))</f>
        <v>26-2026</v>
      </c>
    </row>
    <row r="1866" spans="1:21" ht="15" customHeight="1">
      <c r="A1866" s="22">
        <v>46195</v>
      </c>
      <c r="B1866" s="16" t="s">
        <v>111</v>
      </c>
      <c r="C1866" s="16" t="s">
        <v>39</v>
      </c>
      <c r="D1866" s="381" t="s">
        <v>426</v>
      </c>
      <c r="E1866" s="381" t="s">
        <v>660</v>
      </c>
      <c r="F1866" s="632">
        <f>+MOD(Tabla8[[#This Row],[HR. FIN]]-Tabla8[[#This Row],[HR. INICIO]],1)</f>
        <v>2.083333333333337E-2</v>
      </c>
      <c r="G1866" s="16" t="s">
        <v>182</v>
      </c>
      <c r="H1866" s="79" t="str">
        <f>IFERROR(VLOOKUP(G1866,DATOS!$M$2:$N$219,2,FALSE),"")</f>
        <v>Maquinaria</v>
      </c>
      <c r="I1866" s="115" t="s">
        <v>32</v>
      </c>
      <c r="J1866" s="115" t="s">
        <v>157</v>
      </c>
      <c r="K1866" s="115"/>
      <c r="L1866" s="35" t="s">
        <v>3292</v>
      </c>
      <c r="M1866" s="35" t="s">
        <v>3293</v>
      </c>
      <c r="N1866" s="35" t="str" cm="1">
        <f t="array" ref="N1866">IFERROR(IF(Tabla8[[#This Row],[P/NP]]="NO PROGRAMADA","",_xlfn.TEXTJOIN(", ",TRUE,_xlfn._xlws.FILTER(Tabla4[[#All],[PIEZA]],ISNUMBER(SEARCH(Tabla4[[#All],[PCLAVE]],Tabla8[[#This Row],[DESCRIPCION DE TRABAJO]])),""))),"")</f>
        <v/>
      </c>
      <c r="O1866" s="35" t="str" cm="1">
        <f t="array" ref="O1866">_xlfn.TEXTJOIN(", ",TRUE,_xlfn._xlws.FILTER(Tabla28[[#All],[PARTE]],ISNUMBER(SEARCH(Tabla28[[#All],[PCLAVE2]],Tabla8[[#This Row],[DESCRIPCION DE TRABAJO]])),""))</f>
        <v/>
      </c>
      <c r="P1866" s="633" t="str">
        <f>IFERROR(LEFT(O1866, FIND(",", O1866)-1), O1866)</f>
        <v/>
      </c>
      <c r="Q1866" s="633" t="str">
        <f>IFERROR(IF(ISERROR(FIND(",", O1866, FIND(",", O1866)+1)), RIGHT(O1866, LEN(O1866)-FIND(",", O1866)-1), MID(O1866, FIND(",", O1866)+2, FIND(",", O1866, FIND(",", O1866)+1)-FIND(",", O1866)-2)), "")</f>
        <v/>
      </c>
      <c r="R1866" s="633" t="str">
        <f>IFERROR(RIGHT(O1866, LEN(O1866)-FIND(",", O1866, FIND(",", O1866)+1)-1), "")</f>
        <v/>
      </c>
      <c r="S1866" s="35" t="str" cm="1">
        <f t="array" ref="S1866">_xlfn.TEXTJOIN(", ",TRUE,_xlfn._xlws.FILTER(Tabla29[[#All],[PARTE]],ISNUMBER(SEARCH(Tabla29[[#All],[PCLAVE3]],Tabla8[[#This Row],[DESCRIPCION DE TRABAJO]])),""))</f>
        <v>Cambio De Formato</v>
      </c>
      <c r="T1866" s="88" t="str">
        <f>IF(AND(Tabla8[[#This Row],[PIEZA]]="",Tabla8[[#This Row],[PARTE]]=""),"VACIO","OK")</f>
        <v>VACIO</v>
      </c>
      <c r="U1866" s="633" t="str">
        <f>+CONCATENATE(WEEKNUM(Tabla8[[#This Row],[FECHA]]),"-",YEAR(Tabla8[[#This Row],[FECHA]]))</f>
        <v>26-2026</v>
      </c>
    </row>
    <row r="1867" spans="1:21" ht="15" customHeight="1">
      <c r="A1867" s="22">
        <v>46195</v>
      </c>
      <c r="B1867" s="16" t="s">
        <v>88</v>
      </c>
      <c r="C1867" s="16" t="s">
        <v>36</v>
      </c>
      <c r="D1867" s="381" t="s">
        <v>122</v>
      </c>
      <c r="E1867" s="381" t="s">
        <v>123</v>
      </c>
      <c r="F1867" s="632">
        <f>+MOD(Tabla8[[#This Row],[HR. FIN]]-Tabla8[[#This Row],[HR. INICIO]],1)</f>
        <v>2.083333333333337E-2</v>
      </c>
      <c r="G1867" s="16" t="s">
        <v>114</v>
      </c>
      <c r="H1867" s="79" t="str">
        <f>IFERROR(VLOOKUP(G1867,DATOS!$M$2:$N$219,2,FALSE),"")</f>
        <v>Maquinaria</v>
      </c>
      <c r="I1867" s="115" t="s">
        <v>32</v>
      </c>
      <c r="J1867" s="115" t="s">
        <v>157</v>
      </c>
      <c r="K1867" s="115"/>
      <c r="L1867" s="35" t="s">
        <v>1168</v>
      </c>
      <c r="M1867" s="35" t="s">
        <v>1166</v>
      </c>
      <c r="N1867" s="35" t="str" cm="1">
        <f t="array" ref="N1867">IFERROR(IF(Tabla8[[#This Row],[P/NP]]="NO PROGRAMADA","",_xlfn.TEXTJOIN(", ",TRUE,_xlfn._xlws.FILTER(Tabla4[[#All],[PIEZA]],ISNUMBER(SEARCH(Tabla4[[#All],[PCLAVE]],Tabla8[[#This Row],[DESCRIPCION DE TRABAJO]])),""))),"")</f>
        <v/>
      </c>
      <c r="O1867" s="35" t="str" cm="1">
        <f t="array" ref="O1867">_xlfn.TEXTJOIN(", ",TRUE,_xlfn._xlws.FILTER(Tabla28[[#All],[PARTE]],ISNUMBER(SEARCH(Tabla28[[#All],[PCLAVE2]],Tabla8[[#This Row],[DESCRIPCION DE TRABAJO]])),""))</f>
        <v/>
      </c>
      <c r="P1867" s="633" t="str">
        <f>IFERROR(LEFT(O1867, FIND(",", O1867)-1), O1867)</f>
        <v/>
      </c>
      <c r="Q1867" s="633" t="str">
        <f>IFERROR(IF(ISERROR(FIND(",", O1867, FIND(",", O1867)+1)), RIGHT(O1867, LEN(O1867)-FIND(",", O1867)-1), MID(O1867, FIND(",", O1867)+2, FIND(",", O1867, FIND(",", O1867)+1)-FIND(",", O1867)-2)), "")</f>
        <v/>
      </c>
      <c r="R1867" s="633" t="str">
        <f>IFERROR(RIGHT(O1867, LEN(O1867)-FIND(",", O1867, FIND(",", O1867)+1)-1), "")</f>
        <v/>
      </c>
      <c r="S1867" s="35" t="str" cm="1">
        <f t="array" ref="S1867">_xlfn.TEXTJOIN(", ",TRUE,_xlfn._xlws.FILTER(Tabla29[[#All],[PARTE]],ISNUMBER(SEARCH(Tabla29[[#All],[PCLAVE3]],Tabla8[[#This Row],[DESCRIPCION DE TRABAJO]])),""))</f>
        <v/>
      </c>
      <c r="T1867" s="88" t="str">
        <f>IF(AND(Tabla8[[#This Row],[PIEZA]]="",Tabla8[[#This Row],[PARTE]]=""),"VACIO","OK")</f>
        <v>VACIO</v>
      </c>
      <c r="U1867" s="633" t="str">
        <f>+CONCATENATE(WEEKNUM(Tabla8[[#This Row],[FECHA]]),"-",YEAR(Tabla8[[#This Row],[FECHA]]))</f>
        <v>26-2026</v>
      </c>
    </row>
    <row r="1868" spans="1:21" ht="15" customHeight="1">
      <c r="A1868" s="22">
        <v>46195</v>
      </c>
      <c r="B1868" s="16" t="s">
        <v>131</v>
      </c>
      <c r="C1868" s="16" t="s">
        <v>36</v>
      </c>
      <c r="D1868" s="381" t="s">
        <v>1167</v>
      </c>
      <c r="E1868" s="381" t="s">
        <v>447</v>
      </c>
      <c r="F1868" s="632">
        <f>+MOD(Tabla8[[#This Row],[HR. FIN]]-Tabla8[[#This Row],[HR. INICIO]],1)</f>
        <v>2.0833333333333315E-2</v>
      </c>
      <c r="G1868" s="16" t="s">
        <v>552</v>
      </c>
      <c r="H1868" s="79" t="str">
        <f>IFERROR(VLOOKUP(G1868,DATOS!$M$2:$N$219,2,FALSE),"")</f>
        <v>Maquinaria</v>
      </c>
      <c r="I1868" s="115" t="s">
        <v>57</v>
      </c>
      <c r="J1868" s="115" t="s">
        <v>157</v>
      </c>
      <c r="K1868" s="115"/>
      <c r="L1868" s="35" t="s">
        <v>3294</v>
      </c>
      <c r="M1868" s="35" t="s">
        <v>2949</v>
      </c>
      <c r="N1868" s="35" t="str" cm="1">
        <f t="array" ref="N1868">IFERROR(IF(Tabla8[[#This Row],[P/NP]]="NO PROGRAMADA","",_xlfn.TEXTJOIN(", ",TRUE,_xlfn._xlws.FILTER(Tabla4[[#All],[PIEZA]],ISNUMBER(SEARCH(Tabla4[[#All],[PCLAVE]],Tabla8[[#This Row],[DESCRIPCION DE TRABAJO]])),""))),"")</f>
        <v>Disco, Laminado</v>
      </c>
      <c r="O1868" s="35" t="str" cm="1">
        <f t="array" ref="O1868">_xlfn.TEXTJOIN(", ",TRUE,_xlfn._xlws.FILTER(Tabla28[[#All],[PARTE]],ISNUMBER(SEARCH(Tabla28[[#All],[PCLAVE2]],Tabla8[[#This Row],[DESCRIPCION DE TRABAJO]])),""))</f>
        <v/>
      </c>
      <c r="P1868" s="633" t="str">
        <f>IFERROR(LEFT(O1868, FIND(",", O1868)-1), O1868)</f>
        <v/>
      </c>
      <c r="Q1868" s="633" t="str">
        <f>IFERROR(IF(ISERROR(FIND(",", O1868, FIND(",", O1868)+1)), RIGHT(O1868, LEN(O1868)-FIND(",", O1868)-1), MID(O1868, FIND(",", O1868)+2, FIND(",", O1868, FIND(",", O1868)+1)-FIND(",", O1868)-2)), "")</f>
        <v/>
      </c>
      <c r="R1868" s="633" t="str">
        <f>IFERROR(RIGHT(O1868, LEN(O1868)-FIND(",", O1868, FIND(",", O1868)+1)-1), "")</f>
        <v/>
      </c>
      <c r="S1868" s="35" t="str" cm="1">
        <f t="array" ref="S1868">_xlfn.TEXTJOIN(", ",TRUE,_xlfn._xlws.FILTER(Tabla29[[#All],[PARTE]],ISNUMBER(SEARCH(Tabla29[[#All],[PCLAVE3]],Tabla8[[#This Row],[DESCRIPCION DE TRABAJO]])),""))</f>
        <v>Laminado</v>
      </c>
      <c r="T1868" s="88" t="str">
        <f>IF(AND(Tabla8[[#This Row],[PIEZA]]="",Tabla8[[#This Row],[PARTE]]=""),"VACIO","OK")</f>
        <v>OK</v>
      </c>
      <c r="U1868" s="633" t="str">
        <f>+CONCATENATE(WEEKNUM(Tabla8[[#This Row],[FECHA]]),"-",YEAR(Tabla8[[#This Row],[FECHA]]))</f>
        <v>26-2026</v>
      </c>
    </row>
    <row r="1869" spans="1:21" ht="15" customHeight="1">
      <c r="A1869" s="22">
        <v>46195</v>
      </c>
      <c r="B1869" s="16" t="s">
        <v>88</v>
      </c>
      <c r="C1869" s="16" t="s">
        <v>36</v>
      </c>
      <c r="D1869" s="381" t="s">
        <v>403</v>
      </c>
      <c r="E1869" s="381" t="s">
        <v>152</v>
      </c>
      <c r="F1869" s="632">
        <f>+MOD(Tabla8[[#This Row],[HR. FIN]]-Tabla8[[#This Row],[HR. INICIO]],1)</f>
        <v>2.0833333333333315E-2</v>
      </c>
      <c r="G1869" s="16" t="s">
        <v>2256</v>
      </c>
      <c r="H1869" s="79" t="str">
        <f>IFERROR(VLOOKUP(G1869,DATOS!$M$2:$N$219,2,FALSE),"")</f>
        <v>Maquinaria</v>
      </c>
      <c r="I1869" s="115" t="s">
        <v>32</v>
      </c>
      <c r="J1869" s="115" t="s">
        <v>157</v>
      </c>
      <c r="K1869" s="115"/>
      <c r="L1869" s="35" t="s">
        <v>3295</v>
      </c>
      <c r="M1869" s="35" t="s">
        <v>3296</v>
      </c>
      <c r="N1869" s="35" t="str" cm="1">
        <f t="array" ref="N1869">IFERROR(IF(Tabla8[[#This Row],[P/NP]]="NO PROGRAMADA","",_xlfn.TEXTJOIN(", ",TRUE,_xlfn._xlws.FILTER(Tabla4[[#All],[PIEZA]],ISNUMBER(SEARCH(Tabla4[[#All],[PCLAVE]],Tabla8[[#This Row],[DESCRIPCION DE TRABAJO]])),""))),"")</f>
        <v>Elevador, Elevador</v>
      </c>
      <c r="O1869" s="35" t="str" cm="1">
        <f t="array" ref="O1869">_xlfn.TEXTJOIN(", ",TRUE,_xlfn._xlws.FILTER(Tabla28[[#All],[PARTE]],ISNUMBER(SEARCH(Tabla28[[#All],[PCLAVE2]],Tabla8[[#This Row],[DESCRIPCION DE TRABAJO]])),""))</f>
        <v/>
      </c>
      <c r="P1869" s="633" t="str">
        <f>IFERROR(LEFT(O1869, FIND(",", O1869)-1), O1869)</f>
        <v/>
      </c>
      <c r="Q1869" s="633" t="str">
        <f>IFERROR(IF(ISERROR(FIND(",", O1869, FIND(",", O1869)+1)), RIGHT(O1869, LEN(O1869)-FIND(",", O1869)-1), MID(O1869, FIND(",", O1869)+2, FIND(",", O1869, FIND(",", O1869)+1)-FIND(",", O1869)-2)), "")</f>
        <v/>
      </c>
      <c r="R1869" s="633" t="str">
        <f>IFERROR(RIGHT(O1869, LEN(O1869)-FIND(",", O1869, FIND(",", O1869)+1)-1), "")</f>
        <v/>
      </c>
      <c r="S1869" s="35" t="str" cm="1">
        <f t="array" ref="S1869">_xlfn.TEXTJOIN(", ",TRUE,_xlfn._xlws.FILTER(Tabla29[[#All],[PARTE]],ISNUMBER(SEARCH(Tabla29[[#All],[PCLAVE3]],Tabla8[[#This Row],[DESCRIPCION DE TRABAJO]])),""))</f>
        <v>Sustitucion</v>
      </c>
      <c r="T1869" s="88" t="str">
        <f>IF(AND(Tabla8[[#This Row],[PIEZA]]="",Tabla8[[#This Row],[PARTE]]=""),"VACIO","OK")</f>
        <v>OK</v>
      </c>
      <c r="U1869" s="633" t="str">
        <f>+CONCATENATE(WEEKNUM(Tabla8[[#This Row],[FECHA]]),"-",YEAR(Tabla8[[#This Row],[FECHA]]))</f>
        <v>26-2026</v>
      </c>
    </row>
    <row r="1870" spans="1:21" ht="15" customHeight="1">
      <c r="A1870" s="22">
        <v>46195</v>
      </c>
      <c r="B1870" s="16" t="s">
        <v>131</v>
      </c>
      <c r="C1870" s="16" t="s">
        <v>36</v>
      </c>
      <c r="D1870" s="381" t="s">
        <v>1176</v>
      </c>
      <c r="E1870" s="381" t="s">
        <v>471</v>
      </c>
      <c r="F1870" s="632">
        <f>+MOD(Tabla8[[#This Row],[HR. FIN]]-Tabla8[[#This Row],[HR. INICIO]],1)</f>
        <v>1.7361111111111105E-2</v>
      </c>
      <c r="G1870" s="16" t="s">
        <v>312</v>
      </c>
      <c r="H1870" s="79" t="str">
        <f>IFERROR(VLOOKUP(G1870,DATOS!$M$2:$N$219,2,FALSE),"")</f>
        <v>Maquinaria</v>
      </c>
      <c r="I1870" s="115" t="s">
        <v>32</v>
      </c>
      <c r="J1870" s="115" t="s">
        <v>157</v>
      </c>
      <c r="K1870" s="115"/>
      <c r="L1870" s="35" t="s">
        <v>3297</v>
      </c>
      <c r="M1870" s="35" t="s">
        <v>121</v>
      </c>
      <c r="N1870" s="35" t="str" cm="1">
        <f t="array" ref="N1870">IFERROR(IF(Tabla8[[#This Row],[P/NP]]="NO PROGRAMADA","",_xlfn.TEXTJOIN(", ",TRUE,_xlfn._xlws.FILTER(Tabla4[[#All],[PIEZA]],ISNUMBER(SEARCH(Tabla4[[#All],[PCLAVE]],Tabla8[[#This Row],[DESCRIPCION DE TRABAJO]])),""))),"")</f>
        <v>Polin De Arrastre</v>
      </c>
      <c r="O1870" s="35" t="str" cm="1">
        <f t="array" ref="O1870">_xlfn.TEXTJOIN(", ",TRUE,_xlfn._xlws.FILTER(Tabla28[[#All],[PARTE]],ISNUMBER(SEARCH(Tabla28[[#All],[PCLAVE2]],Tabla8[[#This Row],[DESCRIPCION DE TRABAJO]])),""))</f>
        <v/>
      </c>
      <c r="P1870" s="633" t="str">
        <f>IFERROR(LEFT(O1870, FIND(",", O1870)-1), O1870)</f>
        <v/>
      </c>
      <c r="Q1870" s="633" t="str">
        <f>IFERROR(IF(ISERROR(FIND(",", O1870, FIND(",", O1870)+1)), RIGHT(O1870, LEN(O1870)-FIND(",", O1870)-1), MID(O1870, FIND(",", O1870)+2, FIND(",", O1870, FIND(",", O1870)+1)-FIND(",", O1870)-2)), "")</f>
        <v/>
      </c>
      <c r="R1870" s="633" t="str">
        <f>IFERROR(RIGHT(O1870, LEN(O1870)-FIND(",", O1870, FIND(",", O1870)+1)-1), "")</f>
        <v/>
      </c>
      <c r="S1870" s="35" t="str" cm="1">
        <f t="array" ref="S1870">_xlfn.TEXTJOIN(", ",TRUE,_xlfn._xlws.FILTER(Tabla29[[#All],[PARTE]],ISNUMBER(SEARCH(Tabla29[[#All],[PCLAVE3]],Tabla8[[#This Row],[DESCRIPCION DE TRABAJO]])),""))</f>
        <v>Sustitucion</v>
      </c>
      <c r="T1870" s="88" t="str">
        <f>IF(AND(Tabla8[[#This Row],[PIEZA]]="",Tabla8[[#This Row],[PARTE]]=""),"VACIO","OK")</f>
        <v>OK</v>
      </c>
      <c r="U1870" s="633" t="str">
        <f>+CONCATENATE(WEEKNUM(Tabla8[[#This Row],[FECHA]]),"-",YEAR(Tabla8[[#This Row],[FECHA]]))</f>
        <v>26-2026</v>
      </c>
    </row>
    <row r="1871" spans="1:21" ht="15" customHeight="1">
      <c r="A1871" s="22">
        <v>46195</v>
      </c>
      <c r="B1871" s="16" t="s">
        <v>111</v>
      </c>
      <c r="C1871" s="16" t="s">
        <v>39</v>
      </c>
      <c r="D1871" s="381" t="s">
        <v>171</v>
      </c>
      <c r="E1871" s="381" t="s">
        <v>117</v>
      </c>
      <c r="F1871" s="632">
        <f>+MOD(Tabla8[[#This Row],[HR. FIN]]-Tabla8[[#This Row],[HR. INICIO]],1)</f>
        <v>1.7361111111111049E-2</v>
      </c>
      <c r="G1871" s="16" t="s">
        <v>42</v>
      </c>
      <c r="H1871" s="79" t="str">
        <f>IFERROR(VLOOKUP(G1871,DATOS!$M$2:$N$219,2,FALSE),"")</f>
        <v>Maquinaria</v>
      </c>
      <c r="I1871" s="115" t="s">
        <v>54</v>
      </c>
      <c r="J1871" s="115" t="s">
        <v>157</v>
      </c>
      <c r="K1871" s="115"/>
      <c r="L1871" s="35" t="s">
        <v>1191</v>
      </c>
      <c r="M1871" s="35" t="s">
        <v>121</v>
      </c>
      <c r="N1871" s="35" t="str" cm="1">
        <f t="array" ref="N1871">IFERROR(IF(Tabla8[[#This Row],[P/NP]]="NO PROGRAMADA","",_xlfn.TEXTJOIN(", ",TRUE,_xlfn._xlws.FILTER(Tabla4[[#All],[PIEZA]],ISNUMBER(SEARCH(Tabla4[[#All],[PCLAVE]],Tabla8[[#This Row],[DESCRIPCION DE TRABAJO]])),""))),"")</f>
        <v/>
      </c>
      <c r="O1871" s="35" t="str" cm="1">
        <f t="array" ref="O1871">_xlfn.TEXTJOIN(", ",TRUE,_xlfn._xlws.FILTER(Tabla28[[#All],[PARTE]],ISNUMBER(SEARCH(Tabla28[[#All],[PCLAVE2]],Tabla8[[#This Row],[DESCRIPCION DE TRABAJO]])),""))</f>
        <v/>
      </c>
      <c r="P1871" s="633" t="str">
        <f>IFERROR(LEFT(O1871, FIND(",", O1871)-1), O1871)</f>
        <v/>
      </c>
      <c r="Q1871" s="633" t="str">
        <f>IFERROR(IF(ISERROR(FIND(",", O1871, FIND(",", O1871)+1)), RIGHT(O1871, LEN(O1871)-FIND(",", O1871)-1), MID(O1871, FIND(",", O1871)+2, FIND(",", O1871, FIND(",", O1871)+1)-FIND(",", O1871)-2)), "")</f>
        <v/>
      </c>
      <c r="R1871" s="633" t="str">
        <f>IFERROR(RIGHT(O1871, LEN(O1871)-FIND(",", O1871, FIND(",", O1871)+1)-1), "")</f>
        <v/>
      </c>
      <c r="S1871" s="35" t="str" cm="1">
        <f t="array" ref="S1871">_xlfn.TEXTJOIN(", ",TRUE,_xlfn._xlws.FILTER(Tabla29[[#All],[PARTE]],ISNUMBER(SEARCH(Tabla29[[#All],[PCLAVE3]],Tabla8[[#This Row],[DESCRIPCION DE TRABAJO]])),""))</f>
        <v/>
      </c>
      <c r="T1871" s="88" t="str">
        <f>IF(AND(Tabla8[[#This Row],[PIEZA]]="",Tabla8[[#This Row],[PARTE]]=""),"VACIO","OK")</f>
        <v>VACIO</v>
      </c>
      <c r="U1871" s="633" t="str">
        <f>+CONCATENATE(WEEKNUM(Tabla8[[#This Row],[FECHA]]),"-",YEAR(Tabla8[[#This Row],[FECHA]]))</f>
        <v>26-2026</v>
      </c>
    </row>
    <row r="1872" spans="1:21" ht="15" customHeight="1">
      <c r="A1872" s="22">
        <v>46195</v>
      </c>
      <c r="B1872" s="16" t="s">
        <v>111</v>
      </c>
      <c r="C1872" s="16" t="s">
        <v>39</v>
      </c>
      <c r="D1872" s="381" t="s">
        <v>421</v>
      </c>
      <c r="E1872" s="381" t="s">
        <v>2936</v>
      </c>
      <c r="F1872" s="632">
        <f>+MOD(Tabla8[[#This Row],[HR. FIN]]-Tabla8[[#This Row],[HR. INICIO]],1)</f>
        <v>1.7361111111111049E-2</v>
      </c>
      <c r="G1872" s="16" t="s">
        <v>140</v>
      </c>
      <c r="H1872" s="79" t="str">
        <f>IFERROR(VLOOKUP(G1872,DATOS!$M$2:$N$219,2,FALSE),"")</f>
        <v>Maquinaria</v>
      </c>
      <c r="I1872" s="115" t="s">
        <v>57</v>
      </c>
      <c r="J1872" s="115" t="s">
        <v>92</v>
      </c>
      <c r="K1872" s="115" t="s">
        <v>93</v>
      </c>
      <c r="L1872" s="35" t="s">
        <v>3298</v>
      </c>
      <c r="M1872" s="35" t="s">
        <v>3299</v>
      </c>
      <c r="N1872" s="35" t="str" cm="1">
        <f t="array" ref="N1872">IFERROR(IF(Tabla8[[#This Row],[P/NP]]="NO PROGRAMADA","",_xlfn.TEXTJOIN(", ",TRUE,_xlfn._xlws.FILTER(Tabla4[[#All],[PIEZA]],ISNUMBER(SEARCH(Tabla4[[#All],[PCLAVE]],Tabla8[[#This Row],[DESCRIPCION DE TRABAJO]])),""))),"")</f>
        <v/>
      </c>
      <c r="O1872" s="35" t="str" cm="1">
        <f t="array" ref="O1872">_xlfn.TEXTJOIN(", ",TRUE,_xlfn._xlws.FILTER(Tabla28[[#All],[PARTE]],ISNUMBER(SEARCH(Tabla28[[#All],[PCLAVE2]],Tabla8[[#This Row],[DESCRIPCION DE TRABAJO]])),""))</f>
        <v>Dosificador</v>
      </c>
      <c r="P1872" s="633" t="str">
        <f>IFERROR(LEFT(O1872, FIND(",", O1872)-1), O1872)</f>
        <v>Dosificador</v>
      </c>
      <c r="Q1872" s="633" t="str">
        <f>IFERROR(IF(ISERROR(FIND(",", O1872, FIND(",", O1872)+1)), RIGHT(O1872, LEN(O1872)-FIND(",", O1872)-1), MID(O1872, FIND(",", O1872)+2, FIND(",", O1872, FIND(",", O1872)+1)-FIND(",", O1872)-2)), "")</f>
        <v/>
      </c>
      <c r="R1872" s="633" t="str">
        <f>IFERROR(RIGHT(O1872, LEN(O1872)-FIND(",", O1872, FIND(",", O1872)+1)-1), "")</f>
        <v/>
      </c>
      <c r="S1872" s="35" t="str" cm="1">
        <f t="array" ref="S1872">_xlfn.TEXTJOIN(", ",TRUE,_xlfn._xlws.FILTER(Tabla29[[#All],[PARTE]],ISNUMBER(SEARCH(Tabla29[[#All],[PCLAVE3]],Tabla8[[#This Row],[DESCRIPCION DE TRABAJO]])),""))</f>
        <v/>
      </c>
      <c r="T1872" s="88" t="str">
        <f>IF(AND(Tabla8[[#This Row],[PIEZA]]="",Tabla8[[#This Row],[PARTE]]=""),"VACIO","OK")</f>
        <v>OK</v>
      </c>
      <c r="U1872" s="633" t="str">
        <f>+CONCATENATE(WEEKNUM(Tabla8[[#This Row],[FECHA]]),"-",YEAR(Tabla8[[#This Row],[FECHA]]))</f>
        <v>26-2026</v>
      </c>
    </row>
    <row r="1873" spans="1:21" ht="15" customHeight="1">
      <c r="A1873" s="22">
        <v>46195</v>
      </c>
      <c r="B1873" s="16" t="s">
        <v>179</v>
      </c>
      <c r="C1873" s="16" t="s">
        <v>23</v>
      </c>
      <c r="D1873" s="381" t="s">
        <v>494</v>
      </c>
      <c r="E1873" s="381" t="s">
        <v>571</v>
      </c>
      <c r="F1873" s="632">
        <f>+MOD(Tabla8[[#This Row],[HR. FIN]]-Tabla8[[#This Row],[HR. INICIO]],1)</f>
        <v>1.3888888888888951E-2</v>
      </c>
      <c r="G1873" s="16" t="s">
        <v>153</v>
      </c>
      <c r="H1873" s="79" t="str">
        <f>IFERROR(VLOOKUP(G1873,DATOS!$M$2:$N$219,2,FALSE),"")</f>
        <v>Maquinaria</v>
      </c>
      <c r="I1873" s="115" t="s">
        <v>57</v>
      </c>
      <c r="J1873" s="115" t="s">
        <v>157</v>
      </c>
      <c r="K1873" s="115"/>
      <c r="L1873" s="35" t="s">
        <v>3300</v>
      </c>
      <c r="M1873" s="35" t="s">
        <v>121</v>
      </c>
      <c r="N1873" s="35" t="str" cm="1">
        <f t="array" ref="N1873">IFERROR(IF(Tabla8[[#This Row],[P/NP]]="NO PROGRAMADA","",_xlfn.TEXTJOIN(", ",TRUE,_xlfn._xlws.FILTER(Tabla4[[#All],[PIEZA]],ISNUMBER(SEARCH(Tabla4[[#All],[PCLAVE]],Tabla8[[#This Row],[DESCRIPCION DE TRABAJO]])),""))),"")</f>
        <v>Banda</v>
      </c>
      <c r="O1873" s="35" t="str" cm="1">
        <f t="array" ref="O1873">_xlfn.TEXTJOIN(", ",TRUE,_xlfn._xlws.FILTER(Tabla28[[#All],[PARTE]],ISNUMBER(SEARCH(Tabla28[[#All],[PCLAVE2]],Tabla8[[#This Row],[DESCRIPCION DE TRABAJO]])),""))</f>
        <v/>
      </c>
      <c r="P1873" s="633" t="str">
        <f>IFERROR(LEFT(O1873, FIND(",", O1873)-1), O1873)</f>
        <v/>
      </c>
      <c r="Q1873" s="633" t="str">
        <f>IFERROR(IF(ISERROR(FIND(",", O1873, FIND(",", O1873)+1)), RIGHT(O1873, LEN(O1873)-FIND(",", O1873)-1), MID(O1873, FIND(",", O1873)+2, FIND(",", O1873, FIND(",", O1873)+1)-FIND(",", O1873)-2)), "")</f>
        <v/>
      </c>
      <c r="R1873" s="633" t="str">
        <f>IFERROR(RIGHT(O1873, LEN(O1873)-FIND(",", O1873, FIND(",", O1873)+1)-1), "")</f>
        <v/>
      </c>
      <c r="S1873" s="35" t="str" cm="1">
        <f t="array" ref="S1873">_xlfn.TEXTJOIN(", ",TRUE,_xlfn._xlws.FILTER(Tabla29[[#All],[PARTE]],ISNUMBER(SEARCH(Tabla29[[#All],[PCLAVE3]],Tabla8[[#This Row],[DESCRIPCION DE TRABAJO]])),""))</f>
        <v>Calibracion</v>
      </c>
      <c r="T1873" s="88" t="str">
        <f>IF(AND(Tabla8[[#This Row],[PIEZA]]="",Tabla8[[#This Row],[PARTE]]=""),"VACIO","OK")</f>
        <v>OK</v>
      </c>
      <c r="U1873" s="633" t="str">
        <f>+CONCATENATE(WEEKNUM(Tabla8[[#This Row],[FECHA]]),"-",YEAR(Tabla8[[#This Row],[FECHA]]))</f>
        <v>26-2026</v>
      </c>
    </row>
    <row r="1874" spans="1:21" ht="15" customHeight="1">
      <c r="A1874" s="22">
        <v>46195</v>
      </c>
      <c r="B1874" s="16" t="s">
        <v>131</v>
      </c>
      <c r="C1874" s="16" t="s">
        <v>36</v>
      </c>
      <c r="D1874" s="381" t="s">
        <v>884</v>
      </c>
      <c r="E1874" s="381" t="s">
        <v>122</v>
      </c>
      <c r="F1874" s="632">
        <f>+MOD(Tabla8[[#This Row],[HR. FIN]]-Tabla8[[#This Row],[HR. INICIO]],1)</f>
        <v>1.3888888888888895E-2</v>
      </c>
      <c r="G1874" s="16" t="s">
        <v>119</v>
      </c>
      <c r="H1874" s="79" t="str">
        <f>IFERROR(VLOOKUP(G1874,DATOS!$M$2:$N$219,2,FALSE),"")</f>
        <v>Maquinaria</v>
      </c>
      <c r="I1874" s="115" t="s">
        <v>32</v>
      </c>
      <c r="J1874" s="115" t="s">
        <v>157</v>
      </c>
      <c r="K1874" s="115"/>
      <c r="L1874" s="35" t="s">
        <v>3301</v>
      </c>
      <c r="M1874" s="35" t="s">
        <v>121</v>
      </c>
      <c r="N1874" s="35" t="str" cm="1">
        <f t="array" ref="N1874">IFERROR(IF(Tabla8[[#This Row],[P/NP]]="NO PROGRAMADA","",_xlfn.TEXTJOIN(", ",TRUE,_xlfn._xlws.FILTER(Tabla4[[#All],[PIEZA]],ISNUMBER(SEARCH(Tabla4[[#All],[PCLAVE]],Tabla8[[#This Row],[DESCRIPCION DE TRABAJO]])),""))),"")</f>
        <v/>
      </c>
      <c r="O1874" s="35" t="str" cm="1">
        <f t="array" ref="O1874">_xlfn.TEXTJOIN(", ",TRUE,_xlfn._xlws.FILTER(Tabla28[[#All],[PARTE]],ISNUMBER(SEARCH(Tabla28[[#All],[PCLAVE2]],Tabla8[[#This Row],[DESCRIPCION DE TRABAJO]])),""))</f>
        <v>Preenfriamiento</v>
      </c>
      <c r="P1874" s="633" t="str">
        <f>IFERROR(LEFT(O1874, FIND(",", O1874)-1), O1874)</f>
        <v>Preenfriamiento</v>
      </c>
      <c r="Q1874" s="633" t="str">
        <f>IFERROR(IF(ISERROR(FIND(",", O1874, FIND(",", O1874)+1)), RIGHT(O1874, LEN(O1874)-FIND(",", O1874)-1), MID(O1874, FIND(",", O1874)+2, FIND(",", O1874, FIND(",", O1874)+1)-FIND(",", O1874)-2)), "")</f>
        <v/>
      </c>
      <c r="R1874" s="633" t="str">
        <f>IFERROR(RIGHT(O1874, LEN(O1874)-FIND(",", O1874, FIND(",", O1874)+1)-1), "")</f>
        <v/>
      </c>
      <c r="S1874" s="35" t="str" cm="1">
        <f t="array" ref="S1874">_xlfn.TEXTJOIN(", ",TRUE,_xlfn._xlws.FILTER(Tabla29[[#All],[PARTE]],ISNUMBER(SEARCH(Tabla29[[#All],[PCLAVE3]],Tabla8[[#This Row],[DESCRIPCION DE TRABAJO]])),""))</f>
        <v>Temperatura</v>
      </c>
      <c r="T1874" s="88" t="str">
        <f>IF(AND(Tabla8[[#This Row],[PIEZA]]="",Tabla8[[#This Row],[PARTE]]=""),"VACIO","OK")</f>
        <v>OK</v>
      </c>
      <c r="U1874" s="633" t="str">
        <f>+CONCATENATE(WEEKNUM(Tabla8[[#This Row],[FECHA]]),"-",YEAR(Tabla8[[#This Row],[FECHA]]))</f>
        <v>26-2026</v>
      </c>
    </row>
    <row r="1875" spans="1:21" ht="15" customHeight="1">
      <c r="A1875" s="22">
        <v>46195</v>
      </c>
      <c r="B1875" s="16" t="s">
        <v>131</v>
      </c>
      <c r="C1875" s="16" t="s">
        <v>36</v>
      </c>
      <c r="D1875" s="381" t="s">
        <v>636</v>
      </c>
      <c r="E1875" s="381" t="s">
        <v>123</v>
      </c>
      <c r="F1875" s="632">
        <f>+MOD(Tabla8[[#This Row],[HR. FIN]]-Tabla8[[#This Row],[HR. INICIO]],1)</f>
        <v>1.3888888888888895E-2</v>
      </c>
      <c r="G1875" s="16" t="s">
        <v>1643</v>
      </c>
      <c r="H1875" s="79" t="str">
        <f>IFERROR(VLOOKUP(G1875,DATOS!$M$2:$N$219,2,FALSE),"")</f>
        <v>Maquinaria</v>
      </c>
      <c r="I1875" s="115" t="s">
        <v>54</v>
      </c>
      <c r="J1875" s="115" t="s">
        <v>92</v>
      </c>
      <c r="K1875" s="115" t="s">
        <v>148</v>
      </c>
      <c r="L1875" s="35" t="s">
        <v>3302</v>
      </c>
      <c r="M1875" s="35" t="s">
        <v>3303</v>
      </c>
      <c r="N1875" s="35" t="str" cm="1">
        <f t="array" ref="N1875">IFERROR(IF(Tabla8[[#This Row],[P/NP]]="NO PROGRAMADA","",_xlfn.TEXTJOIN(", ",TRUE,_xlfn._xlws.FILTER(Tabla4[[#All],[PIEZA]],ISNUMBER(SEARCH(Tabla4[[#All],[PCLAVE]],Tabla8[[#This Row],[DESCRIPCION DE TRABAJO]])),""))),"")</f>
        <v/>
      </c>
      <c r="O1875" s="35" t="str" cm="1">
        <f t="array" ref="O1875">_xlfn.TEXTJOIN(", ",TRUE,_xlfn._xlws.FILTER(Tabla28[[#All],[PARTE]],ISNUMBER(SEARCH(Tabla28[[#All],[PCLAVE2]],Tabla8[[#This Row],[DESCRIPCION DE TRABAJO]])),""))</f>
        <v/>
      </c>
      <c r="P1875" s="633" t="str">
        <f>IFERROR(LEFT(O1875, FIND(",", O1875)-1), O1875)</f>
        <v/>
      </c>
      <c r="Q1875" s="633" t="str">
        <f>IFERROR(IF(ISERROR(FIND(",", O1875, FIND(",", O1875)+1)), RIGHT(O1875, LEN(O1875)-FIND(",", O1875)-1), MID(O1875, FIND(",", O1875)+2, FIND(",", O1875, FIND(",", O1875)+1)-FIND(",", O1875)-2)), "")</f>
        <v/>
      </c>
      <c r="R1875" s="633" t="str">
        <f>IFERROR(RIGHT(O1875, LEN(O1875)-FIND(",", O1875, FIND(",", O1875)+1)-1), "")</f>
        <v/>
      </c>
      <c r="S1875" s="35" t="str" cm="1">
        <f t="array" ref="S1875">_xlfn.TEXTJOIN(", ",TRUE,_xlfn._xlws.FILTER(Tabla29[[#All],[PARTE]],ISNUMBER(SEARCH(Tabla29[[#All],[PCLAVE3]],Tabla8[[#This Row],[DESCRIPCION DE TRABAJO]])),""))</f>
        <v>No Enciende</v>
      </c>
      <c r="T1875" s="88" t="str">
        <f>IF(AND(Tabla8[[#This Row],[PIEZA]]="",Tabla8[[#This Row],[PARTE]]=""),"VACIO","OK")</f>
        <v>VACIO</v>
      </c>
      <c r="U1875" s="633" t="str">
        <f>+CONCATENATE(WEEKNUM(Tabla8[[#This Row],[FECHA]]),"-",YEAR(Tabla8[[#This Row],[FECHA]]))</f>
        <v>26-2026</v>
      </c>
    </row>
    <row r="1876" spans="1:21" ht="15" customHeight="1">
      <c r="A1876" s="22">
        <v>46195</v>
      </c>
      <c r="B1876" s="16" t="s">
        <v>88</v>
      </c>
      <c r="C1876" s="16" t="s">
        <v>36</v>
      </c>
      <c r="D1876" s="381" t="s">
        <v>551</v>
      </c>
      <c r="E1876" s="381" t="s">
        <v>392</v>
      </c>
      <c r="F1876" s="632">
        <f>+MOD(Tabla8[[#This Row],[HR. FIN]]-Tabla8[[#This Row],[HR. INICIO]],1)</f>
        <v>1.3888888888888895E-2</v>
      </c>
      <c r="G1876" s="16" t="s">
        <v>1465</v>
      </c>
      <c r="H1876" s="79" t="str">
        <f>IFERROR(VLOOKUP(G1876,DATOS!$M$2:$N$219,2,FALSE),"")</f>
        <v>Maquinaria</v>
      </c>
      <c r="I1876" s="115" t="s">
        <v>186</v>
      </c>
      <c r="J1876" s="115" t="s">
        <v>92</v>
      </c>
      <c r="K1876" s="115" t="s">
        <v>93</v>
      </c>
      <c r="L1876" s="35" t="s">
        <v>3304</v>
      </c>
      <c r="M1876" s="35" t="s">
        <v>3305</v>
      </c>
      <c r="N1876" s="35" t="str" cm="1">
        <f t="array" ref="N1876">IFERROR(IF(Tabla8[[#This Row],[P/NP]]="NO PROGRAMADA","",_xlfn.TEXTJOIN(", ",TRUE,_xlfn._xlws.FILTER(Tabla4[[#All],[PIEZA]],ISNUMBER(SEARCH(Tabla4[[#All],[PCLAVE]],Tabla8[[#This Row],[DESCRIPCION DE TRABAJO]])),""))),"")</f>
        <v/>
      </c>
      <c r="O1876" s="35" t="str" cm="1">
        <f t="array" ref="O1876">_xlfn.TEXTJOIN(", ",TRUE,_xlfn._xlws.FILTER(Tabla28[[#All],[PARTE]],ISNUMBER(SEARCH(Tabla28[[#All],[PCLAVE2]],Tabla8[[#This Row],[DESCRIPCION DE TRABAJO]])),""))</f>
        <v>Climatizador</v>
      </c>
      <c r="P1876" s="633" t="str">
        <f>IFERROR(LEFT(O1876, FIND(",", O1876)-1), O1876)</f>
        <v>Climatizador</v>
      </c>
      <c r="Q1876" s="633" t="str">
        <f>IFERROR(IF(ISERROR(FIND(",", O1876, FIND(",", O1876)+1)), RIGHT(O1876, LEN(O1876)-FIND(",", O1876)-1), MID(O1876, FIND(",", O1876)+2, FIND(",", O1876, FIND(",", O1876)+1)-FIND(",", O1876)-2)), "")</f>
        <v/>
      </c>
      <c r="R1876" s="633" t="str">
        <f>IFERROR(RIGHT(O1876, LEN(O1876)-FIND(",", O1876, FIND(",", O1876)+1)-1), "")</f>
        <v/>
      </c>
      <c r="S1876" s="35" t="str" cm="1">
        <f t="array" ref="S1876">_xlfn.TEXTJOIN(", ",TRUE,_xlfn._xlws.FILTER(Tabla29[[#All],[PARTE]],ISNUMBER(SEARCH(Tabla29[[#All],[PCLAVE3]],Tabla8[[#This Row],[DESCRIPCION DE TRABAJO]])),""))</f>
        <v/>
      </c>
      <c r="T1876" s="88" t="str">
        <f>IF(AND(Tabla8[[#This Row],[PIEZA]]="",Tabla8[[#This Row],[PARTE]]=""),"VACIO","OK")</f>
        <v>OK</v>
      </c>
      <c r="U1876" s="633" t="str">
        <f>+CONCATENATE(WEEKNUM(Tabla8[[#This Row],[FECHA]]),"-",YEAR(Tabla8[[#This Row],[FECHA]]))</f>
        <v>26-2026</v>
      </c>
    </row>
    <row r="1877" spans="1:21" ht="15" customHeight="1">
      <c r="A1877" s="22">
        <v>46195</v>
      </c>
      <c r="B1877" s="16" t="s">
        <v>111</v>
      </c>
      <c r="C1877" s="16" t="s">
        <v>39</v>
      </c>
      <c r="D1877" s="381" t="s">
        <v>1698</v>
      </c>
      <c r="E1877" s="381" t="s">
        <v>730</v>
      </c>
      <c r="F1877" s="632">
        <f>+MOD(Tabla8[[#This Row],[HR. FIN]]-Tabla8[[#This Row],[HR. INICIO]],1)</f>
        <v>1.388888888888889E-2</v>
      </c>
      <c r="G1877" s="16" t="s">
        <v>1470</v>
      </c>
      <c r="H1877" s="79" t="str">
        <f>IFERROR(VLOOKUP(G1877,DATOS!$M$2:$N$219,2,FALSE),"")</f>
        <v>Maquinaria</v>
      </c>
      <c r="I1877" s="115" t="s">
        <v>186</v>
      </c>
      <c r="J1877" s="115" t="s">
        <v>92</v>
      </c>
      <c r="K1877" s="115" t="s">
        <v>93</v>
      </c>
      <c r="L1877" s="35" t="s">
        <v>2891</v>
      </c>
      <c r="M1877" s="35" t="s">
        <v>3306</v>
      </c>
      <c r="N1877" s="35" t="str" cm="1">
        <f t="array" ref="N1877">IFERROR(IF(Tabla8[[#This Row],[P/NP]]="NO PROGRAMADA","",_xlfn.TEXTJOIN(", ",TRUE,_xlfn._xlws.FILTER(Tabla4[[#All],[PIEZA]],ISNUMBER(SEARCH(Tabla4[[#All],[PCLAVE]],Tabla8[[#This Row],[DESCRIPCION DE TRABAJO]])),""))),"")</f>
        <v/>
      </c>
      <c r="O1877" s="35" t="str" cm="1">
        <f t="array" ref="O1877">_xlfn.TEXTJOIN(", ",TRUE,_xlfn._xlws.FILTER(Tabla28[[#All],[PARTE]],ISNUMBER(SEARCH(Tabla28[[#All],[PCLAVE2]],Tabla8[[#This Row],[DESCRIPCION DE TRABAJO]])),""))</f>
        <v/>
      </c>
      <c r="P1877" s="633" t="str">
        <f>IFERROR(LEFT(O1877, FIND(",", O1877)-1), O1877)</f>
        <v/>
      </c>
      <c r="Q1877" s="633" t="str">
        <f>IFERROR(IF(ISERROR(FIND(",", O1877, FIND(",", O1877)+1)), RIGHT(O1877, LEN(O1877)-FIND(",", O1877)-1), MID(O1877, FIND(",", O1877)+2, FIND(",", O1877, FIND(",", O1877)+1)-FIND(",", O1877)-2)), "")</f>
        <v/>
      </c>
      <c r="R1877" s="633" t="str">
        <f>IFERROR(RIGHT(O1877, LEN(O1877)-FIND(",", O1877, FIND(",", O1877)+1)-1), "")</f>
        <v/>
      </c>
      <c r="S1877" s="35" t="str" cm="1">
        <f t="array" ref="S1877">_xlfn.TEXTJOIN(", ",TRUE,_xlfn._xlws.FILTER(Tabla29[[#All],[PARTE]],ISNUMBER(SEARCH(Tabla29[[#All],[PCLAVE3]],Tabla8[[#This Row],[DESCRIPCION DE TRABAJO]])),""))</f>
        <v>No Corta</v>
      </c>
      <c r="T1877" s="88" t="str">
        <f>IF(AND(Tabla8[[#This Row],[PIEZA]]="",Tabla8[[#This Row],[PARTE]]=""),"VACIO","OK")</f>
        <v>VACIO</v>
      </c>
      <c r="U1877" s="633" t="str">
        <f>+CONCATENATE(WEEKNUM(Tabla8[[#This Row],[FECHA]]),"-",YEAR(Tabla8[[#This Row],[FECHA]]))</f>
        <v>26-2026</v>
      </c>
    </row>
    <row r="1878" spans="1:21" ht="15" customHeight="1">
      <c r="A1878" s="22">
        <v>46195</v>
      </c>
      <c r="B1878" s="16" t="s">
        <v>179</v>
      </c>
      <c r="C1878" s="16" t="s">
        <v>23</v>
      </c>
      <c r="D1878" s="381" t="s">
        <v>2026</v>
      </c>
      <c r="E1878" s="381" t="s">
        <v>1685</v>
      </c>
      <c r="F1878" s="632">
        <f>+MOD(Tabla8[[#This Row],[HR. FIN]]-Tabla8[[#This Row],[HR. INICIO]],1)</f>
        <v>1.388888888888884E-2</v>
      </c>
      <c r="G1878" s="16" t="s">
        <v>169</v>
      </c>
      <c r="H1878" s="79" t="str">
        <f>IFERROR(VLOOKUP(G1878,DATOS!$M$2:$N$219,2,FALSE),"")</f>
        <v>Maquinaria</v>
      </c>
      <c r="I1878" s="115" t="s">
        <v>32</v>
      </c>
      <c r="J1878" s="115" t="s">
        <v>157</v>
      </c>
      <c r="K1878" s="115"/>
      <c r="L1878" s="35" t="s">
        <v>1959</v>
      </c>
      <c r="M1878" s="35" t="s">
        <v>121</v>
      </c>
      <c r="N1878" s="35" t="str" cm="1">
        <f t="array" ref="N1878">IFERROR(IF(Tabla8[[#This Row],[P/NP]]="NO PROGRAMADA","",_xlfn.TEXTJOIN(", ",TRUE,_xlfn._xlws.FILTER(Tabla4[[#All],[PIEZA]],ISNUMBER(SEARCH(Tabla4[[#All],[PCLAVE]],Tabla8[[#This Row],[DESCRIPCION DE TRABAJO]])),""))),"")</f>
        <v/>
      </c>
      <c r="O1878" s="35" t="str" cm="1">
        <f t="array" ref="O1878">_xlfn.TEXTJOIN(", ",TRUE,_xlfn._xlws.FILTER(Tabla28[[#All],[PARTE]],ISNUMBER(SEARCH(Tabla28[[#All],[PCLAVE2]],Tabla8[[#This Row],[DESCRIPCION DE TRABAJO]])),""))</f>
        <v/>
      </c>
      <c r="P1878" s="633" t="str">
        <f>IFERROR(LEFT(O1878, FIND(",", O1878)-1), O1878)</f>
        <v/>
      </c>
      <c r="Q1878" s="633" t="str">
        <f>IFERROR(IF(ISERROR(FIND(",", O1878, FIND(",", O1878)+1)), RIGHT(O1878, LEN(O1878)-FIND(",", O1878)-1), MID(O1878, FIND(",", O1878)+2, FIND(",", O1878, FIND(",", O1878)+1)-FIND(",", O1878)-2)), "")</f>
        <v/>
      </c>
      <c r="R1878" s="633" t="str">
        <f>IFERROR(RIGHT(O1878, LEN(O1878)-FIND(",", O1878, FIND(",", O1878)+1)-1), "")</f>
        <v/>
      </c>
      <c r="S1878" s="35" t="str" cm="1">
        <f t="array" ref="S1878">_xlfn.TEXTJOIN(", ",TRUE,_xlfn._xlws.FILTER(Tabla29[[#All],[PARTE]],ISNUMBER(SEARCH(Tabla29[[#All],[PCLAVE3]],Tabla8[[#This Row],[DESCRIPCION DE TRABAJO]])),""))</f>
        <v/>
      </c>
      <c r="T1878" s="88" t="str">
        <f>IF(AND(Tabla8[[#This Row],[PIEZA]]="",Tabla8[[#This Row],[PARTE]]=""),"VACIO","OK")</f>
        <v>VACIO</v>
      </c>
      <c r="U1878" s="633" t="str">
        <f>+CONCATENATE(WEEKNUM(Tabla8[[#This Row],[FECHA]]),"-",YEAR(Tabla8[[#This Row],[FECHA]]))</f>
        <v>26-2026</v>
      </c>
    </row>
    <row r="1879" spans="1:21" ht="15" customHeight="1">
      <c r="A1879" s="22">
        <v>46195</v>
      </c>
      <c r="B1879" s="16" t="s">
        <v>131</v>
      </c>
      <c r="C1879" s="16" t="s">
        <v>36</v>
      </c>
      <c r="D1879" s="381" t="s">
        <v>631</v>
      </c>
      <c r="E1879" s="381" t="s">
        <v>1592</v>
      </c>
      <c r="F1879" s="632">
        <f>+MOD(Tabla8[[#This Row],[HR. FIN]]-Tabla8[[#This Row],[HR. INICIO]],1)</f>
        <v>1.388888888888884E-2</v>
      </c>
      <c r="G1879" s="16" t="s">
        <v>119</v>
      </c>
      <c r="H1879" s="79" t="str">
        <f>IFERROR(VLOOKUP(G1879,DATOS!$M$2:$N$219,2,FALSE),"")</f>
        <v>Maquinaria</v>
      </c>
      <c r="I1879" s="115" t="s">
        <v>28</v>
      </c>
      <c r="J1879" s="115" t="s">
        <v>92</v>
      </c>
      <c r="K1879" s="115" t="s">
        <v>93</v>
      </c>
      <c r="L1879" s="35" t="s">
        <v>3307</v>
      </c>
      <c r="M1879" s="35" t="s">
        <v>3308</v>
      </c>
      <c r="N1879" s="35" t="str" cm="1">
        <f t="array" ref="N1879">IFERROR(IF(Tabla8[[#This Row],[P/NP]]="NO PROGRAMADA","",_xlfn.TEXTJOIN(", ",TRUE,_xlfn._xlws.FILTER(Tabla4[[#All],[PIEZA]],ISNUMBER(SEARCH(Tabla4[[#All],[PCLAVE]],Tabla8[[#This Row],[DESCRIPCION DE TRABAJO]])),""))),"")</f>
        <v/>
      </c>
      <c r="O1879" s="35" t="str" cm="1">
        <f t="array" ref="O1879">_xlfn.TEXTJOIN(", ",TRUE,_xlfn._xlws.FILTER(Tabla28[[#All],[PARTE]],ISNUMBER(SEARCH(Tabla28[[#All],[PCLAVE2]],Tabla8[[#This Row],[DESCRIPCION DE TRABAJO]])),""))</f>
        <v/>
      </c>
      <c r="P1879" s="633" t="str">
        <f>IFERROR(LEFT(O1879, FIND(",", O1879)-1), O1879)</f>
        <v/>
      </c>
      <c r="Q1879" s="633" t="str">
        <f>IFERROR(IF(ISERROR(FIND(",", O1879, FIND(",", O1879)+1)), RIGHT(O1879, LEN(O1879)-FIND(",", O1879)-1), MID(O1879, FIND(",", O1879)+2, FIND(",", O1879, FIND(",", O1879)+1)-FIND(",", O1879)-2)), "")</f>
        <v/>
      </c>
      <c r="R1879" s="633" t="str">
        <f>IFERROR(RIGHT(O1879, LEN(O1879)-FIND(",", O1879, FIND(",", O1879)+1)-1), "")</f>
        <v/>
      </c>
      <c r="S1879" s="35" t="str" cm="1">
        <f t="array" ref="S1879">_xlfn.TEXTJOIN(", ",TRUE,_xlfn._xlws.FILTER(Tabla29[[#All],[PARTE]],ISNUMBER(SEARCH(Tabla29[[#All],[PCLAVE3]],Tabla8[[#This Row],[DESCRIPCION DE TRABAJO]])),""))</f>
        <v>Rotura</v>
      </c>
      <c r="T1879" s="88" t="str">
        <f>IF(AND(Tabla8[[#This Row],[PIEZA]]="",Tabla8[[#This Row],[PARTE]]=""),"VACIO","OK")</f>
        <v>VACIO</v>
      </c>
      <c r="U1879" s="633" t="str">
        <f>+CONCATENATE(WEEKNUM(Tabla8[[#This Row],[FECHA]]),"-",YEAR(Tabla8[[#This Row],[FECHA]]))</f>
        <v>26-2026</v>
      </c>
    </row>
    <row r="1880" spans="1:21" ht="15" customHeight="1">
      <c r="A1880" s="22">
        <v>46195</v>
      </c>
      <c r="B1880" s="16" t="s">
        <v>111</v>
      </c>
      <c r="C1880" s="16" t="s">
        <v>39</v>
      </c>
      <c r="D1880" s="381" t="s">
        <v>422</v>
      </c>
      <c r="E1880" s="381" t="s">
        <v>1271</v>
      </c>
      <c r="F1880" s="632">
        <f>+MOD(Tabla8[[#This Row],[HR. FIN]]-Tabla8[[#This Row],[HR. INICIO]],1)</f>
        <v>1.3194444444444398E-2</v>
      </c>
      <c r="G1880" s="16" t="s">
        <v>256</v>
      </c>
      <c r="H1880" s="79" t="str">
        <f>IFERROR(VLOOKUP(G1880,DATOS!$M$2:$N$219,2,FALSE),"")</f>
        <v>Maquinaria</v>
      </c>
      <c r="I1880" s="115" t="s">
        <v>54</v>
      </c>
      <c r="J1880" s="115" t="s">
        <v>92</v>
      </c>
      <c r="K1880" s="115" t="s">
        <v>93</v>
      </c>
      <c r="L1880" s="35" t="s">
        <v>3309</v>
      </c>
      <c r="M1880" s="35" t="s">
        <v>3310</v>
      </c>
      <c r="N1880" s="35" t="str" cm="1">
        <f t="array" ref="N1880">IFERROR(IF(Tabla8[[#This Row],[P/NP]]="NO PROGRAMADA","",_xlfn.TEXTJOIN(", ",TRUE,_xlfn._xlws.FILTER(Tabla4[[#All],[PIEZA]],ISNUMBER(SEARCH(Tabla4[[#All],[PCLAVE]],Tabla8[[#This Row],[DESCRIPCION DE TRABAJO]])),""))),"")</f>
        <v/>
      </c>
      <c r="O1880" s="35" t="str" cm="1">
        <f t="array" ref="O1880">_xlfn.TEXTJOIN(", ",TRUE,_xlfn._xlws.FILTER(Tabla28[[#All],[PARTE]],ISNUMBER(SEARCH(Tabla28[[#All],[PCLAVE2]],Tabla8[[#This Row],[DESCRIPCION DE TRABAJO]])),""))</f>
        <v/>
      </c>
      <c r="P1880" s="633" t="str">
        <f>IFERROR(LEFT(O1880, FIND(",", O1880)-1), O1880)</f>
        <v/>
      </c>
      <c r="Q1880" s="633" t="str">
        <f>IFERROR(IF(ISERROR(FIND(",", O1880, FIND(",", O1880)+1)), RIGHT(O1880, LEN(O1880)-FIND(",", O1880)-1), MID(O1880, FIND(",", O1880)+2, FIND(",", O1880, FIND(",", O1880)+1)-FIND(",", O1880)-2)), "")</f>
        <v/>
      </c>
      <c r="R1880" s="633" t="str">
        <f>IFERROR(RIGHT(O1880, LEN(O1880)-FIND(",", O1880, FIND(",", O1880)+1)-1), "")</f>
        <v/>
      </c>
      <c r="S1880" s="35" t="str" cm="1">
        <f t="array" ref="S1880">_xlfn.TEXTJOIN(", ",TRUE,_xlfn._xlws.FILTER(Tabla29[[#All],[PARTE]],ISNUMBER(SEARCH(Tabla29[[#All],[PCLAVE3]],Tabla8[[#This Row],[DESCRIPCION DE TRABAJO]])),""))</f>
        <v>Alta Temperatura</v>
      </c>
      <c r="T1880" s="88" t="str">
        <f>IF(AND(Tabla8[[#This Row],[PIEZA]]="",Tabla8[[#This Row],[PARTE]]=""),"VACIO","OK")</f>
        <v>VACIO</v>
      </c>
      <c r="U1880" s="633" t="str">
        <f>+CONCATENATE(WEEKNUM(Tabla8[[#This Row],[FECHA]]),"-",YEAR(Tabla8[[#This Row],[FECHA]]))</f>
        <v>26-2026</v>
      </c>
    </row>
    <row r="1881" spans="1:21" ht="15" customHeight="1">
      <c r="A1881" s="22">
        <v>46195</v>
      </c>
      <c r="B1881" s="16" t="s">
        <v>179</v>
      </c>
      <c r="C1881" s="16" t="s">
        <v>23</v>
      </c>
      <c r="D1881" s="381" t="s">
        <v>106</v>
      </c>
      <c r="E1881" s="381" t="s">
        <v>1847</v>
      </c>
      <c r="F1881" s="632">
        <f>+MOD(Tabla8[[#This Row],[HR. FIN]]-Tabla8[[#This Row],[HR. INICIO]],1)</f>
        <v>1.041666666666663E-2</v>
      </c>
      <c r="G1881" s="16" t="s">
        <v>119</v>
      </c>
      <c r="H1881" s="79" t="str">
        <f>IFERROR(VLOOKUP(G1881,DATOS!$M$2:$N$219,2,FALSE),"")</f>
        <v>Maquinaria</v>
      </c>
      <c r="I1881" s="115" t="s">
        <v>54</v>
      </c>
      <c r="J1881" s="115" t="s">
        <v>157</v>
      </c>
      <c r="K1881" s="115"/>
      <c r="L1881" s="35" t="s">
        <v>3311</v>
      </c>
      <c r="M1881" s="35" t="s">
        <v>121</v>
      </c>
      <c r="N1881" s="35" t="str" cm="1">
        <f t="array" ref="N1881">IFERROR(IF(Tabla8[[#This Row],[P/NP]]="NO PROGRAMADA","",_xlfn.TEXTJOIN(", ",TRUE,_xlfn._xlws.FILTER(Tabla4[[#All],[PIEZA]],ISNUMBER(SEARCH(Tabla4[[#All],[PCLAVE]],Tabla8[[#This Row],[DESCRIPCION DE TRABAJO]])),""))),"")</f>
        <v/>
      </c>
      <c r="O1881" s="35" t="str" cm="1">
        <f t="array" ref="O1881">_xlfn.TEXTJOIN(", ",TRUE,_xlfn._xlws.FILTER(Tabla28[[#All],[PARTE]],ISNUMBER(SEARCH(Tabla28[[#All],[PCLAVE2]],Tabla8[[#This Row],[DESCRIPCION DE TRABAJO]])),""))</f>
        <v>Temperadora</v>
      </c>
      <c r="P1881" s="633" t="str">
        <f>IFERROR(LEFT(O1881, FIND(",", O1881)-1), O1881)</f>
        <v>Temperadora</v>
      </c>
      <c r="Q1881" s="633" t="str">
        <f>IFERROR(IF(ISERROR(FIND(",", O1881, FIND(",", O1881)+1)), RIGHT(O1881, LEN(O1881)-FIND(",", O1881)-1), MID(O1881, FIND(",", O1881)+2, FIND(",", O1881, FIND(",", O1881)+1)-FIND(",", O1881)-2)), "")</f>
        <v/>
      </c>
      <c r="R1881" s="633" t="str">
        <f>IFERROR(RIGHT(O1881, LEN(O1881)-FIND(",", O1881, FIND(",", O1881)+1)-1), "")</f>
        <v/>
      </c>
      <c r="S1881" s="35" t="str" cm="1">
        <f t="array" ref="S1881">_xlfn.TEXTJOIN(", ",TRUE,_xlfn._xlws.FILTER(Tabla29[[#All],[PARTE]],ISNUMBER(SEARCH(Tabla29[[#All],[PCLAVE3]],Tabla8[[#This Row],[DESCRIPCION DE TRABAJO]])),""))</f>
        <v/>
      </c>
      <c r="T1881" s="88" t="str">
        <f>IF(AND(Tabla8[[#This Row],[PIEZA]]="",Tabla8[[#This Row],[PARTE]]=""),"VACIO","OK")</f>
        <v>OK</v>
      </c>
      <c r="U1881" s="633" t="str">
        <f>+CONCATENATE(WEEKNUM(Tabla8[[#This Row],[FECHA]]),"-",YEAR(Tabla8[[#This Row],[FECHA]]))</f>
        <v>26-2026</v>
      </c>
    </row>
    <row r="1882" spans="1:21" ht="15" customHeight="1">
      <c r="A1882" s="22">
        <v>46195</v>
      </c>
      <c r="B1882" s="16" t="s">
        <v>179</v>
      </c>
      <c r="C1882" s="16" t="s">
        <v>23</v>
      </c>
      <c r="D1882" s="381" t="s">
        <v>502</v>
      </c>
      <c r="E1882" s="381" t="s">
        <v>493</v>
      </c>
      <c r="F1882" s="632">
        <f>+MOD(Tabla8[[#This Row],[HR. FIN]]-Tabla8[[#This Row],[HR. INICIO]],1)</f>
        <v>1.041666666666663E-2</v>
      </c>
      <c r="G1882" s="16" t="s">
        <v>169</v>
      </c>
      <c r="H1882" s="79" t="str">
        <f>IFERROR(VLOOKUP(G1882,DATOS!$M$2:$N$219,2,FALSE),"")</f>
        <v>Maquinaria</v>
      </c>
      <c r="I1882" s="115" t="s">
        <v>32</v>
      </c>
      <c r="J1882" s="115" t="s">
        <v>157</v>
      </c>
      <c r="K1882" s="115"/>
      <c r="L1882" s="35" t="s">
        <v>3312</v>
      </c>
      <c r="M1882" s="35" t="s">
        <v>121</v>
      </c>
      <c r="N1882" s="35" t="str" cm="1">
        <f t="array" ref="N1882">IFERROR(IF(Tabla8[[#This Row],[P/NP]]="NO PROGRAMADA","",_xlfn.TEXTJOIN(", ",TRUE,_xlfn._xlws.FILTER(Tabla4[[#All],[PIEZA]],ISNUMBER(SEARCH(Tabla4[[#All],[PCLAVE]],Tabla8[[#This Row],[DESCRIPCION DE TRABAJO]])),""))),"")</f>
        <v/>
      </c>
      <c r="O1882" s="35" t="str" cm="1">
        <f t="array" ref="O1882">_xlfn.TEXTJOIN(", ",TRUE,_xlfn._xlws.FILTER(Tabla28[[#All],[PARTE]],ISNUMBER(SEARCH(Tabla28[[#All],[PCLAVE2]],Tabla8[[#This Row],[DESCRIPCION DE TRABAJO]])),""))</f>
        <v/>
      </c>
      <c r="P1882" s="633" t="str">
        <f>IFERROR(LEFT(O1882, FIND(",", O1882)-1), O1882)</f>
        <v/>
      </c>
      <c r="Q1882" s="633" t="str">
        <f>IFERROR(IF(ISERROR(FIND(",", O1882, FIND(",", O1882)+1)), RIGHT(O1882, LEN(O1882)-FIND(",", O1882)-1), MID(O1882, FIND(",", O1882)+2, FIND(",", O1882, FIND(",", O1882)+1)-FIND(",", O1882)-2)), "")</f>
        <v/>
      </c>
      <c r="R1882" s="633" t="str">
        <f>IFERROR(RIGHT(O1882, LEN(O1882)-FIND(",", O1882, FIND(",", O1882)+1)-1), "")</f>
        <v/>
      </c>
      <c r="S1882" s="35" t="str" cm="1">
        <f t="array" ref="S1882">_xlfn.TEXTJOIN(", ",TRUE,_xlfn._xlws.FILTER(Tabla29[[#All],[PARTE]],ISNUMBER(SEARCH(Tabla29[[#All],[PCLAVE3]],Tabla8[[#This Row],[DESCRIPCION DE TRABAJO]])),""))</f>
        <v/>
      </c>
      <c r="T1882" s="88" t="str">
        <f>IF(AND(Tabla8[[#This Row],[PIEZA]]="",Tabla8[[#This Row],[PARTE]]=""),"VACIO","OK")</f>
        <v>VACIO</v>
      </c>
      <c r="U1882" s="633" t="str">
        <f>+CONCATENATE(WEEKNUM(Tabla8[[#This Row],[FECHA]]),"-",YEAR(Tabla8[[#This Row],[FECHA]]))</f>
        <v>26-2026</v>
      </c>
    </row>
    <row r="1883" spans="1:21" ht="15" customHeight="1">
      <c r="A1883" s="22">
        <v>46195</v>
      </c>
      <c r="B1883" s="16" t="s">
        <v>131</v>
      </c>
      <c r="C1883" s="16" t="s">
        <v>36</v>
      </c>
      <c r="D1883" s="381" t="s">
        <v>1528</v>
      </c>
      <c r="E1883" s="381" t="s">
        <v>573</v>
      </c>
      <c r="F1883" s="632">
        <f>+MOD(Tabla8[[#This Row],[HR. FIN]]-Tabla8[[#This Row],[HR. INICIO]],1)</f>
        <v>8.3333333333333592E-3</v>
      </c>
      <c r="G1883" s="16" t="s">
        <v>438</v>
      </c>
      <c r="H1883" s="79" t="str">
        <f>IFERROR(VLOOKUP(G1883,DATOS!$M$2:$N$219,2,FALSE),"")</f>
        <v>Maquinaria</v>
      </c>
      <c r="I1883" s="115" t="s">
        <v>245</v>
      </c>
      <c r="J1883" s="115" t="s">
        <v>157</v>
      </c>
      <c r="K1883" s="115"/>
      <c r="L1883" s="35" t="s">
        <v>3313</v>
      </c>
      <c r="M1883" s="35" t="s">
        <v>121</v>
      </c>
      <c r="N1883" s="35" t="str" cm="1">
        <f t="array" ref="N1883">IFERROR(IF(Tabla8[[#This Row],[P/NP]]="NO PROGRAMADA","",_xlfn.TEXTJOIN(", ",TRUE,_xlfn._xlws.FILTER(Tabla4[[#All],[PIEZA]],ISNUMBER(SEARCH(Tabla4[[#All],[PCLAVE]],Tabla8[[#This Row],[DESCRIPCION DE TRABAJO]])),""))),"")</f>
        <v>Cadena</v>
      </c>
      <c r="O1883" s="35" t="str" cm="1">
        <f t="array" ref="O1883">_xlfn.TEXTJOIN(", ",TRUE,_xlfn._xlws.FILTER(Tabla28[[#All],[PARTE]],ISNUMBER(SEARCH(Tabla28[[#All],[PCLAVE2]],Tabla8[[#This Row],[DESCRIPCION DE TRABAJO]])),""))</f>
        <v/>
      </c>
      <c r="P1883" s="633" t="str">
        <f>IFERROR(LEFT(O1883, FIND(",", O1883)-1), O1883)</f>
        <v/>
      </c>
      <c r="Q1883" s="633" t="str">
        <f>IFERROR(IF(ISERROR(FIND(",", O1883, FIND(",", O1883)+1)), RIGHT(O1883, LEN(O1883)-FIND(",", O1883)-1), MID(O1883, FIND(",", O1883)+2, FIND(",", O1883, FIND(",", O1883)+1)-FIND(",", O1883)-2)), "")</f>
        <v/>
      </c>
      <c r="R1883" s="633" t="str">
        <f>IFERROR(RIGHT(O1883, LEN(O1883)-FIND(",", O1883, FIND(",", O1883)+1)-1), "")</f>
        <v/>
      </c>
      <c r="S1883" s="35" t="str" cm="1">
        <f t="array" ref="S1883">_xlfn.TEXTJOIN(", ",TRUE,_xlfn._xlws.FILTER(Tabla29[[#All],[PARTE]],ISNUMBER(SEARCH(Tabla29[[#All],[PCLAVE3]],Tabla8[[#This Row],[DESCRIPCION DE TRABAJO]])),""))</f>
        <v>Lubricacion</v>
      </c>
      <c r="T1883" s="88" t="str">
        <f>IF(AND(Tabla8[[#This Row],[PIEZA]]="",Tabla8[[#This Row],[PARTE]]=""),"VACIO","OK")</f>
        <v>OK</v>
      </c>
      <c r="U1883" s="633" t="str">
        <f>+CONCATENATE(WEEKNUM(Tabla8[[#This Row],[FECHA]]),"-",YEAR(Tabla8[[#This Row],[FECHA]]))</f>
        <v>26-2026</v>
      </c>
    </row>
    <row r="1884" spans="1:21" ht="15" customHeight="1">
      <c r="A1884" s="22">
        <v>46195</v>
      </c>
      <c r="B1884" s="16" t="s">
        <v>131</v>
      </c>
      <c r="C1884" s="16" t="s">
        <v>36</v>
      </c>
      <c r="D1884" s="381" t="s">
        <v>2061</v>
      </c>
      <c r="E1884" s="381" t="s">
        <v>468</v>
      </c>
      <c r="F1884" s="632">
        <f>+MOD(Tabla8[[#This Row],[HR. FIN]]-Tabla8[[#This Row],[HR. INICIO]],1)</f>
        <v>6.9444444444444198E-3</v>
      </c>
      <c r="G1884" s="16" t="s">
        <v>119</v>
      </c>
      <c r="H1884" s="79" t="str">
        <f>IFERROR(VLOOKUP(G1884,DATOS!$M$2:$N$219,2,FALSE),"")</f>
        <v>Maquinaria</v>
      </c>
      <c r="I1884" s="115" t="s">
        <v>54</v>
      </c>
      <c r="J1884" s="115" t="s">
        <v>92</v>
      </c>
      <c r="K1884" s="115" t="s">
        <v>148</v>
      </c>
      <c r="L1884" s="35" t="s">
        <v>3314</v>
      </c>
      <c r="M1884" s="35" t="s">
        <v>3315</v>
      </c>
      <c r="N1884" s="35" t="str" cm="1">
        <f t="array" ref="N1884">IFERROR(IF(Tabla8[[#This Row],[P/NP]]="NO PROGRAMADA","",_xlfn.TEXTJOIN(", ",TRUE,_xlfn._xlws.FILTER(Tabla4[[#All],[PIEZA]],ISNUMBER(SEARCH(Tabla4[[#All],[PCLAVE]],Tabla8[[#This Row],[DESCRIPCION DE TRABAJO]])),""))),"")</f>
        <v/>
      </c>
      <c r="O1884" s="35" t="str" cm="1">
        <f t="array" ref="O1884">_xlfn.TEXTJOIN(", ",TRUE,_xlfn._xlws.FILTER(Tabla28[[#All],[PARTE]],ISNUMBER(SEARCH(Tabla28[[#All],[PCLAVE2]],Tabla8[[#This Row],[DESCRIPCION DE TRABAJO]])),""))</f>
        <v>Sammfill</v>
      </c>
      <c r="P1884" s="633" t="str">
        <f>IFERROR(LEFT(O1884, FIND(",", O1884)-1), O1884)</f>
        <v>Sammfill</v>
      </c>
      <c r="Q1884" s="633" t="str">
        <f>IFERROR(IF(ISERROR(FIND(",", O1884, FIND(",", O1884)+1)), RIGHT(O1884, LEN(O1884)-FIND(",", O1884)-1), MID(O1884, FIND(",", O1884)+2, FIND(",", O1884, FIND(",", O1884)+1)-FIND(",", O1884)-2)), "")</f>
        <v/>
      </c>
      <c r="R1884" s="633" t="str">
        <f>IFERROR(RIGHT(O1884, LEN(O1884)-FIND(",", O1884, FIND(",", O1884)+1)-1), "")</f>
        <v/>
      </c>
      <c r="S1884" s="35" t="str" cm="1">
        <f t="array" ref="S1884">_xlfn.TEXTJOIN(", ",TRUE,_xlfn._xlws.FILTER(Tabla29[[#All],[PARTE]],ISNUMBER(SEARCH(Tabla29[[#All],[PCLAVE3]],Tabla8[[#This Row],[DESCRIPCION DE TRABAJO]])),""))</f>
        <v/>
      </c>
      <c r="T1884" s="88" t="str">
        <f>IF(AND(Tabla8[[#This Row],[PIEZA]]="",Tabla8[[#This Row],[PARTE]]=""),"VACIO","OK")</f>
        <v>OK</v>
      </c>
      <c r="U1884" s="633" t="str">
        <f>+CONCATENATE(WEEKNUM(Tabla8[[#This Row],[FECHA]]),"-",YEAR(Tabla8[[#This Row],[FECHA]]))</f>
        <v>26-2026</v>
      </c>
    </row>
    <row r="1885" spans="1:21" ht="15" customHeight="1">
      <c r="A1885" s="22">
        <v>46196</v>
      </c>
      <c r="B1885" s="16" t="s">
        <v>88</v>
      </c>
      <c r="C1885" s="16" t="s">
        <v>36</v>
      </c>
      <c r="D1885" s="381" t="s">
        <v>699</v>
      </c>
      <c r="E1885" s="381" t="s">
        <v>126</v>
      </c>
      <c r="F1885" s="632">
        <f>+MOD(Tabla8[[#This Row],[HR. FIN]]-Tabla8[[#This Row],[HR. INICIO]],1)</f>
        <v>5.2083333333333315E-2</v>
      </c>
      <c r="G1885" s="16" t="s">
        <v>98</v>
      </c>
      <c r="H1885" s="79" t="str">
        <f>IFERROR(VLOOKUP(G1885,DATOS!$M$2:$N$219,2,FALSE),"")</f>
        <v>Maquinaria</v>
      </c>
      <c r="I1885" s="115" t="s">
        <v>32</v>
      </c>
      <c r="J1885" s="115" t="s">
        <v>157</v>
      </c>
      <c r="K1885" s="115"/>
      <c r="L1885" s="35" t="s">
        <v>1168</v>
      </c>
      <c r="M1885" s="35" t="s">
        <v>3316</v>
      </c>
      <c r="N1885" s="35" t="str" cm="1">
        <f t="array" ref="N1885">IFERROR(IF(Tabla8[[#This Row],[P/NP]]="NO PROGRAMADA","",_xlfn.TEXTJOIN(", ",TRUE,_xlfn._xlws.FILTER(Tabla4[[#All],[PIEZA]],ISNUMBER(SEARCH(Tabla4[[#All],[PCLAVE]],Tabla8[[#This Row],[DESCRIPCION DE TRABAJO]])),""))),"")</f>
        <v/>
      </c>
      <c r="O1885" s="35" t="str" cm="1">
        <f t="array" ref="O1885">_xlfn.TEXTJOIN(", ",TRUE,_xlfn._xlws.FILTER(Tabla28[[#All],[PARTE]],ISNUMBER(SEARCH(Tabla28[[#All],[PCLAVE2]],Tabla8[[#This Row],[DESCRIPCION DE TRABAJO]])),""))</f>
        <v/>
      </c>
      <c r="P1885" s="633" t="str">
        <f>IFERROR(LEFT(O1885, FIND(",", O1885)-1), O1885)</f>
        <v/>
      </c>
      <c r="Q1885" s="633" t="str">
        <f>IFERROR(IF(ISERROR(FIND(",", O1885, FIND(",", O1885)+1)), RIGHT(O1885, LEN(O1885)-FIND(",", O1885)-1), MID(O1885, FIND(",", O1885)+2, FIND(",", O1885, FIND(",", O1885)+1)-FIND(",", O1885)-2)), "")</f>
        <v/>
      </c>
      <c r="R1885" s="633" t="str">
        <f>IFERROR(RIGHT(O1885, LEN(O1885)-FIND(",", O1885, FIND(",", O1885)+1)-1), "")</f>
        <v/>
      </c>
      <c r="S1885" s="35" t="str" cm="1">
        <f t="array" ref="S1885">_xlfn.TEXTJOIN(", ",TRUE,_xlfn._xlws.FILTER(Tabla29[[#All],[PARTE]],ISNUMBER(SEARCH(Tabla29[[#All],[PCLAVE3]],Tabla8[[#This Row],[DESCRIPCION DE TRABAJO]])),""))</f>
        <v/>
      </c>
      <c r="T1885" s="88" t="str">
        <f>IF(AND(Tabla8[[#This Row],[PIEZA]]="",Tabla8[[#This Row],[PARTE]]=""),"VACIO","OK")</f>
        <v>VACIO</v>
      </c>
      <c r="U1885" s="633" t="str">
        <f>+CONCATENATE(WEEKNUM(Tabla8[[#This Row],[FECHA]]),"-",YEAR(Tabla8[[#This Row],[FECHA]]))</f>
        <v>26-2026</v>
      </c>
    </row>
    <row r="1886" spans="1:21" ht="15" customHeight="1">
      <c r="A1886" s="22">
        <v>46196</v>
      </c>
      <c r="B1886" s="16" t="s">
        <v>111</v>
      </c>
      <c r="C1886" s="16" t="s">
        <v>39</v>
      </c>
      <c r="D1886" s="381" t="s">
        <v>1600</v>
      </c>
      <c r="E1886" s="381" t="s">
        <v>1697</v>
      </c>
      <c r="F1886" s="632">
        <f>+MOD(Tabla8[[#This Row],[HR. FIN]]-Tabla8[[#This Row],[HR. INICIO]],1)</f>
        <v>4.5138888888888951E-2</v>
      </c>
      <c r="G1886" s="16" t="s">
        <v>153</v>
      </c>
      <c r="H1886" s="79" t="str">
        <f>IFERROR(VLOOKUP(G1886,DATOS!$M$2:$N$219,2,FALSE),"")</f>
        <v>Maquinaria</v>
      </c>
      <c r="I1886" s="115" t="s">
        <v>28</v>
      </c>
      <c r="J1886" s="115" t="s">
        <v>92</v>
      </c>
      <c r="K1886" s="115" t="s">
        <v>93</v>
      </c>
      <c r="L1886" s="35" t="s">
        <v>3317</v>
      </c>
      <c r="M1886" s="35" t="s">
        <v>3318</v>
      </c>
      <c r="N1886" s="35" t="str" cm="1">
        <f t="array" ref="N1886">IFERROR(IF(Tabla8[[#This Row],[P/NP]]="NO PROGRAMADA","",_xlfn.TEXTJOIN(", ",TRUE,_xlfn._xlws.FILTER(Tabla4[[#All],[PIEZA]],ISNUMBER(SEARCH(Tabla4[[#All],[PCLAVE]],Tabla8[[#This Row],[DESCRIPCION DE TRABAJO]])),""))),"")</f>
        <v/>
      </c>
      <c r="O1886" s="35" t="str" cm="1">
        <f t="array" ref="O1886">_xlfn.TEXTJOIN(", ",TRUE,_xlfn._xlws.FILTER(Tabla28[[#All],[PARTE]],ISNUMBER(SEARCH(Tabla28[[#All],[PCLAVE2]],Tabla8[[#This Row],[DESCRIPCION DE TRABAJO]])),""))</f>
        <v/>
      </c>
      <c r="P1886" s="633" t="str">
        <f>IFERROR(LEFT(O1886, FIND(",", O1886)-1), O1886)</f>
        <v/>
      </c>
      <c r="Q1886" s="633" t="str">
        <f>IFERROR(IF(ISERROR(FIND(",", O1886, FIND(",", O1886)+1)), RIGHT(O1886, LEN(O1886)-FIND(",", O1886)-1), MID(O1886, FIND(",", O1886)+2, FIND(",", O1886, FIND(",", O1886)+1)-FIND(",", O1886)-2)), "")</f>
        <v/>
      </c>
      <c r="R1886" s="633" t="str">
        <f>IFERROR(RIGHT(O1886, LEN(O1886)-FIND(",", O1886, FIND(",", O1886)+1)-1), "")</f>
        <v/>
      </c>
      <c r="S1886" s="35" t="str" cm="1">
        <f t="array" ref="S1886">_xlfn.TEXTJOIN(", ",TRUE,_xlfn._xlws.FILTER(Tabla29[[#All],[PARTE]],ISNUMBER(SEARCH(Tabla29[[#All],[PCLAVE3]],Tabla8[[#This Row],[DESCRIPCION DE TRABAJO]])),""))</f>
        <v>No Corta, Rotura</v>
      </c>
      <c r="T1886" s="88" t="str">
        <f>IF(AND(Tabla8[[#This Row],[PIEZA]]="",Tabla8[[#This Row],[PARTE]]=""),"VACIO","OK")</f>
        <v>VACIO</v>
      </c>
      <c r="U1886" s="633" t="str">
        <f>+CONCATENATE(WEEKNUM(Tabla8[[#This Row],[FECHA]]),"-",YEAR(Tabla8[[#This Row],[FECHA]]))</f>
        <v>26-2026</v>
      </c>
    </row>
    <row r="1887" spans="1:21" ht="15" customHeight="1">
      <c r="A1887" s="22">
        <v>46196</v>
      </c>
      <c r="B1887" s="16" t="s">
        <v>179</v>
      </c>
      <c r="C1887" s="16" t="s">
        <v>23</v>
      </c>
      <c r="D1887" s="381">
        <v>0.61805555555555558</v>
      </c>
      <c r="E1887" s="381">
        <v>0.66319444444444442</v>
      </c>
      <c r="F1887" s="632">
        <f>+MOD(Tabla8[[#This Row],[HR. FIN]]-Tabla8[[#This Row],[HR. INICIO]],1)</f>
        <v>4.513888888888884E-2</v>
      </c>
      <c r="G1887" s="16" t="s">
        <v>119</v>
      </c>
      <c r="H1887" s="79" t="str">
        <f>IFERROR(VLOOKUP(G1887,DATOS!$M$2:$N$219,2,FALSE),"")</f>
        <v>Maquinaria</v>
      </c>
      <c r="I1887" s="115" t="s">
        <v>32</v>
      </c>
      <c r="J1887" s="115" t="s">
        <v>157</v>
      </c>
      <c r="K1887" s="115"/>
      <c r="L1887" s="35" t="s">
        <v>3319</v>
      </c>
      <c r="M1887" s="35" t="s">
        <v>121</v>
      </c>
      <c r="N1887" s="35" t="str" cm="1">
        <f t="array" ref="N1887">IFERROR(IF(Tabla8[[#This Row],[P/NP]]="NO PROGRAMADA","",_xlfn.TEXTJOIN(", ",TRUE,_xlfn._xlws.FILTER(Tabla4[[#All],[PIEZA]],ISNUMBER(SEARCH(Tabla4[[#All],[PCLAVE]],Tabla8[[#This Row],[DESCRIPCION DE TRABAJO]])),""))),"")</f>
        <v/>
      </c>
      <c r="O1887" s="35" t="str" cm="1">
        <f t="array" ref="O1887">_xlfn.TEXTJOIN(", ",TRUE,_xlfn._xlws.FILTER(Tabla28[[#All],[PARTE]],ISNUMBER(SEARCH(Tabla28[[#All],[PCLAVE2]],Tabla8[[#This Row],[DESCRIPCION DE TRABAJO]])),""))</f>
        <v>Mds</v>
      </c>
      <c r="P1887" s="633" t="str">
        <f>IFERROR(LEFT(O1887, FIND(",", O1887)-1), O1887)</f>
        <v>Mds</v>
      </c>
      <c r="Q1887" s="633" t="str">
        <f>IFERROR(IF(ISERROR(FIND(",", O1887, FIND(",", O1887)+1)), RIGHT(O1887, LEN(O1887)-FIND(",", O1887)-1), MID(O1887, FIND(",", O1887)+2, FIND(",", O1887, FIND(",", O1887)+1)-FIND(",", O1887)-2)), "")</f>
        <v/>
      </c>
      <c r="R1887" s="633" t="str">
        <f>IFERROR(RIGHT(O1887, LEN(O1887)-FIND(",", O1887, FIND(",", O1887)+1)-1), "")</f>
        <v/>
      </c>
      <c r="S1887" s="35" t="str" cm="1">
        <f t="array" ref="S1887">_xlfn.TEXTJOIN(", ",TRUE,_xlfn._xlws.FILTER(Tabla29[[#All],[PARTE]],ISNUMBER(SEARCH(Tabla29[[#All],[PCLAVE3]],Tabla8[[#This Row],[DESCRIPCION DE TRABAJO]])),""))</f>
        <v>Cambio De Formato</v>
      </c>
      <c r="T1887" s="88" t="str">
        <f>IF(AND(Tabla8[[#This Row],[PIEZA]]="",Tabla8[[#This Row],[PARTE]]=""),"VACIO","OK")</f>
        <v>OK</v>
      </c>
      <c r="U1887" s="633" t="str">
        <f>+CONCATENATE(WEEKNUM(Tabla8[[#This Row],[FECHA]]),"-",YEAR(Tabla8[[#This Row],[FECHA]]))</f>
        <v>26-2026</v>
      </c>
    </row>
    <row r="1888" spans="1:21" ht="15" customHeight="1">
      <c r="A1888" s="22">
        <v>46196</v>
      </c>
      <c r="B1888" s="16" t="s">
        <v>131</v>
      </c>
      <c r="C1888" s="16" t="s">
        <v>36</v>
      </c>
      <c r="D1888" s="381" t="s">
        <v>630</v>
      </c>
      <c r="E1888" s="381" t="s">
        <v>3320</v>
      </c>
      <c r="F1888" s="632">
        <f>+MOD(Tabla8[[#This Row],[HR. FIN]]-Tabla8[[#This Row],[HR. INICIO]],1)</f>
        <v>3.8888888888888862E-2</v>
      </c>
      <c r="G1888" s="16" t="s">
        <v>438</v>
      </c>
      <c r="H1888" s="79" t="str">
        <f>IFERROR(VLOOKUP(G1888,DATOS!$M$2:$N$219,2,FALSE),"")</f>
        <v>Maquinaria</v>
      </c>
      <c r="I1888" s="115" t="s">
        <v>28</v>
      </c>
      <c r="J1888" s="115" t="s">
        <v>92</v>
      </c>
      <c r="K1888" s="115" t="s">
        <v>148</v>
      </c>
      <c r="L1888" s="35" t="s">
        <v>3321</v>
      </c>
      <c r="M1888" s="35" t="s">
        <v>3322</v>
      </c>
      <c r="N1888" s="35" t="str" cm="1">
        <f t="array" ref="N1888">IFERROR(IF(Tabla8[[#This Row],[P/NP]]="NO PROGRAMADA","",_xlfn.TEXTJOIN(", ",TRUE,_xlfn._xlws.FILTER(Tabla4[[#All],[PIEZA]],ISNUMBER(SEARCH(Tabla4[[#All],[PCLAVE]],Tabla8[[#This Row],[DESCRIPCION DE TRABAJO]])),""))),"")</f>
        <v/>
      </c>
      <c r="O1888" s="35" t="str" cm="1">
        <f t="array" ref="O1888">_xlfn.TEXTJOIN(", ",TRUE,_xlfn._xlws.FILTER(Tabla28[[#All],[PARTE]],ISNUMBER(SEARCH(Tabla28[[#All],[PCLAVE2]],Tabla8[[#This Row],[DESCRIPCION DE TRABAJO]])),""))</f>
        <v/>
      </c>
      <c r="P1888" s="633" t="str">
        <f>IFERROR(LEFT(O1888, FIND(",", O1888)-1), O1888)</f>
        <v/>
      </c>
      <c r="Q1888" s="633" t="str">
        <f>IFERROR(IF(ISERROR(FIND(",", O1888, FIND(",", O1888)+1)), RIGHT(O1888, LEN(O1888)-FIND(",", O1888)-1), MID(O1888, FIND(",", O1888)+2, FIND(",", O1888, FIND(",", O1888)+1)-FIND(",", O1888)-2)), "")</f>
        <v/>
      </c>
      <c r="R1888" s="633" t="str">
        <f>IFERROR(RIGHT(O1888, LEN(O1888)-FIND(",", O1888, FIND(",", O1888)+1)-1), "")</f>
        <v/>
      </c>
      <c r="S1888" s="35" t="str" cm="1">
        <f t="array" ref="S1888">_xlfn.TEXTJOIN(", ",TRUE,_xlfn._xlws.FILTER(Tabla29[[#All],[PARTE]],ISNUMBER(SEARCH(Tabla29[[#All],[PCLAVE3]],Tabla8[[#This Row],[DESCRIPCION DE TRABAJO]])),""))</f>
        <v/>
      </c>
      <c r="T1888" s="88" t="str">
        <f>IF(AND(Tabla8[[#This Row],[PIEZA]]="",Tabla8[[#This Row],[PARTE]]=""),"VACIO","OK")</f>
        <v>VACIO</v>
      </c>
      <c r="U1888" s="633" t="str">
        <f>+CONCATENATE(WEEKNUM(Tabla8[[#This Row],[FECHA]]),"-",YEAR(Tabla8[[#This Row],[FECHA]]))</f>
        <v>26-2026</v>
      </c>
    </row>
    <row r="1889" spans="1:21" ht="15" customHeight="1">
      <c r="A1889" s="22">
        <v>46196</v>
      </c>
      <c r="B1889" s="16" t="s">
        <v>131</v>
      </c>
      <c r="C1889" s="16" t="s">
        <v>36</v>
      </c>
      <c r="D1889" s="381" t="s">
        <v>636</v>
      </c>
      <c r="E1889" s="381" t="s">
        <v>2581</v>
      </c>
      <c r="F1889" s="632">
        <f>+MOD(Tabla8[[#This Row],[HR. FIN]]-Tabla8[[#This Row],[HR. INICIO]],1)</f>
        <v>3.2638888888888884E-2</v>
      </c>
      <c r="G1889" s="16" t="s">
        <v>192</v>
      </c>
      <c r="H1889" s="79" t="str">
        <f>IFERROR(VLOOKUP(G1889,DATOS!$M$2:$N$219,2,FALSE),"")</f>
        <v>Maquinaria</v>
      </c>
      <c r="I1889" s="115" t="s">
        <v>32</v>
      </c>
      <c r="J1889" s="115" t="s">
        <v>157</v>
      </c>
      <c r="K1889" s="115"/>
      <c r="L1889" s="35" t="s">
        <v>2441</v>
      </c>
      <c r="M1889" s="35" t="s">
        <v>121</v>
      </c>
      <c r="N1889" s="35" t="str" cm="1">
        <f t="array" ref="N1889">IFERROR(IF(Tabla8[[#This Row],[P/NP]]="NO PROGRAMADA","",_xlfn.TEXTJOIN(", ",TRUE,_xlfn._xlws.FILTER(Tabla4[[#All],[PIEZA]],ISNUMBER(SEARCH(Tabla4[[#All],[PCLAVE]],Tabla8[[#This Row],[DESCRIPCION DE TRABAJO]])),""))),"")</f>
        <v/>
      </c>
      <c r="O1889" s="35" t="str" cm="1">
        <f t="array" ref="O1889">_xlfn.TEXTJOIN(", ",TRUE,_xlfn._xlws.FILTER(Tabla28[[#All],[PARTE]],ISNUMBER(SEARCH(Tabla28[[#All],[PCLAVE2]],Tabla8[[#This Row],[DESCRIPCION DE TRABAJO]])),""))</f>
        <v/>
      </c>
      <c r="P1889" s="633" t="str">
        <f>IFERROR(LEFT(O1889, FIND(",", O1889)-1), O1889)</f>
        <v/>
      </c>
      <c r="Q1889" s="633" t="str">
        <f>IFERROR(IF(ISERROR(FIND(",", O1889, FIND(",", O1889)+1)), RIGHT(O1889, LEN(O1889)-FIND(",", O1889)-1), MID(O1889, FIND(",", O1889)+2, FIND(",", O1889, FIND(",", O1889)+1)-FIND(",", O1889)-2)), "")</f>
        <v/>
      </c>
      <c r="R1889" s="633" t="str">
        <f>IFERROR(RIGHT(O1889, LEN(O1889)-FIND(",", O1889, FIND(",", O1889)+1)-1), "")</f>
        <v/>
      </c>
      <c r="S1889" s="35" t="str" cm="1">
        <f t="array" ref="S1889">_xlfn.TEXTJOIN(", ",TRUE,_xlfn._xlws.FILTER(Tabla29[[#All],[PARTE]],ISNUMBER(SEARCH(Tabla29[[#All],[PCLAVE3]],Tabla8[[#This Row],[DESCRIPCION DE TRABAJO]])),""))</f>
        <v>Cambio De Formato</v>
      </c>
      <c r="T1889" s="88" t="str">
        <f>IF(AND(Tabla8[[#This Row],[PIEZA]]="",Tabla8[[#This Row],[PARTE]]=""),"VACIO","OK")</f>
        <v>VACIO</v>
      </c>
      <c r="U1889" s="633" t="str">
        <f>+CONCATENATE(WEEKNUM(Tabla8[[#This Row],[FECHA]]),"-",YEAR(Tabla8[[#This Row],[FECHA]]))</f>
        <v>26-2026</v>
      </c>
    </row>
    <row r="1890" spans="1:21" ht="15" customHeight="1">
      <c r="A1890" s="22">
        <v>46196</v>
      </c>
      <c r="B1890" s="16" t="s">
        <v>88</v>
      </c>
      <c r="C1890" s="16" t="s">
        <v>36</v>
      </c>
      <c r="D1890" s="381" t="s">
        <v>523</v>
      </c>
      <c r="E1890" s="381" t="s">
        <v>97</v>
      </c>
      <c r="F1890" s="632">
        <f>+MOD(Tabla8[[#This Row],[HR. FIN]]-Tabla8[[#This Row],[HR. INICIO]],1)</f>
        <v>3.125E-2</v>
      </c>
      <c r="G1890" s="16" t="s">
        <v>192</v>
      </c>
      <c r="H1890" s="79" t="str">
        <f>IFERROR(VLOOKUP(G1890,DATOS!$M$2:$N$219,2,FALSE),"")</f>
        <v>Maquinaria</v>
      </c>
      <c r="I1890" s="115" t="s">
        <v>57</v>
      </c>
      <c r="J1890" s="115" t="s">
        <v>92</v>
      </c>
      <c r="K1890" s="115" t="s">
        <v>93</v>
      </c>
      <c r="L1890" s="35" t="s">
        <v>3323</v>
      </c>
      <c r="M1890" s="35" t="s">
        <v>3324</v>
      </c>
      <c r="N1890" s="35" t="str" cm="1">
        <f t="array" ref="N1890">IFERROR(IF(Tabla8[[#This Row],[P/NP]]="NO PROGRAMADA","",_xlfn.TEXTJOIN(", ",TRUE,_xlfn._xlws.FILTER(Tabla4[[#All],[PIEZA]],ISNUMBER(SEARCH(Tabla4[[#All],[PCLAVE]],Tabla8[[#This Row],[DESCRIPCION DE TRABAJO]])),""))),"")</f>
        <v/>
      </c>
      <c r="O1890" s="35" t="str" cm="1">
        <f t="array" ref="O1890">_xlfn.TEXTJOIN(", ",TRUE,_xlfn._xlws.FILTER(Tabla28[[#All],[PARTE]],ISNUMBER(SEARCH(Tabla28[[#All],[PCLAVE2]],Tabla8[[#This Row],[DESCRIPCION DE TRABAJO]])),""))</f>
        <v/>
      </c>
      <c r="P1890" s="633" t="str">
        <f>IFERROR(LEFT(O1890, FIND(",", O1890)-1), O1890)</f>
        <v/>
      </c>
      <c r="Q1890" s="633" t="str">
        <f>IFERROR(IF(ISERROR(FIND(",", O1890, FIND(",", O1890)+1)), RIGHT(O1890, LEN(O1890)-FIND(",", O1890)-1), MID(O1890, FIND(",", O1890)+2, FIND(",", O1890, FIND(",", O1890)+1)-FIND(",", O1890)-2)), "")</f>
        <v/>
      </c>
      <c r="R1890" s="633" t="str">
        <f>IFERROR(RIGHT(O1890, LEN(O1890)-FIND(",", O1890, FIND(",", O1890)+1)-1), "")</f>
        <v/>
      </c>
      <c r="S1890" s="35" t="str" cm="1">
        <f t="array" ref="S1890">_xlfn.TEXTJOIN(", ",TRUE,_xlfn._xlws.FILTER(Tabla29[[#All],[PARTE]],ISNUMBER(SEARCH(Tabla29[[#All],[PCLAVE3]],Tabla8[[#This Row],[DESCRIPCION DE TRABAJO]])),""))</f>
        <v>Calibracion, Doblada</v>
      </c>
      <c r="T1890" s="88" t="str">
        <f>IF(AND(Tabla8[[#This Row],[PIEZA]]="",Tabla8[[#This Row],[PARTE]]=""),"VACIO","OK")</f>
        <v>VACIO</v>
      </c>
      <c r="U1890" s="633" t="str">
        <f>+CONCATENATE(WEEKNUM(Tabla8[[#This Row],[FECHA]]),"-",YEAR(Tabla8[[#This Row],[FECHA]]))</f>
        <v>26-2026</v>
      </c>
    </row>
    <row r="1891" spans="1:21" ht="15" customHeight="1">
      <c r="A1891" s="22">
        <v>46196</v>
      </c>
      <c r="B1891" s="16" t="s">
        <v>111</v>
      </c>
      <c r="C1891" s="16" t="s">
        <v>39</v>
      </c>
      <c r="D1891" s="381" t="s">
        <v>113</v>
      </c>
      <c r="E1891" s="381" t="s">
        <v>146</v>
      </c>
      <c r="F1891" s="632">
        <f>+MOD(Tabla8[[#This Row],[HR. FIN]]-Tabla8[[#This Row],[HR. INICIO]],1)</f>
        <v>2.4305555555555552E-2</v>
      </c>
      <c r="G1891" s="16" t="s">
        <v>119</v>
      </c>
      <c r="H1891" s="79" t="str">
        <f>IFERROR(VLOOKUP(G1891,DATOS!$M$2:$N$219,2,FALSE),"")</f>
        <v>Maquinaria</v>
      </c>
      <c r="I1891" s="115" t="s">
        <v>32</v>
      </c>
      <c r="J1891" s="115" t="s">
        <v>157</v>
      </c>
      <c r="K1891" s="115"/>
      <c r="L1891" s="35" t="s">
        <v>3325</v>
      </c>
      <c r="M1891" s="35" t="s">
        <v>121</v>
      </c>
      <c r="N1891" s="35" t="str" cm="1">
        <f t="array" ref="N1891">IFERROR(IF(Tabla8[[#This Row],[P/NP]]="NO PROGRAMADA","",_xlfn.TEXTJOIN(", ",TRUE,_xlfn._xlws.FILTER(Tabla4[[#All],[PIEZA]],ISNUMBER(SEARCH(Tabla4[[#All],[PCLAVE]],Tabla8[[#This Row],[DESCRIPCION DE TRABAJO]])),""))),"")</f>
        <v/>
      </c>
      <c r="O1891" s="35" t="str" cm="1">
        <f t="array" ref="O1891">_xlfn.TEXTJOIN(", ",TRUE,_xlfn._xlws.FILTER(Tabla28[[#All],[PARTE]],ISNUMBER(SEARCH(Tabla28[[#All],[PCLAVE2]],Tabla8[[#This Row],[DESCRIPCION DE TRABAJO]])),""))</f>
        <v>Mds</v>
      </c>
      <c r="P1891" s="633" t="str">
        <f>IFERROR(LEFT(O1891, FIND(",", O1891)-1), O1891)</f>
        <v>Mds</v>
      </c>
      <c r="Q1891" s="633" t="str">
        <f>IFERROR(IF(ISERROR(FIND(",", O1891, FIND(",", O1891)+1)), RIGHT(O1891, LEN(O1891)-FIND(",", O1891)-1), MID(O1891, FIND(",", O1891)+2, FIND(",", O1891, FIND(",", O1891)+1)-FIND(",", O1891)-2)), "")</f>
        <v/>
      </c>
      <c r="R1891" s="633" t="str">
        <f>IFERROR(RIGHT(O1891, LEN(O1891)-FIND(",", O1891, FIND(",", O1891)+1)-1), "")</f>
        <v/>
      </c>
      <c r="S1891" s="35" t="str" cm="1">
        <f t="array" ref="S1891">_xlfn.TEXTJOIN(", ",TRUE,_xlfn._xlws.FILTER(Tabla29[[#All],[PARTE]],ISNUMBER(SEARCH(Tabla29[[#All],[PCLAVE3]],Tabla8[[#This Row],[DESCRIPCION DE TRABAJO]])),""))</f>
        <v/>
      </c>
      <c r="T1891" s="88" t="str">
        <f>IF(AND(Tabla8[[#This Row],[PIEZA]]="",Tabla8[[#This Row],[PARTE]]=""),"VACIO","OK")</f>
        <v>OK</v>
      </c>
      <c r="U1891" s="633" t="str">
        <f>+CONCATENATE(WEEKNUM(Tabla8[[#This Row],[FECHA]]),"-",YEAR(Tabla8[[#This Row],[FECHA]]))</f>
        <v>26-2026</v>
      </c>
    </row>
    <row r="1892" spans="1:21" ht="15" customHeight="1">
      <c r="A1892" s="22">
        <v>46196</v>
      </c>
      <c r="B1892" s="16" t="s">
        <v>131</v>
      </c>
      <c r="C1892" s="16" t="s">
        <v>36</v>
      </c>
      <c r="D1892" s="381" t="s">
        <v>3288</v>
      </c>
      <c r="E1892" s="381" t="s">
        <v>1172</v>
      </c>
      <c r="F1892" s="632">
        <f>+MOD(Tabla8[[#This Row],[HR. FIN]]-Tabla8[[#This Row],[HR. INICIO]],1)</f>
        <v>2.3611111111111138E-2</v>
      </c>
      <c r="G1892" s="16" t="s">
        <v>1470</v>
      </c>
      <c r="H1892" s="79" t="str">
        <f>IFERROR(VLOOKUP(G1892,DATOS!$M$2:$N$219,2,FALSE),"")</f>
        <v>Maquinaria</v>
      </c>
      <c r="I1892" s="115" t="s">
        <v>57</v>
      </c>
      <c r="J1892" s="115" t="s">
        <v>92</v>
      </c>
      <c r="K1892" s="115" t="s">
        <v>93</v>
      </c>
      <c r="L1892" s="35" t="s">
        <v>3326</v>
      </c>
      <c r="M1892" s="35" t="s">
        <v>3327</v>
      </c>
      <c r="N1892" s="35" t="str" cm="1">
        <f t="array" ref="N1892">IFERROR(IF(Tabla8[[#This Row],[P/NP]]="NO PROGRAMADA","",_xlfn.TEXTJOIN(", ",TRUE,_xlfn._xlws.FILTER(Tabla4[[#All],[PIEZA]],ISNUMBER(SEARCH(Tabla4[[#All],[PCLAVE]],Tabla8[[#This Row],[DESCRIPCION DE TRABAJO]])),""))),"")</f>
        <v/>
      </c>
      <c r="O1892" s="35" t="str" cm="1">
        <f t="array" ref="O1892">_xlfn.TEXTJOIN(", ",TRUE,_xlfn._xlws.FILTER(Tabla28[[#All],[PARTE]],ISNUMBER(SEARCH(Tabla28[[#All],[PCLAVE2]],Tabla8[[#This Row],[DESCRIPCION DE TRABAJO]])),""))</f>
        <v/>
      </c>
      <c r="P1892" s="633" t="str">
        <f>IFERROR(LEFT(O1892, FIND(",", O1892)-1), O1892)</f>
        <v/>
      </c>
      <c r="Q1892" s="633" t="str">
        <f>IFERROR(IF(ISERROR(FIND(",", O1892, FIND(",", O1892)+1)), RIGHT(O1892, LEN(O1892)-FIND(",", O1892)-1), MID(O1892, FIND(",", O1892)+2, FIND(",", O1892, FIND(",", O1892)+1)-FIND(",", O1892)-2)), "")</f>
        <v/>
      </c>
      <c r="R1892" s="633" t="str">
        <f>IFERROR(RIGHT(O1892, LEN(O1892)-FIND(",", O1892, FIND(",", O1892)+1)-1), "")</f>
        <v/>
      </c>
      <c r="S1892" s="35" t="str" cm="1">
        <f t="array" ref="S1892">_xlfn.TEXTJOIN(", ",TRUE,_xlfn._xlws.FILTER(Tabla29[[#All],[PARTE]],ISNUMBER(SEARCH(Tabla29[[#All],[PCLAVE3]],Tabla8[[#This Row],[DESCRIPCION DE TRABAJO]])),""))</f>
        <v>No Corta</v>
      </c>
      <c r="T1892" s="88" t="str">
        <f>IF(AND(Tabla8[[#This Row],[PIEZA]]="",Tabla8[[#This Row],[PARTE]]=""),"VACIO","OK")</f>
        <v>VACIO</v>
      </c>
      <c r="U1892" s="633" t="str">
        <f>+CONCATENATE(WEEKNUM(Tabla8[[#This Row],[FECHA]]),"-",YEAR(Tabla8[[#This Row],[FECHA]]))</f>
        <v>26-2026</v>
      </c>
    </row>
    <row r="1893" spans="1:21" ht="15" customHeight="1">
      <c r="A1893" s="22">
        <v>46196</v>
      </c>
      <c r="B1893" s="16" t="s">
        <v>191</v>
      </c>
      <c r="C1893" s="16" t="s">
        <v>23</v>
      </c>
      <c r="D1893" s="381" t="s">
        <v>3328</v>
      </c>
      <c r="E1893" s="381" t="s">
        <v>2228</v>
      </c>
      <c r="F1893" s="632">
        <f>+MOD(Tabla8[[#This Row],[HR. FIN]]-Tabla8[[#This Row],[HR. INICIO]],1)</f>
        <v>2.2916666666666696E-2</v>
      </c>
      <c r="G1893" s="16" t="s">
        <v>103</v>
      </c>
      <c r="H1893" s="79" t="str">
        <f>IFERROR(VLOOKUP(G1893,DATOS!$M$2:$N$219,2,FALSE),"")</f>
        <v>Area</v>
      </c>
      <c r="I1893" s="115" t="s">
        <v>28</v>
      </c>
      <c r="J1893" s="115" t="s">
        <v>157</v>
      </c>
      <c r="K1893" s="115"/>
      <c r="L1893" s="35" t="s">
        <v>3329</v>
      </c>
      <c r="M1893" s="35" t="s">
        <v>121</v>
      </c>
      <c r="N1893" s="35" t="str" cm="1">
        <f t="array" ref="N1893">IFERROR(IF(Tabla8[[#This Row],[P/NP]]="NO PROGRAMADA","",_xlfn.TEXTJOIN(", ",TRUE,_xlfn._xlws.FILTER(Tabla4[[#All],[PIEZA]],ISNUMBER(SEARCH(Tabla4[[#All],[PCLAVE]],Tabla8[[#This Row],[DESCRIPCION DE TRABAJO]])),""))),"")</f>
        <v>Dispensador</v>
      </c>
      <c r="O1893" s="35" t="str" cm="1">
        <f t="array" ref="O1893">_xlfn.TEXTJOIN(", ",TRUE,_xlfn._xlws.FILTER(Tabla28[[#All],[PARTE]],ISNUMBER(SEARCH(Tabla28[[#All],[PCLAVE2]],Tabla8[[#This Row],[DESCRIPCION DE TRABAJO]])),""))</f>
        <v/>
      </c>
      <c r="P1893" s="633" t="str">
        <f>IFERROR(LEFT(O1893, FIND(",", O1893)-1), O1893)</f>
        <v/>
      </c>
      <c r="Q1893" s="633" t="str">
        <f>IFERROR(IF(ISERROR(FIND(",", O1893, FIND(",", O1893)+1)), RIGHT(O1893, LEN(O1893)-FIND(",", O1893)-1), MID(O1893, FIND(",", O1893)+2, FIND(",", O1893, FIND(",", O1893)+1)-FIND(",", O1893)-2)), "")</f>
        <v/>
      </c>
      <c r="R1893" s="633" t="str">
        <f>IFERROR(RIGHT(O1893, LEN(O1893)-FIND(",", O1893, FIND(",", O1893)+1)-1), "")</f>
        <v/>
      </c>
      <c r="S1893" s="35" t="str" cm="1">
        <f t="array" ref="S1893">_xlfn.TEXTJOIN(", ",TRUE,_xlfn._xlws.FILTER(Tabla29[[#All],[PARTE]],ISNUMBER(SEARCH(Tabla29[[#All],[PCLAVE3]],Tabla8[[#This Row],[DESCRIPCION DE TRABAJO]])),""))</f>
        <v/>
      </c>
      <c r="T1893" s="88" t="str">
        <f>IF(AND(Tabla8[[#This Row],[PIEZA]]="",Tabla8[[#This Row],[PARTE]]=""),"VACIO","OK")</f>
        <v>OK</v>
      </c>
      <c r="U1893" s="633" t="str">
        <f>+CONCATENATE(WEEKNUM(Tabla8[[#This Row],[FECHA]]),"-",YEAR(Tabla8[[#This Row],[FECHA]]))</f>
        <v>26-2026</v>
      </c>
    </row>
    <row r="1894" spans="1:21" ht="15" customHeight="1">
      <c r="A1894" s="22">
        <v>46196</v>
      </c>
      <c r="B1894" s="16" t="s">
        <v>191</v>
      </c>
      <c r="C1894" s="16" t="s">
        <v>23</v>
      </c>
      <c r="D1894" s="381" t="s">
        <v>2293</v>
      </c>
      <c r="E1894" s="381" t="s">
        <v>2021</v>
      </c>
      <c r="F1894" s="632">
        <f>+MOD(Tabla8[[#This Row],[HR. FIN]]-Tabla8[[#This Row],[HR. INICIO]],1)</f>
        <v>2.2222222222222143E-2</v>
      </c>
      <c r="G1894" s="16" t="s">
        <v>2100</v>
      </c>
      <c r="H1894" s="79" t="str">
        <f>IFERROR(VLOOKUP(G1894,DATOS!$M$2:$N$219,2,FALSE),"")</f>
        <v>Maquinaria</v>
      </c>
      <c r="I1894" s="115" t="s">
        <v>32</v>
      </c>
      <c r="J1894" s="115" t="s">
        <v>157</v>
      </c>
      <c r="K1894" s="115"/>
      <c r="L1894" s="35" t="s">
        <v>3330</v>
      </c>
      <c r="M1894" s="35" t="s">
        <v>121</v>
      </c>
      <c r="N1894" s="35" t="str" cm="1">
        <f t="array" ref="N1894">IFERROR(IF(Tabla8[[#This Row],[P/NP]]="NO PROGRAMADA","",_xlfn.TEXTJOIN(", ",TRUE,_xlfn._xlws.FILTER(Tabla4[[#All],[PIEZA]],ISNUMBER(SEARCH(Tabla4[[#All],[PCLAVE]],Tabla8[[#This Row],[DESCRIPCION DE TRABAJO]])),""))),"")</f>
        <v/>
      </c>
      <c r="O1894" s="35" t="str" cm="1">
        <f t="array" ref="O1894">_xlfn.TEXTJOIN(", ",TRUE,_xlfn._xlws.FILTER(Tabla28[[#All],[PARTE]],ISNUMBER(SEARCH(Tabla28[[#All],[PCLAVE2]],Tabla8[[#This Row],[DESCRIPCION DE TRABAJO]])),""))</f>
        <v/>
      </c>
      <c r="P1894" s="633" t="str">
        <f>IFERROR(LEFT(O1894, FIND(",", O1894)-1), O1894)</f>
        <v/>
      </c>
      <c r="Q1894" s="633" t="str">
        <f>IFERROR(IF(ISERROR(FIND(",", O1894, FIND(",", O1894)+1)), RIGHT(O1894, LEN(O1894)-FIND(",", O1894)-1), MID(O1894, FIND(",", O1894)+2, FIND(",", O1894, FIND(",", O1894)+1)-FIND(",", O1894)-2)), "")</f>
        <v/>
      </c>
      <c r="R1894" s="633" t="str">
        <f>IFERROR(RIGHT(O1894, LEN(O1894)-FIND(",", O1894, FIND(",", O1894)+1)-1), "")</f>
        <v/>
      </c>
      <c r="S1894" s="35" t="str" cm="1">
        <f t="array" ref="S1894">_xlfn.TEXTJOIN(", ",TRUE,_xlfn._xlws.FILTER(Tabla29[[#All],[PARTE]],ISNUMBER(SEARCH(Tabla29[[#All],[PCLAVE3]],Tabla8[[#This Row],[DESCRIPCION DE TRABAJO]])),""))</f>
        <v/>
      </c>
      <c r="T1894" s="88" t="str">
        <f>IF(AND(Tabla8[[#This Row],[PIEZA]]="",Tabla8[[#This Row],[PARTE]]=""),"VACIO","OK")</f>
        <v>VACIO</v>
      </c>
      <c r="U1894" s="633" t="str">
        <f>+CONCATENATE(WEEKNUM(Tabla8[[#This Row],[FECHA]]),"-",YEAR(Tabla8[[#This Row],[FECHA]]))</f>
        <v>26-2026</v>
      </c>
    </row>
    <row r="1895" spans="1:21" ht="15" customHeight="1">
      <c r="A1895" s="22">
        <v>46196</v>
      </c>
      <c r="B1895" s="16" t="s">
        <v>131</v>
      </c>
      <c r="C1895" s="16" t="s">
        <v>36</v>
      </c>
      <c r="D1895" s="381" t="s">
        <v>3331</v>
      </c>
      <c r="E1895" s="381" t="s">
        <v>600</v>
      </c>
      <c r="F1895" s="632">
        <f>+MOD(Tabla8[[#This Row],[HR. FIN]]-Tabla8[[#This Row],[HR. INICIO]],1)</f>
        <v>2.1527777777777757E-2</v>
      </c>
      <c r="G1895" s="16" t="s">
        <v>119</v>
      </c>
      <c r="H1895" s="79" t="str">
        <f>IFERROR(VLOOKUP(G1895,DATOS!$M$2:$N$219,2,FALSE),"")</f>
        <v>Maquinaria</v>
      </c>
      <c r="I1895" s="115" t="s">
        <v>54</v>
      </c>
      <c r="J1895" s="115" t="s">
        <v>157</v>
      </c>
      <c r="K1895" s="115"/>
      <c r="L1895" s="35" t="s">
        <v>1998</v>
      </c>
      <c r="M1895" s="35" t="s">
        <v>121</v>
      </c>
      <c r="N1895" s="35" t="str" cm="1">
        <f t="array" ref="N1895">IFERROR(IF(Tabla8[[#This Row],[P/NP]]="NO PROGRAMADA","",_xlfn.TEXTJOIN(", ",TRUE,_xlfn._xlws.FILTER(Tabla4[[#All],[PIEZA]],ISNUMBER(SEARCH(Tabla4[[#All],[PCLAVE]],Tabla8[[#This Row],[DESCRIPCION DE TRABAJO]])),""))),"")</f>
        <v/>
      </c>
      <c r="O1895" s="35" t="str" cm="1">
        <f t="array" ref="O1895">_xlfn.TEXTJOIN(", ",TRUE,_xlfn._xlws.FILTER(Tabla28[[#All],[PARTE]],ISNUMBER(SEARCH(Tabla28[[#All],[PCLAVE2]],Tabla8[[#This Row],[DESCRIPCION DE TRABAJO]])),""))</f>
        <v/>
      </c>
      <c r="P1895" s="633" t="str">
        <f>IFERROR(LEFT(O1895, FIND(",", O1895)-1), O1895)</f>
        <v/>
      </c>
      <c r="Q1895" s="633" t="str">
        <f>IFERROR(IF(ISERROR(FIND(",", O1895, FIND(",", O1895)+1)), RIGHT(O1895, LEN(O1895)-FIND(",", O1895)-1), MID(O1895, FIND(",", O1895)+2, FIND(",", O1895, FIND(",", O1895)+1)-FIND(",", O1895)-2)), "")</f>
        <v/>
      </c>
      <c r="R1895" s="633" t="str">
        <f>IFERROR(RIGHT(O1895, LEN(O1895)-FIND(",", O1895, FIND(",", O1895)+1)-1), "")</f>
        <v/>
      </c>
      <c r="S1895" s="35" t="str" cm="1">
        <f t="array" ref="S1895">_xlfn.TEXTJOIN(", ",TRUE,_xlfn._xlws.FILTER(Tabla29[[#All],[PARTE]],ISNUMBER(SEARCH(Tabla29[[#All],[PCLAVE3]],Tabla8[[#This Row],[DESCRIPCION DE TRABAJO]])),""))</f>
        <v/>
      </c>
      <c r="T1895" s="88" t="str">
        <f>IF(AND(Tabla8[[#This Row],[PIEZA]]="",Tabla8[[#This Row],[PARTE]]=""),"VACIO","OK")</f>
        <v>VACIO</v>
      </c>
      <c r="U1895" s="633" t="str">
        <f>+CONCATENATE(WEEKNUM(Tabla8[[#This Row],[FECHA]]),"-",YEAR(Tabla8[[#This Row],[FECHA]]))</f>
        <v>26-2026</v>
      </c>
    </row>
    <row r="1896" spans="1:21" ht="15" customHeight="1">
      <c r="A1896" s="22">
        <v>46196</v>
      </c>
      <c r="B1896" s="16" t="s">
        <v>111</v>
      </c>
      <c r="C1896" s="16" t="s">
        <v>39</v>
      </c>
      <c r="D1896" s="381" t="s">
        <v>1805</v>
      </c>
      <c r="E1896" s="381" t="s">
        <v>167</v>
      </c>
      <c r="F1896" s="632">
        <f>+MOD(Tabla8[[#This Row],[HR. FIN]]-Tabla8[[#This Row],[HR. INICIO]],1)</f>
        <v>2.0833333333333332E-2</v>
      </c>
      <c r="G1896" s="16" t="s">
        <v>202</v>
      </c>
      <c r="H1896" s="79" t="str">
        <f>IFERROR(VLOOKUP(G1896,DATOS!$M$2:$N$219,2,FALSE),"")</f>
        <v>Maquinaria</v>
      </c>
      <c r="I1896" s="115" t="s">
        <v>390</v>
      </c>
      <c r="J1896" s="115" t="s">
        <v>157</v>
      </c>
      <c r="K1896" s="115"/>
      <c r="L1896" s="35" t="s">
        <v>3332</v>
      </c>
      <c r="M1896" s="35" t="s">
        <v>121</v>
      </c>
      <c r="N1896" s="35" t="str" cm="1">
        <f t="array" ref="N1896">IFERROR(IF(Tabla8[[#This Row],[P/NP]]="NO PROGRAMADA","",_xlfn.TEXTJOIN(", ",TRUE,_xlfn._xlws.FILTER(Tabla4[[#All],[PIEZA]],ISNUMBER(SEARCH(Tabla4[[#All],[PCLAVE]],Tabla8[[#This Row],[DESCRIPCION DE TRABAJO]])),""))),"")</f>
        <v>Tuberias</v>
      </c>
      <c r="O1896" s="35" t="str" cm="1">
        <f t="array" ref="O1896">_xlfn.TEXTJOIN(", ",TRUE,_xlfn._xlws.FILTER(Tabla28[[#All],[PARTE]],ISNUMBER(SEARCH(Tabla28[[#All],[PCLAVE2]],Tabla8[[#This Row],[DESCRIPCION DE TRABAJO]])),""))</f>
        <v/>
      </c>
      <c r="P1896" s="633" t="str">
        <f>IFERROR(LEFT(O1896, FIND(",", O1896)-1), O1896)</f>
        <v/>
      </c>
      <c r="Q1896" s="633" t="str">
        <f>IFERROR(IF(ISERROR(FIND(",", O1896, FIND(",", O1896)+1)), RIGHT(O1896, LEN(O1896)-FIND(",", O1896)-1), MID(O1896, FIND(",", O1896)+2, FIND(",", O1896, FIND(",", O1896)+1)-FIND(",", O1896)-2)), "")</f>
        <v/>
      </c>
      <c r="R1896" s="633" t="str">
        <f>IFERROR(RIGHT(O1896, LEN(O1896)-FIND(",", O1896, FIND(",", O1896)+1)-1), "")</f>
        <v/>
      </c>
      <c r="S1896" s="35" t="str" cm="1">
        <f t="array" ref="S1896">_xlfn.TEXTJOIN(", ",TRUE,_xlfn._xlws.FILTER(Tabla29[[#All],[PARTE]],ISNUMBER(SEARCH(Tabla29[[#All],[PCLAVE3]],Tabla8[[#This Row],[DESCRIPCION DE TRABAJO]])),""))</f>
        <v>Lento, Muy Lento</v>
      </c>
      <c r="T1896" s="88" t="str">
        <f>IF(AND(Tabla8[[#This Row],[PIEZA]]="",Tabla8[[#This Row],[PARTE]]=""),"VACIO","OK")</f>
        <v>OK</v>
      </c>
      <c r="U1896" s="633" t="str">
        <f>+CONCATENATE(WEEKNUM(Tabla8[[#This Row],[FECHA]]),"-",YEAR(Tabla8[[#This Row],[FECHA]]))</f>
        <v>26-2026</v>
      </c>
    </row>
    <row r="1897" spans="1:21" ht="15" customHeight="1">
      <c r="A1897" s="22">
        <v>46196</v>
      </c>
      <c r="B1897" s="16" t="s">
        <v>88</v>
      </c>
      <c r="C1897" s="16" t="s">
        <v>36</v>
      </c>
      <c r="D1897" s="381" t="s">
        <v>89</v>
      </c>
      <c r="E1897" s="381" t="s">
        <v>556</v>
      </c>
      <c r="F1897" s="632">
        <f>+MOD(Tabla8[[#This Row],[HR. FIN]]-Tabla8[[#This Row],[HR. INICIO]],1)</f>
        <v>2.0833333333333315E-2</v>
      </c>
      <c r="G1897" s="16" t="s">
        <v>438</v>
      </c>
      <c r="H1897" s="79" t="str">
        <f>IFERROR(VLOOKUP(G1897,DATOS!$M$2:$N$219,2,FALSE),"")</f>
        <v>Maquinaria</v>
      </c>
      <c r="I1897" s="115" t="s">
        <v>28</v>
      </c>
      <c r="J1897" s="115" t="s">
        <v>92</v>
      </c>
      <c r="K1897" s="115" t="s">
        <v>93</v>
      </c>
      <c r="L1897" s="35" t="s">
        <v>3333</v>
      </c>
      <c r="M1897" s="35" t="s">
        <v>3334</v>
      </c>
      <c r="N1897" s="35" t="str" cm="1">
        <f t="array" ref="N1897">IFERROR(IF(Tabla8[[#This Row],[P/NP]]="NO PROGRAMADA","",_xlfn.TEXTJOIN(", ",TRUE,_xlfn._xlws.FILTER(Tabla4[[#All],[PIEZA]],ISNUMBER(SEARCH(Tabla4[[#All],[PCLAVE]],Tabla8[[#This Row],[DESCRIPCION DE TRABAJO]])),""))),"")</f>
        <v/>
      </c>
      <c r="O1897" s="35" t="str" cm="1">
        <f t="array" ref="O1897">_xlfn.TEXTJOIN(", ",TRUE,_xlfn._xlws.FILTER(Tabla28[[#All],[PARTE]],ISNUMBER(SEARCH(Tabla28[[#All],[PCLAVE2]],Tabla8[[#This Row],[DESCRIPCION DE TRABAJO]])),""))</f>
        <v/>
      </c>
      <c r="P1897" s="633" t="str">
        <f>IFERROR(LEFT(O1897, FIND(",", O1897)-1), O1897)</f>
        <v/>
      </c>
      <c r="Q1897" s="633" t="str">
        <f>IFERROR(IF(ISERROR(FIND(",", O1897, FIND(",", O1897)+1)), RIGHT(O1897, LEN(O1897)-FIND(",", O1897)-1), MID(O1897, FIND(",", O1897)+2, FIND(",", O1897, FIND(",", O1897)+1)-FIND(",", O1897)-2)), "")</f>
        <v/>
      </c>
      <c r="R1897" s="633" t="str">
        <f>IFERROR(RIGHT(O1897, LEN(O1897)-FIND(",", O1897, FIND(",", O1897)+1)-1), "")</f>
        <v/>
      </c>
      <c r="S1897" s="35" t="str" cm="1">
        <f t="array" ref="S1897">_xlfn.TEXTJOIN(", ",TRUE,_xlfn._xlws.FILTER(Tabla29[[#All],[PARTE]],ISNUMBER(SEARCH(Tabla29[[#All],[PCLAVE3]],Tabla8[[#This Row],[DESCRIPCION DE TRABAJO]])),""))</f>
        <v>Calibracion, Dañado, Sustitucion</v>
      </c>
      <c r="T1897" s="88" t="str">
        <f>IF(AND(Tabla8[[#This Row],[PIEZA]]="",Tabla8[[#This Row],[PARTE]]=""),"VACIO","OK")</f>
        <v>VACIO</v>
      </c>
      <c r="U1897" s="633" t="str">
        <f>+CONCATENATE(WEEKNUM(Tabla8[[#This Row],[FECHA]]),"-",YEAR(Tabla8[[#This Row],[FECHA]]))</f>
        <v>26-2026</v>
      </c>
    </row>
    <row r="1898" spans="1:21" ht="15" customHeight="1">
      <c r="A1898" s="22">
        <v>46196</v>
      </c>
      <c r="B1898" s="16" t="s">
        <v>131</v>
      </c>
      <c r="C1898" s="16" t="s">
        <v>36</v>
      </c>
      <c r="D1898" s="381" t="s">
        <v>670</v>
      </c>
      <c r="E1898" s="381" t="s">
        <v>97</v>
      </c>
      <c r="F1898" s="632">
        <f>+MOD(Tabla8[[#This Row],[HR. FIN]]-Tabla8[[#This Row],[HR. INICIO]],1)</f>
        <v>2.0833333333333315E-2</v>
      </c>
      <c r="G1898" s="16" t="s">
        <v>2256</v>
      </c>
      <c r="H1898" s="79" t="str">
        <f>IFERROR(VLOOKUP(G1898,DATOS!$M$2:$N$219,2,FALSE),"")</f>
        <v>Maquinaria</v>
      </c>
      <c r="I1898" s="115" t="s">
        <v>390</v>
      </c>
      <c r="J1898" s="115" t="s">
        <v>157</v>
      </c>
      <c r="K1898" s="115"/>
      <c r="L1898" s="35" t="s">
        <v>3335</v>
      </c>
      <c r="M1898" s="35" t="s">
        <v>3336</v>
      </c>
      <c r="N1898" s="35" t="str" cm="1">
        <f t="array" ref="N1898">IFERROR(IF(Tabla8[[#This Row],[P/NP]]="NO PROGRAMADA","",_xlfn.TEXTJOIN(", ",TRUE,_xlfn._xlws.FILTER(Tabla4[[#All],[PIEZA]],ISNUMBER(SEARCH(Tabla4[[#All],[PCLAVE]],Tabla8[[#This Row],[DESCRIPCION DE TRABAJO]])),""))),"")</f>
        <v>Producto</v>
      </c>
      <c r="O1898" s="35" t="str" cm="1">
        <f t="array" ref="O1898">_xlfn.TEXTJOIN(", ",TRUE,_xlfn._xlws.FILTER(Tabla28[[#All],[PARTE]],ISNUMBER(SEARCH(Tabla28[[#All],[PCLAVE2]],Tabla8[[#This Row],[DESCRIPCION DE TRABAJO]])),""))</f>
        <v/>
      </c>
      <c r="P1898" s="633" t="str">
        <f>IFERROR(LEFT(O1898, FIND(",", O1898)-1), O1898)</f>
        <v/>
      </c>
      <c r="Q1898" s="633" t="str">
        <f>IFERROR(IF(ISERROR(FIND(",", O1898, FIND(",", O1898)+1)), RIGHT(O1898, LEN(O1898)-FIND(",", O1898)-1), MID(O1898, FIND(",", O1898)+2, FIND(",", O1898, FIND(",", O1898)+1)-FIND(",", O1898)-2)), "")</f>
        <v/>
      </c>
      <c r="R1898" s="633" t="str">
        <f>IFERROR(RIGHT(O1898, LEN(O1898)-FIND(",", O1898, FIND(",", O1898)+1)-1), "")</f>
        <v/>
      </c>
      <c r="S1898" s="35" t="str" cm="1">
        <f t="array" ref="S1898">_xlfn.TEXTJOIN(", ",TRUE,_xlfn._xlws.FILTER(Tabla29[[#All],[PARTE]],ISNUMBER(SEARCH(Tabla29[[#All],[PCLAVE3]],Tabla8[[#This Row],[DESCRIPCION DE TRABAJO]])),""))</f>
        <v>No Cae Producto</v>
      </c>
      <c r="T1898" s="88" t="str">
        <f>IF(AND(Tabla8[[#This Row],[PIEZA]]="",Tabla8[[#This Row],[PARTE]]=""),"VACIO","OK")</f>
        <v>OK</v>
      </c>
      <c r="U1898" s="633" t="str">
        <f>+CONCATENATE(WEEKNUM(Tabla8[[#This Row],[FECHA]]),"-",YEAR(Tabla8[[#This Row],[FECHA]]))</f>
        <v>26-2026</v>
      </c>
    </row>
    <row r="1899" spans="1:21" ht="15" customHeight="1">
      <c r="A1899" s="22">
        <v>46196</v>
      </c>
      <c r="B1899" s="16" t="s">
        <v>191</v>
      </c>
      <c r="C1899" s="16" t="s">
        <v>23</v>
      </c>
      <c r="D1899" s="381" t="s">
        <v>307</v>
      </c>
      <c r="E1899" s="381" t="s">
        <v>1978</v>
      </c>
      <c r="F1899" s="632">
        <f>+MOD(Tabla8[[#This Row],[HR. FIN]]-Tabla8[[#This Row],[HR. INICIO]],1)</f>
        <v>1.8750000000000044E-2</v>
      </c>
      <c r="G1899" s="16" t="s">
        <v>119</v>
      </c>
      <c r="H1899" s="79" t="str">
        <f>IFERROR(VLOOKUP(G1899,DATOS!$M$2:$N$219,2,FALSE),"")</f>
        <v>Maquinaria</v>
      </c>
      <c r="I1899" s="115" t="s">
        <v>32</v>
      </c>
      <c r="J1899" s="115" t="s">
        <v>157</v>
      </c>
      <c r="K1899" s="115"/>
      <c r="L1899" s="35" t="s">
        <v>712</v>
      </c>
      <c r="M1899" s="35" t="s">
        <v>121</v>
      </c>
      <c r="N1899" s="35" t="str" cm="1">
        <f t="array" ref="N1899">IFERROR(IF(Tabla8[[#This Row],[P/NP]]="NO PROGRAMADA","",_xlfn.TEXTJOIN(", ",TRUE,_xlfn._xlws.FILTER(Tabla4[[#All],[PIEZA]],ISNUMBER(SEARCH(Tabla4[[#All],[PCLAVE]],Tabla8[[#This Row],[DESCRIPCION DE TRABAJO]])),""))),"")</f>
        <v/>
      </c>
      <c r="O1899" s="35" t="str" cm="1">
        <f t="array" ref="O1899">_xlfn.TEXTJOIN(", ",TRUE,_xlfn._xlws.FILTER(Tabla28[[#All],[PARTE]],ISNUMBER(SEARCH(Tabla28[[#All],[PCLAVE2]],Tabla8[[#This Row],[DESCRIPCION DE TRABAJO]])),""))</f>
        <v>Mds</v>
      </c>
      <c r="P1899" s="633" t="str">
        <f>IFERROR(LEFT(O1899, FIND(",", O1899)-1), O1899)</f>
        <v>Mds</v>
      </c>
      <c r="Q1899" s="633" t="str">
        <f>IFERROR(IF(ISERROR(FIND(",", O1899, FIND(",", O1899)+1)), RIGHT(O1899, LEN(O1899)-FIND(",", O1899)-1), MID(O1899, FIND(",", O1899)+2, FIND(",", O1899, FIND(",", O1899)+1)-FIND(",", O1899)-2)), "")</f>
        <v/>
      </c>
      <c r="R1899" s="633" t="str">
        <f>IFERROR(RIGHT(O1899, LEN(O1899)-FIND(",", O1899, FIND(",", O1899)+1)-1), "")</f>
        <v/>
      </c>
      <c r="S1899" s="35" t="str" cm="1">
        <f t="array" ref="S1899">_xlfn.TEXTJOIN(", ",TRUE,_xlfn._xlws.FILTER(Tabla29[[#All],[PARTE]],ISNUMBER(SEARCH(Tabla29[[#All],[PCLAVE3]],Tabla8[[#This Row],[DESCRIPCION DE TRABAJO]])),""))</f>
        <v>Cambio De Formato</v>
      </c>
      <c r="T1899" s="88" t="str">
        <f>IF(AND(Tabla8[[#This Row],[PIEZA]]="",Tabla8[[#This Row],[PARTE]]=""),"VACIO","OK")</f>
        <v>OK</v>
      </c>
      <c r="U1899" s="633" t="str">
        <f>+CONCATENATE(WEEKNUM(Tabla8[[#This Row],[FECHA]]),"-",YEAR(Tabla8[[#This Row],[FECHA]]))</f>
        <v>26-2026</v>
      </c>
    </row>
    <row r="1900" spans="1:21" ht="15" customHeight="1">
      <c r="A1900" s="22">
        <v>46196</v>
      </c>
      <c r="B1900" s="16" t="s">
        <v>131</v>
      </c>
      <c r="C1900" s="16" t="s">
        <v>36</v>
      </c>
      <c r="D1900" s="381" t="s">
        <v>2442</v>
      </c>
      <c r="E1900" s="381" t="s">
        <v>481</v>
      </c>
      <c r="F1900" s="632">
        <f>+MOD(Tabla8[[#This Row],[HR. FIN]]-Tabla8[[#This Row],[HR. INICIO]],1)</f>
        <v>1.8055555555555547E-2</v>
      </c>
      <c r="G1900" s="16" t="s">
        <v>31</v>
      </c>
      <c r="H1900" s="79" t="str">
        <f>IFERROR(VLOOKUP(G1900,DATOS!$M$2:$N$219,2,FALSE),"")</f>
        <v>Maquinaria</v>
      </c>
      <c r="I1900" s="115" t="s">
        <v>54</v>
      </c>
      <c r="J1900" s="115" t="s">
        <v>157</v>
      </c>
      <c r="K1900" s="115"/>
      <c r="L1900" s="35" t="s">
        <v>821</v>
      </c>
      <c r="M1900" s="35" t="s">
        <v>3337</v>
      </c>
      <c r="N1900" s="35" t="str" cm="1">
        <f t="array" ref="N1900">IFERROR(IF(Tabla8[[#This Row],[P/NP]]="NO PROGRAMADA","",_xlfn.TEXTJOIN(", ",TRUE,_xlfn._xlws.FILTER(Tabla4[[#All],[PIEZA]],ISNUMBER(SEARCH(Tabla4[[#All],[PCLAVE]],Tabla8[[#This Row],[DESCRIPCION DE TRABAJO]])),""))),"")</f>
        <v/>
      </c>
      <c r="O1900" s="35" t="str" cm="1">
        <f t="array" ref="O1900">_xlfn.TEXTJOIN(", ",TRUE,_xlfn._xlws.FILTER(Tabla28[[#All],[PARTE]],ISNUMBER(SEARCH(Tabla28[[#All],[PCLAVE2]],Tabla8[[#This Row],[DESCRIPCION DE TRABAJO]])),""))</f>
        <v/>
      </c>
      <c r="P1900" s="633" t="str">
        <f>IFERROR(LEFT(O1900, FIND(",", O1900)-1), O1900)</f>
        <v/>
      </c>
      <c r="Q1900" s="633" t="str">
        <f>IFERROR(IF(ISERROR(FIND(",", O1900, FIND(",", O1900)+1)), RIGHT(O1900, LEN(O1900)-FIND(",", O1900)-1), MID(O1900, FIND(",", O1900)+2, FIND(",", O1900, FIND(",", O1900)+1)-FIND(",", O1900)-2)), "")</f>
        <v/>
      </c>
      <c r="R1900" s="633" t="str">
        <f>IFERROR(RIGHT(O1900, LEN(O1900)-FIND(",", O1900, FIND(",", O1900)+1)-1), "")</f>
        <v/>
      </c>
      <c r="S1900" s="35" t="str" cm="1">
        <f t="array" ref="S1900">_xlfn.TEXTJOIN(", ",TRUE,_xlfn._xlws.FILTER(Tabla29[[#All],[PARTE]],ISNUMBER(SEARCH(Tabla29[[#All],[PCLAVE3]],Tabla8[[#This Row],[DESCRIPCION DE TRABAJO]])),""))</f>
        <v/>
      </c>
      <c r="T1900" s="88" t="str">
        <f>IF(AND(Tabla8[[#This Row],[PIEZA]]="",Tabla8[[#This Row],[PARTE]]=""),"VACIO","OK")</f>
        <v>VACIO</v>
      </c>
      <c r="U1900" s="633" t="str">
        <f>+CONCATENATE(WEEKNUM(Tabla8[[#This Row],[FECHA]]),"-",YEAR(Tabla8[[#This Row],[FECHA]]))</f>
        <v>26-2026</v>
      </c>
    </row>
    <row r="1901" spans="1:21" ht="15" customHeight="1">
      <c r="A1901" s="22">
        <v>46196</v>
      </c>
      <c r="B1901" s="16" t="s">
        <v>111</v>
      </c>
      <c r="C1901" s="16" t="s">
        <v>39</v>
      </c>
      <c r="D1901" s="381" t="s">
        <v>1620</v>
      </c>
      <c r="E1901" s="381" t="s">
        <v>1282</v>
      </c>
      <c r="F1901" s="632">
        <f>+MOD(Tabla8[[#This Row],[HR. FIN]]-Tabla8[[#This Row],[HR. INICIO]],1)</f>
        <v>1.3888888888888951E-2</v>
      </c>
      <c r="G1901" s="16" t="s">
        <v>182</v>
      </c>
      <c r="H1901" s="79" t="str">
        <f>IFERROR(VLOOKUP(G1901,DATOS!$M$2:$N$219,2,FALSE),"")</f>
        <v>Maquinaria</v>
      </c>
      <c r="I1901" s="115" t="s">
        <v>57</v>
      </c>
      <c r="J1901" s="115" t="s">
        <v>92</v>
      </c>
      <c r="K1901" s="115" t="s">
        <v>93</v>
      </c>
      <c r="L1901" s="35" t="s">
        <v>3338</v>
      </c>
      <c r="M1901" s="35" t="s">
        <v>3339</v>
      </c>
      <c r="N1901" s="35" t="str" cm="1">
        <f t="array" ref="N1901">IFERROR(IF(Tabla8[[#This Row],[P/NP]]="NO PROGRAMADA","",_xlfn.TEXTJOIN(", ",TRUE,_xlfn._xlws.FILTER(Tabla4[[#All],[PIEZA]],ISNUMBER(SEARCH(Tabla4[[#All],[PCLAVE]],Tabla8[[#This Row],[DESCRIPCION DE TRABAJO]])),""))),"")</f>
        <v/>
      </c>
      <c r="O1901" s="35" t="str" cm="1">
        <f t="array" ref="O1901">_xlfn.TEXTJOIN(", ",TRUE,_xlfn._xlws.FILTER(Tabla28[[#All],[PARTE]],ISNUMBER(SEARCH(Tabla28[[#All],[PCLAVE2]],Tabla8[[#This Row],[DESCRIPCION DE TRABAJO]])),""))</f>
        <v/>
      </c>
      <c r="P1901" s="633" t="str">
        <f>IFERROR(LEFT(O1901, FIND(",", O1901)-1), O1901)</f>
        <v/>
      </c>
      <c r="Q1901" s="633" t="str">
        <f>IFERROR(IF(ISERROR(FIND(",", O1901, FIND(",", O1901)+1)), RIGHT(O1901, LEN(O1901)-FIND(",", O1901)-1), MID(O1901, FIND(",", O1901)+2, FIND(",", O1901, FIND(",", O1901)+1)-FIND(",", O1901)-2)), "")</f>
        <v/>
      </c>
      <c r="R1901" s="633" t="str">
        <f>IFERROR(RIGHT(O1901, LEN(O1901)-FIND(",", O1901, FIND(",", O1901)+1)-1), "")</f>
        <v/>
      </c>
      <c r="S1901" s="35" t="str" cm="1">
        <f t="array" ref="S1901">_xlfn.TEXTJOIN(", ",TRUE,_xlfn._xlws.FILTER(Tabla29[[#All],[PARTE]],ISNUMBER(SEARCH(Tabla29[[#All],[PCLAVE3]],Tabla8[[#This Row],[DESCRIPCION DE TRABAJO]])),""))</f>
        <v>No Sella</v>
      </c>
      <c r="T1901" s="88" t="str">
        <f>IF(AND(Tabla8[[#This Row],[PIEZA]]="",Tabla8[[#This Row],[PARTE]]=""),"VACIO","OK")</f>
        <v>VACIO</v>
      </c>
      <c r="U1901" s="633" t="str">
        <f>+CONCATENATE(WEEKNUM(Tabla8[[#This Row],[FECHA]]),"-",YEAR(Tabla8[[#This Row],[FECHA]]))</f>
        <v>26-2026</v>
      </c>
    </row>
    <row r="1902" spans="1:21" ht="15" customHeight="1">
      <c r="A1902" s="22">
        <v>46196</v>
      </c>
      <c r="B1902" s="16" t="s">
        <v>191</v>
      </c>
      <c r="C1902" s="16" t="s">
        <v>23</v>
      </c>
      <c r="D1902" s="381" t="s">
        <v>3340</v>
      </c>
      <c r="E1902" s="381" t="s">
        <v>882</v>
      </c>
      <c r="F1902" s="632">
        <f>+MOD(Tabla8[[#This Row],[HR. FIN]]-Tabla8[[#This Row],[HR. INICIO]],1)</f>
        <v>1.3888888888888951E-2</v>
      </c>
      <c r="G1902" s="16" t="s">
        <v>2100</v>
      </c>
      <c r="H1902" s="79" t="str">
        <f>IFERROR(VLOOKUP(G1902,DATOS!$M$2:$N$219,2,FALSE),"")</f>
        <v>Maquinaria</v>
      </c>
      <c r="I1902" s="115" t="s">
        <v>32</v>
      </c>
      <c r="J1902" s="115" t="s">
        <v>157</v>
      </c>
      <c r="K1902" s="115"/>
      <c r="L1902" s="35" t="s">
        <v>3341</v>
      </c>
      <c r="M1902" s="35" t="s">
        <v>121</v>
      </c>
      <c r="N1902" s="35" t="str" cm="1">
        <f t="array" ref="N1902">IFERROR(IF(Tabla8[[#This Row],[P/NP]]="NO PROGRAMADA","",_xlfn.TEXTJOIN(", ",TRUE,_xlfn._xlws.FILTER(Tabla4[[#All],[PIEZA]],ISNUMBER(SEARCH(Tabla4[[#All],[PCLAVE]],Tabla8[[#This Row],[DESCRIPCION DE TRABAJO]])),""))),"")</f>
        <v/>
      </c>
      <c r="O1902" s="35" t="str" cm="1">
        <f t="array" ref="O1902">_xlfn.TEXTJOIN(", ",TRUE,_xlfn._xlws.FILTER(Tabla28[[#All],[PARTE]],ISNUMBER(SEARCH(Tabla28[[#All],[PCLAVE2]],Tabla8[[#This Row],[DESCRIPCION DE TRABAJO]])),""))</f>
        <v/>
      </c>
      <c r="P1902" s="633" t="str">
        <f>IFERROR(LEFT(O1902, FIND(",", O1902)-1), O1902)</f>
        <v/>
      </c>
      <c r="Q1902" s="633" t="str">
        <f>IFERROR(IF(ISERROR(FIND(",", O1902, FIND(",", O1902)+1)), RIGHT(O1902, LEN(O1902)-FIND(",", O1902)-1), MID(O1902, FIND(",", O1902)+2, FIND(",", O1902, FIND(",", O1902)+1)-FIND(",", O1902)-2)), "")</f>
        <v/>
      </c>
      <c r="R1902" s="633" t="str">
        <f>IFERROR(RIGHT(O1902, LEN(O1902)-FIND(",", O1902, FIND(",", O1902)+1)-1), "")</f>
        <v/>
      </c>
      <c r="S1902" s="35" t="str" cm="1">
        <f t="array" ref="S1902">_xlfn.TEXTJOIN(", ",TRUE,_xlfn._xlws.FILTER(Tabla29[[#All],[PARTE]],ISNUMBER(SEARCH(Tabla29[[#All],[PCLAVE3]],Tabla8[[#This Row],[DESCRIPCION DE TRABAJO]])),""))</f>
        <v/>
      </c>
      <c r="T1902" s="88" t="str">
        <f>IF(AND(Tabla8[[#This Row],[PIEZA]]="",Tabla8[[#This Row],[PARTE]]=""),"VACIO","OK")</f>
        <v>VACIO</v>
      </c>
      <c r="U1902" s="633" t="str">
        <f>+CONCATENATE(WEEKNUM(Tabla8[[#This Row],[FECHA]]),"-",YEAR(Tabla8[[#This Row],[FECHA]]))</f>
        <v>26-2026</v>
      </c>
    </row>
    <row r="1903" spans="1:21" ht="15" customHeight="1">
      <c r="A1903" s="22">
        <v>46196</v>
      </c>
      <c r="B1903" s="16" t="s">
        <v>111</v>
      </c>
      <c r="C1903" s="16" t="s">
        <v>39</v>
      </c>
      <c r="D1903" s="381" t="s">
        <v>1520</v>
      </c>
      <c r="E1903" s="381" t="s">
        <v>433</v>
      </c>
      <c r="F1903" s="632">
        <f>+MOD(Tabla8[[#This Row],[HR. FIN]]-Tabla8[[#This Row],[HR. INICIO]],1)</f>
        <v>1.3888888888888895E-2</v>
      </c>
      <c r="G1903" s="16" t="s">
        <v>140</v>
      </c>
      <c r="H1903" s="79" t="str">
        <f>IFERROR(VLOOKUP(G1903,DATOS!$M$2:$N$219,2,FALSE),"")</f>
        <v>Maquinaria</v>
      </c>
      <c r="I1903" s="115" t="s">
        <v>57</v>
      </c>
      <c r="J1903" s="115" t="s">
        <v>92</v>
      </c>
      <c r="K1903" s="115" t="s">
        <v>148</v>
      </c>
      <c r="L1903" s="35" t="s">
        <v>3342</v>
      </c>
      <c r="M1903" s="35" t="s">
        <v>3343</v>
      </c>
      <c r="N1903" s="35" t="str" cm="1">
        <f t="array" ref="N1903">IFERROR(IF(Tabla8[[#This Row],[P/NP]]="NO PROGRAMADA","",_xlfn.TEXTJOIN(", ",TRUE,_xlfn._xlws.FILTER(Tabla4[[#All],[PIEZA]],ISNUMBER(SEARCH(Tabla4[[#All],[PCLAVE]],Tabla8[[#This Row],[DESCRIPCION DE TRABAJO]])),""))),"")</f>
        <v/>
      </c>
      <c r="O1903" s="35" t="str" cm="1">
        <f t="array" ref="O1903">_xlfn.TEXTJOIN(", ",TRUE,_xlfn._xlws.FILTER(Tabla28[[#All],[PARTE]],ISNUMBER(SEARCH(Tabla28[[#All],[PCLAVE2]],Tabla8[[#This Row],[DESCRIPCION DE TRABAJO]])),""))</f>
        <v/>
      </c>
      <c r="P1903" s="633" t="str">
        <f>IFERROR(LEFT(O1903, FIND(",", O1903)-1), O1903)</f>
        <v/>
      </c>
      <c r="Q1903" s="633" t="str">
        <f>IFERROR(IF(ISERROR(FIND(",", O1903, FIND(",", O1903)+1)), RIGHT(O1903, LEN(O1903)-FIND(",", O1903)-1), MID(O1903, FIND(",", O1903)+2, FIND(",", O1903, FIND(",", O1903)+1)-FIND(",", O1903)-2)), "")</f>
        <v/>
      </c>
      <c r="R1903" s="633" t="str">
        <f>IFERROR(RIGHT(O1903, LEN(O1903)-FIND(",", O1903, FIND(",", O1903)+1)-1), "")</f>
        <v/>
      </c>
      <c r="S1903" s="35" t="str" cm="1">
        <f t="array" ref="S1903">_xlfn.TEXTJOIN(", ",TRUE,_xlfn._xlws.FILTER(Tabla29[[#All],[PARTE]],ISNUMBER(SEARCH(Tabla29[[#All],[PCLAVE3]],Tabla8[[#This Row],[DESCRIPCION DE TRABAJO]])),""))</f>
        <v/>
      </c>
      <c r="T1903" s="88" t="str">
        <f>IF(AND(Tabla8[[#This Row],[PIEZA]]="",Tabla8[[#This Row],[PARTE]]=""),"VACIO","OK")</f>
        <v>VACIO</v>
      </c>
      <c r="U1903" s="633" t="str">
        <f>+CONCATENATE(WEEKNUM(Tabla8[[#This Row],[FECHA]]),"-",YEAR(Tabla8[[#This Row],[FECHA]]))</f>
        <v>26-2026</v>
      </c>
    </row>
    <row r="1904" spans="1:21" ht="15" customHeight="1">
      <c r="A1904" s="22">
        <v>46196</v>
      </c>
      <c r="B1904" s="16" t="s">
        <v>111</v>
      </c>
      <c r="C1904" s="16" t="s">
        <v>39</v>
      </c>
      <c r="D1904" s="381" t="s">
        <v>292</v>
      </c>
      <c r="E1904" s="381" t="s">
        <v>142</v>
      </c>
      <c r="F1904" s="632">
        <f>+MOD(Tabla8[[#This Row],[HR. FIN]]-Tabla8[[#This Row],[HR. INICIO]],1)</f>
        <v>1.3888888888888881E-2</v>
      </c>
      <c r="G1904" s="16" t="s">
        <v>119</v>
      </c>
      <c r="H1904" s="79" t="str">
        <f>IFERROR(VLOOKUP(G1904,DATOS!$M$2:$N$219,2,FALSE),"")</f>
        <v>Maquinaria</v>
      </c>
      <c r="I1904" s="115" t="s">
        <v>54</v>
      </c>
      <c r="J1904" s="115" t="s">
        <v>157</v>
      </c>
      <c r="K1904" s="115"/>
      <c r="L1904" s="35" t="s">
        <v>489</v>
      </c>
      <c r="M1904" s="35" t="s">
        <v>3344</v>
      </c>
      <c r="N1904" s="35" t="str" cm="1">
        <f t="array" ref="N1904">IFERROR(IF(Tabla8[[#This Row],[P/NP]]="NO PROGRAMADA","",_xlfn.TEXTJOIN(", ",TRUE,_xlfn._xlws.FILTER(Tabla4[[#All],[PIEZA]],ISNUMBER(SEARCH(Tabla4[[#All],[PCLAVE]],Tabla8[[#This Row],[DESCRIPCION DE TRABAJO]])),""))),"")</f>
        <v/>
      </c>
      <c r="O1904" s="35" t="str" cm="1">
        <f t="array" ref="O1904">_xlfn.TEXTJOIN(", ",TRUE,_xlfn._xlws.FILTER(Tabla28[[#All],[PARTE]],ISNUMBER(SEARCH(Tabla28[[#All],[PCLAVE2]],Tabla8[[#This Row],[DESCRIPCION DE TRABAJO]])),""))</f>
        <v>Temperadora</v>
      </c>
      <c r="P1904" s="633" t="str">
        <f>IFERROR(LEFT(O1904, FIND(",", O1904)-1), O1904)</f>
        <v>Temperadora</v>
      </c>
      <c r="Q1904" s="633" t="str">
        <f>IFERROR(IF(ISERROR(FIND(",", O1904, FIND(",", O1904)+1)), RIGHT(O1904, LEN(O1904)-FIND(",", O1904)-1), MID(O1904, FIND(",", O1904)+2, FIND(",", O1904, FIND(",", O1904)+1)-FIND(",", O1904)-2)), "")</f>
        <v/>
      </c>
      <c r="R1904" s="633" t="str">
        <f>IFERROR(RIGHT(O1904, LEN(O1904)-FIND(",", O1904, FIND(",", O1904)+1)-1), "")</f>
        <v/>
      </c>
      <c r="S1904" s="35" t="str" cm="1">
        <f t="array" ref="S1904">_xlfn.TEXTJOIN(", ",TRUE,_xlfn._xlws.FILTER(Tabla29[[#All],[PARTE]],ISNUMBER(SEARCH(Tabla29[[#All],[PCLAVE3]],Tabla8[[#This Row],[DESCRIPCION DE TRABAJO]])),""))</f>
        <v/>
      </c>
      <c r="T1904" s="88" t="str">
        <f>IF(AND(Tabla8[[#This Row],[PIEZA]]="",Tabla8[[#This Row],[PARTE]]=""),"VACIO","OK")</f>
        <v>OK</v>
      </c>
      <c r="U1904" s="633" t="str">
        <f>+CONCATENATE(WEEKNUM(Tabla8[[#This Row],[FECHA]]),"-",YEAR(Tabla8[[#This Row],[FECHA]]))</f>
        <v>26-2026</v>
      </c>
    </row>
    <row r="1905" spans="1:21" ht="15" customHeight="1">
      <c r="A1905" s="22">
        <v>46196</v>
      </c>
      <c r="B1905" s="16" t="s">
        <v>179</v>
      </c>
      <c r="C1905" s="16" t="s">
        <v>23</v>
      </c>
      <c r="D1905" s="381" t="s">
        <v>106</v>
      </c>
      <c r="E1905" s="381" t="s">
        <v>468</v>
      </c>
      <c r="F1905" s="632">
        <f>+MOD(Tabla8[[#This Row],[HR. FIN]]-Tabla8[[#This Row],[HR. INICIO]],1)</f>
        <v>1.388888888888884E-2</v>
      </c>
      <c r="G1905" s="16" t="s">
        <v>119</v>
      </c>
      <c r="H1905" s="79" t="str">
        <f>IFERROR(VLOOKUP(G1905,DATOS!$M$2:$N$219,2,FALSE),"")</f>
        <v>Maquinaria</v>
      </c>
      <c r="I1905" s="115" t="s">
        <v>54</v>
      </c>
      <c r="J1905" s="115" t="s">
        <v>157</v>
      </c>
      <c r="K1905" s="115"/>
      <c r="L1905" s="35" t="s">
        <v>3345</v>
      </c>
      <c r="M1905" s="35" t="s">
        <v>121</v>
      </c>
      <c r="N1905" s="35" t="str" cm="1">
        <f t="array" ref="N1905">IFERROR(IF(Tabla8[[#This Row],[P/NP]]="NO PROGRAMADA","",_xlfn.TEXTJOIN(", ",TRUE,_xlfn._xlws.FILTER(Tabla4[[#All],[PIEZA]],ISNUMBER(SEARCH(Tabla4[[#All],[PCLAVE]],Tabla8[[#This Row],[DESCRIPCION DE TRABAJO]])),""))),"")</f>
        <v/>
      </c>
      <c r="O1905" s="35" t="str" cm="1">
        <f t="array" ref="O1905">_xlfn.TEXTJOIN(", ",TRUE,_xlfn._xlws.FILTER(Tabla28[[#All],[PARTE]],ISNUMBER(SEARCH(Tabla28[[#All],[PCLAVE2]],Tabla8[[#This Row],[DESCRIPCION DE TRABAJO]])),""))</f>
        <v/>
      </c>
      <c r="P1905" s="633" t="str">
        <f>IFERROR(LEFT(O1905, FIND(",", O1905)-1), O1905)</f>
        <v/>
      </c>
      <c r="Q1905" s="633" t="str">
        <f>IFERROR(IF(ISERROR(FIND(",", O1905, FIND(",", O1905)+1)), RIGHT(O1905, LEN(O1905)-FIND(",", O1905)-1), MID(O1905, FIND(",", O1905)+2, FIND(",", O1905, FIND(",", O1905)+1)-FIND(",", O1905)-2)), "")</f>
        <v/>
      </c>
      <c r="R1905" s="633" t="str">
        <f>IFERROR(RIGHT(O1905, LEN(O1905)-FIND(",", O1905, FIND(",", O1905)+1)-1), "")</f>
        <v/>
      </c>
      <c r="S1905" s="35" t="str" cm="1">
        <f t="array" ref="S1905">_xlfn.TEXTJOIN(", ",TRUE,_xlfn._xlws.FILTER(Tabla29[[#All],[PARTE]],ISNUMBER(SEARCH(Tabla29[[#All],[PCLAVE3]],Tabla8[[#This Row],[DESCRIPCION DE TRABAJO]])),""))</f>
        <v/>
      </c>
      <c r="T1905" s="88" t="str">
        <f>IF(AND(Tabla8[[#This Row],[PIEZA]]="",Tabla8[[#This Row],[PARTE]]=""),"VACIO","OK")</f>
        <v>VACIO</v>
      </c>
      <c r="U1905" s="633" t="str">
        <f>+CONCATENATE(WEEKNUM(Tabla8[[#This Row],[FECHA]]),"-",YEAR(Tabla8[[#This Row],[FECHA]]))</f>
        <v>26-2026</v>
      </c>
    </row>
    <row r="1906" spans="1:21" ht="15" customHeight="1">
      <c r="A1906" s="22">
        <v>46196</v>
      </c>
      <c r="B1906" s="16" t="s">
        <v>179</v>
      </c>
      <c r="C1906" s="16" t="s">
        <v>23</v>
      </c>
      <c r="D1906" s="381" t="s">
        <v>1812</v>
      </c>
      <c r="E1906" s="381" t="s">
        <v>2415</v>
      </c>
      <c r="F1906" s="632">
        <f>+MOD(Tabla8[[#This Row],[HR. FIN]]-Tabla8[[#This Row],[HR. INICIO]],1)</f>
        <v>1.388888888888884E-2</v>
      </c>
      <c r="G1906" s="16" t="s">
        <v>182</v>
      </c>
      <c r="H1906" s="79" t="str">
        <f>IFERROR(VLOOKUP(G1906,DATOS!$M$2:$N$219,2,FALSE),"")</f>
        <v>Maquinaria</v>
      </c>
      <c r="I1906" s="115" t="s">
        <v>28</v>
      </c>
      <c r="J1906" s="115" t="s">
        <v>92</v>
      </c>
      <c r="K1906" s="115" t="s">
        <v>148</v>
      </c>
      <c r="L1906" s="35" t="s">
        <v>3346</v>
      </c>
      <c r="M1906" s="35" t="s">
        <v>3347</v>
      </c>
      <c r="N1906" s="35" t="str" cm="1">
        <f t="array" ref="N1906">IFERROR(IF(Tabla8[[#This Row],[P/NP]]="NO PROGRAMADA","",_xlfn.TEXTJOIN(", ",TRUE,_xlfn._xlws.FILTER(Tabla4[[#All],[PIEZA]],ISNUMBER(SEARCH(Tabla4[[#All],[PCLAVE]],Tabla8[[#This Row],[DESCRIPCION DE TRABAJO]])),""))),"")</f>
        <v/>
      </c>
      <c r="O1906" s="35" t="str" cm="1">
        <f t="array" ref="O1906">_xlfn.TEXTJOIN(", ",TRUE,_xlfn._xlws.FILTER(Tabla28[[#All],[PARTE]],ISNUMBER(SEARCH(Tabla28[[#All],[PCLAVE2]],Tabla8[[#This Row],[DESCRIPCION DE TRABAJO]])),""))</f>
        <v/>
      </c>
      <c r="P1906" s="633" t="str">
        <f>IFERROR(LEFT(O1906, FIND(",", O1906)-1), O1906)</f>
        <v/>
      </c>
      <c r="Q1906" s="633" t="str">
        <f>IFERROR(IF(ISERROR(FIND(",", O1906, FIND(",", O1906)+1)), RIGHT(O1906, LEN(O1906)-FIND(",", O1906)-1), MID(O1906, FIND(",", O1906)+2, FIND(",", O1906, FIND(",", O1906)+1)-FIND(",", O1906)-2)), "")</f>
        <v/>
      </c>
      <c r="R1906" s="633" t="str">
        <f>IFERROR(RIGHT(O1906, LEN(O1906)-FIND(",", O1906, FIND(",", O1906)+1)-1), "")</f>
        <v/>
      </c>
      <c r="S1906" s="35" t="str" cm="1">
        <f t="array" ref="S1906">_xlfn.TEXTJOIN(", ",TRUE,_xlfn._xlws.FILTER(Tabla29[[#All],[PARTE]],ISNUMBER(SEARCH(Tabla29[[#All],[PCLAVE3]],Tabla8[[#This Row],[DESCRIPCION DE TRABAJO]])),""))</f>
        <v>Dañado</v>
      </c>
      <c r="T1906" s="88" t="str">
        <f>IF(AND(Tabla8[[#This Row],[PIEZA]]="",Tabla8[[#This Row],[PARTE]]=""),"VACIO","OK")</f>
        <v>VACIO</v>
      </c>
      <c r="U1906" s="633" t="str">
        <f>+CONCATENATE(WEEKNUM(Tabla8[[#This Row],[FECHA]]),"-",YEAR(Tabla8[[#This Row],[FECHA]]))</f>
        <v>26-2026</v>
      </c>
    </row>
    <row r="1907" spans="1:21" ht="15" customHeight="1">
      <c r="A1907" s="22">
        <v>46196</v>
      </c>
      <c r="B1907" s="16" t="s">
        <v>191</v>
      </c>
      <c r="C1907" s="16" t="s">
        <v>23</v>
      </c>
      <c r="D1907" s="381" t="s">
        <v>138</v>
      </c>
      <c r="E1907" s="381" t="s">
        <v>1256</v>
      </c>
      <c r="F1907" s="632">
        <f>+MOD(Tabla8[[#This Row],[HR. FIN]]-Tabla8[[#This Row],[HR. INICIO]],1)</f>
        <v>1.3194444444444509E-2</v>
      </c>
      <c r="G1907" s="16" t="s">
        <v>119</v>
      </c>
      <c r="H1907" s="79" t="str">
        <f>IFERROR(VLOOKUP(G1907,DATOS!$M$2:$N$219,2,FALSE),"")</f>
        <v>Maquinaria</v>
      </c>
      <c r="I1907" s="115" t="s">
        <v>32</v>
      </c>
      <c r="J1907" s="115" t="s">
        <v>157</v>
      </c>
      <c r="K1907" s="115"/>
      <c r="L1907" s="35" t="s">
        <v>3348</v>
      </c>
      <c r="M1907" s="35" t="s">
        <v>121</v>
      </c>
      <c r="N1907" s="35" t="str" cm="1">
        <f t="array" ref="N1907">IFERROR(IF(Tabla8[[#This Row],[P/NP]]="NO PROGRAMADA","",_xlfn.TEXTJOIN(", ",TRUE,_xlfn._xlws.FILTER(Tabla4[[#All],[PIEZA]],ISNUMBER(SEARCH(Tabla4[[#All],[PCLAVE]],Tabla8[[#This Row],[DESCRIPCION DE TRABAJO]])),""))),"")</f>
        <v/>
      </c>
      <c r="O1907" s="35" t="str" cm="1">
        <f t="array" ref="O1907">_xlfn.TEXTJOIN(", ",TRUE,_xlfn._xlws.FILTER(Tabla28[[#All],[PARTE]],ISNUMBER(SEARCH(Tabla28[[#All],[PCLAVE2]],Tabla8[[#This Row],[DESCRIPCION DE TRABAJO]])),""))</f>
        <v>Mds</v>
      </c>
      <c r="P1907" s="633" t="str">
        <f>IFERROR(LEFT(O1907, FIND(",", O1907)-1), O1907)</f>
        <v>Mds</v>
      </c>
      <c r="Q1907" s="633" t="str">
        <f>IFERROR(IF(ISERROR(FIND(",", O1907, FIND(",", O1907)+1)), RIGHT(O1907, LEN(O1907)-FIND(",", O1907)-1), MID(O1907, FIND(",", O1907)+2, FIND(",", O1907, FIND(",", O1907)+1)-FIND(",", O1907)-2)), "")</f>
        <v/>
      </c>
      <c r="R1907" s="633" t="str">
        <f>IFERROR(RIGHT(O1907, LEN(O1907)-FIND(",", O1907, FIND(",", O1907)+1)-1), "")</f>
        <v/>
      </c>
      <c r="S1907" s="35" t="str" cm="1">
        <f t="array" ref="S1907">_xlfn.TEXTJOIN(", ",TRUE,_xlfn._xlws.FILTER(Tabla29[[#All],[PARTE]],ISNUMBER(SEARCH(Tabla29[[#All],[PCLAVE3]],Tabla8[[#This Row],[DESCRIPCION DE TRABAJO]])),""))</f>
        <v>Cambio De Formato</v>
      </c>
      <c r="T1907" s="88" t="str">
        <f>IF(AND(Tabla8[[#This Row],[PIEZA]]="",Tabla8[[#This Row],[PARTE]]=""),"VACIO","OK")</f>
        <v>OK</v>
      </c>
      <c r="U1907" s="633" t="str">
        <f>+CONCATENATE(WEEKNUM(Tabla8[[#This Row],[FECHA]]),"-",YEAR(Tabla8[[#This Row],[FECHA]]))</f>
        <v>26-2026</v>
      </c>
    </row>
    <row r="1908" spans="1:21" ht="15" customHeight="1">
      <c r="A1908" s="22">
        <v>46196</v>
      </c>
      <c r="B1908" s="16" t="s">
        <v>131</v>
      </c>
      <c r="C1908" s="16" t="s">
        <v>36</v>
      </c>
      <c r="D1908" s="381" t="s">
        <v>1246</v>
      </c>
      <c r="E1908" s="381" t="s">
        <v>3349</v>
      </c>
      <c r="F1908" s="632">
        <f>+MOD(Tabla8[[#This Row],[HR. FIN]]-Tabla8[[#This Row],[HR. INICIO]],1)</f>
        <v>1.3194444444444425E-2</v>
      </c>
      <c r="G1908" s="16" t="s">
        <v>2256</v>
      </c>
      <c r="H1908" s="79" t="str">
        <f>IFERROR(VLOOKUP(G1908,DATOS!$M$2:$N$219,2,FALSE),"")</f>
        <v>Maquinaria</v>
      </c>
      <c r="I1908" s="115" t="s">
        <v>186</v>
      </c>
      <c r="J1908" s="115" t="s">
        <v>92</v>
      </c>
      <c r="K1908" s="115" t="s">
        <v>148</v>
      </c>
      <c r="L1908" s="35" t="s">
        <v>3350</v>
      </c>
      <c r="M1908" s="35" t="s">
        <v>3351</v>
      </c>
      <c r="N1908" s="35" t="str" cm="1">
        <f t="array" ref="N1908">IFERROR(IF(Tabla8[[#This Row],[P/NP]]="NO PROGRAMADA","",_xlfn.TEXTJOIN(", ",TRUE,_xlfn._xlws.FILTER(Tabla4[[#All],[PIEZA]],ISNUMBER(SEARCH(Tabla4[[#All],[PCLAVE]],Tabla8[[#This Row],[DESCRIPCION DE TRABAJO]])),""))),"")</f>
        <v/>
      </c>
      <c r="O1908" s="35" t="str" cm="1">
        <f t="array" ref="O1908">_xlfn.TEXTJOIN(", ",TRUE,_xlfn._xlws.FILTER(Tabla28[[#All],[PARTE]],ISNUMBER(SEARCH(Tabla28[[#All],[PCLAVE2]],Tabla8[[#This Row],[DESCRIPCION DE TRABAJO]])),""))</f>
        <v/>
      </c>
      <c r="P1908" s="633" t="str">
        <f>IFERROR(LEFT(O1908, FIND(",", O1908)-1), O1908)</f>
        <v/>
      </c>
      <c r="Q1908" s="633" t="str">
        <f>IFERROR(IF(ISERROR(FIND(",", O1908, FIND(",", O1908)+1)), RIGHT(O1908, LEN(O1908)-FIND(",", O1908)-1), MID(O1908, FIND(",", O1908)+2, FIND(",", O1908, FIND(",", O1908)+1)-FIND(",", O1908)-2)), "")</f>
        <v/>
      </c>
      <c r="R1908" s="633" t="str">
        <f>IFERROR(RIGHT(O1908, LEN(O1908)-FIND(",", O1908, FIND(",", O1908)+1)-1), "")</f>
        <v/>
      </c>
      <c r="S1908" s="35" t="str" cm="1">
        <f t="array" ref="S1908">_xlfn.TEXTJOIN(", ",TRUE,_xlfn._xlws.FILTER(Tabla29[[#All],[PARTE]],ISNUMBER(SEARCH(Tabla29[[#All],[PCLAVE3]],Tabla8[[#This Row],[DESCRIPCION DE TRABAJO]])),""))</f>
        <v>Error, Flama, No Enciende</v>
      </c>
      <c r="T1908" s="88" t="str">
        <f>IF(AND(Tabla8[[#This Row],[PIEZA]]="",Tabla8[[#This Row],[PARTE]]=""),"VACIO","OK")</f>
        <v>VACIO</v>
      </c>
      <c r="U1908" s="633" t="str">
        <f>+CONCATENATE(WEEKNUM(Tabla8[[#This Row],[FECHA]]),"-",YEAR(Tabla8[[#This Row],[FECHA]]))</f>
        <v>26-2026</v>
      </c>
    </row>
    <row r="1909" spans="1:21" ht="15" customHeight="1">
      <c r="A1909" s="22">
        <v>46196</v>
      </c>
      <c r="B1909" s="16" t="s">
        <v>191</v>
      </c>
      <c r="C1909" s="16" t="s">
        <v>23</v>
      </c>
      <c r="D1909" s="381" t="s">
        <v>2240</v>
      </c>
      <c r="E1909" s="381" t="s">
        <v>3352</v>
      </c>
      <c r="F1909" s="632">
        <f>+MOD(Tabla8[[#This Row],[HR. FIN]]-Tabla8[[#This Row],[HR. INICIO]],1)</f>
        <v>1.2499999999999956E-2</v>
      </c>
      <c r="G1909" s="16" t="s">
        <v>198</v>
      </c>
      <c r="H1909" s="79" t="str">
        <f>IFERROR(VLOOKUP(G1909,DATOS!$M$2:$N$219,2,FALSE),"")</f>
        <v>Maquinaria</v>
      </c>
      <c r="I1909" s="115" t="s">
        <v>57</v>
      </c>
      <c r="J1909" s="115" t="s">
        <v>92</v>
      </c>
      <c r="K1909" s="115" t="s">
        <v>93</v>
      </c>
      <c r="L1909" s="35" t="s">
        <v>3353</v>
      </c>
      <c r="M1909" s="35" t="s">
        <v>3354</v>
      </c>
      <c r="N1909" s="35" t="str" cm="1">
        <f t="array" ref="N1909">IFERROR(IF(Tabla8[[#This Row],[P/NP]]="NO PROGRAMADA","",_xlfn.TEXTJOIN(", ",TRUE,_xlfn._xlws.FILTER(Tabla4[[#All],[PIEZA]],ISNUMBER(SEARCH(Tabla4[[#All],[PCLAVE]],Tabla8[[#This Row],[DESCRIPCION DE TRABAJO]])),""))),"")</f>
        <v/>
      </c>
      <c r="O1909" s="35" t="str" cm="1">
        <f t="array" ref="O1909">_xlfn.TEXTJOIN(", ",TRUE,_xlfn._xlws.FILTER(Tabla28[[#All],[PARTE]],ISNUMBER(SEARCH(Tabla28[[#All],[PCLAVE2]],Tabla8[[#This Row],[DESCRIPCION DE TRABAJO]])),""))</f>
        <v/>
      </c>
      <c r="P1909" s="633" t="str">
        <f>IFERROR(LEFT(O1909, FIND(",", O1909)-1), O1909)</f>
        <v/>
      </c>
      <c r="Q1909" s="633" t="str">
        <f>IFERROR(IF(ISERROR(FIND(",", O1909, FIND(",", O1909)+1)), RIGHT(O1909, LEN(O1909)-FIND(",", O1909)-1), MID(O1909, FIND(",", O1909)+2, FIND(",", O1909, FIND(",", O1909)+1)-FIND(",", O1909)-2)), "")</f>
        <v/>
      </c>
      <c r="R1909" s="633" t="str">
        <f>IFERROR(RIGHT(O1909, LEN(O1909)-FIND(",", O1909, FIND(",", O1909)+1)-1), "")</f>
        <v/>
      </c>
      <c r="S1909" s="35" t="str" cm="1">
        <f t="array" ref="S1909">_xlfn.TEXTJOIN(", ",TRUE,_xlfn._xlws.FILTER(Tabla29[[#All],[PARTE]],ISNUMBER(SEARCH(Tabla29[[#All],[PCLAVE3]],Tabla8[[#This Row],[DESCRIPCION DE TRABAJO]])),""))</f>
        <v/>
      </c>
      <c r="T1909" s="88" t="str">
        <f>IF(AND(Tabla8[[#This Row],[PIEZA]]="",Tabla8[[#This Row],[PARTE]]=""),"VACIO","OK")</f>
        <v>VACIO</v>
      </c>
      <c r="U1909" s="633" t="str">
        <f>+CONCATENATE(WEEKNUM(Tabla8[[#This Row],[FECHA]]),"-",YEAR(Tabla8[[#This Row],[FECHA]]))</f>
        <v>26-2026</v>
      </c>
    </row>
    <row r="1910" spans="1:21" ht="15" customHeight="1">
      <c r="A1910" s="22">
        <v>46196</v>
      </c>
      <c r="B1910" s="16" t="s">
        <v>179</v>
      </c>
      <c r="C1910" s="16" t="s">
        <v>23</v>
      </c>
      <c r="D1910" s="381" t="s">
        <v>2420</v>
      </c>
      <c r="E1910" s="381" t="s">
        <v>653</v>
      </c>
      <c r="F1910" s="632">
        <f>+MOD(Tabla8[[#This Row],[HR. FIN]]-Tabla8[[#This Row],[HR. INICIO]],1)</f>
        <v>1.0416666666666741E-2</v>
      </c>
      <c r="G1910" s="16" t="s">
        <v>1550</v>
      </c>
      <c r="H1910" s="79" t="str">
        <f>IFERROR(VLOOKUP(G1910,DATOS!$M$2:$N$219,2,FALSE),"")</f>
        <v>Maquinaria</v>
      </c>
      <c r="I1910" s="115" t="s">
        <v>57</v>
      </c>
      <c r="J1910" s="115" t="s">
        <v>92</v>
      </c>
      <c r="K1910" s="115" t="s">
        <v>148</v>
      </c>
      <c r="L1910" s="35" t="s">
        <v>3355</v>
      </c>
      <c r="M1910" s="35" t="s">
        <v>3356</v>
      </c>
      <c r="N1910" s="35" t="str" cm="1">
        <f t="array" ref="N1910">IFERROR(IF(Tabla8[[#This Row],[P/NP]]="NO PROGRAMADA","",_xlfn.TEXTJOIN(", ",TRUE,_xlfn._xlws.FILTER(Tabla4[[#All],[PIEZA]],ISNUMBER(SEARCH(Tabla4[[#All],[PCLAVE]],Tabla8[[#This Row],[DESCRIPCION DE TRABAJO]])),""))),"")</f>
        <v/>
      </c>
      <c r="O1910" s="35" t="str" cm="1">
        <f t="array" ref="O1910">_xlfn.TEXTJOIN(", ",TRUE,_xlfn._xlws.FILTER(Tabla28[[#All],[PARTE]],ISNUMBER(SEARCH(Tabla28[[#All],[PCLAVE2]],Tabla8[[#This Row],[DESCRIPCION DE TRABAJO]])),""))</f>
        <v/>
      </c>
      <c r="P1910" s="633" t="str">
        <f>IFERROR(LEFT(O1910, FIND(",", O1910)-1), O1910)</f>
        <v/>
      </c>
      <c r="Q1910" s="633" t="str">
        <f>IFERROR(IF(ISERROR(FIND(",", O1910, FIND(",", O1910)+1)), RIGHT(O1910, LEN(O1910)-FIND(",", O1910)-1), MID(O1910, FIND(",", O1910)+2, FIND(",", O1910, FIND(",", O1910)+1)-FIND(",", O1910)-2)), "")</f>
        <v/>
      </c>
      <c r="R1910" s="633" t="str">
        <f>IFERROR(RIGHT(O1910, LEN(O1910)-FIND(",", O1910, FIND(",", O1910)+1)-1), "")</f>
        <v/>
      </c>
      <c r="S1910" s="35" t="str" cm="1">
        <f t="array" ref="S1910">_xlfn.TEXTJOIN(", ",TRUE,_xlfn._xlws.FILTER(Tabla29[[#All],[PARTE]],ISNUMBER(SEARCH(Tabla29[[#All],[PCLAVE3]],Tabla8[[#This Row],[DESCRIPCION DE TRABAJO]])),""))</f>
        <v>Desalineado</v>
      </c>
      <c r="T1910" s="88" t="str">
        <f>IF(AND(Tabla8[[#This Row],[PIEZA]]="",Tabla8[[#This Row],[PARTE]]=""),"VACIO","OK")</f>
        <v>VACIO</v>
      </c>
      <c r="U1910" s="633" t="str">
        <f>+CONCATENATE(WEEKNUM(Tabla8[[#This Row],[FECHA]]),"-",YEAR(Tabla8[[#This Row],[FECHA]]))</f>
        <v>26-2026</v>
      </c>
    </row>
    <row r="1911" spans="1:21" ht="15" customHeight="1">
      <c r="A1911" s="22">
        <v>46196</v>
      </c>
      <c r="B1911" s="16" t="s">
        <v>131</v>
      </c>
      <c r="C1911" s="16" t="s">
        <v>36</v>
      </c>
      <c r="D1911" s="381" t="s">
        <v>491</v>
      </c>
      <c r="E1911" s="381" t="s">
        <v>3357</v>
      </c>
      <c r="F1911" s="632">
        <f>+MOD(Tabla8[[#This Row],[HR. FIN]]-Tabla8[[#This Row],[HR. INICIO]],1)</f>
        <v>1.0416666666666741E-2</v>
      </c>
      <c r="G1911" s="16" t="s">
        <v>236</v>
      </c>
      <c r="H1911" s="79" t="str">
        <f>IFERROR(VLOOKUP(G1911,DATOS!$M$2:$N$219,2,FALSE),"")</f>
        <v>Sistema</v>
      </c>
      <c r="I1911" s="115" t="s">
        <v>186</v>
      </c>
      <c r="J1911" s="115" t="s">
        <v>92</v>
      </c>
      <c r="K1911" s="115" t="s">
        <v>93</v>
      </c>
      <c r="L1911" s="35" t="s">
        <v>3358</v>
      </c>
      <c r="M1911" s="35" t="s">
        <v>3359</v>
      </c>
      <c r="N1911" s="35" t="str" cm="1">
        <f t="array" ref="N1911">IFERROR(IF(Tabla8[[#This Row],[P/NP]]="NO PROGRAMADA","",_xlfn.TEXTJOIN(", ",TRUE,_xlfn._xlws.FILTER(Tabla4[[#All],[PIEZA]],ISNUMBER(SEARCH(Tabla4[[#All],[PCLAVE]],Tabla8[[#This Row],[DESCRIPCION DE TRABAJO]])),""))),"")</f>
        <v/>
      </c>
      <c r="O1911" s="35" t="str" cm="1">
        <f t="array" ref="O1911">_xlfn.TEXTJOIN(", ",TRUE,_xlfn._xlws.FILTER(Tabla28[[#All],[PARTE]],ISNUMBER(SEARCH(Tabla28[[#All],[PCLAVE2]],Tabla8[[#This Row],[DESCRIPCION DE TRABAJO]])),""))</f>
        <v/>
      </c>
      <c r="P1911" s="633" t="str">
        <f>IFERROR(LEFT(O1911, FIND(",", O1911)-1), O1911)</f>
        <v/>
      </c>
      <c r="Q1911" s="633" t="str">
        <f>IFERROR(IF(ISERROR(FIND(",", O1911, FIND(",", O1911)+1)), RIGHT(O1911, LEN(O1911)-FIND(",", O1911)-1), MID(O1911, FIND(",", O1911)+2, FIND(",", O1911, FIND(",", O1911)+1)-FIND(",", O1911)-2)), "")</f>
        <v/>
      </c>
      <c r="R1911" s="633" t="str">
        <f>IFERROR(RIGHT(O1911, LEN(O1911)-FIND(",", O1911, FIND(",", O1911)+1)-1), "")</f>
        <v/>
      </c>
      <c r="S1911" s="35" t="str" cm="1">
        <f t="array" ref="S1911">_xlfn.TEXTJOIN(", ",TRUE,_xlfn._xlws.FILTER(Tabla29[[#All],[PARTE]],ISNUMBER(SEARCH(Tabla29[[#All],[PCLAVE3]],Tabla8[[#This Row],[DESCRIPCION DE TRABAJO]])),""))</f>
        <v>Falla De Presion</v>
      </c>
      <c r="T1911" s="88" t="str">
        <f>IF(AND(Tabla8[[#This Row],[PIEZA]]="",Tabla8[[#This Row],[PARTE]]=""),"VACIO","OK")</f>
        <v>VACIO</v>
      </c>
      <c r="U1911" s="633" t="str">
        <f>+CONCATENATE(WEEKNUM(Tabla8[[#This Row],[FECHA]]),"-",YEAR(Tabla8[[#This Row],[FECHA]]))</f>
        <v>26-2026</v>
      </c>
    </row>
    <row r="1912" spans="1:21" ht="15" customHeight="1">
      <c r="A1912" s="22">
        <v>46196</v>
      </c>
      <c r="B1912" s="16" t="s">
        <v>111</v>
      </c>
      <c r="C1912" s="16" t="s">
        <v>39</v>
      </c>
      <c r="D1912" s="381" t="s">
        <v>319</v>
      </c>
      <c r="E1912" s="381" t="s">
        <v>3360</v>
      </c>
      <c r="F1912" s="632">
        <f>+MOD(Tabla8[[#This Row],[HR. FIN]]-Tabla8[[#This Row],[HR. INICIO]],1)</f>
        <v>1.0416666666666657E-2</v>
      </c>
      <c r="G1912" s="16" t="s">
        <v>119</v>
      </c>
      <c r="H1912" s="79" t="str">
        <f>IFERROR(VLOOKUP(G1912,DATOS!$M$2:$N$219,2,FALSE),"")</f>
        <v>Maquinaria</v>
      </c>
      <c r="I1912" s="115" t="s">
        <v>54</v>
      </c>
      <c r="J1912" s="115" t="s">
        <v>157</v>
      </c>
      <c r="K1912" s="115"/>
      <c r="L1912" s="35" t="s">
        <v>225</v>
      </c>
      <c r="M1912" s="35" t="s">
        <v>121</v>
      </c>
      <c r="N1912" s="35" t="str" cm="1">
        <f t="array" ref="N1912">IFERROR(IF(Tabla8[[#This Row],[P/NP]]="NO PROGRAMADA","",_xlfn.TEXTJOIN(", ",TRUE,_xlfn._xlws.FILTER(Tabla4[[#All],[PIEZA]],ISNUMBER(SEARCH(Tabla4[[#All],[PCLAVE]],Tabla8[[#This Row],[DESCRIPCION DE TRABAJO]])),""))),"")</f>
        <v/>
      </c>
      <c r="O1912" s="35" t="str" cm="1">
        <f t="array" ref="O1912">_xlfn.TEXTJOIN(", ",TRUE,_xlfn._xlws.FILTER(Tabla28[[#All],[PARTE]],ISNUMBER(SEARCH(Tabla28[[#All],[PCLAVE2]],Tabla8[[#This Row],[DESCRIPCION DE TRABAJO]])),""))</f>
        <v/>
      </c>
      <c r="P1912" s="633" t="str">
        <f>IFERROR(LEFT(O1912, FIND(",", O1912)-1), O1912)</f>
        <v/>
      </c>
      <c r="Q1912" s="633" t="str">
        <f>IFERROR(IF(ISERROR(FIND(",", O1912, FIND(",", O1912)+1)), RIGHT(O1912, LEN(O1912)-FIND(",", O1912)-1), MID(O1912, FIND(",", O1912)+2, FIND(",", O1912, FIND(",", O1912)+1)-FIND(",", O1912)-2)), "")</f>
        <v/>
      </c>
      <c r="R1912" s="633" t="str">
        <f>IFERROR(RIGHT(O1912, LEN(O1912)-FIND(",", O1912, FIND(",", O1912)+1)-1), "")</f>
        <v/>
      </c>
      <c r="S1912" s="35" t="str" cm="1">
        <f t="array" ref="S1912">_xlfn.TEXTJOIN(", ",TRUE,_xlfn._xlws.FILTER(Tabla29[[#All],[PARTE]],ISNUMBER(SEARCH(Tabla29[[#All],[PCLAVE3]],Tabla8[[#This Row],[DESCRIPCION DE TRABAJO]])),""))</f>
        <v/>
      </c>
      <c r="T1912" s="88" t="str">
        <f>IF(AND(Tabla8[[#This Row],[PIEZA]]="",Tabla8[[#This Row],[PARTE]]=""),"VACIO","OK")</f>
        <v>VACIO</v>
      </c>
      <c r="U1912" s="633" t="str">
        <f>+CONCATENATE(WEEKNUM(Tabla8[[#This Row],[FECHA]]),"-",YEAR(Tabla8[[#This Row],[FECHA]]))</f>
        <v>26-2026</v>
      </c>
    </row>
    <row r="1913" spans="1:21" ht="15" customHeight="1">
      <c r="A1913" s="22">
        <v>46196</v>
      </c>
      <c r="B1913" s="16" t="s">
        <v>111</v>
      </c>
      <c r="C1913" s="16" t="s">
        <v>39</v>
      </c>
      <c r="D1913" s="381" t="s">
        <v>498</v>
      </c>
      <c r="E1913" s="381" t="s">
        <v>660</v>
      </c>
      <c r="F1913" s="632">
        <f>+MOD(Tabla8[[#This Row],[HR. FIN]]-Tabla8[[#This Row],[HR. INICIO]],1)</f>
        <v>1.041666666666663E-2</v>
      </c>
      <c r="G1913" s="16" t="s">
        <v>3361</v>
      </c>
      <c r="H1913" s="79" t="str">
        <f>IFERROR(VLOOKUP(G1913,DATOS!$M$2:$N$219,2,FALSE),"")</f>
        <v>Maquinaria</v>
      </c>
      <c r="I1913" s="115" t="s">
        <v>28</v>
      </c>
      <c r="J1913" s="115" t="s">
        <v>92</v>
      </c>
      <c r="K1913" s="115" t="s">
        <v>148</v>
      </c>
      <c r="L1913" s="35" t="s">
        <v>3362</v>
      </c>
      <c r="M1913" s="35" t="s">
        <v>3363</v>
      </c>
      <c r="N1913" s="35" t="str" cm="1">
        <f t="array" ref="N1913">IFERROR(IF(Tabla8[[#This Row],[P/NP]]="NO PROGRAMADA","",_xlfn.TEXTJOIN(", ",TRUE,_xlfn._xlws.FILTER(Tabla4[[#All],[PIEZA]],ISNUMBER(SEARCH(Tabla4[[#All],[PCLAVE]],Tabla8[[#This Row],[DESCRIPCION DE TRABAJO]])),""))),"")</f>
        <v/>
      </c>
      <c r="O1913" s="35" t="str" cm="1">
        <f t="array" ref="O1913">_xlfn.TEXTJOIN(", ",TRUE,_xlfn._xlws.FILTER(Tabla28[[#All],[PARTE]],ISNUMBER(SEARCH(Tabla28[[#All],[PCLAVE2]],Tabla8[[#This Row],[DESCRIPCION DE TRABAJO]])),""))</f>
        <v/>
      </c>
      <c r="P1913" s="633" t="str">
        <f>IFERROR(LEFT(O1913, FIND(",", O1913)-1), O1913)</f>
        <v/>
      </c>
      <c r="Q1913" s="633" t="str">
        <f>IFERROR(IF(ISERROR(FIND(",", O1913, FIND(",", O1913)+1)), RIGHT(O1913, LEN(O1913)-FIND(",", O1913)-1), MID(O1913, FIND(",", O1913)+2, FIND(",", O1913, FIND(",", O1913)+1)-FIND(",", O1913)-2)), "")</f>
        <v/>
      </c>
      <c r="R1913" s="633" t="str">
        <f>IFERROR(RIGHT(O1913, LEN(O1913)-FIND(",", O1913, FIND(",", O1913)+1)-1), "")</f>
        <v/>
      </c>
      <c r="S1913" s="35" t="str" cm="1">
        <f t="array" ref="S1913">_xlfn.TEXTJOIN(", ",TRUE,_xlfn._xlws.FILTER(Tabla29[[#All],[PARTE]],ISNUMBER(SEARCH(Tabla29[[#All],[PCLAVE3]],Tabla8[[#This Row],[DESCRIPCION DE TRABAJO]])),""))</f>
        <v/>
      </c>
      <c r="T1913" s="88" t="str">
        <f>IF(AND(Tabla8[[#This Row],[PIEZA]]="",Tabla8[[#This Row],[PARTE]]=""),"VACIO","OK")</f>
        <v>VACIO</v>
      </c>
      <c r="U1913" s="633" t="str">
        <f>+CONCATENATE(WEEKNUM(Tabla8[[#This Row],[FECHA]]),"-",YEAR(Tabla8[[#This Row],[FECHA]]))</f>
        <v>26-2026</v>
      </c>
    </row>
    <row r="1914" spans="1:21" ht="15" customHeight="1">
      <c r="A1914" s="22">
        <v>46196</v>
      </c>
      <c r="B1914" s="16" t="s">
        <v>88</v>
      </c>
      <c r="C1914" s="16" t="s">
        <v>36</v>
      </c>
      <c r="D1914" s="381" t="s">
        <v>176</v>
      </c>
      <c r="E1914" s="381" t="s">
        <v>127</v>
      </c>
      <c r="F1914" s="632">
        <f>+MOD(Tabla8[[#This Row],[HR. FIN]]-Tabla8[[#This Row],[HR. INICIO]],1)</f>
        <v>1.041666666666663E-2</v>
      </c>
      <c r="G1914" s="16" t="s">
        <v>2256</v>
      </c>
      <c r="H1914" s="79" t="str">
        <f>IFERROR(VLOOKUP(G1914,DATOS!$M$2:$N$219,2,FALSE),"")</f>
        <v>Maquinaria</v>
      </c>
      <c r="I1914" s="115" t="s">
        <v>54</v>
      </c>
      <c r="J1914" s="115" t="s">
        <v>157</v>
      </c>
      <c r="K1914" s="115"/>
      <c r="L1914" s="35" t="s">
        <v>1040</v>
      </c>
      <c r="M1914" s="35" t="s">
        <v>214</v>
      </c>
      <c r="N1914" s="35" t="str" cm="1">
        <f t="array" ref="N1914">IFERROR(IF(Tabla8[[#This Row],[P/NP]]="NO PROGRAMADA","",_xlfn.TEXTJOIN(", ",TRUE,_xlfn._xlws.FILTER(Tabla4[[#All],[PIEZA]],ISNUMBER(SEARCH(Tabla4[[#All],[PCLAVE]],Tabla8[[#This Row],[DESCRIPCION DE TRABAJO]])),""))),"")</f>
        <v/>
      </c>
      <c r="O1914" s="35" t="str" cm="1">
        <f t="array" ref="O1914">_xlfn.TEXTJOIN(", ",TRUE,_xlfn._xlws.FILTER(Tabla28[[#All],[PARTE]],ISNUMBER(SEARCH(Tabla28[[#All],[PCLAVE2]],Tabla8[[#This Row],[DESCRIPCION DE TRABAJO]])),""))</f>
        <v/>
      </c>
      <c r="P1914" s="633" t="str">
        <f>IFERROR(LEFT(O1914, FIND(",", O1914)-1), O1914)</f>
        <v/>
      </c>
      <c r="Q1914" s="633" t="str">
        <f>IFERROR(IF(ISERROR(FIND(",", O1914, FIND(",", O1914)+1)), RIGHT(O1914, LEN(O1914)-FIND(",", O1914)-1), MID(O1914, FIND(",", O1914)+2, FIND(",", O1914, FIND(",", O1914)+1)-FIND(",", O1914)-2)), "")</f>
        <v/>
      </c>
      <c r="R1914" s="633" t="str">
        <f>IFERROR(RIGHT(O1914, LEN(O1914)-FIND(",", O1914, FIND(",", O1914)+1)-1), "")</f>
        <v/>
      </c>
      <c r="S1914" s="35" t="str" cm="1">
        <f t="array" ref="S1914">_xlfn.TEXTJOIN(", ",TRUE,_xlfn._xlws.FILTER(Tabla29[[#All],[PARTE]],ISNUMBER(SEARCH(Tabla29[[#All],[PCLAVE3]],Tabla8[[#This Row],[DESCRIPCION DE TRABAJO]])),""))</f>
        <v/>
      </c>
      <c r="T1914" s="88" t="str">
        <f>IF(AND(Tabla8[[#This Row],[PIEZA]]="",Tabla8[[#This Row],[PARTE]]=""),"VACIO","OK")</f>
        <v>VACIO</v>
      </c>
      <c r="U1914" s="633" t="str">
        <f>+CONCATENATE(WEEKNUM(Tabla8[[#This Row],[FECHA]]),"-",YEAR(Tabla8[[#This Row],[FECHA]]))</f>
        <v>26-2026</v>
      </c>
    </row>
    <row r="1915" spans="1:21" ht="15" customHeight="1">
      <c r="A1915" s="22">
        <v>46196</v>
      </c>
      <c r="B1915" s="16" t="s">
        <v>131</v>
      </c>
      <c r="C1915" s="16" t="s">
        <v>36</v>
      </c>
      <c r="D1915" s="381" t="s">
        <v>699</v>
      </c>
      <c r="E1915" s="381" t="s">
        <v>122</v>
      </c>
      <c r="F1915" s="632">
        <f>+MOD(Tabla8[[#This Row],[HR. FIN]]-Tabla8[[#This Row],[HR. INICIO]],1)</f>
        <v>1.041666666666663E-2</v>
      </c>
      <c r="G1915" s="16" t="s">
        <v>153</v>
      </c>
      <c r="H1915" s="79" t="str">
        <f>IFERROR(VLOOKUP(G1915,DATOS!$M$2:$N$219,2,FALSE),"")</f>
        <v>Maquinaria</v>
      </c>
      <c r="I1915" s="115" t="s">
        <v>57</v>
      </c>
      <c r="J1915" s="115" t="s">
        <v>92</v>
      </c>
      <c r="K1915" s="115" t="s">
        <v>93</v>
      </c>
      <c r="L1915" s="35" t="s">
        <v>3364</v>
      </c>
      <c r="M1915" s="35" t="s">
        <v>3365</v>
      </c>
      <c r="N1915" s="35" t="str" cm="1">
        <f t="array" ref="N1915">IFERROR(IF(Tabla8[[#This Row],[P/NP]]="NO PROGRAMADA","",_xlfn.TEXTJOIN(", ",TRUE,_xlfn._xlws.FILTER(Tabla4[[#All],[PIEZA]],ISNUMBER(SEARCH(Tabla4[[#All],[PCLAVE]],Tabla8[[#This Row],[DESCRIPCION DE TRABAJO]])),""))),"")</f>
        <v/>
      </c>
      <c r="O1915" s="35" t="str" cm="1">
        <f t="array" ref="O1915">_xlfn.TEXTJOIN(", ",TRUE,_xlfn._xlws.FILTER(Tabla28[[#All],[PARTE]],ISNUMBER(SEARCH(Tabla28[[#All],[PCLAVE2]],Tabla8[[#This Row],[DESCRIPCION DE TRABAJO]])),""))</f>
        <v>Contraelevador</v>
      </c>
      <c r="P1915" s="633" t="str">
        <f>IFERROR(LEFT(O1915, FIND(",", O1915)-1), O1915)</f>
        <v>Contraelevador</v>
      </c>
      <c r="Q1915" s="633" t="str">
        <f>IFERROR(IF(ISERROR(FIND(",", O1915, FIND(",", O1915)+1)), RIGHT(O1915, LEN(O1915)-FIND(",", O1915)-1), MID(O1915, FIND(",", O1915)+2, FIND(",", O1915, FIND(",", O1915)+1)-FIND(",", O1915)-2)), "")</f>
        <v/>
      </c>
      <c r="R1915" s="633" t="str">
        <f>IFERROR(RIGHT(O1915, LEN(O1915)-FIND(",", O1915, FIND(",", O1915)+1)-1), "")</f>
        <v/>
      </c>
      <c r="S1915" s="35" t="str" cm="1">
        <f t="array" ref="S1915">_xlfn.TEXTJOIN(", ",TRUE,_xlfn._xlws.FILTER(Tabla29[[#All],[PARTE]],ISNUMBER(SEARCH(Tabla29[[#All],[PCLAVE3]],Tabla8[[#This Row],[DESCRIPCION DE TRABAJO]])),""))</f>
        <v>Desalineado</v>
      </c>
      <c r="T1915" s="88" t="str">
        <f>IF(AND(Tabla8[[#This Row],[PIEZA]]="",Tabla8[[#This Row],[PARTE]]=""),"VACIO","OK")</f>
        <v>OK</v>
      </c>
      <c r="U1915" s="633" t="str">
        <f>+CONCATENATE(WEEKNUM(Tabla8[[#This Row],[FECHA]]),"-",YEAR(Tabla8[[#This Row],[FECHA]]))</f>
        <v>26-2026</v>
      </c>
    </row>
    <row r="1916" spans="1:21" ht="15" customHeight="1">
      <c r="A1916" s="22">
        <v>46196</v>
      </c>
      <c r="B1916" s="16" t="s">
        <v>191</v>
      </c>
      <c r="C1916" s="16" t="s">
        <v>23</v>
      </c>
      <c r="D1916" s="381" t="s">
        <v>300</v>
      </c>
      <c r="E1916" s="381" t="s">
        <v>1950</v>
      </c>
      <c r="F1916" s="632">
        <f>+MOD(Tabla8[[#This Row],[HR. FIN]]-Tabla8[[#This Row],[HR. INICIO]],1)</f>
        <v>9.7222222222221877E-3</v>
      </c>
      <c r="G1916" s="16" t="s">
        <v>215</v>
      </c>
      <c r="H1916" s="79" t="str">
        <f>IFERROR(VLOOKUP(G1916,DATOS!$M$2:$N$219,2,FALSE),"")</f>
        <v>Equipos auxiliares</v>
      </c>
      <c r="I1916" s="115" t="s">
        <v>54</v>
      </c>
      <c r="J1916" s="115" t="s">
        <v>157</v>
      </c>
      <c r="K1916" s="115"/>
      <c r="L1916" s="35" t="s">
        <v>248</v>
      </c>
      <c r="M1916" s="35" t="s">
        <v>121</v>
      </c>
      <c r="N1916" s="35" t="str" cm="1">
        <f t="array" ref="N1916">IFERROR(IF(Tabla8[[#This Row],[P/NP]]="NO PROGRAMADA","",_xlfn.TEXTJOIN(", ",TRUE,_xlfn._xlws.FILTER(Tabla4[[#All],[PIEZA]],ISNUMBER(SEARCH(Tabla4[[#All],[PCLAVE]],Tabla8[[#This Row],[DESCRIPCION DE TRABAJO]])),""))),"")</f>
        <v/>
      </c>
      <c r="O1916" s="35" t="str" cm="1">
        <f t="array" ref="O1916">_xlfn.TEXTJOIN(", ",TRUE,_xlfn._xlws.FILTER(Tabla28[[#All],[PARTE]],ISNUMBER(SEARCH(Tabla28[[#All],[PCLAVE2]],Tabla8[[#This Row],[DESCRIPCION DE TRABAJO]])),""))</f>
        <v/>
      </c>
      <c r="P1916" s="633" t="str">
        <f>IFERROR(LEFT(O1916, FIND(",", O1916)-1), O1916)</f>
        <v/>
      </c>
      <c r="Q1916" s="633" t="str">
        <f>IFERROR(IF(ISERROR(FIND(",", O1916, FIND(",", O1916)+1)), RIGHT(O1916, LEN(O1916)-FIND(",", O1916)-1), MID(O1916, FIND(",", O1916)+2, FIND(",", O1916, FIND(",", O1916)+1)-FIND(",", O1916)-2)), "")</f>
        <v/>
      </c>
      <c r="R1916" s="633" t="str">
        <f>IFERROR(RIGHT(O1916, LEN(O1916)-FIND(",", O1916, FIND(",", O1916)+1)-1), "")</f>
        <v/>
      </c>
      <c r="S1916" s="35" t="str" cm="1">
        <f t="array" ref="S1916">_xlfn.TEXTJOIN(", ",TRUE,_xlfn._xlws.FILTER(Tabla29[[#All],[PARTE]],ISNUMBER(SEARCH(Tabla29[[#All],[PCLAVE3]],Tabla8[[#This Row],[DESCRIPCION DE TRABAJO]])),""))</f>
        <v/>
      </c>
      <c r="T1916" s="88" t="str">
        <f>IF(AND(Tabla8[[#This Row],[PIEZA]]="",Tabla8[[#This Row],[PARTE]]=""),"VACIO","OK")</f>
        <v>VACIO</v>
      </c>
      <c r="U1916" s="633" t="str">
        <f>+CONCATENATE(WEEKNUM(Tabla8[[#This Row],[FECHA]]),"-",YEAR(Tabla8[[#This Row],[FECHA]]))</f>
        <v>26-2026</v>
      </c>
    </row>
    <row r="1917" spans="1:21" ht="15" customHeight="1">
      <c r="A1917" s="22">
        <v>46196</v>
      </c>
      <c r="B1917" s="16" t="s">
        <v>191</v>
      </c>
      <c r="C1917" s="16" t="s">
        <v>23</v>
      </c>
      <c r="D1917" s="381" t="s">
        <v>2416</v>
      </c>
      <c r="E1917" s="381" t="s">
        <v>1861</v>
      </c>
      <c r="F1917" s="632">
        <f>+MOD(Tabla8[[#This Row],[HR. FIN]]-Tabla8[[#This Row],[HR. INICIO]],1)</f>
        <v>8.3333333333333037E-3</v>
      </c>
      <c r="G1917" s="16" t="s">
        <v>438</v>
      </c>
      <c r="H1917" s="79" t="str">
        <f>IFERROR(VLOOKUP(G1917,DATOS!$M$2:$N$219,2,FALSE),"")</f>
        <v>Maquinaria</v>
      </c>
      <c r="I1917" s="115" t="s">
        <v>28</v>
      </c>
      <c r="J1917" s="115" t="s">
        <v>92</v>
      </c>
      <c r="K1917" s="115" t="s">
        <v>93</v>
      </c>
      <c r="L1917" s="35" t="s">
        <v>3366</v>
      </c>
      <c r="M1917" s="35" t="s">
        <v>3367</v>
      </c>
      <c r="N1917" s="35" t="str" cm="1">
        <f t="array" ref="N1917">IFERROR(IF(Tabla8[[#This Row],[P/NP]]="NO PROGRAMADA","",_xlfn.TEXTJOIN(", ",TRUE,_xlfn._xlws.FILTER(Tabla4[[#All],[PIEZA]],ISNUMBER(SEARCH(Tabla4[[#All],[PCLAVE]],Tabla8[[#This Row],[DESCRIPCION DE TRABAJO]])),""))),"")</f>
        <v/>
      </c>
      <c r="O1917" s="35" t="str" cm="1">
        <f t="array" ref="O1917">_xlfn.TEXTJOIN(", ",TRUE,_xlfn._xlws.FILTER(Tabla28[[#All],[PARTE]],ISNUMBER(SEARCH(Tabla28[[#All],[PCLAVE2]],Tabla8[[#This Row],[DESCRIPCION DE TRABAJO]])),""))</f>
        <v/>
      </c>
      <c r="P1917" s="633" t="str">
        <f>IFERROR(LEFT(O1917, FIND(",", O1917)-1), O1917)</f>
        <v/>
      </c>
      <c r="Q1917" s="633" t="str">
        <f>IFERROR(IF(ISERROR(FIND(",", O1917, FIND(",", O1917)+1)), RIGHT(O1917, LEN(O1917)-FIND(",", O1917)-1), MID(O1917, FIND(",", O1917)+2, FIND(",", O1917, FIND(",", O1917)+1)-FIND(",", O1917)-2)), "")</f>
        <v/>
      </c>
      <c r="R1917" s="633" t="str">
        <f>IFERROR(RIGHT(O1917, LEN(O1917)-FIND(",", O1917, FIND(",", O1917)+1)-1), "")</f>
        <v/>
      </c>
      <c r="S1917" s="35" t="str" cm="1">
        <f t="array" ref="S1917">_xlfn.TEXTJOIN(", ",TRUE,_xlfn._xlws.FILTER(Tabla29[[#All],[PARTE]],ISNUMBER(SEARCH(Tabla29[[#All],[PCLAVE3]],Tabla8[[#This Row],[DESCRIPCION DE TRABAJO]])),""))</f>
        <v>Rotura</v>
      </c>
      <c r="T1917" s="88" t="str">
        <f>IF(AND(Tabla8[[#This Row],[PIEZA]]="",Tabla8[[#This Row],[PARTE]]=""),"VACIO","OK")</f>
        <v>VACIO</v>
      </c>
      <c r="U1917" s="633" t="str">
        <f>+CONCATENATE(WEEKNUM(Tabla8[[#This Row],[FECHA]]),"-",YEAR(Tabla8[[#This Row],[FECHA]]))</f>
        <v>26-2026</v>
      </c>
    </row>
    <row r="1918" spans="1:21" ht="15" customHeight="1">
      <c r="A1918" s="22">
        <v>46196</v>
      </c>
      <c r="B1918" s="16" t="s">
        <v>131</v>
      </c>
      <c r="C1918" s="16" t="s">
        <v>36</v>
      </c>
      <c r="D1918" s="381" t="s">
        <v>1667</v>
      </c>
      <c r="E1918" s="381" t="s">
        <v>461</v>
      </c>
      <c r="F1918" s="632">
        <f>+MOD(Tabla8[[#This Row],[HR. FIN]]-Tabla8[[#This Row],[HR. INICIO]],1)</f>
        <v>8.3333333333333037E-3</v>
      </c>
      <c r="G1918" s="16" t="s">
        <v>140</v>
      </c>
      <c r="H1918" s="79" t="str">
        <f>IFERROR(VLOOKUP(G1918,DATOS!$M$2:$N$219,2,FALSE),"")</f>
        <v>Maquinaria</v>
      </c>
      <c r="I1918" s="115" t="s">
        <v>57</v>
      </c>
      <c r="J1918" s="115" t="s">
        <v>92</v>
      </c>
      <c r="K1918" s="115" t="s">
        <v>93</v>
      </c>
      <c r="L1918" s="35" t="s">
        <v>3368</v>
      </c>
      <c r="M1918" s="35" t="s">
        <v>3369</v>
      </c>
      <c r="N1918" s="35" t="str" cm="1">
        <f t="array" ref="N1918">IFERROR(IF(Tabla8[[#This Row],[P/NP]]="NO PROGRAMADA","",_xlfn.TEXTJOIN(", ",TRUE,_xlfn._xlws.FILTER(Tabla4[[#All],[PIEZA]],ISNUMBER(SEARCH(Tabla4[[#All],[PCLAVE]],Tabla8[[#This Row],[DESCRIPCION DE TRABAJO]])),""))),"")</f>
        <v/>
      </c>
      <c r="O1918" s="35" t="str" cm="1">
        <f t="array" ref="O1918">_xlfn.TEXTJOIN(", ",TRUE,_xlfn._xlws.FILTER(Tabla28[[#All],[PARTE]],ISNUMBER(SEARCH(Tabla28[[#All],[PCLAVE2]],Tabla8[[#This Row],[DESCRIPCION DE TRABAJO]])),""))</f>
        <v/>
      </c>
      <c r="P1918" s="633" t="str">
        <f>IFERROR(LEFT(O1918, FIND(",", O1918)-1), O1918)</f>
        <v/>
      </c>
      <c r="Q1918" s="633" t="str">
        <f>IFERROR(IF(ISERROR(FIND(",", O1918, FIND(",", O1918)+1)), RIGHT(O1918, LEN(O1918)-FIND(",", O1918)-1), MID(O1918, FIND(",", O1918)+2, FIND(",", O1918, FIND(",", O1918)+1)-FIND(",", O1918)-2)), "")</f>
        <v/>
      </c>
      <c r="R1918" s="633" t="str">
        <f>IFERROR(RIGHT(O1918, LEN(O1918)-FIND(",", O1918, FIND(",", O1918)+1)-1), "")</f>
        <v/>
      </c>
      <c r="S1918" s="35" t="str" cm="1">
        <f t="array" ref="S1918">_xlfn.TEXTJOIN(", ",TRUE,_xlfn._xlws.FILTER(Tabla29[[#All],[PARTE]],ISNUMBER(SEARCH(Tabla29[[#All],[PCLAVE3]],Tabla8[[#This Row],[DESCRIPCION DE TRABAJO]])),""))</f>
        <v/>
      </c>
      <c r="T1918" s="88" t="str">
        <f>IF(AND(Tabla8[[#This Row],[PIEZA]]="",Tabla8[[#This Row],[PARTE]]=""),"VACIO","OK")</f>
        <v>VACIO</v>
      </c>
      <c r="U1918" s="633" t="str">
        <f>+CONCATENATE(WEEKNUM(Tabla8[[#This Row],[FECHA]]),"-",YEAR(Tabla8[[#This Row],[FECHA]]))</f>
        <v>26-2026</v>
      </c>
    </row>
    <row r="1919" spans="1:21" ht="15" customHeight="1">
      <c r="A1919" s="22">
        <v>46196</v>
      </c>
      <c r="B1919" s="16" t="s">
        <v>111</v>
      </c>
      <c r="C1919" s="16" t="s">
        <v>39</v>
      </c>
      <c r="D1919" s="381" t="s">
        <v>1655</v>
      </c>
      <c r="E1919" s="381" t="s">
        <v>689</v>
      </c>
      <c r="F1919" s="632">
        <f>+MOD(Tabla8[[#This Row],[HR. FIN]]-Tabla8[[#This Row],[HR. INICIO]],1)</f>
        <v>6.9444444444444475E-3</v>
      </c>
      <c r="G1919" s="16" t="s">
        <v>169</v>
      </c>
      <c r="H1919" s="79" t="str">
        <f>IFERROR(VLOOKUP(G1919,DATOS!$M$2:$N$219,2,FALSE),"")</f>
        <v>Maquinaria</v>
      </c>
      <c r="I1919" s="115" t="s">
        <v>32</v>
      </c>
      <c r="J1919" s="115" t="s">
        <v>157</v>
      </c>
      <c r="K1919" s="115"/>
      <c r="L1919" s="35" t="s">
        <v>960</v>
      </c>
      <c r="M1919" s="35" t="s">
        <v>121</v>
      </c>
      <c r="N1919" s="35" t="str" cm="1">
        <f t="array" ref="N1919">IFERROR(IF(Tabla8[[#This Row],[P/NP]]="NO PROGRAMADA","",_xlfn.TEXTJOIN(", ",TRUE,_xlfn._xlws.FILTER(Tabla4[[#All],[PIEZA]],ISNUMBER(SEARCH(Tabla4[[#All],[PCLAVE]],Tabla8[[#This Row],[DESCRIPCION DE TRABAJO]])),""))),"")</f>
        <v/>
      </c>
      <c r="O1919" s="35" t="str" cm="1">
        <f t="array" ref="O1919">_xlfn.TEXTJOIN(", ",TRUE,_xlfn._xlws.FILTER(Tabla28[[#All],[PARTE]],ISNUMBER(SEARCH(Tabla28[[#All],[PCLAVE2]],Tabla8[[#This Row],[DESCRIPCION DE TRABAJO]])),""))</f>
        <v/>
      </c>
      <c r="P1919" s="633" t="str">
        <f>IFERROR(LEFT(O1919, FIND(",", O1919)-1), O1919)</f>
        <v/>
      </c>
      <c r="Q1919" s="633" t="str">
        <f>IFERROR(IF(ISERROR(FIND(",", O1919, FIND(",", O1919)+1)), RIGHT(O1919, LEN(O1919)-FIND(",", O1919)-1), MID(O1919, FIND(",", O1919)+2, FIND(",", O1919, FIND(",", O1919)+1)-FIND(",", O1919)-2)), "")</f>
        <v/>
      </c>
      <c r="R1919" s="633" t="str">
        <f>IFERROR(RIGHT(O1919, LEN(O1919)-FIND(",", O1919, FIND(",", O1919)+1)-1), "")</f>
        <v/>
      </c>
      <c r="S1919" s="35" t="str" cm="1">
        <f t="array" ref="S1919">_xlfn.TEXTJOIN(", ",TRUE,_xlfn._xlws.FILTER(Tabla29[[#All],[PARTE]],ISNUMBER(SEARCH(Tabla29[[#All],[PCLAVE3]],Tabla8[[#This Row],[DESCRIPCION DE TRABAJO]])),""))</f>
        <v/>
      </c>
      <c r="T1919" s="88" t="str">
        <f>IF(AND(Tabla8[[#This Row],[PIEZA]]="",Tabla8[[#This Row],[PARTE]]=""),"VACIO","OK")</f>
        <v>VACIO</v>
      </c>
      <c r="U1919" s="633" t="str">
        <f>+CONCATENATE(WEEKNUM(Tabla8[[#This Row],[FECHA]]),"-",YEAR(Tabla8[[#This Row],[FECHA]]))</f>
        <v>26-2026</v>
      </c>
    </row>
    <row r="1920" spans="1:21" ht="15" customHeight="1">
      <c r="A1920" s="22">
        <v>46196</v>
      </c>
      <c r="B1920" s="16" t="s">
        <v>111</v>
      </c>
      <c r="C1920" s="16" t="s">
        <v>39</v>
      </c>
      <c r="D1920" s="381" t="s">
        <v>886</v>
      </c>
      <c r="E1920" s="381" t="s">
        <v>172</v>
      </c>
      <c r="F1920" s="632">
        <f>+MOD(Tabla8[[#This Row],[HR. FIN]]-Tabla8[[#This Row],[HR. INICIO]],1)</f>
        <v>6.9444444444444198E-3</v>
      </c>
      <c r="G1920" s="16" t="s">
        <v>169</v>
      </c>
      <c r="H1920" s="79" t="str">
        <f>IFERROR(VLOOKUP(G1920,DATOS!$M$2:$N$219,2,FALSE),"")</f>
        <v>Maquinaria</v>
      </c>
      <c r="I1920" s="115" t="s">
        <v>32</v>
      </c>
      <c r="J1920" s="115" t="s">
        <v>157</v>
      </c>
      <c r="K1920" s="115"/>
      <c r="L1920" s="35" t="s">
        <v>449</v>
      </c>
      <c r="M1920" s="35" t="s">
        <v>121</v>
      </c>
      <c r="N1920" s="35" t="str" cm="1">
        <f t="array" ref="N1920">IFERROR(IF(Tabla8[[#This Row],[P/NP]]="NO PROGRAMADA","",_xlfn.TEXTJOIN(", ",TRUE,_xlfn._xlws.FILTER(Tabla4[[#All],[PIEZA]],ISNUMBER(SEARCH(Tabla4[[#All],[PCLAVE]],Tabla8[[#This Row],[DESCRIPCION DE TRABAJO]])),""))),"")</f>
        <v/>
      </c>
      <c r="O1920" s="35" t="str" cm="1">
        <f t="array" ref="O1920">_xlfn.TEXTJOIN(", ",TRUE,_xlfn._xlws.FILTER(Tabla28[[#All],[PARTE]],ISNUMBER(SEARCH(Tabla28[[#All],[PCLAVE2]],Tabla8[[#This Row],[DESCRIPCION DE TRABAJO]])),""))</f>
        <v/>
      </c>
      <c r="P1920" s="633" t="str">
        <f>IFERROR(LEFT(O1920, FIND(",", O1920)-1), O1920)</f>
        <v/>
      </c>
      <c r="Q1920" s="633" t="str">
        <f>IFERROR(IF(ISERROR(FIND(",", O1920, FIND(",", O1920)+1)), RIGHT(O1920, LEN(O1920)-FIND(",", O1920)-1), MID(O1920, FIND(",", O1920)+2, FIND(",", O1920, FIND(",", O1920)+1)-FIND(",", O1920)-2)), "")</f>
        <v/>
      </c>
      <c r="R1920" s="633" t="str">
        <f>IFERROR(RIGHT(O1920, LEN(O1920)-FIND(",", O1920, FIND(",", O1920)+1)-1), "")</f>
        <v/>
      </c>
      <c r="S1920" s="35" t="str" cm="1">
        <f t="array" ref="S1920">_xlfn.TEXTJOIN(", ",TRUE,_xlfn._xlws.FILTER(Tabla29[[#All],[PARTE]],ISNUMBER(SEARCH(Tabla29[[#All],[PCLAVE3]],Tabla8[[#This Row],[DESCRIPCION DE TRABAJO]])),""))</f>
        <v/>
      </c>
      <c r="T1920" s="88" t="str">
        <f>IF(AND(Tabla8[[#This Row],[PIEZA]]="",Tabla8[[#This Row],[PARTE]]=""),"VACIO","OK")</f>
        <v>VACIO</v>
      </c>
      <c r="U1920" s="633" t="str">
        <f>+CONCATENATE(WEEKNUM(Tabla8[[#This Row],[FECHA]]),"-",YEAR(Tabla8[[#This Row],[FECHA]]))</f>
        <v>26-2026</v>
      </c>
    </row>
    <row r="1921" spans="1:21" ht="15" customHeight="1">
      <c r="A1921" s="22">
        <v>46197</v>
      </c>
      <c r="B1921" s="16" t="s">
        <v>191</v>
      </c>
      <c r="C1921" s="16" t="s">
        <v>23</v>
      </c>
      <c r="D1921" s="381" t="s">
        <v>277</v>
      </c>
      <c r="E1921" s="381" t="s">
        <v>3370</v>
      </c>
      <c r="F1921" s="632">
        <f>+MOD(Tabla8[[#This Row],[HR. FIN]]-Tabla8[[#This Row],[HR. INICIO]],1)</f>
        <v>6.0416666666666674E-2</v>
      </c>
      <c r="G1921" s="16" t="s">
        <v>793</v>
      </c>
      <c r="H1921" s="79" t="str">
        <f>IFERROR(VLOOKUP(G1921,DATOS!$M$2:$N$219,2,FALSE),"")</f>
        <v>Maquinaria</v>
      </c>
      <c r="I1921" s="115" t="s">
        <v>28</v>
      </c>
      <c r="J1921" s="115" t="s">
        <v>92</v>
      </c>
      <c r="K1921" s="115" t="s">
        <v>93</v>
      </c>
      <c r="L1921" s="35" t="s">
        <v>3371</v>
      </c>
      <c r="M1921" s="35" t="s">
        <v>3372</v>
      </c>
      <c r="N1921" s="35" t="str" cm="1">
        <f t="array" ref="N1921">IFERROR(IF(Tabla8[[#This Row],[P/NP]]="NO PROGRAMADA","",_xlfn.TEXTJOIN(", ",TRUE,_xlfn._xlws.FILTER(Tabla4[[#All],[PIEZA]],ISNUMBER(SEARCH(Tabla4[[#All],[PCLAVE]],Tabla8[[#This Row],[DESCRIPCION DE TRABAJO]])),""))),"")</f>
        <v/>
      </c>
      <c r="O1921" s="35" t="str" cm="1">
        <f t="array" ref="O1921">_xlfn.TEXTJOIN(", ",TRUE,_xlfn._xlws.FILTER(Tabla28[[#All],[PARTE]],ISNUMBER(SEARCH(Tabla28[[#All],[PCLAVE2]],Tabla8[[#This Row],[DESCRIPCION DE TRABAJO]])),""))</f>
        <v/>
      </c>
      <c r="P1921" s="633" t="str">
        <f>IFERROR(LEFT(O1921, FIND(",", O1921)-1), O1921)</f>
        <v/>
      </c>
      <c r="Q1921" s="633" t="str">
        <f>IFERROR(IF(ISERROR(FIND(",", O1921, FIND(",", O1921)+1)), RIGHT(O1921, LEN(O1921)-FIND(",", O1921)-1), MID(O1921, FIND(",", O1921)+2, FIND(",", O1921, FIND(",", O1921)+1)-FIND(",", O1921)-2)), "")</f>
        <v/>
      </c>
      <c r="R1921" s="633" t="str">
        <f>IFERROR(RIGHT(O1921, LEN(O1921)-FIND(",", O1921, FIND(",", O1921)+1)-1), "")</f>
        <v/>
      </c>
      <c r="S1921" s="35" t="str" cm="1">
        <f t="array" ref="S1921">_xlfn.TEXTJOIN(", ",TRUE,_xlfn._xlws.FILTER(Tabla29[[#All],[PARTE]],ISNUMBER(SEARCH(Tabla29[[#All],[PCLAVE3]],Tabla8[[#This Row],[DESCRIPCION DE TRABAJO]])),""))</f>
        <v/>
      </c>
      <c r="T1921" s="88" t="str">
        <f>IF(AND(Tabla8[[#This Row],[PIEZA]]="",Tabla8[[#This Row],[PARTE]]=""),"VACIO","OK")</f>
        <v>VACIO</v>
      </c>
      <c r="U1921" s="633" t="str">
        <f>+CONCATENATE(WEEKNUM(Tabla8[[#This Row],[FECHA]]),"-",YEAR(Tabla8[[#This Row],[FECHA]]))</f>
        <v>26-2026</v>
      </c>
    </row>
    <row r="1922" spans="1:21" ht="15" customHeight="1">
      <c r="A1922" s="22">
        <v>46197</v>
      </c>
      <c r="B1922" s="16" t="s">
        <v>131</v>
      </c>
      <c r="C1922" s="16" t="s">
        <v>36</v>
      </c>
      <c r="D1922" s="381" t="s">
        <v>667</v>
      </c>
      <c r="E1922" s="381" t="s">
        <v>97</v>
      </c>
      <c r="F1922" s="632">
        <f>+MOD(Tabla8[[#This Row],[HR. FIN]]-Tabla8[[#This Row],[HR. INICIO]],1)</f>
        <v>5.9027777777777735E-2</v>
      </c>
      <c r="G1922" s="16" t="s">
        <v>119</v>
      </c>
      <c r="H1922" s="79" t="str">
        <f>IFERROR(VLOOKUP(G1922,DATOS!$M$2:$N$219,2,FALSE),"")</f>
        <v>Maquinaria</v>
      </c>
      <c r="I1922" s="115" t="s">
        <v>32</v>
      </c>
      <c r="J1922" s="115" t="s">
        <v>157</v>
      </c>
      <c r="K1922" s="115"/>
      <c r="L1922" s="35" t="s">
        <v>3373</v>
      </c>
      <c r="M1922" s="35" t="s">
        <v>121</v>
      </c>
      <c r="N1922" s="35" t="str" cm="1">
        <f t="array" ref="N1922">IFERROR(IF(Tabla8[[#This Row],[P/NP]]="NO PROGRAMADA","",_xlfn.TEXTJOIN(", ",TRUE,_xlfn._xlws.FILTER(Tabla4[[#All],[PIEZA]],ISNUMBER(SEARCH(Tabla4[[#All],[PCLAVE]],Tabla8[[#This Row],[DESCRIPCION DE TRABAJO]])),""))),"")</f>
        <v/>
      </c>
      <c r="O1922" s="35" t="str" cm="1">
        <f t="array" ref="O1922">_xlfn.TEXTJOIN(", ",TRUE,_xlfn._xlws.FILTER(Tabla28[[#All],[PARTE]],ISNUMBER(SEARCH(Tabla28[[#All],[PCLAVE2]],Tabla8[[#This Row],[DESCRIPCION DE TRABAJO]])),""))</f>
        <v>Mds</v>
      </c>
      <c r="P1922" s="633" t="str">
        <f>IFERROR(LEFT(O1922, FIND(",", O1922)-1), O1922)</f>
        <v>Mds</v>
      </c>
      <c r="Q1922" s="633" t="str">
        <f>IFERROR(IF(ISERROR(FIND(",", O1922, FIND(",", O1922)+1)), RIGHT(O1922, LEN(O1922)-FIND(",", O1922)-1), MID(O1922, FIND(",", O1922)+2, FIND(",", O1922, FIND(",", O1922)+1)-FIND(",", O1922)-2)), "")</f>
        <v/>
      </c>
      <c r="R1922" s="633" t="str">
        <f>IFERROR(RIGHT(O1922, LEN(O1922)-FIND(",", O1922, FIND(",", O1922)+1)-1), "")</f>
        <v/>
      </c>
      <c r="S1922" s="35" t="str" cm="1">
        <f t="array" ref="S1922">_xlfn.TEXTJOIN(", ",TRUE,_xlfn._xlws.FILTER(Tabla29[[#All],[PARTE]],ISNUMBER(SEARCH(Tabla29[[#All],[PCLAVE3]],Tabla8[[#This Row],[DESCRIPCION DE TRABAJO]])),""))</f>
        <v/>
      </c>
      <c r="T1922" s="88" t="str">
        <f>IF(AND(Tabla8[[#This Row],[PIEZA]]="",Tabla8[[#This Row],[PARTE]]=""),"VACIO","OK")</f>
        <v>OK</v>
      </c>
      <c r="U1922" s="633" t="str">
        <f>+CONCATENATE(WEEKNUM(Tabla8[[#This Row],[FECHA]]),"-",YEAR(Tabla8[[#This Row],[FECHA]]))</f>
        <v>26-2026</v>
      </c>
    </row>
    <row r="1923" spans="1:21" ht="15" customHeight="1">
      <c r="A1923" s="22">
        <v>46197</v>
      </c>
      <c r="B1923" s="16" t="s">
        <v>88</v>
      </c>
      <c r="C1923" s="16" t="s">
        <v>36</v>
      </c>
      <c r="D1923" s="381" t="s">
        <v>468</v>
      </c>
      <c r="E1923" s="381" t="s">
        <v>281</v>
      </c>
      <c r="F1923" s="632">
        <f>+MOD(Tabla8[[#This Row],[HR. FIN]]-Tabla8[[#This Row],[HR. INICIO]],1)</f>
        <v>4.1666666666666741E-2</v>
      </c>
      <c r="G1923" s="16" t="s">
        <v>438</v>
      </c>
      <c r="H1923" s="79" t="str">
        <f>IFERROR(VLOOKUP(G1923,DATOS!$M$2:$N$219,2,FALSE),"")</f>
        <v>Maquinaria</v>
      </c>
      <c r="I1923" s="115" t="s">
        <v>28</v>
      </c>
      <c r="J1923" s="115" t="s">
        <v>92</v>
      </c>
      <c r="K1923" s="115" t="s">
        <v>148</v>
      </c>
      <c r="L1923" s="35" t="s">
        <v>3374</v>
      </c>
      <c r="M1923" s="35" t="s">
        <v>3375</v>
      </c>
      <c r="N1923" s="35" t="str" cm="1">
        <f t="array" ref="N1923">IFERROR(IF(Tabla8[[#This Row],[P/NP]]="NO PROGRAMADA","",_xlfn.TEXTJOIN(", ",TRUE,_xlfn._xlws.FILTER(Tabla4[[#All],[PIEZA]],ISNUMBER(SEARCH(Tabla4[[#All],[PCLAVE]],Tabla8[[#This Row],[DESCRIPCION DE TRABAJO]])),""))),"")</f>
        <v/>
      </c>
      <c r="O1923" s="35" t="str" cm="1">
        <f t="array" ref="O1923">_xlfn.TEXTJOIN(", ",TRUE,_xlfn._xlws.FILTER(Tabla28[[#All],[PARTE]],ISNUMBER(SEARCH(Tabla28[[#All],[PCLAVE2]],Tabla8[[#This Row],[DESCRIPCION DE TRABAJO]])),""))</f>
        <v/>
      </c>
      <c r="P1923" s="633" t="str">
        <f>IFERROR(LEFT(O1923, FIND(",", O1923)-1), O1923)</f>
        <v/>
      </c>
      <c r="Q1923" s="633" t="str">
        <f>IFERROR(IF(ISERROR(FIND(",", O1923, FIND(",", O1923)+1)), RIGHT(O1923, LEN(O1923)-FIND(",", O1923)-1), MID(O1923, FIND(",", O1923)+2, FIND(",", O1923, FIND(",", O1923)+1)-FIND(",", O1923)-2)), "")</f>
        <v/>
      </c>
      <c r="R1923" s="633" t="str">
        <f>IFERROR(RIGHT(O1923, LEN(O1923)-FIND(",", O1923, FIND(",", O1923)+1)-1), "")</f>
        <v/>
      </c>
      <c r="S1923" s="35" t="str" cm="1">
        <f t="array" ref="S1923">_xlfn.TEXTJOIN(", ",TRUE,_xlfn._xlws.FILTER(Tabla29[[#All],[PARTE]],ISNUMBER(SEARCH(Tabla29[[#All],[PCLAVE3]],Tabla8[[#This Row],[DESCRIPCION DE TRABAJO]])),""))</f>
        <v/>
      </c>
      <c r="T1923" s="88" t="str">
        <f>IF(AND(Tabla8[[#This Row],[PIEZA]]="",Tabla8[[#This Row],[PARTE]]=""),"VACIO","OK")</f>
        <v>VACIO</v>
      </c>
      <c r="U1923" s="633" t="str">
        <f>+CONCATENATE(WEEKNUM(Tabla8[[#This Row],[FECHA]]),"-",YEAR(Tabla8[[#This Row],[FECHA]]))</f>
        <v>26-2026</v>
      </c>
    </row>
    <row r="1924" spans="1:21" ht="15" customHeight="1">
      <c r="A1924" s="22">
        <v>46197</v>
      </c>
      <c r="B1924" s="16" t="s">
        <v>111</v>
      </c>
      <c r="C1924" s="16" t="s">
        <v>39</v>
      </c>
      <c r="D1924" s="381" t="s">
        <v>887</v>
      </c>
      <c r="E1924" s="381" t="s">
        <v>415</v>
      </c>
      <c r="F1924" s="632">
        <f>+MOD(Tabla8[[#This Row],[HR. FIN]]-Tabla8[[#This Row],[HR. INICIO]],1)</f>
        <v>3.8194444444444531E-2</v>
      </c>
      <c r="G1924" s="16" t="s">
        <v>31</v>
      </c>
      <c r="H1924" s="79" t="str">
        <f>IFERROR(VLOOKUP(G1924,DATOS!$M$2:$N$219,2,FALSE),"")</f>
        <v>Maquinaria</v>
      </c>
      <c r="I1924" s="115" t="s">
        <v>43</v>
      </c>
      <c r="J1924" s="115" t="s">
        <v>157</v>
      </c>
      <c r="K1924" s="115"/>
      <c r="L1924" s="35" t="s">
        <v>3376</v>
      </c>
      <c r="M1924" s="35" t="s">
        <v>3377</v>
      </c>
      <c r="N1924" s="35" t="str" cm="1">
        <f t="array" ref="N1924">IFERROR(IF(Tabla8[[#This Row],[P/NP]]="NO PROGRAMADA","",_xlfn.TEXTJOIN(", ",TRUE,_xlfn._xlws.FILTER(Tabla4[[#All],[PIEZA]],ISNUMBER(SEARCH(Tabla4[[#All],[PCLAVE]],Tabla8[[#This Row],[DESCRIPCION DE TRABAJO]])),""))),"")</f>
        <v>Producto</v>
      </c>
      <c r="O1924" s="35" t="str" cm="1">
        <f t="array" ref="O1924">_xlfn.TEXTJOIN(", ",TRUE,_xlfn._xlws.FILTER(Tabla28[[#All],[PARTE]],ISNUMBER(SEARCH(Tabla28[[#All],[PCLAVE2]],Tabla8[[#This Row],[DESCRIPCION DE TRABAJO]])),""))</f>
        <v/>
      </c>
      <c r="P1924" s="633" t="str">
        <f>IFERROR(LEFT(O1924, FIND(",", O1924)-1), O1924)</f>
        <v/>
      </c>
      <c r="Q1924" s="633" t="str">
        <f>IFERROR(IF(ISERROR(FIND(",", O1924, FIND(",", O1924)+1)), RIGHT(O1924, LEN(O1924)-FIND(",", O1924)-1), MID(O1924, FIND(",", O1924)+2, FIND(",", O1924, FIND(",", O1924)+1)-FIND(",", O1924)-2)), "")</f>
        <v/>
      </c>
      <c r="R1924" s="633" t="str">
        <f>IFERROR(RIGHT(O1924, LEN(O1924)-FIND(",", O1924, FIND(",", O1924)+1)-1), "")</f>
        <v/>
      </c>
      <c r="S1924" s="35" t="str" cm="1">
        <f t="array" ref="S1924">_xlfn.TEXTJOIN(", ",TRUE,_xlfn._xlws.FILTER(Tabla29[[#All],[PARTE]],ISNUMBER(SEARCH(Tabla29[[#All],[PCLAVE3]],Tabla8[[#This Row],[DESCRIPCION DE TRABAJO]])),""))</f>
        <v/>
      </c>
      <c r="T1924" s="88" t="str">
        <f>IF(AND(Tabla8[[#This Row],[PIEZA]]="",Tabla8[[#This Row],[PARTE]]=""),"VACIO","OK")</f>
        <v>OK</v>
      </c>
      <c r="U1924" s="633" t="str">
        <f>+CONCATENATE(WEEKNUM(Tabla8[[#This Row],[FECHA]]),"-",YEAR(Tabla8[[#This Row],[FECHA]]))</f>
        <v>26-2026</v>
      </c>
    </row>
    <row r="1925" spans="1:21" ht="15" customHeight="1">
      <c r="A1925" s="22">
        <v>46197</v>
      </c>
      <c r="B1925" s="16" t="s">
        <v>131</v>
      </c>
      <c r="C1925" s="16" t="s">
        <v>36</v>
      </c>
      <c r="D1925" s="381" t="s">
        <v>445</v>
      </c>
      <c r="E1925" s="381" t="s">
        <v>1176</v>
      </c>
      <c r="F1925" s="632">
        <f>+MOD(Tabla8[[#This Row],[HR. FIN]]-Tabla8[[#This Row],[HR. INICIO]],1)</f>
        <v>3.125E-2</v>
      </c>
      <c r="G1925" s="16" t="s">
        <v>192</v>
      </c>
      <c r="H1925" s="79" t="str">
        <f>IFERROR(VLOOKUP(G1925,DATOS!$M$2:$N$219,2,FALSE),"")</f>
        <v>Maquinaria</v>
      </c>
      <c r="I1925" s="115" t="s">
        <v>32</v>
      </c>
      <c r="J1925" s="115" t="s">
        <v>157</v>
      </c>
      <c r="K1925" s="115"/>
      <c r="L1925" s="35" t="s">
        <v>3378</v>
      </c>
      <c r="M1925" s="35" t="s">
        <v>121</v>
      </c>
      <c r="N1925" s="35" t="str" cm="1">
        <f t="array" ref="N1925">IFERROR(IF(Tabla8[[#This Row],[P/NP]]="NO PROGRAMADA","",_xlfn.TEXTJOIN(", ",TRUE,_xlfn._xlws.FILTER(Tabla4[[#All],[PIEZA]],ISNUMBER(SEARCH(Tabla4[[#All],[PCLAVE]],Tabla8[[#This Row],[DESCRIPCION DE TRABAJO]])),""))),"")</f>
        <v/>
      </c>
      <c r="O1925" s="35" t="str" cm="1">
        <f t="array" ref="O1925">_xlfn.TEXTJOIN(", ",TRUE,_xlfn._xlws.FILTER(Tabla28[[#All],[PARTE]],ISNUMBER(SEARCH(Tabla28[[#All],[PCLAVE2]],Tabla8[[#This Row],[DESCRIPCION DE TRABAJO]])),""))</f>
        <v/>
      </c>
      <c r="P1925" s="633" t="str">
        <f>IFERROR(LEFT(O1925, FIND(",", O1925)-1), O1925)</f>
        <v/>
      </c>
      <c r="Q1925" s="633" t="str">
        <f>IFERROR(IF(ISERROR(FIND(",", O1925, FIND(",", O1925)+1)), RIGHT(O1925, LEN(O1925)-FIND(",", O1925)-1), MID(O1925, FIND(",", O1925)+2, FIND(",", O1925, FIND(",", O1925)+1)-FIND(",", O1925)-2)), "")</f>
        <v/>
      </c>
      <c r="R1925" s="633" t="str">
        <f>IFERROR(RIGHT(O1925, LEN(O1925)-FIND(",", O1925, FIND(",", O1925)+1)-1), "")</f>
        <v/>
      </c>
      <c r="S1925" s="35" t="str" cm="1">
        <f t="array" ref="S1925">_xlfn.TEXTJOIN(", ",TRUE,_xlfn._xlws.FILTER(Tabla29[[#All],[PARTE]],ISNUMBER(SEARCH(Tabla29[[#All],[PCLAVE3]],Tabla8[[#This Row],[DESCRIPCION DE TRABAJO]])),""))</f>
        <v>Cambio De Formato</v>
      </c>
      <c r="T1925" s="88" t="str">
        <f>IF(AND(Tabla8[[#This Row],[PIEZA]]="",Tabla8[[#This Row],[PARTE]]=""),"VACIO","OK")</f>
        <v>VACIO</v>
      </c>
      <c r="U1925" s="633" t="str">
        <f>+CONCATENATE(WEEKNUM(Tabla8[[#This Row],[FECHA]]),"-",YEAR(Tabla8[[#This Row],[FECHA]]))</f>
        <v>26-2026</v>
      </c>
    </row>
    <row r="1926" spans="1:21" ht="15" customHeight="1">
      <c r="A1926" s="22">
        <v>46197</v>
      </c>
      <c r="B1926" s="16" t="s">
        <v>191</v>
      </c>
      <c r="C1926" s="16" t="s">
        <v>23</v>
      </c>
      <c r="D1926" s="381" t="s">
        <v>2798</v>
      </c>
      <c r="E1926" s="381" t="s">
        <v>3379</v>
      </c>
      <c r="F1926" s="632">
        <f>+MOD(Tabla8[[#This Row],[HR. FIN]]-Tabla8[[#This Row],[HR. INICIO]],1)</f>
        <v>2.3611111111111138E-2</v>
      </c>
      <c r="G1926" s="16" t="s">
        <v>119</v>
      </c>
      <c r="H1926" s="79" t="str">
        <f>IFERROR(VLOOKUP(G1926,DATOS!$M$2:$N$219,2,FALSE),"")</f>
        <v>Maquinaria</v>
      </c>
      <c r="I1926" s="115" t="s">
        <v>32</v>
      </c>
      <c r="J1926" s="115" t="s">
        <v>157</v>
      </c>
      <c r="K1926" s="115"/>
      <c r="L1926" s="35" t="s">
        <v>709</v>
      </c>
      <c r="M1926" s="35" t="s">
        <v>121</v>
      </c>
      <c r="N1926" s="35" t="str" cm="1">
        <f t="array" ref="N1926">IFERROR(IF(Tabla8[[#This Row],[P/NP]]="NO PROGRAMADA","",_xlfn.TEXTJOIN(", ",TRUE,_xlfn._xlws.FILTER(Tabla4[[#All],[PIEZA]],ISNUMBER(SEARCH(Tabla4[[#All],[PCLAVE]],Tabla8[[#This Row],[DESCRIPCION DE TRABAJO]])),""))),"")</f>
        <v/>
      </c>
      <c r="O1926" s="35" t="str" cm="1">
        <f t="array" ref="O1926">_xlfn.TEXTJOIN(", ",TRUE,_xlfn._xlws.FILTER(Tabla28[[#All],[PARTE]],ISNUMBER(SEARCH(Tabla28[[#All],[PCLAVE2]],Tabla8[[#This Row],[DESCRIPCION DE TRABAJO]])),""))</f>
        <v>Mds</v>
      </c>
      <c r="P1926" s="633" t="str">
        <f>IFERROR(LEFT(O1926, FIND(",", O1926)-1), O1926)</f>
        <v>Mds</v>
      </c>
      <c r="Q1926" s="633" t="str">
        <f>IFERROR(IF(ISERROR(FIND(",", O1926, FIND(",", O1926)+1)), RIGHT(O1926, LEN(O1926)-FIND(",", O1926)-1), MID(O1926, FIND(",", O1926)+2, FIND(",", O1926, FIND(",", O1926)+1)-FIND(",", O1926)-2)), "")</f>
        <v/>
      </c>
      <c r="R1926" s="633" t="str">
        <f>IFERROR(RIGHT(O1926, LEN(O1926)-FIND(",", O1926, FIND(",", O1926)+1)-1), "")</f>
        <v/>
      </c>
      <c r="S1926" s="35" t="str" cm="1">
        <f t="array" ref="S1926">_xlfn.TEXTJOIN(", ",TRUE,_xlfn._xlws.FILTER(Tabla29[[#All],[PARTE]],ISNUMBER(SEARCH(Tabla29[[#All],[PCLAVE3]],Tabla8[[#This Row],[DESCRIPCION DE TRABAJO]])),""))</f>
        <v>Cambio De Formato</v>
      </c>
      <c r="T1926" s="88" t="str">
        <f>IF(AND(Tabla8[[#This Row],[PIEZA]]="",Tabla8[[#This Row],[PARTE]]=""),"VACIO","OK")</f>
        <v>OK</v>
      </c>
      <c r="U1926" s="633" t="str">
        <f>+CONCATENATE(WEEKNUM(Tabla8[[#This Row],[FECHA]]),"-",YEAR(Tabla8[[#This Row],[FECHA]]))</f>
        <v>26-2026</v>
      </c>
    </row>
    <row r="1927" spans="1:21" ht="15" customHeight="1">
      <c r="A1927" s="22">
        <v>46197</v>
      </c>
      <c r="B1927" s="16" t="s">
        <v>131</v>
      </c>
      <c r="C1927" s="16" t="s">
        <v>36</v>
      </c>
      <c r="D1927" s="381" t="s">
        <v>2491</v>
      </c>
      <c r="E1927" s="381" t="s">
        <v>445</v>
      </c>
      <c r="F1927" s="632">
        <f>+MOD(Tabla8[[#This Row],[HR. FIN]]-Tabla8[[#This Row],[HR. INICIO]],1)</f>
        <v>2.0833333333333315E-2</v>
      </c>
      <c r="G1927" s="16" t="s">
        <v>153</v>
      </c>
      <c r="H1927" s="79" t="str">
        <f>IFERROR(VLOOKUP(G1927,DATOS!$M$2:$N$219,2,FALSE),"")</f>
        <v>Maquinaria</v>
      </c>
      <c r="I1927" s="115" t="s">
        <v>57</v>
      </c>
      <c r="J1927" s="115" t="s">
        <v>92</v>
      </c>
      <c r="K1927" s="115" t="s">
        <v>93</v>
      </c>
      <c r="L1927" s="35" t="s">
        <v>3364</v>
      </c>
      <c r="M1927" s="35" t="s">
        <v>3380</v>
      </c>
      <c r="N1927" s="35" t="str" cm="1">
        <f t="array" ref="N1927">IFERROR(IF(Tabla8[[#This Row],[P/NP]]="NO PROGRAMADA","",_xlfn.TEXTJOIN(", ",TRUE,_xlfn._xlws.FILTER(Tabla4[[#All],[PIEZA]],ISNUMBER(SEARCH(Tabla4[[#All],[PCLAVE]],Tabla8[[#This Row],[DESCRIPCION DE TRABAJO]])),""))),"")</f>
        <v/>
      </c>
      <c r="O1927" s="35" t="str" cm="1">
        <f t="array" ref="O1927">_xlfn.TEXTJOIN(", ",TRUE,_xlfn._xlws.FILTER(Tabla28[[#All],[PARTE]],ISNUMBER(SEARCH(Tabla28[[#All],[PCLAVE2]],Tabla8[[#This Row],[DESCRIPCION DE TRABAJO]])),""))</f>
        <v>Contraelevador</v>
      </c>
      <c r="P1927" s="633" t="str">
        <f>IFERROR(LEFT(O1927, FIND(",", O1927)-1), O1927)</f>
        <v>Contraelevador</v>
      </c>
      <c r="Q1927" s="633" t="str">
        <f>IFERROR(IF(ISERROR(FIND(",", O1927, FIND(",", O1927)+1)), RIGHT(O1927, LEN(O1927)-FIND(",", O1927)-1), MID(O1927, FIND(",", O1927)+2, FIND(",", O1927, FIND(",", O1927)+1)-FIND(",", O1927)-2)), "")</f>
        <v/>
      </c>
      <c r="R1927" s="633" t="str">
        <f>IFERROR(RIGHT(O1927, LEN(O1927)-FIND(",", O1927, FIND(",", O1927)+1)-1), "")</f>
        <v/>
      </c>
      <c r="S1927" s="35" t="str" cm="1">
        <f t="array" ref="S1927">_xlfn.TEXTJOIN(", ",TRUE,_xlfn._xlws.FILTER(Tabla29[[#All],[PARTE]],ISNUMBER(SEARCH(Tabla29[[#All],[PCLAVE3]],Tabla8[[#This Row],[DESCRIPCION DE TRABAJO]])),""))</f>
        <v>Desalineado</v>
      </c>
      <c r="T1927" s="88" t="str">
        <f>IF(AND(Tabla8[[#This Row],[PIEZA]]="",Tabla8[[#This Row],[PARTE]]=""),"VACIO","OK")</f>
        <v>OK</v>
      </c>
      <c r="U1927" s="633" t="str">
        <f>+CONCATENATE(WEEKNUM(Tabla8[[#This Row],[FECHA]]),"-",YEAR(Tabla8[[#This Row],[FECHA]]))</f>
        <v>26-2026</v>
      </c>
    </row>
    <row r="1928" spans="1:21" ht="15" customHeight="1">
      <c r="A1928" s="22">
        <v>46197</v>
      </c>
      <c r="B1928" s="16" t="s">
        <v>131</v>
      </c>
      <c r="C1928" s="16" t="s">
        <v>36</v>
      </c>
      <c r="D1928" s="381" t="s">
        <v>1510</v>
      </c>
      <c r="E1928" s="381" t="s">
        <v>495</v>
      </c>
      <c r="F1928" s="632">
        <f>+MOD(Tabla8[[#This Row],[HR. FIN]]-Tabla8[[#This Row],[HR. INICIO]],1)</f>
        <v>2.0833333333333315E-2</v>
      </c>
      <c r="G1928" s="16" t="s">
        <v>438</v>
      </c>
      <c r="H1928" s="79" t="str">
        <f>IFERROR(VLOOKUP(G1928,DATOS!$M$2:$N$219,2,FALSE),"")</f>
        <v>Maquinaria</v>
      </c>
      <c r="I1928" s="115" t="s">
        <v>186</v>
      </c>
      <c r="J1928" s="115" t="s">
        <v>92</v>
      </c>
      <c r="K1928" s="115" t="s">
        <v>148</v>
      </c>
      <c r="L1928" s="35" t="s">
        <v>3381</v>
      </c>
      <c r="M1928" s="35" t="s">
        <v>3382</v>
      </c>
      <c r="N1928" s="35" t="str" cm="1">
        <f t="array" ref="N1928">IFERROR(IF(Tabla8[[#This Row],[P/NP]]="NO PROGRAMADA","",_xlfn.TEXTJOIN(", ",TRUE,_xlfn._xlws.FILTER(Tabla4[[#All],[PIEZA]],ISNUMBER(SEARCH(Tabla4[[#All],[PCLAVE]],Tabla8[[#This Row],[DESCRIPCION DE TRABAJO]])),""))),"")</f>
        <v/>
      </c>
      <c r="O1928" s="35" t="str" cm="1">
        <f t="array" ref="O1928">_xlfn.TEXTJOIN(", ",TRUE,_xlfn._xlws.FILTER(Tabla28[[#All],[PARTE]],ISNUMBER(SEARCH(Tabla28[[#All],[PCLAVE2]],Tabla8[[#This Row],[DESCRIPCION DE TRABAJO]])),""))</f>
        <v/>
      </c>
      <c r="P1928" s="633" t="str">
        <f>IFERROR(LEFT(O1928, FIND(",", O1928)-1), O1928)</f>
        <v/>
      </c>
      <c r="Q1928" s="633" t="str">
        <f>IFERROR(IF(ISERROR(FIND(",", O1928, FIND(",", O1928)+1)), RIGHT(O1928, LEN(O1928)-FIND(",", O1928)-1), MID(O1928, FIND(",", O1928)+2, FIND(",", O1928, FIND(",", O1928)+1)-FIND(",", O1928)-2)), "")</f>
        <v/>
      </c>
      <c r="R1928" s="633" t="str">
        <f>IFERROR(RIGHT(O1928, LEN(O1928)-FIND(",", O1928, FIND(",", O1928)+1)-1), "")</f>
        <v/>
      </c>
      <c r="S1928" s="35" t="str" cm="1">
        <f t="array" ref="S1928">_xlfn.TEXTJOIN(", ",TRUE,_xlfn._xlws.FILTER(Tabla29[[#All],[PARTE]],ISNUMBER(SEARCH(Tabla29[[#All],[PCLAVE3]],Tabla8[[#This Row],[DESCRIPCION DE TRABAJO]])),""))</f>
        <v/>
      </c>
      <c r="T1928" s="88" t="str">
        <f>IF(AND(Tabla8[[#This Row],[PIEZA]]="",Tabla8[[#This Row],[PARTE]]=""),"VACIO","OK")</f>
        <v>VACIO</v>
      </c>
      <c r="U1928" s="633" t="str">
        <f>+CONCATENATE(WEEKNUM(Tabla8[[#This Row],[FECHA]]),"-",YEAR(Tabla8[[#This Row],[FECHA]]))</f>
        <v>26-2026</v>
      </c>
    </row>
    <row r="1929" spans="1:21" ht="15" customHeight="1">
      <c r="A1929" s="22">
        <v>46197</v>
      </c>
      <c r="B1929" s="16" t="s">
        <v>131</v>
      </c>
      <c r="C1929" s="16" t="s">
        <v>36</v>
      </c>
      <c r="D1929" s="381" t="s">
        <v>858</v>
      </c>
      <c r="E1929" s="381" t="s">
        <v>468</v>
      </c>
      <c r="F1929" s="632">
        <f>+MOD(Tabla8[[#This Row],[HR. FIN]]-Tabla8[[#This Row],[HR. INICIO]],1)</f>
        <v>2.0833333333333259E-2</v>
      </c>
      <c r="G1929" s="16" t="s">
        <v>182</v>
      </c>
      <c r="H1929" s="79" t="str">
        <f>IFERROR(VLOOKUP(G1929,DATOS!$M$2:$N$219,2,FALSE),"")</f>
        <v>Maquinaria</v>
      </c>
      <c r="I1929" s="115" t="s">
        <v>57</v>
      </c>
      <c r="J1929" s="115" t="s">
        <v>92</v>
      </c>
      <c r="K1929" s="115" t="s">
        <v>93</v>
      </c>
      <c r="L1929" s="35" t="s">
        <v>2616</v>
      </c>
      <c r="M1929" s="35" t="s">
        <v>3383</v>
      </c>
      <c r="N1929" s="35" t="str" cm="1">
        <f t="array" ref="N1929">IFERROR(IF(Tabla8[[#This Row],[P/NP]]="NO PROGRAMADA","",_xlfn.TEXTJOIN(", ",TRUE,_xlfn._xlws.FILTER(Tabla4[[#All],[PIEZA]],ISNUMBER(SEARCH(Tabla4[[#All],[PCLAVE]],Tabla8[[#This Row],[DESCRIPCION DE TRABAJO]])),""))),"")</f>
        <v/>
      </c>
      <c r="O1929" s="35" t="str" cm="1">
        <f t="array" ref="O1929">_xlfn.TEXTJOIN(", ",TRUE,_xlfn._xlws.FILTER(Tabla28[[#All],[PARTE]],ISNUMBER(SEARCH(Tabla28[[#All],[PCLAVE2]],Tabla8[[#This Row],[DESCRIPCION DE TRABAJO]])),""))</f>
        <v/>
      </c>
      <c r="P1929" s="633" t="str">
        <f>IFERROR(LEFT(O1929, FIND(",", O1929)-1), O1929)</f>
        <v/>
      </c>
      <c r="Q1929" s="633" t="str">
        <f>IFERROR(IF(ISERROR(FIND(",", O1929, FIND(",", O1929)+1)), RIGHT(O1929, LEN(O1929)-FIND(",", O1929)-1), MID(O1929, FIND(",", O1929)+2, FIND(",", O1929, FIND(",", O1929)+1)-FIND(",", O1929)-2)), "")</f>
        <v/>
      </c>
      <c r="R1929" s="633" t="str">
        <f>IFERROR(RIGHT(O1929, LEN(O1929)-FIND(",", O1929, FIND(",", O1929)+1)-1), "")</f>
        <v/>
      </c>
      <c r="S1929" s="35" t="str" cm="1">
        <f t="array" ref="S1929">_xlfn.TEXTJOIN(", ",TRUE,_xlfn._xlws.FILTER(Tabla29[[#All],[PARTE]],ISNUMBER(SEARCH(Tabla29[[#All],[PCLAVE3]],Tabla8[[#This Row],[DESCRIPCION DE TRABAJO]])),""))</f>
        <v>Sellado</v>
      </c>
      <c r="T1929" s="88" t="str">
        <f>IF(AND(Tabla8[[#This Row],[PIEZA]]="",Tabla8[[#This Row],[PARTE]]=""),"VACIO","OK")</f>
        <v>VACIO</v>
      </c>
      <c r="U1929" s="633" t="str">
        <f>+CONCATENATE(WEEKNUM(Tabla8[[#This Row],[FECHA]]),"-",YEAR(Tabla8[[#This Row],[FECHA]]))</f>
        <v>26-2026</v>
      </c>
    </row>
    <row r="1930" spans="1:21" ht="15" customHeight="1">
      <c r="A1930" s="22">
        <v>46197</v>
      </c>
      <c r="B1930" s="16" t="s">
        <v>191</v>
      </c>
      <c r="C1930" s="16" t="s">
        <v>23</v>
      </c>
      <c r="D1930" s="381" t="s">
        <v>769</v>
      </c>
      <c r="E1930" s="381" t="s">
        <v>655</v>
      </c>
      <c r="F1930" s="632">
        <f>+MOD(Tabla8[[#This Row],[HR. FIN]]-Tabla8[[#This Row],[HR. INICIO]],1)</f>
        <v>2.0138888888888817E-2</v>
      </c>
      <c r="G1930" s="16" t="s">
        <v>31</v>
      </c>
      <c r="H1930" s="79" t="str">
        <f>IFERROR(VLOOKUP(G1930,DATOS!$M$2:$N$219,2,FALSE),"")</f>
        <v>Maquinaria</v>
      </c>
      <c r="I1930" s="115" t="s">
        <v>186</v>
      </c>
      <c r="J1930" s="115" t="s">
        <v>92</v>
      </c>
      <c r="K1930" s="115" t="s">
        <v>148</v>
      </c>
      <c r="L1930" s="35" t="s">
        <v>3384</v>
      </c>
      <c r="M1930" s="35" t="s">
        <v>3385</v>
      </c>
      <c r="N1930" s="35" t="str" cm="1">
        <f t="array" ref="N1930">IFERROR(IF(Tabla8[[#This Row],[P/NP]]="NO PROGRAMADA","",_xlfn.TEXTJOIN(", ",TRUE,_xlfn._xlws.FILTER(Tabla4[[#All],[PIEZA]],ISNUMBER(SEARCH(Tabla4[[#All],[PCLAVE]],Tabla8[[#This Row],[DESCRIPCION DE TRABAJO]])),""))),"")</f>
        <v/>
      </c>
      <c r="O1930" s="35" t="str" cm="1">
        <f t="array" ref="O1930">_xlfn.TEXTJOIN(", ",TRUE,_xlfn._xlws.FILTER(Tabla28[[#All],[PARTE]],ISNUMBER(SEARCH(Tabla28[[#All],[PCLAVE2]],Tabla8[[#This Row],[DESCRIPCION DE TRABAJO]])),""))</f>
        <v/>
      </c>
      <c r="P1930" s="633" t="str">
        <f>IFERROR(LEFT(O1930, FIND(",", O1930)-1), O1930)</f>
        <v/>
      </c>
      <c r="Q1930" s="633" t="str">
        <f>IFERROR(IF(ISERROR(FIND(",", O1930, FIND(",", O1930)+1)), RIGHT(O1930, LEN(O1930)-FIND(",", O1930)-1), MID(O1930, FIND(",", O1930)+2, FIND(",", O1930, FIND(",", O1930)+1)-FIND(",", O1930)-2)), "")</f>
        <v/>
      </c>
      <c r="R1930" s="633" t="str">
        <f>IFERROR(RIGHT(O1930, LEN(O1930)-FIND(",", O1930, FIND(",", O1930)+1)-1), "")</f>
        <v/>
      </c>
      <c r="S1930" s="35" t="str" cm="1">
        <f t="array" ref="S1930">_xlfn.TEXTJOIN(", ",TRUE,_xlfn._xlws.FILTER(Tabla29[[#All],[PARTE]],ISNUMBER(SEARCH(Tabla29[[#All],[PCLAVE3]],Tabla8[[#This Row],[DESCRIPCION DE TRABAJO]])),""))</f>
        <v/>
      </c>
      <c r="T1930" s="88" t="str">
        <f>IF(AND(Tabla8[[#This Row],[PIEZA]]="",Tabla8[[#This Row],[PARTE]]=""),"VACIO","OK")</f>
        <v>VACIO</v>
      </c>
      <c r="U1930" s="633" t="str">
        <f>+CONCATENATE(WEEKNUM(Tabla8[[#This Row],[FECHA]]),"-",YEAR(Tabla8[[#This Row],[FECHA]]))</f>
        <v>26-2026</v>
      </c>
    </row>
    <row r="1931" spans="1:21" ht="15" customHeight="1">
      <c r="A1931" s="22">
        <v>46197</v>
      </c>
      <c r="B1931" s="16" t="s">
        <v>191</v>
      </c>
      <c r="C1931" s="16" t="s">
        <v>23</v>
      </c>
      <c r="D1931" s="381" t="s">
        <v>285</v>
      </c>
      <c r="E1931" s="381" t="s">
        <v>3386</v>
      </c>
      <c r="F1931" s="632">
        <f>+MOD(Tabla8[[#This Row],[HR. FIN]]-Tabla8[[#This Row],[HR. INICIO]],1)</f>
        <v>1.9444444444444486E-2</v>
      </c>
      <c r="G1931" s="16" t="s">
        <v>119</v>
      </c>
      <c r="H1931" s="79" t="str">
        <f>IFERROR(VLOOKUP(G1931,DATOS!$M$2:$N$219,2,FALSE),"")</f>
        <v>Maquinaria</v>
      </c>
      <c r="I1931" s="115" t="s">
        <v>32</v>
      </c>
      <c r="J1931" s="115" t="s">
        <v>157</v>
      </c>
      <c r="K1931" s="115"/>
      <c r="L1931" s="35" t="s">
        <v>3387</v>
      </c>
      <c r="M1931" s="35" t="s">
        <v>121</v>
      </c>
      <c r="N1931" s="35" t="str" cm="1">
        <f t="array" ref="N1931">IFERROR(IF(Tabla8[[#This Row],[P/NP]]="NO PROGRAMADA","",_xlfn.TEXTJOIN(", ",TRUE,_xlfn._xlws.FILTER(Tabla4[[#All],[PIEZA]],ISNUMBER(SEARCH(Tabla4[[#All],[PCLAVE]],Tabla8[[#This Row],[DESCRIPCION DE TRABAJO]])),""))),"")</f>
        <v/>
      </c>
      <c r="O1931" s="35" t="str" cm="1">
        <f t="array" ref="O1931">_xlfn.TEXTJOIN(", ",TRUE,_xlfn._xlws.FILTER(Tabla28[[#All],[PARTE]],ISNUMBER(SEARCH(Tabla28[[#All],[PCLAVE2]],Tabla8[[#This Row],[DESCRIPCION DE TRABAJO]])),""))</f>
        <v/>
      </c>
      <c r="P1931" s="633" t="str">
        <f>IFERROR(LEFT(O1931, FIND(",", O1931)-1), O1931)</f>
        <v/>
      </c>
      <c r="Q1931" s="633" t="str">
        <f>IFERROR(IF(ISERROR(FIND(",", O1931, FIND(",", O1931)+1)), RIGHT(O1931, LEN(O1931)-FIND(",", O1931)-1), MID(O1931, FIND(",", O1931)+2, FIND(",", O1931, FIND(",", O1931)+1)-FIND(",", O1931)-2)), "")</f>
        <v/>
      </c>
      <c r="R1931" s="633" t="str">
        <f>IFERROR(RIGHT(O1931, LEN(O1931)-FIND(",", O1931, FIND(",", O1931)+1)-1), "")</f>
        <v/>
      </c>
      <c r="S1931" s="35" t="str" cm="1">
        <f t="array" ref="S1931">_xlfn.TEXTJOIN(", ",TRUE,_xlfn._xlws.FILTER(Tabla29[[#All],[PARTE]],ISNUMBER(SEARCH(Tabla29[[#All],[PCLAVE3]],Tabla8[[#This Row],[DESCRIPCION DE TRABAJO]])),""))</f>
        <v>Cambio De Formato</v>
      </c>
      <c r="T1931" s="88" t="str">
        <f>IF(AND(Tabla8[[#This Row],[PIEZA]]="",Tabla8[[#This Row],[PARTE]]=""),"VACIO","OK")</f>
        <v>VACIO</v>
      </c>
      <c r="U1931" s="633" t="str">
        <f>+CONCATENATE(WEEKNUM(Tabla8[[#This Row],[FECHA]]),"-",YEAR(Tabla8[[#This Row],[FECHA]]))</f>
        <v>26-2026</v>
      </c>
    </row>
    <row r="1932" spans="1:21" ht="15" customHeight="1">
      <c r="A1932" s="22">
        <v>46197</v>
      </c>
      <c r="B1932" s="16" t="s">
        <v>191</v>
      </c>
      <c r="C1932" s="16" t="s">
        <v>23</v>
      </c>
      <c r="D1932" s="381" t="s">
        <v>464</v>
      </c>
      <c r="E1932" s="381" t="s">
        <v>1452</v>
      </c>
      <c r="F1932" s="632">
        <f>+MOD(Tabla8[[#This Row],[HR. FIN]]-Tabla8[[#This Row],[HR. INICIO]],1)</f>
        <v>1.736111111111116E-2</v>
      </c>
      <c r="G1932" s="16" t="s">
        <v>119</v>
      </c>
      <c r="H1932" s="79" t="str">
        <f>IFERROR(VLOOKUP(G1932,DATOS!$M$2:$N$219,2,FALSE),"")</f>
        <v>Maquinaria</v>
      </c>
      <c r="I1932" s="115" t="s">
        <v>32</v>
      </c>
      <c r="J1932" s="115" t="s">
        <v>157</v>
      </c>
      <c r="K1932" s="115"/>
      <c r="L1932" s="35" t="s">
        <v>197</v>
      </c>
      <c r="M1932" s="35" t="s">
        <v>121</v>
      </c>
      <c r="N1932" s="35" t="str" cm="1">
        <f t="array" ref="N1932">IFERROR(IF(Tabla8[[#This Row],[P/NP]]="NO PROGRAMADA","",_xlfn.TEXTJOIN(", ",TRUE,_xlfn._xlws.FILTER(Tabla4[[#All],[PIEZA]],ISNUMBER(SEARCH(Tabla4[[#All],[PCLAVE]],Tabla8[[#This Row],[DESCRIPCION DE TRABAJO]])),""))),"")</f>
        <v/>
      </c>
      <c r="O1932" s="35" t="str" cm="1">
        <f t="array" ref="O1932">_xlfn.TEXTJOIN(", ",TRUE,_xlfn._xlws.FILTER(Tabla28[[#All],[PARTE]],ISNUMBER(SEARCH(Tabla28[[#All],[PCLAVE2]],Tabla8[[#This Row],[DESCRIPCION DE TRABAJO]])),""))</f>
        <v>Mds</v>
      </c>
      <c r="P1932" s="633" t="str">
        <f>IFERROR(LEFT(O1932, FIND(",", O1932)-1), O1932)</f>
        <v>Mds</v>
      </c>
      <c r="Q1932" s="633" t="str">
        <f>IFERROR(IF(ISERROR(FIND(",", O1932, FIND(",", O1932)+1)), RIGHT(O1932, LEN(O1932)-FIND(",", O1932)-1), MID(O1932, FIND(",", O1932)+2, FIND(",", O1932, FIND(",", O1932)+1)-FIND(",", O1932)-2)), "")</f>
        <v/>
      </c>
      <c r="R1932" s="633" t="str">
        <f>IFERROR(RIGHT(O1932, LEN(O1932)-FIND(",", O1932, FIND(",", O1932)+1)-1), "")</f>
        <v/>
      </c>
      <c r="S1932" s="35" t="str" cm="1">
        <f t="array" ref="S1932">_xlfn.TEXTJOIN(", ",TRUE,_xlfn._xlws.FILTER(Tabla29[[#All],[PARTE]],ISNUMBER(SEARCH(Tabla29[[#All],[PCLAVE3]],Tabla8[[#This Row],[DESCRIPCION DE TRABAJO]])),""))</f>
        <v>Cambio De Formato</v>
      </c>
      <c r="T1932" s="88" t="str">
        <f>IF(AND(Tabla8[[#This Row],[PIEZA]]="",Tabla8[[#This Row],[PARTE]]=""),"VACIO","OK")</f>
        <v>OK</v>
      </c>
      <c r="U1932" s="633" t="str">
        <f>+CONCATENATE(WEEKNUM(Tabla8[[#This Row],[FECHA]]),"-",YEAR(Tabla8[[#This Row],[FECHA]]))</f>
        <v>26-2026</v>
      </c>
    </row>
    <row r="1933" spans="1:21" ht="15" customHeight="1">
      <c r="A1933" s="22">
        <v>46197</v>
      </c>
      <c r="B1933" s="16" t="s">
        <v>88</v>
      </c>
      <c r="C1933" s="16" t="s">
        <v>36</v>
      </c>
      <c r="D1933" s="381" t="s">
        <v>1496</v>
      </c>
      <c r="E1933" s="381" t="s">
        <v>1176</v>
      </c>
      <c r="F1933" s="632">
        <f>+MOD(Tabla8[[#This Row],[HR. FIN]]-Tabla8[[#This Row],[HR. INICIO]],1)</f>
        <v>1.7361111111111105E-2</v>
      </c>
      <c r="G1933" s="16" t="s">
        <v>2256</v>
      </c>
      <c r="H1933" s="79" t="str">
        <f>IFERROR(VLOOKUP(G1933,DATOS!$M$2:$N$219,2,FALSE),"")</f>
        <v>Maquinaria</v>
      </c>
      <c r="I1933" s="115" t="s">
        <v>54</v>
      </c>
      <c r="J1933" s="115" t="s">
        <v>157</v>
      </c>
      <c r="K1933" s="115"/>
      <c r="L1933" s="35" t="s">
        <v>1040</v>
      </c>
      <c r="M1933" s="35" t="s">
        <v>214</v>
      </c>
      <c r="N1933" s="35" t="str" cm="1">
        <f t="array" ref="N1933">IFERROR(IF(Tabla8[[#This Row],[P/NP]]="NO PROGRAMADA","",_xlfn.TEXTJOIN(", ",TRUE,_xlfn._xlws.FILTER(Tabla4[[#All],[PIEZA]],ISNUMBER(SEARCH(Tabla4[[#All],[PCLAVE]],Tabla8[[#This Row],[DESCRIPCION DE TRABAJO]])),""))),"")</f>
        <v/>
      </c>
      <c r="O1933" s="35" t="str" cm="1">
        <f t="array" ref="O1933">_xlfn.TEXTJOIN(", ",TRUE,_xlfn._xlws.FILTER(Tabla28[[#All],[PARTE]],ISNUMBER(SEARCH(Tabla28[[#All],[PCLAVE2]],Tabla8[[#This Row],[DESCRIPCION DE TRABAJO]])),""))</f>
        <v/>
      </c>
      <c r="P1933" s="633" t="str">
        <f>IFERROR(LEFT(O1933, FIND(",", O1933)-1), O1933)</f>
        <v/>
      </c>
      <c r="Q1933" s="633" t="str">
        <f>IFERROR(IF(ISERROR(FIND(",", O1933, FIND(",", O1933)+1)), RIGHT(O1933, LEN(O1933)-FIND(",", O1933)-1), MID(O1933, FIND(",", O1933)+2, FIND(",", O1933, FIND(",", O1933)+1)-FIND(",", O1933)-2)), "")</f>
        <v/>
      </c>
      <c r="R1933" s="633" t="str">
        <f>IFERROR(RIGHT(O1933, LEN(O1933)-FIND(",", O1933, FIND(",", O1933)+1)-1), "")</f>
        <v/>
      </c>
      <c r="S1933" s="35" t="str" cm="1">
        <f t="array" ref="S1933">_xlfn.TEXTJOIN(", ",TRUE,_xlfn._xlws.FILTER(Tabla29[[#All],[PARTE]],ISNUMBER(SEARCH(Tabla29[[#All],[PCLAVE3]],Tabla8[[#This Row],[DESCRIPCION DE TRABAJO]])),""))</f>
        <v/>
      </c>
      <c r="T1933" s="88" t="str">
        <f>IF(AND(Tabla8[[#This Row],[PIEZA]]="",Tabla8[[#This Row],[PARTE]]=""),"VACIO","OK")</f>
        <v>VACIO</v>
      </c>
      <c r="U1933" s="633" t="str">
        <f>+CONCATENATE(WEEKNUM(Tabla8[[#This Row],[FECHA]]),"-",YEAR(Tabla8[[#This Row],[FECHA]]))</f>
        <v>26-2026</v>
      </c>
    </row>
    <row r="1934" spans="1:21" ht="15" customHeight="1">
      <c r="A1934" s="22">
        <v>46197</v>
      </c>
      <c r="B1934" s="16" t="s">
        <v>131</v>
      </c>
      <c r="C1934" s="16" t="s">
        <v>36</v>
      </c>
      <c r="D1934" s="381" t="s">
        <v>3388</v>
      </c>
      <c r="E1934" s="381" t="s">
        <v>557</v>
      </c>
      <c r="F1934" s="632">
        <f>+MOD(Tabla8[[#This Row],[HR. FIN]]-Tabla8[[#This Row],[HR. INICIO]],1)</f>
        <v>1.6666666666666663E-2</v>
      </c>
      <c r="G1934" s="16" t="s">
        <v>192</v>
      </c>
      <c r="H1934" s="79" t="str">
        <f>IFERROR(VLOOKUP(G1934,DATOS!$M$2:$N$219,2,FALSE),"")</f>
        <v>Maquinaria</v>
      </c>
      <c r="I1934" s="115" t="s">
        <v>348</v>
      </c>
      <c r="J1934" s="115" t="s">
        <v>157</v>
      </c>
      <c r="K1934" s="115"/>
      <c r="L1934" s="35" t="s">
        <v>3389</v>
      </c>
      <c r="M1934" s="35" t="s">
        <v>3390</v>
      </c>
      <c r="N1934" s="35" t="str" cm="1">
        <f t="array" ref="N1934">IFERROR(IF(Tabla8[[#This Row],[P/NP]]="NO PROGRAMADA","",_xlfn.TEXTJOIN(", ",TRUE,_xlfn._xlws.FILTER(Tabla4[[#All],[PIEZA]],ISNUMBER(SEARCH(Tabla4[[#All],[PCLAVE]],Tabla8[[#This Row],[DESCRIPCION DE TRABAJO]])),""))),"")</f>
        <v>Gomas</v>
      </c>
      <c r="O1934" s="35" t="str" cm="1">
        <f t="array" ref="O1934">_xlfn.TEXTJOIN(", ",TRUE,_xlfn._xlws.FILTER(Tabla28[[#All],[PARTE]],ISNUMBER(SEARCH(Tabla28[[#All],[PCLAVE2]],Tabla8[[#This Row],[DESCRIPCION DE TRABAJO]])),""))</f>
        <v/>
      </c>
      <c r="P1934" s="633" t="str">
        <f>IFERROR(LEFT(O1934, FIND(",", O1934)-1), O1934)</f>
        <v/>
      </c>
      <c r="Q1934" s="633" t="str">
        <f>IFERROR(IF(ISERROR(FIND(",", O1934, FIND(",", O1934)+1)), RIGHT(O1934, LEN(O1934)-FIND(",", O1934)-1), MID(O1934, FIND(",", O1934)+2, FIND(",", O1934, FIND(",", O1934)+1)-FIND(",", O1934)-2)), "")</f>
        <v/>
      </c>
      <c r="R1934" s="633" t="str">
        <f>IFERROR(RIGHT(O1934, LEN(O1934)-FIND(",", O1934, FIND(",", O1934)+1)-1), "")</f>
        <v/>
      </c>
      <c r="S1934" s="35" t="str" cm="1">
        <f t="array" ref="S1934">_xlfn.TEXTJOIN(", ",TRUE,_xlfn._xlws.FILTER(Tabla29[[#All],[PARTE]],ISNUMBER(SEARCH(Tabla29[[#All],[PCLAVE3]],Tabla8[[#This Row],[DESCRIPCION DE TRABAJO]])),""))</f>
        <v/>
      </c>
      <c r="T1934" s="88" t="str">
        <f>IF(AND(Tabla8[[#This Row],[PIEZA]]="",Tabla8[[#This Row],[PARTE]]=""),"VACIO","OK")</f>
        <v>OK</v>
      </c>
      <c r="U1934" s="633" t="str">
        <f>+CONCATENATE(WEEKNUM(Tabla8[[#This Row],[FECHA]]),"-",YEAR(Tabla8[[#This Row],[FECHA]]))</f>
        <v>26-2026</v>
      </c>
    </row>
    <row r="1935" spans="1:21" ht="15" customHeight="1">
      <c r="A1935" s="22">
        <v>46197</v>
      </c>
      <c r="B1935" s="16" t="s">
        <v>191</v>
      </c>
      <c r="C1935" s="16" t="s">
        <v>23</v>
      </c>
      <c r="D1935" s="381" t="s">
        <v>261</v>
      </c>
      <c r="E1935" s="381" t="s">
        <v>3391</v>
      </c>
      <c r="F1935" s="632">
        <f>+MOD(Tabla8[[#This Row],[HR. FIN]]-Tabla8[[#This Row],[HR. INICIO]],1)</f>
        <v>1.6666666666666607E-2</v>
      </c>
      <c r="G1935" s="16" t="s">
        <v>182</v>
      </c>
      <c r="H1935" s="79" t="str">
        <f>IFERROR(VLOOKUP(G1935,DATOS!$M$2:$N$219,2,FALSE),"")</f>
        <v>Maquinaria</v>
      </c>
      <c r="I1935" s="115" t="s">
        <v>57</v>
      </c>
      <c r="J1935" s="115" t="s">
        <v>92</v>
      </c>
      <c r="K1935" s="115" t="s">
        <v>93</v>
      </c>
      <c r="L1935" s="35" t="s">
        <v>3392</v>
      </c>
      <c r="M1935" s="35" t="s">
        <v>3393</v>
      </c>
      <c r="N1935" s="35" t="str" cm="1">
        <f t="array" ref="N1935">IFERROR(IF(Tabla8[[#This Row],[P/NP]]="NO PROGRAMADA","",_xlfn.TEXTJOIN(", ",TRUE,_xlfn._xlws.FILTER(Tabla4[[#All],[PIEZA]],ISNUMBER(SEARCH(Tabla4[[#All],[PCLAVE]],Tabla8[[#This Row],[DESCRIPCION DE TRABAJO]])),""))),"")</f>
        <v/>
      </c>
      <c r="O1935" s="35" t="str" cm="1">
        <f t="array" ref="O1935">_xlfn.TEXTJOIN(", ",TRUE,_xlfn._xlws.FILTER(Tabla28[[#All],[PARTE]],ISNUMBER(SEARCH(Tabla28[[#All],[PCLAVE2]],Tabla8[[#This Row],[DESCRIPCION DE TRABAJO]])),""))</f>
        <v/>
      </c>
      <c r="P1935" s="633" t="str">
        <f>IFERROR(LEFT(O1935, FIND(",", O1935)-1), O1935)</f>
        <v/>
      </c>
      <c r="Q1935" s="633" t="str">
        <f>IFERROR(IF(ISERROR(FIND(",", O1935, FIND(",", O1935)+1)), RIGHT(O1935, LEN(O1935)-FIND(",", O1935)-1), MID(O1935, FIND(",", O1935)+2, FIND(",", O1935, FIND(",", O1935)+1)-FIND(",", O1935)-2)), "")</f>
        <v/>
      </c>
      <c r="R1935" s="633" t="str">
        <f>IFERROR(RIGHT(O1935, LEN(O1935)-FIND(",", O1935, FIND(",", O1935)+1)-1), "")</f>
        <v/>
      </c>
      <c r="S1935" s="35" t="str" cm="1">
        <f t="array" ref="S1935">_xlfn.TEXTJOIN(", ",TRUE,_xlfn._xlws.FILTER(Tabla29[[#All],[PARTE]],ISNUMBER(SEARCH(Tabla29[[#All],[PCLAVE3]],Tabla8[[#This Row],[DESCRIPCION DE TRABAJO]])),""))</f>
        <v>No Sella</v>
      </c>
      <c r="T1935" s="88" t="str">
        <f>IF(AND(Tabla8[[#This Row],[PIEZA]]="",Tabla8[[#This Row],[PARTE]]=""),"VACIO","OK")</f>
        <v>VACIO</v>
      </c>
      <c r="U1935" s="633" t="str">
        <f>+CONCATENATE(WEEKNUM(Tabla8[[#This Row],[FECHA]]),"-",YEAR(Tabla8[[#This Row],[FECHA]]))</f>
        <v>26-2026</v>
      </c>
    </row>
    <row r="1936" spans="1:21" ht="15" customHeight="1">
      <c r="A1936" s="22">
        <v>46197</v>
      </c>
      <c r="B1936" s="16" t="s">
        <v>131</v>
      </c>
      <c r="C1936" s="16" t="s">
        <v>36</v>
      </c>
      <c r="D1936" s="381" t="s">
        <v>3394</v>
      </c>
      <c r="E1936" s="381" t="s">
        <v>2145</v>
      </c>
      <c r="F1936" s="632">
        <f>+MOD(Tabla8[[#This Row],[HR. FIN]]-Tabla8[[#This Row],[HR. INICIO]],1)</f>
        <v>1.5972222222222221E-2</v>
      </c>
      <c r="G1936" s="16" t="s">
        <v>3361</v>
      </c>
      <c r="H1936" s="79" t="str">
        <f>IFERROR(VLOOKUP(G1936,DATOS!$M$2:$N$219,2,FALSE),"")</f>
        <v>Maquinaria</v>
      </c>
      <c r="I1936" s="115" t="s">
        <v>28</v>
      </c>
      <c r="J1936" s="115" t="s">
        <v>92</v>
      </c>
      <c r="K1936" s="115" t="s">
        <v>148</v>
      </c>
      <c r="L1936" s="35" t="s">
        <v>3395</v>
      </c>
      <c r="M1936" s="35" t="s">
        <v>121</v>
      </c>
      <c r="N1936" s="35" t="str" cm="1">
        <f t="array" ref="N1936">IFERROR(IF(Tabla8[[#This Row],[P/NP]]="NO PROGRAMADA","",_xlfn.TEXTJOIN(", ",TRUE,_xlfn._xlws.FILTER(Tabla4[[#All],[PIEZA]],ISNUMBER(SEARCH(Tabla4[[#All],[PCLAVE]],Tabla8[[#This Row],[DESCRIPCION DE TRABAJO]])),""))),"")</f>
        <v/>
      </c>
      <c r="O1936" s="35" t="str" cm="1">
        <f t="array" ref="O1936">_xlfn.TEXTJOIN(", ",TRUE,_xlfn._xlws.FILTER(Tabla28[[#All],[PARTE]],ISNUMBER(SEARCH(Tabla28[[#All],[PCLAVE2]],Tabla8[[#This Row],[DESCRIPCION DE TRABAJO]])),""))</f>
        <v/>
      </c>
      <c r="P1936" s="633" t="str">
        <f>IFERROR(LEFT(O1936, FIND(",", O1936)-1), O1936)</f>
        <v/>
      </c>
      <c r="Q1936" s="633" t="str">
        <f>IFERROR(IF(ISERROR(FIND(",", O1936, FIND(",", O1936)+1)), RIGHT(O1936, LEN(O1936)-FIND(",", O1936)-1), MID(O1936, FIND(",", O1936)+2, FIND(",", O1936, FIND(",", O1936)+1)-FIND(",", O1936)-2)), "")</f>
        <v/>
      </c>
      <c r="R1936" s="633" t="str">
        <f>IFERROR(RIGHT(O1936, LEN(O1936)-FIND(",", O1936, FIND(",", O1936)+1)-1), "")</f>
        <v/>
      </c>
      <c r="S1936" s="35" t="str" cm="1">
        <f t="array" ref="S1936">_xlfn.TEXTJOIN(", ",TRUE,_xlfn._xlws.FILTER(Tabla29[[#All],[PARTE]],ISNUMBER(SEARCH(Tabla29[[#All],[PCLAVE3]],Tabla8[[#This Row],[DESCRIPCION DE TRABAJO]])),""))</f>
        <v/>
      </c>
      <c r="T1936" s="88" t="str">
        <f>IF(AND(Tabla8[[#This Row],[PIEZA]]="",Tabla8[[#This Row],[PARTE]]=""),"VACIO","OK")</f>
        <v>VACIO</v>
      </c>
      <c r="U1936" s="633" t="str">
        <f>+CONCATENATE(WEEKNUM(Tabla8[[#This Row],[FECHA]]),"-",YEAR(Tabla8[[#This Row],[FECHA]]))</f>
        <v>26-2026</v>
      </c>
    </row>
    <row r="1937" spans="1:21" ht="15" customHeight="1">
      <c r="A1937" s="22">
        <v>46197</v>
      </c>
      <c r="B1937" s="16" t="s">
        <v>191</v>
      </c>
      <c r="C1937" s="16" t="s">
        <v>23</v>
      </c>
      <c r="D1937" s="381" t="s">
        <v>2240</v>
      </c>
      <c r="E1937" s="381" t="s">
        <v>3396</v>
      </c>
      <c r="F1937" s="632">
        <f>+MOD(Tabla8[[#This Row],[HR. FIN]]-Tabla8[[#This Row],[HR. INICIO]],1)</f>
        <v>1.4583333333333282E-2</v>
      </c>
      <c r="G1937" s="16" t="s">
        <v>31</v>
      </c>
      <c r="H1937" s="79" t="str">
        <f>IFERROR(VLOOKUP(G1937,DATOS!$M$2:$N$219,2,FALSE),"")</f>
        <v>Maquinaria</v>
      </c>
      <c r="I1937" s="115" t="s">
        <v>390</v>
      </c>
      <c r="J1937" s="115" t="s">
        <v>157</v>
      </c>
      <c r="K1937" s="115"/>
      <c r="L1937" s="35" t="s">
        <v>3397</v>
      </c>
      <c r="M1937" s="35" t="s">
        <v>121</v>
      </c>
      <c r="N1937" s="35" t="str" cm="1">
        <f t="array" ref="N1937">IFERROR(IF(Tabla8[[#This Row],[P/NP]]="NO PROGRAMADA","",_xlfn.TEXTJOIN(", ",TRUE,_xlfn._xlws.FILTER(Tabla4[[#All],[PIEZA]],ISNUMBER(SEARCH(Tabla4[[#All],[PCLAVE]],Tabla8[[#This Row],[DESCRIPCION DE TRABAJO]])),""))),"")</f>
        <v>Guias, Laminado</v>
      </c>
      <c r="O1937" s="35" t="str" cm="1">
        <f t="array" ref="O1937">_xlfn.TEXTJOIN(", ",TRUE,_xlfn._xlws.FILTER(Tabla28[[#All],[PARTE]],ISNUMBER(SEARCH(Tabla28[[#All],[PCLAVE2]],Tabla8[[#This Row],[DESCRIPCION DE TRABAJO]])),""))</f>
        <v/>
      </c>
      <c r="P1937" s="633" t="str">
        <f>IFERROR(LEFT(O1937, FIND(",", O1937)-1), O1937)</f>
        <v/>
      </c>
      <c r="Q1937" s="633" t="str">
        <f>IFERROR(IF(ISERROR(FIND(",", O1937, FIND(",", O1937)+1)), RIGHT(O1937, LEN(O1937)-FIND(",", O1937)-1), MID(O1937, FIND(",", O1937)+2, FIND(",", O1937, FIND(",", O1937)+1)-FIND(",", O1937)-2)), "")</f>
        <v/>
      </c>
      <c r="R1937" s="633" t="str">
        <f>IFERROR(RIGHT(O1937, LEN(O1937)-FIND(",", O1937, FIND(",", O1937)+1)-1), "")</f>
        <v/>
      </c>
      <c r="S1937" s="35" t="str" cm="1">
        <f t="array" ref="S1937">_xlfn.TEXTJOIN(", ",TRUE,_xlfn._xlws.FILTER(Tabla29[[#All],[PARTE]],ISNUMBER(SEARCH(Tabla29[[#All],[PCLAVE3]],Tabla8[[#This Row],[DESCRIPCION DE TRABAJO]])),""))</f>
        <v>Laminado</v>
      </c>
      <c r="T1937" s="88" t="str">
        <f>IF(AND(Tabla8[[#This Row],[PIEZA]]="",Tabla8[[#This Row],[PARTE]]=""),"VACIO","OK")</f>
        <v>OK</v>
      </c>
      <c r="U1937" s="633" t="str">
        <f>+CONCATENATE(WEEKNUM(Tabla8[[#This Row],[FECHA]]),"-",YEAR(Tabla8[[#This Row],[FECHA]]))</f>
        <v>26-2026</v>
      </c>
    </row>
    <row r="1938" spans="1:21" ht="15" customHeight="1">
      <c r="A1938" s="22">
        <v>46197</v>
      </c>
      <c r="B1938" s="16" t="s">
        <v>88</v>
      </c>
      <c r="C1938" s="16" t="s">
        <v>36</v>
      </c>
      <c r="D1938" s="381" t="s">
        <v>556</v>
      </c>
      <c r="E1938" s="381" t="s">
        <v>1608</v>
      </c>
      <c r="F1938" s="632">
        <f>+MOD(Tabla8[[#This Row],[HR. FIN]]-Tabla8[[#This Row],[HR. INICIO]],1)</f>
        <v>1.3888888888888895E-2</v>
      </c>
      <c r="G1938" s="16" t="s">
        <v>169</v>
      </c>
      <c r="H1938" s="79" t="str">
        <f>IFERROR(VLOOKUP(G1938,DATOS!$M$2:$N$219,2,FALSE),"")</f>
        <v>Maquinaria</v>
      </c>
      <c r="I1938" s="115" t="s">
        <v>32</v>
      </c>
      <c r="J1938" s="115" t="s">
        <v>157</v>
      </c>
      <c r="K1938" s="115"/>
      <c r="L1938" s="35" t="s">
        <v>1593</v>
      </c>
      <c r="M1938" s="35" t="s">
        <v>3398</v>
      </c>
      <c r="N1938" s="35" t="str" cm="1">
        <f t="array" ref="N1938">IFERROR(IF(Tabla8[[#This Row],[P/NP]]="NO PROGRAMADA","",_xlfn.TEXTJOIN(", ",TRUE,_xlfn._xlws.FILTER(Tabla4[[#All],[PIEZA]],ISNUMBER(SEARCH(Tabla4[[#All],[PCLAVE]],Tabla8[[#This Row],[DESCRIPCION DE TRABAJO]])),""))),"")</f>
        <v/>
      </c>
      <c r="O1938" s="35" t="str" cm="1">
        <f t="array" ref="O1938">_xlfn.TEXTJOIN(", ",TRUE,_xlfn._xlws.FILTER(Tabla28[[#All],[PARTE]],ISNUMBER(SEARCH(Tabla28[[#All],[PCLAVE2]],Tabla8[[#This Row],[DESCRIPCION DE TRABAJO]])),""))</f>
        <v/>
      </c>
      <c r="P1938" s="633" t="str">
        <f>IFERROR(LEFT(O1938, FIND(",", O1938)-1), O1938)</f>
        <v/>
      </c>
      <c r="Q1938" s="633" t="str">
        <f>IFERROR(IF(ISERROR(FIND(",", O1938, FIND(",", O1938)+1)), RIGHT(O1938, LEN(O1938)-FIND(",", O1938)-1), MID(O1938, FIND(",", O1938)+2, FIND(",", O1938, FIND(",", O1938)+1)-FIND(",", O1938)-2)), "")</f>
        <v/>
      </c>
      <c r="R1938" s="633" t="str">
        <f>IFERROR(RIGHT(O1938, LEN(O1938)-FIND(",", O1938, FIND(",", O1938)+1)-1), "")</f>
        <v/>
      </c>
      <c r="S1938" s="35" t="str" cm="1">
        <f t="array" ref="S1938">_xlfn.TEXTJOIN(", ",TRUE,_xlfn._xlws.FILTER(Tabla29[[#All],[PARTE]],ISNUMBER(SEARCH(Tabla29[[#All],[PCLAVE3]],Tabla8[[#This Row],[DESCRIPCION DE TRABAJO]])),""))</f>
        <v/>
      </c>
      <c r="T1938" s="88" t="str">
        <f>IF(AND(Tabla8[[#This Row],[PIEZA]]="",Tabla8[[#This Row],[PARTE]]=""),"VACIO","OK")</f>
        <v>VACIO</v>
      </c>
      <c r="U1938" s="633" t="str">
        <f>+CONCATENATE(WEEKNUM(Tabla8[[#This Row],[FECHA]]),"-",YEAR(Tabla8[[#This Row],[FECHA]]))</f>
        <v>26-2026</v>
      </c>
    </row>
    <row r="1939" spans="1:21" ht="15" customHeight="1">
      <c r="A1939" s="22">
        <v>46197</v>
      </c>
      <c r="B1939" s="16" t="s">
        <v>111</v>
      </c>
      <c r="C1939" s="16" t="s">
        <v>39</v>
      </c>
      <c r="D1939" s="381" t="s">
        <v>167</v>
      </c>
      <c r="E1939" s="381" t="s">
        <v>733</v>
      </c>
      <c r="F1939" s="632">
        <f>+MOD(Tabla8[[#This Row],[HR. FIN]]-Tabla8[[#This Row],[HR. INICIO]],1)</f>
        <v>1.3888888888888892E-2</v>
      </c>
      <c r="G1939" s="16" t="s">
        <v>119</v>
      </c>
      <c r="H1939" s="79" t="str">
        <f>IFERROR(VLOOKUP(G1939,DATOS!$M$2:$N$219,2,FALSE),"")</f>
        <v>Maquinaria</v>
      </c>
      <c r="I1939" s="115" t="s">
        <v>28</v>
      </c>
      <c r="J1939" s="115" t="s">
        <v>92</v>
      </c>
      <c r="K1939" s="115" t="s">
        <v>148</v>
      </c>
      <c r="L1939" s="35" t="s">
        <v>3399</v>
      </c>
      <c r="M1939" s="35" t="s">
        <v>3400</v>
      </c>
      <c r="N1939" s="35" t="str" cm="1">
        <f t="array" ref="N1939">IFERROR(IF(Tabla8[[#This Row],[P/NP]]="NO PROGRAMADA","",_xlfn.TEXTJOIN(", ",TRUE,_xlfn._xlws.FILTER(Tabla4[[#All],[PIEZA]],ISNUMBER(SEARCH(Tabla4[[#All],[PCLAVE]],Tabla8[[#This Row],[DESCRIPCION DE TRABAJO]])),""))),"")</f>
        <v/>
      </c>
      <c r="O1939" s="35" t="str" cm="1">
        <f t="array" ref="O1939">_xlfn.TEXTJOIN(", ",TRUE,_xlfn._xlws.FILTER(Tabla28[[#All],[PARTE]],ISNUMBER(SEARCH(Tabla28[[#All],[PCLAVE2]],Tabla8[[#This Row],[DESCRIPCION DE TRABAJO]])),""))</f>
        <v/>
      </c>
      <c r="P1939" s="633" t="str">
        <f>IFERROR(LEFT(O1939, FIND(",", O1939)-1), O1939)</f>
        <v/>
      </c>
      <c r="Q1939" s="633" t="str">
        <f>IFERROR(IF(ISERROR(FIND(",", O1939, FIND(",", O1939)+1)), RIGHT(O1939, LEN(O1939)-FIND(",", O1939)-1), MID(O1939, FIND(",", O1939)+2, FIND(",", O1939, FIND(",", O1939)+1)-FIND(",", O1939)-2)), "")</f>
        <v/>
      </c>
      <c r="R1939" s="633" t="str">
        <f>IFERROR(RIGHT(O1939, LEN(O1939)-FIND(",", O1939, FIND(",", O1939)+1)-1), "")</f>
        <v/>
      </c>
      <c r="S1939" s="35" t="str" cm="1">
        <f t="array" ref="S1939">_xlfn.TEXTJOIN(", ",TRUE,_xlfn._xlws.FILTER(Tabla29[[#All],[PARTE]],ISNUMBER(SEARCH(Tabla29[[#All],[PCLAVE3]],Tabla8[[#This Row],[DESCRIPCION DE TRABAJO]])),""))</f>
        <v/>
      </c>
      <c r="T1939" s="88" t="str">
        <f>IF(AND(Tabla8[[#This Row],[PIEZA]]="",Tabla8[[#This Row],[PARTE]]=""),"VACIO","OK")</f>
        <v>VACIO</v>
      </c>
      <c r="U1939" s="633" t="str">
        <f>+CONCATENATE(WEEKNUM(Tabla8[[#This Row],[FECHA]]),"-",YEAR(Tabla8[[#This Row],[FECHA]]))</f>
        <v>26-2026</v>
      </c>
    </row>
    <row r="1940" spans="1:21" ht="15" customHeight="1">
      <c r="A1940" s="22">
        <v>46197</v>
      </c>
      <c r="B1940" s="16" t="s">
        <v>111</v>
      </c>
      <c r="C1940" s="16" t="s">
        <v>39</v>
      </c>
      <c r="D1940" s="381" t="s">
        <v>1169</v>
      </c>
      <c r="E1940" s="381" t="s">
        <v>426</v>
      </c>
      <c r="F1940" s="632">
        <f>+MOD(Tabla8[[#This Row],[HR. FIN]]-Tabla8[[#This Row],[HR. INICIO]],1)</f>
        <v>1.388888888888884E-2</v>
      </c>
      <c r="G1940" s="16" t="s">
        <v>793</v>
      </c>
      <c r="H1940" s="79" t="str">
        <f>IFERROR(VLOOKUP(G1940,DATOS!$M$2:$N$219,2,FALSE),"")</f>
        <v>Maquinaria</v>
      </c>
      <c r="I1940" s="115" t="s">
        <v>54</v>
      </c>
      <c r="J1940" s="115" t="s">
        <v>157</v>
      </c>
      <c r="K1940" s="115"/>
      <c r="L1940" s="35" t="s">
        <v>225</v>
      </c>
      <c r="M1940" s="35" t="s">
        <v>3401</v>
      </c>
      <c r="N1940" s="35" t="str" cm="1">
        <f t="array" ref="N1940">IFERROR(IF(Tabla8[[#This Row],[P/NP]]="NO PROGRAMADA","",_xlfn.TEXTJOIN(", ",TRUE,_xlfn._xlws.FILTER(Tabla4[[#All],[PIEZA]],ISNUMBER(SEARCH(Tabla4[[#All],[PCLAVE]],Tabla8[[#This Row],[DESCRIPCION DE TRABAJO]])),""))),"")</f>
        <v/>
      </c>
      <c r="O1940" s="35" t="str" cm="1">
        <f t="array" ref="O1940">_xlfn.TEXTJOIN(", ",TRUE,_xlfn._xlws.FILTER(Tabla28[[#All],[PARTE]],ISNUMBER(SEARCH(Tabla28[[#All],[PCLAVE2]],Tabla8[[#This Row],[DESCRIPCION DE TRABAJO]])),""))</f>
        <v/>
      </c>
      <c r="P1940" s="633" t="str">
        <f>IFERROR(LEFT(O1940, FIND(",", O1940)-1), O1940)</f>
        <v/>
      </c>
      <c r="Q1940" s="633" t="str">
        <f>IFERROR(IF(ISERROR(FIND(",", O1940, FIND(",", O1940)+1)), RIGHT(O1940, LEN(O1940)-FIND(",", O1940)-1), MID(O1940, FIND(",", O1940)+2, FIND(",", O1940, FIND(",", O1940)+1)-FIND(",", O1940)-2)), "")</f>
        <v/>
      </c>
      <c r="R1940" s="633" t="str">
        <f>IFERROR(RIGHT(O1940, LEN(O1940)-FIND(",", O1940, FIND(",", O1940)+1)-1), "")</f>
        <v/>
      </c>
      <c r="S1940" s="35" t="str" cm="1">
        <f t="array" ref="S1940">_xlfn.TEXTJOIN(", ",TRUE,_xlfn._xlws.FILTER(Tabla29[[#All],[PARTE]],ISNUMBER(SEARCH(Tabla29[[#All],[PCLAVE3]],Tabla8[[#This Row],[DESCRIPCION DE TRABAJO]])),""))</f>
        <v/>
      </c>
      <c r="T1940" s="88" t="str">
        <f>IF(AND(Tabla8[[#This Row],[PIEZA]]="",Tabla8[[#This Row],[PARTE]]=""),"VACIO","OK")</f>
        <v>VACIO</v>
      </c>
      <c r="U1940" s="633" t="str">
        <f>+CONCATENATE(WEEKNUM(Tabla8[[#This Row],[FECHA]]),"-",YEAR(Tabla8[[#This Row],[FECHA]]))</f>
        <v>26-2026</v>
      </c>
    </row>
    <row r="1941" spans="1:21" ht="15" customHeight="1">
      <c r="A1941" s="22">
        <v>46197</v>
      </c>
      <c r="B1941" s="16" t="s">
        <v>111</v>
      </c>
      <c r="C1941" s="16" t="s">
        <v>39</v>
      </c>
      <c r="D1941" s="381" t="s">
        <v>421</v>
      </c>
      <c r="E1941" s="381" t="s">
        <v>1604</v>
      </c>
      <c r="F1941" s="632">
        <f>+MOD(Tabla8[[#This Row],[HR. FIN]]-Tabla8[[#This Row],[HR. INICIO]],1)</f>
        <v>1.388888888888884E-2</v>
      </c>
      <c r="G1941" s="16" t="s">
        <v>270</v>
      </c>
      <c r="H1941" s="79" t="str">
        <f>IFERROR(VLOOKUP(G1941,DATOS!$M$2:$N$219,2,FALSE),"")</f>
        <v>Maquinaria</v>
      </c>
      <c r="I1941" s="115" t="s">
        <v>32</v>
      </c>
      <c r="J1941" s="115" t="s">
        <v>157</v>
      </c>
      <c r="K1941" s="115"/>
      <c r="L1941" s="35" t="s">
        <v>3402</v>
      </c>
      <c r="M1941" s="35" t="s">
        <v>121</v>
      </c>
      <c r="N1941" s="35" t="str" cm="1">
        <f t="array" ref="N1941">IFERROR(IF(Tabla8[[#This Row],[P/NP]]="NO PROGRAMADA","",_xlfn.TEXTJOIN(", ",TRUE,_xlfn._xlws.FILTER(Tabla4[[#All],[PIEZA]],ISNUMBER(SEARCH(Tabla4[[#All],[PCLAVE]],Tabla8[[#This Row],[DESCRIPCION DE TRABAJO]])),""))),"")</f>
        <v/>
      </c>
      <c r="O1941" s="35" t="str" cm="1">
        <f t="array" ref="O1941">_xlfn.TEXTJOIN(", ",TRUE,_xlfn._xlws.FILTER(Tabla28[[#All],[PARTE]],ISNUMBER(SEARCH(Tabla28[[#All],[PCLAVE2]],Tabla8[[#This Row],[DESCRIPCION DE TRABAJO]])),""))</f>
        <v>Sammfill</v>
      </c>
      <c r="P1941" s="633" t="str">
        <f>IFERROR(LEFT(O1941, FIND(",", O1941)-1), O1941)</f>
        <v>Sammfill</v>
      </c>
      <c r="Q1941" s="633" t="str">
        <f>IFERROR(IF(ISERROR(FIND(",", O1941, FIND(",", O1941)+1)), RIGHT(O1941, LEN(O1941)-FIND(",", O1941)-1), MID(O1941, FIND(",", O1941)+2, FIND(",", O1941, FIND(",", O1941)+1)-FIND(",", O1941)-2)), "")</f>
        <v/>
      </c>
      <c r="R1941" s="633" t="str">
        <f>IFERROR(RIGHT(O1941, LEN(O1941)-FIND(",", O1941, FIND(",", O1941)+1)-1), "")</f>
        <v/>
      </c>
      <c r="S1941" s="35" t="str" cm="1">
        <f t="array" ref="S1941">_xlfn.TEXTJOIN(", ",TRUE,_xlfn._xlws.FILTER(Tabla29[[#All],[PARTE]],ISNUMBER(SEARCH(Tabla29[[#All],[PCLAVE3]],Tabla8[[#This Row],[DESCRIPCION DE TRABAJO]])),""))</f>
        <v/>
      </c>
      <c r="T1941" s="88" t="str">
        <f>IF(AND(Tabla8[[#This Row],[PIEZA]]="",Tabla8[[#This Row],[PARTE]]=""),"VACIO","OK")</f>
        <v>OK</v>
      </c>
      <c r="U1941" s="633" t="str">
        <f>+CONCATENATE(WEEKNUM(Tabla8[[#This Row],[FECHA]]),"-",YEAR(Tabla8[[#This Row],[FECHA]]))</f>
        <v>26-2026</v>
      </c>
    </row>
    <row r="1942" spans="1:21" ht="15" customHeight="1">
      <c r="A1942" s="22">
        <v>46197</v>
      </c>
      <c r="B1942" s="16" t="s">
        <v>131</v>
      </c>
      <c r="C1942" s="16" t="s">
        <v>36</v>
      </c>
      <c r="D1942" s="381" t="s">
        <v>2565</v>
      </c>
      <c r="E1942" s="381" t="s">
        <v>2102</v>
      </c>
      <c r="F1942" s="632">
        <f>+MOD(Tabla8[[#This Row],[HR. FIN]]-Tabla8[[#This Row],[HR. INICIO]],1)</f>
        <v>1.3194444444444453E-2</v>
      </c>
      <c r="G1942" s="16" t="s">
        <v>140</v>
      </c>
      <c r="H1942" s="79" t="str">
        <f>IFERROR(VLOOKUP(G1942,DATOS!$M$2:$N$219,2,FALSE),"")</f>
        <v>Maquinaria</v>
      </c>
      <c r="I1942" s="115" t="s">
        <v>57</v>
      </c>
      <c r="J1942" s="115" t="s">
        <v>92</v>
      </c>
      <c r="K1942" s="115" t="s">
        <v>93</v>
      </c>
      <c r="L1942" s="35" t="s">
        <v>3403</v>
      </c>
      <c r="M1942" s="35" t="s">
        <v>3404</v>
      </c>
      <c r="N1942" s="35" t="str" cm="1">
        <f t="array" ref="N1942">IFERROR(IF(Tabla8[[#This Row],[P/NP]]="NO PROGRAMADA","",_xlfn.TEXTJOIN(", ",TRUE,_xlfn._xlws.FILTER(Tabla4[[#All],[PIEZA]],ISNUMBER(SEARCH(Tabla4[[#All],[PCLAVE]],Tabla8[[#This Row],[DESCRIPCION DE TRABAJO]])),""))),"")</f>
        <v/>
      </c>
      <c r="O1942" s="35" t="str" cm="1">
        <f t="array" ref="O1942">_xlfn.TEXTJOIN(", ",TRUE,_xlfn._xlws.FILTER(Tabla28[[#All],[PARTE]],ISNUMBER(SEARCH(Tabla28[[#All],[PCLAVE2]],Tabla8[[#This Row],[DESCRIPCION DE TRABAJO]])),""))</f>
        <v/>
      </c>
      <c r="P1942" s="633" t="str">
        <f>IFERROR(LEFT(O1942, FIND(",", O1942)-1), O1942)</f>
        <v/>
      </c>
      <c r="Q1942" s="633" t="str">
        <f>IFERROR(IF(ISERROR(FIND(",", O1942, FIND(",", O1942)+1)), RIGHT(O1942, LEN(O1942)-FIND(",", O1942)-1), MID(O1942, FIND(",", O1942)+2, FIND(",", O1942, FIND(",", O1942)+1)-FIND(",", O1942)-2)), "")</f>
        <v/>
      </c>
      <c r="R1942" s="633" t="str">
        <f>IFERROR(RIGHT(O1942, LEN(O1942)-FIND(",", O1942, FIND(",", O1942)+1)-1), "")</f>
        <v/>
      </c>
      <c r="S1942" s="35" t="str" cm="1">
        <f t="array" ref="S1942">_xlfn.TEXTJOIN(", ",TRUE,_xlfn._xlws.FILTER(Tabla29[[#All],[PARTE]],ISNUMBER(SEARCH(Tabla29[[#All],[PCLAVE3]],Tabla8[[#This Row],[DESCRIPCION DE TRABAJO]])),""))</f>
        <v>Mancha Etiquetas</v>
      </c>
      <c r="T1942" s="88" t="str">
        <f>IF(AND(Tabla8[[#This Row],[PIEZA]]="",Tabla8[[#This Row],[PARTE]]=""),"VACIO","OK")</f>
        <v>VACIO</v>
      </c>
      <c r="U1942" s="633" t="str">
        <f>+CONCATENATE(WEEKNUM(Tabla8[[#This Row],[FECHA]]),"-",YEAR(Tabla8[[#This Row],[FECHA]]))</f>
        <v>26-2026</v>
      </c>
    </row>
    <row r="1943" spans="1:21" ht="15" customHeight="1">
      <c r="A1943" s="22">
        <v>46197</v>
      </c>
      <c r="B1943" s="16" t="s">
        <v>191</v>
      </c>
      <c r="C1943" s="16" t="s">
        <v>23</v>
      </c>
      <c r="D1943" s="381" t="s">
        <v>956</v>
      </c>
      <c r="E1943" s="381" t="s">
        <v>1842</v>
      </c>
      <c r="F1943" s="632">
        <f>+MOD(Tabla8[[#This Row],[HR. FIN]]-Tabla8[[#This Row],[HR. INICIO]],1)</f>
        <v>1.1805555555555514E-2</v>
      </c>
      <c r="G1943" s="16" t="s">
        <v>438</v>
      </c>
      <c r="H1943" s="79" t="str">
        <f>IFERROR(VLOOKUP(G1943,DATOS!$M$2:$N$219,2,FALSE),"")</f>
        <v>Maquinaria</v>
      </c>
      <c r="I1943" s="115" t="s">
        <v>186</v>
      </c>
      <c r="J1943" s="115" t="s">
        <v>92</v>
      </c>
      <c r="K1943" s="115" t="s">
        <v>148</v>
      </c>
      <c r="L1943" s="35" t="s">
        <v>3405</v>
      </c>
      <c r="M1943" s="35" t="s">
        <v>3406</v>
      </c>
      <c r="N1943" s="35" t="str" cm="1">
        <f t="array" ref="N1943">IFERROR(IF(Tabla8[[#This Row],[P/NP]]="NO PROGRAMADA","",_xlfn.TEXTJOIN(", ",TRUE,_xlfn._xlws.FILTER(Tabla4[[#All],[PIEZA]],ISNUMBER(SEARCH(Tabla4[[#All],[PCLAVE]],Tabla8[[#This Row],[DESCRIPCION DE TRABAJO]])),""))),"")</f>
        <v/>
      </c>
      <c r="O1943" s="35" t="str" cm="1">
        <f t="array" ref="O1943">_xlfn.TEXTJOIN(", ",TRUE,_xlfn._xlws.FILTER(Tabla28[[#All],[PARTE]],ISNUMBER(SEARCH(Tabla28[[#All],[PCLAVE2]],Tabla8[[#This Row],[DESCRIPCION DE TRABAJO]])),""))</f>
        <v/>
      </c>
      <c r="P1943" s="633" t="str">
        <f>IFERROR(LEFT(O1943, FIND(",", O1943)-1), O1943)</f>
        <v/>
      </c>
      <c r="Q1943" s="633" t="str">
        <f>IFERROR(IF(ISERROR(FIND(",", O1943, FIND(",", O1943)+1)), RIGHT(O1943, LEN(O1943)-FIND(",", O1943)-1), MID(O1943, FIND(",", O1943)+2, FIND(",", O1943, FIND(",", O1943)+1)-FIND(",", O1943)-2)), "")</f>
        <v/>
      </c>
      <c r="R1943" s="633" t="str">
        <f>IFERROR(RIGHT(O1943, LEN(O1943)-FIND(",", O1943, FIND(",", O1943)+1)-1), "")</f>
        <v/>
      </c>
      <c r="S1943" s="35" t="str" cm="1">
        <f t="array" ref="S1943">_xlfn.TEXTJOIN(", ",TRUE,_xlfn._xlws.FILTER(Tabla29[[#All],[PARTE]],ISNUMBER(SEARCH(Tabla29[[#All],[PCLAVE3]],Tabla8[[#This Row],[DESCRIPCION DE TRABAJO]])),""))</f>
        <v/>
      </c>
      <c r="T1943" s="88" t="str">
        <f>IF(AND(Tabla8[[#This Row],[PIEZA]]="",Tabla8[[#This Row],[PARTE]]=""),"VACIO","OK")</f>
        <v>VACIO</v>
      </c>
      <c r="U1943" s="633" t="str">
        <f>+CONCATENATE(WEEKNUM(Tabla8[[#This Row],[FECHA]]),"-",YEAR(Tabla8[[#This Row],[FECHA]]))</f>
        <v>26-2026</v>
      </c>
    </row>
    <row r="1944" spans="1:21" ht="15" customHeight="1">
      <c r="A1944" s="22">
        <v>46197</v>
      </c>
      <c r="B1944" s="16" t="s">
        <v>191</v>
      </c>
      <c r="C1944" s="16" t="s">
        <v>23</v>
      </c>
      <c r="D1944" s="381" t="s">
        <v>3407</v>
      </c>
      <c r="E1944" s="381" t="s">
        <v>3408</v>
      </c>
      <c r="F1944" s="632">
        <f>+MOD(Tabla8[[#This Row],[HR. FIN]]-Tabla8[[#This Row],[HR. INICIO]],1)</f>
        <v>1.1111111111111183E-2</v>
      </c>
      <c r="G1944" s="16" t="s">
        <v>270</v>
      </c>
      <c r="H1944" s="79" t="str">
        <f>IFERROR(VLOOKUP(G1944,DATOS!$M$2:$N$219,2,FALSE),"")</f>
        <v>Maquinaria</v>
      </c>
      <c r="I1944" s="115" t="s">
        <v>32</v>
      </c>
      <c r="J1944" s="115" t="s">
        <v>157</v>
      </c>
      <c r="K1944" s="115"/>
      <c r="L1944" s="35" t="s">
        <v>3409</v>
      </c>
      <c r="M1944" s="35" t="s">
        <v>121</v>
      </c>
      <c r="N1944" s="35" t="str" cm="1">
        <f t="array" ref="N1944">IFERROR(IF(Tabla8[[#This Row],[P/NP]]="NO PROGRAMADA","",_xlfn.TEXTJOIN(", ",TRUE,_xlfn._xlws.FILTER(Tabla4[[#All],[PIEZA]],ISNUMBER(SEARCH(Tabla4[[#All],[PCLAVE]],Tabla8[[#This Row],[DESCRIPCION DE TRABAJO]])),""))),"")</f>
        <v/>
      </c>
      <c r="O1944" s="35" t="str" cm="1">
        <f t="array" ref="O1944">_xlfn.TEXTJOIN(", ",TRUE,_xlfn._xlws.FILTER(Tabla28[[#All],[PARTE]],ISNUMBER(SEARCH(Tabla28[[#All],[PCLAVE2]],Tabla8[[#This Row],[DESCRIPCION DE TRABAJO]])),""))</f>
        <v>Sammfill</v>
      </c>
      <c r="P1944" s="633" t="str">
        <f>IFERROR(LEFT(O1944, FIND(",", O1944)-1), O1944)</f>
        <v>Sammfill</v>
      </c>
      <c r="Q1944" s="633" t="str">
        <f>IFERROR(IF(ISERROR(FIND(",", O1944, FIND(",", O1944)+1)), RIGHT(O1944, LEN(O1944)-FIND(",", O1944)-1), MID(O1944, FIND(",", O1944)+2, FIND(",", O1944, FIND(",", O1944)+1)-FIND(",", O1944)-2)), "")</f>
        <v/>
      </c>
      <c r="R1944" s="633" t="str">
        <f>IFERROR(RIGHT(O1944, LEN(O1944)-FIND(",", O1944, FIND(",", O1944)+1)-1), "")</f>
        <v/>
      </c>
      <c r="S1944" s="35" t="str" cm="1">
        <f t="array" ref="S1944">_xlfn.TEXTJOIN(", ",TRUE,_xlfn._xlws.FILTER(Tabla29[[#All],[PARTE]],ISNUMBER(SEARCH(Tabla29[[#All],[PCLAVE3]],Tabla8[[#This Row],[DESCRIPCION DE TRABAJO]])),""))</f>
        <v>Setup</v>
      </c>
      <c r="T1944" s="88" t="str">
        <f>IF(AND(Tabla8[[#This Row],[PIEZA]]="",Tabla8[[#This Row],[PARTE]]=""),"VACIO","OK")</f>
        <v>OK</v>
      </c>
      <c r="U1944" s="633" t="str">
        <f>+CONCATENATE(WEEKNUM(Tabla8[[#This Row],[FECHA]]),"-",YEAR(Tabla8[[#This Row],[FECHA]]))</f>
        <v>26-2026</v>
      </c>
    </row>
    <row r="1945" spans="1:21" ht="15" customHeight="1">
      <c r="A1945" s="22">
        <v>46197</v>
      </c>
      <c r="B1945" s="16" t="s">
        <v>191</v>
      </c>
      <c r="C1945" s="16" t="s">
        <v>23</v>
      </c>
      <c r="D1945" s="381" t="s">
        <v>300</v>
      </c>
      <c r="E1945" s="381" t="s">
        <v>1847</v>
      </c>
      <c r="F1945" s="632">
        <f>+MOD(Tabla8[[#This Row],[HR. FIN]]-Tabla8[[#This Row],[HR. INICIO]],1)</f>
        <v>1.1111111111111072E-2</v>
      </c>
      <c r="G1945" s="16" t="s">
        <v>215</v>
      </c>
      <c r="H1945" s="79" t="str">
        <f>IFERROR(VLOOKUP(G1945,DATOS!$M$2:$N$219,2,FALSE),"")</f>
        <v>Equipos auxiliares</v>
      </c>
      <c r="I1945" s="115" t="s">
        <v>54</v>
      </c>
      <c r="J1945" s="115" t="s">
        <v>157</v>
      </c>
      <c r="K1945" s="115"/>
      <c r="L1945" s="35" t="s">
        <v>1751</v>
      </c>
      <c r="M1945" s="35" t="s">
        <v>121</v>
      </c>
      <c r="N1945" s="35" t="str" cm="1">
        <f t="array" ref="N1945">IFERROR(IF(Tabla8[[#This Row],[P/NP]]="NO PROGRAMADA","",_xlfn.TEXTJOIN(", ",TRUE,_xlfn._xlws.FILTER(Tabla4[[#All],[PIEZA]],ISNUMBER(SEARCH(Tabla4[[#All],[PCLAVE]],Tabla8[[#This Row],[DESCRIPCION DE TRABAJO]])),""))),"")</f>
        <v/>
      </c>
      <c r="O1945" s="35" t="str" cm="1">
        <f t="array" ref="O1945">_xlfn.TEXTJOIN(", ",TRUE,_xlfn._xlws.FILTER(Tabla28[[#All],[PARTE]],ISNUMBER(SEARCH(Tabla28[[#All],[PCLAVE2]],Tabla8[[#This Row],[DESCRIPCION DE TRABAJO]])),""))</f>
        <v/>
      </c>
      <c r="P1945" s="633" t="str">
        <f>IFERROR(LEFT(O1945, FIND(",", O1945)-1), O1945)</f>
        <v/>
      </c>
      <c r="Q1945" s="633" t="str">
        <f>IFERROR(IF(ISERROR(FIND(",", O1945, FIND(",", O1945)+1)), RIGHT(O1945, LEN(O1945)-FIND(",", O1945)-1), MID(O1945, FIND(",", O1945)+2, FIND(",", O1945, FIND(",", O1945)+1)-FIND(",", O1945)-2)), "")</f>
        <v/>
      </c>
      <c r="R1945" s="633" t="str">
        <f>IFERROR(RIGHT(O1945, LEN(O1945)-FIND(",", O1945, FIND(",", O1945)+1)-1), "")</f>
        <v/>
      </c>
      <c r="S1945" s="35" t="str" cm="1">
        <f t="array" ref="S1945">_xlfn.TEXTJOIN(", ",TRUE,_xlfn._xlws.FILTER(Tabla29[[#All],[PARTE]],ISNUMBER(SEARCH(Tabla29[[#All],[PCLAVE3]],Tabla8[[#This Row],[DESCRIPCION DE TRABAJO]])),""))</f>
        <v/>
      </c>
      <c r="T1945" s="88" t="str">
        <f>IF(AND(Tabla8[[#This Row],[PIEZA]]="",Tabla8[[#This Row],[PARTE]]=""),"VACIO","OK")</f>
        <v>VACIO</v>
      </c>
      <c r="U1945" s="633" t="str">
        <f>+CONCATENATE(WEEKNUM(Tabla8[[#This Row],[FECHA]]),"-",YEAR(Tabla8[[#This Row],[FECHA]]))</f>
        <v>26-2026</v>
      </c>
    </row>
    <row r="1946" spans="1:21" ht="15" customHeight="1">
      <c r="A1946" s="22">
        <v>46197</v>
      </c>
      <c r="B1946" s="16" t="s">
        <v>88</v>
      </c>
      <c r="C1946" s="16" t="s">
        <v>36</v>
      </c>
      <c r="D1946" s="381" t="s">
        <v>430</v>
      </c>
      <c r="E1946" s="381" t="s">
        <v>699</v>
      </c>
      <c r="F1946" s="632">
        <f>+MOD(Tabla8[[#This Row],[HR. FIN]]-Tabla8[[#This Row],[HR. INICIO]],1)</f>
        <v>1.0416666666666685E-2</v>
      </c>
      <c r="G1946" s="16" t="s">
        <v>793</v>
      </c>
      <c r="H1946" s="79" t="str">
        <f>IFERROR(VLOOKUP(G1946,DATOS!$M$2:$N$219,2,FALSE),"")</f>
        <v>Maquinaria</v>
      </c>
      <c r="I1946" s="115" t="s">
        <v>28</v>
      </c>
      <c r="J1946" s="115" t="s">
        <v>92</v>
      </c>
      <c r="K1946" s="115" t="s">
        <v>93</v>
      </c>
      <c r="L1946" s="35" t="s">
        <v>3410</v>
      </c>
      <c r="M1946" s="35" t="s">
        <v>3411</v>
      </c>
      <c r="N1946" s="35" t="str" cm="1">
        <f t="array" ref="N1946">IFERROR(IF(Tabla8[[#This Row],[P/NP]]="NO PROGRAMADA","",_xlfn.TEXTJOIN(", ",TRUE,_xlfn._xlws.FILTER(Tabla4[[#All],[PIEZA]],ISNUMBER(SEARCH(Tabla4[[#All],[PCLAVE]],Tabla8[[#This Row],[DESCRIPCION DE TRABAJO]])),""))),"")</f>
        <v/>
      </c>
      <c r="O1946" s="35" t="str" cm="1">
        <f t="array" ref="O1946">_xlfn.TEXTJOIN(", ",TRUE,_xlfn._xlws.FILTER(Tabla28[[#All],[PARTE]],ISNUMBER(SEARCH(Tabla28[[#All],[PCLAVE2]],Tabla8[[#This Row],[DESCRIPCION DE TRABAJO]])),""))</f>
        <v/>
      </c>
      <c r="P1946" s="633" t="str">
        <f>IFERROR(LEFT(O1946, FIND(",", O1946)-1), O1946)</f>
        <v/>
      </c>
      <c r="Q1946" s="633" t="str">
        <f>IFERROR(IF(ISERROR(FIND(",", O1946, FIND(",", O1946)+1)), RIGHT(O1946, LEN(O1946)-FIND(",", O1946)-1), MID(O1946, FIND(",", O1946)+2, FIND(",", O1946, FIND(",", O1946)+1)-FIND(",", O1946)-2)), "")</f>
        <v/>
      </c>
      <c r="R1946" s="633" t="str">
        <f>IFERROR(RIGHT(O1946, LEN(O1946)-FIND(",", O1946, FIND(",", O1946)+1)-1), "")</f>
        <v/>
      </c>
      <c r="S1946" s="35" t="str" cm="1">
        <f t="array" ref="S1946">_xlfn.TEXTJOIN(", ",TRUE,_xlfn._xlws.FILTER(Tabla29[[#All],[PARTE]],ISNUMBER(SEARCH(Tabla29[[#All],[PCLAVE3]],Tabla8[[#This Row],[DESCRIPCION DE TRABAJO]])),""))</f>
        <v/>
      </c>
      <c r="T1946" s="88" t="str">
        <f>IF(AND(Tabla8[[#This Row],[PIEZA]]="",Tabla8[[#This Row],[PARTE]]=""),"VACIO","OK")</f>
        <v>VACIO</v>
      </c>
      <c r="U1946" s="633" t="str">
        <f>+CONCATENATE(WEEKNUM(Tabla8[[#This Row],[FECHA]]),"-",YEAR(Tabla8[[#This Row],[FECHA]]))</f>
        <v>26-2026</v>
      </c>
    </row>
    <row r="1947" spans="1:21" ht="15" customHeight="1">
      <c r="A1947" s="22">
        <v>46197</v>
      </c>
      <c r="B1947" s="16" t="s">
        <v>191</v>
      </c>
      <c r="C1947" s="16" t="s">
        <v>23</v>
      </c>
      <c r="D1947" s="381" t="s">
        <v>1865</v>
      </c>
      <c r="E1947" s="381" t="s">
        <v>1866</v>
      </c>
      <c r="F1947" s="632">
        <f>+MOD(Tabla8[[#This Row],[HR. FIN]]-Tabla8[[#This Row],[HR. INICIO]],1)</f>
        <v>8.3333333333333037E-3</v>
      </c>
      <c r="G1947" s="16" t="s">
        <v>182</v>
      </c>
      <c r="H1947" s="79" t="str">
        <f>IFERROR(VLOOKUP(G1947,DATOS!$M$2:$N$219,2,FALSE),"")</f>
        <v>Maquinaria</v>
      </c>
      <c r="I1947" s="115" t="s">
        <v>57</v>
      </c>
      <c r="J1947" s="115" t="s">
        <v>92</v>
      </c>
      <c r="K1947" s="115" t="s">
        <v>93</v>
      </c>
      <c r="L1947" s="35" t="s">
        <v>3412</v>
      </c>
      <c r="M1947" s="35" t="s">
        <v>3413</v>
      </c>
      <c r="N1947" s="35" t="str" cm="1">
        <f t="array" ref="N1947">IFERROR(IF(Tabla8[[#This Row],[P/NP]]="NO PROGRAMADA","",_xlfn.TEXTJOIN(", ",TRUE,_xlfn._xlws.FILTER(Tabla4[[#All],[PIEZA]],ISNUMBER(SEARCH(Tabla4[[#All],[PCLAVE]],Tabla8[[#This Row],[DESCRIPCION DE TRABAJO]])),""))),"")</f>
        <v/>
      </c>
      <c r="O1947" s="35" t="str" cm="1">
        <f t="array" ref="O1947">_xlfn.TEXTJOIN(", ",TRUE,_xlfn._xlws.FILTER(Tabla28[[#All],[PARTE]],ISNUMBER(SEARCH(Tabla28[[#All],[PCLAVE2]],Tabla8[[#This Row],[DESCRIPCION DE TRABAJO]])),""))</f>
        <v/>
      </c>
      <c r="P1947" s="633" t="str">
        <f>IFERROR(LEFT(O1947, FIND(",", O1947)-1), O1947)</f>
        <v/>
      </c>
      <c r="Q1947" s="633" t="str">
        <f>IFERROR(IF(ISERROR(FIND(",", O1947, FIND(",", O1947)+1)), RIGHT(O1947, LEN(O1947)-FIND(",", O1947)-1), MID(O1947, FIND(",", O1947)+2, FIND(",", O1947, FIND(",", O1947)+1)-FIND(",", O1947)-2)), "")</f>
        <v/>
      </c>
      <c r="R1947" s="633" t="str">
        <f>IFERROR(RIGHT(O1947, LEN(O1947)-FIND(",", O1947, FIND(",", O1947)+1)-1), "")</f>
        <v/>
      </c>
      <c r="S1947" s="35" t="str" cm="1">
        <f t="array" ref="S1947">_xlfn.TEXTJOIN(", ",TRUE,_xlfn._xlws.FILTER(Tabla29[[#All],[PARTE]],ISNUMBER(SEARCH(Tabla29[[#All],[PCLAVE3]],Tabla8[[#This Row],[DESCRIPCION DE TRABAJO]])),""))</f>
        <v>No Sella, Sellado</v>
      </c>
      <c r="T1947" s="88" t="str">
        <f>IF(AND(Tabla8[[#This Row],[PIEZA]]="",Tabla8[[#This Row],[PARTE]]=""),"VACIO","OK")</f>
        <v>VACIO</v>
      </c>
      <c r="U1947" s="633" t="str">
        <f>+CONCATENATE(WEEKNUM(Tabla8[[#This Row],[FECHA]]),"-",YEAR(Tabla8[[#This Row],[FECHA]]))</f>
        <v>26-2026</v>
      </c>
    </row>
    <row r="1948" spans="1:21" ht="15" customHeight="1">
      <c r="A1948" s="22">
        <v>46197</v>
      </c>
      <c r="B1948" s="16" t="s">
        <v>88</v>
      </c>
      <c r="C1948" s="16" t="s">
        <v>36</v>
      </c>
      <c r="D1948" s="381" t="s">
        <v>392</v>
      </c>
      <c r="E1948" s="381" t="s">
        <v>586</v>
      </c>
      <c r="F1948" s="632">
        <f>+MOD(Tabla8[[#This Row],[HR. FIN]]-Tabla8[[#This Row],[HR. INICIO]],1)</f>
        <v>6.9444444444444198E-3</v>
      </c>
      <c r="G1948" s="16" t="s">
        <v>81</v>
      </c>
      <c r="H1948" s="79" t="str">
        <f>IFERROR(VLOOKUP(G1948,DATOS!$M$2:$N$219,2,FALSE),"")</f>
        <v>Maquinaria</v>
      </c>
      <c r="I1948" s="115" t="s">
        <v>57</v>
      </c>
      <c r="J1948" s="115" t="s">
        <v>92</v>
      </c>
      <c r="K1948" s="115" t="s">
        <v>93</v>
      </c>
      <c r="L1948" s="35" t="s">
        <v>3414</v>
      </c>
      <c r="M1948" s="35" t="s">
        <v>3415</v>
      </c>
      <c r="N1948" s="35" t="str" cm="1">
        <f t="array" ref="N1948">IFERROR(IF(Tabla8[[#This Row],[P/NP]]="NO PROGRAMADA","",_xlfn.TEXTJOIN(", ",TRUE,_xlfn._xlws.FILTER(Tabla4[[#All],[PIEZA]],ISNUMBER(SEARCH(Tabla4[[#All],[PCLAVE]],Tabla8[[#This Row],[DESCRIPCION DE TRABAJO]])),""))),"")</f>
        <v/>
      </c>
      <c r="O1948" s="35" t="str" cm="1">
        <f t="array" ref="O1948">_xlfn.TEXTJOIN(", ",TRUE,_xlfn._xlws.FILTER(Tabla28[[#All],[PARTE]],ISNUMBER(SEARCH(Tabla28[[#All],[PCLAVE2]],Tabla8[[#This Row],[DESCRIPCION DE TRABAJO]])),""))</f>
        <v/>
      </c>
      <c r="P1948" s="633" t="str">
        <f>IFERROR(LEFT(O1948, FIND(",", O1948)-1), O1948)</f>
        <v/>
      </c>
      <c r="Q1948" s="633" t="str">
        <f>IFERROR(IF(ISERROR(FIND(",", O1948, FIND(",", O1948)+1)), RIGHT(O1948, LEN(O1948)-FIND(",", O1948)-1), MID(O1948, FIND(",", O1948)+2, FIND(",", O1948, FIND(",", O1948)+1)-FIND(",", O1948)-2)), "")</f>
        <v/>
      </c>
      <c r="R1948" s="633" t="str">
        <f>IFERROR(RIGHT(O1948, LEN(O1948)-FIND(",", O1948, FIND(",", O1948)+1)-1), "")</f>
        <v/>
      </c>
      <c r="S1948" s="35" t="str" cm="1">
        <f t="array" ref="S1948">_xlfn.TEXTJOIN(", ",TRUE,_xlfn._xlws.FILTER(Tabla29[[#All],[PARTE]],ISNUMBER(SEARCH(Tabla29[[#All],[PCLAVE3]],Tabla8[[#This Row],[DESCRIPCION DE TRABAJO]])),""))</f>
        <v>Calibracion</v>
      </c>
      <c r="T1948" s="88" t="str">
        <f>IF(AND(Tabla8[[#This Row],[PIEZA]]="",Tabla8[[#This Row],[PARTE]]=""),"VACIO","OK")</f>
        <v>VACIO</v>
      </c>
      <c r="U1948" s="633" t="str">
        <f>+CONCATENATE(WEEKNUM(Tabla8[[#This Row],[FECHA]]),"-",YEAR(Tabla8[[#This Row],[FECHA]]))</f>
        <v>26-2026</v>
      </c>
    </row>
    <row r="1949" spans="1:21" ht="15" customHeight="1">
      <c r="A1949" s="22">
        <v>46198</v>
      </c>
      <c r="B1949" s="16" t="s">
        <v>131</v>
      </c>
      <c r="C1949" s="16" t="s">
        <v>36</v>
      </c>
      <c r="D1949" s="381" t="s">
        <v>3416</v>
      </c>
      <c r="E1949" s="381" t="s">
        <v>123</v>
      </c>
      <c r="F1949" s="632">
        <f>+MOD(Tabla8[[#This Row],[HR. FIN]]-Tabla8[[#This Row],[HR. INICIO]],1)</f>
        <v>4.3055555555555569E-2</v>
      </c>
      <c r="G1949" s="16" t="s">
        <v>2100</v>
      </c>
      <c r="H1949" s="79" t="str">
        <f>IFERROR(VLOOKUP(G1949,DATOS!$M$2:$N$219,2,FALSE),"")</f>
        <v>Maquinaria</v>
      </c>
      <c r="I1949" s="115" t="s">
        <v>32</v>
      </c>
      <c r="J1949" s="115" t="s">
        <v>157</v>
      </c>
      <c r="K1949" s="115"/>
      <c r="L1949" s="35" t="s">
        <v>3417</v>
      </c>
      <c r="M1949" s="35" t="s">
        <v>121</v>
      </c>
      <c r="N1949" s="35" t="str" cm="1">
        <f t="array" ref="N1949">IFERROR(IF(Tabla8[[#This Row],[P/NP]]="NO PROGRAMADA","",_xlfn.TEXTJOIN(", ",TRUE,_xlfn._xlws.FILTER(Tabla4[[#All],[PIEZA]],ISNUMBER(SEARCH(Tabla4[[#All],[PCLAVE]],Tabla8[[#This Row],[DESCRIPCION DE TRABAJO]])),""))),"")</f>
        <v/>
      </c>
      <c r="O1949" s="35" t="str" cm="1">
        <f t="array" ref="O1949">_xlfn.TEXTJOIN(", ",TRUE,_xlfn._xlws.FILTER(Tabla28[[#All],[PARTE]],ISNUMBER(SEARCH(Tabla28[[#All],[PCLAVE2]],Tabla8[[#This Row],[DESCRIPCION DE TRABAJO]])),""))</f>
        <v/>
      </c>
      <c r="P1949" s="633" t="str">
        <f>IFERROR(LEFT(O1949, FIND(",", O1949)-1), O1949)</f>
        <v/>
      </c>
      <c r="Q1949" s="633" t="str">
        <f>IFERROR(IF(ISERROR(FIND(",", O1949, FIND(",", O1949)+1)), RIGHT(O1949, LEN(O1949)-FIND(",", O1949)-1), MID(O1949, FIND(",", O1949)+2, FIND(",", O1949, FIND(",", O1949)+1)-FIND(",", O1949)-2)), "")</f>
        <v/>
      </c>
      <c r="R1949" s="633" t="str">
        <f>IFERROR(RIGHT(O1949, LEN(O1949)-FIND(",", O1949, FIND(",", O1949)+1)-1), "")</f>
        <v/>
      </c>
      <c r="S1949" s="35" t="str" cm="1">
        <f t="array" ref="S1949">_xlfn.TEXTJOIN(", ",TRUE,_xlfn._xlws.FILTER(Tabla29[[#All],[PARTE]],ISNUMBER(SEARCH(Tabla29[[#All],[PCLAVE3]],Tabla8[[#This Row],[DESCRIPCION DE TRABAJO]])),""))</f>
        <v/>
      </c>
      <c r="T1949" s="88" t="str">
        <f>IF(AND(Tabla8[[#This Row],[PIEZA]]="",Tabla8[[#This Row],[PARTE]]=""),"VACIO","OK")</f>
        <v>VACIO</v>
      </c>
      <c r="U1949" s="633" t="str">
        <f>+CONCATENATE(WEEKNUM(Tabla8[[#This Row],[FECHA]]),"-",YEAR(Tabla8[[#This Row],[FECHA]]))</f>
        <v>26-2026</v>
      </c>
    </row>
    <row r="1950" spans="1:21" ht="15" customHeight="1">
      <c r="A1950" s="22">
        <v>46198</v>
      </c>
      <c r="B1950" s="16" t="s">
        <v>131</v>
      </c>
      <c r="C1950" s="16" t="s">
        <v>36</v>
      </c>
      <c r="D1950" s="381" t="s">
        <v>468</v>
      </c>
      <c r="E1950" s="381" t="s">
        <v>281</v>
      </c>
      <c r="F1950" s="632">
        <f>+MOD(Tabla8[[#This Row],[HR. FIN]]-Tabla8[[#This Row],[HR. INICIO]],1)</f>
        <v>4.1666666666666741E-2</v>
      </c>
      <c r="G1950" s="16" t="s">
        <v>438</v>
      </c>
      <c r="H1950" s="79" t="str">
        <f>IFERROR(VLOOKUP(G1950,DATOS!$M$2:$N$219,2,FALSE),"")</f>
        <v>Maquinaria</v>
      </c>
      <c r="I1950" s="115" t="s">
        <v>28</v>
      </c>
      <c r="J1950" s="115" t="s">
        <v>92</v>
      </c>
      <c r="K1950" s="115" t="s">
        <v>148</v>
      </c>
      <c r="L1950" s="35" t="s">
        <v>3418</v>
      </c>
      <c r="M1950" s="35" t="s">
        <v>121</v>
      </c>
      <c r="N1950" s="35" t="str" cm="1">
        <f t="array" ref="N1950">IFERROR(IF(Tabla8[[#This Row],[P/NP]]="NO PROGRAMADA","",_xlfn.TEXTJOIN(", ",TRUE,_xlfn._xlws.FILTER(Tabla4[[#All],[PIEZA]],ISNUMBER(SEARCH(Tabla4[[#All],[PCLAVE]],Tabla8[[#This Row],[DESCRIPCION DE TRABAJO]])),""))),"")</f>
        <v/>
      </c>
      <c r="O1950" s="35" t="str" cm="1">
        <f t="array" ref="O1950">_xlfn.TEXTJOIN(", ",TRUE,_xlfn._xlws.FILTER(Tabla28[[#All],[PARTE]],ISNUMBER(SEARCH(Tabla28[[#All],[PCLAVE2]],Tabla8[[#This Row],[DESCRIPCION DE TRABAJO]])),""))</f>
        <v/>
      </c>
      <c r="P1950" s="633" t="str">
        <f>IFERROR(LEFT(O1950, FIND(",", O1950)-1), O1950)</f>
        <v/>
      </c>
      <c r="Q1950" s="633" t="str">
        <f>IFERROR(IF(ISERROR(FIND(",", O1950, FIND(",", O1950)+1)), RIGHT(O1950, LEN(O1950)-FIND(",", O1950)-1), MID(O1950, FIND(",", O1950)+2, FIND(",", O1950, FIND(",", O1950)+1)-FIND(",", O1950)-2)), "")</f>
        <v/>
      </c>
      <c r="R1950" s="633" t="str">
        <f>IFERROR(RIGHT(O1950, LEN(O1950)-FIND(",", O1950, FIND(",", O1950)+1)-1), "")</f>
        <v/>
      </c>
      <c r="S1950" s="35" t="str" cm="1">
        <f t="array" ref="S1950">_xlfn.TEXTJOIN(", ",TRUE,_xlfn._xlws.FILTER(Tabla29[[#All],[PARTE]],ISNUMBER(SEARCH(Tabla29[[#All],[PCLAVE3]],Tabla8[[#This Row],[DESCRIPCION DE TRABAJO]])),""))</f>
        <v/>
      </c>
      <c r="T1950" s="88" t="str">
        <f>IF(AND(Tabla8[[#This Row],[PIEZA]]="",Tabla8[[#This Row],[PARTE]]=""),"VACIO","OK")</f>
        <v>VACIO</v>
      </c>
      <c r="U1950" s="633" t="str">
        <f>+CONCATENATE(WEEKNUM(Tabla8[[#This Row],[FECHA]]),"-",YEAR(Tabla8[[#This Row],[FECHA]]))</f>
        <v>26-2026</v>
      </c>
    </row>
    <row r="1951" spans="1:21" ht="15" customHeight="1">
      <c r="A1951" s="22">
        <v>46198</v>
      </c>
      <c r="B1951" s="16" t="s">
        <v>191</v>
      </c>
      <c r="C1951" s="16" t="s">
        <v>23</v>
      </c>
      <c r="D1951" s="381" t="s">
        <v>1566</v>
      </c>
      <c r="E1951" s="381" t="s">
        <v>543</v>
      </c>
      <c r="F1951" s="632">
        <f>+MOD(Tabla8[[#This Row],[HR. FIN]]-Tabla8[[#This Row],[HR. INICIO]],1)</f>
        <v>3.6111111111111094E-2</v>
      </c>
      <c r="G1951" s="16" t="s">
        <v>103</v>
      </c>
      <c r="H1951" s="79" t="str">
        <f>IFERROR(VLOOKUP(G1951,DATOS!$M$2:$N$219,2,FALSE),"")</f>
        <v>Area</v>
      </c>
      <c r="I1951" s="115" t="s">
        <v>186</v>
      </c>
      <c r="J1951" s="115" t="s">
        <v>92</v>
      </c>
      <c r="K1951" s="115" t="s">
        <v>93</v>
      </c>
      <c r="L1951" s="35" t="s">
        <v>3419</v>
      </c>
      <c r="M1951" s="35" t="s">
        <v>3420</v>
      </c>
      <c r="N1951" s="35" t="str" cm="1">
        <f t="array" ref="N1951">IFERROR(IF(Tabla8[[#This Row],[P/NP]]="NO PROGRAMADA","",_xlfn.TEXTJOIN(", ",TRUE,_xlfn._xlws.FILTER(Tabla4[[#All],[PIEZA]],ISNUMBER(SEARCH(Tabla4[[#All],[PCLAVE]],Tabla8[[#This Row],[DESCRIPCION DE TRABAJO]])),""))),"")</f>
        <v/>
      </c>
      <c r="O1951" s="35" t="str" cm="1">
        <f t="array" ref="O1951">_xlfn.TEXTJOIN(", ",TRUE,_xlfn._xlws.FILTER(Tabla28[[#All],[PARTE]],ISNUMBER(SEARCH(Tabla28[[#All],[PCLAVE2]],Tabla8[[#This Row],[DESCRIPCION DE TRABAJO]])),""))</f>
        <v/>
      </c>
      <c r="P1951" s="633" t="str">
        <f>IFERROR(LEFT(O1951, FIND(",", O1951)-1), O1951)</f>
        <v/>
      </c>
      <c r="Q1951" s="633" t="str">
        <f>IFERROR(IF(ISERROR(FIND(",", O1951, FIND(",", O1951)+1)), RIGHT(O1951, LEN(O1951)-FIND(",", O1951)-1), MID(O1951, FIND(",", O1951)+2, FIND(",", O1951, FIND(",", O1951)+1)-FIND(",", O1951)-2)), "")</f>
        <v/>
      </c>
      <c r="R1951" s="633" t="str">
        <f>IFERROR(RIGHT(O1951, LEN(O1951)-FIND(",", O1951, FIND(",", O1951)+1)-1), "")</f>
        <v/>
      </c>
      <c r="S1951" s="35" t="str" cm="1">
        <f t="array" ref="S1951">_xlfn.TEXTJOIN(", ",TRUE,_xlfn._xlws.FILTER(Tabla29[[#All],[PARTE]],ISNUMBER(SEARCH(Tabla29[[#All],[PCLAVE3]],Tabla8[[#This Row],[DESCRIPCION DE TRABAJO]])),""))</f>
        <v>Dañado</v>
      </c>
      <c r="T1951" s="88" t="str">
        <f>IF(AND(Tabla8[[#This Row],[PIEZA]]="",Tabla8[[#This Row],[PARTE]]=""),"VACIO","OK")</f>
        <v>VACIO</v>
      </c>
      <c r="U1951" s="633" t="str">
        <f>+CONCATENATE(WEEKNUM(Tabla8[[#This Row],[FECHA]]),"-",YEAR(Tabla8[[#This Row],[FECHA]]))</f>
        <v>26-2026</v>
      </c>
    </row>
    <row r="1952" spans="1:21" ht="15" customHeight="1">
      <c r="A1952" s="22">
        <v>46198</v>
      </c>
      <c r="B1952" s="16" t="s">
        <v>131</v>
      </c>
      <c r="C1952" s="16" t="s">
        <v>36</v>
      </c>
      <c r="D1952" s="381" t="s">
        <v>3421</v>
      </c>
      <c r="E1952" s="381" t="s">
        <v>585</v>
      </c>
      <c r="F1952" s="632">
        <f>+MOD(Tabla8[[#This Row],[HR. FIN]]-Tabla8[[#This Row],[HR. INICIO]],1)</f>
        <v>3.6111111111111094E-2</v>
      </c>
      <c r="G1952" s="16" t="s">
        <v>312</v>
      </c>
      <c r="H1952" s="79" t="str">
        <f>IFERROR(VLOOKUP(G1952,DATOS!$M$2:$N$219,2,FALSE),"")</f>
        <v>Maquinaria</v>
      </c>
      <c r="I1952" s="115" t="s">
        <v>186</v>
      </c>
      <c r="J1952" s="115" t="s">
        <v>92</v>
      </c>
      <c r="K1952" s="115" t="s">
        <v>148</v>
      </c>
      <c r="L1952" s="35" t="s">
        <v>3422</v>
      </c>
      <c r="M1952" s="35" t="s">
        <v>3423</v>
      </c>
      <c r="N1952" s="35" t="str" cm="1">
        <f t="array" ref="N1952">IFERROR(IF(Tabla8[[#This Row],[P/NP]]="NO PROGRAMADA","",_xlfn.TEXTJOIN(", ",TRUE,_xlfn._xlws.FILTER(Tabla4[[#All],[PIEZA]],ISNUMBER(SEARCH(Tabla4[[#All],[PCLAVE]],Tabla8[[#This Row],[DESCRIPCION DE TRABAJO]])),""))),"")</f>
        <v/>
      </c>
      <c r="O1952" s="35" t="str" cm="1">
        <f t="array" ref="O1952">_xlfn.TEXTJOIN(", ",TRUE,_xlfn._xlws.FILTER(Tabla28[[#All],[PARTE]],ISNUMBER(SEARCH(Tabla28[[#All],[PCLAVE2]],Tabla8[[#This Row],[DESCRIPCION DE TRABAJO]])),""))</f>
        <v/>
      </c>
      <c r="P1952" s="633" t="str">
        <f>IFERROR(LEFT(O1952, FIND(",", O1952)-1), O1952)</f>
        <v/>
      </c>
      <c r="Q1952" s="633" t="str">
        <f>IFERROR(IF(ISERROR(FIND(",", O1952, FIND(",", O1952)+1)), RIGHT(O1952, LEN(O1952)-FIND(",", O1952)-1), MID(O1952, FIND(",", O1952)+2, FIND(",", O1952, FIND(",", O1952)+1)-FIND(",", O1952)-2)), "")</f>
        <v/>
      </c>
      <c r="R1952" s="633" t="str">
        <f>IFERROR(RIGHT(O1952, LEN(O1952)-FIND(",", O1952, FIND(",", O1952)+1)-1), "")</f>
        <v/>
      </c>
      <c r="S1952" s="35" t="str" cm="1">
        <f t="array" ref="S1952">_xlfn.TEXTJOIN(", ",TRUE,_xlfn._xlws.FILTER(Tabla29[[#All],[PARTE]],ISNUMBER(SEARCH(Tabla29[[#All],[PCLAVE3]],Tabla8[[#This Row],[DESCRIPCION DE TRABAJO]])),""))</f>
        <v>Apagado</v>
      </c>
      <c r="T1952" s="88" t="str">
        <f>IF(AND(Tabla8[[#This Row],[PIEZA]]="",Tabla8[[#This Row],[PARTE]]=""),"VACIO","OK")</f>
        <v>VACIO</v>
      </c>
      <c r="U1952" s="633" t="str">
        <f>+CONCATENATE(WEEKNUM(Tabla8[[#This Row],[FECHA]]),"-",YEAR(Tabla8[[#This Row],[FECHA]]))</f>
        <v>26-2026</v>
      </c>
    </row>
    <row r="1953" spans="1:21" ht="15" customHeight="1">
      <c r="A1953" s="22">
        <v>46198</v>
      </c>
      <c r="B1953" s="16" t="s">
        <v>191</v>
      </c>
      <c r="C1953" s="16" t="s">
        <v>23</v>
      </c>
      <c r="D1953" s="381" t="s">
        <v>3424</v>
      </c>
      <c r="E1953" s="381" t="s">
        <v>2675</v>
      </c>
      <c r="F1953" s="632">
        <f>+MOD(Tabla8[[#This Row],[HR. FIN]]-Tabla8[[#This Row],[HR. INICIO]],1)</f>
        <v>3.4027777777777768E-2</v>
      </c>
      <c r="G1953" s="16" t="s">
        <v>119</v>
      </c>
      <c r="H1953" s="79" t="str">
        <f>IFERROR(VLOOKUP(G1953,DATOS!$M$2:$N$219,2,FALSE),"")</f>
        <v>Maquinaria</v>
      </c>
      <c r="I1953" s="115" t="s">
        <v>186</v>
      </c>
      <c r="J1953" s="115" t="s">
        <v>92</v>
      </c>
      <c r="K1953" s="115" t="s">
        <v>93</v>
      </c>
      <c r="L1953" s="35" t="s">
        <v>3425</v>
      </c>
      <c r="M1953" s="35" t="s">
        <v>3426</v>
      </c>
      <c r="N1953" s="35" t="str" cm="1">
        <f t="array" ref="N1953">IFERROR(IF(Tabla8[[#This Row],[P/NP]]="NO PROGRAMADA","",_xlfn.TEXTJOIN(", ",TRUE,_xlfn._xlws.FILTER(Tabla4[[#All],[PIEZA]],ISNUMBER(SEARCH(Tabla4[[#All],[PCLAVE]],Tabla8[[#This Row],[DESCRIPCION DE TRABAJO]])),""))),"")</f>
        <v/>
      </c>
      <c r="O1953" s="35" t="str" cm="1">
        <f t="array" ref="O1953">_xlfn.TEXTJOIN(", ",TRUE,_xlfn._xlws.FILTER(Tabla28[[#All],[PARTE]],ISNUMBER(SEARCH(Tabla28[[#All],[PCLAVE2]],Tabla8[[#This Row],[DESCRIPCION DE TRABAJO]])),""))</f>
        <v/>
      </c>
      <c r="P1953" s="633" t="str">
        <f>IFERROR(LEFT(O1953, FIND(",", O1953)-1), O1953)</f>
        <v/>
      </c>
      <c r="Q1953" s="633" t="str">
        <f>IFERROR(IF(ISERROR(FIND(",", O1953, FIND(",", O1953)+1)), RIGHT(O1953, LEN(O1953)-FIND(",", O1953)-1), MID(O1953, FIND(",", O1953)+2, FIND(",", O1953, FIND(",", O1953)+1)-FIND(",", O1953)-2)), "")</f>
        <v/>
      </c>
      <c r="R1953" s="633" t="str">
        <f>IFERROR(RIGHT(O1953, LEN(O1953)-FIND(",", O1953, FIND(",", O1953)+1)-1), "")</f>
        <v/>
      </c>
      <c r="S1953" s="35" t="str" cm="1">
        <f t="array" ref="S1953">_xlfn.TEXTJOIN(", ",TRUE,_xlfn._xlws.FILTER(Tabla29[[#All],[PARTE]],ISNUMBER(SEARCH(Tabla29[[#All],[PCLAVE3]],Tabla8[[#This Row],[DESCRIPCION DE TRABAJO]])),""))</f>
        <v>Dañado</v>
      </c>
      <c r="T1953" s="88" t="str">
        <f>IF(AND(Tabla8[[#This Row],[PIEZA]]="",Tabla8[[#This Row],[PARTE]]=""),"VACIO","OK")</f>
        <v>VACIO</v>
      </c>
      <c r="U1953" s="633" t="str">
        <f>+CONCATENATE(WEEKNUM(Tabla8[[#This Row],[FECHA]]),"-",YEAR(Tabla8[[#This Row],[FECHA]]))</f>
        <v>26-2026</v>
      </c>
    </row>
    <row r="1954" spans="1:21" ht="15" customHeight="1">
      <c r="A1954" s="22">
        <v>46198</v>
      </c>
      <c r="B1954" s="16" t="s">
        <v>131</v>
      </c>
      <c r="C1954" s="16" t="s">
        <v>36</v>
      </c>
      <c r="D1954" s="381" t="s">
        <v>462</v>
      </c>
      <c r="E1954" s="381" t="s">
        <v>556</v>
      </c>
      <c r="F1954" s="632">
        <f>+MOD(Tabla8[[#This Row],[HR. FIN]]-Tabla8[[#This Row],[HR. INICIO]],1)</f>
        <v>3.125E-2</v>
      </c>
      <c r="G1954" s="16" t="s">
        <v>192</v>
      </c>
      <c r="H1954" s="79" t="str">
        <f>IFERROR(VLOOKUP(G1954,DATOS!$M$2:$N$219,2,FALSE),"")</f>
        <v>Maquinaria</v>
      </c>
      <c r="I1954" s="115" t="s">
        <v>32</v>
      </c>
      <c r="J1954" s="115" t="s">
        <v>157</v>
      </c>
      <c r="K1954" s="115"/>
      <c r="L1954" s="35" t="s">
        <v>3427</v>
      </c>
      <c r="M1954" s="35" t="s">
        <v>121</v>
      </c>
      <c r="N1954" s="35" t="str" cm="1">
        <f t="array" ref="N1954">IFERROR(IF(Tabla8[[#This Row],[P/NP]]="NO PROGRAMADA","",_xlfn.TEXTJOIN(", ",TRUE,_xlfn._xlws.FILTER(Tabla4[[#All],[PIEZA]],ISNUMBER(SEARCH(Tabla4[[#All],[PCLAVE]],Tabla8[[#This Row],[DESCRIPCION DE TRABAJO]])),""))),"")</f>
        <v/>
      </c>
      <c r="O1954" s="35" t="str" cm="1">
        <f t="array" ref="O1954">_xlfn.TEXTJOIN(", ",TRUE,_xlfn._xlws.FILTER(Tabla28[[#All],[PARTE]],ISNUMBER(SEARCH(Tabla28[[#All],[PCLAVE2]],Tabla8[[#This Row],[DESCRIPCION DE TRABAJO]])),""))</f>
        <v/>
      </c>
      <c r="P1954" s="633" t="str">
        <f>IFERROR(LEFT(O1954, FIND(",", O1954)-1), O1954)</f>
        <v/>
      </c>
      <c r="Q1954" s="633" t="str">
        <f>IFERROR(IF(ISERROR(FIND(",", O1954, FIND(",", O1954)+1)), RIGHT(O1954, LEN(O1954)-FIND(",", O1954)-1), MID(O1954, FIND(",", O1954)+2, FIND(",", O1954, FIND(",", O1954)+1)-FIND(",", O1954)-2)), "")</f>
        <v/>
      </c>
      <c r="R1954" s="633" t="str">
        <f>IFERROR(RIGHT(O1954, LEN(O1954)-FIND(",", O1954, FIND(",", O1954)+1)-1), "")</f>
        <v/>
      </c>
      <c r="S1954" s="35" t="str" cm="1">
        <f t="array" ref="S1954">_xlfn.TEXTJOIN(", ",TRUE,_xlfn._xlws.FILTER(Tabla29[[#All],[PARTE]],ISNUMBER(SEARCH(Tabla29[[#All],[PCLAVE3]],Tabla8[[#This Row],[DESCRIPCION DE TRABAJO]])),""))</f>
        <v>Cambio De Formato</v>
      </c>
      <c r="T1954" s="88" t="str">
        <f>IF(AND(Tabla8[[#This Row],[PIEZA]]="",Tabla8[[#This Row],[PARTE]]=""),"VACIO","OK")</f>
        <v>VACIO</v>
      </c>
      <c r="U1954" s="633" t="str">
        <f>+CONCATENATE(WEEKNUM(Tabla8[[#This Row],[FECHA]]),"-",YEAR(Tabla8[[#This Row],[FECHA]]))</f>
        <v>26-2026</v>
      </c>
    </row>
    <row r="1955" spans="1:21" ht="15" customHeight="1">
      <c r="A1955" s="22">
        <v>46198</v>
      </c>
      <c r="B1955" s="16" t="s">
        <v>191</v>
      </c>
      <c r="C1955" s="16" t="s">
        <v>23</v>
      </c>
      <c r="D1955" s="381" t="s">
        <v>284</v>
      </c>
      <c r="E1955" s="381" t="s">
        <v>3428</v>
      </c>
      <c r="F1955" s="632">
        <f>+MOD(Tabla8[[#This Row],[HR. FIN]]-Tabla8[[#This Row],[HR. INICIO]],1)</f>
        <v>2.6388888888888795E-2</v>
      </c>
      <c r="G1955" s="16" t="s">
        <v>198</v>
      </c>
      <c r="H1955" s="79" t="str">
        <f>IFERROR(VLOOKUP(G1955,DATOS!$M$2:$N$219,2,FALSE),"")</f>
        <v>Maquinaria</v>
      </c>
      <c r="I1955" s="115" t="s">
        <v>186</v>
      </c>
      <c r="J1955" s="115" t="s">
        <v>92</v>
      </c>
      <c r="K1955" s="115" t="s">
        <v>93</v>
      </c>
      <c r="L1955" s="35" t="s">
        <v>3429</v>
      </c>
      <c r="M1955" s="35" t="s">
        <v>3430</v>
      </c>
      <c r="N1955" s="35" t="str" cm="1">
        <f t="array" ref="N1955">IFERROR(IF(Tabla8[[#This Row],[P/NP]]="NO PROGRAMADA","",_xlfn.TEXTJOIN(", ",TRUE,_xlfn._xlws.FILTER(Tabla4[[#All],[PIEZA]],ISNUMBER(SEARCH(Tabla4[[#All],[PCLAVE]],Tabla8[[#This Row],[DESCRIPCION DE TRABAJO]])),""))),"")</f>
        <v/>
      </c>
      <c r="O1955" s="35" t="str" cm="1">
        <f t="array" ref="O1955">_xlfn.TEXTJOIN(", ",TRUE,_xlfn._xlws.FILTER(Tabla28[[#All],[PARTE]],ISNUMBER(SEARCH(Tabla28[[#All],[PCLAVE2]],Tabla8[[#This Row],[DESCRIPCION DE TRABAJO]])),""))</f>
        <v/>
      </c>
      <c r="P1955" s="633" t="str">
        <f>IFERROR(LEFT(O1955, FIND(",", O1955)-1), O1955)</f>
        <v/>
      </c>
      <c r="Q1955" s="633" t="str">
        <f>IFERROR(IF(ISERROR(FIND(",", O1955, FIND(",", O1955)+1)), RIGHT(O1955, LEN(O1955)-FIND(",", O1955)-1), MID(O1955, FIND(",", O1955)+2, FIND(",", O1955, FIND(",", O1955)+1)-FIND(",", O1955)-2)), "")</f>
        <v/>
      </c>
      <c r="R1955" s="633" t="str">
        <f>IFERROR(RIGHT(O1955, LEN(O1955)-FIND(",", O1955, FIND(",", O1955)+1)-1), "")</f>
        <v/>
      </c>
      <c r="S1955" s="35" t="str" cm="1">
        <f t="array" ref="S1955">_xlfn.TEXTJOIN(", ",TRUE,_xlfn._xlws.FILTER(Tabla29[[#All],[PARTE]],ISNUMBER(SEARCH(Tabla29[[#All],[PCLAVE3]],Tabla8[[#This Row],[DESCRIPCION DE TRABAJO]])),""))</f>
        <v/>
      </c>
      <c r="T1955" s="88" t="str">
        <f>IF(AND(Tabla8[[#This Row],[PIEZA]]="",Tabla8[[#This Row],[PARTE]]=""),"VACIO","OK")</f>
        <v>VACIO</v>
      </c>
      <c r="U1955" s="633" t="str">
        <f>+CONCATENATE(WEEKNUM(Tabla8[[#This Row],[FECHA]]),"-",YEAR(Tabla8[[#This Row],[FECHA]]))</f>
        <v>26-2026</v>
      </c>
    </row>
    <row r="1956" spans="1:21" ht="15" customHeight="1">
      <c r="A1956" s="22">
        <v>46198</v>
      </c>
      <c r="B1956" s="16" t="s">
        <v>111</v>
      </c>
      <c r="C1956" s="16" t="s">
        <v>39</v>
      </c>
      <c r="D1956" s="381" t="s">
        <v>1123</v>
      </c>
      <c r="E1956" s="381" t="s">
        <v>660</v>
      </c>
      <c r="F1956" s="632">
        <f>+MOD(Tabla8[[#This Row],[HR. FIN]]-Tabla8[[#This Row],[HR. INICIO]],1)</f>
        <v>2.5000000000000022E-2</v>
      </c>
      <c r="G1956" s="16" t="s">
        <v>119</v>
      </c>
      <c r="H1956" s="79" t="str">
        <f>IFERROR(VLOOKUP(G1956,DATOS!$M$2:$N$219,2,FALSE),"")</f>
        <v>Maquinaria</v>
      </c>
      <c r="I1956" s="115" t="s">
        <v>32</v>
      </c>
      <c r="J1956" s="115" t="s">
        <v>157</v>
      </c>
      <c r="K1956" s="115"/>
      <c r="L1956" s="35" t="s">
        <v>2778</v>
      </c>
      <c r="M1956" s="35" t="s">
        <v>3431</v>
      </c>
      <c r="N1956" s="35" t="str" cm="1">
        <f t="array" ref="N1956">IFERROR(IF(Tabla8[[#This Row],[P/NP]]="NO PROGRAMADA","",_xlfn.TEXTJOIN(", ",TRUE,_xlfn._xlws.FILTER(Tabla4[[#All],[PIEZA]],ISNUMBER(SEARCH(Tabla4[[#All],[PCLAVE]],Tabla8[[#This Row],[DESCRIPCION DE TRABAJO]])),""))),"")</f>
        <v/>
      </c>
      <c r="O1956" s="35" t="str" cm="1">
        <f t="array" ref="O1956">_xlfn.TEXTJOIN(", ",TRUE,_xlfn._xlws.FILTER(Tabla28[[#All],[PARTE]],ISNUMBER(SEARCH(Tabla28[[#All],[PCLAVE2]],Tabla8[[#This Row],[DESCRIPCION DE TRABAJO]])),""))</f>
        <v>Mds</v>
      </c>
      <c r="P1956" s="633" t="str">
        <f>IFERROR(LEFT(O1956, FIND(",", O1956)-1), O1956)</f>
        <v>Mds</v>
      </c>
      <c r="Q1956" s="633" t="str">
        <f>IFERROR(IF(ISERROR(FIND(",", O1956, FIND(",", O1956)+1)), RIGHT(O1956, LEN(O1956)-FIND(",", O1956)-1), MID(O1956, FIND(",", O1956)+2, FIND(",", O1956, FIND(",", O1956)+1)-FIND(",", O1956)-2)), "")</f>
        <v/>
      </c>
      <c r="R1956" s="633" t="str">
        <f>IFERROR(RIGHT(O1956, LEN(O1956)-FIND(",", O1956, FIND(",", O1956)+1)-1), "")</f>
        <v/>
      </c>
      <c r="S1956" s="35" t="str" cm="1">
        <f t="array" ref="S1956">_xlfn.TEXTJOIN(", ",TRUE,_xlfn._xlws.FILTER(Tabla29[[#All],[PARTE]],ISNUMBER(SEARCH(Tabla29[[#All],[PCLAVE3]],Tabla8[[#This Row],[DESCRIPCION DE TRABAJO]])),""))</f>
        <v>Cambio De Formato</v>
      </c>
      <c r="T1956" s="88" t="str">
        <f>IF(AND(Tabla8[[#This Row],[PIEZA]]="",Tabla8[[#This Row],[PARTE]]=""),"VACIO","OK")</f>
        <v>OK</v>
      </c>
      <c r="U1956" s="633" t="str">
        <f>+CONCATENATE(WEEKNUM(Tabla8[[#This Row],[FECHA]]),"-",YEAR(Tabla8[[#This Row],[FECHA]]))</f>
        <v>26-2026</v>
      </c>
    </row>
    <row r="1957" spans="1:21" ht="15" customHeight="1">
      <c r="A1957" s="22">
        <v>46198</v>
      </c>
      <c r="B1957" s="16" t="s">
        <v>131</v>
      </c>
      <c r="C1957" s="16" t="s">
        <v>36</v>
      </c>
      <c r="D1957" s="381" t="s">
        <v>586</v>
      </c>
      <c r="E1957" s="381" t="s">
        <v>3288</v>
      </c>
      <c r="F1957" s="632">
        <f>+MOD(Tabla8[[#This Row],[HR. FIN]]-Tabla8[[#This Row],[HR. INICIO]],1)</f>
        <v>2.430555555555558E-2</v>
      </c>
      <c r="G1957" s="16" t="s">
        <v>222</v>
      </c>
      <c r="H1957" s="79" t="str">
        <f>IFERROR(VLOOKUP(G1957,DATOS!$M$2:$N$219,2,FALSE),"")</f>
        <v>Maquinaria</v>
      </c>
      <c r="I1957" s="115" t="s">
        <v>1426</v>
      </c>
      <c r="J1957" s="115" t="s">
        <v>157</v>
      </c>
      <c r="K1957" s="115"/>
      <c r="L1957" s="35" t="s">
        <v>3432</v>
      </c>
      <c r="M1957" s="35" t="s">
        <v>121</v>
      </c>
      <c r="N1957" s="35" t="str" cm="1">
        <f t="array" ref="N1957">IFERROR(IF(Tabla8[[#This Row],[P/NP]]="NO PROGRAMADA","",_xlfn.TEXTJOIN(", ",TRUE,_xlfn._xlws.FILTER(Tabla4[[#All],[PIEZA]],ISNUMBER(SEARCH(Tabla4[[#All],[PCLAVE]],Tabla8[[#This Row],[DESCRIPCION DE TRABAJO]])),""))),"")</f>
        <v/>
      </c>
      <c r="O1957" s="35" t="str" cm="1">
        <f t="array" ref="O1957">_xlfn.TEXTJOIN(", ",TRUE,_xlfn._xlws.FILTER(Tabla28[[#All],[PARTE]],ISNUMBER(SEARCH(Tabla28[[#All],[PCLAVE2]],Tabla8[[#This Row],[DESCRIPCION DE TRABAJO]])),""))</f>
        <v/>
      </c>
      <c r="P1957" s="633" t="str">
        <f>IFERROR(LEFT(O1957, FIND(",", O1957)-1), O1957)</f>
        <v/>
      </c>
      <c r="Q1957" s="633" t="str">
        <f>IFERROR(IF(ISERROR(FIND(",", O1957, FIND(",", O1957)+1)), RIGHT(O1957, LEN(O1957)-FIND(",", O1957)-1), MID(O1957, FIND(",", O1957)+2, FIND(",", O1957, FIND(",", O1957)+1)-FIND(",", O1957)-2)), "")</f>
        <v/>
      </c>
      <c r="R1957" s="633" t="str">
        <f>IFERROR(RIGHT(O1957, LEN(O1957)-FIND(",", O1957, FIND(",", O1957)+1)-1), "")</f>
        <v/>
      </c>
      <c r="S1957" s="35" t="str" cm="1">
        <f t="array" ref="S1957">_xlfn.TEXTJOIN(", ",TRUE,_xlfn._xlws.FILTER(Tabla29[[#All],[PARTE]],ISNUMBER(SEARCH(Tabla29[[#All],[PCLAVE3]],Tabla8[[#This Row],[DESCRIPCION DE TRABAJO]])),""))</f>
        <v>Calibracion</v>
      </c>
      <c r="T1957" s="88" t="str">
        <f>IF(AND(Tabla8[[#This Row],[PIEZA]]="",Tabla8[[#This Row],[PARTE]]=""),"VACIO","OK")</f>
        <v>VACIO</v>
      </c>
      <c r="U1957" s="633" t="str">
        <f>+CONCATENATE(WEEKNUM(Tabla8[[#This Row],[FECHA]]),"-",YEAR(Tabla8[[#This Row],[FECHA]]))</f>
        <v>26-2026</v>
      </c>
    </row>
    <row r="1958" spans="1:21" ht="15" customHeight="1">
      <c r="A1958" s="22">
        <v>46198</v>
      </c>
      <c r="B1958" s="16" t="s">
        <v>179</v>
      </c>
      <c r="C1958" s="16" t="s">
        <v>23</v>
      </c>
      <c r="D1958" s="381">
        <v>0.64583333333333337</v>
      </c>
      <c r="E1958" s="381">
        <v>0.67013888888888884</v>
      </c>
      <c r="F1958" s="632">
        <f>+MOD(Tabla8[[#This Row],[HR. FIN]]-Tabla8[[#This Row],[HR. INICIO]],1)</f>
        <v>2.4305555555555469E-2</v>
      </c>
      <c r="G1958" s="16" t="s">
        <v>198</v>
      </c>
      <c r="H1958" s="79" t="str">
        <f>IFERROR(VLOOKUP(G1958,DATOS!$M$2:$N$219,2,FALSE),"")</f>
        <v>Maquinaria</v>
      </c>
      <c r="I1958" s="115" t="s">
        <v>186</v>
      </c>
      <c r="J1958" s="115" t="s">
        <v>92</v>
      </c>
      <c r="K1958" s="115" t="s">
        <v>93</v>
      </c>
      <c r="L1958" s="35" t="s">
        <v>3433</v>
      </c>
      <c r="M1958" s="35" t="s">
        <v>3434</v>
      </c>
      <c r="N1958" s="35" t="str" cm="1">
        <f t="array" ref="N1958">IFERROR(IF(Tabla8[[#This Row],[P/NP]]="NO PROGRAMADA","",_xlfn.TEXTJOIN(", ",TRUE,_xlfn._xlws.FILTER(Tabla4[[#All],[PIEZA]],ISNUMBER(SEARCH(Tabla4[[#All],[PCLAVE]],Tabla8[[#This Row],[DESCRIPCION DE TRABAJO]])),""))),"")</f>
        <v/>
      </c>
      <c r="O1958" s="35" t="str" cm="1">
        <f t="array" ref="O1958">_xlfn.TEXTJOIN(", ",TRUE,_xlfn._xlws.FILTER(Tabla28[[#All],[PARTE]],ISNUMBER(SEARCH(Tabla28[[#All],[PCLAVE2]],Tabla8[[#This Row],[DESCRIPCION DE TRABAJO]])),""))</f>
        <v/>
      </c>
      <c r="P1958" s="633" t="str">
        <f>IFERROR(LEFT(O1958, FIND(",", O1958)-1), O1958)</f>
        <v/>
      </c>
      <c r="Q1958" s="633" t="str">
        <f>IFERROR(IF(ISERROR(FIND(",", O1958, FIND(",", O1958)+1)), RIGHT(O1958, LEN(O1958)-FIND(",", O1958)-1), MID(O1958, FIND(",", O1958)+2, FIND(",", O1958, FIND(",", O1958)+1)-FIND(",", O1958)-2)), "")</f>
        <v/>
      </c>
      <c r="R1958" s="633" t="str">
        <f>IFERROR(RIGHT(O1958, LEN(O1958)-FIND(",", O1958, FIND(",", O1958)+1)-1), "")</f>
        <v/>
      </c>
      <c r="S1958" s="35" t="str" cm="1">
        <f t="array" ref="S1958">_xlfn.TEXTJOIN(", ",TRUE,_xlfn._xlws.FILTER(Tabla29[[#All],[PARTE]],ISNUMBER(SEARCH(Tabla29[[#All],[PCLAVE3]],Tabla8[[#This Row],[DESCRIPCION DE TRABAJO]])),""))</f>
        <v>Laminado</v>
      </c>
      <c r="T1958" s="88" t="str">
        <f>IF(AND(Tabla8[[#This Row],[PIEZA]]="",Tabla8[[#This Row],[PARTE]]=""),"VACIO","OK")</f>
        <v>VACIO</v>
      </c>
      <c r="U1958" s="633" t="str">
        <f>+CONCATENATE(WEEKNUM(Tabla8[[#This Row],[FECHA]]),"-",YEAR(Tabla8[[#This Row],[FECHA]]))</f>
        <v>26-2026</v>
      </c>
    </row>
    <row r="1959" spans="1:21" ht="15" customHeight="1">
      <c r="A1959" s="22">
        <v>46198</v>
      </c>
      <c r="B1959" s="16" t="s">
        <v>179</v>
      </c>
      <c r="C1959" s="16" t="s">
        <v>23</v>
      </c>
      <c r="D1959" s="381">
        <v>0.59861111111111109</v>
      </c>
      <c r="E1959" s="381">
        <v>0.62152777777777779</v>
      </c>
      <c r="F1959" s="632">
        <f>+MOD(Tabla8[[#This Row],[HR. FIN]]-Tabla8[[#This Row],[HR. INICIO]],1)</f>
        <v>2.2916666666666696E-2</v>
      </c>
      <c r="G1959" s="16" t="s">
        <v>119</v>
      </c>
      <c r="H1959" s="79" t="str">
        <f>IFERROR(VLOOKUP(G1959,DATOS!$M$2:$N$219,2,FALSE),"")</f>
        <v>Maquinaria</v>
      </c>
      <c r="I1959" s="115" t="s">
        <v>390</v>
      </c>
      <c r="J1959" s="115" t="s">
        <v>157</v>
      </c>
      <c r="K1959" s="115"/>
      <c r="L1959" s="35" t="s">
        <v>3435</v>
      </c>
      <c r="M1959" s="35" t="s">
        <v>3436</v>
      </c>
      <c r="N1959" s="35" t="str" cm="1">
        <f t="array" ref="N1959">IFERROR(IF(Tabla8[[#This Row],[P/NP]]="NO PROGRAMADA","",_xlfn.TEXTJOIN(", ",TRUE,_xlfn._xlws.FILTER(Tabla4[[#All],[PIEZA]],ISNUMBER(SEARCH(Tabla4[[#All],[PCLAVE]],Tabla8[[#This Row],[DESCRIPCION DE TRABAJO]])),""))),"")</f>
        <v>Sensor</v>
      </c>
      <c r="O1959" s="35" t="str" cm="1">
        <f t="array" ref="O1959">_xlfn.TEXTJOIN(", ",TRUE,_xlfn._xlws.FILTER(Tabla28[[#All],[PARTE]],ISNUMBER(SEARCH(Tabla28[[#All],[PCLAVE2]],Tabla8[[#This Row],[DESCRIPCION DE TRABAJO]])),""))</f>
        <v/>
      </c>
      <c r="P1959" s="633" t="str">
        <f>IFERROR(LEFT(O1959, FIND(",", O1959)-1), O1959)</f>
        <v/>
      </c>
      <c r="Q1959" s="633" t="str">
        <f>IFERROR(IF(ISERROR(FIND(",", O1959, FIND(",", O1959)+1)), RIGHT(O1959, LEN(O1959)-FIND(",", O1959)-1), MID(O1959, FIND(",", O1959)+2, FIND(",", O1959, FIND(",", O1959)+1)-FIND(",", O1959)-2)), "")</f>
        <v/>
      </c>
      <c r="R1959" s="633" t="str">
        <f>IFERROR(RIGHT(O1959, LEN(O1959)-FIND(",", O1959, FIND(",", O1959)+1)-1), "")</f>
        <v/>
      </c>
      <c r="S1959" s="35" t="str" cm="1">
        <f t="array" ref="S1959">_xlfn.TEXTJOIN(", ",TRUE,_xlfn._xlws.FILTER(Tabla29[[#All],[PARTE]],ISNUMBER(SEARCH(Tabla29[[#All],[PCLAVE3]],Tabla8[[#This Row],[DESCRIPCION DE TRABAJO]])),""))</f>
        <v/>
      </c>
      <c r="T1959" s="88" t="str">
        <f>IF(AND(Tabla8[[#This Row],[PIEZA]]="",Tabla8[[#This Row],[PARTE]]=""),"VACIO","OK")</f>
        <v>OK</v>
      </c>
      <c r="U1959" s="633" t="str">
        <f>+CONCATENATE(WEEKNUM(Tabla8[[#This Row],[FECHA]]),"-",YEAR(Tabla8[[#This Row],[FECHA]]))</f>
        <v>26-2026</v>
      </c>
    </row>
    <row r="1960" spans="1:21" ht="15" customHeight="1">
      <c r="A1960" s="22">
        <v>46198</v>
      </c>
      <c r="B1960" s="16" t="s">
        <v>191</v>
      </c>
      <c r="C1960" s="16" t="s">
        <v>23</v>
      </c>
      <c r="D1960" s="381" t="s">
        <v>3437</v>
      </c>
      <c r="E1960" s="381" t="s">
        <v>3438</v>
      </c>
      <c r="F1960" s="632">
        <f>+MOD(Tabla8[[#This Row],[HR. FIN]]-Tabla8[[#This Row],[HR. INICIO]],1)</f>
        <v>2.2916666666666585E-2</v>
      </c>
      <c r="G1960" s="16" t="s">
        <v>192</v>
      </c>
      <c r="H1960" s="79" t="str">
        <f>IFERROR(VLOOKUP(G1960,DATOS!$M$2:$N$219,2,FALSE),"")</f>
        <v>Maquinaria</v>
      </c>
      <c r="I1960" s="115" t="s">
        <v>32</v>
      </c>
      <c r="J1960" s="115" t="s">
        <v>157</v>
      </c>
      <c r="K1960" s="115"/>
      <c r="L1960" s="35" t="s">
        <v>3439</v>
      </c>
      <c r="M1960" s="35" t="s">
        <v>121</v>
      </c>
      <c r="N1960" s="35" t="str" cm="1">
        <f t="array" ref="N1960">IFERROR(IF(Tabla8[[#This Row],[P/NP]]="NO PROGRAMADA","",_xlfn.TEXTJOIN(", ",TRUE,_xlfn._xlws.FILTER(Tabla4[[#All],[PIEZA]],ISNUMBER(SEARCH(Tabla4[[#All],[PCLAVE]],Tabla8[[#This Row],[DESCRIPCION DE TRABAJO]])),""))),"")</f>
        <v/>
      </c>
      <c r="O1960" s="35" t="str" cm="1">
        <f t="array" ref="O1960">_xlfn.TEXTJOIN(", ",TRUE,_xlfn._xlws.FILTER(Tabla28[[#All],[PARTE]],ISNUMBER(SEARCH(Tabla28[[#All],[PCLAVE2]],Tabla8[[#This Row],[DESCRIPCION DE TRABAJO]])),""))</f>
        <v/>
      </c>
      <c r="P1960" s="633" t="str">
        <f>IFERROR(LEFT(O1960, FIND(",", O1960)-1), O1960)</f>
        <v/>
      </c>
      <c r="Q1960" s="633" t="str">
        <f>IFERROR(IF(ISERROR(FIND(",", O1960, FIND(",", O1960)+1)), RIGHT(O1960, LEN(O1960)-FIND(",", O1960)-1), MID(O1960, FIND(",", O1960)+2, FIND(",", O1960, FIND(",", O1960)+1)-FIND(",", O1960)-2)), "")</f>
        <v/>
      </c>
      <c r="R1960" s="633" t="str">
        <f>IFERROR(RIGHT(O1960, LEN(O1960)-FIND(",", O1960, FIND(",", O1960)+1)-1), "")</f>
        <v/>
      </c>
      <c r="S1960" s="35" t="str" cm="1">
        <f t="array" ref="S1960">_xlfn.TEXTJOIN(", ",TRUE,_xlfn._xlws.FILTER(Tabla29[[#All],[PARTE]],ISNUMBER(SEARCH(Tabla29[[#All],[PCLAVE3]],Tabla8[[#This Row],[DESCRIPCION DE TRABAJO]])),""))</f>
        <v>Cambio De Formato</v>
      </c>
      <c r="T1960" s="88" t="str">
        <f>IF(AND(Tabla8[[#This Row],[PIEZA]]="",Tabla8[[#This Row],[PARTE]]=""),"VACIO","OK")</f>
        <v>VACIO</v>
      </c>
      <c r="U1960" s="633" t="str">
        <f>+CONCATENATE(WEEKNUM(Tabla8[[#This Row],[FECHA]]),"-",YEAR(Tabla8[[#This Row],[FECHA]]))</f>
        <v>26-2026</v>
      </c>
    </row>
    <row r="1961" spans="1:21" ht="15" customHeight="1">
      <c r="A1961" s="22">
        <v>46198</v>
      </c>
      <c r="B1961" s="16" t="s">
        <v>111</v>
      </c>
      <c r="C1961" s="16" t="s">
        <v>39</v>
      </c>
      <c r="D1961" s="381" t="s">
        <v>112</v>
      </c>
      <c r="E1961" s="381" t="s">
        <v>397</v>
      </c>
      <c r="F1961" s="632">
        <f>+MOD(Tabla8[[#This Row],[HR. FIN]]-Tabla8[[#This Row],[HR. INICIO]],1)</f>
        <v>2.0833333333333336E-2</v>
      </c>
      <c r="G1961" s="16" t="s">
        <v>119</v>
      </c>
      <c r="H1961" s="79" t="str">
        <f>IFERROR(VLOOKUP(G1961,DATOS!$M$2:$N$219,2,FALSE),"")</f>
        <v>Maquinaria</v>
      </c>
      <c r="I1961" s="115" t="s">
        <v>54</v>
      </c>
      <c r="J1961" s="115" t="s">
        <v>157</v>
      </c>
      <c r="K1961" s="115"/>
      <c r="L1961" s="35" t="s">
        <v>225</v>
      </c>
      <c r="M1961" s="35" t="s">
        <v>121</v>
      </c>
      <c r="N1961" s="35" t="str" cm="1">
        <f t="array" ref="N1961">IFERROR(IF(Tabla8[[#This Row],[P/NP]]="NO PROGRAMADA","",_xlfn.TEXTJOIN(", ",TRUE,_xlfn._xlws.FILTER(Tabla4[[#All],[PIEZA]],ISNUMBER(SEARCH(Tabla4[[#All],[PCLAVE]],Tabla8[[#This Row],[DESCRIPCION DE TRABAJO]])),""))),"")</f>
        <v/>
      </c>
      <c r="O1961" s="35" t="str" cm="1">
        <f t="array" ref="O1961">_xlfn.TEXTJOIN(", ",TRUE,_xlfn._xlws.FILTER(Tabla28[[#All],[PARTE]],ISNUMBER(SEARCH(Tabla28[[#All],[PCLAVE2]],Tabla8[[#This Row],[DESCRIPCION DE TRABAJO]])),""))</f>
        <v/>
      </c>
      <c r="P1961" s="633" t="str">
        <f>IFERROR(LEFT(O1961, FIND(",", O1961)-1), O1961)</f>
        <v/>
      </c>
      <c r="Q1961" s="633" t="str">
        <f>IFERROR(IF(ISERROR(FIND(",", O1961, FIND(",", O1961)+1)), RIGHT(O1961, LEN(O1961)-FIND(",", O1961)-1), MID(O1961, FIND(",", O1961)+2, FIND(",", O1961, FIND(",", O1961)+1)-FIND(",", O1961)-2)), "")</f>
        <v/>
      </c>
      <c r="R1961" s="633" t="str">
        <f>IFERROR(RIGHT(O1961, LEN(O1961)-FIND(",", O1961, FIND(",", O1961)+1)-1), "")</f>
        <v/>
      </c>
      <c r="S1961" s="35" t="str" cm="1">
        <f t="array" ref="S1961">_xlfn.TEXTJOIN(", ",TRUE,_xlfn._xlws.FILTER(Tabla29[[#All],[PARTE]],ISNUMBER(SEARCH(Tabla29[[#All],[PCLAVE3]],Tabla8[[#This Row],[DESCRIPCION DE TRABAJO]])),""))</f>
        <v/>
      </c>
      <c r="T1961" s="88" t="str">
        <f>IF(AND(Tabla8[[#This Row],[PIEZA]]="",Tabla8[[#This Row],[PARTE]]=""),"VACIO","OK")</f>
        <v>VACIO</v>
      </c>
      <c r="U1961" s="633" t="str">
        <f>+CONCATENATE(WEEKNUM(Tabla8[[#This Row],[FECHA]]),"-",YEAR(Tabla8[[#This Row],[FECHA]]))</f>
        <v>26-2026</v>
      </c>
    </row>
    <row r="1962" spans="1:21" ht="15" customHeight="1">
      <c r="A1962" s="22">
        <v>46198</v>
      </c>
      <c r="B1962" s="16" t="s">
        <v>111</v>
      </c>
      <c r="C1962" s="16" t="s">
        <v>39</v>
      </c>
      <c r="D1962" s="381" t="s">
        <v>1264</v>
      </c>
      <c r="E1962" s="381" t="s">
        <v>1559</v>
      </c>
      <c r="F1962" s="632">
        <f>+MOD(Tabla8[[#This Row],[HR. FIN]]-Tabla8[[#This Row],[HR. INICIO]],1)</f>
        <v>2.0833333333333336E-2</v>
      </c>
      <c r="G1962" s="16" t="s">
        <v>222</v>
      </c>
      <c r="H1962" s="79" t="str">
        <f>IFERROR(VLOOKUP(G1962,DATOS!$M$2:$N$219,2,FALSE),"")</f>
        <v>Maquinaria</v>
      </c>
      <c r="I1962" s="115" t="s">
        <v>57</v>
      </c>
      <c r="J1962" s="115" t="s">
        <v>92</v>
      </c>
      <c r="K1962" s="115" t="s">
        <v>148</v>
      </c>
      <c r="L1962" s="35" t="s">
        <v>3440</v>
      </c>
      <c r="M1962" s="35" t="s">
        <v>121</v>
      </c>
      <c r="N1962" s="35" t="str" cm="1">
        <f t="array" ref="N1962">IFERROR(IF(Tabla8[[#This Row],[P/NP]]="NO PROGRAMADA","",_xlfn.TEXTJOIN(", ",TRUE,_xlfn._xlws.FILTER(Tabla4[[#All],[PIEZA]],ISNUMBER(SEARCH(Tabla4[[#All],[PCLAVE]],Tabla8[[#This Row],[DESCRIPCION DE TRABAJO]])),""))),"")</f>
        <v/>
      </c>
      <c r="O1962" s="35" t="str" cm="1">
        <f t="array" ref="O1962">_xlfn.TEXTJOIN(", ",TRUE,_xlfn._xlws.FILTER(Tabla28[[#All],[PARTE]],ISNUMBER(SEARCH(Tabla28[[#All],[PCLAVE2]],Tabla8[[#This Row],[DESCRIPCION DE TRABAJO]])),""))</f>
        <v/>
      </c>
      <c r="P1962" s="633" t="str">
        <f>IFERROR(LEFT(O1962, FIND(",", O1962)-1), O1962)</f>
        <v/>
      </c>
      <c r="Q1962" s="633" t="str">
        <f>IFERROR(IF(ISERROR(FIND(",", O1962, FIND(",", O1962)+1)), RIGHT(O1962, LEN(O1962)-FIND(",", O1962)-1), MID(O1962, FIND(",", O1962)+2, FIND(",", O1962, FIND(",", O1962)+1)-FIND(",", O1962)-2)), "")</f>
        <v/>
      </c>
      <c r="R1962" s="633" t="str">
        <f>IFERROR(RIGHT(O1962, LEN(O1962)-FIND(",", O1962, FIND(",", O1962)+1)-1), "")</f>
        <v/>
      </c>
      <c r="S1962" s="35" t="str" cm="1">
        <f t="array" ref="S1962">_xlfn.TEXTJOIN(", ",TRUE,_xlfn._xlws.FILTER(Tabla29[[#All],[PARTE]],ISNUMBER(SEARCH(Tabla29[[#All],[PCLAVE3]],Tabla8[[#This Row],[DESCRIPCION DE TRABAJO]])),""))</f>
        <v>Falsa Señal</v>
      </c>
      <c r="T1962" s="88" t="str">
        <f>IF(AND(Tabla8[[#This Row],[PIEZA]]="",Tabla8[[#This Row],[PARTE]]=""),"VACIO","OK")</f>
        <v>VACIO</v>
      </c>
      <c r="U1962" s="633" t="str">
        <f>+CONCATENATE(WEEKNUM(Tabla8[[#This Row],[FECHA]]),"-",YEAR(Tabla8[[#This Row],[FECHA]]))</f>
        <v>26-2026</v>
      </c>
    </row>
    <row r="1963" spans="1:21" ht="15" customHeight="1">
      <c r="A1963" s="22">
        <v>46198</v>
      </c>
      <c r="B1963" s="16" t="s">
        <v>88</v>
      </c>
      <c r="C1963" s="16" t="s">
        <v>36</v>
      </c>
      <c r="D1963" s="381" t="s">
        <v>430</v>
      </c>
      <c r="E1963" s="381" t="s">
        <v>122</v>
      </c>
      <c r="F1963" s="632">
        <f>+MOD(Tabla8[[#This Row],[HR. FIN]]-Tabla8[[#This Row],[HR. INICIO]],1)</f>
        <v>2.0833333333333315E-2</v>
      </c>
      <c r="G1963" s="16" t="s">
        <v>119</v>
      </c>
      <c r="H1963" s="79" t="str">
        <f>IFERROR(VLOOKUP(G1963,DATOS!$M$2:$N$219,2,FALSE),"")</f>
        <v>Maquinaria</v>
      </c>
      <c r="I1963" s="115" t="s">
        <v>32</v>
      </c>
      <c r="J1963" s="115" t="s">
        <v>157</v>
      </c>
      <c r="K1963" s="115"/>
      <c r="L1963" s="35" t="s">
        <v>3441</v>
      </c>
      <c r="M1963" s="35" t="s">
        <v>3442</v>
      </c>
      <c r="N1963" s="35" t="str" cm="1">
        <f t="array" ref="N1963">IFERROR(IF(Tabla8[[#This Row],[P/NP]]="NO PROGRAMADA","",_xlfn.TEXTJOIN(", ",TRUE,_xlfn._xlws.FILTER(Tabla4[[#All],[PIEZA]],ISNUMBER(SEARCH(Tabla4[[#All],[PCLAVE]],Tabla8[[#This Row],[DESCRIPCION DE TRABAJO]])),""))),"")</f>
        <v/>
      </c>
      <c r="O1963" s="35" t="str" cm="1">
        <f t="array" ref="O1963">_xlfn.TEXTJOIN(", ",TRUE,_xlfn._xlws.FILTER(Tabla28[[#All],[PARTE]],ISNUMBER(SEARCH(Tabla28[[#All],[PCLAVE2]],Tabla8[[#This Row],[DESCRIPCION DE TRABAJO]])),""))</f>
        <v>Mds</v>
      </c>
      <c r="P1963" s="633" t="str">
        <f>IFERROR(LEFT(O1963, FIND(",", O1963)-1), O1963)</f>
        <v>Mds</v>
      </c>
      <c r="Q1963" s="633" t="str">
        <f>IFERROR(IF(ISERROR(FIND(",", O1963, FIND(",", O1963)+1)), RIGHT(O1963, LEN(O1963)-FIND(",", O1963)-1), MID(O1963, FIND(",", O1963)+2, FIND(",", O1963, FIND(",", O1963)+1)-FIND(",", O1963)-2)), "")</f>
        <v/>
      </c>
      <c r="R1963" s="633" t="str">
        <f>IFERROR(RIGHT(O1963, LEN(O1963)-FIND(",", O1963, FIND(",", O1963)+1)-1), "")</f>
        <v/>
      </c>
      <c r="S1963" s="35" t="str" cm="1">
        <f t="array" ref="S1963">_xlfn.TEXTJOIN(", ",TRUE,_xlfn._xlws.FILTER(Tabla29[[#All],[PARTE]],ISNUMBER(SEARCH(Tabla29[[#All],[PCLAVE3]],Tabla8[[#This Row],[DESCRIPCION DE TRABAJO]])),""))</f>
        <v>Cambio De Formato</v>
      </c>
      <c r="T1963" s="88" t="str">
        <f>IF(AND(Tabla8[[#This Row],[PIEZA]]="",Tabla8[[#This Row],[PARTE]]=""),"VACIO","OK")</f>
        <v>OK</v>
      </c>
      <c r="U1963" s="633" t="str">
        <f>+CONCATENATE(WEEKNUM(Tabla8[[#This Row],[FECHA]]),"-",YEAR(Tabla8[[#This Row],[FECHA]]))</f>
        <v>26-2026</v>
      </c>
    </row>
    <row r="1964" spans="1:21" ht="15" customHeight="1">
      <c r="A1964" s="22">
        <v>46198</v>
      </c>
      <c r="B1964" s="16" t="s">
        <v>111</v>
      </c>
      <c r="C1964" s="16" t="s">
        <v>39</v>
      </c>
      <c r="D1964" s="381" t="s">
        <v>415</v>
      </c>
      <c r="E1964" s="381" t="s">
        <v>1604</v>
      </c>
      <c r="F1964" s="632">
        <f>+MOD(Tabla8[[#This Row],[HR. FIN]]-Tabla8[[#This Row],[HR. INICIO]],1)</f>
        <v>2.0833333333333259E-2</v>
      </c>
      <c r="G1964" s="16" t="s">
        <v>140</v>
      </c>
      <c r="H1964" s="79" t="str">
        <f>IFERROR(VLOOKUP(G1964,DATOS!$M$2:$N$219,2,FALSE),"")</f>
        <v>Maquinaria</v>
      </c>
      <c r="I1964" s="115" t="s">
        <v>57</v>
      </c>
      <c r="J1964" s="115" t="s">
        <v>92</v>
      </c>
      <c r="K1964" s="115" t="s">
        <v>93</v>
      </c>
      <c r="L1964" s="35" t="s">
        <v>3443</v>
      </c>
      <c r="M1964" s="35" t="s">
        <v>3444</v>
      </c>
      <c r="N1964" s="35" t="str" cm="1">
        <f t="array" ref="N1964">IFERROR(IF(Tabla8[[#This Row],[P/NP]]="NO PROGRAMADA","",_xlfn.TEXTJOIN(", ",TRUE,_xlfn._xlws.FILTER(Tabla4[[#All],[PIEZA]],ISNUMBER(SEARCH(Tabla4[[#All],[PCLAVE]],Tabla8[[#This Row],[DESCRIPCION DE TRABAJO]])),""))),"")</f>
        <v/>
      </c>
      <c r="O1964" s="35" t="str" cm="1">
        <f t="array" ref="O1964">_xlfn.TEXTJOIN(", ",TRUE,_xlfn._xlws.FILTER(Tabla28[[#All],[PARTE]],ISNUMBER(SEARCH(Tabla28[[#All],[PCLAVE2]],Tabla8[[#This Row],[DESCRIPCION DE TRABAJO]])),""))</f>
        <v>Dosificador</v>
      </c>
      <c r="P1964" s="633" t="str">
        <f>IFERROR(LEFT(O1964, FIND(",", O1964)-1), O1964)</f>
        <v>Dosificador</v>
      </c>
      <c r="Q1964" s="633" t="str">
        <f>IFERROR(IF(ISERROR(FIND(",", O1964, FIND(",", O1964)+1)), RIGHT(O1964, LEN(O1964)-FIND(",", O1964)-1), MID(O1964, FIND(",", O1964)+2, FIND(",", O1964, FIND(",", O1964)+1)-FIND(",", O1964)-2)), "")</f>
        <v/>
      </c>
      <c r="R1964" s="633" t="str">
        <f>IFERROR(RIGHT(O1964, LEN(O1964)-FIND(",", O1964, FIND(",", O1964)+1)-1), "")</f>
        <v/>
      </c>
      <c r="S1964" s="35" t="str" cm="1">
        <f t="array" ref="S1964">_xlfn.TEXTJOIN(", ",TRUE,_xlfn._xlws.FILTER(Tabla29[[#All],[PARTE]],ISNUMBER(SEARCH(Tabla29[[#All],[PCLAVE3]],Tabla8[[#This Row],[DESCRIPCION DE TRABAJO]])),""))</f>
        <v>No Dosifica</v>
      </c>
      <c r="T1964" s="88" t="str">
        <f>IF(AND(Tabla8[[#This Row],[PIEZA]]="",Tabla8[[#This Row],[PARTE]]=""),"VACIO","OK")</f>
        <v>OK</v>
      </c>
      <c r="U1964" s="633" t="str">
        <f>+CONCATENATE(WEEKNUM(Tabla8[[#This Row],[FECHA]]),"-",YEAR(Tabla8[[#This Row],[FECHA]]))</f>
        <v>26-2026</v>
      </c>
    </row>
    <row r="1965" spans="1:21" ht="15" customHeight="1">
      <c r="A1965" s="22">
        <v>46198</v>
      </c>
      <c r="B1965" s="16" t="s">
        <v>191</v>
      </c>
      <c r="C1965" s="16" t="s">
        <v>23</v>
      </c>
      <c r="D1965" s="381" t="s">
        <v>3445</v>
      </c>
      <c r="E1965" s="381" t="s">
        <v>3446</v>
      </c>
      <c r="F1965" s="632">
        <f>+MOD(Tabla8[[#This Row],[HR. FIN]]-Tabla8[[#This Row],[HR. INICIO]],1)</f>
        <v>1.736111111111116E-2</v>
      </c>
      <c r="G1965" s="16" t="s">
        <v>119</v>
      </c>
      <c r="H1965" s="79" t="str">
        <f>IFERROR(VLOOKUP(G1965,DATOS!$M$2:$N$219,2,FALSE),"")</f>
        <v>Maquinaria</v>
      </c>
      <c r="I1965" s="115" t="s">
        <v>57</v>
      </c>
      <c r="J1965" s="115" t="s">
        <v>92</v>
      </c>
      <c r="K1965" s="115" t="s">
        <v>148</v>
      </c>
      <c r="L1965" s="35" t="s">
        <v>3447</v>
      </c>
      <c r="M1965" s="35" t="s">
        <v>3448</v>
      </c>
      <c r="N1965" s="35" t="str" cm="1">
        <f t="array" ref="N1965">IFERROR(IF(Tabla8[[#This Row],[P/NP]]="NO PROGRAMADA","",_xlfn.TEXTJOIN(", ",TRUE,_xlfn._xlws.FILTER(Tabla4[[#All],[PIEZA]],ISNUMBER(SEARCH(Tabla4[[#All],[PCLAVE]],Tabla8[[#This Row],[DESCRIPCION DE TRABAJO]])),""))),"")</f>
        <v/>
      </c>
      <c r="O1965" s="35" t="str" cm="1">
        <f t="array" ref="O1965">_xlfn.TEXTJOIN(", ",TRUE,_xlfn._xlws.FILTER(Tabla28[[#All],[PARTE]],ISNUMBER(SEARCH(Tabla28[[#All],[PCLAVE2]],Tabla8[[#This Row],[DESCRIPCION DE TRABAJO]])),""))</f>
        <v/>
      </c>
      <c r="P1965" s="633" t="str">
        <f>IFERROR(LEFT(O1965, FIND(",", O1965)-1), O1965)</f>
        <v/>
      </c>
      <c r="Q1965" s="633" t="str">
        <f>IFERROR(IF(ISERROR(FIND(",", O1965, FIND(",", O1965)+1)), RIGHT(O1965, LEN(O1965)-FIND(",", O1965)-1), MID(O1965, FIND(",", O1965)+2, FIND(",", O1965, FIND(",", O1965)+1)-FIND(",", O1965)-2)), "")</f>
        <v/>
      </c>
      <c r="R1965" s="633" t="str">
        <f>IFERROR(RIGHT(O1965, LEN(O1965)-FIND(",", O1965, FIND(",", O1965)+1)-1), "")</f>
        <v/>
      </c>
      <c r="S1965" s="35" t="str" cm="1">
        <f t="array" ref="S1965">_xlfn.TEXTJOIN(", ",TRUE,_xlfn._xlws.FILTER(Tabla29[[#All],[PARTE]],ISNUMBER(SEARCH(Tabla29[[#All],[PCLAVE3]],Tabla8[[#This Row],[DESCRIPCION DE TRABAJO]])),""))</f>
        <v/>
      </c>
      <c r="T1965" s="88" t="str">
        <f>IF(AND(Tabla8[[#This Row],[PIEZA]]="",Tabla8[[#This Row],[PARTE]]=""),"VACIO","OK")</f>
        <v>VACIO</v>
      </c>
      <c r="U1965" s="633" t="str">
        <f>+CONCATENATE(WEEKNUM(Tabla8[[#This Row],[FECHA]]),"-",YEAR(Tabla8[[#This Row],[FECHA]]))</f>
        <v>26-2026</v>
      </c>
    </row>
    <row r="1966" spans="1:21" ht="15" customHeight="1">
      <c r="A1966" s="22">
        <v>46198</v>
      </c>
      <c r="B1966" s="16" t="s">
        <v>111</v>
      </c>
      <c r="C1966" s="16" t="s">
        <v>39</v>
      </c>
      <c r="D1966" s="381" t="s">
        <v>1698</v>
      </c>
      <c r="E1966" s="381" t="s">
        <v>167</v>
      </c>
      <c r="F1966" s="632">
        <f>+MOD(Tabla8[[#This Row],[HR. FIN]]-Tabla8[[#This Row],[HR. INICIO]],1)</f>
        <v>1.7361111111111112E-2</v>
      </c>
      <c r="G1966" s="16" t="s">
        <v>31</v>
      </c>
      <c r="H1966" s="79" t="str">
        <f>IFERROR(VLOOKUP(G1966,DATOS!$M$2:$N$219,2,FALSE),"")</f>
        <v>Maquinaria</v>
      </c>
      <c r="I1966" s="115" t="s">
        <v>57</v>
      </c>
      <c r="J1966" s="115" t="s">
        <v>92</v>
      </c>
      <c r="K1966" s="115" t="s">
        <v>93</v>
      </c>
      <c r="L1966" s="35" t="s">
        <v>2506</v>
      </c>
      <c r="M1966" s="35" t="s">
        <v>3449</v>
      </c>
      <c r="N1966" s="35" t="str" cm="1">
        <f t="array" ref="N1966">IFERROR(IF(Tabla8[[#This Row],[P/NP]]="NO PROGRAMADA","",_xlfn.TEXTJOIN(", ",TRUE,_xlfn._xlws.FILTER(Tabla4[[#All],[PIEZA]],ISNUMBER(SEARCH(Tabla4[[#All],[PCLAVE]],Tabla8[[#This Row],[DESCRIPCION DE TRABAJO]])),""))),"")</f>
        <v/>
      </c>
      <c r="O1966" s="35" t="str" cm="1">
        <f t="array" ref="O1966">_xlfn.TEXTJOIN(", ",TRUE,_xlfn._xlws.FILTER(Tabla28[[#All],[PARTE]],ISNUMBER(SEARCH(Tabla28[[#All],[PCLAVE2]],Tabla8[[#This Row],[DESCRIPCION DE TRABAJO]])),""))</f>
        <v/>
      </c>
      <c r="P1966" s="633" t="str">
        <f>IFERROR(LEFT(O1966, FIND(",", O1966)-1), O1966)</f>
        <v/>
      </c>
      <c r="Q1966" s="633" t="str">
        <f>IFERROR(IF(ISERROR(FIND(",", O1966, FIND(",", O1966)+1)), RIGHT(O1966, LEN(O1966)-FIND(",", O1966)-1), MID(O1966, FIND(",", O1966)+2, FIND(",", O1966, FIND(",", O1966)+1)-FIND(",", O1966)-2)), "")</f>
        <v/>
      </c>
      <c r="R1966" s="633" t="str">
        <f>IFERROR(RIGHT(O1966, LEN(O1966)-FIND(",", O1966, FIND(",", O1966)+1)-1), "")</f>
        <v/>
      </c>
      <c r="S1966" s="35" t="str" cm="1">
        <f t="array" ref="S1966">_xlfn.TEXTJOIN(", ",TRUE,_xlfn._xlws.FILTER(Tabla29[[#All],[PARTE]],ISNUMBER(SEARCH(Tabla29[[#All],[PCLAVE3]],Tabla8[[#This Row],[DESCRIPCION DE TRABAJO]])),""))</f>
        <v>Sellado</v>
      </c>
      <c r="T1966" s="88" t="str">
        <f>IF(AND(Tabla8[[#This Row],[PIEZA]]="",Tabla8[[#This Row],[PARTE]]=""),"VACIO","OK")</f>
        <v>VACIO</v>
      </c>
      <c r="U1966" s="633" t="str">
        <f>+CONCATENATE(WEEKNUM(Tabla8[[#This Row],[FECHA]]),"-",YEAR(Tabla8[[#This Row],[FECHA]]))</f>
        <v>26-2026</v>
      </c>
    </row>
    <row r="1967" spans="1:21" ht="15" customHeight="1">
      <c r="A1967" s="22">
        <v>46198</v>
      </c>
      <c r="B1967" s="16" t="s">
        <v>131</v>
      </c>
      <c r="C1967" s="16" t="s">
        <v>36</v>
      </c>
      <c r="D1967" s="381" t="s">
        <v>471</v>
      </c>
      <c r="E1967" s="381" t="s">
        <v>127</v>
      </c>
      <c r="F1967" s="632">
        <f>+MOD(Tabla8[[#This Row],[HR. FIN]]-Tabla8[[#This Row],[HR. INICIO]],1)</f>
        <v>1.7361111111111105E-2</v>
      </c>
      <c r="G1967" s="16" t="s">
        <v>438</v>
      </c>
      <c r="H1967" s="79" t="str">
        <f>IFERROR(VLOOKUP(G1967,DATOS!$M$2:$N$219,2,FALSE),"")</f>
        <v>Maquinaria</v>
      </c>
      <c r="I1967" s="115" t="s">
        <v>390</v>
      </c>
      <c r="J1967" s="115" t="s">
        <v>157</v>
      </c>
      <c r="K1967" s="115"/>
      <c r="L1967" s="35" t="s">
        <v>3450</v>
      </c>
      <c r="M1967" s="35" t="s">
        <v>121</v>
      </c>
      <c r="N1967" s="35" t="str" cm="1">
        <f t="array" ref="N1967">IFERROR(IF(Tabla8[[#This Row],[P/NP]]="NO PROGRAMADA","",_xlfn.TEXTJOIN(", ",TRUE,_xlfn._xlws.FILTER(Tabla4[[#All],[PIEZA]],ISNUMBER(SEARCH(Tabla4[[#All],[PCLAVE]],Tabla8[[#This Row],[DESCRIPCION DE TRABAJO]])),""))),"")</f>
        <v>Mordaza</v>
      </c>
      <c r="O1967" s="35" t="str" cm="1">
        <f t="array" ref="O1967">_xlfn.TEXTJOIN(", ",TRUE,_xlfn._xlws.FILTER(Tabla28[[#All],[PARTE]],ISNUMBER(SEARCH(Tabla28[[#All],[PCLAVE2]],Tabla8[[#This Row],[DESCRIPCION DE TRABAJO]])),""))</f>
        <v/>
      </c>
      <c r="P1967" s="633" t="str">
        <f>IFERROR(LEFT(O1967, FIND(",", O1967)-1), O1967)</f>
        <v/>
      </c>
      <c r="Q1967" s="633" t="str">
        <f>IFERROR(IF(ISERROR(FIND(",", O1967, FIND(",", O1967)+1)), RIGHT(O1967, LEN(O1967)-FIND(",", O1967)-1), MID(O1967, FIND(",", O1967)+2, FIND(",", O1967, FIND(",", O1967)+1)-FIND(",", O1967)-2)), "")</f>
        <v/>
      </c>
      <c r="R1967" s="633" t="str">
        <f>IFERROR(RIGHT(O1967, LEN(O1967)-FIND(",", O1967, FIND(",", O1967)+1)-1), "")</f>
        <v/>
      </c>
      <c r="S1967" s="35" t="str" cm="1">
        <f t="array" ref="S1967">_xlfn.TEXTJOIN(", ",TRUE,_xlfn._xlws.FILTER(Tabla29[[#All],[PARTE]],ISNUMBER(SEARCH(Tabla29[[#All],[PCLAVE3]],Tabla8[[#This Row],[DESCRIPCION DE TRABAJO]])),""))</f>
        <v/>
      </c>
      <c r="T1967" s="88" t="str">
        <f>IF(AND(Tabla8[[#This Row],[PIEZA]]="",Tabla8[[#This Row],[PARTE]]=""),"VACIO","OK")</f>
        <v>OK</v>
      </c>
      <c r="U1967" s="633" t="str">
        <f>+CONCATENATE(WEEKNUM(Tabla8[[#This Row],[FECHA]]),"-",YEAR(Tabla8[[#This Row],[FECHA]]))</f>
        <v>26-2026</v>
      </c>
    </row>
    <row r="1968" spans="1:21" ht="15" customHeight="1">
      <c r="A1968" s="22">
        <v>46198</v>
      </c>
      <c r="B1968" s="16" t="s">
        <v>131</v>
      </c>
      <c r="C1968" s="16" t="s">
        <v>36</v>
      </c>
      <c r="D1968" s="381" t="s">
        <v>3451</v>
      </c>
      <c r="E1968" s="381" t="s">
        <v>3452</v>
      </c>
      <c r="F1968" s="632">
        <f>+MOD(Tabla8[[#This Row],[HR. FIN]]-Tabla8[[#This Row],[HR. INICIO]],1)</f>
        <v>1.5277777777777779E-2</v>
      </c>
      <c r="G1968" s="16" t="s">
        <v>169</v>
      </c>
      <c r="H1968" s="79" t="str">
        <f>IFERROR(VLOOKUP(G1968,DATOS!$M$2:$N$219,2,FALSE),"")</f>
        <v>Maquinaria</v>
      </c>
      <c r="I1968" s="115" t="s">
        <v>28</v>
      </c>
      <c r="J1968" s="115" t="s">
        <v>92</v>
      </c>
      <c r="K1968" s="115" t="s">
        <v>93</v>
      </c>
      <c r="L1968" s="35" t="s">
        <v>3453</v>
      </c>
      <c r="M1968" s="35" t="s">
        <v>3454</v>
      </c>
      <c r="N1968" s="35" t="str" cm="1">
        <f t="array" ref="N1968">IFERROR(IF(Tabla8[[#This Row],[P/NP]]="NO PROGRAMADA","",_xlfn.TEXTJOIN(", ",TRUE,_xlfn._xlws.FILTER(Tabla4[[#All],[PIEZA]],ISNUMBER(SEARCH(Tabla4[[#All],[PCLAVE]],Tabla8[[#This Row],[DESCRIPCION DE TRABAJO]])),""))),"")</f>
        <v/>
      </c>
      <c r="O1968" s="35" t="str" cm="1">
        <f t="array" ref="O1968">_xlfn.TEXTJOIN(", ",TRUE,_xlfn._xlws.FILTER(Tabla28[[#All],[PARTE]],ISNUMBER(SEARCH(Tabla28[[#All],[PCLAVE2]],Tabla8[[#This Row],[DESCRIPCION DE TRABAJO]])),""))</f>
        <v/>
      </c>
      <c r="P1968" s="633" t="str">
        <f>IFERROR(LEFT(O1968, FIND(",", O1968)-1), O1968)</f>
        <v/>
      </c>
      <c r="Q1968" s="633" t="str">
        <f>IFERROR(IF(ISERROR(FIND(",", O1968, FIND(",", O1968)+1)), RIGHT(O1968, LEN(O1968)-FIND(",", O1968)-1), MID(O1968, FIND(",", O1968)+2, FIND(",", O1968, FIND(",", O1968)+1)-FIND(",", O1968)-2)), "")</f>
        <v/>
      </c>
      <c r="R1968" s="633" t="str">
        <f>IFERROR(RIGHT(O1968, LEN(O1968)-FIND(",", O1968, FIND(",", O1968)+1)-1), "")</f>
        <v/>
      </c>
      <c r="S1968" s="35" t="str" cm="1">
        <f t="array" ref="S1968">_xlfn.TEXTJOIN(", ",TRUE,_xlfn._xlws.FILTER(Tabla29[[#All],[PARTE]],ISNUMBER(SEARCH(Tabla29[[#All],[PCLAVE3]],Tabla8[[#This Row],[DESCRIPCION DE TRABAJO]])),""))</f>
        <v>Rotura</v>
      </c>
      <c r="T1968" s="88" t="str">
        <f>IF(AND(Tabla8[[#This Row],[PIEZA]]="",Tabla8[[#This Row],[PARTE]]=""),"VACIO","OK")</f>
        <v>VACIO</v>
      </c>
      <c r="U1968" s="633" t="str">
        <f>+CONCATENATE(WEEKNUM(Tabla8[[#This Row],[FECHA]]),"-",YEAR(Tabla8[[#This Row],[FECHA]]))</f>
        <v>26-2026</v>
      </c>
    </row>
    <row r="1969" spans="1:21" ht="15" customHeight="1">
      <c r="A1969" s="22">
        <v>46198</v>
      </c>
      <c r="B1969" s="16" t="s">
        <v>191</v>
      </c>
      <c r="C1969" s="16" t="s">
        <v>23</v>
      </c>
      <c r="D1969" s="381" t="s">
        <v>300</v>
      </c>
      <c r="E1969" s="381" t="s">
        <v>3455</v>
      </c>
      <c r="F1969" s="632">
        <f>+MOD(Tabla8[[#This Row],[HR. FIN]]-Tabla8[[#This Row],[HR. INICIO]],1)</f>
        <v>1.5277777777777724E-2</v>
      </c>
      <c r="G1969" s="16" t="s">
        <v>215</v>
      </c>
      <c r="H1969" s="79" t="str">
        <f>IFERROR(VLOOKUP(G1969,DATOS!$M$2:$N$219,2,FALSE),"")</f>
        <v>Equipos auxiliares</v>
      </c>
      <c r="I1969" s="115" t="s">
        <v>54</v>
      </c>
      <c r="J1969" s="115" t="s">
        <v>157</v>
      </c>
      <c r="K1969" s="115"/>
      <c r="L1969" s="35" t="s">
        <v>248</v>
      </c>
      <c r="M1969" s="35" t="s">
        <v>121</v>
      </c>
      <c r="N1969" s="35" t="str" cm="1">
        <f t="array" ref="N1969">IFERROR(IF(Tabla8[[#This Row],[P/NP]]="NO PROGRAMADA","",_xlfn.TEXTJOIN(", ",TRUE,_xlfn._xlws.FILTER(Tabla4[[#All],[PIEZA]],ISNUMBER(SEARCH(Tabla4[[#All],[PCLAVE]],Tabla8[[#This Row],[DESCRIPCION DE TRABAJO]])),""))),"")</f>
        <v/>
      </c>
      <c r="O1969" s="35" t="str" cm="1">
        <f t="array" ref="O1969">_xlfn.TEXTJOIN(", ",TRUE,_xlfn._xlws.FILTER(Tabla28[[#All],[PARTE]],ISNUMBER(SEARCH(Tabla28[[#All],[PCLAVE2]],Tabla8[[#This Row],[DESCRIPCION DE TRABAJO]])),""))</f>
        <v/>
      </c>
      <c r="P1969" s="633" t="str">
        <f>IFERROR(LEFT(O1969, FIND(",", O1969)-1), O1969)</f>
        <v/>
      </c>
      <c r="Q1969" s="633" t="str">
        <f>IFERROR(IF(ISERROR(FIND(",", O1969, FIND(",", O1969)+1)), RIGHT(O1969, LEN(O1969)-FIND(",", O1969)-1), MID(O1969, FIND(",", O1969)+2, FIND(",", O1969, FIND(",", O1969)+1)-FIND(",", O1969)-2)), "")</f>
        <v/>
      </c>
      <c r="R1969" s="633" t="str">
        <f>IFERROR(RIGHT(O1969, LEN(O1969)-FIND(",", O1969, FIND(",", O1969)+1)-1), "")</f>
        <v/>
      </c>
      <c r="S1969" s="35" t="str" cm="1">
        <f t="array" ref="S1969">_xlfn.TEXTJOIN(", ",TRUE,_xlfn._xlws.FILTER(Tabla29[[#All],[PARTE]],ISNUMBER(SEARCH(Tabla29[[#All],[PCLAVE3]],Tabla8[[#This Row],[DESCRIPCION DE TRABAJO]])),""))</f>
        <v/>
      </c>
      <c r="T1969" s="88" t="str">
        <f>IF(AND(Tabla8[[#This Row],[PIEZA]]="",Tabla8[[#This Row],[PARTE]]=""),"VACIO","OK")</f>
        <v>VACIO</v>
      </c>
      <c r="U1969" s="633" t="str">
        <f>+CONCATENATE(WEEKNUM(Tabla8[[#This Row],[FECHA]]),"-",YEAR(Tabla8[[#This Row],[FECHA]]))</f>
        <v>26-2026</v>
      </c>
    </row>
    <row r="1970" spans="1:21" ht="15" customHeight="1">
      <c r="A1970" s="22">
        <v>46198</v>
      </c>
      <c r="B1970" s="16" t="s">
        <v>191</v>
      </c>
      <c r="C1970" s="16" t="s">
        <v>23</v>
      </c>
      <c r="D1970" s="381" t="s">
        <v>3456</v>
      </c>
      <c r="E1970" s="381" t="s">
        <v>3457</v>
      </c>
      <c r="F1970" s="632">
        <f>+MOD(Tabla8[[#This Row],[HR. FIN]]-Tabla8[[#This Row],[HR. INICIO]],1)</f>
        <v>1.5277777777777724E-2</v>
      </c>
      <c r="G1970" s="16" t="s">
        <v>192</v>
      </c>
      <c r="H1970" s="79" t="str">
        <f>IFERROR(VLOOKUP(G1970,DATOS!$M$2:$N$219,2,FALSE),"")</f>
        <v>Maquinaria</v>
      </c>
      <c r="I1970" s="115" t="s">
        <v>57</v>
      </c>
      <c r="J1970" s="115" t="s">
        <v>92</v>
      </c>
      <c r="K1970" s="115" t="s">
        <v>93</v>
      </c>
      <c r="L1970" s="35" t="s">
        <v>3458</v>
      </c>
      <c r="M1970" s="35" t="s">
        <v>3459</v>
      </c>
      <c r="N1970" s="35" t="str" cm="1">
        <f t="array" ref="N1970">IFERROR(IF(Tabla8[[#This Row],[P/NP]]="NO PROGRAMADA","",_xlfn.TEXTJOIN(", ",TRUE,_xlfn._xlws.FILTER(Tabla4[[#All],[PIEZA]],ISNUMBER(SEARCH(Tabla4[[#All],[PCLAVE]],Tabla8[[#This Row],[DESCRIPCION DE TRABAJO]])),""))),"")</f>
        <v/>
      </c>
      <c r="O1970" s="35" t="str" cm="1">
        <f t="array" ref="O1970">_xlfn.TEXTJOIN(", ",TRUE,_xlfn._xlws.FILTER(Tabla28[[#All],[PARTE]],ISNUMBER(SEARCH(Tabla28[[#All],[PCLAVE2]],Tabla8[[#This Row],[DESCRIPCION DE TRABAJO]])),""))</f>
        <v/>
      </c>
      <c r="P1970" s="633" t="str">
        <f>IFERROR(LEFT(O1970, FIND(",", O1970)-1), O1970)</f>
        <v/>
      </c>
      <c r="Q1970" s="633" t="str">
        <f>IFERROR(IF(ISERROR(FIND(",", O1970, FIND(",", O1970)+1)), RIGHT(O1970, LEN(O1970)-FIND(",", O1970)-1), MID(O1970, FIND(",", O1970)+2, FIND(",", O1970, FIND(",", O1970)+1)-FIND(",", O1970)-2)), "")</f>
        <v/>
      </c>
      <c r="R1970" s="633" t="str">
        <f>IFERROR(RIGHT(O1970, LEN(O1970)-FIND(",", O1970, FIND(",", O1970)+1)-1), "")</f>
        <v/>
      </c>
      <c r="S1970" s="35" t="str" cm="1">
        <f t="array" ref="S1970">_xlfn.TEXTJOIN(", ",TRUE,_xlfn._xlws.FILTER(Tabla29[[#All],[PARTE]],ISNUMBER(SEARCH(Tabla29[[#All],[PCLAVE3]],Tabla8[[#This Row],[DESCRIPCION DE TRABAJO]])),""))</f>
        <v>No Corta</v>
      </c>
      <c r="T1970" s="88" t="str">
        <f>IF(AND(Tabla8[[#This Row],[PIEZA]]="",Tabla8[[#This Row],[PARTE]]=""),"VACIO","OK")</f>
        <v>VACIO</v>
      </c>
      <c r="U1970" s="633" t="str">
        <f>+CONCATENATE(WEEKNUM(Tabla8[[#This Row],[FECHA]]),"-",YEAR(Tabla8[[#This Row],[FECHA]]))</f>
        <v>26-2026</v>
      </c>
    </row>
    <row r="1971" spans="1:21" ht="15" customHeight="1">
      <c r="A1971" s="22">
        <v>46198</v>
      </c>
      <c r="B1971" s="16" t="s">
        <v>191</v>
      </c>
      <c r="C1971" s="16" t="s">
        <v>23</v>
      </c>
      <c r="D1971" s="381" t="s">
        <v>3460</v>
      </c>
      <c r="E1971" s="381" t="s">
        <v>3461</v>
      </c>
      <c r="F1971" s="632">
        <f>+MOD(Tabla8[[#This Row],[HR. FIN]]-Tabla8[[#This Row],[HR. INICIO]],1)</f>
        <v>1.4583333333333282E-2</v>
      </c>
      <c r="G1971" s="16" t="s">
        <v>438</v>
      </c>
      <c r="H1971" s="79" t="str">
        <f>IFERROR(VLOOKUP(G1971,DATOS!$M$2:$N$219,2,FALSE),"")</f>
        <v>Maquinaria</v>
      </c>
      <c r="I1971" s="115" t="s">
        <v>54</v>
      </c>
      <c r="J1971" s="115" t="s">
        <v>157</v>
      </c>
      <c r="K1971" s="115"/>
      <c r="L1971" s="35" t="s">
        <v>1151</v>
      </c>
      <c r="M1971" s="35" t="s">
        <v>121</v>
      </c>
      <c r="N1971" s="35" t="str" cm="1">
        <f t="array" ref="N1971">IFERROR(IF(Tabla8[[#This Row],[P/NP]]="NO PROGRAMADA","",_xlfn.TEXTJOIN(", ",TRUE,_xlfn._xlws.FILTER(Tabla4[[#All],[PIEZA]],ISNUMBER(SEARCH(Tabla4[[#All],[PCLAVE]],Tabla8[[#This Row],[DESCRIPCION DE TRABAJO]])),""))),"")</f>
        <v/>
      </c>
      <c r="O1971" s="35" t="str" cm="1">
        <f t="array" ref="O1971">_xlfn.TEXTJOIN(", ",TRUE,_xlfn._xlws.FILTER(Tabla28[[#All],[PARTE]],ISNUMBER(SEARCH(Tabla28[[#All],[PCLAVE2]],Tabla8[[#This Row],[DESCRIPCION DE TRABAJO]])),""))</f>
        <v/>
      </c>
      <c r="P1971" s="633" t="str">
        <f>IFERROR(LEFT(O1971, FIND(",", O1971)-1), O1971)</f>
        <v/>
      </c>
      <c r="Q1971" s="633" t="str">
        <f>IFERROR(IF(ISERROR(FIND(",", O1971, FIND(",", O1971)+1)), RIGHT(O1971, LEN(O1971)-FIND(",", O1971)-1), MID(O1971, FIND(",", O1971)+2, FIND(",", O1971, FIND(",", O1971)+1)-FIND(",", O1971)-2)), "")</f>
        <v/>
      </c>
      <c r="R1971" s="633" t="str">
        <f>IFERROR(RIGHT(O1971, LEN(O1971)-FIND(",", O1971, FIND(",", O1971)+1)-1), "")</f>
        <v/>
      </c>
      <c r="S1971" s="35" t="str" cm="1">
        <f t="array" ref="S1971">_xlfn.TEXTJOIN(", ",TRUE,_xlfn._xlws.FILTER(Tabla29[[#All],[PARTE]],ISNUMBER(SEARCH(Tabla29[[#All],[PCLAVE3]],Tabla8[[#This Row],[DESCRIPCION DE TRABAJO]])),""))</f>
        <v/>
      </c>
      <c r="T1971" s="88" t="str">
        <f>IF(AND(Tabla8[[#This Row],[PIEZA]]="",Tabla8[[#This Row],[PARTE]]=""),"VACIO","OK")</f>
        <v>VACIO</v>
      </c>
      <c r="U1971" s="633" t="str">
        <f>+CONCATENATE(WEEKNUM(Tabla8[[#This Row],[FECHA]]),"-",YEAR(Tabla8[[#This Row],[FECHA]]))</f>
        <v>26-2026</v>
      </c>
    </row>
    <row r="1972" spans="1:21" ht="15" customHeight="1">
      <c r="A1972" s="22">
        <v>46198</v>
      </c>
      <c r="B1972" s="16" t="s">
        <v>111</v>
      </c>
      <c r="C1972" s="16" t="s">
        <v>39</v>
      </c>
      <c r="D1972" s="381" t="s">
        <v>397</v>
      </c>
      <c r="E1972" s="381" t="s">
        <v>1265</v>
      </c>
      <c r="F1972" s="632">
        <f>+MOD(Tabla8[[#This Row],[HR. FIN]]-Tabla8[[#This Row],[HR. INICIO]],1)</f>
        <v>1.3888888888888895E-2</v>
      </c>
      <c r="G1972" s="16" t="s">
        <v>192</v>
      </c>
      <c r="H1972" s="79" t="str">
        <f>IFERROR(VLOOKUP(G1972,DATOS!$M$2:$N$219,2,FALSE),"")</f>
        <v>Maquinaria</v>
      </c>
      <c r="I1972" s="115" t="s">
        <v>57</v>
      </c>
      <c r="J1972" s="115" t="s">
        <v>92</v>
      </c>
      <c r="K1972" s="115" t="s">
        <v>93</v>
      </c>
      <c r="L1972" s="35" t="s">
        <v>3462</v>
      </c>
      <c r="M1972" s="35" t="s">
        <v>3463</v>
      </c>
      <c r="N1972" s="35" t="str" cm="1">
        <f t="array" ref="N1972">IFERROR(IF(Tabla8[[#This Row],[P/NP]]="NO PROGRAMADA","",_xlfn.TEXTJOIN(", ",TRUE,_xlfn._xlws.FILTER(Tabla4[[#All],[PIEZA]],ISNUMBER(SEARCH(Tabla4[[#All],[PCLAVE]],Tabla8[[#This Row],[DESCRIPCION DE TRABAJO]])),""))),"")</f>
        <v/>
      </c>
      <c r="O1972" s="35" t="str" cm="1">
        <f t="array" ref="O1972">_xlfn.TEXTJOIN(", ",TRUE,_xlfn._xlws.FILTER(Tabla28[[#All],[PARTE]],ISNUMBER(SEARCH(Tabla28[[#All],[PCLAVE2]],Tabla8[[#This Row],[DESCRIPCION DE TRABAJO]])),""))</f>
        <v/>
      </c>
      <c r="P1972" s="633" t="str">
        <f>IFERROR(LEFT(O1972, FIND(",", O1972)-1), O1972)</f>
        <v/>
      </c>
      <c r="Q1972" s="633" t="str">
        <f>IFERROR(IF(ISERROR(FIND(",", O1972, FIND(",", O1972)+1)), RIGHT(O1972, LEN(O1972)-FIND(",", O1972)-1), MID(O1972, FIND(",", O1972)+2, FIND(",", O1972, FIND(",", O1972)+1)-FIND(",", O1972)-2)), "")</f>
        <v/>
      </c>
      <c r="R1972" s="633" t="str">
        <f>IFERROR(RIGHT(O1972, LEN(O1972)-FIND(",", O1972, FIND(",", O1972)+1)-1), "")</f>
        <v/>
      </c>
      <c r="S1972" s="35" t="str" cm="1">
        <f t="array" ref="S1972">_xlfn.TEXTJOIN(", ",TRUE,_xlfn._xlws.FILTER(Tabla29[[#All],[PARTE]],ISNUMBER(SEARCH(Tabla29[[#All],[PCLAVE3]],Tabla8[[#This Row],[DESCRIPCION DE TRABAJO]])),""))</f>
        <v>No Corta</v>
      </c>
      <c r="T1972" s="88" t="str">
        <f>IF(AND(Tabla8[[#This Row],[PIEZA]]="",Tabla8[[#This Row],[PARTE]]=""),"VACIO","OK")</f>
        <v>VACIO</v>
      </c>
      <c r="U1972" s="633" t="str">
        <f>+CONCATENATE(WEEKNUM(Tabla8[[#This Row],[FECHA]]),"-",YEAR(Tabla8[[#This Row],[FECHA]]))</f>
        <v>26-2026</v>
      </c>
    </row>
    <row r="1973" spans="1:21" ht="15" customHeight="1">
      <c r="A1973" s="22">
        <v>46198</v>
      </c>
      <c r="B1973" s="16" t="s">
        <v>131</v>
      </c>
      <c r="C1973" s="16" t="s">
        <v>36</v>
      </c>
      <c r="D1973" s="381" t="s">
        <v>1176</v>
      </c>
      <c r="E1973" s="381" t="s">
        <v>126</v>
      </c>
      <c r="F1973" s="632">
        <f>+MOD(Tabla8[[#This Row],[HR. FIN]]-Tabla8[[#This Row],[HR. INICIO]],1)</f>
        <v>1.3888888888888895E-2</v>
      </c>
      <c r="G1973" s="16" t="s">
        <v>815</v>
      </c>
      <c r="H1973" s="79" t="str">
        <f>IFERROR(VLOOKUP(G1973,DATOS!$M$2:$N$219,2,FALSE),"")</f>
        <v>Maquinaria</v>
      </c>
      <c r="I1973" s="115" t="s">
        <v>57</v>
      </c>
      <c r="J1973" s="115" t="s">
        <v>92</v>
      </c>
      <c r="K1973" s="115" t="s">
        <v>93</v>
      </c>
      <c r="L1973" s="35" t="s">
        <v>3464</v>
      </c>
      <c r="M1973" s="35" t="s">
        <v>3465</v>
      </c>
      <c r="N1973" s="35" t="str" cm="1">
        <f t="array" ref="N1973">IFERROR(IF(Tabla8[[#This Row],[P/NP]]="NO PROGRAMADA","",_xlfn.TEXTJOIN(", ",TRUE,_xlfn._xlws.FILTER(Tabla4[[#All],[PIEZA]],ISNUMBER(SEARCH(Tabla4[[#All],[PCLAVE]],Tabla8[[#This Row],[DESCRIPCION DE TRABAJO]])),""))),"")</f>
        <v/>
      </c>
      <c r="O1973" s="35" t="str" cm="1">
        <f t="array" ref="O1973">_xlfn.TEXTJOIN(", ",TRUE,_xlfn._xlws.FILTER(Tabla28[[#All],[PARTE]],ISNUMBER(SEARCH(Tabla28[[#All],[PCLAVE2]],Tabla8[[#This Row],[DESCRIPCION DE TRABAJO]])),""))</f>
        <v/>
      </c>
      <c r="P1973" s="633" t="str">
        <f>IFERROR(LEFT(O1973, FIND(",", O1973)-1), O1973)</f>
        <v/>
      </c>
      <c r="Q1973" s="633" t="str">
        <f>IFERROR(IF(ISERROR(FIND(",", O1973, FIND(",", O1973)+1)), RIGHT(O1973, LEN(O1973)-FIND(",", O1973)-1), MID(O1973, FIND(",", O1973)+2, FIND(",", O1973, FIND(",", O1973)+1)-FIND(",", O1973)-2)), "")</f>
        <v/>
      </c>
      <c r="R1973" s="633" t="str">
        <f>IFERROR(RIGHT(O1973, LEN(O1973)-FIND(",", O1973, FIND(",", O1973)+1)-1), "")</f>
        <v/>
      </c>
      <c r="S1973" s="35" t="str" cm="1">
        <f t="array" ref="S1973">_xlfn.TEXTJOIN(", ",TRUE,_xlfn._xlws.FILTER(Tabla29[[#All],[PARTE]],ISNUMBER(SEARCH(Tabla29[[#All],[PCLAVE3]],Tabla8[[#This Row],[DESCRIPCION DE TRABAJO]])),""))</f>
        <v>Desalineado, Laminado</v>
      </c>
      <c r="T1973" s="88" t="str">
        <f>IF(AND(Tabla8[[#This Row],[PIEZA]]="",Tabla8[[#This Row],[PARTE]]=""),"VACIO","OK")</f>
        <v>VACIO</v>
      </c>
      <c r="U1973" s="633" t="str">
        <f>+CONCATENATE(WEEKNUM(Tabla8[[#This Row],[FECHA]]),"-",YEAR(Tabla8[[#This Row],[FECHA]]))</f>
        <v>26-2026</v>
      </c>
    </row>
    <row r="1974" spans="1:21" ht="15" customHeight="1">
      <c r="A1974" s="22">
        <v>46198</v>
      </c>
      <c r="B1974" s="16" t="s">
        <v>131</v>
      </c>
      <c r="C1974" s="16" t="s">
        <v>36</v>
      </c>
      <c r="D1974" s="381" t="s">
        <v>1592</v>
      </c>
      <c r="E1974" s="381" t="s">
        <v>557</v>
      </c>
      <c r="F1974" s="632">
        <f>+MOD(Tabla8[[#This Row],[HR. FIN]]-Tabla8[[#This Row],[HR. INICIO]],1)</f>
        <v>1.3888888888888895E-2</v>
      </c>
      <c r="G1974" s="16" t="s">
        <v>119</v>
      </c>
      <c r="H1974" s="79" t="str">
        <f>IFERROR(VLOOKUP(G1974,DATOS!$M$2:$N$219,2,FALSE),"")</f>
        <v>Maquinaria</v>
      </c>
      <c r="I1974" s="115" t="s">
        <v>390</v>
      </c>
      <c r="J1974" s="115" t="s">
        <v>157</v>
      </c>
      <c r="K1974" s="115"/>
      <c r="L1974" s="35" t="s">
        <v>3466</v>
      </c>
      <c r="M1974" s="35" t="s">
        <v>3467</v>
      </c>
      <c r="N1974" s="35" t="str" cm="1">
        <f t="array" ref="N1974">IFERROR(IF(Tabla8[[#This Row],[P/NP]]="NO PROGRAMADA","",_xlfn.TEXTJOIN(", ",TRUE,_xlfn._xlws.FILTER(Tabla4[[#All],[PIEZA]],ISNUMBER(SEARCH(Tabla4[[#All],[PCLAVE]],Tabla8[[#This Row],[DESCRIPCION DE TRABAJO]])),""))),"")</f>
        <v>Producto</v>
      </c>
      <c r="O1974" s="35" t="str" cm="1">
        <f t="array" ref="O1974">_xlfn.TEXTJOIN(", ",TRUE,_xlfn._xlws.FILTER(Tabla28[[#All],[PARTE]],ISNUMBER(SEARCH(Tabla28[[#All],[PCLAVE2]],Tabla8[[#This Row],[DESCRIPCION DE TRABAJO]])),""))</f>
        <v>Tanque</v>
      </c>
      <c r="P1974" s="633" t="str">
        <f>IFERROR(LEFT(O1974, FIND(",", O1974)-1), O1974)</f>
        <v>Tanque</v>
      </c>
      <c r="Q1974" s="633" t="str">
        <f>IFERROR(IF(ISERROR(FIND(",", O1974, FIND(",", O1974)+1)), RIGHT(O1974, LEN(O1974)-FIND(",", O1974)-1), MID(O1974, FIND(",", O1974)+2, FIND(",", O1974, FIND(",", O1974)+1)-FIND(",", O1974)-2)), "")</f>
        <v/>
      </c>
      <c r="R1974" s="633" t="str">
        <f>IFERROR(RIGHT(O1974, LEN(O1974)-FIND(",", O1974, FIND(",", O1974)+1)-1), "")</f>
        <v/>
      </c>
      <c r="S1974" s="35" t="str" cm="1">
        <f t="array" ref="S1974">_xlfn.TEXTJOIN(", ",TRUE,_xlfn._xlws.FILTER(Tabla29[[#All],[PARTE]],ISNUMBER(SEARCH(Tabla29[[#All],[PCLAVE3]],Tabla8[[#This Row],[DESCRIPCION DE TRABAJO]])),""))</f>
        <v/>
      </c>
      <c r="T1974" s="88" t="str">
        <f>IF(AND(Tabla8[[#This Row],[PIEZA]]="",Tabla8[[#This Row],[PARTE]]=""),"VACIO","OK")</f>
        <v>OK</v>
      </c>
      <c r="U1974" s="633" t="str">
        <f>+CONCATENATE(WEEKNUM(Tabla8[[#This Row],[FECHA]]),"-",YEAR(Tabla8[[#This Row],[FECHA]]))</f>
        <v>26-2026</v>
      </c>
    </row>
    <row r="1975" spans="1:21" ht="15" customHeight="1">
      <c r="A1975" s="22">
        <v>46198</v>
      </c>
      <c r="B1975" s="16" t="s">
        <v>88</v>
      </c>
      <c r="C1975" s="16" t="s">
        <v>36</v>
      </c>
      <c r="D1975" s="381" t="s">
        <v>97</v>
      </c>
      <c r="E1975" s="381" t="s">
        <v>672</v>
      </c>
      <c r="F1975" s="632">
        <f>+MOD(Tabla8[[#This Row],[HR. FIN]]-Tabla8[[#This Row],[HR. INICIO]],1)</f>
        <v>1.3888888888888895E-2</v>
      </c>
      <c r="G1975" s="16" t="s">
        <v>192</v>
      </c>
      <c r="H1975" s="79" t="str">
        <f>IFERROR(VLOOKUP(G1975,DATOS!$M$2:$N$219,2,FALSE),"")</f>
        <v>Maquinaria</v>
      </c>
      <c r="I1975" s="115" t="s">
        <v>54</v>
      </c>
      <c r="J1975" s="115" t="s">
        <v>157</v>
      </c>
      <c r="K1975" s="115"/>
      <c r="L1975" s="35" t="s">
        <v>1103</v>
      </c>
      <c r="M1975" s="35" t="s">
        <v>214</v>
      </c>
      <c r="N1975" s="35" t="str" cm="1">
        <f t="array" ref="N1975">IFERROR(IF(Tabla8[[#This Row],[P/NP]]="NO PROGRAMADA","",_xlfn.TEXTJOIN(", ",TRUE,_xlfn._xlws.FILTER(Tabla4[[#All],[PIEZA]],ISNUMBER(SEARCH(Tabla4[[#All],[PCLAVE]],Tabla8[[#This Row],[DESCRIPCION DE TRABAJO]])),""))),"")</f>
        <v/>
      </c>
      <c r="O1975" s="35" t="str" cm="1">
        <f t="array" ref="O1975">_xlfn.TEXTJOIN(", ",TRUE,_xlfn._xlws.FILTER(Tabla28[[#All],[PARTE]],ISNUMBER(SEARCH(Tabla28[[#All],[PCLAVE2]],Tabla8[[#This Row],[DESCRIPCION DE TRABAJO]])),""))</f>
        <v/>
      </c>
      <c r="P1975" s="633" t="str">
        <f>IFERROR(LEFT(O1975, FIND(",", O1975)-1), O1975)</f>
        <v/>
      </c>
      <c r="Q1975" s="633" t="str">
        <f>IFERROR(IF(ISERROR(FIND(",", O1975, FIND(",", O1975)+1)), RIGHT(O1975, LEN(O1975)-FIND(",", O1975)-1), MID(O1975, FIND(",", O1975)+2, FIND(",", O1975, FIND(",", O1975)+1)-FIND(",", O1975)-2)), "")</f>
        <v/>
      </c>
      <c r="R1975" s="633" t="str">
        <f>IFERROR(RIGHT(O1975, LEN(O1975)-FIND(",", O1975, FIND(",", O1975)+1)-1), "")</f>
        <v/>
      </c>
      <c r="S1975" s="35" t="str" cm="1">
        <f t="array" ref="S1975">_xlfn.TEXTJOIN(", ",TRUE,_xlfn._xlws.FILTER(Tabla29[[#All],[PARTE]],ISNUMBER(SEARCH(Tabla29[[#All],[PCLAVE3]],Tabla8[[#This Row],[DESCRIPCION DE TRABAJO]])),""))</f>
        <v/>
      </c>
      <c r="T1975" s="88" t="str">
        <f>IF(AND(Tabla8[[#This Row],[PIEZA]]="",Tabla8[[#This Row],[PARTE]]=""),"VACIO","OK")</f>
        <v>VACIO</v>
      </c>
      <c r="U1975" s="633" t="str">
        <f>+CONCATENATE(WEEKNUM(Tabla8[[#This Row],[FECHA]]),"-",YEAR(Tabla8[[#This Row],[FECHA]]))</f>
        <v>26-2026</v>
      </c>
    </row>
    <row r="1976" spans="1:21" ht="15" customHeight="1">
      <c r="A1976" s="22">
        <v>46198</v>
      </c>
      <c r="B1976" s="16" t="s">
        <v>111</v>
      </c>
      <c r="C1976" s="16" t="s">
        <v>39</v>
      </c>
      <c r="D1976" s="381" t="s">
        <v>866</v>
      </c>
      <c r="E1976" s="381" t="s">
        <v>145</v>
      </c>
      <c r="F1976" s="632">
        <f>+MOD(Tabla8[[#This Row],[HR. FIN]]-Tabla8[[#This Row],[HR. INICIO]],1)</f>
        <v>1.3888888888888881E-2</v>
      </c>
      <c r="G1976" s="16" t="s">
        <v>2743</v>
      </c>
      <c r="H1976" s="79" t="str">
        <f>IFERROR(VLOOKUP(G1976,DATOS!$M$2:$N$219,2,FALSE),"")</f>
        <v>Maquinaria</v>
      </c>
      <c r="I1976" s="115" t="s">
        <v>186</v>
      </c>
      <c r="J1976" s="115" t="s">
        <v>92</v>
      </c>
      <c r="K1976" s="115" t="s">
        <v>148</v>
      </c>
      <c r="L1976" s="35" t="s">
        <v>3468</v>
      </c>
      <c r="M1976" s="35" t="s">
        <v>3469</v>
      </c>
      <c r="N1976" s="35" t="str" cm="1">
        <f t="array" ref="N1976">IFERROR(IF(Tabla8[[#This Row],[P/NP]]="NO PROGRAMADA","",_xlfn.TEXTJOIN(", ",TRUE,_xlfn._xlws.FILTER(Tabla4[[#All],[PIEZA]],ISNUMBER(SEARCH(Tabla4[[#All],[PCLAVE]],Tabla8[[#This Row],[DESCRIPCION DE TRABAJO]])),""))),"")</f>
        <v/>
      </c>
      <c r="O1976" s="35" t="str" cm="1">
        <f t="array" ref="O1976">_xlfn.TEXTJOIN(", ",TRUE,_xlfn._xlws.FILTER(Tabla28[[#All],[PARTE]],ISNUMBER(SEARCH(Tabla28[[#All],[PCLAVE2]],Tabla8[[#This Row],[DESCRIPCION DE TRABAJO]])),""))</f>
        <v/>
      </c>
      <c r="P1976" s="633" t="str">
        <f>IFERROR(LEFT(O1976, FIND(",", O1976)-1), O1976)</f>
        <v/>
      </c>
      <c r="Q1976" s="633" t="str">
        <f>IFERROR(IF(ISERROR(FIND(",", O1976, FIND(",", O1976)+1)), RIGHT(O1976, LEN(O1976)-FIND(",", O1976)-1), MID(O1976, FIND(",", O1976)+2, FIND(",", O1976, FIND(",", O1976)+1)-FIND(",", O1976)-2)), "")</f>
        <v/>
      </c>
      <c r="R1976" s="633" t="str">
        <f>IFERROR(RIGHT(O1976, LEN(O1976)-FIND(",", O1976, FIND(",", O1976)+1)-1), "")</f>
        <v/>
      </c>
      <c r="S1976" s="35" t="str" cm="1">
        <f t="array" ref="S1976">_xlfn.TEXTJOIN(", ",TRUE,_xlfn._xlws.FILTER(Tabla29[[#All],[PARTE]],ISNUMBER(SEARCH(Tabla29[[#All],[PCLAVE3]],Tabla8[[#This Row],[DESCRIPCION DE TRABAJO]])),""))</f>
        <v>Bloqueado, Rotura</v>
      </c>
      <c r="T1976" s="88" t="str">
        <f>IF(AND(Tabla8[[#This Row],[PIEZA]]="",Tabla8[[#This Row],[PARTE]]=""),"VACIO","OK")</f>
        <v>VACIO</v>
      </c>
      <c r="U1976" s="633" t="str">
        <f>+CONCATENATE(WEEKNUM(Tabla8[[#This Row],[FECHA]]),"-",YEAR(Tabla8[[#This Row],[FECHA]]))</f>
        <v>26-2026</v>
      </c>
    </row>
    <row r="1977" spans="1:21" ht="15" customHeight="1">
      <c r="A1977" s="22">
        <v>46198</v>
      </c>
      <c r="B1977" s="16" t="s">
        <v>131</v>
      </c>
      <c r="C1977" s="16" t="s">
        <v>36</v>
      </c>
      <c r="D1977" s="381" t="s">
        <v>106</v>
      </c>
      <c r="E1977" s="381" t="s">
        <v>468</v>
      </c>
      <c r="F1977" s="632">
        <f>+MOD(Tabla8[[#This Row],[HR. FIN]]-Tabla8[[#This Row],[HR. INICIO]],1)</f>
        <v>1.388888888888884E-2</v>
      </c>
      <c r="G1977" s="16" t="s">
        <v>192</v>
      </c>
      <c r="H1977" s="79" t="str">
        <f>IFERROR(VLOOKUP(G1977,DATOS!$M$2:$N$219,2,FALSE),"")</f>
        <v>Maquinaria</v>
      </c>
      <c r="I1977" s="115" t="s">
        <v>57</v>
      </c>
      <c r="J1977" s="115" t="s">
        <v>92</v>
      </c>
      <c r="K1977" s="115" t="s">
        <v>93</v>
      </c>
      <c r="L1977" s="35" t="s">
        <v>3470</v>
      </c>
      <c r="M1977" s="35" t="s">
        <v>3471</v>
      </c>
      <c r="N1977" s="35" t="str" cm="1">
        <f t="array" ref="N1977">IFERROR(IF(Tabla8[[#This Row],[P/NP]]="NO PROGRAMADA","",_xlfn.TEXTJOIN(", ",TRUE,_xlfn._xlws.FILTER(Tabla4[[#All],[PIEZA]],ISNUMBER(SEARCH(Tabla4[[#All],[PCLAVE]],Tabla8[[#This Row],[DESCRIPCION DE TRABAJO]])),""))),"")</f>
        <v/>
      </c>
      <c r="O1977" s="35" t="str" cm="1">
        <f t="array" ref="O1977">_xlfn.TEXTJOIN(", ",TRUE,_xlfn._xlws.FILTER(Tabla28[[#All],[PARTE]],ISNUMBER(SEARCH(Tabla28[[#All],[PCLAVE2]],Tabla8[[#This Row],[DESCRIPCION DE TRABAJO]])),""))</f>
        <v/>
      </c>
      <c r="P1977" s="633" t="str">
        <f>IFERROR(LEFT(O1977, FIND(",", O1977)-1), O1977)</f>
        <v/>
      </c>
      <c r="Q1977" s="633" t="str">
        <f>IFERROR(IF(ISERROR(FIND(",", O1977, FIND(",", O1977)+1)), RIGHT(O1977, LEN(O1977)-FIND(",", O1977)-1), MID(O1977, FIND(",", O1977)+2, FIND(",", O1977, FIND(",", O1977)+1)-FIND(",", O1977)-2)), "")</f>
        <v/>
      </c>
      <c r="R1977" s="633" t="str">
        <f>IFERROR(RIGHT(O1977, LEN(O1977)-FIND(",", O1977, FIND(",", O1977)+1)-1), "")</f>
        <v/>
      </c>
      <c r="S1977" s="35" t="str" cm="1">
        <f t="array" ref="S1977">_xlfn.TEXTJOIN(", ",TRUE,_xlfn._xlws.FILTER(Tabla29[[#All],[PARTE]],ISNUMBER(SEARCH(Tabla29[[#All],[PCLAVE3]],Tabla8[[#This Row],[DESCRIPCION DE TRABAJO]])),""))</f>
        <v>No Sella</v>
      </c>
      <c r="T1977" s="88" t="str">
        <f>IF(AND(Tabla8[[#This Row],[PIEZA]]="",Tabla8[[#This Row],[PARTE]]=""),"VACIO","OK")</f>
        <v>VACIO</v>
      </c>
      <c r="U1977" s="633" t="str">
        <f>+CONCATENATE(WEEKNUM(Tabla8[[#This Row],[FECHA]]),"-",YEAR(Tabla8[[#This Row],[FECHA]]))</f>
        <v>26-2026</v>
      </c>
    </row>
    <row r="1978" spans="1:21" ht="15" customHeight="1">
      <c r="A1978" s="22">
        <v>46198</v>
      </c>
      <c r="B1978" s="16" t="s">
        <v>179</v>
      </c>
      <c r="C1978" s="16" t="s">
        <v>23</v>
      </c>
      <c r="D1978" s="381" t="s">
        <v>106</v>
      </c>
      <c r="E1978" s="381" t="s">
        <v>468</v>
      </c>
      <c r="F1978" s="632">
        <f>+MOD(Tabla8[[#This Row],[HR. FIN]]-Tabla8[[#This Row],[HR. INICIO]],1)</f>
        <v>1.388888888888884E-2</v>
      </c>
      <c r="G1978" s="16" t="s">
        <v>119</v>
      </c>
      <c r="H1978" s="79" t="str">
        <f>IFERROR(VLOOKUP(G1978,DATOS!$M$2:$N$219,2,FALSE),"")</f>
        <v>Maquinaria</v>
      </c>
      <c r="I1978" s="115" t="s">
        <v>54</v>
      </c>
      <c r="J1978" s="115" t="s">
        <v>157</v>
      </c>
      <c r="K1978" s="115"/>
      <c r="L1978" s="35" t="s">
        <v>2766</v>
      </c>
      <c r="M1978" s="35" t="s">
        <v>121</v>
      </c>
      <c r="N1978" s="35" t="str" cm="1">
        <f t="array" ref="N1978">IFERROR(IF(Tabla8[[#This Row],[P/NP]]="NO PROGRAMADA","",_xlfn.TEXTJOIN(", ",TRUE,_xlfn._xlws.FILTER(Tabla4[[#All],[PIEZA]],ISNUMBER(SEARCH(Tabla4[[#All],[PCLAVE]],Tabla8[[#This Row],[DESCRIPCION DE TRABAJO]])),""))),"")</f>
        <v/>
      </c>
      <c r="O1978" s="35" t="str" cm="1">
        <f t="array" ref="O1978">_xlfn.TEXTJOIN(", ",TRUE,_xlfn._xlws.FILTER(Tabla28[[#All],[PARTE]],ISNUMBER(SEARCH(Tabla28[[#All],[PCLAVE2]],Tabla8[[#This Row],[DESCRIPCION DE TRABAJO]])),""))</f>
        <v>Temperadora</v>
      </c>
      <c r="P1978" s="633" t="str">
        <f>IFERROR(LEFT(O1978, FIND(",", O1978)-1), O1978)</f>
        <v>Temperadora</v>
      </c>
      <c r="Q1978" s="633" t="str">
        <f>IFERROR(IF(ISERROR(FIND(",", O1978, FIND(",", O1978)+1)), RIGHT(O1978, LEN(O1978)-FIND(",", O1978)-1), MID(O1978, FIND(",", O1978)+2, FIND(",", O1978, FIND(",", O1978)+1)-FIND(",", O1978)-2)), "")</f>
        <v/>
      </c>
      <c r="R1978" s="633" t="str">
        <f>IFERROR(RIGHT(O1978, LEN(O1978)-FIND(",", O1978, FIND(",", O1978)+1)-1), "")</f>
        <v/>
      </c>
      <c r="S1978" s="35" t="str" cm="1">
        <f t="array" ref="S1978">_xlfn.TEXTJOIN(", ",TRUE,_xlfn._xlws.FILTER(Tabla29[[#All],[PARTE]],ISNUMBER(SEARCH(Tabla29[[#All],[PCLAVE3]],Tabla8[[#This Row],[DESCRIPCION DE TRABAJO]])),""))</f>
        <v/>
      </c>
      <c r="T1978" s="88" t="str">
        <f>IF(AND(Tabla8[[#This Row],[PIEZA]]="",Tabla8[[#This Row],[PARTE]]=""),"VACIO","OK")</f>
        <v>OK</v>
      </c>
      <c r="U1978" s="633" t="str">
        <f>+CONCATENATE(WEEKNUM(Tabla8[[#This Row],[FECHA]]),"-",YEAR(Tabla8[[#This Row],[FECHA]]))</f>
        <v>26-2026</v>
      </c>
    </row>
    <row r="1979" spans="1:21" ht="15" customHeight="1">
      <c r="A1979" s="22">
        <v>46198</v>
      </c>
      <c r="B1979" s="16" t="s">
        <v>111</v>
      </c>
      <c r="C1979" s="16" t="s">
        <v>39</v>
      </c>
      <c r="D1979" s="381" t="s">
        <v>422</v>
      </c>
      <c r="E1979" s="381" t="s">
        <v>1271</v>
      </c>
      <c r="F1979" s="632">
        <f>+MOD(Tabla8[[#This Row],[HR. FIN]]-Tabla8[[#This Row],[HR. INICIO]],1)</f>
        <v>1.3194444444444398E-2</v>
      </c>
      <c r="G1979" s="16" t="s">
        <v>192</v>
      </c>
      <c r="H1979" s="79" t="str">
        <f>IFERROR(VLOOKUP(G1979,DATOS!$M$2:$N$219,2,FALSE),"")</f>
        <v>Maquinaria</v>
      </c>
      <c r="I1979" s="115" t="s">
        <v>57</v>
      </c>
      <c r="J1979" s="115" t="s">
        <v>157</v>
      </c>
      <c r="K1979" s="115"/>
      <c r="L1979" s="35" t="s">
        <v>3472</v>
      </c>
      <c r="M1979" s="35" t="s">
        <v>121</v>
      </c>
      <c r="N1979" s="35" t="str" cm="1">
        <f t="array" ref="N1979">IFERROR(IF(Tabla8[[#This Row],[P/NP]]="NO PROGRAMADA","",_xlfn.TEXTJOIN(", ",TRUE,_xlfn._xlws.FILTER(Tabla4[[#All],[PIEZA]],ISNUMBER(SEARCH(Tabla4[[#All],[PCLAVE]],Tabla8[[#This Row],[DESCRIPCION DE TRABAJO]])),""))),"")</f>
        <v>Gomas</v>
      </c>
      <c r="O1979" s="35" t="str" cm="1">
        <f t="array" ref="O1979">_xlfn.TEXTJOIN(", ",TRUE,_xlfn._xlws.FILTER(Tabla28[[#All],[PARTE]],ISNUMBER(SEARCH(Tabla28[[#All],[PCLAVE2]],Tabla8[[#This Row],[DESCRIPCION DE TRABAJO]])),""))</f>
        <v/>
      </c>
      <c r="P1979" s="633" t="str">
        <f>IFERROR(LEFT(O1979, FIND(",", O1979)-1), O1979)</f>
        <v/>
      </c>
      <c r="Q1979" s="633" t="str">
        <f>IFERROR(IF(ISERROR(FIND(",", O1979, FIND(",", O1979)+1)), RIGHT(O1979, LEN(O1979)-FIND(",", O1979)-1), MID(O1979, FIND(",", O1979)+2, FIND(",", O1979, FIND(",", O1979)+1)-FIND(",", O1979)-2)), "")</f>
        <v/>
      </c>
      <c r="R1979" s="633" t="str">
        <f>IFERROR(RIGHT(O1979, LEN(O1979)-FIND(",", O1979, FIND(",", O1979)+1)-1), "")</f>
        <v/>
      </c>
      <c r="S1979" s="35" t="str" cm="1">
        <f t="array" ref="S1979">_xlfn.TEXTJOIN(", ",TRUE,_xlfn._xlws.FILTER(Tabla29[[#All],[PARTE]],ISNUMBER(SEARCH(Tabla29[[#All],[PCLAVE3]],Tabla8[[#This Row],[DESCRIPCION DE TRABAJO]])),""))</f>
        <v/>
      </c>
      <c r="T1979" s="88" t="str">
        <f>IF(AND(Tabla8[[#This Row],[PIEZA]]="",Tabla8[[#This Row],[PARTE]]=""),"VACIO","OK")</f>
        <v>OK</v>
      </c>
      <c r="U1979" s="633" t="str">
        <f>+CONCATENATE(WEEKNUM(Tabla8[[#This Row],[FECHA]]),"-",YEAR(Tabla8[[#This Row],[FECHA]]))</f>
        <v>26-2026</v>
      </c>
    </row>
    <row r="1980" spans="1:21" ht="15" customHeight="1">
      <c r="A1980" s="22">
        <v>46198</v>
      </c>
      <c r="B1980" s="16" t="s">
        <v>111</v>
      </c>
      <c r="C1980" s="16" t="s">
        <v>39</v>
      </c>
      <c r="D1980" s="381" t="s">
        <v>134</v>
      </c>
      <c r="E1980" s="381" t="s">
        <v>3473</v>
      </c>
      <c r="F1980" s="632">
        <f>+MOD(Tabla8[[#This Row],[HR. FIN]]-Tabla8[[#This Row],[HR. INICIO]],1)</f>
        <v>1.2500000000000067E-2</v>
      </c>
      <c r="G1980" s="16" t="s">
        <v>2256</v>
      </c>
      <c r="H1980" s="79" t="str">
        <f>IFERROR(VLOOKUP(G1980,DATOS!$M$2:$N$219,2,FALSE),"")</f>
        <v>Maquinaria</v>
      </c>
      <c r="I1980" s="115" t="s">
        <v>186</v>
      </c>
      <c r="J1980" s="115" t="s">
        <v>92</v>
      </c>
      <c r="K1980" s="115" t="s">
        <v>148</v>
      </c>
      <c r="L1980" s="35" t="s">
        <v>3474</v>
      </c>
      <c r="M1980" s="35" t="s">
        <v>3475</v>
      </c>
      <c r="N1980" s="35" t="str" cm="1">
        <f t="array" ref="N1980">IFERROR(IF(Tabla8[[#This Row],[P/NP]]="NO PROGRAMADA","",_xlfn.TEXTJOIN(", ",TRUE,_xlfn._xlws.FILTER(Tabla4[[#All],[PIEZA]],ISNUMBER(SEARCH(Tabla4[[#All],[PCLAVE]],Tabla8[[#This Row],[DESCRIPCION DE TRABAJO]])),""))),"")</f>
        <v/>
      </c>
      <c r="O1980" s="35" t="str" cm="1">
        <f t="array" ref="O1980">_xlfn.TEXTJOIN(", ",TRUE,_xlfn._xlws.FILTER(Tabla28[[#All],[PARTE]],ISNUMBER(SEARCH(Tabla28[[#All],[PCLAVE2]],Tabla8[[#This Row],[DESCRIPCION DE TRABAJO]])),""))</f>
        <v/>
      </c>
      <c r="P1980" s="633" t="str">
        <f>IFERROR(LEFT(O1980, FIND(",", O1980)-1), O1980)</f>
        <v/>
      </c>
      <c r="Q1980" s="633" t="str">
        <f>IFERROR(IF(ISERROR(FIND(",", O1980, FIND(",", O1980)+1)), RIGHT(O1980, LEN(O1980)-FIND(",", O1980)-1), MID(O1980, FIND(",", O1980)+2, FIND(",", O1980, FIND(",", O1980)+1)-FIND(",", O1980)-2)), "")</f>
        <v/>
      </c>
      <c r="R1980" s="633" t="str">
        <f>IFERROR(RIGHT(O1980, LEN(O1980)-FIND(",", O1980, FIND(",", O1980)+1)-1), "")</f>
        <v/>
      </c>
      <c r="S1980" s="35" t="str" cm="1">
        <f t="array" ref="S1980">_xlfn.TEXTJOIN(", ",TRUE,_xlfn._xlws.FILTER(Tabla29[[#All],[PARTE]],ISNUMBER(SEARCH(Tabla29[[#All],[PCLAVE3]],Tabla8[[#This Row],[DESCRIPCION DE TRABAJO]])),""))</f>
        <v>No Enciende, Quemado</v>
      </c>
      <c r="T1980" s="88" t="str">
        <f>IF(AND(Tabla8[[#This Row],[PIEZA]]="",Tabla8[[#This Row],[PARTE]]=""),"VACIO","OK")</f>
        <v>VACIO</v>
      </c>
      <c r="U1980" s="633" t="str">
        <f>+CONCATENATE(WEEKNUM(Tabla8[[#This Row],[FECHA]]),"-",YEAR(Tabla8[[#This Row],[FECHA]]))</f>
        <v>26-2026</v>
      </c>
    </row>
    <row r="1981" spans="1:21" ht="15" customHeight="1">
      <c r="A1981" s="22">
        <v>46198</v>
      </c>
      <c r="B1981" s="16" t="s">
        <v>191</v>
      </c>
      <c r="C1981" s="16" t="s">
        <v>23</v>
      </c>
      <c r="D1981" s="381" t="s">
        <v>1815</v>
      </c>
      <c r="E1981" s="381" t="s">
        <v>3476</v>
      </c>
      <c r="F1981" s="632">
        <f>+MOD(Tabla8[[#This Row],[HR. FIN]]-Tabla8[[#This Row],[HR. INICIO]],1)</f>
        <v>1.2499999999999956E-2</v>
      </c>
      <c r="G1981" s="16" t="s">
        <v>1063</v>
      </c>
      <c r="H1981" s="79" t="str">
        <f>IFERROR(VLOOKUP(G1981,DATOS!$M$2:$N$219,2,FALSE),"")</f>
        <v>Maquinaria</v>
      </c>
      <c r="I1981" s="115" t="s">
        <v>32</v>
      </c>
      <c r="J1981" s="115" t="s">
        <v>157</v>
      </c>
      <c r="K1981" s="115"/>
      <c r="L1981" s="35" t="s">
        <v>3477</v>
      </c>
      <c r="M1981" s="35" t="s">
        <v>121</v>
      </c>
      <c r="N1981" s="35" t="str" cm="1">
        <f t="array" ref="N1981">IFERROR(IF(Tabla8[[#This Row],[P/NP]]="NO PROGRAMADA","",_xlfn.TEXTJOIN(", ",TRUE,_xlfn._xlws.FILTER(Tabla4[[#All],[PIEZA]],ISNUMBER(SEARCH(Tabla4[[#All],[PCLAVE]],Tabla8[[#This Row],[DESCRIPCION DE TRABAJO]])),""))),"")</f>
        <v>Malla</v>
      </c>
      <c r="O1981" s="35" t="str" cm="1">
        <f t="array" ref="O1981">_xlfn.TEXTJOIN(", ",TRUE,_xlfn._xlws.FILTER(Tabla28[[#All],[PARTE]],ISNUMBER(SEARCH(Tabla28[[#All],[PCLAVE2]],Tabla8[[#This Row],[DESCRIPCION DE TRABAJO]])),""))</f>
        <v/>
      </c>
      <c r="P1981" s="633" t="str">
        <f>IFERROR(LEFT(O1981, FIND(",", O1981)-1), O1981)</f>
        <v/>
      </c>
      <c r="Q1981" s="633" t="str">
        <f>IFERROR(IF(ISERROR(FIND(",", O1981, FIND(",", O1981)+1)), RIGHT(O1981, LEN(O1981)-FIND(",", O1981)-1), MID(O1981, FIND(",", O1981)+2, FIND(",", O1981, FIND(",", O1981)+1)-FIND(",", O1981)-2)), "")</f>
        <v/>
      </c>
      <c r="R1981" s="633" t="str">
        <f>IFERROR(RIGHT(O1981, LEN(O1981)-FIND(",", O1981, FIND(",", O1981)+1)-1), "")</f>
        <v/>
      </c>
      <c r="S1981" s="35" t="str" cm="1">
        <f t="array" ref="S1981">_xlfn.TEXTJOIN(", ",TRUE,_xlfn._xlws.FILTER(Tabla29[[#All],[PARTE]],ISNUMBER(SEARCH(Tabla29[[#All],[PCLAVE3]],Tabla8[[#This Row],[DESCRIPCION DE TRABAJO]])),""))</f>
        <v/>
      </c>
      <c r="T1981" s="88" t="str">
        <f>IF(AND(Tabla8[[#This Row],[PIEZA]]="",Tabla8[[#This Row],[PARTE]]=""),"VACIO","OK")</f>
        <v>OK</v>
      </c>
      <c r="U1981" s="633" t="str">
        <f>+CONCATENATE(WEEKNUM(Tabla8[[#This Row],[FECHA]]),"-",YEAR(Tabla8[[#This Row],[FECHA]]))</f>
        <v>26-2026</v>
      </c>
    </row>
    <row r="1982" spans="1:21" ht="15" customHeight="1">
      <c r="A1982" s="22">
        <v>46198</v>
      </c>
      <c r="B1982" s="16" t="s">
        <v>179</v>
      </c>
      <c r="C1982" s="16" t="s">
        <v>23</v>
      </c>
      <c r="D1982" s="381">
        <v>0.62430555555555556</v>
      </c>
      <c r="E1982" s="381">
        <v>0.63541666666666663</v>
      </c>
      <c r="F1982" s="632">
        <f>+MOD(Tabla8[[#This Row],[HR. FIN]]-Tabla8[[#This Row],[HR. INICIO]],1)</f>
        <v>1.1111111111111072E-2</v>
      </c>
      <c r="G1982" s="16" t="s">
        <v>1063</v>
      </c>
      <c r="H1982" s="79" t="str">
        <f>IFERROR(VLOOKUP(G1982,DATOS!$M$2:$N$219,2,FALSE),"")</f>
        <v>Maquinaria</v>
      </c>
      <c r="I1982" s="115" t="s">
        <v>32</v>
      </c>
      <c r="J1982" s="115" t="s">
        <v>157</v>
      </c>
      <c r="K1982" s="115"/>
      <c r="L1982" s="35" t="s">
        <v>3478</v>
      </c>
      <c r="M1982" s="35" t="s">
        <v>121</v>
      </c>
      <c r="N1982" s="35" t="str" cm="1">
        <f t="array" ref="N1982">IFERROR(IF(Tabla8[[#This Row],[P/NP]]="NO PROGRAMADA","",_xlfn.TEXTJOIN(", ",TRUE,_xlfn._xlws.FILTER(Tabla4[[#All],[PIEZA]],ISNUMBER(SEARCH(Tabla4[[#All],[PCLAVE]],Tabla8[[#This Row],[DESCRIPCION DE TRABAJO]])),""))),"")</f>
        <v/>
      </c>
      <c r="O1982" s="35" t="str" cm="1">
        <f t="array" ref="O1982">_xlfn.TEXTJOIN(", ",TRUE,_xlfn._xlws.FILTER(Tabla28[[#All],[PARTE]],ISNUMBER(SEARCH(Tabla28[[#All],[PCLAVE2]],Tabla8[[#This Row],[DESCRIPCION DE TRABAJO]])),""))</f>
        <v/>
      </c>
      <c r="P1982" s="633" t="str">
        <f>IFERROR(LEFT(O1982, FIND(",", O1982)-1), O1982)</f>
        <v/>
      </c>
      <c r="Q1982" s="633" t="str">
        <f>IFERROR(IF(ISERROR(FIND(",", O1982, FIND(",", O1982)+1)), RIGHT(O1982, LEN(O1982)-FIND(",", O1982)-1), MID(O1982, FIND(",", O1982)+2, FIND(",", O1982, FIND(",", O1982)+1)-FIND(",", O1982)-2)), "")</f>
        <v/>
      </c>
      <c r="R1982" s="633" t="str">
        <f>IFERROR(RIGHT(O1982, LEN(O1982)-FIND(",", O1982, FIND(",", O1982)+1)-1), "")</f>
        <v/>
      </c>
      <c r="S1982" s="35" t="str" cm="1">
        <f t="array" ref="S1982">_xlfn.TEXTJOIN(", ",TRUE,_xlfn._xlws.FILTER(Tabla29[[#All],[PARTE]],ISNUMBER(SEARCH(Tabla29[[#All],[PCLAVE3]],Tabla8[[#This Row],[DESCRIPCION DE TRABAJO]])),""))</f>
        <v/>
      </c>
      <c r="T1982" s="88" t="str">
        <f>IF(AND(Tabla8[[#This Row],[PIEZA]]="",Tabla8[[#This Row],[PARTE]]=""),"VACIO","OK")</f>
        <v>VACIO</v>
      </c>
      <c r="U1982" s="633" t="str">
        <f>+CONCATENATE(WEEKNUM(Tabla8[[#This Row],[FECHA]]),"-",YEAR(Tabla8[[#This Row],[FECHA]]))</f>
        <v>26-2026</v>
      </c>
    </row>
    <row r="1983" spans="1:21" ht="15" customHeight="1">
      <c r="A1983" s="22">
        <v>46198</v>
      </c>
      <c r="B1983" s="16" t="s">
        <v>179</v>
      </c>
      <c r="C1983" s="16" t="s">
        <v>23</v>
      </c>
      <c r="D1983" s="381" t="s">
        <v>2420</v>
      </c>
      <c r="E1983" s="381" t="s">
        <v>653</v>
      </c>
      <c r="F1983" s="632">
        <f>+MOD(Tabla8[[#This Row],[HR. FIN]]-Tabla8[[#This Row],[HR. INICIO]],1)</f>
        <v>1.0416666666666741E-2</v>
      </c>
      <c r="G1983" s="16" t="s">
        <v>328</v>
      </c>
      <c r="H1983" s="79" t="str">
        <f>IFERROR(VLOOKUP(G1983,DATOS!$M$2:$N$219,2,FALSE),"")</f>
        <v>Area</v>
      </c>
      <c r="I1983" s="115" t="s">
        <v>61</v>
      </c>
      <c r="J1983" s="115" t="s">
        <v>157</v>
      </c>
      <c r="K1983" s="115"/>
      <c r="L1983" s="35" t="s">
        <v>3479</v>
      </c>
      <c r="M1983" s="35" t="s">
        <v>121</v>
      </c>
      <c r="N1983" s="35" t="str" cm="1">
        <f t="array" ref="N1983">IFERROR(IF(Tabla8[[#This Row],[P/NP]]="NO PROGRAMADA","",_xlfn.TEXTJOIN(", ",TRUE,_xlfn._xlws.FILTER(Tabla4[[#All],[PIEZA]],ISNUMBER(SEARCH(Tabla4[[#All],[PCLAVE]],Tabla8[[#This Row],[DESCRIPCION DE TRABAJO]])),""))),"")</f>
        <v/>
      </c>
      <c r="O1983" s="35" t="str" cm="1">
        <f t="array" ref="O1983">_xlfn.TEXTJOIN(", ",TRUE,_xlfn._xlws.FILTER(Tabla28[[#All],[PARTE]],ISNUMBER(SEARCH(Tabla28[[#All],[PCLAVE2]],Tabla8[[#This Row],[DESCRIPCION DE TRABAJO]])),""))</f>
        <v/>
      </c>
      <c r="P1983" s="633" t="str">
        <f>IFERROR(LEFT(O1983, FIND(",", O1983)-1), O1983)</f>
        <v/>
      </c>
      <c r="Q1983" s="633" t="str">
        <f>IFERROR(IF(ISERROR(FIND(",", O1983, FIND(",", O1983)+1)), RIGHT(O1983, LEN(O1983)-FIND(",", O1983)-1), MID(O1983, FIND(",", O1983)+2, FIND(",", O1983, FIND(",", O1983)+1)-FIND(",", O1983)-2)), "")</f>
        <v/>
      </c>
      <c r="R1983" s="633" t="str">
        <f>IFERROR(RIGHT(O1983, LEN(O1983)-FIND(",", O1983, FIND(",", O1983)+1)-1), "")</f>
        <v/>
      </c>
      <c r="S1983" s="35" t="str" cm="1">
        <f t="array" ref="S1983">_xlfn.TEXTJOIN(", ",TRUE,_xlfn._xlws.FILTER(Tabla29[[#All],[PARTE]],ISNUMBER(SEARCH(Tabla29[[#All],[PCLAVE3]],Tabla8[[#This Row],[DESCRIPCION DE TRABAJO]])),""))</f>
        <v/>
      </c>
      <c r="T1983" s="88" t="str">
        <f>IF(AND(Tabla8[[#This Row],[PIEZA]]="",Tabla8[[#This Row],[PARTE]]=""),"VACIO","OK")</f>
        <v>VACIO</v>
      </c>
      <c r="U1983" s="633" t="str">
        <f>+CONCATENATE(WEEKNUM(Tabla8[[#This Row],[FECHA]]),"-",YEAR(Tabla8[[#This Row],[FECHA]]))</f>
        <v>26-2026</v>
      </c>
    </row>
    <row r="1984" spans="1:21" ht="15" customHeight="1">
      <c r="A1984" s="22">
        <v>46198</v>
      </c>
      <c r="B1984" s="16" t="s">
        <v>111</v>
      </c>
      <c r="C1984" s="16" t="s">
        <v>39</v>
      </c>
      <c r="D1984" s="381" t="s">
        <v>145</v>
      </c>
      <c r="E1984" s="381" t="s">
        <v>918</v>
      </c>
      <c r="F1984" s="632">
        <f>+MOD(Tabla8[[#This Row],[HR. FIN]]-Tabla8[[#This Row],[HR. INICIO]],1)</f>
        <v>1.0416666666666671E-2</v>
      </c>
      <c r="G1984" s="16" t="s">
        <v>182</v>
      </c>
      <c r="H1984" s="79" t="str">
        <f>IFERROR(VLOOKUP(G1984,DATOS!$M$2:$N$219,2,FALSE),"")</f>
        <v>Maquinaria</v>
      </c>
      <c r="I1984" s="115" t="s">
        <v>54</v>
      </c>
      <c r="J1984" s="115" t="s">
        <v>157</v>
      </c>
      <c r="K1984" s="115"/>
      <c r="L1984" s="35" t="s">
        <v>225</v>
      </c>
      <c r="M1984" s="35" t="s">
        <v>121</v>
      </c>
      <c r="N1984" s="35" t="str" cm="1">
        <f t="array" ref="N1984">IFERROR(IF(Tabla8[[#This Row],[P/NP]]="NO PROGRAMADA","",_xlfn.TEXTJOIN(", ",TRUE,_xlfn._xlws.FILTER(Tabla4[[#All],[PIEZA]],ISNUMBER(SEARCH(Tabla4[[#All],[PCLAVE]],Tabla8[[#This Row],[DESCRIPCION DE TRABAJO]])),""))),"")</f>
        <v/>
      </c>
      <c r="O1984" s="35" t="str" cm="1">
        <f t="array" ref="O1984">_xlfn.TEXTJOIN(", ",TRUE,_xlfn._xlws.FILTER(Tabla28[[#All],[PARTE]],ISNUMBER(SEARCH(Tabla28[[#All],[PCLAVE2]],Tabla8[[#This Row],[DESCRIPCION DE TRABAJO]])),""))</f>
        <v/>
      </c>
      <c r="P1984" s="633" t="str">
        <f>IFERROR(LEFT(O1984, FIND(",", O1984)-1), O1984)</f>
        <v/>
      </c>
      <c r="Q1984" s="633" t="str">
        <f>IFERROR(IF(ISERROR(FIND(",", O1984, FIND(",", O1984)+1)), RIGHT(O1984, LEN(O1984)-FIND(",", O1984)-1), MID(O1984, FIND(",", O1984)+2, FIND(",", O1984, FIND(",", O1984)+1)-FIND(",", O1984)-2)), "")</f>
        <v/>
      </c>
      <c r="R1984" s="633" t="str">
        <f>IFERROR(RIGHT(O1984, LEN(O1984)-FIND(",", O1984, FIND(",", O1984)+1)-1), "")</f>
        <v/>
      </c>
      <c r="S1984" s="35" t="str" cm="1">
        <f t="array" ref="S1984">_xlfn.TEXTJOIN(", ",TRUE,_xlfn._xlws.FILTER(Tabla29[[#All],[PARTE]],ISNUMBER(SEARCH(Tabla29[[#All],[PCLAVE3]],Tabla8[[#This Row],[DESCRIPCION DE TRABAJO]])),""))</f>
        <v/>
      </c>
      <c r="T1984" s="88" t="str">
        <f>IF(AND(Tabla8[[#This Row],[PIEZA]]="",Tabla8[[#This Row],[PARTE]]=""),"VACIO","OK")</f>
        <v>VACIO</v>
      </c>
      <c r="U1984" s="633" t="str">
        <f>+CONCATENATE(WEEKNUM(Tabla8[[#This Row],[FECHA]]),"-",YEAR(Tabla8[[#This Row],[FECHA]]))</f>
        <v>26-2026</v>
      </c>
    </row>
    <row r="1985" spans="1:21" ht="15" customHeight="1">
      <c r="A1985" s="22">
        <v>46198</v>
      </c>
      <c r="B1985" s="16" t="s">
        <v>111</v>
      </c>
      <c r="C1985" s="16" t="s">
        <v>39</v>
      </c>
      <c r="D1985" s="381" t="s">
        <v>316</v>
      </c>
      <c r="E1985" s="381" t="s">
        <v>3480</v>
      </c>
      <c r="F1985" s="632">
        <f>+MOD(Tabla8[[#This Row],[HR. FIN]]-Tabla8[[#This Row],[HR. INICIO]],1)</f>
        <v>1.0416666666666657E-2</v>
      </c>
      <c r="G1985" s="16" t="s">
        <v>153</v>
      </c>
      <c r="H1985" s="79" t="str">
        <f>IFERROR(VLOOKUP(G1985,DATOS!$M$2:$N$219,2,FALSE),"")</f>
        <v>Maquinaria</v>
      </c>
      <c r="I1985" s="115" t="s">
        <v>54</v>
      </c>
      <c r="J1985" s="115" t="s">
        <v>157</v>
      </c>
      <c r="K1985" s="115"/>
      <c r="L1985" s="35" t="s">
        <v>225</v>
      </c>
      <c r="M1985" s="35" t="s">
        <v>3481</v>
      </c>
      <c r="N1985" s="35" t="str" cm="1">
        <f t="array" ref="N1985">IFERROR(IF(Tabla8[[#This Row],[P/NP]]="NO PROGRAMADA","",_xlfn.TEXTJOIN(", ",TRUE,_xlfn._xlws.FILTER(Tabla4[[#All],[PIEZA]],ISNUMBER(SEARCH(Tabla4[[#All],[PCLAVE]],Tabla8[[#This Row],[DESCRIPCION DE TRABAJO]])),""))),"")</f>
        <v/>
      </c>
      <c r="O1985" s="35" t="str" cm="1">
        <f t="array" ref="O1985">_xlfn.TEXTJOIN(", ",TRUE,_xlfn._xlws.FILTER(Tabla28[[#All],[PARTE]],ISNUMBER(SEARCH(Tabla28[[#All],[PCLAVE2]],Tabla8[[#This Row],[DESCRIPCION DE TRABAJO]])),""))</f>
        <v/>
      </c>
      <c r="P1985" s="633" t="str">
        <f>IFERROR(LEFT(O1985, FIND(",", O1985)-1), O1985)</f>
        <v/>
      </c>
      <c r="Q1985" s="633" t="str">
        <f>IFERROR(IF(ISERROR(FIND(",", O1985, FIND(",", O1985)+1)), RIGHT(O1985, LEN(O1985)-FIND(",", O1985)-1), MID(O1985, FIND(",", O1985)+2, FIND(",", O1985, FIND(",", O1985)+1)-FIND(",", O1985)-2)), "")</f>
        <v/>
      </c>
      <c r="R1985" s="633" t="str">
        <f>IFERROR(RIGHT(O1985, LEN(O1985)-FIND(",", O1985, FIND(",", O1985)+1)-1), "")</f>
        <v/>
      </c>
      <c r="S1985" s="35" t="str" cm="1">
        <f t="array" ref="S1985">_xlfn.TEXTJOIN(", ",TRUE,_xlfn._xlws.FILTER(Tabla29[[#All],[PARTE]],ISNUMBER(SEARCH(Tabla29[[#All],[PCLAVE3]],Tabla8[[#This Row],[DESCRIPCION DE TRABAJO]])),""))</f>
        <v/>
      </c>
      <c r="T1985" s="88" t="str">
        <f>IF(AND(Tabla8[[#This Row],[PIEZA]]="",Tabla8[[#This Row],[PARTE]]=""),"VACIO","OK")</f>
        <v>VACIO</v>
      </c>
      <c r="U1985" s="633" t="str">
        <f>+CONCATENATE(WEEKNUM(Tabla8[[#This Row],[FECHA]]),"-",YEAR(Tabla8[[#This Row],[FECHA]]))</f>
        <v>26-2026</v>
      </c>
    </row>
    <row r="1986" spans="1:21" ht="15" customHeight="1">
      <c r="A1986" s="22">
        <v>46198</v>
      </c>
      <c r="B1986" s="16" t="s">
        <v>191</v>
      </c>
      <c r="C1986" s="16" t="s">
        <v>23</v>
      </c>
      <c r="D1986" s="381" t="s">
        <v>2420</v>
      </c>
      <c r="E1986" s="381" t="s">
        <v>882</v>
      </c>
      <c r="F1986" s="632">
        <f>+MOD(Tabla8[[#This Row],[HR. FIN]]-Tabla8[[#This Row],[HR. INICIO]],1)</f>
        <v>9.7222222222222987E-3</v>
      </c>
      <c r="G1986" s="16" t="s">
        <v>328</v>
      </c>
      <c r="H1986" s="79" t="str">
        <f>IFERROR(VLOOKUP(G1986,DATOS!$M$2:$N$219,2,FALSE),"")</f>
        <v>Area</v>
      </c>
      <c r="I1986" s="115" t="s">
        <v>61</v>
      </c>
      <c r="J1986" s="115" t="s">
        <v>157</v>
      </c>
      <c r="K1986" s="115"/>
      <c r="L1986" s="35" t="s">
        <v>3482</v>
      </c>
      <c r="M1986" s="35" t="s">
        <v>121</v>
      </c>
      <c r="N1986" s="35" t="str" cm="1">
        <f t="array" ref="N1986">IFERROR(IF(Tabla8[[#This Row],[P/NP]]="NO PROGRAMADA","",_xlfn.TEXTJOIN(", ",TRUE,_xlfn._xlws.FILTER(Tabla4[[#All],[PIEZA]],ISNUMBER(SEARCH(Tabla4[[#All],[PCLAVE]],Tabla8[[#This Row],[DESCRIPCION DE TRABAJO]])),""))),"")</f>
        <v>Mesa</v>
      </c>
      <c r="O1986" s="35" t="str" cm="1">
        <f t="array" ref="O1986">_xlfn.TEXTJOIN(", ",TRUE,_xlfn._xlws.FILTER(Tabla28[[#All],[PARTE]],ISNUMBER(SEARCH(Tabla28[[#All],[PCLAVE2]],Tabla8[[#This Row],[DESCRIPCION DE TRABAJO]])),""))</f>
        <v/>
      </c>
      <c r="P1986" s="633" t="str">
        <f>IFERROR(LEFT(O1986, FIND(",", O1986)-1), O1986)</f>
        <v/>
      </c>
      <c r="Q1986" s="633" t="str">
        <f>IFERROR(IF(ISERROR(FIND(",", O1986, FIND(",", O1986)+1)), RIGHT(O1986, LEN(O1986)-FIND(",", O1986)-1), MID(O1986, FIND(",", O1986)+2, FIND(",", O1986, FIND(",", O1986)+1)-FIND(",", O1986)-2)), "")</f>
        <v/>
      </c>
      <c r="R1986" s="633" t="str">
        <f>IFERROR(RIGHT(O1986, LEN(O1986)-FIND(",", O1986, FIND(",", O1986)+1)-1), "")</f>
        <v/>
      </c>
      <c r="S1986" s="35" t="str" cm="1">
        <f t="array" ref="S1986">_xlfn.TEXTJOIN(", ",TRUE,_xlfn._xlws.FILTER(Tabla29[[#All],[PARTE]],ISNUMBER(SEARCH(Tabla29[[#All],[PCLAVE3]],Tabla8[[#This Row],[DESCRIPCION DE TRABAJO]])),""))</f>
        <v/>
      </c>
      <c r="T1986" s="88" t="str">
        <f>IF(AND(Tabla8[[#This Row],[PIEZA]]="",Tabla8[[#This Row],[PARTE]]=""),"VACIO","OK")</f>
        <v>OK</v>
      </c>
      <c r="U1986" s="633" t="str">
        <f>+CONCATENATE(WEEKNUM(Tabla8[[#This Row],[FECHA]]),"-",YEAR(Tabla8[[#This Row],[FECHA]]))</f>
        <v>26-2026</v>
      </c>
    </row>
    <row r="1987" spans="1:21" ht="15" customHeight="1">
      <c r="A1987" s="22">
        <v>46198</v>
      </c>
      <c r="B1987" s="16" t="s">
        <v>191</v>
      </c>
      <c r="C1987" s="16" t="s">
        <v>23</v>
      </c>
      <c r="D1987" s="381" t="s">
        <v>454</v>
      </c>
      <c r="E1987" s="381" t="s">
        <v>3483</v>
      </c>
      <c r="F1987" s="632">
        <f>+MOD(Tabla8[[#This Row],[HR. FIN]]-Tabla8[[#This Row],[HR. INICIO]],1)</f>
        <v>9.0277777777778567E-3</v>
      </c>
      <c r="G1987" s="16" t="s">
        <v>153</v>
      </c>
      <c r="H1987" s="79" t="str">
        <f>IFERROR(VLOOKUP(G1987,DATOS!$M$2:$N$219,2,FALSE),"")</f>
        <v>Maquinaria</v>
      </c>
      <c r="I1987" s="115" t="s">
        <v>57</v>
      </c>
      <c r="J1987" s="115" t="s">
        <v>92</v>
      </c>
      <c r="K1987" s="115" t="s">
        <v>93</v>
      </c>
      <c r="L1987" s="35" t="s">
        <v>2836</v>
      </c>
      <c r="M1987" s="35" t="s">
        <v>3484</v>
      </c>
      <c r="N1987" s="35" t="str" cm="1">
        <f t="array" ref="N1987">IFERROR(IF(Tabla8[[#This Row],[P/NP]]="NO PROGRAMADA","",_xlfn.TEXTJOIN(", ",TRUE,_xlfn._xlws.FILTER(Tabla4[[#All],[PIEZA]],ISNUMBER(SEARCH(Tabla4[[#All],[PCLAVE]],Tabla8[[#This Row],[DESCRIPCION DE TRABAJO]])),""))),"")</f>
        <v/>
      </c>
      <c r="O1987" s="35" t="str" cm="1">
        <f t="array" ref="O1987">_xlfn.TEXTJOIN(", ",TRUE,_xlfn._xlws.FILTER(Tabla28[[#All],[PARTE]],ISNUMBER(SEARCH(Tabla28[[#All],[PCLAVE2]],Tabla8[[#This Row],[DESCRIPCION DE TRABAJO]])),""))</f>
        <v/>
      </c>
      <c r="P1987" s="633" t="str">
        <f>IFERROR(LEFT(O1987, FIND(",", O1987)-1), O1987)</f>
        <v/>
      </c>
      <c r="Q1987" s="633" t="str">
        <f>IFERROR(IF(ISERROR(FIND(",", O1987, FIND(",", O1987)+1)), RIGHT(O1987, LEN(O1987)-FIND(",", O1987)-1), MID(O1987, FIND(",", O1987)+2, FIND(",", O1987, FIND(",", O1987)+1)-FIND(",", O1987)-2)), "")</f>
        <v/>
      </c>
      <c r="R1987" s="633" t="str">
        <f>IFERROR(RIGHT(O1987, LEN(O1987)-FIND(",", O1987, FIND(",", O1987)+1)-1), "")</f>
        <v/>
      </c>
      <c r="S1987" s="35" t="str" cm="1">
        <f t="array" ref="S1987">_xlfn.TEXTJOIN(", ",TRUE,_xlfn._xlws.FILTER(Tabla29[[#All],[PARTE]],ISNUMBER(SEARCH(Tabla29[[#All],[PCLAVE3]],Tabla8[[#This Row],[DESCRIPCION DE TRABAJO]])),""))</f>
        <v/>
      </c>
      <c r="T1987" s="88" t="str">
        <f>IF(AND(Tabla8[[#This Row],[PIEZA]]="",Tabla8[[#This Row],[PARTE]]=""),"VACIO","OK")</f>
        <v>VACIO</v>
      </c>
      <c r="U1987" s="633" t="str">
        <f>+CONCATENATE(WEEKNUM(Tabla8[[#This Row],[FECHA]]),"-",YEAR(Tabla8[[#This Row],[FECHA]]))</f>
        <v>26-2026</v>
      </c>
    </row>
    <row r="1988" spans="1:21" ht="15" customHeight="1">
      <c r="A1988" s="22">
        <v>46198</v>
      </c>
      <c r="B1988" s="16" t="s">
        <v>111</v>
      </c>
      <c r="C1988" s="16" t="s">
        <v>39</v>
      </c>
      <c r="D1988" s="381" t="s">
        <v>1169</v>
      </c>
      <c r="E1988" s="381" t="s">
        <v>1620</v>
      </c>
      <c r="F1988" s="632">
        <f>+MOD(Tabla8[[#This Row],[HR. FIN]]-Tabla8[[#This Row],[HR. INICIO]],1)</f>
        <v>6.9444444444444198E-3</v>
      </c>
      <c r="G1988" s="16" t="s">
        <v>192</v>
      </c>
      <c r="H1988" s="79" t="str">
        <f>IFERROR(VLOOKUP(G1988,DATOS!$M$2:$N$219,2,FALSE),"")</f>
        <v>Maquinaria</v>
      </c>
      <c r="I1988" s="115" t="s">
        <v>54</v>
      </c>
      <c r="J1988" s="115" t="s">
        <v>157</v>
      </c>
      <c r="K1988" s="115"/>
      <c r="L1988" s="35" t="s">
        <v>225</v>
      </c>
      <c r="M1988" s="35" t="s">
        <v>3485</v>
      </c>
      <c r="N1988" s="35" t="str" cm="1">
        <f t="array" ref="N1988">IFERROR(IF(Tabla8[[#This Row],[P/NP]]="NO PROGRAMADA","",_xlfn.TEXTJOIN(", ",TRUE,_xlfn._xlws.FILTER(Tabla4[[#All],[PIEZA]],ISNUMBER(SEARCH(Tabla4[[#All],[PCLAVE]],Tabla8[[#This Row],[DESCRIPCION DE TRABAJO]])),""))),"")</f>
        <v/>
      </c>
      <c r="O1988" s="35" t="str" cm="1">
        <f t="array" ref="O1988">_xlfn.TEXTJOIN(", ",TRUE,_xlfn._xlws.FILTER(Tabla28[[#All],[PARTE]],ISNUMBER(SEARCH(Tabla28[[#All],[PCLAVE2]],Tabla8[[#This Row],[DESCRIPCION DE TRABAJO]])),""))</f>
        <v/>
      </c>
      <c r="P1988" s="633" t="str">
        <f>IFERROR(LEFT(O1988, FIND(",", O1988)-1), O1988)</f>
        <v/>
      </c>
      <c r="Q1988" s="633" t="str">
        <f>IFERROR(IF(ISERROR(FIND(",", O1988, FIND(",", O1988)+1)), RIGHT(O1988, LEN(O1988)-FIND(",", O1988)-1), MID(O1988, FIND(",", O1988)+2, FIND(",", O1988, FIND(",", O1988)+1)-FIND(",", O1988)-2)), "")</f>
        <v/>
      </c>
      <c r="R1988" s="633" t="str">
        <f>IFERROR(RIGHT(O1988, LEN(O1988)-FIND(",", O1988, FIND(",", O1988)+1)-1), "")</f>
        <v/>
      </c>
      <c r="S1988" s="35" t="str" cm="1">
        <f t="array" ref="S1988">_xlfn.TEXTJOIN(", ",TRUE,_xlfn._xlws.FILTER(Tabla29[[#All],[PARTE]],ISNUMBER(SEARCH(Tabla29[[#All],[PCLAVE3]],Tabla8[[#This Row],[DESCRIPCION DE TRABAJO]])),""))</f>
        <v/>
      </c>
      <c r="T1988" s="88" t="str">
        <f>IF(AND(Tabla8[[#This Row],[PIEZA]]="",Tabla8[[#This Row],[PARTE]]=""),"VACIO","OK")</f>
        <v>VACIO</v>
      </c>
      <c r="U1988" s="633" t="str">
        <f>+CONCATENATE(WEEKNUM(Tabla8[[#This Row],[FECHA]]),"-",YEAR(Tabla8[[#This Row],[FECHA]]))</f>
        <v>26-2026</v>
      </c>
    </row>
    <row r="1989" spans="1:21" ht="15" customHeight="1">
      <c r="A1989" s="22">
        <v>46199</v>
      </c>
      <c r="B1989" s="16" t="s">
        <v>179</v>
      </c>
      <c r="C1989" s="16" t="s">
        <v>36</v>
      </c>
      <c r="D1989" s="381" t="s">
        <v>3486</v>
      </c>
      <c r="E1989" s="381">
        <v>0.34027777777777779</v>
      </c>
      <c r="F1989" s="632">
        <f>+MOD(Tabla8[[#This Row],[HR. FIN]]-Tabla8[[#This Row],[HR. INICIO]],1)</f>
        <v>1.3194444444444453E-2</v>
      </c>
      <c r="G1989" s="16" t="s">
        <v>198</v>
      </c>
      <c r="H1989" s="79" t="str">
        <f>IFERROR(VLOOKUP(G1989,DATOS!$M$2:$N$219,2,FALSE),"")</f>
        <v>Maquinaria</v>
      </c>
      <c r="I1989" s="115" t="s">
        <v>28</v>
      </c>
      <c r="J1989" s="115" t="s">
        <v>92</v>
      </c>
      <c r="K1989" s="115" t="s">
        <v>93</v>
      </c>
      <c r="L1989" s="35" t="s">
        <v>3433</v>
      </c>
      <c r="M1989" s="35" t="s">
        <v>3487</v>
      </c>
      <c r="N1989" s="35" t="str" cm="1">
        <f t="array" ref="N1989">IFERROR(IF(Tabla8[[#This Row],[P/NP]]="NO PROGRAMADA","",_xlfn.TEXTJOIN(", ",TRUE,_xlfn._xlws.FILTER(Tabla4[[#All],[PIEZA]],ISNUMBER(SEARCH(Tabla4[[#All],[PCLAVE]],Tabla8[[#This Row],[DESCRIPCION DE TRABAJO]])),""))),"")</f>
        <v/>
      </c>
      <c r="O1989" s="35" t="str" cm="1">
        <f t="array" ref="O1989">_xlfn.TEXTJOIN(", ",TRUE,_xlfn._xlws.FILTER(Tabla28[[#All],[PARTE]],ISNUMBER(SEARCH(Tabla28[[#All],[PCLAVE2]],Tabla8[[#This Row],[DESCRIPCION DE TRABAJO]])),""))</f>
        <v/>
      </c>
      <c r="P1989" s="633" t="str">
        <f>IFERROR(LEFT(O1989, FIND(",", O1989)-1), O1989)</f>
        <v/>
      </c>
      <c r="Q1989" s="633" t="str">
        <f>IFERROR(IF(ISERROR(FIND(",", O1989, FIND(",", O1989)+1)), RIGHT(O1989, LEN(O1989)-FIND(",", O1989)-1), MID(O1989, FIND(",", O1989)+2, FIND(",", O1989, FIND(",", O1989)+1)-FIND(",", O1989)-2)), "")</f>
        <v/>
      </c>
      <c r="R1989" s="633" t="str">
        <f>IFERROR(RIGHT(O1989, LEN(O1989)-FIND(",", O1989, FIND(",", O1989)+1)-1), "")</f>
        <v/>
      </c>
      <c r="S1989" s="35" t="str" cm="1">
        <f t="array" ref="S1989">_xlfn.TEXTJOIN(", ",TRUE,_xlfn._xlws.FILTER(Tabla29[[#All],[PARTE]],ISNUMBER(SEARCH(Tabla29[[#All],[PCLAVE3]],Tabla8[[#This Row],[DESCRIPCION DE TRABAJO]])),""))</f>
        <v>Laminado</v>
      </c>
      <c r="T1989" s="88" t="str">
        <f>IF(AND(Tabla8[[#This Row],[PIEZA]]="",Tabla8[[#This Row],[PARTE]]=""),"VACIO","OK")</f>
        <v>VACIO</v>
      </c>
      <c r="U1989" s="633" t="str">
        <f>+CONCATENATE(WEEKNUM(Tabla8[[#This Row],[FECHA]]),"-",YEAR(Tabla8[[#This Row],[FECHA]]))</f>
        <v>26-2026</v>
      </c>
    </row>
    <row r="1990" spans="1:21" ht="15" customHeight="1">
      <c r="A1990" s="22">
        <v>46200</v>
      </c>
      <c r="B1990" s="16" t="s">
        <v>191</v>
      </c>
      <c r="C1990" s="16" t="s">
        <v>23</v>
      </c>
      <c r="D1990" s="381" t="s">
        <v>1862</v>
      </c>
      <c r="E1990" s="381" t="s">
        <v>3488</v>
      </c>
      <c r="F1990" s="632">
        <f>+MOD(Tabla8[[#This Row],[HR. FIN]]-Tabla8[[#This Row],[HR. INICIO]],1)</f>
        <v>1.8055555555555491E-2</v>
      </c>
      <c r="G1990" s="16" t="s">
        <v>2729</v>
      </c>
      <c r="H1990" s="79" t="str">
        <f>IFERROR(VLOOKUP(G1990,DATOS!$M$2:$N$219,2,FALSE),"")</f>
        <v/>
      </c>
      <c r="I1990" s="115" t="s">
        <v>405</v>
      </c>
      <c r="J1990" s="115" t="s">
        <v>157</v>
      </c>
      <c r="K1990" s="115"/>
      <c r="L1990" s="35" t="s">
        <v>3489</v>
      </c>
      <c r="M1990" s="35" t="s">
        <v>121</v>
      </c>
      <c r="N1990" s="35" t="str" cm="1">
        <f t="array" ref="N1990">IFERROR(IF(Tabla8[[#This Row],[P/NP]]="NO PROGRAMADA","",_xlfn.TEXTJOIN(", ",TRUE,_xlfn._xlws.FILTER(Tabla4[[#All],[PIEZA]],ISNUMBER(SEARCH(Tabla4[[#All],[PCLAVE]],Tabla8[[#This Row],[DESCRIPCION DE TRABAJO]])),""))),"")</f>
        <v/>
      </c>
      <c r="O1990" s="35" t="str" cm="1">
        <f t="array" ref="O1990">_xlfn.TEXTJOIN(", ",TRUE,_xlfn._xlws.FILTER(Tabla28[[#All],[PARTE]],ISNUMBER(SEARCH(Tabla28[[#All],[PCLAVE2]],Tabla8[[#This Row],[DESCRIPCION DE TRABAJO]])),""))</f>
        <v/>
      </c>
      <c r="P1990" s="633" t="str">
        <f>IFERROR(LEFT(O1990, FIND(",", O1990)-1), O1990)</f>
        <v/>
      </c>
      <c r="Q1990" s="633" t="str">
        <f>IFERROR(IF(ISERROR(FIND(",", O1990, FIND(",", O1990)+1)), RIGHT(O1990, LEN(O1990)-FIND(",", O1990)-1), MID(O1990, FIND(",", O1990)+2, FIND(",", O1990, FIND(",", O1990)+1)-FIND(",", O1990)-2)), "")</f>
        <v/>
      </c>
      <c r="R1990" s="633" t="str">
        <f>IFERROR(RIGHT(O1990, LEN(O1990)-FIND(",", O1990, FIND(",", O1990)+1)-1), "")</f>
        <v/>
      </c>
      <c r="S1990" s="35" t="str" cm="1">
        <f t="array" ref="S1990">_xlfn.TEXTJOIN(", ",TRUE,_xlfn._xlws.FILTER(Tabla29[[#All],[PARTE]],ISNUMBER(SEARCH(Tabla29[[#All],[PCLAVE3]],Tabla8[[#This Row],[DESCRIPCION DE TRABAJO]])),""))</f>
        <v/>
      </c>
      <c r="T1990" s="88" t="str">
        <f>IF(AND(Tabla8[[#This Row],[PIEZA]]="",Tabla8[[#This Row],[PARTE]]=""),"VACIO","OK")</f>
        <v>VACIO</v>
      </c>
      <c r="U1990" s="633" t="str">
        <f>+CONCATENATE(WEEKNUM(Tabla8[[#This Row],[FECHA]]),"-",YEAR(Tabla8[[#This Row],[FECHA]]))</f>
        <v>26-2026</v>
      </c>
    </row>
    <row r="1991" spans="1:21" ht="15" customHeight="1">
      <c r="A1991" s="22">
        <v>46200</v>
      </c>
      <c r="B1991" s="16" t="s">
        <v>191</v>
      </c>
      <c r="C1991" s="16" t="s">
        <v>23</v>
      </c>
      <c r="D1991" s="381" t="s">
        <v>306</v>
      </c>
      <c r="E1991" s="381" t="s">
        <v>564</v>
      </c>
      <c r="F1991" s="632">
        <f>+MOD(Tabla8[[#This Row],[HR. FIN]]-Tabla8[[#This Row],[HR. INICIO]],1)</f>
        <v>1.6666666666666607E-2</v>
      </c>
      <c r="G1991" s="16" t="s">
        <v>2100</v>
      </c>
      <c r="H1991" s="79" t="str">
        <f>IFERROR(VLOOKUP(G1991,DATOS!$M$2:$N$219,2,FALSE),"")</f>
        <v>Maquinaria</v>
      </c>
      <c r="I1991" s="115" t="s">
        <v>32</v>
      </c>
      <c r="J1991" s="115" t="s">
        <v>157</v>
      </c>
      <c r="K1991" s="115"/>
      <c r="L1991" s="35" t="s">
        <v>3490</v>
      </c>
      <c r="M1991" s="35" t="s">
        <v>121</v>
      </c>
      <c r="N1991" s="35" t="str" cm="1">
        <f t="array" ref="N1991">IFERROR(IF(Tabla8[[#This Row],[P/NP]]="NO PROGRAMADA","",_xlfn.TEXTJOIN(", ",TRUE,_xlfn._xlws.FILTER(Tabla4[[#All],[PIEZA]],ISNUMBER(SEARCH(Tabla4[[#All],[PCLAVE]],Tabla8[[#This Row],[DESCRIPCION DE TRABAJO]])),""))),"")</f>
        <v/>
      </c>
      <c r="O1991" s="35" t="str" cm="1">
        <f t="array" ref="O1991">_xlfn.TEXTJOIN(", ",TRUE,_xlfn._xlws.FILTER(Tabla28[[#All],[PARTE]],ISNUMBER(SEARCH(Tabla28[[#All],[PCLAVE2]],Tabla8[[#This Row],[DESCRIPCION DE TRABAJO]])),""))</f>
        <v/>
      </c>
      <c r="P1991" s="633" t="str">
        <f>IFERROR(LEFT(O1991, FIND(",", O1991)-1), O1991)</f>
        <v/>
      </c>
      <c r="Q1991" s="633" t="str">
        <f>IFERROR(IF(ISERROR(FIND(",", O1991, FIND(",", O1991)+1)), RIGHT(O1991, LEN(O1991)-FIND(",", O1991)-1), MID(O1991, FIND(",", O1991)+2, FIND(",", O1991, FIND(",", O1991)+1)-FIND(",", O1991)-2)), "")</f>
        <v/>
      </c>
      <c r="R1991" s="633" t="str">
        <f>IFERROR(RIGHT(O1991, LEN(O1991)-FIND(",", O1991, FIND(",", O1991)+1)-1), "")</f>
        <v/>
      </c>
      <c r="S1991" s="35" t="str" cm="1">
        <f t="array" ref="S1991">_xlfn.TEXTJOIN(", ",TRUE,_xlfn._xlws.FILTER(Tabla29[[#All],[PARTE]],ISNUMBER(SEARCH(Tabla29[[#All],[PCLAVE3]],Tabla8[[#This Row],[DESCRIPCION DE TRABAJO]])),""))</f>
        <v/>
      </c>
      <c r="T1991" s="88" t="str">
        <f>IF(AND(Tabla8[[#This Row],[PIEZA]]="",Tabla8[[#This Row],[PARTE]]=""),"VACIO","OK")</f>
        <v>VACIO</v>
      </c>
      <c r="U1991" s="633" t="str">
        <f>+CONCATENATE(WEEKNUM(Tabla8[[#This Row],[FECHA]]),"-",YEAR(Tabla8[[#This Row],[FECHA]]))</f>
        <v>26-2026</v>
      </c>
    </row>
    <row r="1992" spans="1:21" ht="15" customHeight="1">
      <c r="A1992" s="22">
        <v>46200</v>
      </c>
      <c r="B1992" s="16" t="s">
        <v>191</v>
      </c>
      <c r="C1992" s="16" t="s">
        <v>23</v>
      </c>
      <c r="D1992" s="381" t="s">
        <v>3491</v>
      </c>
      <c r="E1992" s="381" t="s">
        <v>763</v>
      </c>
      <c r="F1992" s="632">
        <f>+MOD(Tabla8[[#This Row],[HR. FIN]]-Tabla8[[#This Row],[HR. INICIO]],1)</f>
        <v>1.5277777777777724E-2</v>
      </c>
      <c r="G1992" s="16" t="s">
        <v>182</v>
      </c>
      <c r="H1992" s="79" t="str">
        <f>IFERROR(VLOOKUP(G1992,DATOS!$M$2:$N$219,2,FALSE),"")</f>
        <v>Maquinaria</v>
      </c>
      <c r="I1992" s="115" t="s">
        <v>57</v>
      </c>
      <c r="J1992" s="115" t="s">
        <v>92</v>
      </c>
      <c r="K1992" s="115" t="s">
        <v>93</v>
      </c>
      <c r="L1992" s="35" t="s">
        <v>3492</v>
      </c>
      <c r="M1992" s="35" t="s">
        <v>3493</v>
      </c>
      <c r="N1992" s="35" t="str" cm="1">
        <f t="array" ref="N1992">IFERROR(IF(Tabla8[[#This Row],[P/NP]]="NO PROGRAMADA","",_xlfn.TEXTJOIN(", ",TRUE,_xlfn._xlws.FILTER(Tabla4[[#All],[PIEZA]],ISNUMBER(SEARCH(Tabla4[[#All],[PCLAVE]],Tabla8[[#This Row],[DESCRIPCION DE TRABAJO]])),""))),"")</f>
        <v/>
      </c>
      <c r="O1992" s="35" t="str" cm="1">
        <f t="array" ref="O1992">_xlfn.TEXTJOIN(", ",TRUE,_xlfn._xlws.FILTER(Tabla28[[#All],[PARTE]],ISNUMBER(SEARCH(Tabla28[[#All],[PCLAVE2]],Tabla8[[#This Row],[DESCRIPCION DE TRABAJO]])),""))</f>
        <v/>
      </c>
      <c r="P1992" s="633" t="str">
        <f>IFERROR(LEFT(O1992, FIND(",", O1992)-1), O1992)</f>
        <v/>
      </c>
      <c r="Q1992" s="633" t="str">
        <f>IFERROR(IF(ISERROR(FIND(",", O1992, FIND(",", O1992)+1)), RIGHT(O1992, LEN(O1992)-FIND(",", O1992)-1), MID(O1992, FIND(",", O1992)+2, FIND(",", O1992, FIND(",", O1992)+1)-FIND(",", O1992)-2)), "")</f>
        <v/>
      </c>
      <c r="R1992" s="633" t="str">
        <f>IFERROR(RIGHT(O1992, LEN(O1992)-FIND(",", O1992, FIND(",", O1992)+1)-1), "")</f>
        <v/>
      </c>
      <c r="S1992" s="35" t="str" cm="1">
        <f t="array" ref="S1992">_xlfn.TEXTJOIN(", ",TRUE,_xlfn._xlws.FILTER(Tabla29[[#All],[PARTE]],ISNUMBER(SEARCH(Tabla29[[#All],[PCLAVE3]],Tabla8[[#This Row],[DESCRIPCION DE TRABAJO]])),""))</f>
        <v>No Sella</v>
      </c>
      <c r="T1992" s="88" t="str">
        <f>IF(AND(Tabla8[[#This Row],[PIEZA]]="",Tabla8[[#This Row],[PARTE]]=""),"VACIO","OK")</f>
        <v>VACIO</v>
      </c>
      <c r="U1992" s="633" t="str">
        <f>+CONCATENATE(WEEKNUM(Tabla8[[#This Row],[FECHA]]),"-",YEAR(Tabla8[[#This Row],[FECHA]]))</f>
        <v>26-2026</v>
      </c>
    </row>
    <row r="1993" spans="1:21" ht="15" customHeight="1">
      <c r="A1993" s="22">
        <v>46200</v>
      </c>
      <c r="B1993" s="16" t="s">
        <v>191</v>
      </c>
      <c r="C1993" s="16" t="s">
        <v>23</v>
      </c>
      <c r="D1993" s="381" t="s">
        <v>952</v>
      </c>
      <c r="E1993" s="381" t="s">
        <v>770</v>
      </c>
      <c r="F1993" s="632">
        <f>+MOD(Tabla8[[#This Row],[HR. FIN]]-Tabla8[[#This Row],[HR. INICIO]],1)</f>
        <v>1.388888888888884E-2</v>
      </c>
      <c r="G1993" s="16" t="s">
        <v>3494</v>
      </c>
      <c r="H1993" s="79" t="str">
        <f>IFERROR(VLOOKUP(G1993,DATOS!$M$2:$N$219,2,FALSE),"")</f>
        <v>Maquinaria</v>
      </c>
      <c r="I1993" s="115" t="s">
        <v>405</v>
      </c>
      <c r="J1993" s="115" t="s">
        <v>157</v>
      </c>
      <c r="K1993" s="115"/>
      <c r="L1993" s="35" t="s">
        <v>3489</v>
      </c>
      <c r="M1993" s="35" t="s">
        <v>121</v>
      </c>
      <c r="N1993" s="35" t="str" cm="1">
        <f t="array" ref="N1993">IFERROR(IF(Tabla8[[#This Row],[P/NP]]="NO PROGRAMADA","",_xlfn.TEXTJOIN(", ",TRUE,_xlfn._xlws.FILTER(Tabla4[[#All],[PIEZA]],ISNUMBER(SEARCH(Tabla4[[#All],[PCLAVE]],Tabla8[[#This Row],[DESCRIPCION DE TRABAJO]])),""))),"")</f>
        <v/>
      </c>
      <c r="O1993" s="35" t="str" cm="1">
        <f t="array" ref="O1993">_xlfn.TEXTJOIN(", ",TRUE,_xlfn._xlws.FILTER(Tabla28[[#All],[PARTE]],ISNUMBER(SEARCH(Tabla28[[#All],[PCLAVE2]],Tabla8[[#This Row],[DESCRIPCION DE TRABAJO]])),""))</f>
        <v/>
      </c>
      <c r="P1993" s="633" t="str">
        <f>IFERROR(LEFT(O1993, FIND(",", O1993)-1), O1993)</f>
        <v/>
      </c>
      <c r="Q1993" s="633" t="str">
        <f>IFERROR(IF(ISERROR(FIND(",", O1993, FIND(",", O1993)+1)), RIGHT(O1993, LEN(O1993)-FIND(",", O1993)-1), MID(O1993, FIND(",", O1993)+2, FIND(",", O1993, FIND(",", O1993)+1)-FIND(",", O1993)-2)), "")</f>
        <v/>
      </c>
      <c r="R1993" s="633" t="str">
        <f>IFERROR(RIGHT(O1993, LEN(O1993)-FIND(",", O1993, FIND(",", O1993)+1)-1), "")</f>
        <v/>
      </c>
      <c r="S1993" s="35" t="str" cm="1">
        <f t="array" ref="S1993">_xlfn.TEXTJOIN(", ",TRUE,_xlfn._xlws.FILTER(Tabla29[[#All],[PARTE]],ISNUMBER(SEARCH(Tabla29[[#All],[PCLAVE3]],Tabla8[[#This Row],[DESCRIPCION DE TRABAJO]])),""))</f>
        <v/>
      </c>
      <c r="T1993" s="88" t="str">
        <f>IF(AND(Tabla8[[#This Row],[PIEZA]]="",Tabla8[[#This Row],[PARTE]]=""),"VACIO","OK")</f>
        <v>VACIO</v>
      </c>
      <c r="U1993" s="633" t="str">
        <f>+CONCATENATE(WEEKNUM(Tabla8[[#This Row],[FECHA]]),"-",YEAR(Tabla8[[#This Row],[FECHA]]))</f>
        <v>26-2026</v>
      </c>
    </row>
    <row r="1994" spans="1:21" ht="15" customHeight="1">
      <c r="A1994" s="22">
        <v>46200</v>
      </c>
      <c r="B1994" s="16" t="s">
        <v>191</v>
      </c>
      <c r="C1994" s="16" t="s">
        <v>23</v>
      </c>
      <c r="D1994" s="381" t="s">
        <v>3495</v>
      </c>
      <c r="E1994" s="381" t="s">
        <v>3496</v>
      </c>
      <c r="F1994" s="632">
        <f>+MOD(Tabla8[[#This Row],[HR. FIN]]-Tabla8[[#This Row],[HR. INICIO]],1)</f>
        <v>1.3194444444444509E-2</v>
      </c>
      <c r="G1994" s="16" t="s">
        <v>2100</v>
      </c>
      <c r="H1994" s="79" t="str">
        <f>IFERROR(VLOOKUP(G1994,DATOS!$M$2:$N$219,2,FALSE),"")</f>
        <v>Maquinaria</v>
      </c>
      <c r="I1994" s="115" t="s">
        <v>57</v>
      </c>
      <c r="J1994" s="115" t="s">
        <v>92</v>
      </c>
      <c r="K1994" s="115" t="s">
        <v>148</v>
      </c>
      <c r="L1994" s="35" t="s">
        <v>3497</v>
      </c>
      <c r="M1994" s="35" t="s">
        <v>3498</v>
      </c>
      <c r="N1994" s="35" t="str" cm="1">
        <f t="array" ref="N1994">IFERROR(IF(Tabla8[[#This Row],[P/NP]]="NO PROGRAMADA","",_xlfn.TEXTJOIN(", ",TRUE,_xlfn._xlws.FILTER(Tabla4[[#All],[PIEZA]],ISNUMBER(SEARCH(Tabla4[[#All],[PCLAVE]],Tabla8[[#This Row],[DESCRIPCION DE TRABAJO]])),""))),"")</f>
        <v/>
      </c>
      <c r="O1994" s="35" t="str" cm="1">
        <f t="array" ref="O1994">_xlfn.TEXTJOIN(", ",TRUE,_xlfn._xlws.FILTER(Tabla28[[#All],[PARTE]],ISNUMBER(SEARCH(Tabla28[[#All],[PCLAVE2]],Tabla8[[#This Row],[DESCRIPCION DE TRABAJO]])),""))</f>
        <v/>
      </c>
      <c r="P1994" s="633" t="str">
        <f>IFERROR(LEFT(O1994, FIND(",", O1994)-1), O1994)</f>
        <v/>
      </c>
      <c r="Q1994" s="633" t="str">
        <f>IFERROR(IF(ISERROR(FIND(",", O1994, FIND(",", O1994)+1)), RIGHT(O1994, LEN(O1994)-FIND(",", O1994)-1), MID(O1994, FIND(",", O1994)+2, FIND(",", O1994, FIND(",", O1994)+1)-FIND(",", O1994)-2)), "")</f>
        <v/>
      </c>
      <c r="R1994" s="633" t="str">
        <f>IFERROR(RIGHT(O1994, LEN(O1994)-FIND(",", O1994, FIND(",", O1994)+1)-1), "")</f>
        <v/>
      </c>
      <c r="S1994" s="35" t="str" cm="1">
        <f t="array" ref="S1994">_xlfn.TEXTJOIN(", ",TRUE,_xlfn._xlws.FILTER(Tabla29[[#All],[PARTE]],ISNUMBER(SEARCH(Tabla29[[#All],[PCLAVE3]],Tabla8[[#This Row],[DESCRIPCION DE TRABAJO]])),""))</f>
        <v>Falsa Señal</v>
      </c>
      <c r="T1994" s="88" t="str">
        <f>IF(AND(Tabla8[[#This Row],[PIEZA]]="",Tabla8[[#This Row],[PARTE]]=""),"VACIO","OK")</f>
        <v>VACIO</v>
      </c>
      <c r="U1994" s="633" t="str">
        <f>+CONCATENATE(WEEKNUM(Tabla8[[#This Row],[FECHA]]),"-",YEAR(Tabla8[[#This Row],[FECHA]]))</f>
        <v>26-2026</v>
      </c>
    </row>
    <row r="1995" spans="1:21" ht="15" customHeight="1">
      <c r="A1995" s="22">
        <v>46200</v>
      </c>
      <c r="B1995" s="16" t="s">
        <v>191</v>
      </c>
      <c r="C1995" s="16" t="s">
        <v>23</v>
      </c>
      <c r="D1995" s="381" t="s">
        <v>2419</v>
      </c>
      <c r="E1995" s="381" t="s">
        <v>3499</v>
      </c>
      <c r="F1995" s="632">
        <f>+MOD(Tabla8[[#This Row],[HR. FIN]]-Tabla8[[#This Row],[HR. INICIO]],1)</f>
        <v>1.3194444444444398E-2</v>
      </c>
      <c r="G1995" s="16" t="s">
        <v>215</v>
      </c>
      <c r="H1995" s="79" t="str">
        <f>IFERROR(VLOOKUP(G1995,DATOS!$M$2:$N$219,2,FALSE),"")</f>
        <v>Equipos auxiliares</v>
      </c>
      <c r="I1995" s="115" t="s">
        <v>54</v>
      </c>
      <c r="J1995" s="115" t="s">
        <v>157</v>
      </c>
      <c r="K1995" s="115"/>
      <c r="L1995" s="35" t="s">
        <v>248</v>
      </c>
      <c r="M1995" s="35" t="s">
        <v>121</v>
      </c>
      <c r="N1995" s="35" t="str" cm="1">
        <f t="array" ref="N1995">IFERROR(IF(Tabla8[[#This Row],[P/NP]]="NO PROGRAMADA","",_xlfn.TEXTJOIN(", ",TRUE,_xlfn._xlws.FILTER(Tabla4[[#All],[PIEZA]],ISNUMBER(SEARCH(Tabla4[[#All],[PCLAVE]],Tabla8[[#This Row],[DESCRIPCION DE TRABAJO]])),""))),"")</f>
        <v/>
      </c>
      <c r="O1995" s="35" t="str" cm="1">
        <f t="array" ref="O1995">_xlfn.TEXTJOIN(", ",TRUE,_xlfn._xlws.FILTER(Tabla28[[#All],[PARTE]],ISNUMBER(SEARCH(Tabla28[[#All],[PCLAVE2]],Tabla8[[#This Row],[DESCRIPCION DE TRABAJO]])),""))</f>
        <v/>
      </c>
      <c r="P1995" s="633" t="str">
        <f>IFERROR(LEFT(O1995, FIND(",", O1995)-1), O1995)</f>
        <v/>
      </c>
      <c r="Q1995" s="633" t="str">
        <f>IFERROR(IF(ISERROR(FIND(",", O1995, FIND(",", O1995)+1)), RIGHT(O1995, LEN(O1995)-FIND(",", O1995)-1), MID(O1995, FIND(",", O1995)+2, FIND(",", O1995, FIND(",", O1995)+1)-FIND(",", O1995)-2)), "")</f>
        <v/>
      </c>
      <c r="R1995" s="633" t="str">
        <f>IFERROR(RIGHT(O1995, LEN(O1995)-FIND(",", O1995, FIND(",", O1995)+1)-1), "")</f>
        <v/>
      </c>
      <c r="S1995" s="35" t="str" cm="1">
        <f t="array" ref="S1995">_xlfn.TEXTJOIN(", ",TRUE,_xlfn._xlws.FILTER(Tabla29[[#All],[PARTE]],ISNUMBER(SEARCH(Tabla29[[#All],[PCLAVE3]],Tabla8[[#This Row],[DESCRIPCION DE TRABAJO]])),""))</f>
        <v/>
      </c>
      <c r="T1995" s="88" t="str">
        <f>IF(AND(Tabla8[[#This Row],[PIEZA]]="",Tabla8[[#This Row],[PARTE]]=""),"VACIO","OK")</f>
        <v>VACIO</v>
      </c>
      <c r="U1995" s="633" t="str">
        <f>+CONCATENATE(WEEKNUM(Tabla8[[#This Row],[FECHA]]),"-",YEAR(Tabla8[[#This Row],[FECHA]]))</f>
        <v>26-2026</v>
      </c>
    </row>
    <row r="1996" spans="1:21" ht="15" customHeight="1">
      <c r="A1996" s="22">
        <v>46203</v>
      </c>
      <c r="B1996" s="16" t="s">
        <v>88</v>
      </c>
      <c r="C1996" s="16" t="s">
        <v>36</v>
      </c>
      <c r="D1996" s="381" t="s">
        <v>127</v>
      </c>
      <c r="E1996" s="381" t="s">
        <v>556</v>
      </c>
      <c r="F1996" s="632">
        <f>+MOD(Tabla8[[#This Row],[HR. FIN]]-Tabla8[[#This Row],[HR. INICIO]],1)</f>
        <v>4.1666666666666685E-2</v>
      </c>
      <c r="G1996" s="16" t="s">
        <v>31</v>
      </c>
      <c r="H1996" s="79" t="str">
        <f>IFERROR(VLOOKUP(G1996,DATOS!$M$2:$N$219,2,FALSE),"")</f>
        <v>Maquinaria</v>
      </c>
      <c r="I1996" s="115" t="s">
        <v>32</v>
      </c>
      <c r="J1996" s="115" t="s">
        <v>157</v>
      </c>
      <c r="K1996" s="115"/>
      <c r="L1996" s="35" t="s">
        <v>3500</v>
      </c>
      <c r="M1996" s="35" t="s">
        <v>3501</v>
      </c>
      <c r="N1996" s="35" t="str" cm="1">
        <f t="array" ref="N1996">IFERROR(IF(Tabla8[[#This Row],[P/NP]]="NO PROGRAMADA","",_xlfn.TEXTJOIN(", ",TRUE,_xlfn._xlws.FILTER(Tabla4[[#All],[PIEZA]],ISNUMBER(SEARCH(Tabla4[[#All],[PCLAVE]],Tabla8[[#This Row],[DESCRIPCION DE TRABAJO]])),""))),"")</f>
        <v>Mordaza, Cadena</v>
      </c>
      <c r="O1996" s="35" t="str" cm="1">
        <f t="array" ref="O1996">_xlfn.TEXTJOIN(", ",TRUE,_xlfn._xlws.FILTER(Tabla28[[#All],[PARTE]],ISNUMBER(SEARCH(Tabla28[[#All],[PCLAVE2]],Tabla8[[#This Row],[DESCRIPCION DE TRABAJO]])),""))</f>
        <v/>
      </c>
      <c r="P1996" s="633" t="str">
        <f>IFERROR(LEFT(O1996, FIND(",", O1996)-1), O1996)</f>
        <v/>
      </c>
      <c r="Q1996" s="633" t="str">
        <f>IFERROR(IF(ISERROR(FIND(",", O1996, FIND(",", O1996)+1)), RIGHT(O1996, LEN(O1996)-FIND(",", O1996)-1), MID(O1996, FIND(",", O1996)+2, FIND(",", O1996, FIND(",", O1996)+1)-FIND(",", O1996)-2)), "")</f>
        <v/>
      </c>
      <c r="R1996" s="633" t="str">
        <f>IFERROR(RIGHT(O1996, LEN(O1996)-FIND(",", O1996, FIND(",", O1996)+1)-1), "")</f>
        <v/>
      </c>
      <c r="S1996" s="35" t="str" cm="1">
        <f t="array" ref="S1996">_xlfn.TEXTJOIN(", ",TRUE,_xlfn._xlws.FILTER(Tabla29[[#All],[PARTE]],ISNUMBER(SEARCH(Tabla29[[#All],[PCLAVE3]],Tabla8[[#This Row],[DESCRIPCION DE TRABAJO]])),""))</f>
        <v/>
      </c>
      <c r="T1996" s="88" t="str">
        <f>IF(AND(Tabla8[[#This Row],[PIEZA]]="",Tabla8[[#This Row],[PARTE]]=""),"VACIO","OK")</f>
        <v>OK</v>
      </c>
      <c r="U1996" s="633" t="str">
        <f>+CONCATENATE(WEEKNUM(Tabla8[[#This Row],[FECHA]]),"-",YEAR(Tabla8[[#This Row],[FECHA]]))</f>
        <v>27-2026</v>
      </c>
    </row>
    <row r="1997" spans="1:21" ht="15" customHeight="1">
      <c r="A1997" s="22">
        <v>46203</v>
      </c>
      <c r="B1997" s="16" t="s">
        <v>88</v>
      </c>
      <c r="C1997" s="16" t="s">
        <v>36</v>
      </c>
      <c r="D1997" s="381" t="s">
        <v>123</v>
      </c>
      <c r="E1997" s="381" t="s">
        <v>127</v>
      </c>
      <c r="F1997" s="632">
        <f>+MOD(Tabla8[[#This Row],[HR. FIN]]-Tabla8[[#This Row],[HR. INICIO]],1)</f>
        <v>4.166666666666663E-2</v>
      </c>
      <c r="G1997" s="16" t="s">
        <v>98</v>
      </c>
      <c r="H1997" s="79" t="str">
        <f>IFERROR(VLOOKUP(G1997,DATOS!$M$2:$N$219,2,FALSE),"")</f>
        <v>Maquinaria</v>
      </c>
      <c r="I1997" s="115" t="s">
        <v>32</v>
      </c>
      <c r="J1997" s="115" t="s">
        <v>157</v>
      </c>
      <c r="K1997" s="115"/>
      <c r="L1997" s="35" t="s">
        <v>3502</v>
      </c>
      <c r="M1997" s="35" t="s">
        <v>3503</v>
      </c>
      <c r="N1997" s="35" t="str" cm="1">
        <f t="array" ref="N1997">IFERROR(IF(Tabla8[[#This Row],[P/NP]]="NO PROGRAMADA","",_xlfn.TEXTJOIN(", ",TRUE,_xlfn._xlws.FILTER(Tabla4[[#All],[PIEZA]],ISNUMBER(SEARCH(Tabla4[[#All],[PCLAVE]],Tabla8[[#This Row],[DESCRIPCION DE TRABAJO]])),""))),"")</f>
        <v/>
      </c>
      <c r="O1997" s="35" t="str" cm="1">
        <f t="array" ref="O1997">_xlfn.TEXTJOIN(", ",TRUE,_xlfn._xlws.FILTER(Tabla28[[#All],[PARTE]],ISNUMBER(SEARCH(Tabla28[[#All],[PCLAVE2]],Tabla8[[#This Row],[DESCRIPCION DE TRABAJO]])),""))</f>
        <v/>
      </c>
      <c r="P1997" s="633" t="str">
        <f>IFERROR(LEFT(O1997, FIND(",", O1997)-1), O1997)</f>
        <v/>
      </c>
      <c r="Q1997" s="633" t="str">
        <f>IFERROR(IF(ISERROR(FIND(",", O1997, FIND(",", O1997)+1)), RIGHT(O1997, LEN(O1997)-FIND(",", O1997)-1), MID(O1997, FIND(",", O1997)+2, FIND(",", O1997, FIND(",", O1997)+1)-FIND(",", O1997)-2)), "")</f>
        <v/>
      </c>
      <c r="R1997" s="633" t="str">
        <f>IFERROR(RIGHT(O1997, LEN(O1997)-FIND(",", O1997, FIND(",", O1997)+1)-1), "")</f>
        <v/>
      </c>
      <c r="S1997" s="35" t="str" cm="1">
        <f t="array" ref="S1997">_xlfn.TEXTJOIN(", ",TRUE,_xlfn._xlws.FILTER(Tabla29[[#All],[PARTE]],ISNUMBER(SEARCH(Tabla29[[#All],[PCLAVE3]],Tabla8[[#This Row],[DESCRIPCION DE TRABAJO]])),""))</f>
        <v/>
      </c>
      <c r="T1997" s="88" t="str">
        <f>IF(AND(Tabla8[[#This Row],[PIEZA]]="",Tabla8[[#This Row],[PARTE]]=""),"VACIO","OK")</f>
        <v>VACIO</v>
      </c>
      <c r="U1997" s="633" t="str">
        <f>+CONCATENATE(WEEKNUM(Tabla8[[#This Row],[FECHA]]),"-",YEAR(Tabla8[[#This Row],[FECHA]]))</f>
        <v>27-2026</v>
      </c>
    </row>
    <row r="1998" spans="1:21" ht="15" customHeight="1">
      <c r="A1998" s="22">
        <v>46203</v>
      </c>
      <c r="B1998" s="16" t="s">
        <v>191</v>
      </c>
      <c r="C1998" s="16" t="s">
        <v>36</v>
      </c>
      <c r="D1998" s="381" t="s">
        <v>3504</v>
      </c>
      <c r="E1998" s="381" t="s">
        <v>3505</v>
      </c>
      <c r="F1998" s="632">
        <f>+MOD(Tabla8[[#This Row],[HR. FIN]]-Tabla8[[#This Row],[HR. INICIO]],1)</f>
        <v>3.4027777777777768E-2</v>
      </c>
      <c r="G1998" s="16" t="s">
        <v>103</v>
      </c>
      <c r="H1998" s="79" t="str">
        <f>IFERROR(VLOOKUP(G1998,DATOS!$M$2:$N$219,2,FALSE),"")</f>
        <v>Area</v>
      </c>
      <c r="I1998" s="115" t="s">
        <v>43</v>
      </c>
      <c r="J1998" s="115" t="s">
        <v>157</v>
      </c>
      <c r="K1998" s="115"/>
      <c r="L1998" s="35" t="s">
        <v>3506</v>
      </c>
      <c r="M1998" s="35" t="s">
        <v>121</v>
      </c>
      <c r="N1998" s="35" t="str" cm="1">
        <f t="array" ref="N1998">IFERROR(IF(Tabla8[[#This Row],[P/NP]]="NO PROGRAMADA","",_xlfn.TEXTJOIN(", ",TRUE,_xlfn._xlws.FILTER(Tabla4[[#All],[PIEZA]],ISNUMBER(SEARCH(Tabla4[[#All],[PCLAVE]],Tabla8[[#This Row],[DESCRIPCION DE TRABAJO]])),""))),"")</f>
        <v xml:space="preserve">Bomba </v>
      </c>
      <c r="O1998" s="35" t="str" cm="1">
        <f t="array" ref="O1998">_xlfn.TEXTJOIN(", ",TRUE,_xlfn._xlws.FILTER(Tabla28[[#All],[PARTE]],ISNUMBER(SEARCH(Tabla28[[#All],[PCLAVE2]],Tabla8[[#This Row],[DESCRIPCION DE TRABAJO]])),""))</f>
        <v/>
      </c>
      <c r="P1998" s="633" t="str">
        <f>IFERROR(LEFT(O1998, FIND(",", O1998)-1), O1998)</f>
        <v/>
      </c>
      <c r="Q1998" s="633" t="str">
        <f>IFERROR(IF(ISERROR(FIND(",", O1998, FIND(",", O1998)+1)), RIGHT(O1998, LEN(O1998)-FIND(",", O1998)-1), MID(O1998, FIND(",", O1998)+2, FIND(",", O1998, FIND(",", O1998)+1)-FIND(",", O1998)-2)), "")</f>
        <v/>
      </c>
      <c r="R1998" s="633" t="str">
        <f>IFERROR(RIGHT(O1998, LEN(O1998)-FIND(",", O1998, FIND(",", O1998)+1)-1), "")</f>
        <v/>
      </c>
      <c r="S1998" s="35" t="str" cm="1">
        <f t="array" ref="S1998">_xlfn.TEXTJOIN(", ",TRUE,_xlfn._xlws.FILTER(Tabla29[[#All],[PARTE]],ISNUMBER(SEARCH(Tabla29[[#All],[PCLAVE3]],Tabla8[[#This Row],[DESCRIPCION DE TRABAJO]])),""))</f>
        <v/>
      </c>
      <c r="T1998" s="88" t="str">
        <f>IF(AND(Tabla8[[#This Row],[PIEZA]]="",Tabla8[[#This Row],[PARTE]]=""),"VACIO","OK")</f>
        <v>OK</v>
      </c>
      <c r="U1998" s="633" t="str">
        <f>+CONCATENATE(WEEKNUM(Tabla8[[#This Row],[FECHA]]),"-",YEAR(Tabla8[[#This Row],[FECHA]]))</f>
        <v>27-2026</v>
      </c>
    </row>
    <row r="1999" spans="1:21" ht="15" customHeight="1">
      <c r="A1999" s="22">
        <v>46203</v>
      </c>
      <c r="B1999" s="16" t="s">
        <v>131</v>
      </c>
      <c r="C1999" s="16" t="s">
        <v>39</v>
      </c>
      <c r="D1999" s="381" t="s">
        <v>886</v>
      </c>
      <c r="E1999" s="381" t="s">
        <v>414</v>
      </c>
      <c r="F1999" s="632">
        <f>+MOD(Tabla8[[#This Row],[HR. FIN]]-Tabla8[[#This Row],[HR. INICIO]],1)</f>
        <v>3.125E-2</v>
      </c>
      <c r="G1999" s="16" t="s">
        <v>119</v>
      </c>
      <c r="H1999" s="79" t="str">
        <f>IFERROR(VLOOKUP(G1999,DATOS!$M$2:$N$219,2,FALSE),"")</f>
        <v>Maquinaria</v>
      </c>
      <c r="I1999" s="115" t="s">
        <v>186</v>
      </c>
      <c r="J1999" s="115" t="s">
        <v>92</v>
      </c>
      <c r="K1999" s="115" t="s">
        <v>93</v>
      </c>
      <c r="L1999" s="35" t="s">
        <v>3507</v>
      </c>
      <c r="M1999" s="35" t="s">
        <v>3508</v>
      </c>
      <c r="N1999" s="35" t="str" cm="1">
        <f t="array" ref="N1999">IFERROR(IF(Tabla8[[#This Row],[P/NP]]="NO PROGRAMADA","",_xlfn.TEXTJOIN(", ",TRUE,_xlfn._xlws.FILTER(Tabla4[[#All],[PIEZA]],ISNUMBER(SEARCH(Tabla4[[#All],[PCLAVE]],Tabla8[[#This Row],[DESCRIPCION DE TRABAJO]])),""))),"")</f>
        <v/>
      </c>
      <c r="O1999" s="35" t="str" cm="1">
        <f t="array" ref="O1999">_xlfn.TEXTJOIN(", ",TRUE,_xlfn._xlws.FILTER(Tabla28[[#All],[PARTE]],ISNUMBER(SEARCH(Tabla28[[#All],[PCLAVE2]],Tabla8[[#This Row],[DESCRIPCION DE TRABAJO]])),""))</f>
        <v>Mds</v>
      </c>
      <c r="P1999" s="633" t="str">
        <f>IFERROR(LEFT(O1999, FIND(",", O1999)-1), O1999)</f>
        <v>Mds</v>
      </c>
      <c r="Q1999" s="633" t="str">
        <f>IFERROR(IF(ISERROR(FIND(",", O1999, FIND(",", O1999)+1)), RIGHT(O1999, LEN(O1999)-FIND(",", O1999)-1), MID(O1999, FIND(",", O1999)+2, FIND(",", O1999, FIND(",", O1999)+1)-FIND(",", O1999)-2)), "")</f>
        <v/>
      </c>
      <c r="R1999" s="633" t="str">
        <f>IFERROR(RIGHT(O1999, LEN(O1999)-FIND(",", O1999, FIND(",", O1999)+1)-1), "")</f>
        <v/>
      </c>
      <c r="S1999" s="35" t="str" cm="1">
        <f t="array" ref="S1999">_xlfn.TEXTJOIN(", ",TRUE,_xlfn._xlws.FILTER(Tabla29[[#All],[PARTE]],ISNUMBER(SEARCH(Tabla29[[#All],[PCLAVE3]],Tabla8[[#This Row],[DESCRIPCION DE TRABAJO]])),""))</f>
        <v>Fuga, Fuga De Aire, Temperatura, Temperatura</v>
      </c>
      <c r="T1999" s="88" t="str">
        <f>IF(AND(Tabla8[[#This Row],[PIEZA]]="",Tabla8[[#This Row],[PARTE]]=""),"VACIO","OK")</f>
        <v>OK</v>
      </c>
      <c r="U1999" s="633" t="str">
        <f>+CONCATENATE(WEEKNUM(Tabla8[[#This Row],[FECHA]]),"-",YEAR(Tabla8[[#This Row],[FECHA]]))</f>
        <v>27-2026</v>
      </c>
    </row>
    <row r="2000" spans="1:21" ht="15" customHeight="1">
      <c r="A2000" s="22">
        <v>46203</v>
      </c>
      <c r="B2000" s="16" t="s">
        <v>131</v>
      </c>
      <c r="C2000" s="16" t="s">
        <v>39</v>
      </c>
      <c r="D2000" s="381" t="s">
        <v>660</v>
      </c>
      <c r="E2000" s="381" t="s">
        <v>612</v>
      </c>
      <c r="F2000" s="632">
        <f>+MOD(Tabla8[[#This Row],[HR. FIN]]-Tabla8[[#This Row],[HR. INICIO]],1)</f>
        <v>3.125E-2</v>
      </c>
      <c r="G2000" s="16" t="s">
        <v>153</v>
      </c>
      <c r="H2000" s="79" t="str">
        <f>IFERROR(VLOOKUP(G2000,DATOS!$M$2:$N$219,2,FALSE),"")</f>
        <v>Maquinaria</v>
      </c>
      <c r="I2000" s="115" t="s">
        <v>57</v>
      </c>
      <c r="J2000" s="115" t="s">
        <v>92</v>
      </c>
      <c r="K2000" s="115" t="s">
        <v>93</v>
      </c>
      <c r="L2000" s="35" t="s">
        <v>3509</v>
      </c>
      <c r="M2000" s="35" t="s">
        <v>3510</v>
      </c>
      <c r="N2000" s="35" t="str" cm="1">
        <f t="array" ref="N2000">IFERROR(IF(Tabla8[[#This Row],[P/NP]]="NO PROGRAMADA","",_xlfn.TEXTJOIN(", ",TRUE,_xlfn._xlws.FILTER(Tabla4[[#All],[PIEZA]],ISNUMBER(SEARCH(Tabla4[[#All],[PCLAVE]],Tabla8[[#This Row],[DESCRIPCION DE TRABAJO]])),""))),"")</f>
        <v/>
      </c>
      <c r="O2000" s="35" t="str" cm="1">
        <f t="array" ref="O2000">_xlfn.TEXTJOIN(", ",TRUE,_xlfn._xlws.FILTER(Tabla28[[#All],[PARTE]],ISNUMBER(SEARCH(Tabla28[[#All],[PCLAVE2]],Tabla8[[#This Row],[DESCRIPCION DE TRABAJO]])),""))</f>
        <v/>
      </c>
      <c r="P2000" s="633" t="str">
        <f>IFERROR(LEFT(O2000, FIND(",", O2000)-1), O2000)</f>
        <v/>
      </c>
      <c r="Q2000" s="633" t="str">
        <f>IFERROR(IF(ISERROR(FIND(",", O2000, FIND(",", O2000)+1)), RIGHT(O2000, LEN(O2000)-FIND(",", O2000)-1), MID(O2000, FIND(",", O2000)+2, FIND(",", O2000, FIND(",", O2000)+1)-FIND(",", O2000)-2)), "")</f>
        <v/>
      </c>
      <c r="R2000" s="633" t="str">
        <f>IFERROR(RIGHT(O2000, LEN(O2000)-FIND(",", O2000, FIND(",", O2000)+1)-1), "")</f>
        <v/>
      </c>
      <c r="S2000" s="35" t="str" cm="1">
        <f t="array" ref="S2000">_xlfn.TEXTJOIN(", ",TRUE,_xlfn._xlws.FILTER(Tabla29[[#All],[PARTE]],ISNUMBER(SEARCH(Tabla29[[#All],[PCLAVE3]],Tabla8[[#This Row],[DESCRIPCION DE TRABAJO]])),""))</f>
        <v>Desalineado, No Gira</v>
      </c>
      <c r="T2000" s="88" t="str">
        <f>IF(AND(Tabla8[[#This Row],[PIEZA]]="",Tabla8[[#This Row],[PARTE]]=""),"VACIO","OK")</f>
        <v>VACIO</v>
      </c>
      <c r="U2000" s="633" t="str">
        <f>+CONCATENATE(WEEKNUM(Tabla8[[#This Row],[FECHA]]),"-",YEAR(Tabla8[[#This Row],[FECHA]]))</f>
        <v>27-2026</v>
      </c>
    </row>
    <row r="2001" spans="1:21" ht="15" customHeight="1">
      <c r="A2001" s="22">
        <v>46203</v>
      </c>
      <c r="B2001" s="16" t="s">
        <v>131</v>
      </c>
      <c r="C2001" s="16" t="s">
        <v>39</v>
      </c>
      <c r="D2001" s="381" t="s">
        <v>156</v>
      </c>
      <c r="E2001" s="381" t="s">
        <v>112</v>
      </c>
      <c r="F2001" s="632">
        <f>+MOD(Tabla8[[#This Row],[HR. FIN]]-Tabla8[[#This Row],[HR. INICIO]],1)</f>
        <v>2.7777777777777776E-2</v>
      </c>
      <c r="G2001" s="16" t="s">
        <v>182</v>
      </c>
      <c r="H2001" s="79" t="str">
        <f>IFERROR(VLOOKUP(G2001,DATOS!$M$2:$N$219,2,FALSE),"")</f>
        <v>Maquinaria</v>
      </c>
      <c r="I2001" s="115" t="s">
        <v>57</v>
      </c>
      <c r="J2001" s="115" t="s">
        <v>92</v>
      </c>
      <c r="K2001" s="115" t="s">
        <v>93</v>
      </c>
      <c r="L2001" s="35" t="s">
        <v>3511</v>
      </c>
      <c r="M2001" s="35" t="s">
        <v>3512</v>
      </c>
      <c r="N2001" s="35" t="str" cm="1">
        <f t="array" ref="N2001">IFERROR(IF(Tabla8[[#This Row],[P/NP]]="NO PROGRAMADA","",_xlfn.TEXTJOIN(", ",TRUE,_xlfn._xlws.FILTER(Tabla4[[#All],[PIEZA]],ISNUMBER(SEARCH(Tabla4[[#All],[PCLAVE]],Tabla8[[#This Row],[DESCRIPCION DE TRABAJO]])),""))),"")</f>
        <v/>
      </c>
      <c r="O2001" s="35" t="str" cm="1">
        <f t="array" ref="O2001">_xlfn.TEXTJOIN(", ",TRUE,_xlfn._xlws.FILTER(Tabla28[[#All],[PARTE]],ISNUMBER(SEARCH(Tabla28[[#All],[PCLAVE2]],Tabla8[[#This Row],[DESCRIPCION DE TRABAJO]])),""))</f>
        <v/>
      </c>
      <c r="P2001" s="633" t="str">
        <f>IFERROR(LEFT(O2001, FIND(",", O2001)-1), O2001)</f>
        <v/>
      </c>
      <c r="Q2001" s="633" t="str">
        <f>IFERROR(IF(ISERROR(FIND(",", O2001, FIND(",", O2001)+1)), RIGHT(O2001, LEN(O2001)-FIND(",", O2001)-1), MID(O2001, FIND(",", O2001)+2, FIND(",", O2001, FIND(",", O2001)+1)-FIND(",", O2001)-2)), "")</f>
        <v/>
      </c>
      <c r="R2001" s="633" t="str">
        <f>IFERROR(RIGHT(O2001, LEN(O2001)-FIND(",", O2001, FIND(",", O2001)+1)-1), "")</f>
        <v/>
      </c>
      <c r="S2001" s="35" t="str" cm="1">
        <f t="array" ref="S2001">_xlfn.TEXTJOIN(", ",TRUE,_xlfn._xlws.FILTER(Tabla29[[#All],[PARTE]],ISNUMBER(SEARCH(Tabla29[[#All],[PCLAVE3]],Tabla8[[#This Row],[DESCRIPCION DE TRABAJO]])),""))</f>
        <v>Se Pegan</v>
      </c>
      <c r="T2001" s="88" t="str">
        <f>IF(AND(Tabla8[[#This Row],[PIEZA]]="",Tabla8[[#This Row],[PARTE]]=""),"VACIO","OK")</f>
        <v>VACIO</v>
      </c>
      <c r="U2001" s="633" t="str">
        <f>+CONCATENATE(WEEKNUM(Tabla8[[#This Row],[FECHA]]),"-",YEAR(Tabla8[[#This Row],[FECHA]]))</f>
        <v>27-2026</v>
      </c>
    </row>
    <row r="2002" spans="1:21" ht="15" customHeight="1">
      <c r="A2002" s="22">
        <v>46203</v>
      </c>
      <c r="B2002" s="16" t="s">
        <v>191</v>
      </c>
      <c r="C2002" s="16" t="s">
        <v>36</v>
      </c>
      <c r="D2002" s="381" t="s">
        <v>1529</v>
      </c>
      <c r="E2002" s="381" t="s">
        <v>3513</v>
      </c>
      <c r="F2002" s="632">
        <f>+MOD(Tabla8[[#This Row],[HR. FIN]]-Tabla8[[#This Row],[HR. INICIO]],1)</f>
        <v>2.3611111111111138E-2</v>
      </c>
      <c r="G2002" s="16" t="s">
        <v>31</v>
      </c>
      <c r="H2002" s="79" t="str">
        <f>IFERROR(VLOOKUP(G2002,DATOS!$M$2:$N$219,2,FALSE),"")</f>
        <v>Maquinaria</v>
      </c>
      <c r="I2002" s="115" t="s">
        <v>32</v>
      </c>
      <c r="J2002" s="115" t="s">
        <v>157</v>
      </c>
      <c r="K2002" s="115"/>
      <c r="L2002" s="35" t="s">
        <v>3514</v>
      </c>
      <c r="M2002" s="35" t="s">
        <v>121</v>
      </c>
      <c r="N2002" s="35" t="str" cm="1">
        <f t="array" ref="N2002">IFERROR(IF(Tabla8[[#This Row],[P/NP]]="NO PROGRAMADA","",_xlfn.TEXTJOIN(", ",TRUE,_xlfn._xlws.FILTER(Tabla4[[#All],[PIEZA]],ISNUMBER(SEARCH(Tabla4[[#All],[PCLAVE]],Tabla8[[#This Row],[DESCRIPCION DE TRABAJO]])),""))),"")</f>
        <v>Banda, Rascador, Cadena, Rascador</v>
      </c>
      <c r="O2002" s="35" t="str" cm="1">
        <f t="array" ref="O2002">_xlfn.TEXTJOIN(", ",TRUE,_xlfn._xlws.FILTER(Tabla28[[#All],[PARTE]],ISNUMBER(SEARCH(Tabla28[[#All],[PCLAVE2]],Tabla8[[#This Row],[DESCRIPCION DE TRABAJO]])),""))</f>
        <v/>
      </c>
      <c r="P2002" s="633" t="str">
        <f>IFERROR(LEFT(O2002, FIND(",", O2002)-1), O2002)</f>
        <v/>
      </c>
      <c r="Q2002" s="633" t="str">
        <f>IFERROR(IF(ISERROR(FIND(",", O2002, FIND(",", O2002)+1)), RIGHT(O2002, LEN(O2002)-FIND(",", O2002)-1), MID(O2002, FIND(",", O2002)+2, FIND(",", O2002, FIND(",", O2002)+1)-FIND(",", O2002)-2)), "")</f>
        <v/>
      </c>
      <c r="R2002" s="633" t="str">
        <f>IFERROR(RIGHT(O2002, LEN(O2002)-FIND(",", O2002, FIND(",", O2002)+1)-1), "")</f>
        <v/>
      </c>
      <c r="S2002" s="35" t="str" cm="1">
        <f t="array" ref="S2002">_xlfn.TEXTJOIN(", ",TRUE,_xlfn._xlws.FILTER(Tabla29[[#All],[PARTE]],ISNUMBER(SEARCH(Tabla29[[#All],[PCLAVE3]],Tabla8[[#This Row],[DESCRIPCION DE TRABAJO]])),""))</f>
        <v/>
      </c>
      <c r="T2002" s="88" t="str">
        <f>IF(AND(Tabla8[[#This Row],[PIEZA]]="",Tabla8[[#This Row],[PARTE]]=""),"VACIO","OK")</f>
        <v>OK</v>
      </c>
      <c r="U2002" s="633" t="str">
        <f>+CONCATENATE(WEEKNUM(Tabla8[[#This Row],[FECHA]]),"-",YEAR(Tabla8[[#This Row],[FECHA]]))</f>
        <v>27-2026</v>
      </c>
    </row>
    <row r="2003" spans="1:21" ht="15" customHeight="1">
      <c r="A2003" s="22">
        <v>46203</v>
      </c>
      <c r="B2003" s="16" t="s">
        <v>191</v>
      </c>
      <c r="C2003" s="16" t="s">
        <v>36</v>
      </c>
      <c r="D2003" s="381" t="s">
        <v>2587</v>
      </c>
      <c r="E2003" s="381" t="s">
        <v>2127</v>
      </c>
      <c r="F2003" s="632">
        <f>+MOD(Tabla8[[#This Row],[HR. FIN]]-Tabla8[[#This Row],[HR. INICIO]],1)</f>
        <v>2.2916666666666641E-2</v>
      </c>
      <c r="G2003" s="16" t="s">
        <v>119</v>
      </c>
      <c r="H2003" s="79" t="str">
        <f>IFERROR(VLOOKUP(G2003,DATOS!$M$2:$N$219,2,FALSE),"")</f>
        <v>Maquinaria</v>
      </c>
      <c r="I2003" s="115" t="s">
        <v>32</v>
      </c>
      <c r="J2003" s="115" t="s">
        <v>157</v>
      </c>
      <c r="K2003" s="115"/>
      <c r="L2003" s="35" t="s">
        <v>3515</v>
      </c>
      <c r="M2003" s="35" t="s">
        <v>121</v>
      </c>
      <c r="N2003" s="35" t="str" cm="1">
        <f t="array" ref="N2003">IFERROR(IF(Tabla8[[#This Row],[P/NP]]="NO PROGRAMADA","",_xlfn.TEXTJOIN(", ",TRUE,_xlfn._xlws.FILTER(Tabla4[[#All],[PIEZA]],ISNUMBER(SEARCH(Tabla4[[#All],[PCLAVE]],Tabla8[[#This Row],[DESCRIPCION DE TRABAJO]])),""))),"")</f>
        <v/>
      </c>
      <c r="O2003" s="35" t="str" cm="1">
        <f t="array" ref="O2003">_xlfn.TEXTJOIN(", ",TRUE,_xlfn._xlws.FILTER(Tabla28[[#All],[PARTE]],ISNUMBER(SEARCH(Tabla28[[#All],[PCLAVE2]],Tabla8[[#This Row],[DESCRIPCION DE TRABAJO]])),""))</f>
        <v>Mds</v>
      </c>
      <c r="P2003" s="633" t="str">
        <f>IFERROR(LEFT(O2003, FIND(",", O2003)-1), O2003)</f>
        <v>Mds</v>
      </c>
      <c r="Q2003" s="633" t="str">
        <f>IFERROR(IF(ISERROR(FIND(",", O2003, FIND(",", O2003)+1)), RIGHT(O2003, LEN(O2003)-FIND(",", O2003)-1), MID(O2003, FIND(",", O2003)+2, FIND(",", O2003, FIND(",", O2003)+1)-FIND(",", O2003)-2)), "")</f>
        <v/>
      </c>
      <c r="R2003" s="633" t="str">
        <f>IFERROR(RIGHT(O2003, LEN(O2003)-FIND(",", O2003, FIND(",", O2003)+1)-1), "")</f>
        <v/>
      </c>
      <c r="S2003" s="35" t="str" cm="1">
        <f t="array" ref="S2003">_xlfn.TEXTJOIN(", ",TRUE,_xlfn._xlws.FILTER(Tabla29[[#All],[PARTE]],ISNUMBER(SEARCH(Tabla29[[#All],[PCLAVE3]],Tabla8[[#This Row],[DESCRIPCION DE TRABAJO]])),""))</f>
        <v>Cambio De Formato</v>
      </c>
      <c r="T2003" s="88" t="str">
        <f>IF(AND(Tabla8[[#This Row],[PIEZA]]="",Tabla8[[#This Row],[PARTE]]=""),"VACIO","OK")</f>
        <v>OK</v>
      </c>
      <c r="U2003" s="633" t="str">
        <f>+CONCATENATE(WEEKNUM(Tabla8[[#This Row],[FECHA]]),"-",YEAR(Tabla8[[#This Row],[FECHA]]))</f>
        <v>27-2026</v>
      </c>
    </row>
    <row r="2004" spans="1:21" ht="15" customHeight="1">
      <c r="A2004" s="22">
        <v>46203</v>
      </c>
      <c r="B2004" s="16" t="s">
        <v>88</v>
      </c>
      <c r="C2004" s="16" t="s">
        <v>36</v>
      </c>
      <c r="D2004" s="381" t="s">
        <v>122</v>
      </c>
      <c r="E2004" s="381" t="s">
        <v>123</v>
      </c>
      <c r="F2004" s="632">
        <f>+MOD(Tabla8[[#This Row],[HR. FIN]]-Tabla8[[#This Row],[HR. INICIO]],1)</f>
        <v>2.083333333333337E-2</v>
      </c>
      <c r="G2004" s="16" t="s">
        <v>119</v>
      </c>
      <c r="H2004" s="79" t="str">
        <f>IFERROR(VLOOKUP(G2004,DATOS!$M$2:$N$219,2,FALSE),"")</f>
        <v>Maquinaria</v>
      </c>
      <c r="I2004" s="115" t="s">
        <v>186</v>
      </c>
      <c r="J2004" s="115" t="s">
        <v>92</v>
      </c>
      <c r="K2004" s="115" t="s">
        <v>93</v>
      </c>
      <c r="L2004" s="35" t="s">
        <v>3516</v>
      </c>
      <c r="M2004" s="35" t="s">
        <v>3517</v>
      </c>
      <c r="N2004" s="35" t="str" cm="1">
        <f t="array" ref="N2004">IFERROR(IF(Tabla8[[#This Row],[P/NP]]="NO PROGRAMADA","",_xlfn.TEXTJOIN(", ",TRUE,_xlfn._xlws.FILTER(Tabla4[[#All],[PIEZA]],ISNUMBER(SEARCH(Tabla4[[#All],[PCLAVE]],Tabla8[[#This Row],[DESCRIPCION DE TRABAJO]])),""))),"")</f>
        <v/>
      </c>
      <c r="O2004" s="35" t="str" cm="1">
        <f t="array" ref="O2004">_xlfn.TEXTJOIN(", ",TRUE,_xlfn._xlws.FILTER(Tabla28[[#All],[PARTE]],ISNUMBER(SEARCH(Tabla28[[#All],[PCLAVE2]],Tabla8[[#This Row],[DESCRIPCION DE TRABAJO]])),""))</f>
        <v>Tanque</v>
      </c>
      <c r="P2004" s="633" t="str">
        <f>IFERROR(LEFT(O2004, FIND(",", O2004)-1), O2004)</f>
        <v>Tanque</v>
      </c>
      <c r="Q2004" s="633" t="str">
        <f>IFERROR(IF(ISERROR(FIND(",", O2004, FIND(",", O2004)+1)), RIGHT(O2004, LEN(O2004)-FIND(",", O2004)-1), MID(O2004, FIND(",", O2004)+2, FIND(",", O2004, FIND(",", O2004)+1)-FIND(",", O2004)-2)), "")</f>
        <v/>
      </c>
      <c r="R2004" s="633" t="str">
        <f>IFERROR(RIGHT(O2004, LEN(O2004)-FIND(",", O2004, FIND(",", O2004)+1)-1), "")</f>
        <v/>
      </c>
      <c r="S2004" s="35" t="str" cm="1">
        <f t="array" ref="S2004">_xlfn.TEXTJOIN(", ",TRUE,_xlfn._xlws.FILTER(Tabla29[[#All],[PARTE]],ISNUMBER(SEARCH(Tabla29[[#All],[PCLAVE3]],Tabla8[[#This Row],[DESCRIPCION DE TRABAJO]])),""))</f>
        <v>Fuga, Fuga De Chocolate</v>
      </c>
      <c r="T2004" s="88" t="str">
        <f>IF(AND(Tabla8[[#This Row],[PIEZA]]="",Tabla8[[#This Row],[PARTE]]=""),"VACIO","OK")</f>
        <v>OK</v>
      </c>
      <c r="U2004" s="633" t="str">
        <f>+CONCATENATE(WEEKNUM(Tabla8[[#This Row],[FECHA]]),"-",YEAR(Tabla8[[#This Row],[FECHA]]))</f>
        <v>27-2026</v>
      </c>
    </row>
    <row r="2005" spans="1:21" ht="15" customHeight="1">
      <c r="A2005" s="22">
        <v>46203</v>
      </c>
      <c r="B2005" s="16" t="s">
        <v>88</v>
      </c>
      <c r="C2005" s="16" t="s">
        <v>36</v>
      </c>
      <c r="D2005" s="381" t="s">
        <v>557</v>
      </c>
      <c r="E2005" s="381" t="s">
        <v>96</v>
      </c>
      <c r="F2005" s="632">
        <f>+MOD(Tabla8[[#This Row],[HR. FIN]]-Tabla8[[#This Row],[HR. INICIO]],1)</f>
        <v>2.083333333333337E-2</v>
      </c>
      <c r="G2005" s="16" t="s">
        <v>114</v>
      </c>
      <c r="H2005" s="79" t="str">
        <f>IFERROR(VLOOKUP(G2005,DATOS!$M$2:$N$219,2,FALSE),"")</f>
        <v>Maquinaria</v>
      </c>
      <c r="I2005" s="115" t="s">
        <v>32</v>
      </c>
      <c r="J2005" s="115" t="s">
        <v>157</v>
      </c>
      <c r="K2005" s="115"/>
      <c r="L2005" s="35" t="s">
        <v>1593</v>
      </c>
      <c r="M2005" s="35" t="s">
        <v>1129</v>
      </c>
      <c r="N2005" s="35" t="str" cm="1">
        <f t="array" ref="N2005">IFERROR(IF(Tabla8[[#This Row],[P/NP]]="NO PROGRAMADA","",_xlfn.TEXTJOIN(", ",TRUE,_xlfn._xlws.FILTER(Tabla4[[#All],[PIEZA]],ISNUMBER(SEARCH(Tabla4[[#All],[PCLAVE]],Tabla8[[#This Row],[DESCRIPCION DE TRABAJO]])),""))),"")</f>
        <v/>
      </c>
      <c r="O2005" s="35" t="str" cm="1">
        <f t="array" ref="O2005">_xlfn.TEXTJOIN(", ",TRUE,_xlfn._xlws.FILTER(Tabla28[[#All],[PARTE]],ISNUMBER(SEARCH(Tabla28[[#All],[PCLAVE2]],Tabla8[[#This Row],[DESCRIPCION DE TRABAJO]])),""))</f>
        <v/>
      </c>
      <c r="P2005" s="633" t="str">
        <f>IFERROR(LEFT(O2005, FIND(",", O2005)-1), O2005)</f>
        <v/>
      </c>
      <c r="Q2005" s="633" t="str">
        <f>IFERROR(IF(ISERROR(FIND(",", O2005, FIND(",", O2005)+1)), RIGHT(O2005, LEN(O2005)-FIND(",", O2005)-1), MID(O2005, FIND(",", O2005)+2, FIND(",", O2005, FIND(",", O2005)+1)-FIND(",", O2005)-2)), "")</f>
        <v/>
      </c>
      <c r="R2005" s="633" t="str">
        <f>IFERROR(RIGHT(O2005, LEN(O2005)-FIND(",", O2005, FIND(",", O2005)+1)-1), "")</f>
        <v/>
      </c>
      <c r="S2005" s="35" t="str" cm="1">
        <f t="array" ref="S2005">_xlfn.TEXTJOIN(", ",TRUE,_xlfn._xlws.FILTER(Tabla29[[#All],[PARTE]],ISNUMBER(SEARCH(Tabla29[[#All],[PCLAVE3]],Tabla8[[#This Row],[DESCRIPCION DE TRABAJO]])),""))</f>
        <v/>
      </c>
      <c r="T2005" s="88" t="str">
        <f>IF(AND(Tabla8[[#This Row],[PIEZA]]="",Tabla8[[#This Row],[PARTE]]=""),"VACIO","OK")</f>
        <v>VACIO</v>
      </c>
      <c r="U2005" s="633" t="str">
        <f>+CONCATENATE(WEEKNUM(Tabla8[[#This Row],[FECHA]]),"-",YEAR(Tabla8[[#This Row],[FECHA]]))</f>
        <v>27-2026</v>
      </c>
    </row>
    <row r="2006" spans="1:21" ht="15" customHeight="1">
      <c r="A2006" s="22">
        <v>46203</v>
      </c>
      <c r="B2006" s="16" t="s">
        <v>88</v>
      </c>
      <c r="C2006" s="16" t="s">
        <v>36</v>
      </c>
      <c r="D2006" s="381" t="s">
        <v>97</v>
      </c>
      <c r="E2006" s="381" t="s">
        <v>551</v>
      </c>
      <c r="F2006" s="632">
        <f>+MOD(Tabla8[[#This Row],[HR. FIN]]-Tabla8[[#This Row],[HR. INICIO]],1)</f>
        <v>2.083333333333337E-2</v>
      </c>
      <c r="G2006" s="16" t="s">
        <v>270</v>
      </c>
      <c r="H2006" s="79" t="str">
        <f>IFERROR(VLOOKUP(G2006,DATOS!$M$2:$N$219,2,FALSE),"")</f>
        <v>Maquinaria</v>
      </c>
      <c r="I2006" s="115" t="s">
        <v>54</v>
      </c>
      <c r="J2006" s="115" t="s">
        <v>157</v>
      </c>
      <c r="K2006" s="115"/>
      <c r="L2006" s="35" t="s">
        <v>1040</v>
      </c>
      <c r="M2006" s="35" t="s">
        <v>214</v>
      </c>
      <c r="N2006" s="35" t="str" cm="1">
        <f t="array" ref="N2006">IFERROR(IF(Tabla8[[#This Row],[P/NP]]="NO PROGRAMADA","",_xlfn.TEXTJOIN(", ",TRUE,_xlfn._xlws.FILTER(Tabla4[[#All],[PIEZA]],ISNUMBER(SEARCH(Tabla4[[#All],[PCLAVE]],Tabla8[[#This Row],[DESCRIPCION DE TRABAJO]])),""))),"")</f>
        <v/>
      </c>
      <c r="O2006" s="35" t="str" cm="1">
        <f t="array" ref="O2006">_xlfn.TEXTJOIN(", ",TRUE,_xlfn._xlws.FILTER(Tabla28[[#All],[PARTE]],ISNUMBER(SEARCH(Tabla28[[#All],[PCLAVE2]],Tabla8[[#This Row],[DESCRIPCION DE TRABAJO]])),""))</f>
        <v/>
      </c>
      <c r="P2006" s="633" t="str">
        <f>IFERROR(LEFT(O2006, FIND(",", O2006)-1), O2006)</f>
        <v/>
      </c>
      <c r="Q2006" s="633" t="str">
        <f>IFERROR(IF(ISERROR(FIND(",", O2006, FIND(",", O2006)+1)), RIGHT(O2006, LEN(O2006)-FIND(",", O2006)-1), MID(O2006, FIND(",", O2006)+2, FIND(",", O2006, FIND(",", O2006)+1)-FIND(",", O2006)-2)), "")</f>
        <v/>
      </c>
      <c r="R2006" s="633" t="str">
        <f>IFERROR(RIGHT(O2006, LEN(O2006)-FIND(",", O2006, FIND(",", O2006)+1)-1), "")</f>
        <v/>
      </c>
      <c r="S2006" s="35" t="str" cm="1">
        <f t="array" ref="S2006">_xlfn.TEXTJOIN(", ",TRUE,_xlfn._xlws.FILTER(Tabla29[[#All],[PARTE]],ISNUMBER(SEARCH(Tabla29[[#All],[PCLAVE3]],Tabla8[[#This Row],[DESCRIPCION DE TRABAJO]])),""))</f>
        <v/>
      </c>
      <c r="T2006" s="88" t="str">
        <f>IF(AND(Tabla8[[#This Row],[PIEZA]]="",Tabla8[[#This Row],[PARTE]]=""),"VACIO","OK")</f>
        <v>VACIO</v>
      </c>
      <c r="U2006" s="633" t="str">
        <f>+CONCATENATE(WEEKNUM(Tabla8[[#This Row],[FECHA]]),"-",YEAR(Tabla8[[#This Row],[FECHA]]))</f>
        <v>27-2026</v>
      </c>
    </row>
    <row r="2007" spans="1:21" ht="15" customHeight="1">
      <c r="A2007" s="22">
        <v>46203</v>
      </c>
      <c r="B2007" s="16" t="s">
        <v>131</v>
      </c>
      <c r="C2007" s="16" t="s">
        <v>39</v>
      </c>
      <c r="D2007" s="381" t="s">
        <v>639</v>
      </c>
      <c r="E2007" s="381" t="s">
        <v>422</v>
      </c>
      <c r="F2007" s="632">
        <f>+MOD(Tabla8[[#This Row],[HR. FIN]]-Tabla8[[#This Row],[HR. INICIO]],1)</f>
        <v>1.5277777777777835E-2</v>
      </c>
      <c r="G2007" s="16" t="s">
        <v>31</v>
      </c>
      <c r="H2007" s="79" t="str">
        <f>IFERROR(VLOOKUP(G2007,DATOS!$M$2:$N$219,2,FALSE),"")</f>
        <v>Maquinaria</v>
      </c>
      <c r="I2007" s="115" t="s">
        <v>54</v>
      </c>
      <c r="J2007" s="115" t="s">
        <v>157</v>
      </c>
      <c r="K2007" s="115"/>
      <c r="L2007" s="35" t="s">
        <v>821</v>
      </c>
      <c r="M2007" s="35" t="s">
        <v>121</v>
      </c>
      <c r="N2007" s="35" t="str" cm="1">
        <f t="array" ref="N2007">IFERROR(IF(Tabla8[[#This Row],[P/NP]]="NO PROGRAMADA","",_xlfn.TEXTJOIN(", ",TRUE,_xlfn._xlws.FILTER(Tabla4[[#All],[PIEZA]],ISNUMBER(SEARCH(Tabla4[[#All],[PCLAVE]],Tabla8[[#This Row],[DESCRIPCION DE TRABAJO]])),""))),"")</f>
        <v/>
      </c>
      <c r="O2007" s="35" t="str" cm="1">
        <f t="array" ref="O2007">_xlfn.TEXTJOIN(", ",TRUE,_xlfn._xlws.FILTER(Tabla28[[#All],[PARTE]],ISNUMBER(SEARCH(Tabla28[[#All],[PCLAVE2]],Tabla8[[#This Row],[DESCRIPCION DE TRABAJO]])),""))</f>
        <v/>
      </c>
      <c r="P2007" s="633" t="str">
        <f>IFERROR(LEFT(O2007, FIND(",", O2007)-1), O2007)</f>
        <v/>
      </c>
      <c r="Q2007" s="633" t="str">
        <f>IFERROR(IF(ISERROR(FIND(",", O2007, FIND(",", O2007)+1)), RIGHT(O2007, LEN(O2007)-FIND(",", O2007)-1), MID(O2007, FIND(",", O2007)+2, FIND(",", O2007, FIND(",", O2007)+1)-FIND(",", O2007)-2)), "")</f>
        <v/>
      </c>
      <c r="R2007" s="633" t="str">
        <f>IFERROR(RIGHT(O2007, LEN(O2007)-FIND(",", O2007, FIND(",", O2007)+1)-1), "")</f>
        <v/>
      </c>
      <c r="S2007" s="35" t="str" cm="1">
        <f t="array" ref="S2007">_xlfn.TEXTJOIN(", ",TRUE,_xlfn._xlws.FILTER(Tabla29[[#All],[PARTE]],ISNUMBER(SEARCH(Tabla29[[#All],[PCLAVE3]],Tabla8[[#This Row],[DESCRIPCION DE TRABAJO]])),""))</f>
        <v/>
      </c>
      <c r="T2007" s="88" t="str">
        <f>IF(AND(Tabla8[[#This Row],[PIEZA]]="",Tabla8[[#This Row],[PARTE]]=""),"VACIO","OK")</f>
        <v>VACIO</v>
      </c>
      <c r="U2007" s="633" t="str">
        <f>+CONCATENATE(WEEKNUM(Tabla8[[#This Row],[FECHA]]),"-",YEAR(Tabla8[[#This Row],[FECHA]]))</f>
        <v>27-2026</v>
      </c>
    </row>
    <row r="2008" spans="1:21" ht="15" customHeight="1">
      <c r="A2008" s="22">
        <v>46203</v>
      </c>
      <c r="B2008" s="16" t="s">
        <v>191</v>
      </c>
      <c r="C2008" s="16" t="s">
        <v>36</v>
      </c>
      <c r="D2008" s="381" t="s">
        <v>2781</v>
      </c>
      <c r="E2008" s="381" t="s">
        <v>3518</v>
      </c>
      <c r="F2008" s="632">
        <f>+MOD(Tabla8[[#This Row],[HR. FIN]]-Tabla8[[#This Row],[HR. INICIO]],1)</f>
        <v>1.4583333333333337E-2</v>
      </c>
      <c r="G2008" s="16" t="s">
        <v>312</v>
      </c>
      <c r="H2008" s="79" t="str">
        <f>IFERROR(VLOOKUP(G2008,DATOS!$M$2:$N$219,2,FALSE),"")</f>
        <v>Maquinaria</v>
      </c>
      <c r="I2008" s="115" t="s">
        <v>348</v>
      </c>
      <c r="J2008" s="115" t="s">
        <v>157</v>
      </c>
      <c r="K2008" s="115"/>
      <c r="L2008" s="35" t="s">
        <v>3519</v>
      </c>
      <c r="M2008" s="35" t="s">
        <v>121</v>
      </c>
      <c r="N2008" s="35" t="str" cm="1">
        <f t="array" ref="N2008">IFERROR(IF(Tabla8[[#This Row],[P/NP]]="NO PROGRAMADA","",_xlfn.TEXTJOIN(", ",TRUE,_xlfn._xlws.FILTER(Tabla4[[#All],[PIEZA]],ISNUMBER(SEARCH(Tabla4[[#All],[PCLAVE]],Tabla8[[#This Row],[DESCRIPCION DE TRABAJO]])),""))),"")</f>
        <v>Sensor</v>
      </c>
      <c r="O2008" s="35" t="str" cm="1">
        <f t="array" ref="O2008">_xlfn.TEXTJOIN(", ",TRUE,_xlfn._xlws.FILTER(Tabla28[[#All],[PARTE]],ISNUMBER(SEARCH(Tabla28[[#All],[PCLAVE2]],Tabla8[[#This Row],[DESCRIPCION DE TRABAJO]])),""))</f>
        <v/>
      </c>
      <c r="P2008" s="633" t="str">
        <f>IFERROR(LEFT(O2008, FIND(",", O2008)-1), O2008)</f>
        <v/>
      </c>
      <c r="Q2008" s="633" t="str">
        <f>IFERROR(IF(ISERROR(FIND(",", O2008, FIND(",", O2008)+1)), RIGHT(O2008, LEN(O2008)-FIND(",", O2008)-1), MID(O2008, FIND(",", O2008)+2, FIND(",", O2008, FIND(",", O2008)+1)-FIND(",", O2008)-2)), "")</f>
        <v/>
      </c>
      <c r="R2008" s="633" t="str">
        <f>IFERROR(RIGHT(O2008, LEN(O2008)-FIND(",", O2008, FIND(",", O2008)+1)-1), "")</f>
        <v/>
      </c>
      <c r="S2008" s="35" t="str" cm="1">
        <f t="array" ref="S2008">_xlfn.TEXTJOIN(", ",TRUE,_xlfn._xlws.FILTER(Tabla29[[#All],[PARTE]],ISNUMBER(SEARCH(Tabla29[[#All],[PCLAVE3]],Tabla8[[#This Row],[DESCRIPCION DE TRABAJO]])),""))</f>
        <v>Calibracion, Sustitucion</v>
      </c>
      <c r="T2008" s="88" t="str">
        <f>IF(AND(Tabla8[[#This Row],[PIEZA]]="",Tabla8[[#This Row],[PARTE]]=""),"VACIO","OK")</f>
        <v>OK</v>
      </c>
      <c r="U2008" s="633" t="str">
        <f>+CONCATENATE(WEEKNUM(Tabla8[[#This Row],[FECHA]]),"-",YEAR(Tabla8[[#This Row],[FECHA]]))</f>
        <v>27-2026</v>
      </c>
    </row>
    <row r="2009" spans="1:21" ht="15" customHeight="1">
      <c r="A2009" s="22">
        <v>46203</v>
      </c>
      <c r="B2009" s="16" t="s">
        <v>191</v>
      </c>
      <c r="C2009" s="16" t="s">
        <v>36</v>
      </c>
      <c r="D2009" s="381" t="s">
        <v>2137</v>
      </c>
      <c r="E2009" s="381" t="s">
        <v>399</v>
      </c>
      <c r="F2009" s="632">
        <f>+MOD(Tabla8[[#This Row],[HR. FIN]]-Tabla8[[#This Row],[HR. INICIO]],1)</f>
        <v>1.2500000000000011E-2</v>
      </c>
      <c r="G2009" s="16" t="s">
        <v>91</v>
      </c>
      <c r="H2009" s="79" t="str">
        <f>IFERROR(VLOOKUP(G2009,DATOS!$M$2:$N$219,2,FALSE),"")</f>
        <v>Area</v>
      </c>
      <c r="I2009" s="115" t="s">
        <v>186</v>
      </c>
      <c r="J2009" s="115" t="s">
        <v>92</v>
      </c>
      <c r="K2009" s="115" t="s">
        <v>148</v>
      </c>
      <c r="L2009" s="35" t="s">
        <v>3520</v>
      </c>
      <c r="M2009" s="35" t="s">
        <v>3521</v>
      </c>
      <c r="N2009" s="35" t="str" cm="1">
        <f t="array" ref="N2009">IFERROR(IF(Tabla8[[#This Row],[P/NP]]="NO PROGRAMADA","",_xlfn.TEXTJOIN(", ",TRUE,_xlfn._xlws.FILTER(Tabla4[[#All],[PIEZA]],ISNUMBER(SEARCH(Tabla4[[#All],[PCLAVE]],Tabla8[[#This Row],[DESCRIPCION DE TRABAJO]])),""))),"")</f>
        <v/>
      </c>
      <c r="O2009" s="35" t="str" cm="1">
        <f t="array" ref="O2009">_xlfn.TEXTJOIN(", ",TRUE,_xlfn._xlws.FILTER(Tabla28[[#All],[PARTE]],ISNUMBER(SEARCH(Tabla28[[#All],[PCLAVE2]],Tabla8[[#This Row],[DESCRIPCION DE TRABAJO]])),""))</f>
        <v/>
      </c>
      <c r="P2009" s="633" t="str">
        <f>IFERROR(LEFT(O2009, FIND(",", O2009)-1), O2009)</f>
        <v/>
      </c>
      <c r="Q2009" s="633" t="str">
        <f>IFERROR(IF(ISERROR(FIND(",", O2009, FIND(",", O2009)+1)), RIGHT(O2009, LEN(O2009)-FIND(",", O2009)-1), MID(O2009, FIND(",", O2009)+2, FIND(",", O2009, FIND(",", O2009)+1)-FIND(",", O2009)-2)), "")</f>
        <v/>
      </c>
      <c r="R2009" s="633" t="str">
        <f>IFERROR(RIGHT(O2009, LEN(O2009)-FIND(",", O2009, FIND(",", O2009)+1)-1), "")</f>
        <v/>
      </c>
      <c r="S2009" s="35" t="str" cm="1">
        <f t="array" ref="S2009">_xlfn.TEXTJOIN(", ",TRUE,_xlfn._xlws.FILTER(Tabla29[[#All],[PARTE]],ISNUMBER(SEARCH(Tabla29[[#All],[PCLAVE3]],Tabla8[[#This Row],[DESCRIPCION DE TRABAJO]])),""))</f>
        <v/>
      </c>
      <c r="T2009" s="88" t="str">
        <f>IF(AND(Tabla8[[#This Row],[PIEZA]]="",Tabla8[[#This Row],[PARTE]]=""),"VACIO","OK")</f>
        <v>VACIO</v>
      </c>
      <c r="U2009" s="633" t="str">
        <f>+CONCATENATE(WEEKNUM(Tabla8[[#This Row],[FECHA]]),"-",YEAR(Tabla8[[#This Row],[FECHA]]))</f>
        <v>27-2026</v>
      </c>
    </row>
    <row r="2010" spans="1:21" ht="15" customHeight="1">
      <c r="A2010" s="22">
        <v>46203</v>
      </c>
      <c r="B2010" s="16" t="s">
        <v>191</v>
      </c>
      <c r="C2010" s="16" t="s">
        <v>36</v>
      </c>
      <c r="D2010" s="381" t="s">
        <v>1945</v>
      </c>
      <c r="E2010" s="381" t="s">
        <v>701</v>
      </c>
      <c r="F2010" s="632">
        <f>+MOD(Tabla8[[#This Row],[HR. FIN]]-Tabla8[[#This Row],[HR. INICIO]],1)</f>
        <v>1.0416666666666685E-2</v>
      </c>
      <c r="G2010" s="16" t="s">
        <v>236</v>
      </c>
      <c r="H2010" s="79" t="str">
        <f>IFERROR(VLOOKUP(G2010,DATOS!$M$2:$N$219,2,FALSE),"")</f>
        <v>Sistema</v>
      </c>
      <c r="I2010" s="115" t="s">
        <v>54</v>
      </c>
      <c r="J2010" s="115" t="s">
        <v>157</v>
      </c>
      <c r="K2010" s="115"/>
      <c r="L2010" s="35" t="s">
        <v>3522</v>
      </c>
      <c r="M2010" s="35" t="s">
        <v>121</v>
      </c>
      <c r="N2010" s="35" t="str" cm="1">
        <f t="array" ref="N2010">IFERROR(IF(Tabla8[[#This Row],[P/NP]]="NO PROGRAMADA","",_xlfn.TEXTJOIN(", ",TRUE,_xlfn._xlws.FILTER(Tabla4[[#All],[PIEZA]],ISNUMBER(SEARCH(Tabla4[[#All],[PCLAVE]],Tabla8[[#This Row],[DESCRIPCION DE TRABAJO]])),""))),"")</f>
        <v xml:space="preserve">Bomba </v>
      </c>
      <c r="O2010" s="35" t="str" cm="1">
        <f t="array" ref="O2010">_xlfn.TEXTJOIN(", ",TRUE,_xlfn._xlws.FILTER(Tabla28[[#All],[PARTE]],ISNUMBER(SEARCH(Tabla28[[#All],[PCLAVE2]],Tabla8[[#This Row],[DESCRIPCION DE TRABAJO]])),""))</f>
        <v/>
      </c>
      <c r="P2010" s="633" t="str">
        <f>IFERROR(LEFT(O2010, FIND(",", O2010)-1), O2010)</f>
        <v/>
      </c>
      <c r="Q2010" s="633" t="str">
        <f>IFERROR(IF(ISERROR(FIND(",", O2010, FIND(",", O2010)+1)), RIGHT(O2010, LEN(O2010)-FIND(",", O2010)-1), MID(O2010, FIND(",", O2010)+2, FIND(",", O2010, FIND(",", O2010)+1)-FIND(",", O2010)-2)), "")</f>
        <v/>
      </c>
      <c r="R2010" s="633" t="str">
        <f>IFERROR(RIGHT(O2010, LEN(O2010)-FIND(",", O2010, FIND(",", O2010)+1)-1), "")</f>
        <v/>
      </c>
      <c r="S2010" s="35" t="str" cm="1">
        <f t="array" ref="S2010">_xlfn.TEXTJOIN(", ",TRUE,_xlfn._xlws.FILTER(Tabla29[[#All],[PARTE]],ISNUMBER(SEARCH(Tabla29[[#All],[PCLAVE3]],Tabla8[[#This Row],[DESCRIPCION DE TRABAJO]])),""))</f>
        <v>Falla De Presion, Nivel</v>
      </c>
      <c r="T2010" s="88" t="str">
        <f>IF(AND(Tabla8[[#This Row],[PIEZA]]="",Tabla8[[#This Row],[PARTE]]=""),"VACIO","OK")</f>
        <v>OK</v>
      </c>
      <c r="U2010" s="633" t="str">
        <f>+CONCATENATE(WEEKNUM(Tabla8[[#This Row],[FECHA]]),"-",YEAR(Tabla8[[#This Row],[FECHA]]))</f>
        <v>27-2026</v>
      </c>
    </row>
    <row r="2011" spans="1:21" ht="15" customHeight="1">
      <c r="A2011" s="22">
        <v>46203</v>
      </c>
      <c r="B2011" s="16" t="s">
        <v>88</v>
      </c>
      <c r="C2011" s="16" t="s">
        <v>36</v>
      </c>
      <c r="D2011" s="381" t="s">
        <v>586</v>
      </c>
      <c r="E2011" s="381" t="s">
        <v>531</v>
      </c>
      <c r="F2011" s="632">
        <f>+MOD(Tabla8[[#This Row],[HR. FIN]]-Tabla8[[#This Row],[HR. INICIO]],1)</f>
        <v>1.041666666666663E-2</v>
      </c>
      <c r="G2011" s="16" t="s">
        <v>438</v>
      </c>
      <c r="H2011" s="79" t="str">
        <f>IFERROR(VLOOKUP(G2011,DATOS!$M$2:$N$219,2,FALSE),"")</f>
        <v>Maquinaria</v>
      </c>
      <c r="I2011" s="115" t="s">
        <v>54</v>
      </c>
      <c r="J2011" s="115" t="s">
        <v>157</v>
      </c>
      <c r="K2011" s="115"/>
      <c r="L2011" s="35" t="s">
        <v>3523</v>
      </c>
      <c r="M2011" s="35" t="s">
        <v>3524</v>
      </c>
      <c r="N2011" s="35" t="str" cm="1">
        <f t="array" ref="N2011">IFERROR(IF(Tabla8[[#This Row],[P/NP]]="NO PROGRAMADA","",_xlfn.TEXTJOIN(", ",TRUE,_xlfn._xlws.FILTER(Tabla4[[#All],[PIEZA]],ISNUMBER(SEARCH(Tabla4[[#All],[PCLAVE]],Tabla8[[#This Row],[DESCRIPCION DE TRABAJO]])),""))),"")</f>
        <v/>
      </c>
      <c r="O2011" s="35" t="str" cm="1">
        <f t="array" ref="O2011">_xlfn.TEXTJOIN(", ",TRUE,_xlfn._xlws.FILTER(Tabla28[[#All],[PARTE]],ISNUMBER(SEARCH(Tabla28[[#All],[PCLAVE2]],Tabla8[[#This Row],[DESCRIPCION DE TRABAJO]])),""))</f>
        <v/>
      </c>
      <c r="P2011" s="633" t="str">
        <f>IFERROR(LEFT(O2011, FIND(",", O2011)-1), O2011)</f>
        <v/>
      </c>
      <c r="Q2011" s="633" t="str">
        <f>IFERROR(IF(ISERROR(FIND(",", O2011, FIND(",", O2011)+1)), RIGHT(O2011, LEN(O2011)-FIND(",", O2011)-1), MID(O2011, FIND(",", O2011)+2, FIND(",", O2011, FIND(",", O2011)+1)-FIND(",", O2011)-2)), "")</f>
        <v/>
      </c>
      <c r="R2011" s="633" t="str">
        <f>IFERROR(RIGHT(O2011, LEN(O2011)-FIND(",", O2011, FIND(",", O2011)+1)-1), "")</f>
        <v/>
      </c>
      <c r="S2011" s="35" t="str" cm="1">
        <f t="array" ref="S2011">_xlfn.TEXTJOIN(", ",TRUE,_xlfn._xlws.FILTER(Tabla29[[#All],[PARTE]],ISNUMBER(SEARCH(Tabla29[[#All],[PCLAVE3]],Tabla8[[#This Row],[DESCRIPCION DE TRABAJO]])),""))</f>
        <v/>
      </c>
      <c r="T2011" s="88" t="str">
        <f>IF(AND(Tabla8[[#This Row],[PIEZA]]="",Tabla8[[#This Row],[PARTE]]=""),"VACIO","OK")</f>
        <v>VACIO</v>
      </c>
      <c r="U2011" s="633" t="str">
        <f>+CONCATENATE(WEEKNUM(Tabla8[[#This Row],[FECHA]]),"-",YEAR(Tabla8[[#This Row],[FECHA]]))</f>
        <v>27-2026</v>
      </c>
    </row>
    <row r="2012" spans="1:21" ht="15" customHeight="1">
      <c r="A2012" s="22">
        <v>46203</v>
      </c>
      <c r="B2012" s="16" t="s">
        <v>131</v>
      </c>
      <c r="C2012" s="16" t="s">
        <v>39</v>
      </c>
      <c r="D2012" s="381" t="s">
        <v>3525</v>
      </c>
      <c r="E2012" s="381" t="s">
        <v>1271</v>
      </c>
      <c r="F2012" s="632">
        <f>+MOD(Tabla8[[#This Row],[HR. FIN]]-Tabla8[[#This Row],[HR. INICIO]],1)</f>
        <v>8.3333333333333037E-3</v>
      </c>
      <c r="G2012" s="16" t="s">
        <v>153</v>
      </c>
      <c r="H2012" s="79" t="str">
        <f>IFERROR(VLOOKUP(G2012,DATOS!$M$2:$N$219,2,FALSE),"")</f>
        <v>Maquinaria</v>
      </c>
      <c r="I2012" s="115" t="s">
        <v>57</v>
      </c>
      <c r="J2012" s="115" t="s">
        <v>92</v>
      </c>
      <c r="K2012" s="115" t="s">
        <v>93</v>
      </c>
      <c r="L2012" s="35" t="s">
        <v>3526</v>
      </c>
      <c r="M2012" s="35" t="s">
        <v>3527</v>
      </c>
      <c r="N2012" s="35" t="str" cm="1">
        <f t="array" ref="N2012">IFERROR(IF(Tabla8[[#This Row],[P/NP]]="NO PROGRAMADA","",_xlfn.TEXTJOIN(", ",TRUE,_xlfn._xlws.FILTER(Tabla4[[#All],[PIEZA]],ISNUMBER(SEARCH(Tabla4[[#All],[PCLAVE]],Tabla8[[#This Row],[DESCRIPCION DE TRABAJO]])),""))),"")</f>
        <v/>
      </c>
      <c r="O2012" s="35" t="str" cm="1">
        <f t="array" ref="O2012">_xlfn.TEXTJOIN(", ",TRUE,_xlfn._xlws.FILTER(Tabla28[[#All],[PARTE]],ISNUMBER(SEARCH(Tabla28[[#All],[PCLAVE2]],Tabla8[[#This Row],[DESCRIPCION DE TRABAJO]])),""))</f>
        <v>Contraelevador</v>
      </c>
      <c r="P2012" s="633" t="str">
        <f>IFERROR(LEFT(O2012, FIND(",", O2012)-1), O2012)</f>
        <v>Contraelevador</v>
      </c>
      <c r="Q2012" s="633" t="str">
        <f>IFERROR(IF(ISERROR(FIND(",", O2012, FIND(",", O2012)+1)), RIGHT(O2012, LEN(O2012)-FIND(",", O2012)-1), MID(O2012, FIND(",", O2012)+2, FIND(",", O2012, FIND(",", O2012)+1)-FIND(",", O2012)-2)), "")</f>
        <v/>
      </c>
      <c r="R2012" s="633" t="str">
        <f>IFERROR(RIGHT(O2012, LEN(O2012)-FIND(",", O2012, FIND(",", O2012)+1)-1), "")</f>
        <v/>
      </c>
      <c r="S2012" s="35" t="str" cm="1">
        <f t="array" ref="S2012">_xlfn.TEXTJOIN(", ",TRUE,_xlfn._xlws.FILTER(Tabla29[[#All],[PARTE]],ISNUMBER(SEARCH(Tabla29[[#All],[PCLAVE3]],Tabla8[[#This Row],[DESCRIPCION DE TRABAJO]])),""))</f>
        <v/>
      </c>
      <c r="T2012" s="88" t="str">
        <f>IF(AND(Tabla8[[#This Row],[PIEZA]]="",Tabla8[[#This Row],[PARTE]]=""),"VACIO","OK")</f>
        <v>OK</v>
      </c>
      <c r="U2012" s="633" t="str">
        <f>+CONCATENATE(WEEKNUM(Tabla8[[#This Row],[FECHA]]),"-",YEAR(Tabla8[[#This Row],[FECHA]]))</f>
        <v>27-2026</v>
      </c>
    </row>
    <row r="2013" spans="1:21" ht="15" customHeight="1">
      <c r="A2013" s="22">
        <v>46203</v>
      </c>
      <c r="B2013" s="16" t="s">
        <v>191</v>
      </c>
      <c r="C2013" s="16" t="s">
        <v>36</v>
      </c>
      <c r="D2013" s="381" t="s">
        <v>3528</v>
      </c>
      <c r="E2013" s="381" t="s">
        <v>1939</v>
      </c>
      <c r="F2013" s="632">
        <f>+MOD(Tabla8[[#This Row],[HR. FIN]]-Tabla8[[#This Row],[HR. INICIO]],1)</f>
        <v>7.6388888888889173E-3</v>
      </c>
      <c r="G2013" s="16" t="s">
        <v>119</v>
      </c>
      <c r="H2013" s="79" t="str">
        <f>IFERROR(VLOOKUP(G2013,DATOS!$M$2:$N$219,2,FALSE),"")</f>
        <v>Maquinaria</v>
      </c>
      <c r="I2013" s="115" t="s">
        <v>32</v>
      </c>
      <c r="J2013" s="115" t="s">
        <v>157</v>
      </c>
      <c r="K2013" s="115"/>
      <c r="L2013" s="35" t="s">
        <v>3529</v>
      </c>
      <c r="M2013" s="35" t="s">
        <v>3530</v>
      </c>
      <c r="N2013" s="35" t="str" cm="1">
        <f t="array" ref="N2013">IFERROR(IF(Tabla8[[#This Row],[P/NP]]="NO PROGRAMADA","",_xlfn.TEXTJOIN(", ",TRUE,_xlfn._xlws.FILTER(Tabla4[[#All],[PIEZA]],ISNUMBER(SEARCH(Tabla4[[#All],[PCLAVE]],Tabla8[[#This Row],[DESCRIPCION DE TRABAJO]])),""))),"")</f>
        <v/>
      </c>
      <c r="O2013" s="35" t="str" cm="1">
        <f t="array" ref="O2013">_xlfn.TEXTJOIN(", ",TRUE,_xlfn._xlws.FILTER(Tabla28[[#All],[PARTE]],ISNUMBER(SEARCH(Tabla28[[#All],[PCLAVE2]],Tabla8[[#This Row],[DESCRIPCION DE TRABAJO]])),""))</f>
        <v/>
      </c>
      <c r="P2013" s="633" t="str">
        <f>IFERROR(LEFT(O2013, FIND(",", O2013)-1), O2013)</f>
        <v/>
      </c>
      <c r="Q2013" s="633" t="str">
        <f>IFERROR(IF(ISERROR(FIND(",", O2013, FIND(",", O2013)+1)), RIGHT(O2013, LEN(O2013)-FIND(",", O2013)-1), MID(O2013, FIND(",", O2013)+2, FIND(",", O2013, FIND(",", O2013)+1)-FIND(",", O2013)-2)), "")</f>
        <v/>
      </c>
      <c r="R2013" s="633" t="str">
        <f>IFERROR(RIGHT(O2013, LEN(O2013)-FIND(",", O2013, FIND(",", O2013)+1)-1), "")</f>
        <v/>
      </c>
      <c r="S2013" s="35" t="str" cm="1">
        <f t="array" ref="S2013">_xlfn.TEXTJOIN(", ",TRUE,_xlfn._xlws.FILTER(Tabla29[[#All],[PARTE]],ISNUMBER(SEARCH(Tabla29[[#All],[PCLAVE3]],Tabla8[[#This Row],[DESCRIPCION DE TRABAJO]])),""))</f>
        <v>Cambio De Formato</v>
      </c>
      <c r="T2013" s="88" t="str">
        <f>IF(AND(Tabla8[[#This Row],[PIEZA]]="",Tabla8[[#This Row],[PARTE]]=""),"VACIO","OK")</f>
        <v>VACIO</v>
      </c>
      <c r="U2013" s="633" t="str">
        <f>+CONCATENATE(WEEKNUM(Tabla8[[#This Row],[FECHA]]),"-",YEAR(Tabla8[[#This Row],[FECHA]]))</f>
        <v>27-2026</v>
      </c>
    </row>
    <row r="2014" spans="1:21" ht="15" customHeight="1">
      <c r="A2014" s="22">
        <v>46204</v>
      </c>
      <c r="B2014" s="16" t="s">
        <v>88</v>
      </c>
      <c r="C2014" s="16" t="s">
        <v>36</v>
      </c>
      <c r="D2014" s="381" t="s">
        <v>408</v>
      </c>
      <c r="E2014" s="381" t="s">
        <v>96</v>
      </c>
      <c r="F2014" s="632">
        <f>+MOD(Tabla8[[#This Row],[HR. FIN]]-Tabla8[[#This Row],[HR. INICIO]],1)</f>
        <v>3.125E-2</v>
      </c>
      <c r="G2014" s="16" t="s">
        <v>2282</v>
      </c>
      <c r="H2014" s="79" t="str">
        <f>IFERROR(VLOOKUP(G2014,DATOS!$M$2:$N$219,2,FALSE),"")</f>
        <v>Area</v>
      </c>
      <c r="I2014" s="115"/>
      <c r="J2014" s="115"/>
      <c r="K2014" s="115"/>
      <c r="L2014" s="35" t="s">
        <v>2283</v>
      </c>
      <c r="M2014" s="35" t="s">
        <v>2677</v>
      </c>
      <c r="N2014" s="35" t="str" cm="1">
        <f t="array" ref="N2014">IFERROR(IF(Tabla8[[#This Row],[P/NP]]="NO PROGRAMADA","",_xlfn.TEXTJOIN(", ",TRUE,_xlfn._xlws.FILTER(Tabla4[[#All],[PIEZA]],ISNUMBER(SEARCH(Tabla4[[#All],[PCLAVE]],Tabla8[[#This Row],[DESCRIPCION DE TRABAJO]])),""))),"")</f>
        <v/>
      </c>
      <c r="O2014" s="35" t="str" cm="1">
        <f t="array" ref="O2014">_xlfn.TEXTJOIN(", ",TRUE,_xlfn._xlws.FILTER(Tabla28[[#All],[PARTE]],ISNUMBER(SEARCH(Tabla28[[#All],[PCLAVE2]],Tabla8[[#This Row],[DESCRIPCION DE TRABAJO]])),""))</f>
        <v/>
      </c>
      <c r="P2014" s="633" t="str">
        <f>IFERROR(LEFT(O2014, FIND(",", O2014)-1), O2014)</f>
        <v/>
      </c>
      <c r="Q2014" s="633" t="str">
        <f>IFERROR(IF(ISERROR(FIND(",", O2014, FIND(",", O2014)+1)), RIGHT(O2014, LEN(O2014)-FIND(",", O2014)-1), MID(O2014, FIND(",", O2014)+2, FIND(",", O2014, FIND(",", O2014)+1)-FIND(",", O2014)-2)), "")</f>
        <v/>
      </c>
      <c r="R2014" s="633" t="str">
        <f>IFERROR(RIGHT(O2014, LEN(O2014)-FIND(",", O2014, FIND(",", O2014)+1)-1), "")</f>
        <v/>
      </c>
      <c r="S2014" s="35" t="str" cm="1">
        <f t="array" ref="S2014">_xlfn.TEXTJOIN(", ",TRUE,_xlfn._xlws.FILTER(Tabla29[[#All],[PARTE]],ISNUMBER(SEARCH(Tabla29[[#All],[PCLAVE3]],Tabla8[[#This Row],[DESCRIPCION DE TRABAJO]])),""))</f>
        <v/>
      </c>
      <c r="T2014" s="88" t="str">
        <f>IF(AND(Tabla8[[#This Row],[PIEZA]]="",Tabla8[[#This Row],[PARTE]]=""),"VACIO","OK")</f>
        <v>VACIO</v>
      </c>
      <c r="U2014" s="633" t="str">
        <f>+CONCATENATE(WEEKNUM(Tabla8[[#This Row],[FECHA]]),"-",YEAR(Tabla8[[#This Row],[FECHA]]))</f>
        <v>27-2026</v>
      </c>
    </row>
    <row r="2015" spans="1:21" ht="15" customHeight="1">
      <c r="A2015" s="22">
        <v>46204</v>
      </c>
      <c r="B2015" s="16" t="s">
        <v>88</v>
      </c>
      <c r="C2015" s="16" t="s">
        <v>36</v>
      </c>
      <c r="D2015" s="381" t="s">
        <v>102</v>
      </c>
      <c r="E2015" s="381" t="s">
        <v>537</v>
      </c>
      <c r="F2015" s="632">
        <f>+MOD(Tabla8[[#This Row],[HR. FIN]]-Tabla8[[#This Row],[HR. INICIO]],1)</f>
        <v>2.0833333333333315E-2</v>
      </c>
      <c r="G2015" s="16" t="s">
        <v>270</v>
      </c>
      <c r="H2015" s="79" t="str">
        <f>IFERROR(VLOOKUP(G2015,DATOS!$M$2:$N$219,2,FALSE),"")</f>
        <v>Maquinaria</v>
      </c>
      <c r="I2015" s="115" t="s">
        <v>54</v>
      </c>
      <c r="J2015" s="115" t="s">
        <v>157</v>
      </c>
      <c r="K2015" s="115"/>
      <c r="L2015" s="35" t="s">
        <v>1040</v>
      </c>
      <c r="M2015" s="35" t="s">
        <v>214</v>
      </c>
      <c r="N2015" s="35" t="str" cm="1">
        <f t="array" ref="N2015">IFERROR(IF(Tabla8[[#This Row],[P/NP]]="NO PROGRAMADA","",_xlfn.TEXTJOIN(", ",TRUE,_xlfn._xlws.FILTER(Tabla4[[#All],[PIEZA]],ISNUMBER(SEARCH(Tabla4[[#All],[PCLAVE]],Tabla8[[#This Row],[DESCRIPCION DE TRABAJO]])),""))),"")</f>
        <v/>
      </c>
      <c r="O2015" s="35" t="str" cm="1">
        <f t="array" ref="O2015">_xlfn.TEXTJOIN(", ",TRUE,_xlfn._xlws.FILTER(Tabla28[[#All],[PARTE]],ISNUMBER(SEARCH(Tabla28[[#All],[PCLAVE2]],Tabla8[[#This Row],[DESCRIPCION DE TRABAJO]])),""))</f>
        <v/>
      </c>
      <c r="P2015" s="633" t="str">
        <f>IFERROR(LEFT(O2015, FIND(",", O2015)-1), O2015)</f>
        <v/>
      </c>
      <c r="Q2015" s="633" t="str">
        <f>IFERROR(IF(ISERROR(FIND(",", O2015, FIND(",", O2015)+1)), RIGHT(O2015, LEN(O2015)-FIND(",", O2015)-1), MID(O2015, FIND(",", O2015)+2, FIND(",", O2015, FIND(",", O2015)+1)-FIND(",", O2015)-2)), "")</f>
        <v/>
      </c>
      <c r="R2015" s="633" t="str">
        <f>IFERROR(RIGHT(O2015, LEN(O2015)-FIND(",", O2015, FIND(",", O2015)+1)-1), "")</f>
        <v/>
      </c>
      <c r="S2015" s="35" t="str" cm="1">
        <f t="array" ref="S2015">_xlfn.TEXTJOIN(", ",TRUE,_xlfn._xlws.FILTER(Tabla29[[#All],[PARTE]],ISNUMBER(SEARCH(Tabla29[[#All],[PCLAVE3]],Tabla8[[#This Row],[DESCRIPCION DE TRABAJO]])),""))</f>
        <v/>
      </c>
      <c r="T2015" s="88" t="str">
        <f>IF(AND(Tabla8[[#This Row],[PIEZA]]="",Tabla8[[#This Row],[PARTE]]=""),"VACIO","OK")</f>
        <v>VACIO</v>
      </c>
      <c r="U2015" s="633" t="str">
        <f>+CONCATENATE(WEEKNUM(Tabla8[[#This Row],[FECHA]]),"-",YEAR(Tabla8[[#This Row],[FECHA]]))</f>
        <v>27-2026</v>
      </c>
    </row>
    <row r="2016" spans="1:21" ht="15" customHeight="1">
      <c r="A2016" s="22">
        <v>46204</v>
      </c>
      <c r="B2016" s="16" t="s">
        <v>191</v>
      </c>
      <c r="C2016" s="16" t="s">
        <v>36</v>
      </c>
      <c r="D2016" s="381" t="s">
        <v>636</v>
      </c>
      <c r="E2016" s="381" t="s">
        <v>3531</v>
      </c>
      <c r="F2016" s="632">
        <f>+MOD(Tabla8[[#This Row],[HR. FIN]]-Tabla8[[#This Row],[HR. INICIO]],1)</f>
        <v>2.0138888888888873E-2</v>
      </c>
      <c r="G2016" s="16" t="s">
        <v>270</v>
      </c>
      <c r="H2016" s="79" t="str">
        <f>IFERROR(VLOOKUP(G2016,DATOS!$M$2:$N$219,2,FALSE),"")</f>
        <v>Maquinaria</v>
      </c>
      <c r="I2016" s="115" t="s">
        <v>54</v>
      </c>
      <c r="J2016" s="115" t="s">
        <v>157</v>
      </c>
      <c r="K2016" s="115"/>
      <c r="L2016" s="35" t="s">
        <v>3532</v>
      </c>
      <c r="M2016" s="35" t="s">
        <v>121</v>
      </c>
      <c r="N2016" s="35" t="str" cm="1">
        <f t="array" ref="N2016">IFERROR(IF(Tabla8[[#This Row],[P/NP]]="NO PROGRAMADA","",_xlfn.TEXTJOIN(", ",TRUE,_xlfn._xlws.FILTER(Tabla4[[#All],[PIEZA]],ISNUMBER(SEARCH(Tabla4[[#All],[PCLAVE]],Tabla8[[#This Row],[DESCRIPCION DE TRABAJO]])),""))),"")</f>
        <v/>
      </c>
      <c r="O2016" s="35" t="str" cm="1">
        <f t="array" ref="O2016">_xlfn.TEXTJOIN(", ",TRUE,_xlfn._xlws.FILTER(Tabla28[[#All],[PARTE]],ISNUMBER(SEARCH(Tabla28[[#All],[PCLAVE2]],Tabla8[[#This Row],[DESCRIPCION DE TRABAJO]])),""))</f>
        <v>Tanque, Temperadora</v>
      </c>
      <c r="P2016" s="633" t="str">
        <f>IFERROR(LEFT(O2016, FIND(",", O2016)-1), O2016)</f>
        <v>Tanque</v>
      </c>
      <c r="Q2016" s="633" t="str">
        <f>IFERROR(IF(ISERROR(FIND(",", O2016, FIND(",", O2016)+1)), RIGHT(O2016, LEN(O2016)-FIND(",", O2016)-1), MID(O2016, FIND(",", O2016)+2, FIND(",", O2016, FIND(",", O2016)+1)-FIND(",", O2016)-2)), "")</f>
        <v>Temperadora</v>
      </c>
      <c r="R2016" s="633" t="str">
        <f>IFERROR(RIGHT(O2016, LEN(O2016)-FIND(",", O2016, FIND(",", O2016)+1)-1), "")</f>
        <v/>
      </c>
      <c r="S2016" s="35" t="str" cm="1">
        <f t="array" ref="S2016">_xlfn.TEXTJOIN(", ",TRUE,_xlfn._xlws.FILTER(Tabla29[[#All],[PARTE]],ISNUMBER(SEARCH(Tabla29[[#All],[PCLAVE3]],Tabla8[[#This Row],[DESCRIPCION DE TRABAJO]])),""))</f>
        <v/>
      </c>
      <c r="T2016" s="88" t="str">
        <f>IF(AND(Tabla8[[#This Row],[PIEZA]]="",Tabla8[[#This Row],[PARTE]]=""),"VACIO","OK")</f>
        <v>OK</v>
      </c>
      <c r="U2016" s="633" t="str">
        <f>+CONCATENATE(WEEKNUM(Tabla8[[#This Row],[FECHA]]),"-",YEAR(Tabla8[[#This Row],[FECHA]]))</f>
        <v>27-2026</v>
      </c>
    </row>
    <row r="2017" spans="1:21" ht="15" customHeight="1">
      <c r="A2017" s="22">
        <v>46204</v>
      </c>
      <c r="B2017" s="16" t="s">
        <v>191</v>
      </c>
      <c r="C2017" s="16" t="s">
        <v>36</v>
      </c>
      <c r="D2017" s="381" t="s">
        <v>2145</v>
      </c>
      <c r="E2017" s="381" t="s">
        <v>868</v>
      </c>
      <c r="F2017" s="632">
        <f>+MOD(Tabla8[[#This Row],[HR. FIN]]-Tabla8[[#This Row],[HR. INICIO]],1)</f>
        <v>1.6666666666666663E-2</v>
      </c>
      <c r="G2017" s="16" t="s">
        <v>24</v>
      </c>
      <c r="H2017" s="79" t="str">
        <f>IFERROR(VLOOKUP(G2017,DATOS!$M$2:$N$219,2,FALSE),"")</f>
        <v>Maquinaria</v>
      </c>
      <c r="I2017" s="115" t="s">
        <v>186</v>
      </c>
      <c r="J2017" s="115" t="s">
        <v>92</v>
      </c>
      <c r="K2017" s="115" t="s">
        <v>93</v>
      </c>
      <c r="L2017" s="35" t="s">
        <v>3533</v>
      </c>
      <c r="M2017" s="35" t="s">
        <v>121</v>
      </c>
      <c r="N2017" s="35" t="str" cm="1">
        <f t="array" ref="N2017">IFERROR(IF(Tabla8[[#This Row],[P/NP]]="NO PROGRAMADA","",_xlfn.TEXTJOIN(", ",TRUE,_xlfn._xlws.FILTER(Tabla4[[#All],[PIEZA]],ISNUMBER(SEARCH(Tabla4[[#All],[PCLAVE]],Tabla8[[#This Row],[DESCRIPCION DE TRABAJO]])),""))),"")</f>
        <v/>
      </c>
      <c r="O2017" s="35" t="str" cm="1">
        <f t="array" ref="O2017">_xlfn.TEXTJOIN(", ",TRUE,_xlfn._xlws.FILTER(Tabla28[[#All],[PARTE]],ISNUMBER(SEARCH(Tabla28[[#All],[PCLAVE2]],Tabla8[[#This Row],[DESCRIPCION DE TRABAJO]])),""))</f>
        <v/>
      </c>
      <c r="P2017" s="633" t="str">
        <f>IFERROR(LEFT(O2017, FIND(",", O2017)-1), O2017)</f>
        <v/>
      </c>
      <c r="Q2017" s="633" t="str">
        <f>IFERROR(IF(ISERROR(FIND(",", O2017, FIND(",", O2017)+1)), RIGHT(O2017, LEN(O2017)-FIND(",", O2017)-1), MID(O2017, FIND(",", O2017)+2, FIND(",", O2017, FIND(",", O2017)+1)-FIND(",", O2017)-2)), "")</f>
        <v/>
      </c>
      <c r="R2017" s="633" t="str">
        <f>IFERROR(RIGHT(O2017, LEN(O2017)-FIND(",", O2017, FIND(",", O2017)+1)-1), "")</f>
        <v/>
      </c>
      <c r="S2017" s="35" t="str" cm="1">
        <f t="array" ref="S2017">_xlfn.TEXTJOIN(", ",TRUE,_xlfn._xlws.FILTER(Tabla29[[#All],[PARTE]],ISNUMBER(SEARCH(Tabla29[[#All],[PCLAVE3]],Tabla8[[#This Row],[DESCRIPCION DE TRABAJO]])),""))</f>
        <v>Sustitucion</v>
      </c>
      <c r="T2017" s="88" t="str">
        <f>IF(AND(Tabla8[[#This Row],[PIEZA]]="",Tabla8[[#This Row],[PARTE]]=""),"VACIO","OK")</f>
        <v>VACIO</v>
      </c>
      <c r="U2017" s="633" t="str">
        <f>+CONCATENATE(WEEKNUM(Tabla8[[#This Row],[FECHA]]),"-",YEAR(Tabla8[[#This Row],[FECHA]]))</f>
        <v>27-2026</v>
      </c>
    </row>
    <row r="2018" spans="1:21" ht="15" customHeight="1">
      <c r="A2018" s="22">
        <v>46204</v>
      </c>
      <c r="B2018" s="16" t="s">
        <v>88</v>
      </c>
      <c r="C2018" s="16" t="s">
        <v>36</v>
      </c>
      <c r="D2018" s="381" t="s">
        <v>123</v>
      </c>
      <c r="E2018" s="381" t="s">
        <v>399</v>
      </c>
      <c r="F2018" s="632">
        <f>+MOD(Tabla8[[#This Row],[HR. FIN]]-Tabla8[[#This Row],[HR. INICIO]],1)</f>
        <v>1.3888888888888895E-2</v>
      </c>
      <c r="G2018" s="16" t="s">
        <v>98</v>
      </c>
      <c r="H2018" s="79" t="str">
        <f>IFERROR(VLOOKUP(G2018,DATOS!$M$2:$N$219,2,FALSE),"")</f>
        <v>Maquinaria</v>
      </c>
      <c r="I2018" s="115" t="s">
        <v>54</v>
      </c>
      <c r="J2018" s="115" t="s">
        <v>157</v>
      </c>
      <c r="K2018" s="115"/>
      <c r="L2018" s="35" t="s">
        <v>1040</v>
      </c>
      <c r="M2018" s="35" t="s">
        <v>1423</v>
      </c>
      <c r="N2018" s="35" t="str" cm="1">
        <f t="array" ref="N2018">IFERROR(IF(Tabla8[[#This Row],[P/NP]]="NO PROGRAMADA","",_xlfn.TEXTJOIN(", ",TRUE,_xlfn._xlws.FILTER(Tabla4[[#All],[PIEZA]],ISNUMBER(SEARCH(Tabla4[[#All],[PCLAVE]],Tabla8[[#This Row],[DESCRIPCION DE TRABAJO]])),""))),"")</f>
        <v/>
      </c>
      <c r="O2018" s="35" t="str" cm="1">
        <f t="array" ref="O2018">_xlfn.TEXTJOIN(", ",TRUE,_xlfn._xlws.FILTER(Tabla28[[#All],[PARTE]],ISNUMBER(SEARCH(Tabla28[[#All],[PCLAVE2]],Tabla8[[#This Row],[DESCRIPCION DE TRABAJO]])),""))</f>
        <v/>
      </c>
      <c r="P2018" s="633" t="str">
        <f>IFERROR(LEFT(O2018, FIND(",", O2018)-1), O2018)</f>
        <v/>
      </c>
      <c r="Q2018" s="633" t="str">
        <f>IFERROR(IF(ISERROR(FIND(",", O2018, FIND(",", O2018)+1)), RIGHT(O2018, LEN(O2018)-FIND(",", O2018)-1), MID(O2018, FIND(",", O2018)+2, FIND(",", O2018, FIND(",", O2018)+1)-FIND(",", O2018)-2)), "")</f>
        <v/>
      </c>
      <c r="R2018" s="633" t="str">
        <f>IFERROR(RIGHT(O2018, LEN(O2018)-FIND(",", O2018, FIND(",", O2018)+1)-1), "")</f>
        <v/>
      </c>
      <c r="S2018" s="35" t="str" cm="1">
        <f t="array" ref="S2018">_xlfn.TEXTJOIN(", ",TRUE,_xlfn._xlws.FILTER(Tabla29[[#All],[PARTE]],ISNUMBER(SEARCH(Tabla29[[#All],[PCLAVE3]],Tabla8[[#This Row],[DESCRIPCION DE TRABAJO]])),""))</f>
        <v/>
      </c>
      <c r="T2018" s="88" t="str">
        <f>IF(AND(Tabla8[[#This Row],[PIEZA]]="",Tabla8[[#This Row],[PARTE]]=""),"VACIO","OK")</f>
        <v>VACIO</v>
      </c>
      <c r="U2018" s="633" t="str">
        <f>+CONCATENATE(WEEKNUM(Tabla8[[#This Row],[FECHA]]),"-",YEAR(Tabla8[[#This Row],[FECHA]]))</f>
        <v>27-2026</v>
      </c>
    </row>
    <row r="2019" spans="1:21" ht="15" customHeight="1">
      <c r="A2019" s="22">
        <v>46204</v>
      </c>
      <c r="B2019" s="16" t="s">
        <v>88</v>
      </c>
      <c r="C2019" s="16" t="s">
        <v>36</v>
      </c>
      <c r="D2019" s="381" t="s">
        <v>630</v>
      </c>
      <c r="E2019" s="381" t="s">
        <v>1510</v>
      </c>
      <c r="F2019" s="632">
        <f>+MOD(Tabla8[[#This Row],[HR. FIN]]-Tabla8[[#This Row],[HR. INICIO]],1)</f>
        <v>1.3888888888888895E-2</v>
      </c>
      <c r="G2019" s="16" t="s">
        <v>270</v>
      </c>
      <c r="H2019" s="79" t="str">
        <f>IFERROR(VLOOKUP(G2019,DATOS!$M$2:$N$219,2,FALSE),"")</f>
        <v>Maquinaria</v>
      </c>
      <c r="I2019" s="115" t="s">
        <v>54</v>
      </c>
      <c r="J2019" s="115" t="s">
        <v>157</v>
      </c>
      <c r="K2019" s="115"/>
      <c r="L2019" s="35" t="s">
        <v>1103</v>
      </c>
      <c r="M2019" s="35" t="s">
        <v>3534</v>
      </c>
      <c r="N2019" s="35" t="str" cm="1">
        <f t="array" ref="N2019">IFERROR(IF(Tabla8[[#This Row],[P/NP]]="NO PROGRAMADA","",_xlfn.TEXTJOIN(", ",TRUE,_xlfn._xlws.FILTER(Tabla4[[#All],[PIEZA]],ISNUMBER(SEARCH(Tabla4[[#All],[PCLAVE]],Tabla8[[#This Row],[DESCRIPCION DE TRABAJO]])),""))),"")</f>
        <v/>
      </c>
      <c r="O2019" s="35" t="str" cm="1">
        <f t="array" ref="O2019">_xlfn.TEXTJOIN(", ",TRUE,_xlfn._xlws.FILTER(Tabla28[[#All],[PARTE]],ISNUMBER(SEARCH(Tabla28[[#All],[PCLAVE2]],Tabla8[[#This Row],[DESCRIPCION DE TRABAJO]])),""))</f>
        <v/>
      </c>
      <c r="P2019" s="633" t="str">
        <f>IFERROR(LEFT(O2019, FIND(",", O2019)-1), O2019)</f>
        <v/>
      </c>
      <c r="Q2019" s="633" t="str">
        <f>IFERROR(IF(ISERROR(FIND(",", O2019, FIND(",", O2019)+1)), RIGHT(O2019, LEN(O2019)-FIND(",", O2019)-1), MID(O2019, FIND(",", O2019)+2, FIND(",", O2019, FIND(",", O2019)+1)-FIND(",", O2019)-2)), "")</f>
        <v/>
      </c>
      <c r="R2019" s="633" t="str">
        <f>IFERROR(RIGHT(O2019, LEN(O2019)-FIND(",", O2019, FIND(",", O2019)+1)-1), "")</f>
        <v/>
      </c>
      <c r="S2019" s="35" t="str" cm="1">
        <f t="array" ref="S2019">_xlfn.TEXTJOIN(", ",TRUE,_xlfn._xlws.FILTER(Tabla29[[#All],[PARTE]],ISNUMBER(SEARCH(Tabla29[[#All],[PCLAVE3]],Tabla8[[#This Row],[DESCRIPCION DE TRABAJO]])),""))</f>
        <v/>
      </c>
      <c r="T2019" s="88" t="str">
        <f>IF(AND(Tabla8[[#This Row],[PIEZA]]="",Tabla8[[#This Row],[PARTE]]=""),"VACIO","OK")</f>
        <v>VACIO</v>
      </c>
      <c r="U2019" s="633" t="str">
        <f>+CONCATENATE(WEEKNUM(Tabla8[[#This Row],[FECHA]]),"-",YEAR(Tabla8[[#This Row],[FECHA]]))</f>
        <v>27-2026</v>
      </c>
    </row>
    <row r="2020" spans="1:21" ht="15" customHeight="1">
      <c r="A2020" s="22">
        <v>46204</v>
      </c>
      <c r="B2020" s="16" t="s">
        <v>191</v>
      </c>
      <c r="C2020" s="16" t="s">
        <v>36</v>
      </c>
      <c r="D2020" s="381" t="s">
        <v>3535</v>
      </c>
      <c r="E2020" s="381" t="s">
        <v>3536</v>
      </c>
      <c r="F2020" s="632">
        <f>+MOD(Tabla8[[#This Row],[HR. FIN]]-Tabla8[[#This Row],[HR. INICIO]],1)</f>
        <v>1.2500000000000011E-2</v>
      </c>
      <c r="G2020" s="16" t="s">
        <v>331</v>
      </c>
      <c r="H2020" s="79" t="str">
        <f>IFERROR(VLOOKUP(G2020,DATOS!$M$2:$N$219,2,FALSE),"")</f>
        <v>Maquinaria</v>
      </c>
      <c r="I2020" s="115" t="s">
        <v>245</v>
      </c>
      <c r="J2020" s="115" t="s">
        <v>92</v>
      </c>
      <c r="K2020" s="115" t="s">
        <v>93</v>
      </c>
      <c r="L2020" s="35" t="s">
        <v>3537</v>
      </c>
      <c r="M2020" s="35" t="s">
        <v>3538</v>
      </c>
      <c r="N2020" s="35" t="str" cm="1">
        <f t="array" ref="N2020">IFERROR(IF(Tabla8[[#This Row],[P/NP]]="NO PROGRAMADA","",_xlfn.TEXTJOIN(", ",TRUE,_xlfn._xlws.FILTER(Tabla4[[#All],[PIEZA]],ISNUMBER(SEARCH(Tabla4[[#All],[PCLAVE]],Tabla8[[#This Row],[DESCRIPCION DE TRABAJO]])),""))),"")</f>
        <v/>
      </c>
      <c r="O2020" s="35" t="str" cm="1">
        <f t="array" ref="O2020">_xlfn.TEXTJOIN(", ",TRUE,_xlfn._xlws.FILTER(Tabla28[[#All],[PARTE]],ISNUMBER(SEARCH(Tabla28[[#All],[PCLAVE2]],Tabla8[[#This Row],[DESCRIPCION DE TRABAJO]])),""))</f>
        <v/>
      </c>
      <c r="P2020" s="633" t="str">
        <f>IFERROR(LEFT(O2020, FIND(",", O2020)-1), O2020)</f>
        <v/>
      </c>
      <c r="Q2020" s="633" t="str">
        <f>IFERROR(IF(ISERROR(FIND(",", O2020, FIND(",", O2020)+1)), RIGHT(O2020, LEN(O2020)-FIND(",", O2020)-1), MID(O2020, FIND(",", O2020)+2, FIND(",", O2020, FIND(",", O2020)+1)-FIND(",", O2020)-2)), "")</f>
        <v/>
      </c>
      <c r="R2020" s="633" t="str">
        <f>IFERROR(RIGHT(O2020, LEN(O2020)-FIND(",", O2020, FIND(",", O2020)+1)-1), "")</f>
        <v/>
      </c>
      <c r="S2020" s="35" t="str" cm="1">
        <f t="array" ref="S2020">_xlfn.TEXTJOIN(", ",TRUE,_xlfn._xlws.FILTER(Tabla29[[#All],[PARTE]],ISNUMBER(SEARCH(Tabla29[[#All],[PCLAVE3]],Tabla8[[#This Row],[DESCRIPCION DE TRABAJO]])),""))</f>
        <v>Muy Duro</v>
      </c>
      <c r="T2020" s="88" t="str">
        <f>IF(AND(Tabla8[[#This Row],[PIEZA]]="",Tabla8[[#This Row],[PARTE]]=""),"VACIO","OK")</f>
        <v>VACIO</v>
      </c>
      <c r="U2020" s="633" t="str">
        <f>+CONCATENATE(WEEKNUM(Tabla8[[#This Row],[FECHA]]),"-",YEAR(Tabla8[[#This Row],[FECHA]]))</f>
        <v>27-2026</v>
      </c>
    </row>
    <row r="2021" spans="1:21" ht="15" customHeight="1">
      <c r="A2021" s="22">
        <v>46204</v>
      </c>
      <c r="B2021" s="16" t="s">
        <v>191</v>
      </c>
      <c r="C2021" s="16" t="s">
        <v>36</v>
      </c>
      <c r="D2021" s="381" t="s">
        <v>3539</v>
      </c>
      <c r="E2021" s="381" t="s">
        <v>2598</v>
      </c>
      <c r="F2021" s="632">
        <f>+MOD(Tabla8[[#This Row],[HR. FIN]]-Tabla8[[#This Row],[HR. INICIO]],1)</f>
        <v>1.1805555555555569E-2</v>
      </c>
      <c r="G2021" s="16" t="s">
        <v>1243</v>
      </c>
      <c r="H2021" s="79" t="str">
        <f>IFERROR(VLOOKUP(G2021,DATOS!$M$2:$N$219,2,FALSE),"")</f>
        <v>Sistema</v>
      </c>
      <c r="I2021" s="115" t="s">
        <v>405</v>
      </c>
      <c r="J2021" s="115" t="s">
        <v>157</v>
      </c>
      <c r="K2021" s="115"/>
      <c r="L2021" s="35" t="s">
        <v>3540</v>
      </c>
      <c r="M2021" s="35" t="s">
        <v>121</v>
      </c>
      <c r="N2021" s="35" t="str" cm="1">
        <f t="array" ref="N2021">IFERROR(IF(Tabla8[[#This Row],[P/NP]]="NO PROGRAMADA","",_xlfn.TEXTJOIN(", ",TRUE,_xlfn._xlws.FILTER(Tabla4[[#All],[PIEZA]],ISNUMBER(SEARCH(Tabla4[[#All],[PCLAVE]],Tabla8[[#This Row],[DESCRIPCION DE TRABAJO]])),""))),"")</f>
        <v/>
      </c>
      <c r="O2021" s="35" t="str" cm="1">
        <f t="array" ref="O2021">_xlfn.TEXTJOIN(", ",TRUE,_xlfn._xlws.FILTER(Tabla28[[#All],[PARTE]],ISNUMBER(SEARCH(Tabla28[[#All],[PCLAVE2]],Tabla8[[#This Row],[DESCRIPCION DE TRABAJO]])),""))</f>
        <v/>
      </c>
      <c r="P2021" s="633" t="str">
        <f>IFERROR(LEFT(O2021, FIND(",", O2021)-1), O2021)</f>
        <v/>
      </c>
      <c r="Q2021" s="633" t="str">
        <f>IFERROR(IF(ISERROR(FIND(",", O2021, FIND(",", O2021)+1)), RIGHT(O2021, LEN(O2021)-FIND(",", O2021)-1), MID(O2021, FIND(",", O2021)+2, FIND(",", O2021, FIND(",", O2021)+1)-FIND(",", O2021)-2)), "")</f>
        <v/>
      </c>
      <c r="R2021" s="633" t="str">
        <f>IFERROR(RIGHT(O2021, LEN(O2021)-FIND(",", O2021, FIND(",", O2021)+1)-1), "")</f>
        <v/>
      </c>
      <c r="S2021" s="35" t="str" cm="1">
        <f t="array" ref="S2021">_xlfn.TEXTJOIN(", ",TRUE,_xlfn._xlws.FILTER(Tabla29[[#All],[PARTE]],ISNUMBER(SEARCH(Tabla29[[#All],[PCLAVE3]],Tabla8[[#This Row],[DESCRIPCION DE TRABAJO]])),""))</f>
        <v/>
      </c>
      <c r="T2021" s="88" t="str">
        <f>IF(AND(Tabla8[[#This Row],[PIEZA]]="",Tabla8[[#This Row],[PARTE]]=""),"VACIO","OK")</f>
        <v>VACIO</v>
      </c>
      <c r="U2021" s="633" t="str">
        <f>+CONCATENATE(WEEKNUM(Tabla8[[#This Row],[FECHA]]),"-",YEAR(Tabla8[[#This Row],[FECHA]]))</f>
        <v>27-2026</v>
      </c>
    </row>
    <row r="2022" spans="1:21" ht="15" customHeight="1">
      <c r="A2022" s="22">
        <v>46204</v>
      </c>
      <c r="B2022" s="16" t="s">
        <v>191</v>
      </c>
      <c r="C2022" s="16" t="s">
        <v>36</v>
      </c>
      <c r="D2022" s="381" t="s">
        <v>3541</v>
      </c>
      <c r="E2022" s="381" t="s">
        <v>1487</v>
      </c>
      <c r="F2022" s="632">
        <f>+MOD(Tabla8[[#This Row],[HR. FIN]]-Tabla8[[#This Row],[HR. INICIO]],1)</f>
        <v>1.1805555555555541E-2</v>
      </c>
      <c r="G2022" s="16" t="s">
        <v>215</v>
      </c>
      <c r="H2022" s="79" t="str">
        <f>IFERROR(VLOOKUP(G2022,DATOS!$M$2:$N$219,2,FALSE),"")</f>
        <v>Equipos auxiliares</v>
      </c>
      <c r="I2022" s="115" t="s">
        <v>54</v>
      </c>
      <c r="J2022" s="115" t="s">
        <v>157</v>
      </c>
      <c r="K2022" s="115"/>
      <c r="L2022" s="35" t="s">
        <v>248</v>
      </c>
      <c r="M2022" s="35" t="s">
        <v>121</v>
      </c>
      <c r="N2022" s="35" t="str" cm="1">
        <f t="array" ref="N2022">IFERROR(IF(Tabla8[[#This Row],[P/NP]]="NO PROGRAMADA","",_xlfn.TEXTJOIN(", ",TRUE,_xlfn._xlws.FILTER(Tabla4[[#All],[PIEZA]],ISNUMBER(SEARCH(Tabla4[[#All],[PCLAVE]],Tabla8[[#This Row],[DESCRIPCION DE TRABAJO]])),""))),"")</f>
        <v/>
      </c>
      <c r="O2022" s="35" t="str" cm="1">
        <f t="array" ref="O2022">_xlfn.TEXTJOIN(", ",TRUE,_xlfn._xlws.FILTER(Tabla28[[#All],[PARTE]],ISNUMBER(SEARCH(Tabla28[[#All],[PCLAVE2]],Tabla8[[#This Row],[DESCRIPCION DE TRABAJO]])),""))</f>
        <v/>
      </c>
      <c r="P2022" s="633" t="str">
        <f>IFERROR(LEFT(O2022, FIND(",", O2022)-1), O2022)</f>
        <v/>
      </c>
      <c r="Q2022" s="633" t="str">
        <f>IFERROR(IF(ISERROR(FIND(",", O2022, FIND(",", O2022)+1)), RIGHT(O2022, LEN(O2022)-FIND(",", O2022)-1), MID(O2022, FIND(",", O2022)+2, FIND(",", O2022, FIND(",", O2022)+1)-FIND(",", O2022)-2)), "")</f>
        <v/>
      </c>
      <c r="R2022" s="633" t="str">
        <f>IFERROR(RIGHT(O2022, LEN(O2022)-FIND(",", O2022, FIND(",", O2022)+1)-1), "")</f>
        <v/>
      </c>
      <c r="S2022" s="35" t="str" cm="1">
        <f t="array" ref="S2022">_xlfn.TEXTJOIN(", ",TRUE,_xlfn._xlws.FILTER(Tabla29[[#All],[PARTE]],ISNUMBER(SEARCH(Tabla29[[#All],[PCLAVE3]],Tabla8[[#This Row],[DESCRIPCION DE TRABAJO]])),""))</f>
        <v/>
      </c>
      <c r="T2022" s="88" t="str">
        <f>IF(AND(Tabla8[[#This Row],[PIEZA]]="",Tabla8[[#This Row],[PARTE]]=""),"VACIO","OK")</f>
        <v>VACIO</v>
      </c>
      <c r="U2022" s="633" t="str">
        <f>+CONCATENATE(WEEKNUM(Tabla8[[#This Row],[FECHA]]),"-",YEAR(Tabla8[[#This Row],[FECHA]]))</f>
        <v>27-2026</v>
      </c>
    </row>
    <row r="2023" spans="1:21" ht="15" customHeight="1">
      <c r="A2023" s="22">
        <v>46204</v>
      </c>
      <c r="B2023" s="16" t="s">
        <v>88</v>
      </c>
      <c r="C2023" s="16" t="s">
        <v>36</v>
      </c>
      <c r="D2023" s="381" t="s">
        <v>430</v>
      </c>
      <c r="E2023" s="381" t="s">
        <v>699</v>
      </c>
      <c r="F2023" s="632">
        <f>+MOD(Tabla8[[#This Row],[HR. FIN]]-Tabla8[[#This Row],[HR. INICIO]],1)</f>
        <v>1.0416666666666685E-2</v>
      </c>
      <c r="G2023" s="16" t="s">
        <v>169</v>
      </c>
      <c r="H2023" s="79" t="str">
        <f>IFERROR(VLOOKUP(G2023,DATOS!$M$2:$N$219,2,FALSE),"")</f>
        <v>Maquinaria</v>
      </c>
      <c r="I2023" s="115" t="s">
        <v>32</v>
      </c>
      <c r="J2023" s="115" t="s">
        <v>157</v>
      </c>
      <c r="K2023" s="115"/>
      <c r="L2023" s="35" t="s">
        <v>1593</v>
      </c>
      <c r="M2023" s="35" t="s">
        <v>1994</v>
      </c>
      <c r="N2023" s="35" t="str" cm="1">
        <f t="array" ref="N2023">IFERROR(IF(Tabla8[[#This Row],[P/NP]]="NO PROGRAMADA","",_xlfn.TEXTJOIN(", ",TRUE,_xlfn._xlws.FILTER(Tabla4[[#All],[PIEZA]],ISNUMBER(SEARCH(Tabla4[[#All],[PCLAVE]],Tabla8[[#This Row],[DESCRIPCION DE TRABAJO]])),""))),"")</f>
        <v/>
      </c>
      <c r="O2023" s="35" t="str" cm="1">
        <f t="array" ref="O2023">_xlfn.TEXTJOIN(", ",TRUE,_xlfn._xlws.FILTER(Tabla28[[#All],[PARTE]],ISNUMBER(SEARCH(Tabla28[[#All],[PCLAVE2]],Tabla8[[#This Row],[DESCRIPCION DE TRABAJO]])),""))</f>
        <v/>
      </c>
      <c r="P2023" s="633" t="str">
        <f>IFERROR(LEFT(O2023, FIND(",", O2023)-1), O2023)</f>
        <v/>
      </c>
      <c r="Q2023" s="633" t="str">
        <f>IFERROR(IF(ISERROR(FIND(",", O2023, FIND(",", O2023)+1)), RIGHT(O2023, LEN(O2023)-FIND(",", O2023)-1), MID(O2023, FIND(",", O2023)+2, FIND(",", O2023, FIND(",", O2023)+1)-FIND(",", O2023)-2)), "")</f>
        <v/>
      </c>
      <c r="R2023" s="633" t="str">
        <f>IFERROR(RIGHT(O2023, LEN(O2023)-FIND(",", O2023, FIND(",", O2023)+1)-1), "")</f>
        <v/>
      </c>
      <c r="S2023" s="35" t="str" cm="1">
        <f t="array" ref="S2023">_xlfn.TEXTJOIN(", ",TRUE,_xlfn._xlws.FILTER(Tabla29[[#All],[PARTE]],ISNUMBER(SEARCH(Tabla29[[#All],[PCLAVE3]],Tabla8[[#This Row],[DESCRIPCION DE TRABAJO]])),""))</f>
        <v/>
      </c>
      <c r="T2023" s="88" t="str">
        <f>IF(AND(Tabla8[[#This Row],[PIEZA]]="",Tabla8[[#This Row],[PARTE]]=""),"VACIO","OK")</f>
        <v>VACIO</v>
      </c>
      <c r="U2023" s="633" t="str">
        <f>+CONCATENATE(WEEKNUM(Tabla8[[#This Row],[FECHA]]),"-",YEAR(Tabla8[[#This Row],[FECHA]]))</f>
        <v>27-2026</v>
      </c>
    </row>
    <row r="2024" spans="1:21" ht="15" customHeight="1">
      <c r="A2024" s="22">
        <v>46204</v>
      </c>
      <c r="B2024" s="16" t="s">
        <v>88</v>
      </c>
      <c r="C2024" s="16" t="s">
        <v>36</v>
      </c>
      <c r="D2024" s="381" t="s">
        <v>1529</v>
      </c>
      <c r="E2024" s="381" t="s">
        <v>556</v>
      </c>
      <c r="F2024" s="632">
        <f>+MOD(Tabla8[[#This Row],[HR. FIN]]-Tabla8[[#This Row],[HR. INICIO]],1)</f>
        <v>1.0416666666666685E-2</v>
      </c>
      <c r="G2024" s="16" t="s">
        <v>508</v>
      </c>
      <c r="H2024" s="79" t="str">
        <f>IFERROR(VLOOKUP(G2024,DATOS!$M$2:$N$219,2,FALSE),"")</f>
        <v>Maquinaria</v>
      </c>
      <c r="I2024" s="115" t="s">
        <v>43</v>
      </c>
      <c r="J2024" s="115" t="s">
        <v>92</v>
      </c>
      <c r="K2024" s="115" t="s">
        <v>148</v>
      </c>
      <c r="L2024" s="35" t="s">
        <v>3542</v>
      </c>
      <c r="M2024" s="35" t="s">
        <v>3543</v>
      </c>
      <c r="N2024" s="35" t="str" cm="1">
        <f t="array" ref="N2024">IFERROR(IF(Tabla8[[#This Row],[P/NP]]="NO PROGRAMADA","",_xlfn.TEXTJOIN(", ",TRUE,_xlfn._xlws.FILTER(Tabla4[[#All],[PIEZA]],ISNUMBER(SEARCH(Tabla4[[#All],[PCLAVE]],Tabla8[[#This Row],[DESCRIPCION DE TRABAJO]])),""))),"")</f>
        <v/>
      </c>
      <c r="O2024" s="35" t="str" cm="1">
        <f t="array" ref="O2024">_xlfn.TEXTJOIN(", ",TRUE,_xlfn._xlws.FILTER(Tabla28[[#All],[PARTE]],ISNUMBER(SEARCH(Tabla28[[#All],[PCLAVE2]],Tabla8[[#This Row],[DESCRIPCION DE TRABAJO]])),""))</f>
        <v>Temperadora</v>
      </c>
      <c r="P2024" s="633" t="str">
        <f>IFERROR(LEFT(O2024, FIND(",", O2024)-1), O2024)</f>
        <v>Temperadora</v>
      </c>
      <c r="Q2024" s="633" t="str">
        <f>IFERROR(IF(ISERROR(FIND(",", O2024, FIND(",", O2024)+1)), RIGHT(O2024, LEN(O2024)-FIND(",", O2024)-1), MID(O2024, FIND(",", O2024)+2, FIND(",", O2024, FIND(",", O2024)+1)-FIND(",", O2024)-2)), "")</f>
        <v/>
      </c>
      <c r="R2024" s="633" t="str">
        <f>IFERROR(RIGHT(O2024, LEN(O2024)-FIND(",", O2024, FIND(",", O2024)+1)-1), "")</f>
        <v/>
      </c>
      <c r="S2024" s="35" t="str" cm="1">
        <f t="array" ref="S2024">_xlfn.TEXTJOIN(", ",TRUE,_xlfn._xlws.FILTER(Tabla29[[#All],[PARTE]],ISNUMBER(SEARCH(Tabla29[[#All],[PCLAVE3]],Tabla8[[#This Row],[DESCRIPCION DE TRABAJO]])),""))</f>
        <v>No Enciende</v>
      </c>
      <c r="T2024" s="88" t="str">
        <f>IF(AND(Tabla8[[#This Row],[PIEZA]]="",Tabla8[[#This Row],[PARTE]]=""),"VACIO","OK")</f>
        <v>OK</v>
      </c>
      <c r="U2024" s="633" t="str">
        <f>+CONCATENATE(WEEKNUM(Tabla8[[#This Row],[FECHA]]),"-",YEAR(Tabla8[[#This Row],[FECHA]]))</f>
        <v>27-2026</v>
      </c>
    </row>
    <row r="2025" spans="1:21" ht="15" customHeight="1">
      <c r="A2025" s="22">
        <v>46204</v>
      </c>
      <c r="B2025" s="16" t="s">
        <v>88</v>
      </c>
      <c r="C2025" s="16" t="s">
        <v>36</v>
      </c>
      <c r="D2025" s="381" t="s">
        <v>403</v>
      </c>
      <c r="E2025" s="381" t="s">
        <v>97</v>
      </c>
      <c r="F2025" s="632">
        <f>+MOD(Tabla8[[#This Row],[HR. FIN]]-Tabla8[[#This Row],[HR. INICIO]],1)</f>
        <v>1.041666666666663E-2</v>
      </c>
      <c r="G2025" s="16" t="s">
        <v>222</v>
      </c>
      <c r="H2025" s="79" t="str">
        <f>IFERROR(VLOOKUP(G2025,DATOS!$M$2:$N$219,2,FALSE),"")</f>
        <v>Maquinaria</v>
      </c>
      <c r="I2025" s="115" t="s">
        <v>57</v>
      </c>
      <c r="J2025" s="115" t="s">
        <v>92</v>
      </c>
      <c r="K2025" s="115" t="s">
        <v>93</v>
      </c>
      <c r="L2025" s="35" t="s">
        <v>3544</v>
      </c>
      <c r="M2025" s="35" t="s">
        <v>3545</v>
      </c>
      <c r="N2025" s="35" t="str" cm="1">
        <f t="array" ref="N2025">IFERROR(IF(Tabla8[[#This Row],[P/NP]]="NO PROGRAMADA","",_xlfn.TEXTJOIN(", ",TRUE,_xlfn._xlws.FILTER(Tabla4[[#All],[PIEZA]],ISNUMBER(SEARCH(Tabla4[[#All],[PCLAVE]],Tabla8[[#This Row],[DESCRIPCION DE TRABAJO]])),""))),"")</f>
        <v/>
      </c>
      <c r="O2025" s="35" t="str" cm="1">
        <f t="array" ref="O2025">_xlfn.TEXTJOIN(", ",TRUE,_xlfn._xlws.FILTER(Tabla28[[#All],[PARTE]],ISNUMBER(SEARCH(Tabla28[[#All],[PCLAVE2]],Tabla8[[#This Row],[DESCRIPCION DE TRABAJO]])),""))</f>
        <v/>
      </c>
      <c r="P2025" s="633" t="str">
        <f>IFERROR(LEFT(O2025, FIND(",", O2025)-1), O2025)</f>
        <v/>
      </c>
      <c r="Q2025" s="633" t="str">
        <f>IFERROR(IF(ISERROR(FIND(",", O2025, FIND(",", O2025)+1)), RIGHT(O2025, LEN(O2025)-FIND(",", O2025)-1), MID(O2025, FIND(",", O2025)+2, FIND(",", O2025, FIND(",", O2025)+1)-FIND(",", O2025)-2)), "")</f>
        <v/>
      </c>
      <c r="R2025" s="633" t="str">
        <f>IFERROR(RIGHT(O2025, LEN(O2025)-FIND(",", O2025, FIND(",", O2025)+1)-1), "")</f>
        <v/>
      </c>
      <c r="S2025" s="35" t="str" cm="1">
        <f t="array" ref="S2025">_xlfn.TEXTJOIN(", ",TRUE,_xlfn._xlws.FILTER(Tabla29[[#All],[PARTE]],ISNUMBER(SEARCH(Tabla29[[#All],[PCLAVE3]],Tabla8[[#This Row],[DESCRIPCION DE TRABAJO]])),""))</f>
        <v>Juntos</v>
      </c>
      <c r="T2025" s="88" t="str">
        <f>IF(AND(Tabla8[[#This Row],[PIEZA]]="",Tabla8[[#This Row],[PARTE]]=""),"VACIO","OK")</f>
        <v>VACIO</v>
      </c>
      <c r="U2025" s="633" t="str">
        <f>+CONCATENATE(WEEKNUM(Tabla8[[#This Row],[FECHA]]),"-",YEAR(Tabla8[[#This Row],[FECHA]]))</f>
        <v>27-2026</v>
      </c>
    </row>
    <row r="2026" spans="1:21" ht="15" customHeight="1">
      <c r="A2026" s="22">
        <v>46204</v>
      </c>
      <c r="B2026" s="16" t="s">
        <v>111</v>
      </c>
      <c r="C2026" s="16" t="s">
        <v>23</v>
      </c>
      <c r="D2026" s="381">
        <v>0.54861111111111116</v>
      </c>
      <c r="E2026" s="381">
        <v>0.5625</v>
      </c>
      <c r="F2026" s="632">
        <f>+MOD(Tabla8[[#This Row],[HR. FIN]]-Tabla8[[#This Row],[HR. INICIO]],1)</f>
        <v>1.388888888888884E-2</v>
      </c>
      <c r="G2026" s="16" t="s">
        <v>103</v>
      </c>
      <c r="H2026" s="79" t="str">
        <f>IFERROR(VLOOKUP(G2026,DATOS!$M$2:$N$219,2,FALSE),"")</f>
        <v>Area</v>
      </c>
      <c r="I2026" s="115" t="s">
        <v>54</v>
      </c>
      <c r="J2026" s="115" t="s">
        <v>157</v>
      </c>
      <c r="K2026" s="115"/>
      <c r="L2026" s="35" t="s">
        <v>3546</v>
      </c>
      <c r="M2026" s="35" t="s">
        <v>121</v>
      </c>
      <c r="N2026" s="35" t="str" cm="1">
        <f t="array" ref="N2026">IFERROR(IF(Tabla8[[#This Row],[P/NP]]="NO PROGRAMADA","",_xlfn.TEXTJOIN(", ",TRUE,_xlfn._xlws.FILTER(Tabla4[[#All],[PIEZA]],ISNUMBER(SEARCH(Tabla4[[#All],[PCLAVE]],Tabla8[[#This Row],[DESCRIPCION DE TRABAJO]])),""))),"")</f>
        <v/>
      </c>
      <c r="O2026" s="35" t="str" cm="1">
        <f t="array" ref="O2026">_xlfn.TEXTJOIN(", ",TRUE,_xlfn._xlws.FILTER(Tabla28[[#All],[PARTE]],ISNUMBER(SEARCH(Tabla28[[#All],[PCLAVE2]],Tabla8[[#This Row],[DESCRIPCION DE TRABAJO]])),""))</f>
        <v/>
      </c>
      <c r="P2026" s="633" t="str">
        <f t="shared" ref="P2026:P2070" si="0">IFERROR(LEFT(O2026, FIND(",", O2026)-1), O2026)</f>
        <v/>
      </c>
      <c r="Q2026" s="633" t="str">
        <f t="shared" ref="Q2026:Q2070" si="1">IFERROR(IF(ISERROR(FIND(",", O2026, FIND(",", O2026)+1)), RIGHT(O2026, LEN(O2026)-FIND(",", O2026)-1), MID(O2026, FIND(",", O2026)+2, FIND(",", O2026, FIND(",", O2026)+1)-FIND(",", O2026)-2)), "")</f>
        <v/>
      </c>
      <c r="R2026" s="633" t="str">
        <f t="shared" ref="R2026:R2070" si="2">IFERROR(RIGHT(O2026, LEN(O2026)-FIND(",", O2026, FIND(",", O2026)+1)-1), "")</f>
        <v/>
      </c>
      <c r="S2026" s="35" t="str" cm="1">
        <f t="array" ref="S2026">_xlfn.TEXTJOIN(", ",TRUE,_xlfn._xlws.FILTER(Tabla29[[#All],[PARTE]],ISNUMBER(SEARCH(Tabla29[[#All],[PCLAVE3]],Tabla8[[#This Row],[DESCRIPCION DE TRABAJO]])),""))</f>
        <v/>
      </c>
      <c r="T2026" s="88" t="str">
        <f>IF(AND(Tabla8[[#This Row],[PIEZA]]="",Tabla8[[#This Row],[PARTE]]=""),"VACIO","OK")</f>
        <v>VACIO</v>
      </c>
      <c r="U2026" s="633" t="str">
        <f>+CONCATENATE(WEEKNUM(Tabla8[[#This Row],[FECHA]]),"-",YEAR(Tabla8[[#This Row],[FECHA]]))</f>
        <v>27-2026</v>
      </c>
    </row>
    <row r="2027" spans="1:21" ht="15" customHeight="1">
      <c r="A2027" s="22">
        <v>46204</v>
      </c>
      <c r="B2027" s="16" t="s">
        <v>111</v>
      </c>
      <c r="C2027" s="16" t="s">
        <v>23</v>
      </c>
      <c r="D2027" s="381">
        <v>0.56597222222222221</v>
      </c>
      <c r="E2027" s="381">
        <v>0.58333333333333337</v>
      </c>
      <c r="F2027" s="632">
        <f>+MOD(Tabla8[[#This Row],[HR. FIN]]-Tabla8[[#This Row],[HR. INICIO]],1)</f>
        <v>1.736111111111116E-2</v>
      </c>
      <c r="G2027" s="16" t="s">
        <v>3242</v>
      </c>
      <c r="H2027" s="79" t="str">
        <f>IFERROR(VLOOKUP(G2027,DATOS!$M$2:$N$219,2,FALSE),"")</f>
        <v>Area</v>
      </c>
      <c r="I2027" s="115" t="s">
        <v>405</v>
      </c>
      <c r="J2027" s="115" t="s">
        <v>157</v>
      </c>
      <c r="K2027" s="115"/>
      <c r="L2027" s="35" t="s">
        <v>3547</v>
      </c>
      <c r="M2027" s="35" t="s">
        <v>121</v>
      </c>
      <c r="N2027" s="35" t="str" cm="1">
        <f t="array" ref="N2027">IFERROR(IF(Tabla8[[#This Row],[P/NP]]="NO PROGRAMADA","",_xlfn.TEXTJOIN(", ",TRUE,_xlfn._xlws.FILTER(Tabla4[[#All],[PIEZA]],ISNUMBER(SEARCH(Tabla4[[#All],[PCLAVE]],Tabla8[[#This Row],[DESCRIPCION DE TRABAJO]])),""))),"")</f>
        <v>Dispensador</v>
      </c>
      <c r="O2027" s="35" t="str" cm="1">
        <f t="array" ref="O2027">_xlfn.TEXTJOIN(", ",TRUE,_xlfn._xlws.FILTER(Tabla28[[#All],[PARTE]],ISNUMBER(SEARCH(Tabla28[[#All],[PCLAVE2]],Tabla8[[#This Row],[DESCRIPCION DE TRABAJO]])),""))</f>
        <v/>
      </c>
      <c r="P2027" s="633" t="str">
        <f t="shared" si="0"/>
        <v/>
      </c>
      <c r="Q2027" s="633" t="str">
        <f t="shared" si="1"/>
        <v/>
      </c>
      <c r="R2027" s="633" t="str">
        <f t="shared" si="2"/>
        <v/>
      </c>
      <c r="S2027" s="35" t="str" cm="1">
        <f t="array" ref="S2027">_xlfn.TEXTJOIN(", ",TRUE,_xlfn._xlws.FILTER(Tabla29[[#All],[PARTE]],ISNUMBER(SEARCH(Tabla29[[#All],[PCLAVE3]],Tabla8[[#This Row],[DESCRIPCION DE TRABAJO]])),""))</f>
        <v/>
      </c>
      <c r="T2027" s="88" t="str">
        <f>IF(AND(Tabla8[[#This Row],[PIEZA]]="",Tabla8[[#This Row],[PARTE]]=""),"VACIO","OK")</f>
        <v>OK</v>
      </c>
      <c r="U2027" s="633" t="str">
        <f>+CONCATENATE(WEEKNUM(Tabla8[[#This Row],[FECHA]]),"-",YEAR(Tabla8[[#This Row],[FECHA]]))</f>
        <v>27-2026</v>
      </c>
    </row>
    <row r="2028" spans="1:21" ht="15" customHeight="1">
      <c r="A2028" s="22">
        <v>46204</v>
      </c>
      <c r="B2028" s="16" t="s">
        <v>111</v>
      </c>
      <c r="C2028" s="16" t="s">
        <v>23</v>
      </c>
      <c r="D2028" s="381">
        <v>0.59722222222222221</v>
      </c>
      <c r="E2028" s="381">
        <v>0.64583333333333337</v>
      </c>
      <c r="F2028" s="632">
        <f>+MOD(Tabla8[[#This Row],[HR. FIN]]-Tabla8[[#This Row],[HR. INICIO]],1)</f>
        <v>4.861111111111116E-2</v>
      </c>
      <c r="G2028" s="16" t="s">
        <v>119</v>
      </c>
      <c r="H2028" s="79" t="str">
        <f>IFERROR(VLOOKUP(G2028,DATOS!$M$2:$N$219,2,FALSE),"")</f>
        <v>Maquinaria</v>
      </c>
      <c r="I2028" s="115" t="s">
        <v>32</v>
      </c>
      <c r="J2028" s="115" t="s">
        <v>157</v>
      </c>
      <c r="K2028" s="115"/>
      <c r="L2028" s="35" t="s">
        <v>3548</v>
      </c>
      <c r="M2028" s="35" t="s">
        <v>3549</v>
      </c>
      <c r="N2028" s="35" t="str" cm="1">
        <f t="array" ref="N2028">IFERROR(IF(Tabla8[[#This Row],[P/NP]]="NO PROGRAMADA","",_xlfn.TEXTJOIN(", ",TRUE,_xlfn._xlws.FILTER(Tabla4[[#All],[PIEZA]],ISNUMBER(SEARCH(Tabla4[[#All],[PCLAVE]],Tabla8[[#This Row],[DESCRIPCION DE TRABAJO]])),""))),"")</f>
        <v/>
      </c>
      <c r="O2028" s="35" t="str" cm="1">
        <f t="array" ref="O2028">_xlfn.TEXTJOIN(", ",TRUE,_xlfn._xlws.FILTER(Tabla28[[#All],[PARTE]],ISNUMBER(SEARCH(Tabla28[[#All],[PCLAVE2]],Tabla8[[#This Row],[DESCRIPCION DE TRABAJO]])),""))</f>
        <v/>
      </c>
      <c r="P2028" s="633" t="str">
        <f t="shared" si="0"/>
        <v/>
      </c>
      <c r="Q2028" s="633" t="str">
        <f t="shared" si="1"/>
        <v/>
      </c>
      <c r="R2028" s="633" t="str">
        <f t="shared" si="2"/>
        <v/>
      </c>
      <c r="S2028" s="35" t="str" cm="1">
        <f t="array" ref="S2028">_xlfn.TEXTJOIN(", ",TRUE,_xlfn._xlws.FILTER(Tabla29[[#All],[PARTE]],ISNUMBER(SEARCH(Tabla29[[#All],[PCLAVE3]],Tabla8[[#This Row],[DESCRIPCION DE TRABAJO]])),""))</f>
        <v>Cambio De Formato</v>
      </c>
      <c r="T2028" s="88" t="str">
        <f>IF(AND(Tabla8[[#This Row],[PIEZA]]="",Tabla8[[#This Row],[PARTE]]=""),"VACIO","OK")</f>
        <v>VACIO</v>
      </c>
      <c r="U2028" s="633" t="str">
        <f>+CONCATENATE(WEEKNUM(Tabla8[[#This Row],[FECHA]]),"-",YEAR(Tabla8[[#This Row],[FECHA]]))</f>
        <v>27-2026</v>
      </c>
    </row>
    <row r="2029" spans="1:21" ht="15" customHeight="1">
      <c r="A2029" s="22">
        <v>46204</v>
      </c>
      <c r="B2029" s="16" t="s">
        <v>111</v>
      </c>
      <c r="C2029" s="16" t="s">
        <v>23</v>
      </c>
      <c r="D2029" s="381">
        <v>0.65277777777777779</v>
      </c>
      <c r="E2029" s="381">
        <v>0.66666666666666663</v>
      </c>
      <c r="F2029" s="632">
        <f>+MOD(Tabla8[[#This Row],[HR. FIN]]-Tabla8[[#This Row],[HR. INICIO]],1)</f>
        <v>1.388888888888884E-2</v>
      </c>
      <c r="G2029" s="16" t="s">
        <v>1470</v>
      </c>
      <c r="H2029" s="79" t="str">
        <f>IFERROR(VLOOKUP(G2029,DATOS!$M$2:$N$219,2,FALSE),"")</f>
        <v>Maquinaria</v>
      </c>
      <c r="I2029" s="115" t="s">
        <v>54</v>
      </c>
      <c r="J2029" s="115" t="s">
        <v>157</v>
      </c>
      <c r="K2029" s="115"/>
      <c r="L2029" s="35" t="s">
        <v>225</v>
      </c>
      <c r="M2029" s="35" t="s">
        <v>121</v>
      </c>
      <c r="N2029" s="35" t="str" cm="1">
        <f t="array" ref="N2029">IFERROR(IF(Tabla8[[#This Row],[P/NP]]="NO PROGRAMADA","",_xlfn.TEXTJOIN(", ",TRUE,_xlfn._xlws.FILTER(Tabla4[[#All],[PIEZA]],ISNUMBER(SEARCH(Tabla4[[#All],[PCLAVE]],Tabla8[[#This Row],[DESCRIPCION DE TRABAJO]])),""))),"")</f>
        <v/>
      </c>
      <c r="O2029" s="35" t="str" cm="1">
        <f t="array" ref="O2029">_xlfn.TEXTJOIN(", ",TRUE,_xlfn._xlws.FILTER(Tabla28[[#All],[PARTE]],ISNUMBER(SEARCH(Tabla28[[#All],[PCLAVE2]],Tabla8[[#This Row],[DESCRIPCION DE TRABAJO]])),""))</f>
        <v/>
      </c>
      <c r="P2029" s="633" t="str">
        <f t="shared" si="0"/>
        <v/>
      </c>
      <c r="Q2029" s="633" t="str">
        <f t="shared" si="1"/>
        <v/>
      </c>
      <c r="R2029" s="633" t="str">
        <f t="shared" si="2"/>
        <v/>
      </c>
      <c r="S2029" s="35" t="str" cm="1">
        <f t="array" ref="S2029">_xlfn.TEXTJOIN(", ",TRUE,_xlfn._xlws.FILTER(Tabla29[[#All],[PARTE]],ISNUMBER(SEARCH(Tabla29[[#All],[PCLAVE3]],Tabla8[[#This Row],[DESCRIPCION DE TRABAJO]])),""))</f>
        <v/>
      </c>
      <c r="T2029" s="88" t="str">
        <f>IF(AND(Tabla8[[#This Row],[PIEZA]]="",Tabla8[[#This Row],[PARTE]]=""),"VACIO","OK")</f>
        <v>VACIO</v>
      </c>
      <c r="U2029" s="633" t="str">
        <f>+CONCATENATE(WEEKNUM(Tabla8[[#This Row],[FECHA]]),"-",YEAR(Tabla8[[#This Row],[FECHA]]))</f>
        <v>27-2026</v>
      </c>
    </row>
    <row r="2030" spans="1:21" ht="15" customHeight="1">
      <c r="A2030" s="22">
        <v>46204</v>
      </c>
      <c r="B2030" s="16" t="s">
        <v>111</v>
      </c>
      <c r="C2030" s="16" t="s">
        <v>23</v>
      </c>
      <c r="D2030" s="381">
        <v>0.67361111111111116</v>
      </c>
      <c r="E2030" s="381">
        <v>0.72916666666666663</v>
      </c>
      <c r="F2030" s="632">
        <f>+MOD(Tabla8[[#This Row],[HR. FIN]]-Tabla8[[#This Row],[HR. INICIO]],1)</f>
        <v>5.5555555555555469E-2</v>
      </c>
      <c r="G2030" s="16" t="s">
        <v>328</v>
      </c>
      <c r="H2030" s="79" t="str">
        <f>IFERROR(VLOOKUP(G2030,DATOS!$M$2:$N$219,2,FALSE),"")</f>
        <v>Area</v>
      </c>
      <c r="I2030" s="115" t="s">
        <v>61</v>
      </c>
      <c r="J2030" s="115" t="s">
        <v>157</v>
      </c>
      <c r="K2030" s="115"/>
      <c r="L2030" s="35" t="s">
        <v>3550</v>
      </c>
      <c r="M2030" s="35" t="s">
        <v>121</v>
      </c>
      <c r="N2030" s="35" t="str" cm="1">
        <f t="array" ref="N2030">IFERROR(IF(Tabla8[[#This Row],[P/NP]]="NO PROGRAMADA","",_xlfn.TEXTJOIN(", ",TRUE,_xlfn._xlws.FILTER(Tabla4[[#All],[PIEZA]],ISNUMBER(SEARCH(Tabla4[[#All],[PCLAVE]],Tabla8[[#This Row],[DESCRIPCION DE TRABAJO]])),""))),"")</f>
        <v/>
      </c>
      <c r="O2030" s="35" t="str" cm="1">
        <f t="array" ref="O2030">_xlfn.TEXTJOIN(", ",TRUE,_xlfn._xlws.FILTER(Tabla28[[#All],[PARTE]],ISNUMBER(SEARCH(Tabla28[[#All],[PCLAVE2]],Tabla8[[#This Row],[DESCRIPCION DE TRABAJO]])),""))</f>
        <v/>
      </c>
      <c r="P2030" s="633" t="str">
        <f t="shared" si="0"/>
        <v/>
      </c>
      <c r="Q2030" s="633" t="str">
        <f t="shared" si="1"/>
        <v/>
      </c>
      <c r="R2030" s="633" t="str">
        <f t="shared" si="2"/>
        <v/>
      </c>
      <c r="S2030" s="35" t="str" cm="1">
        <f t="array" ref="S2030">_xlfn.TEXTJOIN(", ",TRUE,_xlfn._xlws.FILTER(Tabla29[[#All],[PARTE]],ISNUMBER(SEARCH(Tabla29[[#All],[PCLAVE3]],Tabla8[[#This Row],[DESCRIPCION DE TRABAJO]])),""))</f>
        <v/>
      </c>
      <c r="T2030" s="88" t="str">
        <f>IF(AND(Tabla8[[#This Row],[PIEZA]]="",Tabla8[[#This Row],[PARTE]]=""),"VACIO","OK")</f>
        <v>VACIO</v>
      </c>
      <c r="U2030" s="633" t="str">
        <f>+CONCATENATE(WEEKNUM(Tabla8[[#This Row],[FECHA]]),"-",YEAR(Tabla8[[#This Row],[FECHA]]))</f>
        <v>27-2026</v>
      </c>
    </row>
    <row r="2031" spans="1:21" ht="15" customHeight="1">
      <c r="A2031" s="22">
        <v>46204</v>
      </c>
      <c r="B2031" s="16" t="s">
        <v>111</v>
      </c>
      <c r="C2031" s="16" t="s">
        <v>23</v>
      </c>
      <c r="D2031" s="381">
        <v>0.77430555555555558</v>
      </c>
      <c r="E2031" s="381">
        <v>0.79166666666666663</v>
      </c>
      <c r="F2031" s="632">
        <f>+MOD(Tabla8[[#This Row],[HR. FIN]]-Tabla8[[#This Row],[HR. INICIO]],1)</f>
        <v>1.7361111111111049E-2</v>
      </c>
      <c r="G2031" s="16" t="s">
        <v>182</v>
      </c>
      <c r="H2031" s="79" t="str">
        <f>IFERROR(VLOOKUP(G2031,DATOS!$M$2:$N$219,2,FALSE),"")</f>
        <v>Maquinaria</v>
      </c>
      <c r="I2031" s="115" t="s">
        <v>57</v>
      </c>
      <c r="J2031" s="115" t="s">
        <v>92</v>
      </c>
      <c r="K2031" s="115" t="s">
        <v>93</v>
      </c>
      <c r="L2031" s="35" t="s">
        <v>3551</v>
      </c>
      <c r="M2031" s="35" t="s">
        <v>3552</v>
      </c>
      <c r="N2031" s="35" t="str" cm="1">
        <f t="array" ref="N2031">IFERROR(IF(Tabla8[[#This Row],[P/NP]]="NO PROGRAMADA","",_xlfn.TEXTJOIN(", ",TRUE,_xlfn._xlws.FILTER(Tabla4[[#All],[PIEZA]],ISNUMBER(SEARCH(Tabla4[[#All],[PCLAVE]],Tabla8[[#This Row],[DESCRIPCION DE TRABAJO]])),""))),"")</f>
        <v/>
      </c>
      <c r="O2031" s="35" t="str" cm="1">
        <f t="array" ref="O2031">_xlfn.TEXTJOIN(", ",TRUE,_xlfn._xlws.FILTER(Tabla28[[#All],[PARTE]],ISNUMBER(SEARCH(Tabla28[[#All],[PCLAVE2]],Tabla8[[#This Row],[DESCRIPCION DE TRABAJO]])),""))</f>
        <v/>
      </c>
      <c r="P2031" s="633" t="str">
        <f t="shared" si="0"/>
        <v/>
      </c>
      <c r="Q2031" s="633" t="str">
        <f t="shared" si="1"/>
        <v/>
      </c>
      <c r="R2031" s="633" t="str">
        <f t="shared" si="2"/>
        <v/>
      </c>
      <c r="S2031" s="35" t="str" cm="1">
        <f t="array" ref="S2031">_xlfn.TEXTJOIN(", ",TRUE,_xlfn._xlws.FILTER(Tabla29[[#All],[PARTE]],ISNUMBER(SEARCH(Tabla29[[#All],[PCLAVE3]],Tabla8[[#This Row],[DESCRIPCION DE TRABAJO]])),""))</f>
        <v>Se Pegan</v>
      </c>
      <c r="T2031" s="88" t="str">
        <f>IF(AND(Tabla8[[#This Row],[PIEZA]]="",Tabla8[[#This Row],[PARTE]]=""),"VACIO","OK")</f>
        <v>VACIO</v>
      </c>
      <c r="U2031" s="633" t="str">
        <f>+CONCATENATE(WEEKNUM(Tabla8[[#This Row],[FECHA]]),"-",YEAR(Tabla8[[#This Row],[FECHA]]))</f>
        <v>27-2026</v>
      </c>
    </row>
    <row r="2032" spans="1:21" ht="15" customHeight="1">
      <c r="A2032" s="22">
        <v>46204</v>
      </c>
      <c r="B2032" s="16" t="s">
        <v>179</v>
      </c>
      <c r="C2032" s="16" t="s">
        <v>23</v>
      </c>
      <c r="D2032" s="381">
        <v>0.52777777777777779</v>
      </c>
      <c r="E2032" s="381">
        <v>0.54861111111111116</v>
      </c>
      <c r="F2032" s="632">
        <f>+MOD(Tabla8[[#This Row],[HR. FIN]]-Tabla8[[#This Row],[HR. INICIO]],1)</f>
        <v>2.083333333333337E-2</v>
      </c>
      <c r="G2032" s="16" t="s">
        <v>215</v>
      </c>
      <c r="H2032" s="79" t="str">
        <f>IFERROR(VLOOKUP(G2032,DATOS!$M$2:$N$219,2,FALSE),"")</f>
        <v>Equipos auxiliares</v>
      </c>
      <c r="I2032" s="115" t="s">
        <v>54</v>
      </c>
      <c r="J2032" s="115" t="s">
        <v>157</v>
      </c>
      <c r="K2032" s="115"/>
      <c r="L2032" s="35" t="s">
        <v>3553</v>
      </c>
      <c r="M2032" s="35" t="s">
        <v>121</v>
      </c>
      <c r="N2032" s="35" t="str" cm="1">
        <f t="array" ref="N2032">IFERROR(IF(Tabla8[[#This Row],[P/NP]]="NO PROGRAMADA","",_xlfn.TEXTJOIN(", ",TRUE,_xlfn._xlws.FILTER(Tabla4[[#All],[PIEZA]],ISNUMBER(SEARCH(Tabla4[[#All],[PCLAVE]],Tabla8[[#This Row],[DESCRIPCION DE TRABAJO]])),""))),"")</f>
        <v/>
      </c>
      <c r="O2032" s="35" t="str" cm="1">
        <f t="array" ref="O2032">_xlfn.TEXTJOIN(", ",TRUE,_xlfn._xlws.FILTER(Tabla28[[#All],[PARTE]],ISNUMBER(SEARCH(Tabla28[[#All],[PCLAVE2]],Tabla8[[#This Row],[DESCRIPCION DE TRABAJO]])),""))</f>
        <v/>
      </c>
      <c r="P2032" s="633" t="str">
        <f t="shared" si="0"/>
        <v/>
      </c>
      <c r="Q2032" s="633" t="str">
        <f t="shared" si="1"/>
        <v/>
      </c>
      <c r="R2032" s="633" t="str">
        <f t="shared" si="2"/>
        <v/>
      </c>
      <c r="S2032" s="35" t="str" cm="1">
        <f t="array" ref="S2032">_xlfn.TEXTJOIN(", ",TRUE,_xlfn._xlws.FILTER(Tabla29[[#All],[PARTE]],ISNUMBER(SEARCH(Tabla29[[#All],[PCLAVE3]],Tabla8[[#This Row],[DESCRIPCION DE TRABAJO]])),""))</f>
        <v/>
      </c>
      <c r="T2032" s="88" t="str">
        <f>IF(AND(Tabla8[[#This Row],[PIEZA]]="",Tabla8[[#This Row],[PARTE]]=""),"VACIO","OK")</f>
        <v>VACIO</v>
      </c>
      <c r="U2032" s="633" t="str">
        <f>+CONCATENATE(WEEKNUM(Tabla8[[#This Row],[FECHA]]),"-",YEAR(Tabla8[[#This Row],[FECHA]]))</f>
        <v>27-2026</v>
      </c>
    </row>
    <row r="2033" spans="1:21" ht="15" customHeight="1">
      <c r="A2033" s="22">
        <v>46204</v>
      </c>
      <c r="B2033" s="16" t="s">
        <v>111</v>
      </c>
      <c r="C2033" s="16" t="s">
        <v>23</v>
      </c>
      <c r="D2033" s="381">
        <v>0.79861111111111116</v>
      </c>
      <c r="E2033" s="381">
        <v>0.85416666666666663</v>
      </c>
      <c r="F2033" s="632">
        <f>+MOD(Tabla8[[#This Row],[HR. FIN]]-Tabla8[[#This Row],[HR. INICIO]],1)</f>
        <v>5.5555555555555469E-2</v>
      </c>
      <c r="G2033" s="16" t="s">
        <v>24</v>
      </c>
      <c r="H2033" s="79" t="str">
        <f>IFERROR(VLOOKUP(G2033,DATOS!$M$2:$N$219,2,FALSE),"")</f>
        <v>Maquinaria</v>
      </c>
      <c r="I2033" s="115" t="s">
        <v>43</v>
      </c>
      <c r="J2033" s="115" t="s">
        <v>157</v>
      </c>
      <c r="K2033" s="115"/>
      <c r="L2033" s="35" t="s">
        <v>3554</v>
      </c>
      <c r="M2033" s="35" t="s">
        <v>121</v>
      </c>
      <c r="N2033" s="35" t="str" cm="1">
        <f t="array" ref="N2033">IFERROR(IF(Tabla8[[#This Row],[P/NP]]="NO PROGRAMADA","",_xlfn.TEXTJOIN(", ",TRUE,_xlfn._xlws.FILTER(Tabla4[[#All],[PIEZA]],ISNUMBER(SEARCH(Tabla4[[#All],[PCLAVE]],Tabla8[[#This Row],[DESCRIPCION DE TRABAJO]])),""))),"")</f>
        <v/>
      </c>
      <c r="O2033" s="35" t="str" cm="1">
        <f t="array" ref="O2033">_xlfn.TEXTJOIN(", ",TRUE,_xlfn._xlws.FILTER(Tabla28[[#All],[PARTE]],ISNUMBER(SEARCH(Tabla28[[#All],[PCLAVE2]],Tabla8[[#This Row],[DESCRIPCION DE TRABAJO]])),""))</f>
        <v/>
      </c>
      <c r="P2033" s="633" t="str">
        <f t="shared" si="0"/>
        <v/>
      </c>
      <c r="Q2033" s="633" t="str">
        <f t="shared" si="1"/>
        <v/>
      </c>
      <c r="R2033" s="633" t="str">
        <f t="shared" si="2"/>
        <v/>
      </c>
      <c r="S2033" s="35" t="str" cm="1">
        <f t="array" ref="S2033">_xlfn.TEXTJOIN(", ",TRUE,_xlfn._xlws.FILTER(Tabla29[[#All],[PARTE]],ISNUMBER(SEARCH(Tabla29[[#All],[PCLAVE3]],Tabla8[[#This Row],[DESCRIPCION DE TRABAJO]])),""))</f>
        <v/>
      </c>
      <c r="T2033" s="88" t="str">
        <f>IF(AND(Tabla8[[#This Row],[PIEZA]]="",Tabla8[[#This Row],[PARTE]]=""),"VACIO","OK")</f>
        <v>VACIO</v>
      </c>
      <c r="U2033" s="633" t="str">
        <f>+CONCATENATE(WEEKNUM(Tabla8[[#This Row],[FECHA]]),"-",YEAR(Tabla8[[#This Row],[FECHA]]))</f>
        <v>27-2026</v>
      </c>
    </row>
    <row r="2034" spans="1:21" ht="15" customHeight="1">
      <c r="A2034" s="22">
        <v>46204</v>
      </c>
      <c r="B2034" s="16" t="s">
        <v>179</v>
      </c>
      <c r="C2034" s="16" t="s">
        <v>23</v>
      </c>
      <c r="D2034" s="381">
        <v>0.55555555555555558</v>
      </c>
      <c r="E2034" s="381">
        <v>0.59861111111111109</v>
      </c>
      <c r="F2034" s="632">
        <f>+MOD(Tabla8[[#This Row],[HR. FIN]]-Tabla8[[#This Row],[HR. INICIO]],1)</f>
        <v>4.3055555555555514E-2</v>
      </c>
      <c r="G2034" s="16" t="s">
        <v>98</v>
      </c>
      <c r="H2034" s="79" t="str">
        <f>IFERROR(VLOOKUP(G2034,DATOS!$M$2:$N$219,2,FALSE),"")</f>
        <v>Maquinaria</v>
      </c>
      <c r="I2034" s="115" t="s">
        <v>61</v>
      </c>
      <c r="J2034" s="115" t="s">
        <v>157</v>
      </c>
      <c r="K2034" s="115"/>
      <c r="L2034" s="35" t="s">
        <v>3555</v>
      </c>
      <c r="M2034" s="35" t="s">
        <v>121</v>
      </c>
      <c r="N2034" s="35" t="str" cm="1">
        <f t="array" ref="N2034">IFERROR(IF(Tabla8[[#This Row],[P/NP]]="NO PROGRAMADA","",_xlfn.TEXTJOIN(", ",TRUE,_xlfn._xlws.FILTER(Tabla4[[#All],[PIEZA]],ISNUMBER(SEARCH(Tabla4[[#All],[PCLAVE]],Tabla8[[#This Row],[DESCRIPCION DE TRABAJO]])),""))),"")</f>
        <v/>
      </c>
      <c r="O2034" s="35" t="str" cm="1">
        <f t="array" ref="O2034">_xlfn.TEXTJOIN(", ",TRUE,_xlfn._xlws.FILTER(Tabla28[[#All],[PARTE]],ISNUMBER(SEARCH(Tabla28[[#All],[PCLAVE2]],Tabla8[[#This Row],[DESCRIPCION DE TRABAJO]])),""))</f>
        <v/>
      </c>
      <c r="P2034" s="633" t="str">
        <f t="shared" si="0"/>
        <v/>
      </c>
      <c r="Q2034" s="633" t="str">
        <f t="shared" si="1"/>
        <v/>
      </c>
      <c r="R2034" s="633" t="str">
        <f t="shared" si="2"/>
        <v/>
      </c>
      <c r="S2034" s="35" t="str" cm="1">
        <f t="array" ref="S2034">_xlfn.TEXTJOIN(", ",TRUE,_xlfn._xlws.FILTER(Tabla29[[#All],[PARTE]],ISNUMBER(SEARCH(Tabla29[[#All],[PCLAVE3]],Tabla8[[#This Row],[DESCRIPCION DE TRABAJO]])),""))</f>
        <v/>
      </c>
      <c r="T2034" s="88" t="str">
        <f>IF(AND(Tabla8[[#This Row],[PIEZA]]="",Tabla8[[#This Row],[PARTE]]=""),"VACIO","OK")</f>
        <v>VACIO</v>
      </c>
      <c r="U2034" s="633" t="str">
        <f>+CONCATENATE(WEEKNUM(Tabla8[[#This Row],[FECHA]]),"-",YEAR(Tabla8[[#This Row],[FECHA]]))</f>
        <v>27-2026</v>
      </c>
    </row>
    <row r="2035" spans="1:21" ht="15" customHeight="1">
      <c r="A2035" s="22">
        <v>46204</v>
      </c>
      <c r="B2035" s="16" t="s">
        <v>179</v>
      </c>
      <c r="C2035" s="16" t="s">
        <v>23</v>
      </c>
      <c r="D2035" s="381">
        <v>0.63541666666666663</v>
      </c>
      <c r="E2035" s="381">
        <v>0.65694444444444444</v>
      </c>
      <c r="F2035" s="632">
        <f>+MOD(Tabla8[[#This Row],[HR. FIN]]-Tabla8[[#This Row],[HR. INICIO]],1)</f>
        <v>2.1527777777777812E-2</v>
      </c>
      <c r="G2035" s="16" t="s">
        <v>1063</v>
      </c>
      <c r="H2035" s="79" t="str">
        <f>IFERROR(VLOOKUP(G2035,DATOS!$M$2:$N$219,2,FALSE),"")</f>
        <v>Maquinaria</v>
      </c>
      <c r="I2035" s="115" t="s">
        <v>28</v>
      </c>
      <c r="J2035" s="115" t="s">
        <v>92</v>
      </c>
      <c r="K2035" s="115" t="s">
        <v>93</v>
      </c>
      <c r="L2035" s="35" t="s">
        <v>3556</v>
      </c>
      <c r="M2035" s="35" t="s">
        <v>3557</v>
      </c>
      <c r="N2035" s="35" t="str" cm="1">
        <f t="array" ref="N2035">IFERROR(IF(Tabla8[[#This Row],[P/NP]]="NO PROGRAMADA","",_xlfn.TEXTJOIN(", ",TRUE,_xlfn._xlws.FILTER(Tabla4[[#All],[PIEZA]],ISNUMBER(SEARCH(Tabla4[[#All],[PCLAVE]],Tabla8[[#This Row],[DESCRIPCION DE TRABAJO]])),""))),"")</f>
        <v/>
      </c>
      <c r="O2035" s="35" t="str" cm="1">
        <f t="array" ref="O2035">_xlfn.TEXTJOIN(", ",TRUE,_xlfn._xlws.FILTER(Tabla28[[#All],[PARTE]],ISNUMBER(SEARCH(Tabla28[[#All],[PCLAVE2]],Tabla8[[#This Row],[DESCRIPCION DE TRABAJO]])),""))</f>
        <v/>
      </c>
      <c r="P2035" s="633" t="str">
        <f t="shared" si="0"/>
        <v/>
      </c>
      <c r="Q2035" s="633" t="str">
        <f t="shared" si="1"/>
        <v/>
      </c>
      <c r="R2035" s="633" t="str">
        <f t="shared" si="2"/>
        <v/>
      </c>
      <c r="S2035" s="35" t="str" cm="1">
        <f t="array" ref="S2035">_xlfn.TEXTJOIN(", ",TRUE,_xlfn._xlws.FILTER(Tabla29[[#All],[PARTE]],ISNUMBER(SEARCH(Tabla29[[#All],[PCLAVE3]],Tabla8[[#This Row],[DESCRIPCION DE TRABAJO]])),""))</f>
        <v/>
      </c>
      <c r="T2035" s="88" t="str">
        <f>IF(AND(Tabla8[[#This Row],[PIEZA]]="",Tabla8[[#This Row],[PARTE]]=""),"VACIO","OK")</f>
        <v>VACIO</v>
      </c>
      <c r="U2035" s="633" t="str">
        <f>+CONCATENATE(WEEKNUM(Tabla8[[#This Row],[FECHA]]),"-",YEAR(Tabla8[[#This Row],[FECHA]]))</f>
        <v>27-2026</v>
      </c>
    </row>
    <row r="2036" spans="1:21" ht="15" customHeight="1">
      <c r="A2036" s="22">
        <v>46204</v>
      </c>
      <c r="B2036" s="16" t="s">
        <v>179</v>
      </c>
      <c r="C2036" s="16" t="s">
        <v>23</v>
      </c>
      <c r="D2036" s="381">
        <v>0.66666666666666663</v>
      </c>
      <c r="E2036" s="381">
        <v>0.6875</v>
      </c>
      <c r="F2036" s="632">
        <f>+MOD(Tabla8[[#This Row],[HR. FIN]]-Tabla8[[#This Row],[HR. INICIO]],1)</f>
        <v>2.083333333333337E-2</v>
      </c>
      <c r="G2036" s="16" t="s">
        <v>119</v>
      </c>
      <c r="H2036" s="79" t="str">
        <f>IFERROR(VLOOKUP(G2036,DATOS!$M$2:$N$219,2,FALSE),"")</f>
        <v>Maquinaria</v>
      </c>
      <c r="I2036" s="115" t="s">
        <v>405</v>
      </c>
      <c r="J2036" s="115" t="s">
        <v>157</v>
      </c>
      <c r="K2036" s="115"/>
      <c r="L2036" s="35" t="s">
        <v>3558</v>
      </c>
      <c r="M2036" s="35" t="s">
        <v>3559</v>
      </c>
      <c r="N2036" s="35" t="str" cm="1">
        <f t="array" ref="N2036">IFERROR(IF(Tabla8[[#This Row],[P/NP]]="NO PROGRAMADA","",_xlfn.TEXTJOIN(", ",TRUE,_xlfn._xlws.FILTER(Tabla4[[#All],[PIEZA]],ISNUMBER(SEARCH(Tabla4[[#All],[PCLAVE]],Tabla8[[#This Row],[DESCRIPCION DE TRABAJO]])),""))),"")</f>
        <v/>
      </c>
      <c r="O2036" s="35" t="str" cm="1">
        <f t="array" ref="O2036">_xlfn.TEXTJOIN(", ",TRUE,_xlfn._xlws.FILTER(Tabla28[[#All],[PARTE]],ISNUMBER(SEARCH(Tabla28[[#All],[PCLAVE2]],Tabla8[[#This Row],[DESCRIPCION DE TRABAJO]])),""))</f>
        <v>Temperadora</v>
      </c>
      <c r="P2036" s="633" t="str">
        <f t="shared" si="0"/>
        <v>Temperadora</v>
      </c>
      <c r="Q2036" s="633" t="str">
        <f t="shared" si="1"/>
        <v/>
      </c>
      <c r="R2036" s="633" t="str">
        <f t="shared" si="2"/>
        <v/>
      </c>
      <c r="S2036" s="35" t="str" cm="1">
        <f t="array" ref="S2036">_xlfn.TEXTJOIN(", ",TRUE,_xlfn._xlws.FILTER(Tabla29[[#All],[PARTE]],ISNUMBER(SEARCH(Tabla29[[#All],[PCLAVE3]],Tabla8[[#This Row],[DESCRIPCION DE TRABAJO]])),""))</f>
        <v/>
      </c>
      <c r="T2036" s="88" t="str">
        <f>IF(AND(Tabla8[[#This Row],[PIEZA]]="",Tabla8[[#This Row],[PARTE]]=""),"VACIO","OK")</f>
        <v>OK</v>
      </c>
      <c r="U2036" s="633" t="str">
        <f>+CONCATENATE(WEEKNUM(Tabla8[[#This Row],[FECHA]]),"-",YEAR(Tabla8[[#This Row],[FECHA]]))</f>
        <v>27-2026</v>
      </c>
    </row>
    <row r="2037" spans="1:21" ht="15" customHeight="1">
      <c r="A2037" s="22">
        <v>46204</v>
      </c>
      <c r="B2037" s="16" t="s">
        <v>179</v>
      </c>
      <c r="C2037" s="16" t="s">
        <v>23</v>
      </c>
      <c r="D2037" s="381">
        <v>0.69791666666666663</v>
      </c>
      <c r="E2037" s="381">
        <v>0.73263888888888884</v>
      </c>
      <c r="F2037" s="632">
        <f>+MOD(Tabla8[[#This Row],[HR. FIN]]-Tabla8[[#This Row],[HR. INICIO]],1)</f>
        <v>3.472222222222221E-2</v>
      </c>
      <c r="G2037" s="16" t="s">
        <v>24</v>
      </c>
      <c r="H2037" s="79" t="str">
        <f>IFERROR(VLOOKUP(G2037,DATOS!$M$2:$N$219,2,FALSE),"")</f>
        <v>Maquinaria</v>
      </c>
      <c r="I2037" s="115" t="s">
        <v>32</v>
      </c>
      <c r="J2037" s="115" t="s">
        <v>157</v>
      </c>
      <c r="K2037" s="115"/>
      <c r="L2037" s="35" t="s">
        <v>3560</v>
      </c>
      <c r="M2037" s="35" t="s">
        <v>121</v>
      </c>
      <c r="N2037" s="35" t="str" cm="1">
        <f t="array" ref="N2037">IFERROR(IF(Tabla8[[#This Row],[P/NP]]="NO PROGRAMADA","",_xlfn.TEXTJOIN(", ",TRUE,_xlfn._xlws.FILTER(Tabla4[[#All],[PIEZA]],ISNUMBER(SEARCH(Tabla4[[#All],[PCLAVE]],Tabla8[[#This Row],[DESCRIPCION DE TRABAJO]])),""))),"")</f>
        <v/>
      </c>
      <c r="O2037" s="35" t="str" cm="1">
        <f t="array" ref="O2037">_xlfn.TEXTJOIN(", ",TRUE,_xlfn._xlws.FILTER(Tabla28[[#All],[PARTE]],ISNUMBER(SEARCH(Tabla28[[#All],[PCLAVE2]],Tabla8[[#This Row],[DESCRIPCION DE TRABAJO]])),""))</f>
        <v/>
      </c>
      <c r="P2037" s="633" t="str">
        <f t="shared" si="0"/>
        <v/>
      </c>
      <c r="Q2037" s="633" t="str">
        <f t="shared" si="1"/>
        <v/>
      </c>
      <c r="R2037" s="633" t="str">
        <f t="shared" si="2"/>
        <v/>
      </c>
      <c r="S2037" s="35" t="str" cm="1">
        <f t="array" ref="S2037">_xlfn.TEXTJOIN(", ",TRUE,_xlfn._xlws.FILTER(Tabla29[[#All],[PARTE]],ISNUMBER(SEARCH(Tabla29[[#All],[PCLAVE3]],Tabla8[[#This Row],[DESCRIPCION DE TRABAJO]])),""))</f>
        <v/>
      </c>
      <c r="T2037" s="88" t="str">
        <f>IF(AND(Tabla8[[#This Row],[PIEZA]]="",Tabla8[[#This Row],[PARTE]]=""),"VACIO","OK")</f>
        <v>VACIO</v>
      </c>
      <c r="U2037" s="633" t="str">
        <f>+CONCATENATE(WEEKNUM(Tabla8[[#This Row],[FECHA]]),"-",YEAR(Tabla8[[#This Row],[FECHA]]))</f>
        <v>27-2026</v>
      </c>
    </row>
    <row r="2038" spans="1:21" ht="15" customHeight="1">
      <c r="A2038" s="22">
        <v>46204</v>
      </c>
      <c r="B2038" s="16" t="s">
        <v>179</v>
      </c>
      <c r="C2038" s="16" t="s">
        <v>23</v>
      </c>
      <c r="D2038" s="381">
        <v>0.79166666666666663</v>
      </c>
      <c r="E2038" s="381">
        <v>0.8125</v>
      </c>
      <c r="F2038" s="632">
        <f>+MOD(Tabla8[[#This Row],[HR. FIN]]-Tabla8[[#This Row],[HR. INICIO]],1)</f>
        <v>2.083333333333337E-2</v>
      </c>
      <c r="G2038" s="16" t="s">
        <v>328</v>
      </c>
      <c r="H2038" s="79" t="str">
        <f>IFERROR(VLOOKUP(G2038,DATOS!$M$2:$N$219,2,FALSE),"")</f>
        <v>Area</v>
      </c>
      <c r="I2038" s="115" t="s">
        <v>54</v>
      </c>
      <c r="J2038" s="115" t="s">
        <v>157</v>
      </c>
      <c r="K2038" s="115"/>
      <c r="L2038" s="35" t="s">
        <v>3561</v>
      </c>
      <c r="M2038" s="35" t="s">
        <v>121</v>
      </c>
      <c r="N2038" s="35" t="str" cm="1">
        <f t="array" ref="N2038">IFERROR(IF(Tabla8[[#This Row],[P/NP]]="NO PROGRAMADA","",_xlfn.TEXTJOIN(", ",TRUE,_xlfn._xlws.FILTER(Tabla4[[#All],[PIEZA]],ISNUMBER(SEARCH(Tabla4[[#All],[PCLAVE]],Tabla8[[#This Row],[DESCRIPCION DE TRABAJO]])),""))),"")</f>
        <v/>
      </c>
      <c r="O2038" s="35" t="str" cm="1">
        <f t="array" ref="O2038">_xlfn.TEXTJOIN(", ",TRUE,_xlfn._xlws.FILTER(Tabla28[[#All],[PARTE]],ISNUMBER(SEARCH(Tabla28[[#All],[PCLAVE2]],Tabla8[[#This Row],[DESCRIPCION DE TRABAJO]])),""))</f>
        <v/>
      </c>
      <c r="P2038" s="633" t="str">
        <f t="shared" si="0"/>
        <v/>
      </c>
      <c r="Q2038" s="633" t="str">
        <f t="shared" si="1"/>
        <v/>
      </c>
      <c r="R2038" s="633" t="str">
        <f t="shared" si="2"/>
        <v/>
      </c>
      <c r="S2038" s="35" t="str" cm="1">
        <f t="array" ref="S2038">_xlfn.TEXTJOIN(", ",TRUE,_xlfn._xlws.FILTER(Tabla29[[#All],[PARTE]],ISNUMBER(SEARCH(Tabla29[[#All],[PCLAVE3]],Tabla8[[#This Row],[DESCRIPCION DE TRABAJO]])),""))</f>
        <v/>
      </c>
      <c r="T2038" s="88" t="str">
        <f>IF(AND(Tabla8[[#This Row],[PIEZA]]="",Tabla8[[#This Row],[PARTE]]=""),"VACIO","OK")</f>
        <v>VACIO</v>
      </c>
      <c r="U2038" s="633" t="str">
        <f>+CONCATENATE(WEEKNUM(Tabla8[[#This Row],[FECHA]]),"-",YEAR(Tabla8[[#This Row],[FECHA]]))</f>
        <v>27-2026</v>
      </c>
    </row>
    <row r="2039" spans="1:21" ht="15" customHeight="1">
      <c r="A2039" s="22">
        <v>46204</v>
      </c>
      <c r="B2039" s="16" t="s">
        <v>179</v>
      </c>
      <c r="C2039" s="16" t="s">
        <v>23</v>
      </c>
      <c r="D2039" s="381">
        <v>0.79166666666666663</v>
      </c>
      <c r="E2039" s="381">
        <v>0.83333333333333337</v>
      </c>
      <c r="F2039" s="632">
        <f>+MOD(Tabla8[[#This Row],[HR. FIN]]-Tabla8[[#This Row],[HR. INICIO]],1)</f>
        <v>4.1666666666666741E-2</v>
      </c>
      <c r="G2039" s="16" t="s">
        <v>1470</v>
      </c>
      <c r="H2039" s="79" t="str">
        <f>IFERROR(VLOOKUP(G2039,DATOS!$M$2:$N$219,2,FALSE),"")</f>
        <v>Maquinaria</v>
      </c>
      <c r="I2039" s="115" t="s">
        <v>186</v>
      </c>
      <c r="J2039" s="115" t="s">
        <v>92</v>
      </c>
      <c r="K2039" s="115" t="s">
        <v>93</v>
      </c>
      <c r="L2039" s="35" t="s">
        <v>3562</v>
      </c>
      <c r="M2039" s="35" t="s">
        <v>3563</v>
      </c>
      <c r="N2039" s="35" t="str" cm="1">
        <f t="array" ref="N2039">IFERROR(IF(Tabla8[[#This Row],[P/NP]]="NO PROGRAMADA","",_xlfn.TEXTJOIN(", ",TRUE,_xlfn._xlws.FILTER(Tabla4[[#All],[PIEZA]],ISNUMBER(SEARCH(Tabla4[[#All],[PCLAVE]],Tabla8[[#This Row],[DESCRIPCION DE TRABAJO]])),""))),"")</f>
        <v/>
      </c>
      <c r="O2039" s="35" t="str" cm="1">
        <f t="array" ref="O2039">_xlfn.TEXTJOIN(", ",TRUE,_xlfn._xlws.FILTER(Tabla28[[#All],[PARTE]],ISNUMBER(SEARCH(Tabla28[[#All],[PCLAVE2]],Tabla8[[#This Row],[DESCRIPCION DE TRABAJO]])),""))</f>
        <v/>
      </c>
      <c r="P2039" s="633" t="str">
        <f t="shared" si="0"/>
        <v/>
      </c>
      <c r="Q2039" s="633" t="str">
        <f t="shared" si="1"/>
        <v/>
      </c>
      <c r="R2039" s="633" t="str">
        <f t="shared" si="2"/>
        <v/>
      </c>
      <c r="S2039" s="35" t="str" cm="1">
        <f t="array" ref="S2039">_xlfn.TEXTJOIN(", ",TRUE,_xlfn._xlws.FILTER(Tabla29[[#All],[PARTE]],ISNUMBER(SEARCH(Tabla29[[#All],[PCLAVE3]],Tabla8[[#This Row],[DESCRIPCION DE TRABAJO]])),""))</f>
        <v>Doblada</v>
      </c>
      <c r="T2039" s="88" t="str">
        <f>IF(AND(Tabla8[[#This Row],[PIEZA]]="",Tabla8[[#This Row],[PARTE]]=""),"VACIO","OK")</f>
        <v>VACIO</v>
      </c>
      <c r="U2039" s="633" t="str">
        <f>+CONCATENATE(WEEKNUM(Tabla8[[#This Row],[FECHA]]),"-",YEAR(Tabla8[[#This Row],[FECHA]]))</f>
        <v>27-2026</v>
      </c>
    </row>
    <row r="2040" spans="1:21" ht="15" customHeight="1">
      <c r="A2040" s="22">
        <v>46205</v>
      </c>
      <c r="B2040" s="16" t="s">
        <v>88</v>
      </c>
      <c r="C2040" s="16" t="s">
        <v>36</v>
      </c>
      <c r="D2040" s="381" t="s">
        <v>430</v>
      </c>
      <c r="E2040" s="381" t="s">
        <v>699</v>
      </c>
      <c r="F2040" s="632">
        <f>+MOD(Tabla8[[#This Row],[HR. FIN]]-Tabla8[[#This Row],[HR. INICIO]],1)</f>
        <v>1.0416666666666685E-2</v>
      </c>
      <c r="G2040" s="16" t="s">
        <v>2256</v>
      </c>
      <c r="H2040" s="79" t="str">
        <f>IFERROR(VLOOKUP(G2040,DATOS!$M$2:$N$219,2,FALSE),"")</f>
        <v>Maquinaria</v>
      </c>
      <c r="I2040" s="115" t="s">
        <v>61</v>
      </c>
      <c r="J2040" s="115" t="s">
        <v>157</v>
      </c>
      <c r="K2040" s="115"/>
      <c r="L2040" s="35" t="s">
        <v>409</v>
      </c>
      <c r="M2040" s="35" t="s">
        <v>3564</v>
      </c>
      <c r="N2040" s="35" t="str" cm="1">
        <f t="array" ref="N2040">IFERROR(IF(Tabla8[[#This Row],[P/NP]]="NO PROGRAMADA","",_xlfn.TEXTJOIN(", ",TRUE,_xlfn._xlws.FILTER(Tabla4[[#All],[PIEZA]],ISNUMBER(SEARCH(Tabla4[[#All],[PCLAVE]],Tabla8[[#This Row],[DESCRIPCION DE TRABAJO]])),""))),"")</f>
        <v/>
      </c>
      <c r="O2040" s="35" t="str" cm="1">
        <f t="array" ref="O2040">_xlfn.TEXTJOIN(", ",TRUE,_xlfn._xlws.FILTER(Tabla28[[#All],[PARTE]],ISNUMBER(SEARCH(Tabla28[[#All],[PCLAVE2]],Tabla8[[#This Row],[DESCRIPCION DE TRABAJO]])),""))</f>
        <v/>
      </c>
      <c r="P2040" s="633" t="str">
        <f t="shared" si="0"/>
        <v/>
      </c>
      <c r="Q2040" s="633" t="str">
        <f t="shared" si="1"/>
        <v/>
      </c>
      <c r="R2040" s="633" t="str">
        <f t="shared" si="2"/>
        <v/>
      </c>
      <c r="S2040" s="35" t="str" cm="1">
        <f t="array" ref="S2040">_xlfn.TEXTJOIN(", ",TRUE,_xlfn._xlws.FILTER(Tabla29[[#All],[PARTE]],ISNUMBER(SEARCH(Tabla29[[#All],[PCLAVE3]],Tabla8[[#This Row],[DESCRIPCION DE TRABAJO]])),""))</f>
        <v/>
      </c>
      <c r="T2040" s="88" t="str">
        <f>IF(AND(Tabla8[[#This Row],[PIEZA]]="",Tabla8[[#This Row],[PARTE]]=""),"VACIO","OK")</f>
        <v>VACIO</v>
      </c>
      <c r="U2040" s="633" t="str">
        <f>+CONCATENATE(WEEKNUM(Tabla8[[#This Row],[FECHA]]),"-",YEAR(Tabla8[[#This Row],[FECHA]]))</f>
        <v>27-2026</v>
      </c>
    </row>
    <row r="2041" spans="1:21" ht="15" customHeight="1">
      <c r="A2041" s="22">
        <v>46205</v>
      </c>
      <c r="B2041" s="16" t="s">
        <v>88</v>
      </c>
      <c r="C2041" s="16" t="s">
        <v>36</v>
      </c>
      <c r="D2041" s="381" t="s">
        <v>437</v>
      </c>
      <c r="E2041" s="381" t="s">
        <v>176</v>
      </c>
      <c r="F2041" s="632">
        <f>+MOD(Tabla8[[#This Row],[HR. FIN]]-Tabla8[[#This Row],[HR. INICIO]],1)</f>
        <v>2.083333333333337E-2</v>
      </c>
      <c r="G2041" s="16" t="s">
        <v>119</v>
      </c>
      <c r="H2041" s="79" t="str">
        <f>IFERROR(VLOOKUP(G2041,DATOS!$M$2:$N$219,2,FALSE),"")</f>
        <v>Maquinaria</v>
      </c>
      <c r="I2041" s="115" t="s">
        <v>54</v>
      </c>
      <c r="J2041" s="115" t="s">
        <v>157</v>
      </c>
      <c r="K2041" s="115"/>
      <c r="L2041" s="35" t="s">
        <v>1040</v>
      </c>
      <c r="M2041" s="35" t="s">
        <v>1423</v>
      </c>
      <c r="N2041" s="35" t="str" cm="1">
        <f t="array" ref="N2041">IFERROR(IF(Tabla8[[#This Row],[P/NP]]="NO PROGRAMADA","",_xlfn.TEXTJOIN(", ",TRUE,_xlfn._xlws.FILTER(Tabla4[[#All],[PIEZA]],ISNUMBER(SEARCH(Tabla4[[#All],[PCLAVE]],Tabla8[[#This Row],[DESCRIPCION DE TRABAJO]])),""))),"")</f>
        <v/>
      </c>
      <c r="O2041" s="35" t="str" cm="1">
        <f t="array" ref="O2041">_xlfn.TEXTJOIN(", ",TRUE,_xlfn._xlws.FILTER(Tabla28[[#All],[PARTE]],ISNUMBER(SEARCH(Tabla28[[#All],[PCLAVE2]],Tabla8[[#This Row],[DESCRIPCION DE TRABAJO]])),""))</f>
        <v/>
      </c>
      <c r="P2041" s="633" t="str">
        <f t="shared" si="0"/>
        <v/>
      </c>
      <c r="Q2041" s="633" t="str">
        <f t="shared" si="1"/>
        <v/>
      </c>
      <c r="R2041" s="633" t="str">
        <f t="shared" si="2"/>
        <v/>
      </c>
      <c r="S2041" s="35" t="str" cm="1">
        <f t="array" ref="S2041">_xlfn.TEXTJOIN(", ",TRUE,_xlfn._xlws.FILTER(Tabla29[[#All],[PARTE]],ISNUMBER(SEARCH(Tabla29[[#All],[PCLAVE3]],Tabla8[[#This Row],[DESCRIPCION DE TRABAJO]])),""))</f>
        <v/>
      </c>
      <c r="T2041" s="88" t="str">
        <f>IF(AND(Tabla8[[#This Row],[PIEZA]]="",Tabla8[[#This Row],[PARTE]]=""),"VACIO","OK")</f>
        <v>VACIO</v>
      </c>
      <c r="U2041" s="633" t="str">
        <f>+CONCATENATE(WEEKNUM(Tabla8[[#This Row],[FECHA]]),"-",YEAR(Tabla8[[#This Row],[FECHA]]))</f>
        <v>27-2026</v>
      </c>
    </row>
    <row r="2042" spans="1:21" ht="15" customHeight="1">
      <c r="A2042" s="22">
        <v>46205</v>
      </c>
      <c r="B2042" s="16" t="s">
        <v>88</v>
      </c>
      <c r="C2042" s="16" t="s">
        <v>36</v>
      </c>
      <c r="D2042" s="381" t="s">
        <v>127</v>
      </c>
      <c r="E2042" s="381" t="s">
        <v>556</v>
      </c>
      <c r="F2042" s="632">
        <f>+MOD(Tabla8[[#This Row],[HR. FIN]]-Tabla8[[#This Row],[HR. INICIO]],1)</f>
        <v>4.1666666666666685E-2</v>
      </c>
      <c r="G2042" s="16" t="s">
        <v>965</v>
      </c>
      <c r="H2042" s="79" t="str">
        <f>IFERROR(VLOOKUP(G2042,DATOS!$M$2:$N$219,2,FALSE),"")</f>
        <v>Maquinaria</v>
      </c>
      <c r="I2042" s="115" t="s">
        <v>186</v>
      </c>
      <c r="J2042" s="115" t="s">
        <v>92</v>
      </c>
      <c r="K2042" s="115" t="s">
        <v>93</v>
      </c>
      <c r="L2042" s="35" t="s">
        <v>3565</v>
      </c>
      <c r="M2042" s="35" t="s">
        <v>3566</v>
      </c>
      <c r="N2042" s="35" t="str" cm="1">
        <f t="array" ref="N2042">IFERROR(IF(Tabla8[[#This Row],[P/NP]]="NO PROGRAMADA","",_xlfn.TEXTJOIN(", ",TRUE,_xlfn._xlws.FILTER(Tabla4[[#All],[PIEZA]],ISNUMBER(SEARCH(Tabla4[[#All],[PCLAVE]],Tabla8[[#This Row],[DESCRIPCION DE TRABAJO]])),""))),"")</f>
        <v/>
      </c>
      <c r="O2042" s="35" t="str" cm="1">
        <f t="array" ref="O2042">_xlfn.TEXTJOIN(", ",TRUE,_xlfn._xlws.FILTER(Tabla28[[#All],[PARTE]],ISNUMBER(SEARCH(Tabla28[[#All],[PCLAVE2]],Tabla8[[#This Row],[DESCRIPCION DE TRABAJO]])),""))</f>
        <v/>
      </c>
      <c r="P2042" s="633" t="str">
        <f t="shared" si="0"/>
        <v/>
      </c>
      <c r="Q2042" s="633" t="str">
        <f t="shared" si="1"/>
        <v/>
      </c>
      <c r="R2042" s="633" t="str">
        <f t="shared" si="2"/>
        <v/>
      </c>
      <c r="S2042" s="35" t="str" cm="1">
        <f t="array" ref="S2042">_xlfn.TEXTJOIN(", ",TRUE,_xlfn._xlws.FILTER(Tabla29[[#All],[PARTE]],ISNUMBER(SEARCH(Tabla29[[#All],[PCLAVE3]],Tabla8[[#This Row],[DESCRIPCION DE TRABAJO]])),""))</f>
        <v>Laminado, No Corta</v>
      </c>
      <c r="T2042" s="88" t="str">
        <f>IF(AND(Tabla8[[#This Row],[PIEZA]]="",Tabla8[[#This Row],[PARTE]]=""),"VACIO","OK")</f>
        <v>VACIO</v>
      </c>
      <c r="U2042" s="633" t="str">
        <f>+CONCATENATE(WEEKNUM(Tabla8[[#This Row],[FECHA]]),"-",YEAR(Tabla8[[#This Row],[FECHA]]))</f>
        <v>27-2026</v>
      </c>
    </row>
    <row r="2043" spans="1:21" ht="15" customHeight="1">
      <c r="A2043" s="22">
        <v>46205</v>
      </c>
      <c r="B2043" s="16" t="s">
        <v>88</v>
      </c>
      <c r="C2043" s="16" t="s">
        <v>36</v>
      </c>
      <c r="D2043" s="381" t="s">
        <v>97</v>
      </c>
      <c r="E2043" s="381" t="s">
        <v>468</v>
      </c>
      <c r="F2043" s="632">
        <f>+MOD(Tabla8[[#This Row],[HR. FIN]]-Tabla8[[#This Row],[HR. INICIO]],1)</f>
        <v>8.3333333333333315E-2</v>
      </c>
      <c r="G2043" s="16" t="s">
        <v>965</v>
      </c>
      <c r="H2043" s="79" t="str">
        <f>IFERROR(VLOOKUP(G2043,DATOS!$M$2:$N$219,2,FALSE),"")</f>
        <v>Maquinaria</v>
      </c>
      <c r="I2043" s="115" t="s">
        <v>57</v>
      </c>
      <c r="J2043" s="115" t="s">
        <v>157</v>
      </c>
      <c r="K2043" s="115"/>
      <c r="L2043" s="35" t="s">
        <v>3567</v>
      </c>
      <c r="M2043" s="35" t="s">
        <v>3568</v>
      </c>
      <c r="N2043" s="35" t="str" cm="1">
        <f t="array" ref="N2043">IFERROR(IF(Tabla8[[#This Row],[P/NP]]="NO PROGRAMADA","",_xlfn.TEXTJOIN(", ",TRUE,_xlfn._xlws.FILTER(Tabla4[[#All],[PIEZA]],ISNUMBER(SEARCH(Tabla4[[#All],[PCLAVE]],Tabla8[[#This Row],[DESCRIPCION DE TRABAJO]])),""))),"")</f>
        <v>Plegador</v>
      </c>
      <c r="O2043" s="35" t="str" cm="1">
        <f t="array" ref="O2043">_xlfn.TEXTJOIN(", ",TRUE,_xlfn._xlws.FILTER(Tabla28[[#All],[PARTE]],ISNUMBER(SEARCH(Tabla28[[#All],[PCLAVE2]],Tabla8[[#This Row],[DESCRIPCION DE TRABAJO]])),""))</f>
        <v/>
      </c>
      <c r="P2043" s="633" t="str">
        <f t="shared" si="0"/>
        <v/>
      </c>
      <c r="Q2043" s="633" t="str">
        <f t="shared" si="1"/>
        <v/>
      </c>
      <c r="R2043" s="633" t="str">
        <f t="shared" si="2"/>
        <v/>
      </c>
      <c r="S2043" s="35" t="str" cm="1">
        <f t="array" ref="S2043">_xlfn.TEXTJOIN(", ",TRUE,_xlfn._xlws.FILTER(Tabla29[[#All],[PARTE]],ISNUMBER(SEARCH(Tabla29[[#All],[PCLAVE3]],Tabla8[[#This Row],[DESCRIPCION DE TRABAJO]])),""))</f>
        <v>Calibracion, Sellado</v>
      </c>
      <c r="T2043" s="88" t="str">
        <f>IF(AND(Tabla8[[#This Row],[PIEZA]]="",Tabla8[[#This Row],[PARTE]]=""),"VACIO","OK")</f>
        <v>OK</v>
      </c>
      <c r="U2043" s="633" t="str">
        <f>+CONCATENATE(WEEKNUM(Tabla8[[#This Row],[FECHA]]),"-",YEAR(Tabla8[[#This Row],[FECHA]]))</f>
        <v>27-2026</v>
      </c>
    </row>
    <row r="2044" spans="1:21" ht="15" customHeight="1">
      <c r="A2044" s="22">
        <v>46205</v>
      </c>
      <c r="B2044" s="16" t="s">
        <v>88</v>
      </c>
      <c r="C2044" s="16" t="s">
        <v>36</v>
      </c>
      <c r="D2044" s="381" t="s">
        <v>2415</v>
      </c>
      <c r="E2044" s="381" t="s">
        <v>281</v>
      </c>
      <c r="F2044" s="632">
        <f>+MOD(Tabla8[[#This Row],[HR. FIN]]-Tabla8[[#This Row],[HR. INICIO]],1)</f>
        <v>1.0416666666666741E-2</v>
      </c>
      <c r="G2044" s="16" t="s">
        <v>119</v>
      </c>
      <c r="H2044" s="79" t="str">
        <f>IFERROR(VLOOKUP(G2044,DATOS!$M$2:$N$219,2,FALSE),"")</f>
        <v>Maquinaria</v>
      </c>
      <c r="I2044" s="115" t="s">
        <v>54</v>
      </c>
      <c r="J2044" s="115" t="s">
        <v>157</v>
      </c>
      <c r="K2044" s="115"/>
      <c r="L2044" s="35" t="s">
        <v>3569</v>
      </c>
      <c r="M2044" s="35" t="s">
        <v>3570</v>
      </c>
      <c r="N2044" s="35" t="str" cm="1">
        <f t="array" ref="N2044">IFERROR(IF(Tabla8[[#This Row],[P/NP]]="NO PROGRAMADA","",_xlfn.TEXTJOIN(", ",TRUE,_xlfn._xlws.FILTER(Tabla4[[#All],[PIEZA]],ISNUMBER(SEARCH(Tabla4[[#All],[PCLAVE]],Tabla8[[#This Row],[DESCRIPCION DE TRABAJO]])),""))),"")</f>
        <v>Producto</v>
      </c>
      <c r="O2044" s="35" t="str" cm="1">
        <f t="array" ref="O2044">_xlfn.TEXTJOIN(", ",TRUE,_xlfn._xlws.FILTER(Tabla28[[#All],[PARTE]],ISNUMBER(SEARCH(Tabla28[[#All],[PCLAVE2]],Tabla8[[#This Row],[DESCRIPCION DE TRABAJO]])),""))</f>
        <v>Tanque</v>
      </c>
      <c r="P2044" s="633" t="str">
        <f t="shared" si="0"/>
        <v>Tanque</v>
      </c>
      <c r="Q2044" s="633" t="str">
        <f t="shared" si="1"/>
        <v/>
      </c>
      <c r="R2044" s="633" t="str">
        <f t="shared" si="2"/>
        <v/>
      </c>
      <c r="S2044" s="35" t="str" cm="1">
        <f t="array" ref="S2044">_xlfn.TEXTJOIN(", ",TRUE,_xlfn._xlws.FILTER(Tabla29[[#All],[PARTE]],ISNUMBER(SEARCH(Tabla29[[#All],[PCLAVE3]],Tabla8[[#This Row],[DESCRIPCION DE TRABAJO]])),""))</f>
        <v/>
      </c>
      <c r="T2044" s="88" t="str">
        <f>IF(AND(Tabla8[[#This Row],[PIEZA]]="",Tabla8[[#This Row],[PARTE]]=""),"VACIO","OK")</f>
        <v>OK</v>
      </c>
      <c r="U2044" s="633" t="str">
        <f>+CONCATENATE(WEEKNUM(Tabla8[[#This Row],[FECHA]]),"-",YEAR(Tabla8[[#This Row],[FECHA]]))</f>
        <v>27-2026</v>
      </c>
    </row>
    <row r="2045" spans="1:21" ht="15" customHeight="1">
      <c r="A2045" s="22">
        <v>46205</v>
      </c>
      <c r="B2045" s="16" t="s">
        <v>131</v>
      </c>
      <c r="C2045" s="16" t="s">
        <v>39</v>
      </c>
      <c r="D2045" s="381" t="s">
        <v>425</v>
      </c>
      <c r="E2045" s="381" t="s">
        <v>1122</v>
      </c>
      <c r="F2045" s="632">
        <f>+MOD(Tabla8[[#This Row],[HR. FIN]]-Tabla8[[#This Row],[HR. INICIO]],1)</f>
        <v>7.6388888888888618E-3</v>
      </c>
      <c r="G2045" s="16" t="s">
        <v>2256</v>
      </c>
      <c r="H2045" s="79" t="str">
        <f>IFERROR(VLOOKUP(G2045,DATOS!$M$2:$N$219,2,FALSE),"")</f>
        <v>Maquinaria</v>
      </c>
      <c r="I2045" s="115" t="s">
        <v>54</v>
      </c>
      <c r="J2045" s="115" t="s">
        <v>92</v>
      </c>
      <c r="K2045" s="115" t="s">
        <v>148</v>
      </c>
      <c r="L2045" s="35" t="s">
        <v>3571</v>
      </c>
      <c r="M2045" s="35" t="s">
        <v>3572</v>
      </c>
      <c r="N2045" s="35" t="str" cm="1">
        <f t="array" ref="N2045">IFERROR(IF(Tabla8[[#This Row],[P/NP]]="NO PROGRAMADA","",_xlfn.TEXTJOIN(", ",TRUE,_xlfn._xlws.FILTER(Tabla4[[#All],[PIEZA]],ISNUMBER(SEARCH(Tabla4[[#All],[PCLAVE]],Tabla8[[#This Row],[DESCRIPCION DE TRABAJO]])),""))),"")</f>
        <v/>
      </c>
      <c r="O2045" s="35" t="str" cm="1">
        <f t="array" ref="O2045">_xlfn.TEXTJOIN(", ",TRUE,_xlfn._xlws.FILTER(Tabla28[[#All],[PARTE]],ISNUMBER(SEARCH(Tabla28[[#All],[PCLAVE2]],Tabla8[[#This Row],[DESCRIPCION DE TRABAJO]])),""))</f>
        <v/>
      </c>
      <c r="P2045" s="633" t="str">
        <f t="shared" si="0"/>
        <v/>
      </c>
      <c r="Q2045" s="633" t="str">
        <f t="shared" si="1"/>
        <v/>
      </c>
      <c r="R2045" s="633" t="str">
        <f t="shared" si="2"/>
        <v/>
      </c>
      <c r="S2045" s="35" t="str" cm="1">
        <f t="array" ref="S2045">_xlfn.TEXTJOIN(", ",TRUE,_xlfn._xlws.FILTER(Tabla29[[#All],[PARTE]],ISNUMBER(SEARCH(Tabla29[[#All],[PCLAVE3]],Tabla8[[#This Row],[DESCRIPCION DE TRABAJO]])),""))</f>
        <v>No Inicia</v>
      </c>
      <c r="T2045" s="88" t="str">
        <f>IF(AND(Tabla8[[#This Row],[PIEZA]]="",Tabla8[[#This Row],[PARTE]]=""),"VACIO","OK")</f>
        <v>VACIO</v>
      </c>
      <c r="U2045" s="633" t="str">
        <f>+CONCATENATE(WEEKNUM(Tabla8[[#This Row],[FECHA]]),"-",YEAR(Tabla8[[#This Row],[FECHA]]))</f>
        <v>27-2026</v>
      </c>
    </row>
    <row r="2046" spans="1:21" ht="15" customHeight="1">
      <c r="A2046" s="22">
        <v>46205</v>
      </c>
      <c r="B2046" s="16" t="s">
        <v>131</v>
      </c>
      <c r="C2046" s="16" t="s">
        <v>39</v>
      </c>
      <c r="D2046" s="381" t="s">
        <v>1499</v>
      </c>
      <c r="E2046" s="381" t="s">
        <v>478</v>
      </c>
      <c r="F2046" s="632">
        <f>+MOD(Tabla8[[#This Row],[HR. FIN]]-Tabla8[[#This Row],[HR. INICIO]],1)</f>
        <v>1.4583333333333393E-2</v>
      </c>
      <c r="G2046" s="16" t="s">
        <v>244</v>
      </c>
      <c r="H2046" s="79" t="str">
        <f>IFERROR(VLOOKUP(G2046,DATOS!$M$2:$N$219,2,FALSE),"")</f>
        <v>Maquinaria</v>
      </c>
      <c r="I2046" s="115" t="s">
        <v>245</v>
      </c>
      <c r="J2046" s="115" t="s">
        <v>157</v>
      </c>
      <c r="K2046" s="115"/>
      <c r="L2046" s="35" t="s">
        <v>3573</v>
      </c>
      <c r="M2046" s="35" t="s">
        <v>121</v>
      </c>
      <c r="N2046" s="35" t="str" cm="1">
        <f t="array" ref="N2046">IFERROR(IF(Tabla8[[#This Row],[P/NP]]="NO PROGRAMADA","",_xlfn.TEXTJOIN(", ",TRUE,_xlfn._xlws.FILTER(Tabla4[[#All],[PIEZA]],ISNUMBER(SEARCH(Tabla4[[#All],[PCLAVE]],Tabla8[[#This Row],[DESCRIPCION DE TRABAJO]])),""))),"")</f>
        <v/>
      </c>
      <c r="O2046" s="35" t="str" cm="1">
        <f t="array" ref="O2046">_xlfn.TEXTJOIN(", ",TRUE,_xlfn._xlws.FILTER(Tabla28[[#All],[PARTE]],ISNUMBER(SEARCH(Tabla28[[#All],[PCLAVE2]],Tabla8[[#This Row],[DESCRIPCION DE TRABAJO]])),""))</f>
        <v/>
      </c>
      <c r="P2046" s="633" t="str">
        <f t="shared" si="0"/>
        <v/>
      </c>
      <c r="Q2046" s="633" t="str">
        <f t="shared" si="1"/>
        <v/>
      </c>
      <c r="R2046" s="633" t="str">
        <f t="shared" si="2"/>
        <v/>
      </c>
      <c r="S2046" s="35" t="str" cm="1">
        <f t="array" ref="S2046">_xlfn.TEXTJOIN(", ",TRUE,_xlfn._xlws.FILTER(Tabla29[[#All],[PARTE]],ISNUMBER(SEARCH(Tabla29[[#All],[PCLAVE3]],Tabla8[[#This Row],[DESCRIPCION DE TRABAJO]])),""))</f>
        <v>Lubricacion</v>
      </c>
      <c r="T2046" s="88" t="str">
        <f>IF(AND(Tabla8[[#This Row],[PIEZA]]="",Tabla8[[#This Row],[PARTE]]=""),"VACIO","OK")</f>
        <v>VACIO</v>
      </c>
      <c r="U2046" s="633" t="str">
        <f>+CONCATENATE(WEEKNUM(Tabla8[[#This Row],[FECHA]]),"-",YEAR(Tabla8[[#This Row],[FECHA]]))</f>
        <v>27-2026</v>
      </c>
    </row>
    <row r="2047" spans="1:21" ht="15" customHeight="1">
      <c r="A2047" s="22">
        <v>46205</v>
      </c>
      <c r="B2047" s="16" t="s">
        <v>131</v>
      </c>
      <c r="C2047" s="16" t="s">
        <v>39</v>
      </c>
      <c r="D2047" s="381" t="s">
        <v>3574</v>
      </c>
      <c r="E2047" s="381" t="s">
        <v>118</v>
      </c>
      <c r="F2047" s="632">
        <f>+MOD(Tabla8[[#This Row],[HR. FIN]]-Tabla8[[#This Row],[HR. INICIO]],1)</f>
        <v>6.2499999999999778E-3</v>
      </c>
      <c r="G2047" s="16" t="s">
        <v>153</v>
      </c>
      <c r="H2047" s="79" t="str">
        <f>IFERROR(VLOOKUP(G2047,DATOS!$M$2:$N$219,2,FALSE),"")</f>
        <v>Maquinaria</v>
      </c>
      <c r="I2047" s="115" t="s">
        <v>57</v>
      </c>
      <c r="J2047" s="115" t="s">
        <v>157</v>
      </c>
      <c r="K2047" s="115"/>
      <c r="L2047" s="35" t="s">
        <v>3575</v>
      </c>
      <c r="M2047" s="35" t="s">
        <v>121</v>
      </c>
      <c r="N2047" s="35" t="str" cm="1">
        <f t="array" ref="N2047">IFERROR(IF(Tabla8[[#This Row],[P/NP]]="NO PROGRAMADA","",_xlfn.TEXTJOIN(", ",TRUE,_xlfn._xlws.FILTER(Tabla4[[#All],[PIEZA]],ISNUMBER(SEARCH(Tabla4[[#All],[PCLAVE]],Tabla8[[#This Row],[DESCRIPCION DE TRABAJO]])),""))),"")</f>
        <v>Cuchilla</v>
      </c>
      <c r="O2047" s="35" t="str" cm="1">
        <f t="array" ref="O2047">_xlfn.TEXTJOIN(", ",TRUE,_xlfn._xlws.FILTER(Tabla28[[#All],[PARTE]],ISNUMBER(SEARCH(Tabla28[[#All],[PCLAVE2]],Tabla8[[#This Row],[DESCRIPCION DE TRABAJO]])),""))</f>
        <v/>
      </c>
      <c r="P2047" s="633" t="str">
        <f t="shared" si="0"/>
        <v/>
      </c>
      <c r="Q2047" s="633" t="str">
        <f t="shared" si="1"/>
        <v/>
      </c>
      <c r="R2047" s="633" t="str">
        <f t="shared" si="2"/>
        <v/>
      </c>
      <c r="S2047" s="35" t="str" cm="1">
        <f t="array" ref="S2047">_xlfn.TEXTJOIN(", ",TRUE,_xlfn._xlws.FILTER(Tabla29[[#All],[PARTE]],ISNUMBER(SEARCH(Tabla29[[#All],[PCLAVE3]],Tabla8[[#This Row],[DESCRIPCION DE TRABAJO]])),""))</f>
        <v>Calibracion, Cambio De Formato</v>
      </c>
      <c r="T2047" s="88" t="str">
        <f>IF(AND(Tabla8[[#This Row],[PIEZA]]="",Tabla8[[#This Row],[PARTE]]=""),"VACIO","OK")</f>
        <v>OK</v>
      </c>
      <c r="U2047" s="633" t="str">
        <f>+CONCATENATE(WEEKNUM(Tabla8[[#This Row],[FECHA]]),"-",YEAR(Tabla8[[#This Row],[FECHA]]))</f>
        <v>27-2026</v>
      </c>
    </row>
    <row r="2048" spans="1:21" ht="15" customHeight="1">
      <c r="A2048" s="22">
        <v>46205</v>
      </c>
      <c r="B2048" s="16" t="s">
        <v>131</v>
      </c>
      <c r="C2048" s="16" t="s">
        <v>39</v>
      </c>
      <c r="D2048" s="381" t="s">
        <v>660</v>
      </c>
      <c r="E2048" s="381" t="s">
        <v>421</v>
      </c>
      <c r="F2048" s="632">
        <f>+MOD(Tabla8[[#This Row],[HR. FIN]]-Tabla8[[#This Row],[HR. INICIO]],1)</f>
        <v>2.777777777777779E-2</v>
      </c>
      <c r="G2048" s="16" t="s">
        <v>140</v>
      </c>
      <c r="H2048" s="79" t="str">
        <f>IFERROR(VLOOKUP(G2048,DATOS!$M$2:$N$219,2,FALSE),"")</f>
        <v>Maquinaria</v>
      </c>
      <c r="I2048" s="115" t="s">
        <v>57</v>
      </c>
      <c r="J2048" s="115" t="s">
        <v>92</v>
      </c>
      <c r="K2048" s="115" t="s">
        <v>93</v>
      </c>
      <c r="L2048" s="35" t="s">
        <v>3576</v>
      </c>
      <c r="M2048" s="35" t="s">
        <v>3577</v>
      </c>
      <c r="N2048" s="35" t="str" cm="1">
        <f t="array" ref="N2048">IFERROR(IF(Tabla8[[#This Row],[P/NP]]="NO PROGRAMADA","",_xlfn.TEXTJOIN(", ",TRUE,_xlfn._xlws.FILTER(Tabla4[[#All],[PIEZA]],ISNUMBER(SEARCH(Tabla4[[#All],[PCLAVE]],Tabla8[[#This Row],[DESCRIPCION DE TRABAJO]])),""))),"")</f>
        <v/>
      </c>
      <c r="O2048" s="35" t="str" cm="1">
        <f t="array" ref="O2048">_xlfn.TEXTJOIN(", ",TRUE,_xlfn._xlws.FILTER(Tabla28[[#All],[PARTE]],ISNUMBER(SEARCH(Tabla28[[#All],[PCLAVE2]],Tabla8[[#This Row],[DESCRIPCION DE TRABAJO]])),""))</f>
        <v/>
      </c>
      <c r="P2048" s="633" t="str">
        <f t="shared" si="0"/>
        <v/>
      </c>
      <c r="Q2048" s="633" t="str">
        <f t="shared" si="1"/>
        <v/>
      </c>
      <c r="R2048" s="633" t="str">
        <f t="shared" si="2"/>
        <v/>
      </c>
      <c r="S2048" s="35" t="str" cm="1">
        <f t="array" ref="S2048">_xlfn.TEXTJOIN(", ",TRUE,_xlfn._xlws.FILTER(Tabla29[[#All],[PARTE]],ISNUMBER(SEARCH(Tabla29[[#All],[PCLAVE3]],Tabla8[[#This Row],[DESCRIPCION DE TRABAJO]])),""))</f>
        <v>Desalineado, Ruido</v>
      </c>
      <c r="T2048" s="88" t="str">
        <f>IF(AND(Tabla8[[#This Row],[PIEZA]]="",Tabla8[[#This Row],[PARTE]]=""),"VACIO","OK")</f>
        <v>VACIO</v>
      </c>
      <c r="U2048" s="633" t="str">
        <f>+CONCATENATE(WEEKNUM(Tabla8[[#This Row],[FECHA]]),"-",YEAR(Tabla8[[#This Row],[FECHA]]))</f>
        <v>27-2026</v>
      </c>
    </row>
    <row r="2049" spans="1:21" ht="15" customHeight="1">
      <c r="A2049" s="22">
        <v>46205</v>
      </c>
      <c r="B2049" s="16" t="s">
        <v>131</v>
      </c>
      <c r="C2049" s="16" t="s">
        <v>39</v>
      </c>
      <c r="D2049" s="381" t="s">
        <v>1696</v>
      </c>
      <c r="E2049" s="381" t="s">
        <v>1271</v>
      </c>
      <c r="F2049" s="632">
        <f>+MOD(Tabla8[[#This Row],[HR. FIN]]-Tabla8[[#This Row],[HR. INICIO]],1)</f>
        <v>2.3611111111111138E-2</v>
      </c>
      <c r="G2049" s="16" t="s">
        <v>192</v>
      </c>
      <c r="H2049" s="79" t="str">
        <f>IFERROR(VLOOKUP(G2049,DATOS!$M$2:$N$219,2,FALSE),"")</f>
        <v>Maquinaria</v>
      </c>
      <c r="I2049" s="115" t="s">
        <v>57</v>
      </c>
      <c r="J2049" s="115" t="s">
        <v>92</v>
      </c>
      <c r="K2049" s="115" t="s">
        <v>93</v>
      </c>
      <c r="L2049" s="35" t="s">
        <v>3578</v>
      </c>
      <c r="M2049" s="35" t="s">
        <v>3579</v>
      </c>
      <c r="N2049" s="35" t="str" cm="1">
        <f t="array" ref="N2049">IFERROR(IF(Tabla8[[#This Row],[P/NP]]="NO PROGRAMADA","",_xlfn.TEXTJOIN(", ",TRUE,_xlfn._xlws.FILTER(Tabla4[[#All],[PIEZA]],ISNUMBER(SEARCH(Tabla4[[#All],[PCLAVE]],Tabla8[[#This Row],[DESCRIPCION DE TRABAJO]])),""))),"")</f>
        <v/>
      </c>
      <c r="O2049" s="35" t="str" cm="1">
        <f t="array" ref="O2049">_xlfn.TEXTJOIN(", ",TRUE,_xlfn._xlws.FILTER(Tabla28[[#All],[PARTE]],ISNUMBER(SEARCH(Tabla28[[#All],[PCLAVE2]],Tabla8[[#This Row],[DESCRIPCION DE TRABAJO]])),""))</f>
        <v/>
      </c>
      <c r="P2049" s="633" t="str">
        <f t="shared" si="0"/>
        <v/>
      </c>
      <c r="Q2049" s="633" t="str">
        <f t="shared" si="1"/>
        <v/>
      </c>
      <c r="R2049" s="633" t="str">
        <f t="shared" si="2"/>
        <v/>
      </c>
      <c r="S2049" s="35" t="str" cm="1">
        <f t="array" ref="S2049">_xlfn.TEXTJOIN(", ",TRUE,_xlfn._xlws.FILTER(Tabla29[[#All],[PARTE]],ISNUMBER(SEARCH(Tabla29[[#All],[PCLAVE3]],Tabla8[[#This Row],[DESCRIPCION DE TRABAJO]])),""))</f>
        <v>Rotura, Sellado</v>
      </c>
      <c r="T2049" s="88" t="str">
        <f>IF(AND(Tabla8[[#This Row],[PIEZA]]="",Tabla8[[#This Row],[PARTE]]=""),"VACIO","OK")</f>
        <v>VACIO</v>
      </c>
      <c r="U2049" s="633" t="str">
        <f>+CONCATENATE(WEEKNUM(Tabla8[[#This Row],[FECHA]]),"-",YEAR(Tabla8[[#This Row],[FECHA]]))</f>
        <v>27-2026</v>
      </c>
    </row>
    <row r="2050" spans="1:21" ht="15" customHeight="1">
      <c r="A2050" s="22">
        <v>46205</v>
      </c>
      <c r="B2050" s="16" t="s">
        <v>131</v>
      </c>
      <c r="C2050" s="16" t="s">
        <v>39</v>
      </c>
      <c r="D2050" s="381" t="s">
        <v>1290</v>
      </c>
      <c r="E2050" s="381" t="s">
        <v>862</v>
      </c>
      <c r="F2050" s="632">
        <f>+MOD(Tabla8[[#This Row],[HR. FIN]]-Tabla8[[#This Row],[HR. INICIO]],1)</f>
        <v>1.7361111111111112E-2</v>
      </c>
      <c r="G2050" s="16" t="s">
        <v>119</v>
      </c>
      <c r="H2050" s="79" t="str">
        <f>IFERROR(VLOOKUP(G2050,DATOS!$M$2:$N$219,2,FALSE),"")</f>
        <v>Maquinaria</v>
      </c>
      <c r="I2050" s="115" t="s">
        <v>32</v>
      </c>
      <c r="J2050" s="115" t="s">
        <v>157</v>
      </c>
      <c r="K2050" s="115"/>
      <c r="L2050" s="35" t="s">
        <v>3580</v>
      </c>
      <c r="M2050" s="35" t="s">
        <v>121</v>
      </c>
      <c r="N2050" s="35" t="str" cm="1">
        <f t="array" ref="N2050">IFERROR(IF(Tabla8[[#This Row],[P/NP]]="NO PROGRAMADA","",_xlfn.TEXTJOIN(", ",TRUE,_xlfn._xlws.FILTER(Tabla4[[#All],[PIEZA]],ISNUMBER(SEARCH(Tabla4[[#All],[PCLAVE]],Tabla8[[#This Row],[DESCRIPCION DE TRABAJO]])),""))),"")</f>
        <v/>
      </c>
      <c r="O2050" s="35" t="str" cm="1">
        <f t="array" ref="O2050">_xlfn.TEXTJOIN(", ",TRUE,_xlfn._xlws.FILTER(Tabla28[[#All],[PARTE]],ISNUMBER(SEARCH(Tabla28[[#All],[PCLAVE2]],Tabla8[[#This Row],[DESCRIPCION DE TRABAJO]])),""))</f>
        <v>Mds</v>
      </c>
      <c r="P2050" s="633" t="str">
        <f t="shared" si="0"/>
        <v>Mds</v>
      </c>
      <c r="Q2050" s="633" t="str">
        <f t="shared" si="1"/>
        <v/>
      </c>
      <c r="R2050" s="633" t="str">
        <f t="shared" si="2"/>
        <v/>
      </c>
      <c r="S2050" s="35" t="str" cm="1">
        <f t="array" ref="S2050">_xlfn.TEXTJOIN(", ",TRUE,_xlfn._xlws.FILTER(Tabla29[[#All],[PARTE]],ISNUMBER(SEARCH(Tabla29[[#All],[PCLAVE3]],Tabla8[[#This Row],[DESCRIPCION DE TRABAJO]])),""))</f>
        <v>Cambio De Formato</v>
      </c>
      <c r="T2050" s="88" t="str">
        <f>IF(AND(Tabla8[[#This Row],[PIEZA]]="",Tabla8[[#This Row],[PARTE]]=""),"VACIO","OK")</f>
        <v>OK</v>
      </c>
      <c r="U2050" s="633" t="str">
        <f>+CONCATENATE(WEEKNUM(Tabla8[[#This Row],[FECHA]]),"-",YEAR(Tabla8[[#This Row],[FECHA]]))</f>
        <v>27-2026</v>
      </c>
    </row>
    <row r="2051" spans="1:21" ht="15" customHeight="1">
      <c r="A2051" s="22">
        <v>46205</v>
      </c>
      <c r="B2051" s="16" t="s">
        <v>131</v>
      </c>
      <c r="C2051" s="16" t="s">
        <v>39</v>
      </c>
      <c r="D2051" s="381" t="s">
        <v>1264</v>
      </c>
      <c r="E2051" s="381" t="s">
        <v>112</v>
      </c>
      <c r="F2051" s="632">
        <f>+MOD(Tabla8[[#This Row],[HR. FIN]]-Tabla8[[#This Row],[HR. INICIO]],1)</f>
        <v>1.3888888888888888E-2</v>
      </c>
      <c r="G2051" s="16" t="s">
        <v>192</v>
      </c>
      <c r="H2051" s="79" t="str">
        <f>IFERROR(VLOOKUP(G2051,DATOS!$M$2:$N$219,2,FALSE),"")</f>
        <v>Maquinaria</v>
      </c>
      <c r="I2051" s="115" t="s">
        <v>54</v>
      </c>
      <c r="J2051" s="115" t="s">
        <v>157</v>
      </c>
      <c r="K2051" s="115"/>
      <c r="L2051" s="35" t="s">
        <v>225</v>
      </c>
      <c r="M2051" s="35" t="s">
        <v>249</v>
      </c>
      <c r="N2051" s="35" t="str" cm="1">
        <f t="array" ref="N2051">IFERROR(IF(Tabla8[[#This Row],[P/NP]]="NO PROGRAMADA","",_xlfn.TEXTJOIN(", ",TRUE,_xlfn._xlws.FILTER(Tabla4[[#All],[PIEZA]],ISNUMBER(SEARCH(Tabla4[[#All],[PCLAVE]],Tabla8[[#This Row],[DESCRIPCION DE TRABAJO]])),""))),"")</f>
        <v/>
      </c>
      <c r="O2051" s="35" t="str" cm="1">
        <f t="array" ref="O2051">_xlfn.TEXTJOIN(", ",TRUE,_xlfn._xlws.FILTER(Tabla28[[#All],[PARTE]],ISNUMBER(SEARCH(Tabla28[[#All],[PCLAVE2]],Tabla8[[#This Row],[DESCRIPCION DE TRABAJO]])),""))</f>
        <v/>
      </c>
      <c r="P2051" s="633" t="str">
        <f t="shared" si="0"/>
        <v/>
      </c>
      <c r="Q2051" s="633" t="str">
        <f t="shared" si="1"/>
        <v/>
      </c>
      <c r="R2051" s="633" t="str">
        <f t="shared" si="2"/>
        <v/>
      </c>
      <c r="S2051" s="35" t="str" cm="1">
        <f t="array" ref="S2051">_xlfn.TEXTJOIN(", ",TRUE,_xlfn._xlws.FILTER(Tabla29[[#All],[PARTE]],ISNUMBER(SEARCH(Tabla29[[#All],[PCLAVE3]],Tabla8[[#This Row],[DESCRIPCION DE TRABAJO]])),""))</f>
        <v/>
      </c>
      <c r="T2051" s="88" t="str">
        <f>IF(AND(Tabla8[[#This Row],[PIEZA]]="",Tabla8[[#This Row],[PARTE]]=""),"VACIO","OK")</f>
        <v>VACIO</v>
      </c>
      <c r="U2051" s="633" t="str">
        <f>+CONCATENATE(WEEKNUM(Tabla8[[#This Row],[FECHA]]),"-",YEAR(Tabla8[[#This Row],[FECHA]]))</f>
        <v>27-2026</v>
      </c>
    </row>
    <row r="2052" spans="1:21" ht="15" customHeight="1">
      <c r="A2052" s="22">
        <v>46205</v>
      </c>
      <c r="B2052" s="16" t="s">
        <v>131</v>
      </c>
      <c r="C2052" s="16" t="s">
        <v>39</v>
      </c>
      <c r="D2052" s="381" t="s">
        <v>1559</v>
      </c>
      <c r="E2052" s="381" t="s">
        <v>113</v>
      </c>
      <c r="F2052" s="632">
        <f>+MOD(Tabla8[[#This Row],[HR. FIN]]-Tabla8[[#This Row],[HR. INICIO]],1)</f>
        <v>2.4305555555555559E-2</v>
      </c>
      <c r="G2052" s="16" t="s">
        <v>119</v>
      </c>
      <c r="H2052" s="79" t="str">
        <f>IFERROR(VLOOKUP(G2052,DATOS!$M$2:$N$219,2,FALSE),"")</f>
        <v>Maquinaria</v>
      </c>
      <c r="I2052" s="115" t="s">
        <v>32</v>
      </c>
      <c r="J2052" s="115" t="s">
        <v>157</v>
      </c>
      <c r="K2052" s="115"/>
      <c r="L2052" s="35" t="s">
        <v>1014</v>
      </c>
      <c r="M2052" s="35" t="s">
        <v>121</v>
      </c>
      <c r="N2052" s="35" t="str" cm="1">
        <f t="array" ref="N2052">IFERROR(IF(Tabla8[[#This Row],[P/NP]]="NO PROGRAMADA","",_xlfn.TEXTJOIN(", ",TRUE,_xlfn._xlws.FILTER(Tabla4[[#All],[PIEZA]],ISNUMBER(SEARCH(Tabla4[[#All],[PCLAVE]],Tabla8[[#This Row],[DESCRIPCION DE TRABAJO]])),""))),"")</f>
        <v/>
      </c>
      <c r="O2052" s="35" t="str" cm="1">
        <f t="array" ref="O2052">_xlfn.TEXTJOIN(", ",TRUE,_xlfn._xlws.FILTER(Tabla28[[#All],[PARTE]],ISNUMBER(SEARCH(Tabla28[[#All],[PCLAVE2]],Tabla8[[#This Row],[DESCRIPCION DE TRABAJO]])),""))</f>
        <v>Mds</v>
      </c>
      <c r="P2052" s="633" t="str">
        <f t="shared" si="0"/>
        <v>Mds</v>
      </c>
      <c r="Q2052" s="633" t="str">
        <f t="shared" si="1"/>
        <v/>
      </c>
      <c r="R2052" s="633" t="str">
        <f t="shared" si="2"/>
        <v/>
      </c>
      <c r="S2052" s="35" t="str" cm="1">
        <f t="array" ref="S2052">_xlfn.TEXTJOIN(", ",TRUE,_xlfn._xlws.FILTER(Tabla29[[#All],[PARTE]],ISNUMBER(SEARCH(Tabla29[[#All],[PCLAVE3]],Tabla8[[#This Row],[DESCRIPCION DE TRABAJO]])),""))</f>
        <v>Cambio De Formato</v>
      </c>
      <c r="T2052" s="88" t="str">
        <f>IF(AND(Tabla8[[#This Row],[PIEZA]]="",Tabla8[[#This Row],[PARTE]]=""),"VACIO","OK")</f>
        <v>OK</v>
      </c>
      <c r="U2052" s="633" t="str">
        <f>+CONCATENATE(WEEKNUM(Tabla8[[#This Row],[FECHA]]),"-",YEAR(Tabla8[[#This Row],[FECHA]]))</f>
        <v>27-2026</v>
      </c>
    </row>
    <row r="2053" spans="1:21" ht="15" customHeight="1">
      <c r="A2053" s="22">
        <v>46205</v>
      </c>
      <c r="B2053" s="16" t="s">
        <v>131</v>
      </c>
      <c r="C2053" s="16" t="s">
        <v>39</v>
      </c>
      <c r="D2053" s="381" t="s">
        <v>2496</v>
      </c>
      <c r="E2053" s="381" t="s">
        <v>2315</v>
      </c>
      <c r="F2053" s="632">
        <f>+MOD(Tabla8[[#This Row],[HR. FIN]]-Tabla8[[#This Row],[HR. INICIO]],1)</f>
        <v>1.4583333333333337E-2</v>
      </c>
      <c r="G2053" s="16" t="s">
        <v>2256</v>
      </c>
      <c r="H2053" s="79" t="str">
        <f>IFERROR(VLOOKUP(G2053,DATOS!$M$2:$N$219,2,FALSE),"")</f>
        <v>Maquinaria</v>
      </c>
      <c r="I2053" s="115" t="s">
        <v>54</v>
      </c>
      <c r="J2053" s="115" t="s">
        <v>157</v>
      </c>
      <c r="K2053" s="115"/>
      <c r="L2053" s="35" t="s">
        <v>154</v>
      </c>
      <c r="M2053" s="35" t="s">
        <v>121</v>
      </c>
      <c r="N2053" s="35" t="str" cm="1">
        <f t="array" ref="N2053">IFERROR(IF(Tabla8[[#This Row],[P/NP]]="NO PROGRAMADA","",_xlfn.TEXTJOIN(", ",TRUE,_xlfn._xlws.FILTER(Tabla4[[#All],[PIEZA]],ISNUMBER(SEARCH(Tabla4[[#All],[PCLAVE]],Tabla8[[#This Row],[DESCRIPCION DE TRABAJO]])),""))),"")</f>
        <v/>
      </c>
      <c r="O2053" s="35" t="str" cm="1">
        <f t="array" ref="O2053">_xlfn.TEXTJOIN(", ",TRUE,_xlfn._xlws.FILTER(Tabla28[[#All],[PARTE]],ISNUMBER(SEARCH(Tabla28[[#All],[PCLAVE2]],Tabla8[[#This Row],[DESCRIPCION DE TRABAJO]])),""))</f>
        <v/>
      </c>
      <c r="P2053" s="633" t="str">
        <f t="shared" si="0"/>
        <v/>
      </c>
      <c r="Q2053" s="633" t="str">
        <f t="shared" si="1"/>
        <v/>
      </c>
      <c r="R2053" s="633" t="str">
        <f t="shared" si="2"/>
        <v/>
      </c>
      <c r="S2053" s="35" t="str" cm="1">
        <f t="array" ref="S2053">_xlfn.TEXTJOIN(", ",TRUE,_xlfn._xlws.FILTER(Tabla29[[#All],[PARTE]],ISNUMBER(SEARCH(Tabla29[[#All],[PCLAVE3]],Tabla8[[#This Row],[DESCRIPCION DE TRABAJO]])),""))</f>
        <v/>
      </c>
      <c r="T2053" s="88" t="str">
        <f>IF(AND(Tabla8[[#This Row],[PIEZA]]="",Tabla8[[#This Row],[PARTE]]=""),"VACIO","OK")</f>
        <v>VACIO</v>
      </c>
      <c r="U2053" s="633" t="str">
        <f>+CONCATENATE(WEEKNUM(Tabla8[[#This Row],[FECHA]]),"-",YEAR(Tabla8[[#This Row],[FECHA]]))</f>
        <v>27-2026</v>
      </c>
    </row>
    <row r="2054" spans="1:21" ht="15" customHeight="1">
      <c r="A2054" s="22">
        <v>46205</v>
      </c>
      <c r="B2054" s="16" t="s">
        <v>131</v>
      </c>
      <c r="C2054" s="16" t="s">
        <v>39</v>
      </c>
      <c r="D2054" s="381" t="s">
        <v>434</v>
      </c>
      <c r="E2054" s="381" t="s">
        <v>873</v>
      </c>
      <c r="F2054" s="632">
        <f>+MOD(Tabla8[[#This Row],[HR. FIN]]-Tabla8[[#This Row],[HR. INICIO]],1)</f>
        <v>2.0833333333333315E-2</v>
      </c>
      <c r="G2054" s="16" t="s">
        <v>119</v>
      </c>
      <c r="H2054" s="79" t="str">
        <f>IFERROR(VLOOKUP(G2054,DATOS!$M$2:$N$219,2,FALSE),"")</f>
        <v>Maquinaria</v>
      </c>
      <c r="I2054" s="115" t="s">
        <v>54</v>
      </c>
      <c r="J2054" s="115" t="s">
        <v>157</v>
      </c>
      <c r="K2054" s="115"/>
      <c r="L2054" s="35" t="s">
        <v>225</v>
      </c>
      <c r="M2054" s="35" t="s">
        <v>121</v>
      </c>
      <c r="N2054" s="35" t="str" cm="1">
        <f t="array" ref="N2054">IFERROR(IF(Tabla8[[#This Row],[P/NP]]="NO PROGRAMADA","",_xlfn.TEXTJOIN(", ",TRUE,_xlfn._xlws.FILTER(Tabla4[[#All],[PIEZA]],ISNUMBER(SEARCH(Tabla4[[#All],[PCLAVE]],Tabla8[[#This Row],[DESCRIPCION DE TRABAJO]])),""))),"")</f>
        <v/>
      </c>
      <c r="O2054" s="35" t="str" cm="1">
        <f t="array" ref="O2054">_xlfn.TEXTJOIN(", ",TRUE,_xlfn._xlws.FILTER(Tabla28[[#All],[PARTE]],ISNUMBER(SEARCH(Tabla28[[#All],[PCLAVE2]],Tabla8[[#This Row],[DESCRIPCION DE TRABAJO]])),""))</f>
        <v/>
      </c>
      <c r="P2054" s="633" t="str">
        <f t="shared" si="0"/>
        <v/>
      </c>
      <c r="Q2054" s="633" t="str">
        <f t="shared" si="1"/>
        <v/>
      </c>
      <c r="R2054" s="633" t="str">
        <f t="shared" si="2"/>
        <v/>
      </c>
      <c r="S2054" s="35" t="str" cm="1">
        <f t="array" ref="S2054">_xlfn.TEXTJOIN(", ",TRUE,_xlfn._xlws.FILTER(Tabla29[[#All],[PARTE]],ISNUMBER(SEARCH(Tabla29[[#All],[PCLAVE3]],Tabla8[[#This Row],[DESCRIPCION DE TRABAJO]])),""))</f>
        <v/>
      </c>
      <c r="T2054" s="88" t="str">
        <f>IF(AND(Tabla8[[#This Row],[PIEZA]]="",Tabla8[[#This Row],[PARTE]]=""),"VACIO","OK")</f>
        <v>VACIO</v>
      </c>
      <c r="U2054" s="633" t="str">
        <f>+CONCATENATE(WEEKNUM(Tabla8[[#This Row],[FECHA]]),"-",YEAR(Tabla8[[#This Row],[FECHA]]))</f>
        <v>27-2026</v>
      </c>
    </row>
    <row r="2055" spans="1:21" ht="15" customHeight="1">
      <c r="A2055" s="22">
        <v>46205</v>
      </c>
      <c r="B2055" s="16" t="s">
        <v>111</v>
      </c>
      <c r="C2055" s="16" t="s">
        <v>23</v>
      </c>
      <c r="D2055" s="381" t="s">
        <v>946</v>
      </c>
      <c r="E2055" s="381" t="s">
        <v>281</v>
      </c>
      <c r="F2055" s="632">
        <f>+MOD(Tabla8[[#This Row],[HR. FIN]]-Tabla8[[#This Row],[HR. INICIO]],1)</f>
        <v>3.472222222222221E-2</v>
      </c>
      <c r="G2055" s="16" t="s">
        <v>103</v>
      </c>
      <c r="H2055" s="79" t="str">
        <f>IFERROR(VLOOKUP(G2055,DATOS!$M$2:$N$219,2,FALSE),"")</f>
        <v>Area</v>
      </c>
      <c r="I2055" s="115" t="s">
        <v>54</v>
      </c>
      <c r="J2055" s="115" t="s">
        <v>157</v>
      </c>
      <c r="K2055" s="115"/>
      <c r="L2055" s="35" t="s">
        <v>1191</v>
      </c>
      <c r="M2055" s="35" t="s">
        <v>121</v>
      </c>
      <c r="N2055" s="35" t="str" cm="1">
        <f t="array" ref="N2055">IFERROR(IF(Tabla8[[#This Row],[P/NP]]="NO PROGRAMADA","",_xlfn.TEXTJOIN(", ",TRUE,_xlfn._xlws.FILTER(Tabla4[[#All],[PIEZA]],ISNUMBER(SEARCH(Tabla4[[#All],[PCLAVE]],Tabla8[[#This Row],[DESCRIPCION DE TRABAJO]])),""))),"")</f>
        <v/>
      </c>
      <c r="O2055" s="35" t="str" cm="1">
        <f t="array" ref="O2055">_xlfn.TEXTJOIN(", ",TRUE,_xlfn._xlws.FILTER(Tabla28[[#All],[PARTE]],ISNUMBER(SEARCH(Tabla28[[#All],[PCLAVE2]],Tabla8[[#This Row],[DESCRIPCION DE TRABAJO]])),""))</f>
        <v/>
      </c>
      <c r="P2055" s="633" t="str">
        <f t="shared" si="0"/>
        <v/>
      </c>
      <c r="Q2055" s="633" t="str">
        <f t="shared" si="1"/>
        <v/>
      </c>
      <c r="R2055" s="633" t="str">
        <f t="shared" si="2"/>
        <v/>
      </c>
      <c r="S2055" s="35" t="str" cm="1">
        <f t="array" ref="S2055">_xlfn.TEXTJOIN(", ",TRUE,_xlfn._xlws.FILTER(Tabla29[[#All],[PARTE]],ISNUMBER(SEARCH(Tabla29[[#All],[PCLAVE3]],Tabla8[[#This Row],[DESCRIPCION DE TRABAJO]])),""))</f>
        <v/>
      </c>
      <c r="T2055" s="88" t="str">
        <f>IF(AND(Tabla8[[#This Row],[PIEZA]]="",Tabla8[[#This Row],[PARTE]]=""),"VACIO","OK")</f>
        <v>VACIO</v>
      </c>
      <c r="U2055" s="633" t="str">
        <f>+CONCATENATE(WEEKNUM(Tabla8[[#This Row],[FECHA]]),"-",YEAR(Tabla8[[#This Row],[FECHA]]))</f>
        <v>27-2026</v>
      </c>
    </row>
    <row r="2056" spans="1:21" ht="15" customHeight="1">
      <c r="A2056" s="22">
        <v>46205</v>
      </c>
      <c r="B2056" s="16" t="s">
        <v>111</v>
      </c>
      <c r="C2056" s="16" t="s">
        <v>23</v>
      </c>
      <c r="D2056" s="381" t="s">
        <v>1256</v>
      </c>
      <c r="E2056" s="381" t="s">
        <v>457</v>
      </c>
      <c r="F2056" s="632">
        <f>+MOD(Tabla8[[#This Row],[HR. FIN]]-Tabla8[[#This Row],[HR. INICIO]],1)</f>
        <v>1.041666666666663E-2</v>
      </c>
      <c r="G2056" s="16" t="s">
        <v>119</v>
      </c>
      <c r="H2056" s="79" t="str">
        <f>IFERROR(VLOOKUP(G2056,DATOS!$M$2:$N$219,2,FALSE),"")</f>
        <v>Maquinaria</v>
      </c>
      <c r="I2056" s="115" t="s">
        <v>61</v>
      </c>
      <c r="J2056" s="115" t="s">
        <v>157</v>
      </c>
      <c r="K2056" s="115"/>
      <c r="L2056" s="35" t="s">
        <v>3581</v>
      </c>
      <c r="M2056" s="35" t="s">
        <v>121</v>
      </c>
      <c r="N2056" s="35" t="str" cm="1">
        <f t="array" ref="N2056">IFERROR(IF(Tabla8[[#This Row],[P/NP]]="NO PROGRAMADA","",_xlfn.TEXTJOIN(", ",TRUE,_xlfn._xlws.FILTER(Tabla4[[#All],[PIEZA]],ISNUMBER(SEARCH(Tabla4[[#All],[PCLAVE]],Tabla8[[#This Row],[DESCRIPCION DE TRABAJO]])),""))),"")</f>
        <v/>
      </c>
      <c r="O2056" s="35" t="str" cm="1">
        <f t="array" ref="O2056">_xlfn.TEXTJOIN(", ",TRUE,_xlfn._xlws.FILTER(Tabla28[[#All],[PARTE]],ISNUMBER(SEARCH(Tabla28[[#All],[PCLAVE2]],Tabla8[[#This Row],[DESCRIPCION DE TRABAJO]])),""))</f>
        <v>Tanque</v>
      </c>
      <c r="P2056" s="633" t="str">
        <f t="shared" si="0"/>
        <v>Tanque</v>
      </c>
      <c r="Q2056" s="633" t="str">
        <f t="shared" si="1"/>
        <v/>
      </c>
      <c r="R2056" s="633" t="str">
        <f t="shared" si="2"/>
        <v/>
      </c>
      <c r="S2056" s="35" t="str" cm="1">
        <f t="array" ref="S2056">_xlfn.TEXTJOIN(", ",TRUE,_xlfn._xlws.FILTER(Tabla29[[#All],[PARTE]],ISNUMBER(SEARCH(Tabla29[[#All],[PCLAVE3]],Tabla8[[#This Row],[DESCRIPCION DE TRABAJO]])),""))</f>
        <v/>
      </c>
      <c r="T2056" s="88" t="str">
        <f>IF(AND(Tabla8[[#This Row],[PIEZA]]="",Tabla8[[#This Row],[PARTE]]=""),"VACIO","OK")</f>
        <v>OK</v>
      </c>
      <c r="U2056" s="633" t="str">
        <f>+CONCATENATE(WEEKNUM(Tabla8[[#This Row],[FECHA]]),"-",YEAR(Tabla8[[#This Row],[FECHA]]))</f>
        <v>27-2026</v>
      </c>
    </row>
    <row r="2057" spans="1:21" ht="15" customHeight="1">
      <c r="A2057" s="22">
        <v>46205</v>
      </c>
      <c r="B2057" s="16" t="s">
        <v>111</v>
      </c>
      <c r="C2057" s="16" t="s">
        <v>23</v>
      </c>
      <c r="D2057" s="381" t="s">
        <v>1704</v>
      </c>
      <c r="E2057" s="381" t="s">
        <v>1978</v>
      </c>
      <c r="F2057" s="632">
        <f>+MOD(Tabla8[[#This Row],[HR. FIN]]-Tabla8[[#This Row],[HR. INICIO]],1)</f>
        <v>1.736111111111116E-2</v>
      </c>
      <c r="G2057" s="16" t="s">
        <v>1470</v>
      </c>
      <c r="H2057" s="79" t="str">
        <f>IFERROR(VLOOKUP(G2057,DATOS!$M$2:$N$219,2,FALSE),"")</f>
        <v>Maquinaria</v>
      </c>
      <c r="I2057" s="115" t="s">
        <v>57</v>
      </c>
      <c r="J2057" s="115" t="s">
        <v>92</v>
      </c>
      <c r="K2057" s="115" t="s">
        <v>148</v>
      </c>
      <c r="L2057" s="35" t="s">
        <v>3582</v>
      </c>
      <c r="M2057" s="35" t="s">
        <v>3583</v>
      </c>
      <c r="N2057" s="35" t="str" cm="1">
        <f t="array" ref="N2057">IFERROR(IF(Tabla8[[#This Row],[P/NP]]="NO PROGRAMADA","",_xlfn.TEXTJOIN(", ",TRUE,_xlfn._xlws.FILTER(Tabla4[[#All],[PIEZA]],ISNUMBER(SEARCH(Tabla4[[#All],[PCLAVE]],Tabla8[[#This Row],[DESCRIPCION DE TRABAJO]])),""))),"")</f>
        <v/>
      </c>
      <c r="O2057" s="35" t="str" cm="1">
        <f t="array" ref="O2057">_xlfn.TEXTJOIN(", ",TRUE,_xlfn._xlws.FILTER(Tabla28[[#All],[PARTE]],ISNUMBER(SEARCH(Tabla28[[#All],[PCLAVE2]],Tabla8[[#This Row],[DESCRIPCION DE TRABAJO]])),""))</f>
        <v/>
      </c>
      <c r="P2057" s="633" t="str">
        <f t="shared" si="0"/>
        <v/>
      </c>
      <c r="Q2057" s="633" t="str">
        <f t="shared" si="1"/>
        <v/>
      </c>
      <c r="R2057" s="633" t="str">
        <f t="shared" si="2"/>
        <v/>
      </c>
      <c r="S2057" s="35" t="str" cm="1">
        <f t="array" ref="S2057">_xlfn.TEXTJOIN(", ",TRUE,_xlfn._xlws.FILTER(Tabla29[[#All],[PARTE]],ISNUMBER(SEARCH(Tabla29[[#All],[PCLAVE3]],Tabla8[[#This Row],[DESCRIPCION DE TRABAJO]])),""))</f>
        <v>Laminado</v>
      </c>
      <c r="T2057" s="88" t="str">
        <f>IF(AND(Tabla8[[#This Row],[PIEZA]]="",Tabla8[[#This Row],[PARTE]]=""),"VACIO","OK")</f>
        <v>VACIO</v>
      </c>
      <c r="U2057" s="633" t="str">
        <f>+CONCATENATE(WEEKNUM(Tabla8[[#This Row],[FECHA]]),"-",YEAR(Tabla8[[#This Row],[FECHA]]))</f>
        <v>27-2026</v>
      </c>
    </row>
    <row r="2058" spans="1:21" ht="15" customHeight="1">
      <c r="A2058" s="22">
        <v>46205</v>
      </c>
      <c r="B2058" s="16" t="s">
        <v>111</v>
      </c>
      <c r="C2058" s="16" t="s">
        <v>23</v>
      </c>
      <c r="D2058" s="381" t="s">
        <v>1674</v>
      </c>
      <c r="E2058" s="381" t="s">
        <v>274</v>
      </c>
      <c r="F2058" s="632">
        <f>+MOD(Tabla8[[#This Row],[HR. FIN]]-Tabla8[[#This Row],[HR. INICIO]],1)</f>
        <v>1.388888888888884E-2</v>
      </c>
      <c r="G2058" s="16" t="s">
        <v>119</v>
      </c>
      <c r="H2058" s="79" t="str">
        <f>IFERROR(VLOOKUP(G2058,DATOS!$M$2:$N$219,2,FALSE),"")</f>
        <v>Maquinaria</v>
      </c>
      <c r="I2058" s="115" t="s">
        <v>61</v>
      </c>
      <c r="J2058" s="115" t="s">
        <v>157</v>
      </c>
      <c r="K2058" s="115"/>
      <c r="L2058" s="35" t="s">
        <v>3584</v>
      </c>
      <c r="M2058" s="35" t="s">
        <v>121</v>
      </c>
      <c r="N2058" s="35" t="str" cm="1">
        <f t="array" ref="N2058">IFERROR(IF(Tabla8[[#This Row],[P/NP]]="NO PROGRAMADA","",_xlfn.TEXTJOIN(", ",TRUE,_xlfn._xlws.FILTER(Tabla4[[#All],[PIEZA]],ISNUMBER(SEARCH(Tabla4[[#All],[PCLAVE]],Tabla8[[#This Row],[DESCRIPCION DE TRABAJO]])),""))),"")</f>
        <v/>
      </c>
      <c r="O2058" s="35" t="str" cm="1">
        <f t="array" ref="O2058">_xlfn.TEXTJOIN(", ",TRUE,_xlfn._xlws.FILTER(Tabla28[[#All],[PARTE]],ISNUMBER(SEARCH(Tabla28[[#All],[PCLAVE2]],Tabla8[[#This Row],[DESCRIPCION DE TRABAJO]])),""))</f>
        <v>Sammfill</v>
      </c>
      <c r="P2058" s="633" t="str">
        <f t="shared" si="0"/>
        <v>Sammfill</v>
      </c>
      <c r="Q2058" s="633" t="str">
        <f t="shared" si="1"/>
        <v/>
      </c>
      <c r="R2058" s="633" t="str">
        <f t="shared" si="2"/>
        <v/>
      </c>
      <c r="S2058" s="35" t="str" cm="1">
        <f t="array" ref="S2058">_xlfn.TEXTJOIN(", ",TRUE,_xlfn._xlws.FILTER(Tabla29[[#All],[PARTE]],ISNUMBER(SEARCH(Tabla29[[#All],[PCLAVE3]],Tabla8[[#This Row],[DESCRIPCION DE TRABAJO]])),""))</f>
        <v/>
      </c>
      <c r="T2058" s="88" t="str">
        <f>IF(AND(Tabla8[[#This Row],[PIEZA]]="",Tabla8[[#This Row],[PARTE]]=""),"VACIO","OK")</f>
        <v>OK</v>
      </c>
      <c r="U2058" s="633" t="str">
        <f>+CONCATENATE(WEEKNUM(Tabla8[[#This Row],[FECHA]]),"-",YEAR(Tabla8[[#This Row],[FECHA]]))</f>
        <v>27-2026</v>
      </c>
    </row>
    <row r="2059" spans="1:21" ht="15" customHeight="1">
      <c r="A2059" s="22">
        <v>46205</v>
      </c>
      <c r="B2059" s="16" t="s">
        <v>111</v>
      </c>
      <c r="C2059" s="16" t="s">
        <v>23</v>
      </c>
      <c r="D2059" s="381" t="s">
        <v>450</v>
      </c>
      <c r="E2059" s="381" t="s">
        <v>957</v>
      </c>
      <c r="F2059" s="632">
        <f>+MOD(Tabla8[[#This Row],[HR. FIN]]-Tabla8[[#This Row],[HR. INICIO]],1)</f>
        <v>6.25E-2</v>
      </c>
      <c r="G2059" s="16" t="s">
        <v>192</v>
      </c>
      <c r="H2059" s="79" t="str">
        <f>IFERROR(VLOOKUP(G2059,DATOS!$M$2:$N$219,2,FALSE),"")</f>
        <v>Maquinaria</v>
      </c>
      <c r="I2059" s="115" t="s">
        <v>57</v>
      </c>
      <c r="J2059" s="115" t="s">
        <v>92</v>
      </c>
      <c r="K2059" s="115" t="s">
        <v>93</v>
      </c>
      <c r="L2059" s="35" t="s">
        <v>3585</v>
      </c>
      <c r="M2059" s="35" t="s">
        <v>3586</v>
      </c>
      <c r="N2059" s="35" t="str" cm="1">
        <f t="array" ref="N2059">IFERROR(IF(Tabla8[[#This Row],[P/NP]]="NO PROGRAMADA","",_xlfn.TEXTJOIN(", ",TRUE,_xlfn._xlws.FILTER(Tabla4[[#All],[PIEZA]],ISNUMBER(SEARCH(Tabla4[[#All],[PCLAVE]],Tabla8[[#This Row],[DESCRIPCION DE TRABAJO]])),""))),"")</f>
        <v/>
      </c>
      <c r="O2059" s="35" t="str" cm="1">
        <f t="array" ref="O2059">_xlfn.TEXTJOIN(", ",TRUE,_xlfn._xlws.FILTER(Tabla28[[#All],[PARTE]],ISNUMBER(SEARCH(Tabla28[[#All],[PCLAVE2]],Tabla8[[#This Row],[DESCRIPCION DE TRABAJO]])),""))</f>
        <v>Dosificador</v>
      </c>
      <c r="P2059" s="633" t="str">
        <f t="shared" si="0"/>
        <v>Dosificador</v>
      </c>
      <c r="Q2059" s="633" t="str">
        <f t="shared" si="1"/>
        <v/>
      </c>
      <c r="R2059" s="633" t="str">
        <f t="shared" si="2"/>
        <v/>
      </c>
      <c r="S2059" s="35" t="str" cm="1">
        <f t="array" ref="S2059">_xlfn.TEXTJOIN(", ",TRUE,_xlfn._xlws.FILTER(Tabla29[[#All],[PARTE]],ISNUMBER(SEARCH(Tabla29[[#All],[PCLAVE3]],Tabla8[[#This Row],[DESCRIPCION DE TRABAJO]])),""))</f>
        <v>No Dosifica</v>
      </c>
      <c r="T2059" s="88" t="str">
        <f>IF(AND(Tabla8[[#This Row],[PIEZA]]="",Tabla8[[#This Row],[PARTE]]=""),"VACIO","OK")</f>
        <v>OK</v>
      </c>
      <c r="U2059" s="633" t="str">
        <f>+CONCATENATE(WEEKNUM(Tabla8[[#This Row],[FECHA]]),"-",YEAR(Tabla8[[#This Row],[FECHA]]))</f>
        <v>27-2026</v>
      </c>
    </row>
    <row r="2060" spans="1:21" ht="15" customHeight="1">
      <c r="A2060" s="22">
        <v>46205</v>
      </c>
      <c r="B2060" s="16" t="s">
        <v>111</v>
      </c>
      <c r="C2060" s="16" t="s">
        <v>23</v>
      </c>
      <c r="D2060" s="381" t="s">
        <v>1107</v>
      </c>
      <c r="E2060" s="381" t="s">
        <v>2046</v>
      </c>
      <c r="F2060" s="632">
        <f>+MOD(Tabla8[[#This Row],[HR. FIN]]-Tabla8[[#This Row],[HR. INICIO]],1)</f>
        <v>1.3888888888888951E-2</v>
      </c>
      <c r="G2060" s="16" t="s">
        <v>119</v>
      </c>
      <c r="H2060" s="79" t="str">
        <f>IFERROR(VLOOKUP(G2060,DATOS!$M$2:$N$219,2,FALSE),"")</f>
        <v>Maquinaria</v>
      </c>
      <c r="I2060" s="115" t="s">
        <v>32</v>
      </c>
      <c r="J2060" s="115" t="s">
        <v>157</v>
      </c>
      <c r="K2060" s="115"/>
      <c r="L2060" s="35" t="s">
        <v>3587</v>
      </c>
      <c r="M2060" s="35" t="s">
        <v>121</v>
      </c>
      <c r="N2060" s="35" t="str" cm="1">
        <f t="array" ref="N2060">IFERROR(IF(Tabla8[[#This Row],[P/NP]]="NO PROGRAMADA","",_xlfn.TEXTJOIN(", ",TRUE,_xlfn._xlws.FILTER(Tabla4[[#All],[PIEZA]],ISNUMBER(SEARCH(Tabla4[[#All],[PCLAVE]],Tabla8[[#This Row],[DESCRIPCION DE TRABAJO]])),""))),"")</f>
        <v/>
      </c>
      <c r="O2060" s="35" t="str" cm="1">
        <f t="array" ref="O2060">_xlfn.TEXTJOIN(", ",TRUE,_xlfn._xlws.FILTER(Tabla28[[#All],[PARTE]],ISNUMBER(SEARCH(Tabla28[[#All],[PCLAVE2]],Tabla8[[#This Row],[DESCRIPCION DE TRABAJO]])),""))</f>
        <v>Sammfill</v>
      </c>
      <c r="P2060" s="633" t="str">
        <f t="shared" si="0"/>
        <v>Sammfill</v>
      </c>
      <c r="Q2060" s="633" t="str">
        <f t="shared" si="1"/>
        <v/>
      </c>
      <c r="R2060" s="633" t="str">
        <f t="shared" si="2"/>
        <v/>
      </c>
      <c r="S2060" s="35" t="str" cm="1">
        <f t="array" ref="S2060">_xlfn.TEXTJOIN(", ",TRUE,_xlfn._xlws.FILTER(Tabla29[[#All],[PARTE]],ISNUMBER(SEARCH(Tabla29[[#All],[PCLAVE3]],Tabla8[[#This Row],[DESCRIPCION DE TRABAJO]])),""))</f>
        <v/>
      </c>
      <c r="T2060" s="88" t="str">
        <f>IF(AND(Tabla8[[#This Row],[PIEZA]]="",Tabla8[[#This Row],[PARTE]]=""),"VACIO","OK")</f>
        <v>OK</v>
      </c>
      <c r="U2060" s="633" t="str">
        <f>+CONCATENATE(WEEKNUM(Tabla8[[#This Row],[FECHA]]),"-",YEAR(Tabla8[[#This Row],[FECHA]]))</f>
        <v>27-2026</v>
      </c>
    </row>
    <row r="2061" spans="1:21" ht="15" customHeight="1">
      <c r="A2061" s="22">
        <v>46205</v>
      </c>
      <c r="B2061" s="16" t="s">
        <v>111</v>
      </c>
      <c r="C2061" s="16" t="s">
        <v>23</v>
      </c>
      <c r="D2061" s="381" t="s">
        <v>268</v>
      </c>
      <c r="E2061" s="381" t="s">
        <v>584</v>
      </c>
      <c r="F2061" s="632">
        <f>+MOD(Tabla8[[#This Row],[HR. FIN]]-Tabla8[[#This Row],[HR. INICIO]],1)</f>
        <v>4.1666666666666741E-2</v>
      </c>
      <c r="G2061" s="16" t="s">
        <v>31</v>
      </c>
      <c r="H2061" s="79" t="str">
        <f>IFERROR(VLOOKUP(G2061,DATOS!$M$2:$N$219,2,FALSE),"")</f>
        <v>Maquinaria</v>
      </c>
      <c r="I2061" s="115" t="s">
        <v>32</v>
      </c>
      <c r="J2061" s="115" t="s">
        <v>157</v>
      </c>
      <c r="K2061" s="115"/>
      <c r="L2061" s="35" t="s">
        <v>3588</v>
      </c>
      <c r="M2061" s="35" t="s">
        <v>3589</v>
      </c>
      <c r="N2061" s="35" t="str" cm="1">
        <f t="array" ref="N2061">IFERROR(IF(Tabla8[[#This Row],[P/NP]]="NO PROGRAMADA","",_xlfn.TEXTJOIN(", ",TRUE,_xlfn._xlws.FILTER(Tabla4[[#All],[PIEZA]],ISNUMBER(SEARCH(Tabla4[[#All],[PCLAVE]],Tabla8[[#This Row],[DESCRIPCION DE TRABAJO]])),""))),"")</f>
        <v/>
      </c>
      <c r="O2061" s="35" t="str" cm="1">
        <f t="array" ref="O2061">_xlfn.TEXTJOIN(", ",TRUE,_xlfn._xlws.FILTER(Tabla28[[#All],[PARTE]],ISNUMBER(SEARCH(Tabla28[[#All],[PCLAVE2]],Tabla8[[#This Row],[DESCRIPCION DE TRABAJO]])),""))</f>
        <v/>
      </c>
      <c r="P2061" s="633" t="str">
        <f t="shared" si="0"/>
        <v/>
      </c>
      <c r="Q2061" s="633" t="str">
        <f t="shared" si="1"/>
        <v/>
      </c>
      <c r="R2061" s="633" t="str">
        <f t="shared" si="2"/>
        <v/>
      </c>
      <c r="S2061" s="35" t="str" cm="1">
        <f t="array" ref="S2061">_xlfn.TEXTJOIN(", ",TRUE,_xlfn._xlws.FILTER(Tabla29[[#All],[PARTE]],ISNUMBER(SEARCH(Tabla29[[#All],[PCLAVE3]],Tabla8[[#This Row],[DESCRIPCION DE TRABAJO]])),""))</f>
        <v>Cambio De Formato</v>
      </c>
      <c r="T2061" s="88" t="str">
        <f>IF(AND(Tabla8[[#This Row],[PIEZA]]="",Tabla8[[#This Row],[PARTE]]=""),"VACIO","OK")</f>
        <v>VACIO</v>
      </c>
      <c r="U2061" s="633" t="str">
        <f>+CONCATENATE(WEEKNUM(Tabla8[[#This Row],[FECHA]]),"-",YEAR(Tabla8[[#This Row],[FECHA]]))</f>
        <v>27-2026</v>
      </c>
    </row>
    <row r="2062" spans="1:21" ht="15" customHeight="1">
      <c r="A2062" s="22">
        <v>46205</v>
      </c>
      <c r="B2062" s="16" t="s">
        <v>111</v>
      </c>
      <c r="C2062" s="16" t="s">
        <v>23</v>
      </c>
      <c r="D2062" s="381" t="s">
        <v>577</v>
      </c>
      <c r="E2062" s="381" t="s">
        <v>579</v>
      </c>
      <c r="F2062" s="632">
        <f>+MOD(Tabla8[[#This Row],[HR. FIN]]-Tabla8[[#This Row],[HR. INICIO]],1)</f>
        <v>1.0416666666666741E-2</v>
      </c>
      <c r="G2062" s="16" t="s">
        <v>1465</v>
      </c>
      <c r="H2062" s="79" t="str">
        <f>IFERROR(VLOOKUP(G2062,DATOS!$M$2:$N$219,2,FALSE),"")</f>
        <v>Maquinaria</v>
      </c>
      <c r="I2062" s="115" t="s">
        <v>54</v>
      </c>
      <c r="J2062" s="115" t="s">
        <v>157</v>
      </c>
      <c r="K2062" s="115"/>
      <c r="L2062" s="35" t="s">
        <v>3590</v>
      </c>
      <c r="M2062" s="35" t="s">
        <v>121</v>
      </c>
      <c r="N2062" s="35" t="str" cm="1">
        <f t="array" ref="N2062">IFERROR(IF(Tabla8[[#This Row],[P/NP]]="NO PROGRAMADA","",_xlfn.TEXTJOIN(", ",TRUE,_xlfn._xlws.FILTER(Tabla4[[#All],[PIEZA]],ISNUMBER(SEARCH(Tabla4[[#All],[PCLAVE]],Tabla8[[#This Row],[DESCRIPCION DE TRABAJO]])),""))),"")</f>
        <v/>
      </c>
      <c r="O2062" s="35" t="str" cm="1">
        <f t="array" ref="O2062">_xlfn.TEXTJOIN(", ",TRUE,_xlfn._xlws.FILTER(Tabla28[[#All],[PARTE]],ISNUMBER(SEARCH(Tabla28[[#All],[PCLAVE2]],Tabla8[[#This Row],[DESCRIPCION DE TRABAJO]])),""))</f>
        <v/>
      </c>
      <c r="P2062" s="633" t="str">
        <f t="shared" si="0"/>
        <v/>
      </c>
      <c r="Q2062" s="633" t="str">
        <f t="shared" si="1"/>
        <v/>
      </c>
      <c r="R2062" s="633" t="str">
        <f t="shared" si="2"/>
        <v/>
      </c>
      <c r="S2062" s="35" t="str" cm="1">
        <f t="array" ref="S2062">_xlfn.TEXTJOIN(", ",TRUE,_xlfn._xlws.FILTER(Tabla29[[#All],[PARTE]],ISNUMBER(SEARCH(Tabla29[[#All],[PCLAVE3]],Tabla8[[#This Row],[DESCRIPCION DE TRABAJO]])),""))</f>
        <v/>
      </c>
      <c r="T2062" s="88" t="str">
        <f>IF(AND(Tabla8[[#This Row],[PIEZA]]="",Tabla8[[#This Row],[PARTE]]=""),"VACIO","OK")</f>
        <v>VACIO</v>
      </c>
      <c r="U2062" s="633" t="str">
        <f>+CONCATENATE(WEEKNUM(Tabla8[[#This Row],[FECHA]]),"-",YEAR(Tabla8[[#This Row],[FECHA]]))</f>
        <v>27-2026</v>
      </c>
    </row>
    <row r="2063" spans="1:21" ht="15" customHeight="1">
      <c r="A2063" s="22">
        <v>46205</v>
      </c>
      <c r="B2063" s="16" t="s">
        <v>179</v>
      </c>
      <c r="C2063" s="16" t="s">
        <v>23</v>
      </c>
      <c r="D2063" s="381" t="s">
        <v>106</v>
      </c>
      <c r="E2063" s="381" t="s">
        <v>468</v>
      </c>
      <c r="F2063" s="632">
        <f>+MOD(Tabla8[[#This Row],[HR. FIN]]-Tabla8[[#This Row],[HR. INICIO]],1)</f>
        <v>1.388888888888884E-2</v>
      </c>
      <c r="G2063" s="16" t="s">
        <v>215</v>
      </c>
      <c r="H2063" s="79" t="str">
        <f>IFERROR(VLOOKUP(G2063,DATOS!$M$2:$N$219,2,FALSE),"")</f>
        <v>Equipos auxiliares</v>
      </c>
      <c r="I2063" s="115" t="s">
        <v>54</v>
      </c>
      <c r="J2063" s="115" t="s">
        <v>157</v>
      </c>
      <c r="K2063" s="115"/>
      <c r="L2063" s="35" t="s">
        <v>3591</v>
      </c>
      <c r="M2063" s="35" t="s">
        <v>121</v>
      </c>
      <c r="N2063" s="35" t="str" cm="1">
        <f t="array" ref="N2063">IFERROR(IF(Tabla8[[#This Row],[P/NP]]="NO PROGRAMADA","",_xlfn.TEXTJOIN(", ",TRUE,_xlfn._xlws.FILTER(Tabla4[[#All],[PIEZA]],ISNUMBER(SEARCH(Tabla4[[#All],[PCLAVE]],Tabla8[[#This Row],[DESCRIPCION DE TRABAJO]])),""))),"")</f>
        <v/>
      </c>
      <c r="O2063" s="35" t="str" cm="1">
        <f t="array" ref="O2063">_xlfn.TEXTJOIN(", ",TRUE,_xlfn._xlws.FILTER(Tabla28[[#All],[PARTE]],ISNUMBER(SEARCH(Tabla28[[#All],[PCLAVE2]],Tabla8[[#This Row],[DESCRIPCION DE TRABAJO]])),""))</f>
        <v/>
      </c>
      <c r="P2063" s="633" t="str">
        <f t="shared" si="0"/>
        <v/>
      </c>
      <c r="Q2063" s="633" t="str">
        <f t="shared" si="1"/>
        <v/>
      </c>
      <c r="R2063" s="633" t="str">
        <f t="shared" si="2"/>
        <v/>
      </c>
      <c r="S2063" s="35" t="str" cm="1">
        <f t="array" ref="S2063">_xlfn.TEXTJOIN(", ",TRUE,_xlfn._xlws.FILTER(Tabla29[[#All],[PARTE]],ISNUMBER(SEARCH(Tabla29[[#All],[PCLAVE3]],Tabla8[[#This Row],[DESCRIPCION DE TRABAJO]])),""))</f>
        <v/>
      </c>
      <c r="T2063" s="88" t="str">
        <f>IF(AND(Tabla8[[#This Row],[PIEZA]]="",Tabla8[[#This Row],[PARTE]]=""),"VACIO","OK")</f>
        <v>VACIO</v>
      </c>
      <c r="U2063" s="633" t="str">
        <f>+CONCATENATE(WEEKNUM(Tabla8[[#This Row],[FECHA]]),"-",YEAR(Tabla8[[#This Row],[FECHA]]))</f>
        <v>27-2026</v>
      </c>
    </row>
    <row r="2064" spans="1:21" ht="15" customHeight="1">
      <c r="A2064" s="22">
        <v>46205</v>
      </c>
      <c r="B2064" s="16" t="s">
        <v>179</v>
      </c>
      <c r="C2064" s="16" t="s">
        <v>23</v>
      </c>
      <c r="D2064" s="381">
        <v>0.54861111111111116</v>
      </c>
      <c r="E2064" s="381">
        <v>0.5625</v>
      </c>
      <c r="F2064" s="632">
        <f>+MOD(Tabla8[[#This Row],[HR. FIN]]-Tabla8[[#This Row],[HR. INICIO]],1)</f>
        <v>1.388888888888884E-2</v>
      </c>
      <c r="G2064" s="16" t="s">
        <v>140</v>
      </c>
      <c r="H2064" s="79" t="str">
        <f>IFERROR(VLOOKUP(G2064,DATOS!$M$2:$N$219,2,FALSE),"")</f>
        <v>Maquinaria</v>
      </c>
      <c r="I2064" s="115" t="s">
        <v>32</v>
      </c>
      <c r="J2064" s="115" t="s">
        <v>157</v>
      </c>
      <c r="K2064" s="115"/>
      <c r="L2064" s="35" t="s">
        <v>3592</v>
      </c>
      <c r="M2064" s="35" t="s">
        <v>121</v>
      </c>
      <c r="N2064" s="35" t="str" cm="1">
        <f t="array" ref="N2064">IFERROR(IF(Tabla8[[#This Row],[P/NP]]="NO PROGRAMADA","",_xlfn.TEXTJOIN(", ",TRUE,_xlfn._xlws.FILTER(Tabla4[[#All],[PIEZA]],ISNUMBER(SEARCH(Tabla4[[#All],[PCLAVE]],Tabla8[[#This Row],[DESCRIPCION DE TRABAJO]])),""))),"")</f>
        <v/>
      </c>
      <c r="O2064" s="35" t="str" cm="1">
        <f t="array" ref="O2064">_xlfn.TEXTJOIN(", ",TRUE,_xlfn._xlws.FILTER(Tabla28[[#All],[PARTE]],ISNUMBER(SEARCH(Tabla28[[#All],[PCLAVE2]],Tabla8[[#This Row],[DESCRIPCION DE TRABAJO]])),""))</f>
        <v/>
      </c>
      <c r="P2064" s="633" t="str">
        <f t="shared" si="0"/>
        <v/>
      </c>
      <c r="Q2064" s="633" t="str">
        <f t="shared" si="1"/>
        <v/>
      </c>
      <c r="R2064" s="633" t="str">
        <f t="shared" si="2"/>
        <v/>
      </c>
      <c r="S2064" s="35" t="str" cm="1">
        <f t="array" ref="S2064">_xlfn.TEXTJOIN(", ",TRUE,_xlfn._xlws.FILTER(Tabla29[[#All],[PARTE]],ISNUMBER(SEARCH(Tabla29[[#All],[PCLAVE3]],Tabla8[[#This Row],[DESCRIPCION DE TRABAJO]])),""))</f>
        <v/>
      </c>
      <c r="T2064" s="88" t="str">
        <f>IF(AND(Tabla8[[#This Row],[PIEZA]]="",Tabla8[[#This Row],[PARTE]]=""),"VACIO","OK")</f>
        <v>VACIO</v>
      </c>
      <c r="U2064" s="633" t="str">
        <f>+CONCATENATE(WEEKNUM(Tabla8[[#This Row],[FECHA]]),"-",YEAR(Tabla8[[#This Row],[FECHA]]))</f>
        <v>27-2026</v>
      </c>
    </row>
    <row r="2065" spans="1:21" ht="15" customHeight="1">
      <c r="A2065" s="22">
        <v>46205</v>
      </c>
      <c r="B2065" s="16" t="s">
        <v>179</v>
      </c>
      <c r="C2065" s="16" t="s">
        <v>23</v>
      </c>
      <c r="D2065" s="381">
        <v>0.56944444444444442</v>
      </c>
      <c r="E2065" s="381">
        <v>0.59027777777777779</v>
      </c>
      <c r="F2065" s="632">
        <f>+MOD(Tabla8[[#This Row],[HR. FIN]]-Tabla8[[#This Row],[HR. INICIO]],1)</f>
        <v>2.083333333333337E-2</v>
      </c>
      <c r="G2065" s="16" t="s">
        <v>996</v>
      </c>
      <c r="H2065" s="79" t="str">
        <f>IFERROR(VLOOKUP(G2065,DATOS!$M$2:$N$219,2,FALSE),"")</f>
        <v>Area</v>
      </c>
      <c r="I2065" s="115" t="s">
        <v>186</v>
      </c>
      <c r="J2065" s="115" t="s">
        <v>92</v>
      </c>
      <c r="K2065" s="115" t="s">
        <v>93</v>
      </c>
      <c r="L2065" s="35" t="s">
        <v>3593</v>
      </c>
      <c r="M2065" s="35" t="s">
        <v>3594</v>
      </c>
      <c r="N2065" s="35" t="str" cm="1">
        <f t="array" ref="N2065">IFERROR(IF(Tabla8[[#This Row],[P/NP]]="NO PROGRAMADA","",_xlfn.TEXTJOIN(", ",TRUE,_xlfn._xlws.FILTER(Tabla4[[#All],[PIEZA]],ISNUMBER(SEARCH(Tabla4[[#All],[PCLAVE]],Tabla8[[#This Row],[DESCRIPCION DE TRABAJO]])),""))),"")</f>
        <v/>
      </c>
      <c r="O2065" s="35" t="str" cm="1">
        <f t="array" ref="O2065">_xlfn.TEXTJOIN(", ",TRUE,_xlfn._xlws.FILTER(Tabla28[[#All],[PARTE]],ISNUMBER(SEARCH(Tabla28[[#All],[PCLAVE2]],Tabla8[[#This Row],[DESCRIPCION DE TRABAJO]])),""))</f>
        <v/>
      </c>
      <c r="P2065" s="633" t="str">
        <f t="shared" si="0"/>
        <v/>
      </c>
      <c r="Q2065" s="633" t="str">
        <f t="shared" si="1"/>
        <v/>
      </c>
      <c r="R2065" s="633" t="str">
        <f t="shared" si="2"/>
        <v/>
      </c>
      <c r="S2065" s="35" t="str" cm="1">
        <f t="array" ref="S2065">_xlfn.TEXTJOIN(", ",TRUE,_xlfn._xlws.FILTER(Tabla29[[#All],[PARTE]],ISNUMBER(SEARCH(Tabla29[[#All],[PCLAVE3]],Tabla8[[#This Row],[DESCRIPCION DE TRABAJO]])),""))</f>
        <v/>
      </c>
      <c r="T2065" s="88" t="str">
        <f>IF(AND(Tabla8[[#This Row],[PIEZA]]="",Tabla8[[#This Row],[PARTE]]=""),"VACIO","OK")</f>
        <v>VACIO</v>
      </c>
      <c r="U2065" s="633" t="str">
        <f>+CONCATENATE(WEEKNUM(Tabla8[[#This Row],[FECHA]]),"-",YEAR(Tabla8[[#This Row],[FECHA]]))</f>
        <v>27-2026</v>
      </c>
    </row>
    <row r="2066" spans="1:21" ht="15" customHeight="1">
      <c r="A2066" s="22">
        <v>46205</v>
      </c>
      <c r="B2066" s="16" t="s">
        <v>179</v>
      </c>
      <c r="C2066" s="16" t="s">
        <v>23</v>
      </c>
      <c r="D2066" s="381">
        <v>0.59722222222222221</v>
      </c>
      <c r="E2066" s="381">
        <v>0.625</v>
      </c>
      <c r="F2066" s="632">
        <f>+MOD(Tabla8[[#This Row],[HR. FIN]]-Tabla8[[#This Row],[HR. INICIO]],1)</f>
        <v>2.777777777777779E-2</v>
      </c>
      <c r="G2066" s="16" t="s">
        <v>192</v>
      </c>
      <c r="H2066" s="79" t="str">
        <f>IFERROR(VLOOKUP(G2066,DATOS!$M$2:$N$219,2,FALSE),"")</f>
        <v>Maquinaria</v>
      </c>
      <c r="I2066" s="115" t="s">
        <v>186</v>
      </c>
      <c r="J2066" s="115" t="s">
        <v>92</v>
      </c>
      <c r="K2066" s="115" t="s">
        <v>93</v>
      </c>
      <c r="L2066" s="35" t="s">
        <v>3595</v>
      </c>
      <c r="M2066" s="35" t="s">
        <v>3596</v>
      </c>
      <c r="N2066" s="35" t="str" cm="1">
        <f t="array" ref="N2066">IFERROR(IF(Tabla8[[#This Row],[P/NP]]="NO PROGRAMADA","",_xlfn.TEXTJOIN(", ",TRUE,_xlfn._xlws.FILTER(Tabla4[[#All],[PIEZA]],ISNUMBER(SEARCH(Tabla4[[#All],[PCLAVE]],Tabla8[[#This Row],[DESCRIPCION DE TRABAJO]])),""))),"")</f>
        <v/>
      </c>
      <c r="O2066" s="35" t="str" cm="1">
        <f t="array" ref="O2066">_xlfn.TEXTJOIN(", ",TRUE,_xlfn._xlws.FILTER(Tabla28[[#All],[PARTE]],ISNUMBER(SEARCH(Tabla28[[#All],[PCLAVE2]],Tabla8[[#This Row],[DESCRIPCION DE TRABAJO]])),""))</f>
        <v/>
      </c>
      <c r="P2066" s="633" t="str">
        <f t="shared" si="0"/>
        <v/>
      </c>
      <c r="Q2066" s="633" t="str">
        <f t="shared" si="1"/>
        <v/>
      </c>
      <c r="R2066" s="633" t="str">
        <f t="shared" si="2"/>
        <v/>
      </c>
      <c r="S2066" s="35" t="str" cm="1">
        <f t="array" ref="S2066">_xlfn.TEXTJOIN(", ",TRUE,_xlfn._xlws.FILTER(Tabla29[[#All],[PARTE]],ISNUMBER(SEARCH(Tabla29[[#All],[PCLAVE3]],Tabla8[[#This Row],[DESCRIPCION DE TRABAJO]])),""))</f>
        <v>Dañado</v>
      </c>
      <c r="T2066" s="88" t="str">
        <f>IF(AND(Tabla8[[#This Row],[PIEZA]]="",Tabla8[[#This Row],[PARTE]]=""),"VACIO","OK")</f>
        <v>VACIO</v>
      </c>
      <c r="U2066" s="633" t="str">
        <f>+CONCATENATE(WEEKNUM(Tabla8[[#This Row],[FECHA]]),"-",YEAR(Tabla8[[#This Row],[FECHA]]))</f>
        <v>27-2026</v>
      </c>
    </row>
    <row r="2067" spans="1:21" ht="15" customHeight="1">
      <c r="A2067" s="22">
        <v>46205</v>
      </c>
      <c r="B2067" s="16" t="s">
        <v>179</v>
      </c>
      <c r="C2067" s="16" t="s">
        <v>23</v>
      </c>
      <c r="D2067" s="381">
        <v>0.63194444444444442</v>
      </c>
      <c r="E2067" s="381">
        <v>0.65625</v>
      </c>
      <c r="F2067" s="632">
        <f>+MOD(Tabla8[[#This Row],[HR. FIN]]-Tabla8[[#This Row],[HR. INICIO]],1)</f>
        <v>2.430555555555558E-2</v>
      </c>
      <c r="G2067" s="16" t="s">
        <v>182</v>
      </c>
      <c r="H2067" s="79" t="str">
        <f>IFERROR(VLOOKUP(G2067,DATOS!$M$2:$N$219,2,FALSE),"")</f>
        <v>Maquinaria</v>
      </c>
      <c r="I2067" s="115" t="s">
        <v>57</v>
      </c>
      <c r="J2067" s="115" t="s">
        <v>92</v>
      </c>
      <c r="K2067" s="115" t="s">
        <v>93</v>
      </c>
      <c r="L2067" s="35" t="s">
        <v>3597</v>
      </c>
      <c r="M2067" s="35" t="s">
        <v>3598</v>
      </c>
      <c r="N2067" s="35" t="str" cm="1">
        <f t="array" ref="N2067">IFERROR(IF(Tabla8[[#This Row],[P/NP]]="NO PROGRAMADA","",_xlfn.TEXTJOIN(", ",TRUE,_xlfn._xlws.FILTER(Tabla4[[#All],[PIEZA]],ISNUMBER(SEARCH(Tabla4[[#All],[PCLAVE]],Tabla8[[#This Row],[DESCRIPCION DE TRABAJO]])),""))),"")</f>
        <v/>
      </c>
      <c r="O2067" s="35" t="str" cm="1">
        <f t="array" ref="O2067">_xlfn.TEXTJOIN(", ",TRUE,_xlfn._xlws.FILTER(Tabla28[[#All],[PARTE]],ISNUMBER(SEARCH(Tabla28[[#All],[PCLAVE2]],Tabla8[[#This Row],[DESCRIPCION DE TRABAJO]])),""))</f>
        <v/>
      </c>
      <c r="P2067" s="633" t="str">
        <f t="shared" si="0"/>
        <v/>
      </c>
      <c r="Q2067" s="633" t="str">
        <f t="shared" si="1"/>
        <v/>
      </c>
      <c r="R2067" s="633" t="str">
        <f t="shared" si="2"/>
        <v/>
      </c>
      <c r="S2067" s="35" t="str" cm="1">
        <f t="array" ref="S2067">_xlfn.TEXTJOIN(", ",TRUE,_xlfn._xlws.FILTER(Tabla29[[#All],[PARTE]],ISNUMBER(SEARCH(Tabla29[[#All],[PCLAVE3]],Tabla8[[#This Row],[DESCRIPCION DE TRABAJO]])),""))</f>
        <v>Se Pegan</v>
      </c>
      <c r="T2067" s="88" t="str">
        <f>IF(AND(Tabla8[[#This Row],[PIEZA]]="",Tabla8[[#This Row],[PARTE]]=""),"VACIO","OK")</f>
        <v>VACIO</v>
      </c>
      <c r="U2067" s="633" t="str">
        <f>+CONCATENATE(WEEKNUM(Tabla8[[#This Row],[FECHA]]),"-",YEAR(Tabla8[[#This Row],[FECHA]]))</f>
        <v>27-2026</v>
      </c>
    </row>
    <row r="2068" spans="1:21" ht="15" customHeight="1">
      <c r="A2068" s="22">
        <v>46205</v>
      </c>
      <c r="B2068" s="16" t="s">
        <v>179</v>
      </c>
      <c r="C2068" s="16" t="s">
        <v>23</v>
      </c>
      <c r="D2068" s="381">
        <v>0.65972222222222221</v>
      </c>
      <c r="E2068" s="381">
        <v>0.75</v>
      </c>
      <c r="F2068" s="632">
        <f>+MOD(Tabla8[[#This Row],[HR. FIN]]-Tabla8[[#This Row],[HR. INICIO]],1)</f>
        <v>9.027777777777779E-2</v>
      </c>
      <c r="G2068" s="16" t="s">
        <v>192</v>
      </c>
      <c r="H2068" s="79" t="str">
        <f>IFERROR(VLOOKUP(G2068,DATOS!$M$2:$N$219,2,FALSE),"")</f>
        <v>Maquinaria</v>
      </c>
      <c r="I2068" s="115" t="s">
        <v>57</v>
      </c>
      <c r="J2068" s="115" t="s">
        <v>92</v>
      </c>
      <c r="K2068" s="115" t="s">
        <v>93</v>
      </c>
      <c r="L2068" s="35" t="s">
        <v>3599</v>
      </c>
      <c r="M2068" s="35" t="s">
        <v>3600</v>
      </c>
      <c r="N2068" s="35" t="str" cm="1">
        <f t="array" ref="N2068">IFERROR(IF(Tabla8[[#This Row],[P/NP]]="NO PROGRAMADA","",_xlfn.TEXTJOIN(", ",TRUE,_xlfn._xlws.FILTER(Tabla4[[#All],[PIEZA]],ISNUMBER(SEARCH(Tabla4[[#All],[PCLAVE]],Tabla8[[#This Row],[DESCRIPCION DE TRABAJO]])),""))),"")</f>
        <v/>
      </c>
      <c r="O2068" s="35" t="str" cm="1">
        <f t="array" ref="O2068">_xlfn.TEXTJOIN(", ",TRUE,_xlfn._xlws.FILTER(Tabla28[[#All],[PARTE]],ISNUMBER(SEARCH(Tabla28[[#All],[PCLAVE2]],Tabla8[[#This Row],[DESCRIPCION DE TRABAJO]])),""))</f>
        <v/>
      </c>
      <c r="P2068" s="633" t="str">
        <f t="shared" si="0"/>
        <v/>
      </c>
      <c r="Q2068" s="633" t="str">
        <f t="shared" si="1"/>
        <v/>
      </c>
      <c r="R2068" s="633" t="str">
        <f t="shared" si="2"/>
        <v/>
      </c>
      <c r="S2068" s="35" t="str" cm="1">
        <f t="array" ref="S2068">_xlfn.TEXTJOIN(", ",TRUE,_xlfn._xlws.FILTER(Tabla29[[#All],[PARTE]],ISNUMBER(SEARCH(Tabla29[[#All],[PCLAVE3]],Tabla8[[#This Row],[DESCRIPCION DE TRABAJO]])),""))</f>
        <v>No Pega</v>
      </c>
      <c r="T2068" s="88" t="str">
        <f>IF(AND(Tabla8[[#This Row],[PIEZA]]="",Tabla8[[#This Row],[PARTE]]=""),"VACIO","OK")</f>
        <v>VACIO</v>
      </c>
      <c r="U2068" s="633" t="str">
        <f>+CONCATENATE(WEEKNUM(Tabla8[[#This Row],[FECHA]]),"-",YEAR(Tabla8[[#This Row],[FECHA]]))</f>
        <v>27-2026</v>
      </c>
    </row>
    <row r="2069" spans="1:21" ht="15" customHeight="1">
      <c r="A2069" s="22">
        <v>46205</v>
      </c>
      <c r="B2069" s="16" t="s">
        <v>179</v>
      </c>
      <c r="C2069" s="16" t="s">
        <v>23</v>
      </c>
      <c r="D2069" s="381">
        <v>0.75694444444444442</v>
      </c>
      <c r="E2069" s="381">
        <v>0.77430555555555558</v>
      </c>
      <c r="F2069" s="632">
        <f>+MOD(Tabla8[[#This Row],[HR. FIN]]-Tabla8[[#This Row],[HR. INICIO]],1)</f>
        <v>1.736111111111116E-2</v>
      </c>
      <c r="G2069" s="16" t="s">
        <v>721</v>
      </c>
      <c r="H2069" s="79" t="str">
        <f>IFERROR(VLOOKUP(G2069,DATOS!$M$2:$N$219,2,FALSE),"")</f>
        <v>Maquinaria</v>
      </c>
      <c r="I2069" s="115" t="s">
        <v>61</v>
      </c>
      <c r="J2069" s="115" t="s">
        <v>92</v>
      </c>
      <c r="K2069" s="115" t="s">
        <v>148</v>
      </c>
      <c r="L2069" s="35" t="s">
        <v>610</v>
      </c>
      <c r="M2069" s="35" t="s">
        <v>3601</v>
      </c>
      <c r="N2069" s="35" t="str" cm="1">
        <f t="array" ref="N2069">IFERROR(IF(Tabla8[[#This Row],[P/NP]]="NO PROGRAMADA","",_xlfn.TEXTJOIN(", ",TRUE,_xlfn._xlws.FILTER(Tabla4[[#All],[PIEZA]],ISNUMBER(SEARCH(Tabla4[[#All],[PCLAVE]],Tabla8[[#This Row],[DESCRIPCION DE TRABAJO]])),""))),"")</f>
        <v/>
      </c>
      <c r="O2069" s="35" t="str" cm="1">
        <f t="array" ref="O2069">_xlfn.TEXTJOIN(", ",TRUE,_xlfn._xlws.FILTER(Tabla28[[#All],[PARTE]],ISNUMBER(SEARCH(Tabla28[[#All],[PCLAVE2]],Tabla8[[#This Row],[DESCRIPCION DE TRABAJO]])),""))</f>
        <v/>
      </c>
      <c r="P2069" s="633" t="str">
        <f t="shared" si="0"/>
        <v/>
      </c>
      <c r="Q2069" s="633" t="str">
        <f t="shared" si="1"/>
        <v/>
      </c>
      <c r="R2069" s="633" t="str">
        <f t="shared" si="2"/>
        <v/>
      </c>
      <c r="S2069" s="35" t="str" cm="1">
        <f t="array" ref="S2069">_xlfn.TEXTJOIN(", ",TRUE,_xlfn._xlws.FILTER(Tabla29[[#All],[PARTE]],ISNUMBER(SEARCH(Tabla29[[#All],[PCLAVE3]],Tabla8[[#This Row],[DESCRIPCION DE TRABAJO]])),""))</f>
        <v>No Enciende</v>
      </c>
      <c r="T2069" s="88" t="str">
        <f>IF(AND(Tabla8[[#This Row],[PIEZA]]="",Tabla8[[#This Row],[PARTE]]=""),"VACIO","OK")</f>
        <v>VACIO</v>
      </c>
      <c r="U2069" s="633" t="str">
        <f>+CONCATENATE(WEEKNUM(Tabla8[[#This Row],[FECHA]]),"-",YEAR(Tabla8[[#This Row],[FECHA]]))</f>
        <v>27-2026</v>
      </c>
    </row>
    <row r="2070" spans="1:21" ht="15" customHeight="1">
      <c r="A2070" s="22">
        <v>46205</v>
      </c>
      <c r="B2070" s="16" t="s">
        <v>179</v>
      </c>
      <c r="C2070" s="16" t="s">
        <v>23</v>
      </c>
      <c r="D2070" s="381">
        <v>0.82291666666666663</v>
      </c>
      <c r="E2070" s="381">
        <v>0.85416666666666663</v>
      </c>
      <c r="F2070" s="632">
        <f>+MOD(Tabla8[[#This Row],[HR. FIN]]-Tabla8[[#This Row],[HR. INICIO]],1)</f>
        <v>3.125E-2</v>
      </c>
      <c r="G2070" s="16" t="s">
        <v>1470</v>
      </c>
      <c r="H2070" s="79" t="str">
        <f>IFERROR(VLOOKUP(G2070,DATOS!$M$2:$N$219,2,FALSE),"")</f>
        <v>Maquinaria</v>
      </c>
      <c r="I2070" s="115" t="s">
        <v>57</v>
      </c>
      <c r="J2070" s="115" t="s">
        <v>92</v>
      </c>
      <c r="K2070" s="115" t="s">
        <v>93</v>
      </c>
      <c r="L2070" s="35" t="s">
        <v>3602</v>
      </c>
      <c r="M2070" s="35" t="s">
        <v>3598</v>
      </c>
      <c r="N2070" s="35" t="str" cm="1">
        <f t="array" ref="N2070">IFERROR(IF(Tabla8[[#This Row],[P/NP]]="NO PROGRAMADA","",_xlfn.TEXTJOIN(", ",TRUE,_xlfn._xlws.FILTER(Tabla4[[#All],[PIEZA]],ISNUMBER(SEARCH(Tabla4[[#All],[PCLAVE]],Tabla8[[#This Row],[DESCRIPCION DE TRABAJO]])),""))),"")</f>
        <v/>
      </c>
      <c r="O2070" s="35" t="str" cm="1">
        <f t="array" ref="O2070">_xlfn.TEXTJOIN(", ",TRUE,_xlfn._xlws.FILTER(Tabla28[[#All],[PARTE]],ISNUMBER(SEARCH(Tabla28[[#All],[PCLAVE2]],Tabla8[[#This Row],[DESCRIPCION DE TRABAJO]])),""))</f>
        <v/>
      </c>
      <c r="P2070" s="633" t="str">
        <f t="shared" si="0"/>
        <v/>
      </c>
      <c r="Q2070" s="633" t="str">
        <f t="shared" si="1"/>
        <v/>
      </c>
      <c r="R2070" s="633" t="str">
        <f t="shared" si="2"/>
        <v/>
      </c>
      <c r="S2070" s="35" t="str" cm="1">
        <f t="array" ref="S2070">_xlfn.TEXTJOIN(", ",TRUE,_xlfn._xlws.FILTER(Tabla29[[#All],[PARTE]],ISNUMBER(SEARCH(Tabla29[[#All],[PCLAVE3]],Tabla8[[#This Row],[DESCRIPCION DE TRABAJO]])),""))</f>
        <v>Laminado, No Corta</v>
      </c>
      <c r="T2070" s="88" t="str">
        <f>IF(AND(Tabla8[[#This Row],[PIEZA]]="",Tabla8[[#This Row],[PARTE]]=""),"VACIO","OK")</f>
        <v>VACIO</v>
      </c>
      <c r="U2070" s="633" t="str">
        <f>+CONCATENATE(WEEKNUM(Tabla8[[#This Row],[FECHA]]),"-",YEAR(Tabla8[[#This Row],[FECHA]]))</f>
        <v>27-2026</v>
      </c>
    </row>
  </sheetData>
  <mergeCells count="1">
    <mergeCell ref="A3:M3"/>
  </mergeCells>
  <conditionalFormatting sqref="G1877 F5:F1048576">
    <cfRule type="containsErrors" dxfId="332" priority="2">
      <formula>ISERROR(F5)</formula>
    </cfRule>
  </conditionalFormatting>
  <dataValidations count="1">
    <dataValidation allowBlank="1" showInputMessage="1" showErrorMessage="1" sqref="T5:U2070 P5:R2070 H5:H1048576" xr:uid="{BD9FBA30-4A5E-4A80-B0EF-6F347720FC91}"/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FE03D4D-18E4-4693-A4A8-133F90D6E2F8}">
          <x14:formula1>
            <xm:f>DATOS!$P$3:$P$17</xm:f>
          </x14:formula1>
          <xm:sqref>I5:I1048576</xm:sqref>
        </x14:dataValidation>
        <x14:dataValidation type="list" allowBlank="1" showInputMessage="1" showErrorMessage="1" xr:uid="{D74A93A2-EFD6-4A41-90F9-C14C2D48E55C}">
          <x14:formula1>
            <xm:f>DATOS!$I$3:$I$5</xm:f>
          </x14:formula1>
          <xm:sqref>C5:C1048576</xm:sqref>
        </x14:dataValidation>
        <x14:dataValidation type="list" allowBlank="1" showInputMessage="1" showErrorMessage="1" xr:uid="{24CE7110-5BAA-45B8-AE30-1D77EDD3E0E9}">
          <x14:formula1>
            <xm:f>DATOS!$H$15:$H$16</xm:f>
          </x14:formula1>
          <xm:sqref>J5:J1048576</xm:sqref>
        </x14:dataValidation>
        <x14:dataValidation type="list" allowBlank="1" showInputMessage="1" showErrorMessage="1" xr:uid="{00503BD4-5490-4750-B1D4-65DD19D4ED5B}">
          <x14:formula1>
            <xm:f>DATOS!$I$15:$I$24</xm:f>
          </x14:formula1>
          <xm:sqref>K5:K1048576</xm:sqref>
        </x14:dataValidation>
        <x14:dataValidation type="list" allowBlank="1" showInputMessage="1" showErrorMessage="1" xr:uid="{139FFB0C-12DB-4C25-8636-66948E2D623E}">
          <x14:formula1>
            <xm:f>DATOS!$F$3:$F$10</xm:f>
          </x14:formula1>
          <xm:sqref>B5:B1048576</xm:sqref>
        </x14:dataValidation>
        <x14:dataValidation type="list" allowBlank="1" showInputMessage="1" showErrorMessage="1" xr:uid="{A6AC77EA-3720-4C98-B828-0B0FF66FE79C}">
          <x14:formula1>
            <xm:f>DATOS!$M$3:$M$1048576</xm:f>
          </x14:formula1>
          <xm:sqref>G5:G1048576</xm:sqref>
        </x14:dataValidation>
      </x14:dataValidations>
    </ex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F6227-25BC-48D8-B5B2-00271F8BEF6E}">
  <sheetPr>
    <tabColor rgb="FF75F61E"/>
    <pageSetUpPr fitToPage="1"/>
  </sheetPr>
  <dimension ref="A1:BK404"/>
  <sheetViews>
    <sheetView showGridLines="0" zoomScale="70" zoomScaleNormal="70" zoomScaleSheetLayoutView="25" workbookViewId="0">
      <selection activeCell="C30" sqref="C30"/>
    </sheetView>
  </sheetViews>
  <sheetFormatPr defaultColWidth="9.140625" defaultRowHeight="15.6" customHeight="1"/>
  <cols>
    <col min="1" max="1" width="11" style="62" customWidth="1"/>
    <col min="2" max="2" width="53.140625" style="428" customWidth="1"/>
    <col min="3" max="3" width="23" style="43" bestFit="1" customWidth="1"/>
    <col min="4" max="4" width="20.28515625" customWidth="1"/>
    <col min="5" max="5" width="20.140625" style="6" bestFit="1" customWidth="1"/>
    <col min="6" max="6" width="12.28515625" style="6" bestFit="1" customWidth="1"/>
    <col min="7" max="7" width="13.85546875" style="6" bestFit="1" customWidth="1"/>
    <col min="8" max="8" width="20.5703125" style="6" bestFit="1" customWidth="1"/>
    <col min="9" max="9" width="10" style="14" bestFit="1" customWidth="1"/>
    <col min="10" max="10" width="10.42578125" style="6" bestFit="1" customWidth="1"/>
    <col min="11" max="13" width="22.5703125" style="6" customWidth="1"/>
    <col min="14" max="14" width="43.85546875" style="6" customWidth="1"/>
    <col min="15" max="15" width="43.85546875" customWidth="1"/>
    <col min="16" max="16" width="23.7109375" style="14" customWidth="1"/>
    <col min="17" max="17" width="46.7109375" bestFit="1" customWidth="1"/>
    <col min="18" max="24" width="23.7109375" customWidth="1"/>
    <col min="25" max="25" width="40.42578125" customWidth="1"/>
    <col min="26" max="33" width="23.7109375" customWidth="1"/>
    <col min="34" max="35" width="128.28515625" customWidth="1"/>
    <col min="36" max="46" width="23.7109375" customWidth="1"/>
    <col min="47" max="47" width="39.42578125" customWidth="1"/>
    <col min="48" max="48" width="16.7109375" customWidth="1"/>
    <col min="49" max="49" width="20.7109375" customWidth="1"/>
    <col min="50" max="50" width="17.7109375" customWidth="1"/>
    <col min="51" max="51" width="16.140625" customWidth="1"/>
    <col min="52" max="52" width="15.7109375" bestFit="1" customWidth="1"/>
    <col min="53" max="53" width="21.5703125" customWidth="1"/>
    <col min="54" max="54" width="43.5703125" customWidth="1"/>
    <col min="55" max="55" width="33.5703125" customWidth="1"/>
    <col min="56" max="56" width="28" style="39" customWidth="1"/>
    <col min="57" max="57" width="25.7109375" style="39" customWidth="1"/>
    <col min="58" max="58" width="25.7109375" customWidth="1"/>
    <col min="59" max="59" width="47.42578125" bestFit="1" customWidth="1"/>
    <col min="60" max="60" width="74.7109375" bestFit="1" customWidth="1"/>
    <col min="61" max="61" width="28" bestFit="1" customWidth="1"/>
    <col min="62" max="62" width="8.85546875" bestFit="1" customWidth="1"/>
    <col min="63" max="63" width="28.140625" hidden="1" customWidth="1"/>
    <col min="64" max="68" width="8.85546875" bestFit="1" customWidth="1"/>
    <col min="69" max="69" width="24.85546875" bestFit="1" customWidth="1"/>
    <col min="70" max="70" width="14.7109375" bestFit="1" customWidth="1"/>
    <col min="71" max="128" width="8.85546875" bestFit="1" customWidth="1"/>
    <col min="129" max="129" width="18" bestFit="1" customWidth="1"/>
    <col min="130" max="130" width="15.28515625" bestFit="1" customWidth="1"/>
    <col min="131" max="204" width="8.85546875" bestFit="1" customWidth="1"/>
    <col min="205" max="205" width="18.42578125" bestFit="1" customWidth="1"/>
    <col min="206" max="206" width="14.42578125" bestFit="1" customWidth="1"/>
    <col min="207" max="216" width="8.85546875" bestFit="1" customWidth="1"/>
    <col min="217" max="217" width="17.85546875" bestFit="1" customWidth="1"/>
    <col min="218" max="218" width="12.42578125" bestFit="1" customWidth="1"/>
    <col min="219" max="227" width="8.85546875" bestFit="1" customWidth="1"/>
    <col min="228" max="228" width="15.7109375" bestFit="1" customWidth="1"/>
    <col min="229" max="229" width="14.5703125" bestFit="1" customWidth="1"/>
    <col min="230" max="316" width="8.85546875" bestFit="1" customWidth="1"/>
    <col min="317" max="317" width="17.85546875" bestFit="1" customWidth="1"/>
    <col min="318" max="318" width="14" bestFit="1" customWidth="1"/>
    <col min="319" max="389" width="8.85546875" bestFit="1" customWidth="1"/>
    <col min="390" max="390" width="17" bestFit="1" customWidth="1"/>
    <col min="391" max="391" width="15" bestFit="1" customWidth="1"/>
    <col min="392" max="418" width="8.85546875" bestFit="1" customWidth="1"/>
    <col min="419" max="419" width="18.140625" bestFit="1" customWidth="1"/>
    <col min="420" max="420" width="11.42578125" bestFit="1" customWidth="1"/>
    <col min="421" max="481" width="8.85546875" bestFit="1" customWidth="1"/>
    <col min="482" max="482" width="14.7109375" bestFit="1" customWidth="1"/>
    <col min="483" max="483" width="15.42578125" bestFit="1" customWidth="1"/>
    <col min="484" max="506" width="8.85546875" bestFit="1" customWidth="1"/>
    <col min="507" max="507" width="18.7109375" bestFit="1" customWidth="1"/>
    <col min="508" max="517" width="8.85546875" bestFit="1" customWidth="1"/>
    <col min="518" max="518" width="11.5703125" bestFit="1" customWidth="1"/>
    <col min="519" max="584" width="8.85546875" bestFit="1" customWidth="1"/>
    <col min="585" max="585" width="11.28515625" bestFit="1" customWidth="1"/>
    <col min="586" max="586" width="14.42578125" bestFit="1" customWidth="1"/>
    <col min="587" max="625" width="8.85546875" bestFit="1" customWidth="1"/>
    <col min="626" max="626" width="17.7109375" bestFit="1" customWidth="1"/>
    <col min="627" max="627" width="11.28515625" bestFit="1" customWidth="1"/>
    <col min="628" max="650" width="8.85546875" bestFit="1" customWidth="1"/>
    <col min="651" max="651" width="14.5703125" bestFit="1" customWidth="1"/>
    <col min="652" max="652" width="10.28515625" bestFit="1" customWidth="1"/>
    <col min="653" max="667" width="8.85546875" bestFit="1" customWidth="1"/>
    <col min="668" max="668" width="13.5703125" bestFit="1" customWidth="1"/>
    <col min="669" max="669" width="13" bestFit="1" customWidth="1"/>
    <col min="670" max="670" width="16.28515625" bestFit="1" customWidth="1"/>
    <col min="671" max="671" width="12.85546875" bestFit="1" customWidth="1"/>
  </cols>
  <sheetData>
    <row r="1" spans="1:63" ht="51" customHeight="1">
      <c r="A1" s="63"/>
      <c r="B1" s="425"/>
      <c r="C1" s="44"/>
      <c r="D1" s="33"/>
      <c r="E1" s="489"/>
      <c r="F1" s="489"/>
      <c r="G1" s="489"/>
      <c r="H1" s="490">
        <f>+SUM(Tabla107[T.TOTAL])</f>
        <v>0.78194444444444478</v>
      </c>
      <c r="I1" s="489"/>
      <c r="J1" s="489"/>
      <c r="K1" s="489"/>
      <c r="L1" s="407"/>
      <c r="M1" s="143"/>
      <c r="N1" s="143"/>
      <c r="O1" s="31"/>
      <c r="P1" s="105"/>
    </row>
    <row r="2" spans="1:63" ht="62.25" customHeight="1">
      <c r="A2" s="63"/>
      <c r="B2" s="415" t="s">
        <v>3603</v>
      </c>
      <c r="C2" s="413" t="s">
        <v>1</v>
      </c>
      <c r="D2" s="413" t="s">
        <v>2</v>
      </c>
      <c r="E2" s="413" t="s">
        <v>3</v>
      </c>
      <c r="F2" s="413" t="s">
        <v>3604</v>
      </c>
      <c r="G2" s="413" t="s">
        <v>3605</v>
      </c>
      <c r="H2" s="413" t="s">
        <v>3606</v>
      </c>
      <c r="I2" s="415" t="s">
        <v>3607</v>
      </c>
      <c r="J2" s="413" t="s">
        <v>3608</v>
      </c>
      <c r="K2" s="413" t="s">
        <v>3609</v>
      </c>
      <c r="L2" s="413" t="s">
        <v>10</v>
      </c>
      <c r="M2" s="413" t="s">
        <v>11</v>
      </c>
      <c r="N2" s="413" t="s">
        <v>3610</v>
      </c>
      <c r="O2" s="413" t="s">
        <v>3611</v>
      </c>
      <c r="P2" s="413" t="s">
        <v>3612</v>
      </c>
      <c r="Q2" s="511" t="s">
        <v>3613</v>
      </c>
      <c r="AU2" s="710"/>
      <c r="AV2" s="710"/>
      <c r="AW2" s="710"/>
      <c r="AX2" s="710"/>
      <c r="AY2" s="710"/>
    </row>
    <row r="3" spans="1:63" ht="21.75" customHeight="1">
      <c r="A3" s="408"/>
      <c r="B3" s="426" t="str">
        <f>IF(I3="","",CONCATENATE(I3,"-",P3))</f>
        <v>EMP. NAPOLITANA-1</v>
      </c>
      <c r="C3" s="22">
        <v>46205</v>
      </c>
      <c r="D3" s="16" t="s">
        <v>179</v>
      </c>
      <c r="E3" s="10" t="s">
        <v>23</v>
      </c>
      <c r="F3" s="381">
        <v>0.54861111111111116</v>
      </c>
      <c r="G3" s="381">
        <v>0.5625</v>
      </c>
      <c r="H3" s="380">
        <v>1.388888888888884E-2</v>
      </c>
      <c r="I3" s="16" t="s">
        <v>140</v>
      </c>
      <c r="J3" s="343" t="s">
        <v>3614</v>
      </c>
      <c r="K3" s="115" t="s">
        <v>32</v>
      </c>
      <c r="L3" s="115" t="s">
        <v>157</v>
      </c>
      <c r="M3" s="114"/>
      <c r="N3" s="35" t="s">
        <v>3592</v>
      </c>
      <c r="O3" s="35" t="s">
        <v>121</v>
      </c>
      <c r="P3" s="414">
        <f>COUNTIF($I$3:I3,I3)</f>
        <v>1</v>
      </c>
      <c r="Q3" s="512" t="str">
        <f>IF(Tabla107[[#This Row],[MAQUINA / EQUIPO]]="","",Tabla107[[#This Row],[MAQUINA / EQUIPO]])</f>
        <v>EMP. NAPOLITANA</v>
      </c>
      <c r="BD3"/>
      <c r="BE3"/>
      <c r="BJ3" s="104"/>
      <c r="BK3" s="139" t="s">
        <v>3615</v>
      </c>
    </row>
    <row r="4" spans="1:63" s="31" customFormat="1" ht="21.75" customHeight="1">
      <c r="B4" s="426" t="str">
        <f>IF(I4="","",CONCATENATE(I4,"-",P4))</f>
        <v>3ER PISO-1</v>
      </c>
      <c r="C4" s="22">
        <v>46205</v>
      </c>
      <c r="D4" s="16" t="s">
        <v>179</v>
      </c>
      <c r="E4" s="10" t="s">
        <v>23</v>
      </c>
      <c r="F4" s="381">
        <v>0.56944444444444442</v>
      </c>
      <c r="G4" s="381">
        <v>0.59027777777777779</v>
      </c>
      <c r="H4" s="380">
        <v>2.083333333333337E-2</v>
      </c>
      <c r="I4" s="16" t="s">
        <v>996</v>
      </c>
      <c r="J4" s="343" t="s">
        <v>3616</v>
      </c>
      <c r="K4" s="115" t="s">
        <v>186</v>
      </c>
      <c r="L4" s="115" t="s">
        <v>92</v>
      </c>
      <c r="M4" s="114" t="s">
        <v>93</v>
      </c>
      <c r="N4" s="35" t="s">
        <v>3593</v>
      </c>
      <c r="O4" s="35" t="s">
        <v>3594</v>
      </c>
      <c r="P4" s="414">
        <f>COUNTIF($I$3:I4,I4)</f>
        <v>1</v>
      </c>
      <c r="Q4" s="512" t="str">
        <f>IF(Tabla107[[#This Row],[MAQUINA / EQUIPO]]="","",Tabla107[[#This Row],[MAQUINA / EQUIPO]])</f>
        <v>3ER PISO</v>
      </c>
      <c r="R4"/>
      <c r="S4"/>
      <c r="BK4" s="40" t="s">
        <v>3617</v>
      </c>
    </row>
    <row r="5" spans="1:63" ht="21.75" customHeight="1">
      <c r="A5" s="63"/>
      <c r="B5" s="426" t="str">
        <f>IF(I5="","",CONCATENATE(I5,"-",P5))</f>
        <v>EMP. SAPAL-1</v>
      </c>
      <c r="C5" s="22">
        <v>46205</v>
      </c>
      <c r="D5" s="16" t="s">
        <v>179</v>
      </c>
      <c r="E5" s="10" t="s">
        <v>23</v>
      </c>
      <c r="F5" s="381">
        <v>0.59722222222222221</v>
      </c>
      <c r="G5" s="381">
        <v>0.625</v>
      </c>
      <c r="H5" s="380">
        <v>2.777777777777779E-2</v>
      </c>
      <c r="I5" s="16" t="s">
        <v>192</v>
      </c>
      <c r="J5" s="343" t="s">
        <v>3614</v>
      </c>
      <c r="K5" s="115" t="s">
        <v>186</v>
      </c>
      <c r="L5" s="115" t="s">
        <v>92</v>
      </c>
      <c r="M5" s="114" t="s">
        <v>93</v>
      </c>
      <c r="N5" s="35" t="s">
        <v>3595</v>
      </c>
      <c r="O5" s="35" t="s">
        <v>3596</v>
      </c>
      <c r="P5" s="414">
        <f>COUNTIF($I$3:I5,I5)</f>
        <v>1</v>
      </c>
      <c r="Q5" s="512" t="str">
        <f>IF(Tabla107[[#This Row],[MAQUINA / EQUIPO]]="","",Tabla107[[#This Row],[MAQUINA / EQUIPO]])</f>
        <v>EMP. SAPAL</v>
      </c>
      <c r="BK5" s="41" t="s">
        <v>3618</v>
      </c>
    </row>
    <row r="6" spans="1:63" ht="21.75" customHeight="1">
      <c r="A6" s="63"/>
      <c r="B6" s="426" t="str">
        <f>IF(I6="","",CONCATENATE(I6,"-",P6))</f>
        <v>ENCELOFANADORA ECCOPAC-1</v>
      </c>
      <c r="C6" s="22">
        <v>46205</v>
      </c>
      <c r="D6" s="16" t="s">
        <v>179</v>
      </c>
      <c r="E6" s="10" t="s">
        <v>23</v>
      </c>
      <c r="F6" s="381">
        <v>0.63194444444444442</v>
      </c>
      <c r="G6" s="381">
        <v>0.65625</v>
      </c>
      <c r="H6" s="380">
        <v>2.430555555555558E-2</v>
      </c>
      <c r="I6" s="16" t="s">
        <v>182</v>
      </c>
      <c r="J6" s="343" t="s">
        <v>3614</v>
      </c>
      <c r="K6" s="115" t="s">
        <v>57</v>
      </c>
      <c r="L6" s="115" t="s">
        <v>92</v>
      </c>
      <c r="M6" s="114" t="s">
        <v>93</v>
      </c>
      <c r="N6" s="35" t="s">
        <v>3597</v>
      </c>
      <c r="O6" s="35" t="s">
        <v>3598</v>
      </c>
      <c r="P6" s="414">
        <f>COUNTIF($I$3:I6,I6)</f>
        <v>1</v>
      </c>
      <c r="Q6" s="512" t="str">
        <f>IF(Tabla107[[#This Row],[MAQUINA / EQUIPO]]="","",Tabla107[[#This Row],[MAQUINA / EQUIPO]])</f>
        <v>ENCELOFANADORA ECCOPAC</v>
      </c>
      <c r="BK6" s="42" t="s">
        <v>3619</v>
      </c>
    </row>
    <row r="7" spans="1:63" ht="21.75" customHeight="1">
      <c r="A7" s="63"/>
      <c r="B7" s="426" t="str">
        <f>IF(I7="","",CONCATENATE(I7,"-",P7))</f>
        <v>EMP. SAPAL-2</v>
      </c>
      <c r="C7" s="22">
        <v>46205</v>
      </c>
      <c r="D7" s="16" t="s">
        <v>179</v>
      </c>
      <c r="E7" s="10" t="s">
        <v>23</v>
      </c>
      <c r="F7" s="381">
        <v>0.65972222222222221</v>
      </c>
      <c r="G7" s="381">
        <v>0.75</v>
      </c>
      <c r="H7" s="380">
        <v>9.027777777777779E-2</v>
      </c>
      <c r="I7" s="16" t="s">
        <v>192</v>
      </c>
      <c r="J7" s="343" t="s">
        <v>3614</v>
      </c>
      <c r="K7" s="115" t="s">
        <v>57</v>
      </c>
      <c r="L7" s="115" t="s">
        <v>92</v>
      </c>
      <c r="M7" s="114" t="s">
        <v>93</v>
      </c>
      <c r="N7" s="35" t="s">
        <v>3599</v>
      </c>
      <c r="O7" s="35" t="s">
        <v>3600</v>
      </c>
      <c r="P7" s="414">
        <f>COUNTIF($I$3:I7,I7)</f>
        <v>2</v>
      </c>
      <c r="Q7" s="512" t="str">
        <f>IF(Tabla107[[#This Row],[MAQUINA / EQUIPO]]="","",Tabla107[[#This Row],[MAQUINA / EQUIPO]])</f>
        <v>EMP. SAPAL</v>
      </c>
      <c r="BK7" s="41" t="s">
        <v>3620</v>
      </c>
    </row>
    <row r="8" spans="1:63" ht="21.75" customHeight="1">
      <c r="A8" s="63"/>
      <c r="B8" s="426" t="str">
        <f>IF(I8="","",CONCATENATE(I8,"-",P8))</f>
        <v>MOLINO REBOTE - IMPACTO-1</v>
      </c>
      <c r="C8" s="22">
        <v>46205</v>
      </c>
      <c r="D8" s="16" t="s">
        <v>179</v>
      </c>
      <c r="E8" s="10" t="s">
        <v>23</v>
      </c>
      <c r="F8" s="381">
        <v>0.75694444444444442</v>
      </c>
      <c r="G8" s="381">
        <v>0.77430555555555558</v>
      </c>
      <c r="H8" s="380">
        <v>1.736111111111116E-2</v>
      </c>
      <c r="I8" s="16" t="s">
        <v>721</v>
      </c>
      <c r="J8" s="343" t="s">
        <v>3614</v>
      </c>
      <c r="K8" s="115" t="s">
        <v>61</v>
      </c>
      <c r="L8" s="115" t="s">
        <v>92</v>
      </c>
      <c r="M8" s="114" t="s">
        <v>148</v>
      </c>
      <c r="N8" s="35" t="s">
        <v>610</v>
      </c>
      <c r="O8" s="35" t="s">
        <v>3601</v>
      </c>
      <c r="P8" s="414">
        <f>COUNTIF($I$3:I8,I8)</f>
        <v>1</v>
      </c>
      <c r="Q8" s="512" t="str">
        <f>IF(Tabla107[[#This Row],[MAQUINA / EQUIPO]]="","",Tabla107[[#This Row],[MAQUINA / EQUIPO]])</f>
        <v>MOLINO REBOTE - IMPACTO</v>
      </c>
      <c r="T8" s="31"/>
      <c r="U8" s="31"/>
      <c r="V8" s="31"/>
      <c r="W8" s="31"/>
      <c r="X8" s="31"/>
      <c r="AM8" s="31"/>
      <c r="AN8" s="31"/>
      <c r="AO8" s="31"/>
      <c r="AP8" s="31"/>
      <c r="AQ8" s="31"/>
      <c r="AR8" s="31"/>
      <c r="AS8" s="31"/>
      <c r="AT8" s="31"/>
      <c r="BK8" s="29" t="s">
        <v>286</v>
      </c>
    </row>
    <row r="9" spans="1:63" ht="21.75" customHeight="1">
      <c r="A9" s="63"/>
      <c r="B9" s="426" t="str">
        <f>IF(I9="","",CONCATENATE(I9,"-",P9))</f>
        <v>FORRADORA MINIFLEX-1</v>
      </c>
      <c r="C9" s="22">
        <v>46205</v>
      </c>
      <c r="D9" s="16" t="s">
        <v>179</v>
      </c>
      <c r="E9" s="10" t="s">
        <v>23</v>
      </c>
      <c r="F9" s="381">
        <v>0.82291666666666663</v>
      </c>
      <c r="G9" s="381">
        <v>0.85416666666666663</v>
      </c>
      <c r="H9" s="380">
        <v>3.125E-2</v>
      </c>
      <c r="I9" s="16" t="s">
        <v>1470</v>
      </c>
      <c r="J9" s="343" t="s">
        <v>3614</v>
      </c>
      <c r="K9" s="115" t="s">
        <v>57</v>
      </c>
      <c r="L9" s="115" t="s">
        <v>92</v>
      </c>
      <c r="M9" s="114" t="s">
        <v>93</v>
      </c>
      <c r="N9" s="35" t="s">
        <v>3602</v>
      </c>
      <c r="O9" s="35" t="s">
        <v>3598</v>
      </c>
      <c r="P9" s="414">
        <f>COUNTIF($I$3:I9,I9)</f>
        <v>1</v>
      </c>
      <c r="Q9" s="512" t="str">
        <f>IF(Tabla107[[#This Row],[MAQUINA / EQUIPO]]="","",Tabla107[[#This Row],[MAQUINA / EQUIPO]])</f>
        <v>FORRADORA MINIFLEX</v>
      </c>
      <c r="BK9" s="30" t="s">
        <v>3621</v>
      </c>
    </row>
    <row r="10" spans="1:63" ht="21.75" customHeight="1">
      <c r="A10" s="63"/>
      <c r="B10" s="426" t="str">
        <f>IF(I10="","",CONCATENATE(I10,"-",P10))</f>
        <v>LINEA AUTOMATICA HACOS 1-1</v>
      </c>
      <c r="C10" s="22">
        <v>46205</v>
      </c>
      <c r="D10" s="16" t="s">
        <v>131</v>
      </c>
      <c r="E10" s="10" t="s">
        <v>39</v>
      </c>
      <c r="F10" s="381" t="s">
        <v>1290</v>
      </c>
      <c r="G10" s="381" t="s">
        <v>862</v>
      </c>
      <c r="H10" s="380">
        <v>1.7361111111111112E-2</v>
      </c>
      <c r="I10" s="16" t="s">
        <v>119</v>
      </c>
      <c r="J10" s="343" t="s">
        <v>3614</v>
      </c>
      <c r="K10" s="115" t="s">
        <v>32</v>
      </c>
      <c r="L10" s="115" t="s">
        <v>157</v>
      </c>
      <c r="M10" s="114"/>
      <c r="N10" s="35" t="s">
        <v>3580</v>
      </c>
      <c r="O10" s="35" t="s">
        <v>121</v>
      </c>
      <c r="P10" s="414">
        <f>COUNTIF($I$3:I10,I10)</f>
        <v>1</v>
      </c>
      <c r="Q10" s="512" t="str">
        <f>IF(Tabla107[[#This Row],[MAQUINA / EQUIPO]]="","",Tabla107[[#This Row],[MAQUINA / EQUIPO]])</f>
        <v>LINEA AUTOMATICA HACOS 1</v>
      </c>
      <c r="BK10" s="29" t="s">
        <v>3622</v>
      </c>
    </row>
    <row r="11" spans="1:63" ht="21.75" customHeight="1">
      <c r="A11" s="63"/>
      <c r="B11" s="426" t="str">
        <f>IF(I11="","",CONCATENATE(I11,"-",P11))</f>
        <v>EMP. SAPAL-3</v>
      </c>
      <c r="C11" s="22">
        <v>46205</v>
      </c>
      <c r="D11" s="16" t="s">
        <v>131</v>
      </c>
      <c r="E11" s="10" t="s">
        <v>39</v>
      </c>
      <c r="F11" s="381" t="s">
        <v>1264</v>
      </c>
      <c r="G11" s="381" t="s">
        <v>112</v>
      </c>
      <c r="H11" s="380">
        <v>1.3888888888888888E-2</v>
      </c>
      <c r="I11" s="16" t="s">
        <v>192</v>
      </c>
      <c r="J11" s="343" t="s">
        <v>3614</v>
      </c>
      <c r="K11" s="115" t="s">
        <v>54</v>
      </c>
      <c r="L11" s="115" t="s">
        <v>157</v>
      </c>
      <c r="M11" s="114"/>
      <c r="N11" s="35" t="s">
        <v>225</v>
      </c>
      <c r="O11" s="35" t="s">
        <v>249</v>
      </c>
      <c r="P11" s="414">
        <f>COUNTIF($I$3:I11,I11)</f>
        <v>3</v>
      </c>
      <c r="Q11" s="512" t="str">
        <f>IF(Tabla107[[#This Row],[MAQUINA / EQUIPO]]="","",Tabla107[[#This Row],[MAQUINA / EQUIPO]])</f>
        <v>EMP. SAPAL</v>
      </c>
      <c r="AM11" s="106"/>
      <c r="AN11" s="106"/>
      <c r="BK11" s="30" t="s">
        <v>3623</v>
      </c>
    </row>
    <row r="12" spans="1:63" ht="21.75" customHeight="1">
      <c r="A12" s="63"/>
      <c r="B12" s="426" t="str">
        <f>IF(I12="","",CONCATENATE(I12,"-",P12))</f>
        <v>LINEA AUTOMATICA HACOS 1-2</v>
      </c>
      <c r="C12" s="22">
        <v>46205</v>
      </c>
      <c r="D12" s="16" t="s">
        <v>131</v>
      </c>
      <c r="E12" s="10" t="s">
        <v>39</v>
      </c>
      <c r="F12" s="381" t="s">
        <v>1559</v>
      </c>
      <c r="G12" s="381" t="s">
        <v>113</v>
      </c>
      <c r="H12" s="380">
        <v>2.4305555555555559E-2</v>
      </c>
      <c r="I12" s="16" t="s">
        <v>119</v>
      </c>
      <c r="J12" s="343" t="s">
        <v>3614</v>
      </c>
      <c r="K12" s="115" t="s">
        <v>32</v>
      </c>
      <c r="L12" s="115" t="s">
        <v>157</v>
      </c>
      <c r="M12" s="114"/>
      <c r="N12" s="35" t="s">
        <v>1014</v>
      </c>
      <c r="O12" s="35" t="s">
        <v>121</v>
      </c>
      <c r="P12" s="414">
        <f>COUNTIF($I$3:I12,I12)</f>
        <v>2</v>
      </c>
      <c r="Q12" s="512" t="str">
        <f>IF(Tabla107[[#This Row],[MAQUINA / EQUIPO]]="","",Tabla107[[#This Row],[MAQUINA / EQUIPO]])</f>
        <v>LINEA AUTOMATICA HACOS 1</v>
      </c>
      <c r="AM12" s="106"/>
      <c r="AN12" s="106"/>
      <c r="BK12" s="29" t="s">
        <v>3624</v>
      </c>
    </row>
    <row r="13" spans="1:63" ht="21.75" customHeight="1">
      <c r="A13" s="63"/>
      <c r="B13" s="426" t="str">
        <f>IF(I13="","",CONCATENATE(I13,"-",P13))</f>
        <v>TOSTADOR PETRONCINI NUEVO-1</v>
      </c>
      <c r="C13" s="22">
        <v>46205</v>
      </c>
      <c r="D13" s="16" t="s">
        <v>131</v>
      </c>
      <c r="E13" s="10" t="s">
        <v>39</v>
      </c>
      <c r="F13" s="381" t="s">
        <v>2496</v>
      </c>
      <c r="G13" s="381" t="s">
        <v>2315</v>
      </c>
      <c r="H13" s="380">
        <v>1.4583333333333337E-2</v>
      </c>
      <c r="I13" s="16" t="s">
        <v>2256</v>
      </c>
      <c r="J13" s="343" t="s">
        <v>3614</v>
      </c>
      <c r="K13" s="115" t="s">
        <v>54</v>
      </c>
      <c r="L13" s="115" t="s">
        <v>157</v>
      </c>
      <c r="M13" s="114"/>
      <c r="N13" s="35" t="s">
        <v>154</v>
      </c>
      <c r="O13" s="35" t="s">
        <v>121</v>
      </c>
      <c r="P13" s="414">
        <f>COUNTIF($I$3:I13,I13)</f>
        <v>1</v>
      </c>
      <c r="Q13" s="512" t="str">
        <f>IF(Tabla107[[#This Row],[MAQUINA / EQUIPO]]="","",Tabla107[[#This Row],[MAQUINA / EQUIPO]])</f>
        <v>TOSTADOR PETRONCINI NUEVO</v>
      </c>
      <c r="AM13" s="106"/>
      <c r="AN13" s="106"/>
      <c r="BK13" s="30" t="s">
        <v>3625</v>
      </c>
    </row>
    <row r="14" spans="1:63" ht="21.75" customHeight="1">
      <c r="A14" s="63"/>
      <c r="B14" s="426" t="str">
        <f>IF(I14="","",CONCATENATE(I14,"-",P14))</f>
        <v>LINEA AUTOMATICA HACOS 1-3</v>
      </c>
      <c r="C14" s="22">
        <v>46205</v>
      </c>
      <c r="D14" s="16" t="s">
        <v>131</v>
      </c>
      <c r="E14" s="10" t="s">
        <v>39</v>
      </c>
      <c r="F14" s="381" t="s">
        <v>434</v>
      </c>
      <c r="G14" s="381" t="s">
        <v>873</v>
      </c>
      <c r="H14" s="380">
        <v>2.0833333333333315E-2</v>
      </c>
      <c r="I14" s="16" t="s">
        <v>119</v>
      </c>
      <c r="J14" s="343" t="s">
        <v>3614</v>
      </c>
      <c r="K14" s="115" t="s">
        <v>54</v>
      </c>
      <c r="L14" s="115" t="s">
        <v>157</v>
      </c>
      <c r="M14" s="114"/>
      <c r="N14" s="35" t="s">
        <v>225</v>
      </c>
      <c r="O14" s="35" t="s">
        <v>121</v>
      </c>
      <c r="P14" s="414">
        <f>COUNTIF($I$3:I14,I14)</f>
        <v>3</v>
      </c>
      <c r="Q14" s="512" t="str">
        <f>IF(Tabla107[[#This Row],[MAQUINA / EQUIPO]]="","",Tabla107[[#This Row],[MAQUINA / EQUIPO]])</f>
        <v>LINEA AUTOMATICA HACOS 1</v>
      </c>
      <c r="AM14" s="106"/>
      <c r="AN14" s="106"/>
      <c r="BK14" s="29" t="s">
        <v>1197</v>
      </c>
    </row>
    <row r="15" spans="1:63" ht="21.75" customHeight="1">
      <c r="A15" s="63"/>
      <c r="B15" s="426" t="str">
        <f>IF(I15="","",CONCATENATE(I15,"-",P15))</f>
        <v>TOSTADOR PETRONCINI NUEVO-2</v>
      </c>
      <c r="C15" s="22">
        <v>46205</v>
      </c>
      <c r="D15" s="16" t="s">
        <v>88</v>
      </c>
      <c r="E15" s="10" t="s">
        <v>36</v>
      </c>
      <c r="F15" s="381" t="s">
        <v>430</v>
      </c>
      <c r="G15" s="381" t="s">
        <v>699</v>
      </c>
      <c r="H15" s="380">
        <v>1.0416666666666685E-2</v>
      </c>
      <c r="I15" s="16" t="s">
        <v>2256</v>
      </c>
      <c r="J15" s="343" t="s">
        <v>3614</v>
      </c>
      <c r="K15" s="115" t="s">
        <v>61</v>
      </c>
      <c r="L15" s="115" t="s">
        <v>157</v>
      </c>
      <c r="M15" s="114"/>
      <c r="N15" s="35" t="s">
        <v>409</v>
      </c>
      <c r="O15" s="35" t="s">
        <v>3564</v>
      </c>
      <c r="P15" s="414">
        <f>COUNTIF($I$3:I15,I15)</f>
        <v>2</v>
      </c>
      <c r="Q15" s="512" t="str">
        <f>IF(Tabla107[[#This Row],[MAQUINA / EQUIPO]]="","",Tabla107[[#This Row],[MAQUINA / EQUIPO]])</f>
        <v>TOSTADOR PETRONCINI NUEVO</v>
      </c>
      <c r="AM15" s="106"/>
      <c r="AN15" s="106"/>
      <c r="BK15" s="30" t="s">
        <v>3626</v>
      </c>
    </row>
    <row r="16" spans="1:63" ht="21.75" customHeight="1">
      <c r="A16" s="63"/>
      <c r="B16" s="426" t="str">
        <f>IF(I16="","",CONCATENATE(I16,"-",P16))</f>
        <v>LINEA AUTOMATICA HACOS 1-4</v>
      </c>
      <c r="C16" s="22">
        <v>46205</v>
      </c>
      <c r="D16" s="16" t="s">
        <v>88</v>
      </c>
      <c r="E16" s="10" t="s">
        <v>36</v>
      </c>
      <c r="F16" s="381" t="s">
        <v>437</v>
      </c>
      <c r="G16" s="381" t="s">
        <v>176</v>
      </c>
      <c r="H16" s="380">
        <v>2.083333333333337E-2</v>
      </c>
      <c r="I16" s="16" t="s">
        <v>119</v>
      </c>
      <c r="J16" s="343" t="s">
        <v>3614</v>
      </c>
      <c r="K16" s="115" t="s">
        <v>54</v>
      </c>
      <c r="L16" s="115" t="s">
        <v>157</v>
      </c>
      <c r="M16" s="114"/>
      <c r="N16" s="35" t="s">
        <v>1040</v>
      </c>
      <c r="O16" s="35" t="s">
        <v>1423</v>
      </c>
      <c r="P16" s="414">
        <f>COUNTIF($I$3:I16,I16)</f>
        <v>4</v>
      </c>
      <c r="Q16" s="512" t="str">
        <f>IF(Tabla107[[#This Row],[MAQUINA / EQUIPO]]="","",Tabla107[[#This Row],[MAQUINA / EQUIPO]])</f>
        <v>LINEA AUTOMATICA HACOS 1</v>
      </c>
      <c r="AM16" s="106"/>
      <c r="AN16" s="106"/>
      <c r="BK16" s="29" t="s">
        <v>1643</v>
      </c>
    </row>
    <row r="17" spans="1:63" ht="21.75" customHeight="1">
      <c r="A17" s="63"/>
      <c r="B17" s="426" t="str">
        <f>IF(I17="","",CONCATENATE(I17,"-",P17))</f>
        <v>ENVASADORA TEPACK-1</v>
      </c>
      <c r="C17" s="22">
        <v>46205</v>
      </c>
      <c r="D17" s="16" t="s">
        <v>88</v>
      </c>
      <c r="E17" s="10" t="s">
        <v>36</v>
      </c>
      <c r="F17" s="381" t="s">
        <v>127</v>
      </c>
      <c r="G17" s="381" t="s">
        <v>556</v>
      </c>
      <c r="H17" s="380">
        <v>4.1666666666666685E-2</v>
      </c>
      <c r="I17" s="16" t="s">
        <v>965</v>
      </c>
      <c r="J17" s="343" t="s">
        <v>3614</v>
      </c>
      <c r="K17" s="115" t="s">
        <v>186</v>
      </c>
      <c r="L17" s="115" t="s">
        <v>92</v>
      </c>
      <c r="M17" s="114" t="s">
        <v>93</v>
      </c>
      <c r="N17" s="35" t="s">
        <v>3565</v>
      </c>
      <c r="O17" s="35" t="s">
        <v>3566</v>
      </c>
      <c r="P17" s="414">
        <f>COUNTIF($I$3:I17,I17)</f>
        <v>1</v>
      </c>
      <c r="Q17" s="512" t="str">
        <f>IF(Tabla107[[#This Row],[MAQUINA / EQUIPO]]="","",Tabla107[[#This Row],[MAQUINA / EQUIPO]])</f>
        <v>ENVASADORA TEPACK</v>
      </c>
      <c r="AM17" s="106"/>
      <c r="AN17" s="106"/>
      <c r="BK17" s="30" t="s">
        <v>3627</v>
      </c>
    </row>
    <row r="18" spans="1:63" ht="21.75" customHeight="1">
      <c r="A18" s="63"/>
      <c r="B18" s="426" t="str">
        <f>IF(I18="","",CONCATENATE(I18,"-",P18))</f>
        <v>ENVASADORA TEPACK-2</v>
      </c>
      <c r="C18" s="22">
        <v>46205</v>
      </c>
      <c r="D18" s="16" t="s">
        <v>88</v>
      </c>
      <c r="E18" s="10" t="s">
        <v>36</v>
      </c>
      <c r="F18" s="381" t="s">
        <v>97</v>
      </c>
      <c r="G18" s="381" t="s">
        <v>468</v>
      </c>
      <c r="H18" s="380">
        <v>8.3333333333333315E-2</v>
      </c>
      <c r="I18" s="16" t="s">
        <v>965</v>
      </c>
      <c r="J18" s="343" t="s">
        <v>3614</v>
      </c>
      <c r="K18" s="115" t="s">
        <v>57</v>
      </c>
      <c r="L18" s="115" t="s">
        <v>157</v>
      </c>
      <c r="M18" s="114"/>
      <c r="N18" s="35" t="s">
        <v>3567</v>
      </c>
      <c r="O18" s="35" t="s">
        <v>3568</v>
      </c>
      <c r="P18" s="414">
        <f>COUNTIF($I$3:I18,I18)</f>
        <v>2</v>
      </c>
      <c r="Q18" s="512" t="str">
        <f>IF(Tabla107[[#This Row],[MAQUINA / EQUIPO]]="","",Tabla107[[#This Row],[MAQUINA / EQUIPO]])</f>
        <v>ENVASADORA TEPACK</v>
      </c>
      <c r="AM18" s="106"/>
      <c r="AN18" s="106"/>
      <c r="BK18" s="29" t="s">
        <v>3628</v>
      </c>
    </row>
    <row r="19" spans="1:63" ht="21.75" customHeight="1">
      <c r="A19" s="63"/>
      <c r="B19" s="426" t="str">
        <f>IF(I19="","",CONCATENATE(I19,"-",P19))</f>
        <v>CALDERO, CHRILLER Y COMPRESOR-1</v>
      </c>
      <c r="C19" s="22">
        <v>46205</v>
      </c>
      <c r="D19" s="16" t="s">
        <v>179</v>
      </c>
      <c r="E19" s="10" t="s">
        <v>23</v>
      </c>
      <c r="F19" s="381" t="s">
        <v>106</v>
      </c>
      <c r="G19" s="381" t="s">
        <v>468</v>
      </c>
      <c r="H19" s="380">
        <v>1.388888888888884E-2</v>
      </c>
      <c r="I19" s="16" t="s">
        <v>215</v>
      </c>
      <c r="J19" s="343" t="s">
        <v>3629</v>
      </c>
      <c r="K19" s="115" t="s">
        <v>54</v>
      </c>
      <c r="L19" s="115" t="s">
        <v>157</v>
      </c>
      <c r="M19" s="114"/>
      <c r="N19" s="35" t="s">
        <v>3591</v>
      </c>
      <c r="O19" s="35" t="s">
        <v>121</v>
      </c>
      <c r="P19" s="414">
        <f>COUNTIF($I$3:I19,I19)</f>
        <v>1</v>
      </c>
      <c r="Q19" s="512" t="str">
        <f>IF(Tabla107[[#This Row],[MAQUINA / EQUIPO]]="","",Tabla107[[#This Row],[MAQUINA / EQUIPO]])</f>
        <v>CALDERO, CHRILLER Y COMPRESOR</v>
      </c>
      <c r="AM19" s="106"/>
      <c r="AN19" s="106"/>
      <c r="BK19" s="30" t="s">
        <v>1764</v>
      </c>
    </row>
    <row r="20" spans="1:63" ht="21.75" customHeight="1">
      <c r="A20" s="63"/>
      <c r="B20" s="426" t="str">
        <f>IF(I20="","",CONCATENATE(I20,"-",P20))</f>
        <v>PLANTA INDUSTRIAL-1</v>
      </c>
      <c r="C20" s="22">
        <v>46205</v>
      </c>
      <c r="D20" s="16" t="s">
        <v>111</v>
      </c>
      <c r="E20" s="10" t="s">
        <v>23</v>
      </c>
      <c r="F20" s="381" t="s">
        <v>946</v>
      </c>
      <c r="G20" s="381" t="s">
        <v>281</v>
      </c>
      <c r="H20" s="380">
        <v>3.472222222222221E-2</v>
      </c>
      <c r="I20" s="16" t="s">
        <v>103</v>
      </c>
      <c r="J20" s="343" t="s">
        <v>3616</v>
      </c>
      <c r="K20" s="115" t="s">
        <v>54</v>
      </c>
      <c r="L20" s="115" t="s">
        <v>157</v>
      </c>
      <c r="M20" s="114"/>
      <c r="N20" s="35" t="s">
        <v>1191</v>
      </c>
      <c r="O20" s="35" t="s">
        <v>121</v>
      </c>
      <c r="P20" s="414">
        <f>COUNTIF($I$3:I20,I20)</f>
        <v>1</v>
      </c>
      <c r="Q20" s="512" t="str">
        <f>IF(Tabla107[[#This Row],[MAQUINA / EQUIPO]]="","",Tabla107[[#This Row],[MAQUINA / EQUIPO]])</f>
        <v>PLANTA INDUSTRIAL</v>
      </c>
      <c r="AM20" s="106"/>
      <c r="AN20" s="106"/>
      <c r="BK20" s="29" t="s">
        <v>331</v>
      </c>
    </row>
    <row r="21" spans="1:63" ht="21.75" customHeight="1">
      <c r="A21" s="63"/>
      <c r="B21" s="426" t="str">
        <f>IF(I21="","",CONCATENATE(I21,"-",P21))</f>
        <v>LINEA AUTOMATICA HACOS 1-5</v>
      </c>
      <c r="C21" s="22">
        <v>46205</v>
      </c>
      <c r="D21" s="16" t="s">
        <v>88</v>
      </c>
      <c r="E21" s="10" t="s">
        <v>36</v>
      </c>
      <c r="F21" s="381" t="s">
        <v>2415</v>
      </c>
      <c r="G21" s="381" t="s">
        <v>281</v>
      </c>
      <c r="H21" s="380">
        <v>1.0416666666666741E-2</v>
      </c>
      <c r="I21" s="16" t="s">
        <v>119</v>
      </c>
      <c r="J21" s="343" t="s">
        <v>3614</v>
      </c>
      <c r="K21" s="115" t="s">
        <v>54</v>
      </c>
      <c r="L21" s="115" t="s">
        <v>157</v>
      </c>
      <c r="M21" s="114"/>
      <c r="N21" s="35" t="s">
        <v>3569</v>
      </c>
      <c r="O21" s="35" t="s">
        <v>3570</v>
      </c>
      <c r="P21" s="414">
        <f>COUNTIF($I$3:I21,I21)</f>
        <v>5</v>
      </c>
      <c r="Q21" s="512" t="str">
        <f>IF(Tabla107[[#This Row],[MAQUINA / EQUIPO]]="","",Tabla107[[#This Row],[MAQUINA / EQUIPO]])</f>
        <v>LINEA AUTOMATICA HACOS 1</v>
      </c>
      <c r="AM21" s="106"/>
      <c r="AN21" s="106"/>
      <c r="BK21" s="30" t="s">
        <v>208</v>
      </c>
    </row>
    <row r="22" spans="1:63" ht="21.75" customHeight="1">
      <c r="A22" s="63"/>
      <c r="B22" s="426" t="str">
        <f>IF(I22="","",CONCATENATE(I22,"-",P22))</f>
        <v>LINEA AUTOMATICA HACOS 1-6</v>
      </c>
      <c r="C22" s="22">
        <v>46205</v>
      </c>
      <c r="D22" s="16" t="s">
        <v>111</v>
      </c>
      <c r="E22" s="10" t="s">
        <v>23</v>
      </c>
      <c r="F22" s="381" t="s">
        <v>1256</v>
      </c>
      <c r="G22" s="381" t="s">
        <v>457</v>
      </c>
      <c r="H22" s="380">
        <v>1.041666666666663E-2</v>
      </c>
      <c r="I22" s="16" t="s">
        <v>119</v>
      </c>
      <c r="J22" s="343" t="s">
        <v>3614</v>
      </c>
      <c r="K22" s="115" t="s">
        <v>61</v>
      </c>
      <c r="L22" s="115" t="s">
        <v>157</v>
      </c>
      <c r="M22" s="114"/>
      <c r="N22" s="35" t="s">
        <v>3581</v>
      </c>
      <c r="O22" s="35" t="s">
        <v>121</v>
      </c>
      <c r="P22" s="414">
        <f>COUNTIF($I$3:I22,I22)</f>
        <v>6</v>
      </c>
      <c r="Q22" s="512" t="str">
        <f>IF(Tabla107[[#This Row],[MAQUINA / EQUIPO]]="","",Tabla107[[#This Row],[MAQUINA / EQUIPO]])</f>
        <v>LINEA AUTOMATICA HACOS 1</v>
      </c>
      <c r="AM22" s="106"/>
      <c r="AN22" s="106"/>
      <c r="BK22" s="29" t="s">
        <v>3630</v>
      </c>
    </row>
    <row r="23" spans="1:63" ht="21.75" customHeight="1">
      <c r="A23" s="63"/>
      <c r="B23" s="426" t="str">
        <f>IF(I23="","",CONCATENATE(I23,"-",P23))</f>
        <v>FORRADORA MINIFLEX-2</v>
      </c>
      <c r="C23" s="22">
        <v>46205</v>
      </c>
      <c r="D23" s="16" t="s">
        <v>111</v>
      </c>
      <c r="E23" s="10" t="s">
        <v>23</v>
      </c>
      <c r="F23" s="381" t="s">
        <v>1704</v>
      </c>
      <c r="G23" s="381" t="s">
        <v>1978</v>
      </c>
      <c r="H23" s="380">
        <v>1.736111111111116E-2</v>
      </c>
      <c r="I23" s="16" t="s">
        <v>1470</v>
      </c>
      <c r="J23" s="343" t="s">
        <v>3614</v>
      </c>
      <c r="K23" s="115" t="s">
        <v>57</v>
      </c>
      <c r="L23" s="115" t="s">
        <v>92</v>
      </c>
      <c r="M23" s="114" t="s">
        <v>148</v>
      </c>
      <c r="N23" s="35" t="s">
        <v>3582</v>
      </c>
      <c r="O23" s="35" t="s">
        <v>3583</v>
      </c>
      <c r="P23" s="414">
        <f>COUNTIF($I$3:I23,I23)</f>
        <v>2</v>
      </c>
      <c r="Q23" s="512" t="str">
        <f>IF(Tabla107[[#This Row],[MAQUINA / EQUIPO]]="","",Tabla107[[#This Row],[MAQUINA / EQUIPO]])</f>
        <v>FORRADORA MINIFLEX</v>
      </c>
      <c r="AM23" s="106"/>
      <c r="AN23" s="106"/>
      <c r="BK23" s="30" t="s">
        <v>942</v>
      </c>
    </row>
    <row r="24" spans="1:63" ht="21.75" customHeight="1">
      <c r="A24" s="63"/>
      <c r="B24" s="426" t="str">
        <f>IF(I24="","",CONCATENATE(I24,"-",P24))</f>
        <v>LINEA AUTOMATICA HACOS 1-7</v>
      </c>
      <c r="C24" s="22">
        <v>46205</v>
      </c>
      <c r="D24" s="16" t="s">
        <v>111</v>
      </c>
      <c r="E24" s="10" t="s">
        <v>23</v>
      </c>
      <c r="F24" s="381" t="s">
        <v>1674</v>
      </c>
      <c r="G24" s="381" t="s">
        <v>274</v>
      </c>
      <c r="H24" s="380">
        <v>1.388888888888884E-2</v>
      </c>
      <c r="I24" s="16" t="s">
        <v>119</v>
      </c>
      <c r="J24" s="343" t="s">
        <v>3614</v>
      </c>
      <c r="K24" s="115" t="s">
        <v>61</v>
      </c>
      <c r="L24" s="115" t="s">
        <v>157</v>
      </c>
      <c r="M24" s="114"/>
      <c r="N24" s="35" t="s">
        <v>3584</v>
      </c>
      <c r="O24" s="35" t="s">
        <v>121</v>
      </c>
      <c r="P24" s="414">
        <f>COUNTIF($I$3:I24,I24)</f>
        <v>7</v>
      </c>
      <c r="Q24" s="513" t="str">
        <f>IF(Tabla107[[#This Row],[MAQUINA / EQUIPO]]="","",Tabla107[[#This Row],[MAQUINA / EQUIPO]])</f>
        <v>LINEA AUTOMATICA HACOS 1</v>
      </c>
      <c r="AM24" s="106"/>
      <c r="AN24" s="106"/>
      <c r="BK24" s="29" t="s">
        <v>3631</v>
      </c>
    </row>
    <row r="25" spans="1:63" ht="21.75" customHeight="1">
      <c r="A25" s="63"/>
      <c r="B25" s="426" t="str">
        <f>IF(I25="","",CONCATENATE(I25,"-",P25))</f>
        <v>EMP. SAPAL-4</v>
      </c>
      <c r="C25" s="22">
        <v>46205</v>
      </c>
      <c r="D25" s="16" t="s">
        <v>111</v>
      </c>
      <c r="E25" s="10" t="s">
        <v>23</v>
      </c>
      <c r="F25" s="381" t="s">
        <v>450</v>
      </c>
      <c r="G25" s="381" t="s">
        <v>957</v>
      </c>
      <c r="H25" s="380">
        <v>6.25E-2</v>
      </c>
      <c r="I25" s="16" t="s">
        <v>192</v>
      </c>
      <c r="J25" s="343" t="s">
        <v>3614</v>
      </c>
      <c r="K25" s="115" t="s">
        <v>57</v>
      </c>
      <c r="L25" s="115" t="s">
        <v>92</v>
      </c>
      <c r="M25" s="114" t="s">
        <v>93</v>
      </c>
      <c r="N25" s="35" t="s">
        <v>3585</v>
      </c>
      <c r="O25" s="35" t="s">
        <v>3586</v>
      </c>
      <c r="P25" s="414">
        <f>COUNTIF($I$3:I25,I25)</f>
        <v>4</v>
      </c>
      <c r="Q25" s="512" t="str">
        <f>IF(Tabla107[[#This Row],[MAQUINA / EQUIPO]]="","",Tabla107[[#This Row],[MAQUINA / EQUIPO]])</f>
        <v>EMP. SAPAL</v>
      </c>
      <c r="AM25" s="106"/>
      <c r="AN25" s="106"/>
      <c r="BK25" s="30" t="s">
        <v>3632</v>
      </c>
    </row>
    <row r="26" spans="1:63" ht="21.75" customHeight="1">
      <c r="A26" s="63"/>
      <c r="B26" s="426" t="str">
        <f>IF(I26="","",CONCATENATE(I26,"-",P26))</f>
        <v>LINEA AUTOMATICA HACOS 1-8</v>
      </c>
      <c r="C26" s="22">
        <v>46205</v>
      </c>
      <c r="D26" s="16" t="s">
        <v>111</v>
      </c>
      <c r="E26" s="10" t="s">
        <v>23</v>
      </c>
      <c r="F26" s="381" t="s">
        <v>1107</v>
      </c>
      <c r="G26" s="381" t="s">
        <v>2046</v>
      </c>
      <c r="H26" s="380">
        <v>1.3888888888888951E-2</v>
      </c>
      <c r="I26" s="16" t="s">
        <v>119</v>
      </c>
      <c r="J26" s="343" t="s">
        <v>3614</v>
      </c>
      <c r="K26" s="115" t="s">
        <v>32</v>
      </c>
      <c r="L26" s="115" t="s">
        <v>157</v>
      </c>
      <c r="M26" s="114"/>
      <c r="N26" s="35" t="s">
        <v>3587</v>
      </c>
      <c r="O26" s="35" t="s">
        <v>121</v>
      </c>
      <c r="P26" s="414">
        <f>COUNTIF($I$3:I26,I26)</f>
        <v>8</v>
      </c>
      <c r="Q26" s="512" t="str">
        <f>IF(Tabla107[[#This Row],[MAQUINA / EQUIPO]]="","",Tabla107[[#This Row],[MAQUINA / EQUIPO]])</f>
        <v>LINEA AUTOMATICA HACOS 1</v>
      </c>
      <c r="AM26" s="106"/>
      <c r="AN26" s="106"/>
      <c r="BK26" s="29" t="s">
        <v>3633</v>
      </c>
    </row>
    <row r="27" spans="1:63" ht="21.75" customHeight="1">
      <c r="A27" s="63"/>
      <c r="B27" s="426" t="str">
        <f>IF(I27="","",CONCATENATE(I27,"-",P27))</f>
        <v>EMP. FLOWPACK 2-1</v>
      </c>
      <c r="C27" s="22">
        <v>46205</v>
      </c>
      <c r="D27" s="16" t="s">
        <v>111</v>
      </c>
      <c r="E27" s="10" t="s">
        <v>23</v>
      </c>
      <c r="F27" s="381" t="s">
        <v>268</v>
      </c>
      <c r="G27" s="381" t="s">
        <v>584</v>
      </c>
      <c r="H27" s="380">
        <v>4.1666666666666741E-2</v>
      </c>
      <c r="I27" s="16" t="s">
        <v>31</v>
      </c>
      <c r="J27" s="343" t="s">
        <v>3614</v>
      </c>
      <c r="K27" s="115" t="s">
        <v>32</v>
      </c>
      <c r="L27" s="115" t="s">
        <v>157</v>
      </c>
      <c r="M27" s="114"/>
      <c r="N27" s="35" t="s">
        <v>3588</v>
      </c>
      <c r="O27" s="35" t="s">
        <v>3589</v>
      </c>
      <c r="P27" s="414">
        <f>COUNTIF($I$3:I27,I27)</f>
        <v>1</v>
      </c>
      <c r="Q27" s="512" t="str">
        <f>IF(Tabla107[[#This Row],[MAQUINA / EQUIPO]]="","",Tabla107[[#This Row],[MAQUINA / EQUIPO]])</f>
        <v>EMP. FLOWPACK 2</v>
      </c>
      <c r="BK27" s="30" t="s">
        <v>3634</v>
      </c>
    </row>
    <row r="28" spans="1:63" ht="21.75" customHeight="1">
      <c r="A28" s="63"/>
      <c r="B28" s="426" t="str">
        <f>IF(I28="","",CONCATENATE(I28,"-",P28))</f>
        <v>GRAGEADORA CRG-100X-1</v>
      </c>
      <c r="C28" s="22">
        <v>46205</v>
      </c>
      <c r="D28" s="16" t="s">
        <v>111</v>
      </c>
      <c r="E28" s="10" t="s">
        <v>23</v>
      </c>
      <c r="F28" s="381" t="s">
        <v>577</v>
      </c>
      <c r="G28" s="381" t="s">
        <v>579</v>
      </c>
      <c r="H28" s="380">
        <v>1.0416666666666741E-2</v>
      </c>
      <c r="I28" s="16" t="s">
        <v>1465</v>
      </c>
      <c r="J28" s="343" t="s">
        <v>3614</v>
      </c>
      <c r="K28" s="115" t="s">
        <v>54</v>
      </c>
      <c r="L28" s="115" t="s">
        <v>157</v>
      </c>
      <c r="M28" s="114"/>
      <c r="N28" s="35" t="s">
        <v>3590</v>
      </c>
      <c r="O28" s="35" t="s">
        <v>121</v>
      </c>
      <c r="P28" s="414">
        <f>COUNTIF($I$3:I28,I28)</f>
        <v>1</v>
      </c>
      <c r="Q28" s="512" t="str">
        <f>IF(Tabla107[[#This Row],[MAQUINA / EQUIPO]]="","",Tabla107[[#This Row],[MAQUINA / EQUIPO]])</f>
        <v>GRAGEADORA CRG-100X</v>
      </c>
      <c r="BK28" s="29" t="s">
        <v>3635</v>
      </c>
    </row>
    <row r="29" spans="1:63" ht="21.75" customHeight="1">
      <c r="A29" s="63"/>
      <c r="B29" s="426" t="str">
        <f>IF(I29="","",CONCATENATE(I29,"-",P29))</f>
        <v>TOSTADOR PETRONCINI NUEVO-3</v>
      </c>
      <c r="C29" s="22">
        <v>46205</v>
      </c>
      <c r="D29" s="16" t="s">
        <v>131</v>
      </c>
      <c r="E29" s="10" t="s">
        <v>39</v>
      </c>
      <c r="F29" s="381" t="s">
        <v>425</v>
      </c>
      <c r="G29" s="381" t="s">
        <v>1122</v>
      </c>
      <c r="H29" s="380">
        <v>7.6388888888888618E-3</v>
      </c>
      <c r="I29" s="16" t="s">
        <v>2256</v>
      </c>
      <c r="J29" s="343" t="s">
        <v>3614</v>
      </c>
      <c r="K29" s="115" t="s">
        <v>54</v>
      </c>
      <c r="L29" s="115" t="s">
        <v>92</v>
      </c>
      <c r="M29" s="114" t="s">
        <v>148</v>
      </c>
      <c r="N29" s="35" t="s">
        <v>3571</v>
      </c>
      <c r="O29" s="35" t="s">
        <v>3572</v>
      </c>
      <c r="P29" s="414">
        <f>COUNTIF($I$3:I29,I29)</f>
        <v>3</v>
      </c>
      <c r="Q29" s="512" t="str">
        <f>IF(Tabla107[[#This Row],[MAQUINA / EQUIPO]]="","",Tabla107[[#This Row],[MAQUINA / EQUIPO]])</f>
        <v>TOSTADOR PETRONCINI NUEVO</v>
      </c>
      <c r="BK29" s="30" t="s">
        <v>3636</v>
      </c>
    </row>
    <row r="30" spans="1:63" ht="21.75" customHeight="1">
      <c r="A30" s="63"/>
      <c r="B30" s="426" t="str">
        <f>IF(I30="","",CONCATENATE(I30,"-",P30))</f>
        <v>MEZCLADORA DE DOBLE EJE SSHS40-1</v>
      </c>
      <c r="C30" s="22">
        <v>46205</v>
      </c>
      <c r="D30" s="16" t="s">
        <v>131</v>
      </c>
      <c r="E30" s="10" t="s">
        <v>39</v>
      </c>
      <c r="F30" s="381" t="s">
        <v>1499</v>
      </c>
      <c r="G30" s="381" t="s">
        <v>478</v>
      </c>
      <c r="H30" s="380">
        <v>1.4583333333333393E-2</v>
      </c>
      <c r="I30" s="16" t="s">
        <v>244</v>
      </c>
      <c r="J30" s="343" t="s">
        <v>3614</v>
      </c>
      <c r="K30" s="115" t="s">
        <v>245</v>
      </c>
      <c r="L30" s="115" t="s">
        <v>157</v>
      </c>
      <c r="M30" s="114"/>
      <c r="N30" s="35" t="s">
        <v>3573</v>
      </c>
      <c r="O30" s="35" t="s">
        <v>121</v>
      </c>
      <c r="P30" s="414">
        <f>COUNTIF($I$3:I30,I30)</f>
        <v>1</v>
      </c>
      <c r="Q30" s="512" t="str">
        <f>IF(Tabla107[[#This Row],[MAQUINA / EQUIPO]]="","",Tabla107[[#This Row],[MAQUINA / EQUIPO]])</f>
        <v>MEZCLADORA DE DOBLE EJE SSHS40</v>
      </c>
      <c r="BK30" s="29" t="s">
        <v>3636</v>
      </c>
    </row>
    <row r="31" spans="1:63" ht="21.75" customHeight="1">
      <c r="A31" s="63"/>
      <c r="B31" s="426" t="str">
        <f>IF(I31="","",CONCATENATE(I31,"-",P31))</f>
        <v>EMP. 2 - CARLE MONTANARY-1</v>
      </c>
      <c r="C31" s="22">
        <v>46205</v>
      </c>
      <c r="D31" s="16" t="s">
        <v>131</v>
      </c>
      <c r="E31" s="10" t="s">
        <v>39</v>
      </c>
      <c r="F31" s="381" t="s">
        <v>3574</v>
      </c>
      <c r="G31" s="381" t="s">
        <v>118</v>
      </c>
      <c r="H31" s="380">
        <v>6.2499999999999778E-3</v>
      </c>
      <c r="I31" s="16" t="s">
        <v>153</v>
      </c>
      <c r="J31" s="343" t="s">
        <v>3614</v>
      </c>
      <c r="K31" s="115" t="s">
        <v>57</v>
      </c>
      <c r="L31" s="115" t="s">
        <v>157</v>
      </c>
      <c r="M31" s="114"/>
      <c r="N31" s="35" t="s">
        <v>3575</v>
      </c>
      <c r="O31" s="35" t="s">
        <v>121</v>
      </c>
      <c r="P31" s="414">
        <f>COUNTIF($I$3:I31,I31)</f>
        <v>1</v>
      </c>
      <c r="Q31" s="512" t="str">
        <f>IF(Tabla107[[#This Row],[MAQUINA / EQUIPO]]="","",Tabla107[[#This Row],[MAQUINA / EQUIPO]])</f>
        <v>EMP. 2 - CARLE MONTANARY</v>
      </c>
      <c r="BK31" s="30" t="s">
        <v>3637</v>
      </c>
    </row>
    <row r="32" spans="1:63" ht="21.75" customHeight="1">
      <c r="A32" s="63"/>
      <c r="B32" s="426" t="str">
        <f>IF(I32="","",CONCATENATE(I32,"-",P32))</f>
        <v>EMP. NAPOLITANA-2</v>
      </c>
      <c r="C32" s="22">
        <v>46205</v>
      </c>
      <c r="D32" s="16" t="s">
        <v>131</v>
      </c>
      <c r="E32" s="10" t="s">
        <v>39</v>
      </c>
      <c r="F32" s="381" t="s">
        <v>660</v>
      </c>
      <c r="G32" s="381" t="s">
        <v>421</v>
      </c>
      <c r="H32" s="380">
        <v>2.777777777777779E-2</v>
      </c>
      <c r="I32" s="16" t="s">
        <v>140</v>
      </c>
      <c r="J32" s="343" t="s">
        <v>3614</v>
      </c>
      <c r="K32" s="115" t="s">
        <v>57</v>
      </c>
      <c r="L32" s="115" t="s">
        <v>92</v>
      </c>
      <c r="M32" s="114" t="s">
        <v>93</v>
      </c>
      <c r="N32" s="35" t="s">
        <v>3576</v>
      </c>
      <c r="O32" s="35" t="s">
        <v>3577</v>
      </c>
      <c r="P32" s="414">
        <f>COUNTIF($I$3:I32,I32)</f>
        <v>2</v>
      </c>
      <c r="Q32" s="512" t="str">
        <f>IF(Tabla107[[#This Row],[MAQUINA / EQUIPO]]="","",Tabla107[[#This Row],[MAQUINA / EQUIPO]])</f>
        <v>EMP. NAPOLITANA</v>
      </c>
      <c r="BK32" s="29" t="s">
        <v>3638</v>
      </c>
    </row>
    <row r="33" spans="1:63" ht="21.75" customHeight="1">
      <c r="A33" s="63"/>
      <c r="B33" s="426" t="str">
        <f>IF(I33="","",CONCATENATE(I33,"-",P33))</f>
        <v>EMP. SAPAL-5</v>
      </c>
      <c r="C33" s="22">
        <v>46205</v>
      </c>
      <c r="D33" s="16" t="s">
        <v>131</v>
      </c>
      <c r="E33" s="10" t="s">
        <v>39</v>
      </c>
      <c r="F33" s="381" t="s">
        <v>1696</v>
      </c>
      <c r="G33" s="381" t="s">
        <v>1271</v>
      </c>
      <c r="H33" s="380">
        <v>2.3611111111111138E-2</v>
      </c>
      <c r="I33" s="16" t="s">
        <v>192</v>
      </c>
      <c r="J33" s="343" t="s">
        <v>3614</v>
      </c>
      <c r="K33" s="115" t="s">
        <v>57</v>
      </c>
      <c r="L33" s="115" t="s">
        <v>92</v>
      </c>
      <c r="M33" s="114" t="s">
        <v>93</v>
      </c>
      <c r="N33" s="35" t="s">
        <v>3578</v>
      </c>
      <c r="O33" s="35" t="s">
        <v>3579</v>
      </c>
      <c r="P33" s="414">
        <f>COUNTIF($I$3:I33,I33)</f>
        <v>5</v>
      </c>
      <c r="Q33" s="512" t="str">
        <f>IF(Tabla107[[#This Row],[MAQUINA / EQUIPO]]="","",Tabla107[[#This Row],[MAQUINA / EQUIPO]])</f>
        <v>EMP. SAPAL</v>
      </c>
      <c r="BK33" s="30" t="s">
        <v>3494</v>
      </c>
    </row>
    <row r="34" spans="1:63" ht="21.75" customHeight="1">
      <c r="A34" s="63"/>
      <c r="B34" s="426" t="str">
        <f>IF(I34="","",CONCATENATE(I34,"-",P34))</f>
        <v/>
      </c>
      <c r="C34" s="22"/>
      <c r="D34" s="16"/>
      <c r="E34" s="10"/>
      <c r="F34" s="381"/>
      <c r="G34" s="381"/>
      <c r="H34" s="380"/>
      <c r="I34" s="16"/>
      <c r="J34" s="343"/>
      <c r="K34" s="115"/>
      <c r="L34" s="115"/>
      <c r="M34" s="114"/>
      <c r="N34" s="35"/>
      <c r="O34" s="35"/>
      <c r="P34" s="414">
        <f>COUNTIF($I$3:I34,I34)</f>
        <v>0</v>
      </c>
      <c r="Q34" s="512" t="str">
        <f>IF(Tabla107[[#This Row],[MAQUINA / EQUIPO]]="","",Tabla107[[#This Row],[MAQUINA / EQUIPO]])</f>
        <v/>
      </c>
      <c r="BK34" s="29" t="s">
        <v>458</v>
      </c>
    </row>
    <row r="35" spans="1:63" ht="21.75" customHeight="1">
      <c r="A35" s="63"/>
      <c r="B35" s="426" t="str">
        <f>IF(I35="","",CONCATENATE(I35,"-",P35))</f>
        <v/>
      </c>
      <c r="C35" s="22"/>
      <c r="D35" s="16"/>
      <c r="E35" s="10"/>
      <c r="F35" s="381"/>
      <c r="G35" s="381"/>
      <c r="H35" s="380"/>
      <c r="I35" s="16"/>
      <c r="J35" s="343"/>
      <c r="K35" s="115"/>
      <c r="L35" s="115"/>
      <c r="M35" s="114"/>
      <c r="N35" s="35"/>
      <c r="O35" s="35"/>
      <c r="P35" s="414">
        <f>COUNTIF($I$3:I35,I35)</f>
        <v>0</v>
      </c>
      <c r="Q35" s="512" t="str">
        <f>IF(Tabla107[[#This Row],[MAQUINA / EQUIPO]]="","",Tabla107[[#This Row],[MAQUINA / EQUIPO]])</f>
        <v/>
      </c>
      <c r="BK35" s="30" t="s">
        <v>3639</v>
      </c>
    </row>
    <row r="36" spans="1:63" ht="21.75" customHeight="1">
      <c r="A36" s="63"/>
      <c r="B36" s="426" t="str">
        <f>IF(I36="","",CONCATENATE(I36,"-",P36))</f>
        <v/>
      </c>
      <c r="C36" s="22"/>
      <c r="D36" s="16"/>
      <c r="E36" s="10"/>
      <c r="F36" s="381"/>
      <c r="G36" s="381"/>
      <c r="H36" s="380"/>
      <c r="I36" s="16"/>
      <c r="J36" s="343"/>
      <c r="K36" s="115"/>
      <c r="L36" s="115"/>
      <c r="M36" s="114"/>
      <c r="N36" s="35"/>
      <c r="O36" s="35"/>
      <c r="P36" s="414">
        <f>COUNTIF($I$3:I36,I36)</f>
        <v>0</v>
      </c>
      <c r="Q36" s="513" t="str">
        <f>IF(Tabla107[[#This Row],[MAQUINA / EQUIPO]]="","",Tabla107[[#This Row],[MAQUINA / EQUIPO]])</f>
        <v/>
      </c>
      <c r="BK36" s="29" t="s">
        <v>3640</v>
      </c>
    </row>
    <row r="37" spans="1:63" ht="21.75" customHeight="1">
      <c r="A37" s="63"/>
      <c r="B37" s="426" t="str">
        <f>IF(I37="","",CONCATENATE(I37,"-",P37))</f>
        <v/>
      </c>
      <c r="C37" s="22"/>
      <c r="D37" s="16"/>
      <c r="E37" s="10"/>
      <c r="F37" s="381"/>
      <c r="G37" s="381"/>
      <c r="H37" s="380"/>
      <c r="I37" s="16"/>
      <c r="J37" s="343"/>
      <c r="K37" s="115"/>
      <c r="L37" s="115"/>
      <c r="M37" s="114"/>
      <c r="N37" s="35"/>
      <c r="O37" s="35"/>
      <c r="P37" s="414">
        <f>COUNTIF($I$3:I37,I37)</f>
        <v>0</v>
      </c>
      <c r="Q37" s="512" t="str">
        <f>IF(Tabla107[[#This Row],[MAQUINA / EQUIPO]]="","",Tabla107[[#This Row],[MAQUINA / EQUIPO]])</f>
        <v/>
      </c>
      <c r="BK37" s="30" t="s">
        <v>3641</v>
      </c>
    </row>
    <row r="38" spans="1:63" ht="21.75" customHeight="1">
      <c r="A38" s="63"/>
      <c r="B38" s="426" t="str">
        <f>IF(I38="","",CONCATENATE(I38,"-",P38))</f>
        <v/>
      </c>
      <c r="C38" s="22"/>
      <c r="D38" s="16"/>
      <c r="E38" s="10"/>
      <c r="F38" s="381"/>
      <c r="G38" s="381"/>
      <c r="H38" s="380"/>
      <c r="I38" s="16"/>
      <c r="J38" s="343"/>
      <c r="K38" s="115"/>
      <c r="L38" s="115"/>
      <c r="M38" s="114"/>
      <c r="N38" s="35"/>
      <c r="O38" s="35"/>
      <c r="P38" s="414">
        <f>COUNTIF($I$3:I38,I38)</f>
        <v>0</v>
      </c>
      <c r="Q38" s="512" t="str">
        <f>IF(Tabla107[[#This Row],[MAQUINA / EQUIPO]]="","",Tabla107[[#This Row],[MAQUINA / EQUIPO]])</f>
        <v/>
      </c>
      <c r="BK38" s="29" t="s">
        <v>972</v>
      </c>
    </row>
    <row r="39" spans="1:63" ht="21.75" customHeight="1">
      <c r="A39" s="63"/>
      <c r="B39" s="426" t="str">
        <f>IF(I39="","",CONCATENATE(I39,"-",P39))</f>
        <v/>
      </c>
      <c r="C39" s="22"/>
      <c r="D39" s="16"/>
      <c r="E39" s="10"/>
      <c r="F39" s="381"/>
      <c r="G39" s="381"/>
      <c r="H39" s="380"/>
      <c r="I39" s="16"/>
      <c r="J39" s="343"/>
      <c r="K39" s="115"/>
      <c r="L39" s="115"/>
      <c r="M39" s="114"/>
      <c r="N39" s="35"/>
      <c r="O39" s="35"/>
      <c r="P39" s="414">
        <f>COUNTIF($I$3:I39,I39)</f>
        <v>0</v>
      </c>
      <c r="Q39" s="512" t="str">
        <f>IF(Tabla107[[#This Row],[MAQUINA / EQUIPO]]="","",Tabla107[[#This Row],[MAQUINA / EQUIPO]])</f>
        <v/>
      </c>
      <c r="BK39" s="30" t="s">
        <v>3642</v>
      </c>
    </row>
    <row r="40" spans="1:63" ht="21.75" customHeight="1">
      <c r="A40" s="63"/>
      <c r="B40" s="426" t="str">
        <f>IF(I40="","",CONCATENATE(I40,"-",P40))</f>
        <v/>
      </c>
      <c r="C40" s="22"/>
      <c r="D40" s="16"/>
      <c r="E40" s="10"/>
      <c r="F40" s="381"/>
      <c r="G40" s="381"/>
      <c r="H40" s="380"/>
      <c r="I40" s="16"/>
      <c r="J40" s="343"/>
      <c r="K40" s="115"/>
      <c r="L40" s="115"/>
      <c r="M40" s="114"/>
      <c r="N40" s="35"/>
      <c r="O40" s="35"/>
      <c r="P40" s="414">
        <f>COUNTIF($I$3:I40,I40)</f>
        <v>0</v>
      </c>
      <c r="Q40" s="512" t="str">
        <f>IF(Tabla107[[#This Row],[MAQUINA / EQUIPO]]="","",Tabla107[[#This Row],[MAQUINA / EQUIPO]])</f>
        <v/>
      </c>
      <c r="BK40" s="29" t="s">
        <v>3643</v>
      </c>
    </row>
    <row r="41" spans="1:63" ht="21.75" customHeight="1">
      <c r="A41" s="63"/>
      <c r="B41" s="426" t="str">
        <f>IF(I41="","",CONCATENATE(I41,"-",P41))</f>
        <v/>
      </c>
      <c r="C41" s="22"/>
      <c r="D41" s="16"/>
      <c r="E41" s="10"/>
      <c r="F41" s="381"/>
      <c r="G41" s="381"/>
      <c r="H41" s="380"/>
      <c r="I41" s="16"/>
      <c r="J41" s="343"/>
      <c r="K41" s="115"/>
      <c r="L41" s="115"/>
      <c r="M41" s="114"/>
      <c r="N41" s="35"/>
      <c r="O41" s="35"/>
      <c r="P41" s="414">
        <f>COUNTIF($I$3:I41,I41)</f>
        <v>0</v>
      </c>
      <c r="Q41" s="512" t="str">
        <f>IF(Tabla107[[#This Row],[MAQUINA / EQUIPO]]="","",Tabla107[[#This Row],[MAQUINA / EQUIPO]])</f>
        <v/>
      </c>
      <c r="BK41" s="30" t="s">
        <v>27</v>
      </c>
    </row>
    <row r="42" spans="1:63" ht="21.75" customHeight="1">
      <c r="A42" s="63"/>
      <c r="B42" s="426" t="str">
        <f>IF(I42="","",CONCATENATE(I42,"-",P42))</f>
        <v/>
      </c>
      <c r="C42" s="22"/>
      <c r="D42" s="16"/>
      <c r="E42" s="10"/>
      <c r="F42" s="381"/>
      <c r="G42" s="381"/>
      <c r="H42" s="380"/>
      <c r="I42" s="16"/>
      <c r="J42" s="343"/>
      <c r="K42" s="115"/>
      <c r="L42" s="115"/>
      <c r="M42" s="114"/>
      <c r="N42" s="35"/>
      <c r="O42" s="35"/>
      <c r="P42" s="414">
        <f>COUNTIF($I$3:I42,I42)</f>
        <v>0</v>
      </c>
      <c r="Q42" s="512" t="str">
        <f>IF(Tabla107[[#This Row],[MAQUINA / EQUIPO]]="","",Tabla107[[#This Row],[MAQUINA / EQUIPO]])</f>
        <v/>
      </c>
      <c r="BK42" s="29" t="s">
        <v>3644</v>
      </c>
    </row>
    <row r="43" spans="1:63" ht="21.75" customHeight="1">
      <c r="A43" s="63"/>
      <c r="B43" s="426" t="str">
        <f>IF(I43="","",CONCATENATE(I43,"-",P43))</f>
        <v/>
      </c>
      <c r="C43" s="22"/>
      <c r="D43" s="16"/>
      <c r="E43" s="10"/>
      <c r="F43" s="381"/>
      <c r="G43" s="381"/>
      <c r="H43" s="380"/>
      <c r="I43" s="16"/>
      <c r="J43" s="343"/>
      <c r="K43" s="115"/>
      <c r="L43" s="115"/>
      <c r="M43" s="114"/>
      <c r="N43" s="35"/>
      <c r="O43" s="35"/>
      <c r="P43" s="414">
        <f>COUNTIF($I$3:I43,I43)</f>
        <v>0</v>
      </c>
      <c r="Q43" s="512" t="str">
        <f>IF(Tabla107[[#This Row],[MAQUINA / EQUIPO]]="","",Tabla107[[#This Row],[MAQUINA / EQUIPO]])</f>
        <v/>
      </c>
      <c r="BK43" s="30" t="s">
        <v>3645</v>
      </c>
    </row>
    <row r="44" spans="1:63" ht="21.75" customHeight="1">
      <c r="A44" s="63"/>
      <c r="B44" s="426" t="str">
        <f>IF(I44="","",CONCATENATE(I44,"-",P44))</f>
        <v/>
      </c>
      <c r="C44" s="22"/>
      <c r="D44" s="16"/>
      <c r="E44" s="10"/>
      <c r="F44" s="381"/>
      <c r="G44" s="381"/>
      <c r="H44" s="380"/>
      <c r="I44" s="16"/>
      <c r="J44" s="343"/>
      <c r="K44" s="115"/>
      <c r="L44" s="115"/>
      <c r="M44" s="114"/>
      <c r="N44" s="35"/>
      <c r="O44" s="35"/>
      <c r="P44" s="414">
        <f>COUNTIF($I$3:I44,I44)</f>
        <v>0</v>
      </c>
      <c r="Q44" s="512" t="str">
        <f>IF(Tabla107[[#This Row],[MAQUINA / EQUIPO]]="","",Tabla107[[#This Row],[MAQUINA / EQUIPO]])</f>
        <v/>
      </c>
      <c r="BK44" s="29" t="s">
        <v>3646</v>
      </c>
    </row>
    <row r="45" spans="1:63" ht="21.75" customHeight="1">
      <c r="A45" s="63"/>
      <c r="B45" s="426" t="str">
        <f>IF(I45="","",CONCATENATE(I45,"-",P45))</f>
        <v/>
      </c>
      <c r="C45" s="22"/>
      <c r="D45" s="16"/>
      <c r="E45" s="10"/>
      <c r="F45" s="381"/>
      <c r="G45" s="381"/>
      <c r="H45" s="380"/>
      <c r="I45" s="16"/>
      <c r="J45" s="343"/>
      <c r="K45" s="115"/>
      <c r="L45" s="115"/>
      <c r="M45" s="114"/>
      <c r="N45" s="35"/>
      <c r="O45" s="35"/>
      <c r="P45" s="414">
        <f>COUNTIF($I$3:I45,I45)</f>
        <v>0</v>
      </c>
      <c r="Q45" s="512" t="str">
        <f>IF(Tabla107[[#This Row],[MAQUINA / EQUIPO]]="","",Tabla107[[#This Row],[MAQUINA / EQUIPO]])</f>
        <v/>
      </c>
      <c r="BK45" s="30" t="s">
        <v>3647</v>
      </c>
    </row>
    <row r="46" spans="1:63" ht="21.75" customHeight="1">
      <c r="A46" s="63"/>
      <c r="B46" s="426" t="str">
        <f>IF(I46="","",CONCATENATE(I46,"-",P46))</f>
        <v/>
      </c>
      <c r="C46" s="22"/>
      <c r="D46" s="16"/>
      <c r="E46" s="10"/>
      <c r="F46" s="381"/>
      <c r="G46" s="381"/>
      <c r="H46" s="380"/>
      <c r="I46" s="16"/>
      <c r="J46" s="343"/>
      <c r="K46" s="115"/>
      <c r="L46" s="115"/>
      <c r="M46" s="114"/>
      <c r="N46" s="35"/>
      <c r="O46" s="35"/>
      <c r="P46" s="414">
        <f>COUNTIF($I$3:I46,I46)</f>
        <v>0</v>
      </c>
      <c r="Q46" s="512" t="str">
        <f>IF(Tabla107[[#This Row],[MAQUINA / EQUIPO]]="","",Tabla107[[#This Row],[MAQUINA / EQUIPO]])</f>
        <v/>
      </c>
      <c r="BK46" s="29" t="s">
        <v>3648</v>
      </c>
    </row>
    <row r="47" spans="1:63" ht="21.75" customHeight="1">
      <c r="A47" s="63"/>
      <c r="B47" s="426" t="str">
        <f>IF(I47="","",CONCATENATE(I47,"-",P47))</f>
        <v/>
      </c>
      <c r="C47" s="22"/>
      <c r="D47" s="16"/>
      <c r="E47" s="10"/>
      <c r="F47" s="381"/>
      <c r="G47" s="381"/>
      <c r="H47" s="380"/>
      <c r="I47" s="16"/>
      <c r="J47" s="343"/>
      <c r="K47" s="115"/>
      <c r="L47" s="115"/>
      <c r="M47" s="114"/>
      <c r="N47" s="35"/>
      <c r="O47" s="35"/>
      <c r="P47" s="414">
        <f>COUNTIF($I$3:I47,I47)</f>
        <v>0</v>
      </c>
      <c r="Q47" s="512" t="str">
        <f>IF(Tabla107[[#This Row],[MAQUINA / EQUIPO]]="","",Tabla107[[#This Row],[MAQUINA / EQUIPO]])</f>
        <v/>
      </c>
      <c r="BK47" s="30" t="s">
        <v>3649</v>
      </c>
    </row>
    <row r="48" spans="1:63" ht="21.75" customHeight="1">
      <c r="A48" s="63"/>
      <c r="B48" s="426" t="str">
        <f>IF(I48="","",CONCATENATE(I48,"-",P48))</f>
        <v/>
      </c>
      <c r="C48" s="22"/>
      <c r="D48" s="16"/>
      <c r="E48" s="10"/>
      <c r="F48" s="381"/>
      <c r="G48" s="381"/>
      <c r="H48" s="380"/>
      <c r="I48" s="16"/>
      <c r="J48" s="343"/>
      <c r="K48" s="115"/>
      <c r="L48" s="115"/>
      <c r="M48" s="114"/>
      <c r="N48" s="35"/>
      <c r="O48" s="35"/>
      <c r="P48" s="414">
        <f>COUNTIF($I$3:I48,I48)</f>
        <v>0</v>
      </c>
      <c r="Q48" s="512" t="str">
        <f>IF(Tabla107[[#This Row],[MAQUINA / EQUIPO]]="","",Tabla107[[#This Row],[MAQUINA / EQUIPO]])</f>
        <v/>
      </c>
      <c r="BK48" s="29" t="s">
        <v>3650</v>
      </c>
    </row>
    <row r="49" spans="1:63" ht="21.75" customHeight="1">
      <c r="A49" s="63"/>
      <c r="B49" s="426" t="str">
        <f>IF(I49="","",CONCATENATE(I49,"-",P49))</f>
        <v/>
      </c>
      <c r="C49" s="22"/>
      <c r="D49" s="16"/>
      <c r="E49" s="10"/>
      <c r="F49" s="381"/>
      <c r="G49" s="381"/>
      <c r="H49" s="380"/>
      <c r="I49" s="16"/>
      <c r="J49" s="343" t="str">
        <f>IFERROR(VLOOKUP(I49,DATOS!$M$2:$N$219,2,FALSE),"")</f>
        <v/>
      </c>
      <c r="K49" s="115"/>
      <c r="L49" s="115"/>
      <c r="M49" s="114"/>
      <c r="N49" s="35"/>
      <c r="O49" s="35"/>
      <c r="P49" s="414">
        <f>COUNTIF($I$3:I49,I49)</f>
        <v>0</v>
      </c>
      <c r="Q49" s="512" t="str">
        <f>IF(Tabla107[[#This Row],[MAQUINA / EQUIPO]]="","",Tabla107[[#This Row],[MAQUINA / EQUIPO]])</f>
        <v/>
      </c>
      <c r="BK49" s="30" t="s">
        <v>3651</v>
      </c>
    </row>
    <row r="50" spans="1:63" ht="21.75" customHeight="1">
      <c r="A50" s="63"/>
      <c r="B50" s="426" t="str">
        <f>IF(I50="","",CONCATENATE(I50,"-",P50))</f>
        <v/>
      </c>
      <c r="C50" s="22"/>
      <c r="D50" s="16"/>
      <c r="E50" s="10"/>
      <c r="F50" s="381"/>
      <c r="G50" s="381"/>
      <c r="H50" s="380"/>
      <c r="I50" s="16"/>
      <c r="J50" s="343" t="str">
        <f>IFERROR(VLOOKUP(I50,DATOS!$M$2:$N$219,2,FALSE),"")</f>
        <v/>
      </c>
      <c r="K50" s="115"/>
      <c r="L50" s="115"/>
      <c r="M50" s="114"/>
      <c r="N50" s="35"/>
      <c r="O50" s="35"/>
      <c r="P50" s="414">
        <f>COUNTIF($I$3:I50,I50)</f>
        <v>0</v>
      </c>
      <c r="Q50" s="512" t="str">
        <f>IF(Tabla107[[#This Row],[MAQUINA / EQUIPO]]="","",Tabla107[[#This Row],[MAQUINA / EQUIPO]])</f>
        <v/>
      </c>
      <c r="BK50" s="29" t="s">
        <v>3652</v>
      </c>
    </row>
    <row r="51" spans="1:63" ht="21.75" customHeight="1">
      <c r="A51" s="63"/>
      <c r="B51" s="426" t="str">
        <f>IF(I51="","",CONCATENATE(I51,"-",P51))</f>
        <v/>
      </c>
      <c r="C51" s="22"/>
      <c r="D51" s="16"/>
      <c r="E51" s="10"/>
      <c r="F51" s="381"/>
      <c r="G51" s="381"/>
      <c r="H51" s="380"/>
      <c r="I51" s="16"/>
      <c r="J51" s="343" t="str">
        <f>IFERROR(VLOOKUP(I51,DATOS!$M$2:$N$219,2,FALSE),"")</f>
        <v/>
      </c>
      <c r="K51" s="115"/>
      <c r="L51" s="115"/>
      <c r="M51" s="114"/>
      <c r="N51" s="35"/>
      <c r="O51" s="35"/>
      <c r="P51" s="414">
        <f>COUNTIF($I$3:I51,I51)</f>
        <v>0</v>
      </c>
      <c r="Q51" s="512" t="str">
        <f>IF(Tabla107[[#This Row],[MAQUINA / EQUIPO]]="","",Tabla107[[#This Row],[MAQUINA / EQUIPO]])</f>
        <v/>
      </c>
      <c r="BK51" s="30" t="s">
        <v>67</v>
      </c>
    </row>
    <row r="52" spans="1:63" ht="21.75" customHeight="1">
      <c r="A52" s="63"/>
      <c r="B52" s="426" t="str">
        <f>IF(I52="","",CONCATENATE(I52,"-",P52))</f>
        <v/>
      </c>
      <c r="C52" s="22"/>
      <c r="D52" s="16"/>
      <c r="E52" s="10"/>
      <c r="F52" s="381"/>
      <c r="G52" s="381"/>
      <c r="H52" s="380"/>
      <c r="I52" s="16"/>
      <c r="J52" s="343" t="str">
        <f>IFERROR(VLOOKUP(I52,DATOS!$M$2:$N$219,2,FALSE),"")</f>
        <v/>
      </c>
      <c r="K52" s="115"/>
      <c r="L52" s="115"/>
      <c r="M52" s="114"/>
      <c r="N52" s="35"/>
      <c r="O52" s="35"/>
      <c r="P52" s="414">
        <f>COUNTIF($I$3:I52,I52)</f>
        <v>0</v>
      </c>
      <c r="Q52" s="512" t="str">
        <f>IF(Tabla107[[#This Row],[MAQUINA / EQUIPO]]="","",Tabla107[[#This Row],[MAQUINA / EQUIPO]])</f>
        <v/>
      </c>
      <c r="BK52" s="29" t="s">
        <v>2074</v>
      </c>
    </row>
    <row r="53" spans="1:63" ht="21.75" customHeight="1">
      <c r="A53" s="63"/>
      <c r="B53" s="426" t="str">
        <f>IF(I53="","",CONCATENATE(I53,"-",P53))</f>
        <v/>
      </c>
      <c r="C53" s="22"/>
      <c r="D53" s="16"/>
      <c r="E53" s="10"/>
      <c r="F53" s="381"/>
      <c r="G53" s="381"/>
      <c r="H53" s="380"/>
      <c r="I53" s="16"/>
      <c r="J53" s="343" t="str">
        <f>IFERROR(VLOOKUP(I53,DATOS!$M$2:$N$219,2,FALSE),"")</f>
        <v/>
      </c>
      <c r="K53" s="115"/>
      <c r="L53" s="115"/>
      <c r="M53" s="114"/>
      <c r="N53" s="35"/>
      <c r="O53" s="35"/>
      <c r="P53" s="414">
        <f>COUNTIF($I$3:I53,I53)</f>
        <v>0</v>
      </c>
      <c r="Q53" s="512" t="str">
        <f>IF(Tabla107[[#This Row],[MAQUINA / EQUIPO]]="","",Tabla107[[#This Row],[MAQUINA / EQUIPO]])</f>
        <v/>
      </c>
      <c r="BK53" s="30" t="s">
        <v>202</v>
      </c>
    </row>
    <row r="54" spans="1:63" ht="21.75" customHeight="1">
      <c r="A54" s="63"/>
      <c r="B54" s="426" t="str">
        <f>IF(I54="","",CONCATENATE(I54,"-",P54))</f>
        <v/>
      </c>
      <c r="C54" s="22"/>
      <c r="D54" s="16"/>
      <c r="E54" s="10"/>
      <c r="F54" s="381"/>
      <c r="G54" s="381"/>
      <c r="H54" s="380"/>
      <c r="I54" s="16"/>
      <c r="J54" s="343" t="str">
        <f>IFERROR(VLOOKUP(I54,DATOS!$M$2:$N$219,2,FALSE),"")</f>
        <v/>
      </c>
      <c r="K54" s="115"/>
      <c r="L54" s="115"/>
      <c r="M54" s="114"/>
      <c r="N54" s="35"/>
      <c r="O54" s="35"/>
      <c r="P54" s="414">
        <f>COUNTIF($I$3:I54,I54)</f>
        <v>0</v>
      </c>
      <c r="Q54" s="512" t="str">
        <f>IF(Tabla107[[#This Row],[MAQUINA / EQUIPO]]="","",Tabla107[[#This Row],[MAQUINA / EQUIPO]])</f>
        <v/>
      </c>
      <c r="BK54" s="36" t="s">
        <v>1177</v>
      </c>
    </row>
    <row r="55" spans="1:63" ht="21.75" customHeight="1">
      <c r="A55" s="63"/>
      <c r="B55" s="426" t="str">
        <f>IF(I55="","",CONCATENATE(I55,"-",P55))</f>
        <v/>
      </c>
      <c r="C55" s="22"/>
      <c r="D55" s="16"/>
      <c r="E55" s="10"/>
      <c r="F55" s="381"/>
      <c r="G55" s="381"/>
      <c r="H55" s="380"/>
      <c r="I55" s="16"/>
      <c r="J55" s="343" t="str">
        <f>IFERROR(VLOOKUP(I55,DATOS!$M$2:$N$219,2,FALSE),"")</f>
        <v/>
      </c>
      <c r="K55" s="115"/>
      <c r="L55" s="115"/>
      <c r="M55" s="114"/>
      <c r="N55" s="35"/>
      <c r="O55" s="35"/>
      <c r="P55" s="414">
        <f>COUNTIF($I$3:I55,I55)</f>
        <v>0</v>
      </c>
      <c r="Q55" s="512" t="str">
        <f>IF(Tabla107[[#This Row],[MAQUINA / EQUIPO]]="","",Tabla107[[#This Row],[MAQUINA / EQUIPO]])</f>
        <v/>
      </c>
      <c r="BK55" s="25" t="s">
        <v>70</v>
      </c>
    </row>
    <row r="56" spans="1:63" ht="21.75" customHeight="1">
      <c r="A56" s="63"/>
      <c r="B56" s="426" t="str">
        <f>IF(I56="","",CONCATENATE(I56,"-",P56))</f>
        <v/>
      </c>
      <c r="C56" s="22"/>
      <c r="D56" s="16"/>
      <c r="E56" s="10"/>
      <c r="F56" s="381"/>
      <c r="G56" s="381"/>
      <c r="H56" s="380"/>
      <c r="I56" s="16"/>
      <c r="J56" s="343" t="str">
        <f>IFERROR(VLOOKUP(I56,DATOS!$M$2:$N$219,2,FALSE),"")</f>
        <v/>
      </c>
      <c r="K56" s="115"/>
      <c r="L56" s="115"/>
      <c r="M56" s="114"/>
      <c r="N56" s="35"/>
      <c r="O56" s="35"/>
      <c r="P56" s="414">
        <f>COUNTIF($I$3:I56,I56)</f>
        <v>0</v>
      </c>
      <c r="Q56" s="513" t="str">
        <f>IF(Tabla107[[#This Row],[MAQUINA / EQUIPO]]="","",Tabla107[[#This Row],[MAQUINA / EQUIPO]])</f>
        <v/>
      </c>
      <c r="R56" s="31"/>
      <c r="S56" s="31"/>
      <c r="T56" s="31"/>
      <c r="U56" s="31"/>
      <c r="BK56" s="36" t="s">
        <v>3653</v>
      </c>
    </row>
    <row r="57" spans="1:63" ht="21.75" customHeight="1">
      <c r="A57" s="63"/>
      <c r="B57" s="426" t="str">
        <f>IF(I57="","",CONCATENATE(I57,"-",P57))</f>
        <v/>
      </c>
      <c r="C57" s="22"/>
      <c r="D57" s="16"/>
      <c r="E57" s="10"/>
      <c r="F57" s="381"/>
      <c r="G57" s="381"/>
      <c r="H57" s="380"/>
      <c r="I57" s="16"/>
      <c r="J57" s="343" t="str">
        <f>IFERROR(VLOOKUP(I57,DATOS!$M$2:$N$219,2,FALSE),"")</f>
        <v/>
      </c>
      <c r="K57" s="115"/>
      <c r="L57" s="115"/>
      <c r="M57" s="114"/>
      <c r="N57" s="35"/>
      <c r="O57" s="35"/>
      <c r="P57" s="414">
        <f>COUNTIF($I$3:I57,I57)</f>
        <v>0</v>
      </c>
      <c r="Q57" s="512" t="str">
        <f>IF(Tabla107[[#This Row],[MAQUINA / EQUIPO]]="","",Tabla107[[#This Row],[MAQUINA / EQUIPO]])</f>
        <v/>
      </c>
      <c r="BK57" s="25" t="s">
        <v>60</v>
      </c>
    </row>
    <row r="58" spans="1:63" ht="21.75" customHeight="1">
      <c r="A58" s="63"/>
      <c r="B58" s="426" t="str">
        <f>IF(I58="","",CONCATENATE(I58,"-",P58))</f>
        <v/>
      </c>
      <c r="C58" s="22"/>
      <c r="D58" s="16"/>
      <c r="E58" s="10"/>
      <c r="F58" s="381"/>
      <c r="G58" s="381"/>
      <c r="H58" s="380"/>
      <c r="I58" s="16"/>
      <c r="J58" s="343" t="str">
        <f>IFERROR(VLOOKUP(I58,DATOS!$M$2:$N$219,2,FALSE),"")</f>
        <v/>
      </c>
      <c r="K58" s="115"/>
      <c r="L58" s="115"/>
      <c r="M58" s="114"/>
      <c r="N58" s="35"/>
      <c r="O58" s="35"/>
      <c r="P58" s="414">
        <f>COUNTIF($I$3:I58,I58)</f>
        <v>0</v>
      </c>
      <c r="Q58" s="512" t="str">
        <f>IF(Tabla107[[#This Row],[MAQUINA / EQUIPO]]="","",Tabla107[[#This Row],[MAQUINA / EQUIPO]])</f>
        <v/>
      </c>
      <c r="BK58" s="36" t="s">
        <v>3654</v>
      </c>
    </row>
    <row r="59" spans="1:63" ht="21.75" customHeight="1">
      <c r="A59" s="63"/>
      <c r="B59" s="426" t="str">
        <f>IF(I59="","",CONCATENATE(I59,"-",P59))</f>
        <v/>
      </c>
      <c r="C59" s="22"/>
      <c r="D59" s="16"/>
      <c r="E59" s="10"/>
      <c r="F59" s="381"/>
      <c r="G59" s="381"/>
      <c r="H59" s="380"/>
      <c r="I59" s="16"/>
      <c r="J59" s="343" t="str">
        <f>IFERROR(VLOOKUP(I59,DATOS!$M$2:$N$219,2,FALSE),"")</f>
        <v/>
      </c>
      <c r="K59" s="115"/>
      <c r="L59" s="115"/>
      <c r="M59" s="114"/>
      <c r="N59" s="35"/>
      <c r="O59" s="35"/>
      <c r="P59" s="414">
        <f>COUNTIF($I$3:I59,I59)</f>
        <v>0</v>
      </c>
      <c r="Q59" s="512" t="str">
        <f>IF(Tabla107[[#This Row],[MAQUINA / EQUIPO]]="","",Tabla107[[#This Row],[MAQUINA / EQUIPO]])</f>
        <v/>
      </c>
      <c r="BK59" s="25" t="s">
        <v>3655</v>
      </c>
    </row>
    <row r="60" spans="1:63" ht="21.75" customHeight="1">
      <c r="A60" s="63"/>
      <c r="B60" s="426" t="str">
        <f>IF(I60="","",CONCATENATE(I60,"-",P60))</f>
        <v/>
      </c>
      <c r="C60" s="22"/>
      <c r="D60" s="16"/>
      <c r="E60" s="10"/>
      <c r="F60" s="381"/>
      <c r="G60" s="381"/>
      <c r="H60" s="380"/>
      <c r="I60" s="16"/>
      <c r="J60" s="343" t="str">
        <f>IFERROR(VLOOKUP(I60,DATOS!$M$2:$N$219,2,FALSE),"")</f>
        <v/>
      </c>
      <c r="K60" s="115"/>
      <c r="L60" s="115"/>
      <c r="M60" s="114"/>
      <c r="N60" s="35"/>
      <c r="O60" s="35"/>
      <c r="P60" s="414">
        <f>COUNTIF($I$3:I60,I60)</f>
        <v>0</v>
      </c>
      <c r="Q60" s="512" t="str">
        <f>IF(Tabla107[[#This Row],[MAQUINA / EQUIPO]]="","",Tabla107[[#This Row],[MAQUINA / EQUIPO]])</f>
        <v/>
      </c>
      <c r="BK60" s="36" t="s">
        <v>3656</v>
      </c>
    </row>
    <row r="61" spans="1:63" ht="21.75" customHeight="1">
      <c r="A61" s="63"/>
      <c r="B61" s="426" t="str">
        <f>IF(I61="","",CONCATENATE(I61,"-",P61))</f>
        <v/>
      </c>
      <c r="C61" s="22"/>
      <c r="D61" s="16"/>
      <c r="E61" s="10"/>
      <c r="F61" s="381"/>
      <c r="G61" s="381"/>
      <c r="H61" s="380"/>
      <c r="I61" s="16"/>
      <c r="J61" s="343" t="str">
        <f>IFERROR(VLOOKUP(I61,DATOS!$M$2:$N$219,2,FALSE),"")</f>
        <v/>
      </c>
      <c r="K61" s="115"/>
      <c r="L61" s="115"/>
      <c r="M61" s="114"/>
      <c r="N61" s="35"/>
      <c r="O61" s="35"/>
      <c r="P61" s="414">
        <f>COUNTIF($I$3:I61,I61)</f>
        <v>0</v>
      </c>
      <c r="Q61" s="512" t="str">
        <f>IF(Tabla107[[#This Row],[MAQUINA / EQUIPO]]="","",Tabla107[[#This Row],[MAQUINA / EQUIPO]])</f>
        <v/>
      </c>
      <c r="BK61" s="25" t="s">
        <v>3657</v>
      </c>
    </row>
    <row r="62" spans="1:63" ht="21.75" customHeight="1">
      <c r="A62" s="63"/>
      <c r="B62" s="426" t="str">
        <f>IF(I62="","",CONCATENATE(I62,"-",P62))</f>
        <v/>
      </c>
      <c r="C62" s="22"/>
      <c r="D62" s="16"/>
      <c r="E62" s="10"/>
      <c r="F62" s="381"/>
      <c r="G62" s="381"/>
      <c r="H62" s="380"/>
      <c r="I62" s="16"/>
      <c r="J62" s="343" t="str">
        <f>IFERROR(VLOOKUP(I62,DATOS!$M$2:$N$219,2,FALSE),"")</f>
        <v/>
      </c>
      <c r="K62" s="115"/>
      <c r="L62" s="115"/>
      <c r="M62" s="114"/>
      <c r="N62" s="35"/>
      <c r="O62" s="35"/>
      <c r="P62" s="414">
        <f>COUNTIF($I$3:I62,I62)</f>
        <v>0</v>
      </c>
      <c r="Q62" s="512" t="str">
        <f>IF(Tabla107[[#This Row],[MAQUINA / EQUIPO]]="","",Tabla107[[#This Row],[MAQUINA / EQUIPO]])</f>
        <v/>
      </c>
      <c r="BK62" s="36" t="s">
        <v>3658</v>
      </c>
    </row>
    <row r="63" spans="1:63" ht="23.25">
      <c r="A63" s="63"/>
      <c r="B63" s="425"/>
      <c r="C63" s="44"/>
      <c r="D63" s="31"/>
      <c r="E63" s="143"/>
      <c r="F63" s="143"/>
      <c r="G63" s="143"/>
      <c r="H63" s="143"/>
      <c r="I63" s="105"/>
      <c r="J63" s="143"/>
      <c r="K63" s="143"/>
      <c r="L63" s="143"/>
      <c r="M63" s="143"/>
      <c r="N63" s="143"/>
      <c r="O63" s="31"/>
      <c r="P63" s="31"/>
      <c r="BK63" s="25" t="s">
        <v>3659</v>
      </c>
    </row>
    <row r="64" spans="1:63" ht="23.25">
      <c r="A64" s="63"/>
      <c r="B64" s="425"/>
      <c r="C64" s="44"/>
      <c r="D64" s="31"/>
      <c r="E64" s="143"/>
      <c r="F64" s="143"/>
      <c r="G64" s="143"/>
      <c r="H64" s="143"/>
      <c r="I64" s="105"/>
      <c r="J64" s="143"/>
      <c r="K64" s="143"/>
      <c r="L64" s="143"/>
      <c r="M64" s="143"/>
      <c r="N64" s="143"/>
      <c r="O64" s="31"/>
      <c r="P64" s="31"/>
      <c r="BG64" s="39"/>
      <c r="BK64" s="36" t="s">
        <v>3660</v>
      </c>
    </row>
    <row r="65" spans="1:63" ht="23.25">
      <c r="A65" s="63"/>
      <c r="B65" s="425"/>
      <c r="C65" s="44"/>
      <c r="D65" s="31"/>
      <c r="E65" s="143"/>
      <c r="F65" s="143"/>
      <c r="G65" s="143"/>
      <c r="H65" s="143"/>
      <c r="I65" s="105"/>
      <c r="J65" s="143"/>
      <c r="K65" s="143"/>
      <c r="L65" s="143"/>
      <c r="M65" s="143"/>
      <c r="N65" s="143"/>
      <c r="O65" s="31"/>
      <c r="P65" s="31"/>
      <c r="BG65" s="39"/>
      <c r="BK65" s="25" t="s">
        <v>3661</v>
      </c>
    </row>
    <row r="66" spans="1:63" ht="23.25">
      <c r="A66" s="63"/>
      <c r="B66" s="425"/>
      <c r="C66" s="44"/>
      <c r="D66" s="31"/>
      <c r="E66" s="143"/>
      <c r="F66" s="143"/>
      <c r="G66" s="143"/>
      <c r="H66" s="143"/>
      <c r="I66" s="105"/>
      <c r="J66" s="143"/>
      <c r="K66" s="143"/>
      <c r="L66" s="143"/>
      <c r="M66" s="143"/>
      <c r="N66" s="143"/>
      <c r="O66" s="31"/>
      <c r="P66" s="31"/>
      <c r="BG66" s="39"/>
      <c r="BK66" s="36" t="s">
        <v>3662</v>
      </c>
    </row>
    <row r="67" spans="1:63" ht="23.25">
      <c r="A67" s="63"/>
      <c r="B67" s="470"/>
      <c r="C67" s="420"/>
      <c r="D67" s="143"/>
      <c r="E67" s="143"/>
      <c r="F67" s="143"/>
      <c r="G67" s="143"/>
      <c r="H67" s="143"/>
      <c r="I67" s="143"/>
      <c r="J67" s="143"/>
      <c r="K67" s="143"/>
      <c r="L67" s="453" t="s">
        <v>21</v>
      </c>
      <c r="M67" t="s">
        <v>3663</v>
      </c>
      <c r="N67"/>
      <c r="O67" s="31"/>
      <c r="P67" s="31"/>
      <c r="BG67" s="39"/>
      <c r="BK67" s="25" t="s">
        <v>165</v>
      </c>
    </row>
    <row r="68" spans="1:63" ht="21" customHeight="1">
      <c r="A68" s="63"/>
      <c r="B68" s="301" t="s">
        <v>3664</v>
      </c>
      <c r="C68" s="421" t="s">
        <v>3665</v>
      </c>
      <c r="D68" s="6"/>
      <c r="F68"/>
      <c r="G68" s="143"/>
      <c r="H68" s="143"/>
      <c r="I68" s="143"/>
      <c r="J68" s="143"/>
      <c r="K68" s="143"/>
      <c r="L68" s="428"/>
      <c r="M68" s="43"/>
      <c r="N68"/>
      <c r="O68" s="31"/>
      <c r="P68" s="31"/>
      <c r="BG68" s="39"/>
      <c r="BK68" s="36" t="s">
        <v>222</v>
      </c>
    </row>
    <row r="69" spans="1:63" ht="21" customHeight="1">
      <c r="A69" s="63"/>
      <c r="B69" s="427" t="s">
        <v>3666</v>
      </c>
      <c r="C69" s="429" t="s">
        <v>92</v>
      </c>
      <c r="D69" s="429" t="s">
        <v>157</v>
      </c>
      <c r="E69" s="87" t="s">
        <v>3667</v>
      </c>
      <c r="F69"/>
      <c r="G69" s="143"/>
      <c r="H69" s="143"/>
      <c r="I69" s="143"/>
      <c r="J69" s="143"/>
      <c r="K69" s="143"/>
      <c r="L69" s="453" t="s">
        <v>3668</v>
      </c>
      <c r="M69" s="453" t="s">
        <v>3665</v>
      </c>
      <c r="N69"/>
      <c r="P69" s="31"/>
      <c r="BG69" s="39"/>
      <c r="BK69" s="25" t="s">
        <v>3669</v>
      </c>
    </row>
    <row r="70" spans="1:63" ht="21" customHeight="1">
      <c r="A70" s="63"/>
      <c r="B70" s="418" t="s">
        <v>270</v>
      </c>
      <c r="C70" s="707"/>
      <c r="D70" s="707">
        <v>5.486111111111111E-2</v>
      </c>
      <c r="E70" s="707">
        <v>5.486111111111111E-2</v>
      </c>
      <c r="F70"/>
      <c r="G70" s="143"/>
      <c r="H70" s="143"/>
      <c r="I70" s="143"/>
      <c r="J70" s="143"/>
      <c r="K70" s="143"/>
      <c r="L70"/>
      <c r="M70" s="6" t="s">
        <v>92</v>
      </c>
      <c r="P70" s="31"/>
      <c r="BG70" s="39"/>
      <c r="BK70" s="36" t="s">
        <v>3670</v>
      </c>
    </row>
    <row r="71" spans="1:63" ht="21" customHeight="1">
      <c r="A71" s="63"/>
      <c r="B71" s="418" t="s">
        <v>24</v>
      </c>
      <c r="C71" s="707">
        <v>1.6666666666666666E-2</v>
      </c>
      <c r="D71" s="707"/>
      <c r="E71" s="707">
        <v>1.6666666666666666E-2</v>
      </c>
      <c r="F71"/>
      <c r="G71" s="143"/>
      <c r="H71" s="143"/>
      <c r="I71" s="143"/>
      <c r="J71" s="143"/>
      <c r="K71" s="143"/>
      <c r="L71" s="456" t="s">
        <v>3666</v>
      </c>
      <c r="M71" s="634" t="s">
        <v>148</v>
      </c>
      <c r="N71" s="635" t="s">
        <v>93</v>
      </c>
      <c r="P71" s="31"/>
      <c r="BG71" s="39"/>
      <c r="BK71" s="25" t="s">
        <v>793</v>
      </c>
    </row>
    <row r="72" spans="1:63" ht="21" customHeight="1">
      <c r="A72" s="63"/>
      <c r="B72" s="418" t="s">
        <v>98</v>
      </c>
      <c r="C72" s="707"/>
      <c r="D72" s="707">
        <v>1.3888888888888888E-2</v>
      </c>
      <c r="E72" s="707">
        <v>1.3888888888888888E-2</v>
      </c>
      <c r="F72"/>
      <c r="G72" s="143"/>
      <c r="H72" s="143"/>
      <c r="I72" s="143"/>
      <c r="J72" s="143"/>
      <c r="K72" s="143"/>
      <c r="L72" s="418" t="s">
        <v>91</v>
      </c>
      <c r="M72" s="634">
        <v>1</v>
      </c>
      <c r="N72" s="635"/>
      <c r="P72" s="31"/>
      <c r="BG72" s="39"/>
      <c r="BK72" s="36" t="s">
        <v>3671</v>
      </c>
    </row>
    <row r="73" spans="1:63" ht="21" customHeight="1">
      <c r="A73" s="63"/>
      <c r="B73" s="418" t="s">
        <v>331</v>
      </c>
      <c r="C73" s="707">
        <v>1.2500000000000001E-2</v>
      </c>
      <c r="D73" s="707"/>
      <c r="E73" s="707">
        <v>1.2500000000000001E-2</v>
      </c>
      <c r="F73"/>
      <c r="G73" s="143"/>
      <c r="H73" s="143"/>
      <c r="I73" s="143"/>
      <c r="J73" s="143"/>
      <c r="K73" s="143"/>
      <c r="L73" s="418" t="s">
        <v>331</v>
      </c>
      <c r="M73" s="634"/>
      <c r="N73" s="635">
        <v>1</v>
      </c>
      <c r="P73" s="31"/>
      <c r="BG73" s="39"/>
      <c r="BK73" s="25" t="s">
        <v>3672</v>
      </c>
    </row>
    <row r="74" spans="1:63" ht="21" customHeight="1">
      <c r="A74" s="63"/>
      <c r="B74" s="418" t="s">
        <v>1243</v>
      </c>
      <c r="C74" s="707"/>
      <c r="D74" s="707">
        <v>1.1805555555555555E-2</v>
      </c>
      <c r="E74" s="707">
        <v>1.1805555555555555E-2</v>
      </c>
      <c r="F74"/>
      <c r="G74" s="143"/>
      <c r="H74" s="143"/>
      <c r="I74" s="143"/>
      <c r="J74" s="143"/>
      <c r="K74" s="143"/>
      <c r="L74" s="418" t="s">
        <v>153</v>
      </c>
      <c r="M74" s="634"/>
      <c r="N74" s="635">
        <v>2</v>
      </c>
      <c r="P74" s="31"/>
      <c r="BG74" s="39"/>
      <c r="BK74" s="36" t="s">
        <v>3673</v>
      </c>
    </row>
    <row r="75" spans="1:63" ht="21" customHeight="1">
      <c r="A75" s="63"/>
      <c r="B75" s="418" t="s">
        <v>215</v>
      </c>
      <c r="C75" s="707"/>
      <c r="D75" s="707">
        <v>1.1805555555555555E-2</v>
      </c>
      <c r="E75" s="707">
        <v>1.1805555555555555E-2</v>
      </c>
      <c r="F75"/>
      <c r="G75" s="143"/>
      <c r="H75" s="143"/>
      <c r="I75" s="143"/>
      <c r="J75" s="143"/>
      <c r="K75" s="143"/>
      <c r="L75" s="418" t="s">
        <v>24</v>
      </c>
      <c r="M75" s="634"/>
      <c r="N75" s="635">
        <v>1</v>
      </c>
      <c r="P75" s="31"/>
      <c r="BG75" s="39"/>
      <c r="BK75" s="25" t="s">
        <v>3674</v>
      </c>
    </row>
    <row r="76" spans="1:63" ht="21" customHeight="1">
      <c r="A76" s="63"/>
      <c r="B76" s="418" t="s">
        <v>508</v>
      </c>
      <c r="C76" s="707">
        <v>1.0416666666666666E-2</v>
      </c>
      <c r="D76" s="707"/>
      <c r="E76" s="707">
        <v>1.0416666666666666E-2</v>
      </c>
      <c r="F76"/>
      <c r="G76" s="143"/>
      <c r="H76" s="143"/>
      <c r="I76" s="143"/>
      <c r="J76" s="143"/>
      <c r="K76" s="143"/>
      <c r="L76" s="418" t="s">
        <v>182</v>
      </c>
      <c r="M76" s="634"/>
      <c r="N76" s="635">
        <v>1</v>
      </c>
      <c r="P76" s="31"/>
      <c r="BG76" s="39"/>
      <c r="BK76" s="36" t="s">
        <v>3675</v>
      </c>
    </row>
    <row r="77" spans="1:63" ht="21" customHeight="1">
      <c r="A77" s="63"/>
      <c r="B77" s="418" t="s">
        <v>169</v>
      </c>
      <c r="C77" s="707"/>
      <c r="D77" s="707">
        <v>1.0416666666666666E-2</v>
      </c>
      <c r="E77" s="707">
        <v>1.0416666666666666E-2</v>
      </c>
      <c r="F77"/>
      <c r="G77" s="143"/>
      <c r="H77" s="143"/>
      <c r="I77" s="143"/>
      <c r="J77" s="143"/>
      <c r="K77" s="143"/>
      <c r="L77" s="418" t="s">
        <v>119</v>
      </c>
      <c r="M77" s="634"/>
      <c r="N77" s="635">
        <v>2</v>
      </c>
      <c r="P77" s="31"/>
      <c r="BG77" s="39"/>
      <c r="BK77" s="25" t="s">
        <v>3676</v>
      </c>
    </row>
    <row r="78" spans="1:63" ht="21" customHeight="1">
      <c r="A78" s="63"/>
      <c r="B78" s="418" t="s">
        <v>222</v>
      </c>
      <c r="C78" s="707">
        <v>1.0416666666666666E-2</v>
      </c>
      <c r="D78" s="707"/>
      <c r="E78" s="707">
        <v>1.0416666666666666E-2</v>
      </c>
      <c r="F78"/>
      <c r="I78" s="6"/>
      <c r="K78" s="143"/>
      <c r="L78" s="418" t="s">
        <v>222</v>
      </c>
      <c r="M78" s="634"/>
      <c r="N78" s="635">
        <v>1</v>
      </c>
      <c r="P78" s="31"/>
      <c r="U78" s="31"/>
      <c r="V78" s="31"/>
      <c r="W78" s="31"/>
      <c r="BG78" s="39"/>
      <c r="BK78" s="36" t="s">
        <v>3677</v>
      </c>
    </row>
    <row r="79" spans="1:63" ht="21" customHeight="1">
      <c r="A79" s="63"/>
      <c r="B79" s="418" t="s">
        <v>3667</v>
      </c>
      <c r="C79" s="707">
        <v>4.9999999999999996E-2</v>
      </c>
      <c r="D79" s="707">
        <v>0.10277777777777777</v>
      </c>
      <c r="E79" s="707">
        <v>0.15277777777777776</v>
      </c>
      <c r="F79"/>
      <c r="I79" s="6"/>
      <c r="K79" s="143"/>
      <c r="L79" s="418" t="s">
        <v>508</v>
      </c>
      <c r="M79" s="634">
        <v>1</v>
      </c>
      <c r="N79" s="635"/>
      <c r="P79" s="31"/>
      <c r="U79" s="31"/>
      <c r="V79" s="31"/>
      <c r="W79" s="31"/>
      <c r="BG79" s="39"/>
      <c r="BK79" s="36"/>
    </row>
    <row r="80" spans="1:63" ht="21" customHeight="1">
      <c r="A80" s="63"/>
      <c r="B80"/>
      <c r="C80"/>
      <c r="E80"/>
      <c r="F80"/>
      <c r="I80" s="6"/>
      <c r="K80" s="143"/>
      <c r="L80"/>
      <c r="M80"/>
      <c r="N80"/>
      <c r="P80" s="31"/>
      <c r="U80" s="325"/>
      <c r="V80" s="325"/>
      <c r="W80" s="31"/>
      <c r="BG80" s="39"/>
      <c r="BK80" s="36"/>
    </row>
    <row r="81" spans="1:63" s="61" customFormat="1" ht="21" customHeight="1">
      <c r="A81" s="326"/>
      <c r="B81"/>
      <c r="C81"/>
      <c r="D81"/>
      <c r="E81"/>
      <c r="F81"/>
      <c r="G81" s="422"/>
      <c r="H81" s="422"/>
      <c r="I81" s="422"/>
      <c r="J81" s="422"/>
      <c r="K81" s="423"/>
      <c r="L81"/>
      <c r="M81"/>
      <c r="N81"/>
      <c r="O81"/>
      <c r="P81" s="31"/>
      <c r="Q81"/>
      <c r="R81"/>
      <c r="S81"/>
      <c r="T81"/>
      <c r="U81" s="325"/>
      <c r="V81" s="325"/>
      <c r="W81" s="326"/>
      <c r="BK81" s="58"/>
    </row>
    <row r="82" spans="1:63" s="61" customFormat="1" ht="21" customHeight="1">
      <c r="A82" s="326"/>
      <c r="B82"/>
      <c r="C82"/>
      <c r="D82"/>
      <c r="E82"/>
      <c r="F82"/>
      <c r="G82" s="422"/>
      <c r="H82" s="422"/>
      <c r="I82" s="422"/>
      <c r="J82" s="422"/>
      <c r="K82" s="423"/>
      <c r="L82"/>
      <c r="M82"/>
      <c r="N82"/>
      <c r="O82"/>
      <c r="P82" s="325"/>
      <c r="Q82" s="325"/>
      <c r="R82" s="325"/>
      <c r="S82" s="325"/>
      <c r="T82" s="325"/>
      <c r="U82" s="325"/>
      <c r="V82" s="325"/>
      <c r="W82" s="326"/>
      <c r="BK82" s="58"/>
    </row>
    <row r="83" spans="1:63" s="61" customFormat="1" ht="21" customHeight="1">
      <c r="A83" s="326"/>
      <c r="B83"/>
      <c r="C83"/>
      <c r="D83"/>
      <c r="E83"/>
      <c r="F83"/>
      <c r="G83" s="422"/>
      <c r="H83" s="422"/>
      <c r="I83" s="422"/>
      <c r="J83" s="422"/>
      <c r="K83" s="423"/>
      <c r="L83"/>
      <c r="M83"/>
      <c r="N83"/>
      <c r="O83"/>
      <c r="P83" s="325"/>
      <c r="Q83" s="325"/>
      <c r="R83" s="325"/>
      <c r="S83" s="325"/>
      <c r="T83" s="325"/>
      <c r="U83" s="325"/>
      <c r="V83" s="325"/>
      <c r="W83" s="31"/>
      <c r="X83"/>
      <c r="BK83" s="58"/>
    </row>
    <row r="84" spans="1:63" s="61" customFormat="1" ht="21" customHeight="1">
      <c r="A84" s="326"/>
      <c r="B84"/>
      <c r="C84"/>
      <c r="D84"/>
      <c r="E84"/>
      <c r="F84"/>
      <c r="G84" s="422"/>
      <c r="H84" s="422"/>
      <c r="I84" s="422"/>
      <c r="J84" s="422"/>
      <c r="K84" s="423"/>
      <c r="L84"/>
      <c r="M84"/>
      <c r="N84"/>
      <c r="O84"/>
      <c r="P84" s="31"/>
      <c r="Q84" s="31"/>
      <c r="R84" s="31"/>
      <c r="S84" s="31"/>
      <c r="T84" s="31"/>
      <c r="U84" s="326"/>
      <c r="V84" s="31"/>
      <c r="W84" s="31"/>
      <c r="X84"/>
      <c r="BK84" s="58"/>
    </row>
    <row r="85" spans="1:63" s="61" customFormat="1" ht="21" customHeight="1">
      <c r="A85" s="326"/>
      <c r="B85"/>
      <c r="C85"/>
      <c r="D85"/>
      <c r="E85"/>
      <c r="F85"/>
      <c r="G85" s="422"/>
      <c r="H85" s="422"/>
      <c r="I85" s="422"/>
      <c r="J85" s="422"/>
      <c r="K85" s="423"/>
      <c r="L85"/>
      <c r="M85"/>
      <c r="N85"/>
      <c r="O85"/>
      <c r="P85" s="31"/>
      <c r="Q85" s="31"/>
      <c r="R85" s="31"/>
      <c r="S85" s="31"/>
      <c r="T85" s="31"/>
      <c r="U85" s="326"/>
      <c r="V85" s="31"/>
      <c r="W85" s="31"/>
      <c r="X85"/>
      <c r="BK85" s="58"/>
    </row>
    <row r="86" spans="1:63" s="61" customFormat="1" ht="21" customHeight="1">
      <c r="A86" s="326"/>
      <c r="B86"/>
      <c r="C86"/>
      <c r="D86"/>
      <c r="E86"/>
      <c r="F86"/>
      <c r="G86" s="422"/>
      <c r="H86" s="422"/>
      <c r="I86" s="422"/>
      <c r="J86" s="422"/>
      <c r="K86" s="423"/>
      <c r="L86"/>
      <c r="M86"/>
      <c r="N86"/>
      <c r="O86"/>
      <c r="P86" s="31"/>
      <c r="Q86" s="31"/>
      <c r="R86" s="31"/>
      <c r="S86" s="31"/>
      <c r="T86" s="31"/>
      <c r="U86" s="326"/>
      <c r="V86" s="31"/>
      <c r="W86" s="31"/>
      <c r="X86"/>
      <c r="BK86" s="58"/>
    </row>
    <row r="87" spans="1:63" s="61" customFormat="1" ht="21" customHeight="1">
      <c r="A87" s="326"/>
      <c r="B87"/>
      <c r="C87"/>
      <c r="D87"/>
      <c r="E87"/>
      <c r="F87"/>
      <c r="G87" s="422"/>
      <c r="H87" s="422"/>
      <c r="I87" s="422"/>
      <c r="J87" s="422"/>
      <c r="K87" s="423"/>
      <c r="L87"/>
      <c r="M87"/>
      <c r="N87"/>
      <c r="O87"/>
      <c r="P87" s="31"/>
      <c r="Q87" s="31"/>
      <c r="R87" s="31"/>
      <c r="S87" s="31"/>
      <c r="T87" s="31"/>
      <c r="U87" s="326"/>
      <c r="V87" s="31"/>
      <c r="W87" s="31"/>
      <c r="X87"/>
      <c r="BK87" s="58"/>
    </row>
    <row r="88" spans="1:63" s="61" customFormat="1" ht="21" customHeight="1">
      <c r="A88" s="326"/>
      <c r="B88"/>
      <c r="C88"/>
      <c r="D88"/>
      <c r="E88"/>
      <c r="F88"/>
      <c r="G88" s="422"/>
      <c r="H88" s="422"/>
      <c r="I88" s="422"/>
      <c r="J88" s="422"/>
      <c r="K88" s="423"/>
      <c r="L88"/>
      <c r="M88"/>
      <c r="N88"/>
      <c r="O88"/>
      <c r="P88" s="31"/>
      <c r="Q88" s="31"/>
      <c r="R88" s="31"/>
      <c r="S88" s="31"/>
      <c r="T88" s="31"/>
      <c r="U88" s="326"/>
      <c r="V88" s="31"/>
      <c r="W88" s="31"/>
      <c r="X88"/>
      <c r="BK88" s="58"/>
    </row>
    <row r="89" spans="1:63" s="61" customFormat="1" ht="21" customHeight="1">
      <c r="A89" s="326"/>
      <c r="B89"/>
      <c r="C89"/>
      <c r="D89"/>
      <c r="E89"/>
      <c r="F89"/>
      <c r="G89" s="422"/>
      <c r="H89" s="422"/>
      <c r="I89" s="422"/>
      <c r="J89" s="422"/>
      <c r="K89" s="423"/>
      <c r="L89"/>
      <c r="M89"/>
      <c r="N89"/>
      <c r="O89"/>
      <c r="P89" s="31"/>
      <c r="Q89" s="31"/>
      <c r="R89" s="31"/>
      <c r="S89" s="31"/>
      <c r="T89" s="31"/>
      <c r="V89"/>
      <c r="W89"/>
      <c r="X89"/>
      <c r="BK89" s="58"/>
    </row>
    <row r="90" spans="1:63" s="61" customFormat="1" ht="21" customHeight="1">
      <c r="A90" s="326"/>
      <c r="B90"/>
      <c r="C90"/>
      <c r="D90"/>
      <c r="E90"/>
      <c r="F90"/>
      <c r="G90" s="422"/>
      <c r="H90" s="422"/>
      <c r="I90" s="422"/>
      <c r="J90" s="422"/>
      <c r="K90" s="423"/>
      <c r="L90"/>
      <c r="M90"/>
      <c r="N90"/>
      <c r="O90"/>
      <c r="P90" s="143"/>
      <c r="Q90" s="404"/>
      <c r="R90" s="31"/>
      <c r="S90" s="31"/>
      <c r="T90" s="31"/>
      <c r="V90" s="6"/>
      <c r="W90" s="28"/>
      <c r="X90"/>
      <c r="BK90" s="58"/>
    </row>
    <row r="91" spans="1:63" s="61" customFormat="1" ht="25.5" customHeight="1">
      <c r="A91" s="326"/>
      <c r="B91"/>
      <c r="C91"/>
      <c r="D91"/>
      <c r="E91"/>
      <c r="F91" s="422"/>
      <c r="G91" s="422"/>
      <c r="H91" s="422"/>
      <c r="I91" s="422"/>
      <c r="J91" s="422"/>
      <c r="K91" s="423"/>
      <c r="L91"/>
      <c r="M91"/>
      <c r="N91"/>
      <c r="O91"/>
      <c r="P91" s="105"/>
      <c r="Q91" s="31"/>
      <c r="R91" s="31"/>
      <c r="S91" s="31"/>
      <c r="T91" s="31"/>
      <c r="V91" s="105"/>
      <c r="W91" s="31"/>
      <c r="X91" s="31"/>
      <c r="BK91" s="58"/>
    </row>
    <row r="92" spans="1:63" s="61" customFormat="1" ht="31.5">
      <c r="A92" s="326"/>
      <c r="B92"/>
      <c r="C92"/>
      <c r="D92"/>
      <c r="E92"/>
      <c r="F92" s="422"/>
      <c r="G92" s="422"/>
      <c r="H92" s="422"/>
      <c r="I92" s="422"/>
      <c r="J92" s="422"/>
      <c r="K92" s="423"/>
      <c r="L92"/>
      <c r="M92"/>
      <c r="N92"/>
      <c r="O92"/>
      <c r="P92" s="325"/>
      <c r="Q92" s="31"/>
      <c r="R92" s="31"/>
      <c r="S92" s="31"/>
      <c r="T92" s="31"/>
      <c r="V92"/>
      <c r="W92"/>
      <c r="X92"/>
      <c r="BK92" s="58"/>
    </row>
    <row r="93" spans="1:63" s="61" customFormat="1" ht="21" customHeight="1">
      <c r="A93" s="326"/>
      <c r="B93"/>
      <c r="C93"/>
      <c r="D93"/>
      <c r="E93"/>
      <c r="F93" s="422"/>
      <c r="G93" s="422"/>
      <c r="H93" s="422"/>
      <c r="I93" s="422"/>
      <c r="J93" s="422"/>
      <c r="K93" s="406"/>
      <c r="L93"/>
      <c r="M93"/>
      <c r="N93"/>
      <c r="O93"/>
      <c r="P93" s="31"/>
      <c r="Q93" s="31"/>
      <c r="R93" s="31"/>
      <c r="S93" s="31"/>
      <c r="T93" s="31"/>
      <c r="V93"/>
      <c r="W93"/>
      <c r="X93"/>
      <c r="BK93" s="58"/>
    </row>
    <row r="94" spans="1:63" s="61" customFormat="1" ht="21" customHeight="1">
      <c r="A94" s="326"/>
      <c r="B94"/>
      <c r="C94"/>
      <c r="D94"/>
      <c r="E94"/>
      <c r="F94" s="422"/>
      <c r="G94" s="422"/>
      <c r="H94" s="422"/>
      <c r="I94" s="422"/>
      <c r="J94" s="422"/>
      <c r="K94" s="406"/>
      <c r="L94"/>
      <c r="M94"/>
      <c r="N94"/>
      <c r="O94"/>
      <c r="P94" s="31"/>
      <c r="Q94" s="31"/>
      <c r="R94" s="31"/>
      <c r="S94" s="31"/>
      <c r="T94" s="143"/>
      <c r="V94"/>
      <c r="W94"/>
      <c r="X94"/>
      <c r="BK94" s="58"/>
    </row>
    <row r="95" spans="1:63" s="61" customFormat="1" ht="21" customHeight="1">
      <c r="A95" s="326"/>
      <c r="B95"/>
      <c r="C95"/>
      <c r="D95"/>
      <c r="E95"/>
      <c r="F95" s="422"/>
      <c r="G95" s="422"/>
      <c r="H95" s="422"/>
      <c r="I95" s="422"/>
      <c r="J95" s="422"/>
      <c r="K95" s="423"/>
      <c r="L95"/>
      <c r="M95"/>
      <c r="N95"/>
      <c r="O95"/>
      <c r="P95" s="31"/>
      <c r="Q95" s="31"/>
      <c r="R95" s="31"/>
      <c r="S95" s="31"/>
      <c r="T95" s="143"/>
      <c r="V95"/>
      <c r="W95"/>
      <c r="X95"/>
      <c r="BK95" s="58"/>
    </row>
    <row r="96" spans="1:63" s="61" customFormat="1" ht="21" customHeight="1">
      <c r="A96" s="326"/>
      <c r="B96" s="301" t="s">
        <v>10</v>
      </c>
      <c r="C96" s="6" t="s">
        <v>3678</v>
      </c>
      <c r="D96" s="143"/>
      <c r="E96" s="143"/>
      <c r="F96" s="143"/>
      <c r="G96" s="422"/>
      <c r="H96" s="422"/>
      <c r="I96" s="422"/>
      <c r="J96" s="422"/>
      <c r="K96" s="423"/>
      <c r="L96"/>
      <c r="M96"/>
      <c r="N96"/>
      <c r="O96" s="326"/>
      <c r="P96" s="31"/>
      <c r="Q96" s="31"/>
      <c r="R96" s="31"/>
      <c r="S96" s="31"/>
      <c r="T96" s="405"/>
      <c r="V96"/>
      <c r="W96"/>
      <c r="X96"/>
      <c r="BK96" s="58"/>
    </row>
    <row r="97" spans="1:63" s="61" customFormat="1" ht="21" customHeight="1">
      <c r="A97" s="326"/>
      <c r="B97" s="425"/>
      <c r="C97" s="420"/>
      <c r="D97" s="143"/>
      <c r="E97" s="143"/>
      <c r="F97" s="143"/>
      <c r="G97" s="422"/>
      <c r="H97" s="422"/>
      <c r="I97" s="422"/>
      <c r="J97" s="422"/>
      <c r="K97" s="423"/>
      <c r="L97"/>
      <c r="M97"/>
      <c r="N97"/>
      <c r="O97" s="326"/>
      <c r="P97" s="31"/>
      <c r="Q97" s="31"/>
      <c r="R97" s="31"/>
      <c r="S97" s="31"/>
      <c r="T97" s="405"/>
      <c r="V97"/>
      <c r="W97"/>
      <c r="X97"/>
      <c r="BK97" s="59" t="s">
        <v>3679</v>
      </c>
    </row>
    <row r="98" spans="1:63" s="61" customFormat="1" ht="21" customHeight="1">
      <c r="A98" s="326"/>
      <c r="B98" s="301" t="s">
        <v>3664</v>
      </c>
      <c r="C98" s="421" t="s">
        <v>3665</v>
      </c>
      <c r="D98" s="6"/>
      <c r="E98" s="6"/>
      <c r="F98"/>
      <c r="G98" s="422"/>
      <c r="H98" s="422"/>
      <c r="I98" s="422"/>
      <c r="J98" s="422"/>
      <c r="K98" s="423"/>
      <c r="L98" s="410"/>
      <c r="M98" s="326"/>
      <c r="N98" s="409"/>
      <c r="O98" s="326"/>
      <c r="P98" s="31"/>
      <c r="Q98" s="31"/>
      <c r="R98" s="31"/>
      <c r="S98" s="31"/>
      <c r="T98" s="405"/>
      <c r="V98"/>
      <c r="W98"/>
      <c r="X98"/>
      <c r="BK98" s="58" t="s">
        <v>3679</v>
      </c>
    </row>
    <row r="99" spans="1:63" s="61" customFormat="1" ht="21" customHeight="1">
      <c r="A99" s="326"/>
      <c r="B99" s="427" t="s">
        <v>3666</v>
      </c>
      <c r="C99" s="457" t="s">
        <v>148</v>
      </c>
      <c r="D99" s="429" t="s">
        <v>93</v>
      </c>
      <c r="E99" s="87" t="s">
        <v>3667</v>
      </c>
      <c r="F99"/>
      <c r="G99" s="422"/>
      <c r="H99" s="422"/>
      <c r="I99" s="422"/>
      <c r="J99" s="422"/>
      <c r="K99" s="423"/>
      <c r="L99" s="410"/>
      <c r="M99" s="326"/>
      <c r="N99" s="409"/>
      <c r="O99" s="326"/>
      <c r="P99" s="31"/>
      <c r="Q99" s="31"/>
      <c r="R99" s="31"/>
      <c r="S99" s="31"/>
      <c r="T99" s="405"/>
      <c r="V99"/>
      <c r="W99"/>
      <c r="X99"/>
      <c r="BK99" s="59" t="s">
        <v>3680</v>
      </c>
    </row>
    <row r="100" spans="1:63" ht="21" customHeight="1">
      <c r="A100" s="63"/>
      <c r="B100" s="6" t="s">
        <v>24</v>
      </c>
      <c r="C100" s="707"/>
      <c r="D100" s="707">
        <v>1.6666666666666666E-2</v>
      </c>
      <c r="E100" s="707">
        <v>1.6666666666666666E-2</v>
      </c>
      <c r="F100"/>
      <c r="I100" s="6"/>
      <c r="K100" s="143"/>
      <c r="L100" s="411"/>
      <c r="M100" s="31"/>
      <c r="N100" s="63"/>
      <c r="O100" s="31"/>
      <c r="P100" s="31"/>
      <c r="Q100" s="31"/>
      <c r="R100" s="31"/>
      <c r="S100" s="31"/>
      <c r="T100" s="405"/>
      <c r="BG100" s="39"/>
    </row>
    <row r="101" spans="1:63" ht="21" customHeight="1">
      <c r="A101" s="63"/>
      <c r="B101" s="6" t="s">
        <v>331</v>
      </c>
      <c r="C101" s="707"/>
      <c r="D101" s="707">
        <v>1.2500000000000001E-2</v>
      </c>
      <c r="E101" s="707">
        <v>1.2500000000000001E-2</v>
      </c>
      <c r="F101"/>
      <c r="G101" s="143"/>
      <c r="H101" s="143"/>
      <c r="I101" s="143"/>
      <c r="J101" s="143"/>
      <c r="K101" s="143"/>
      <c r="L101" s="143"/>
      <c r="M101" s="143"/>
      <c r="N101" s="143"/>
      <c r="O101" s="31"/>
      <c r="P101" s="31"/>
      <c r="Q101" s="31"/>
      <c r="R101" s="31"/>
      <c r="S101" s="31"/>
      <c r="T101" s="405"/>
    </row>
    <row r="102" spans="1:63" ht="21" customHeight="1">
      <c r="A102" s="63"/>
      <c r="B102" s="6" t="s">
        <v>508</v>
      </c>
      <c r="C102" s="707">
        <v>1.0416666666666666E-2</v>
      </c>
      <c r="D102" s="707"/>
      <c r="E102" s="707">
        <v>1.0416666666666666E-2</v>
      </c>
      <c r="F102"/>
      <c r="I102" s="6"/>
      <c r="K102" s="143"/>
      <c r="L102" s="143"/>
      <c r="M102" s="143"/>
      <c r="N102" s="143"/>
      <c r="O102" s="31"/>
      <c r="P102" s="31"/>
      <c r="Q102" s="31"/>
      <c r="R102" s="31"/>
      <c r="S102" s="31"/>
      <c r="T102" s="405"/>
    </row>
    <row r="103" spans="1:63" ht="21" customHeight="1">
      <c r="A103" s="63"/>
      <c r="B103" s="708" t="s">
        <v>222</v>
      </c>
      <c r="C103" s="707"/>
      <c r="D103" s="707">
        <v>1.0416666666666666E-2</v>
      </c>
      <c r="E103" s="707">
        <v>1.0416666666666666E-2</v>
      </c>
      <c r="F103"/>
      <c r="I103" s="6"/>
      <c r="K103" s="143"/>
      <c r="L103" s="143"/>
      <c r="M103" s="143"/>
      <c r="N103" s="143"/>
      <c r="O103" s="31"/>
      <c r="P103" s="31"/>
      <c r="Q103" s="31"/>
      <c r="R103" s="31"/>
      <c r="S103" s="31"/>
      <c r="T103" s="405"/>
    </row>
    <row r="104" spans="1:63" ht="21" customHeight="1">
      <c r="A104" s="63"/>
      <c r="B104" s="418" t="s">
        <v>3667</v>
      </c>
      <c r="C104" s="707">
        <v>1.0416666666666666E-2</v>
      </c>
      <c r="D104" s="707">
        <v>3.9583333333333331E-2</v>
      </c>
      <c r="E104" s="707">
        <v>4.9999999999999996E-2</v>
      </c>
      <c r="F104"/>
      <c r="I104" s="6"/>
      <c r="K104" s="143"/>
      <c r="L104" s="143"/>
      <c r="M104" s="143"/>
      <c r="N104" s="143"/>
      <c r="O104" s="31"/>
      <c r="P104" s="31"/>
      <c r="Q104" s="31"/>
      <c r="R104" s="31"/>
      <c r="S104" s="31"/>
      <c r="T104" s="405"/>
    </row>
    <row r="105" spans="1:63" ht="21" customHeight="1">
      <c r="A105" s="63"/>
      <c r="B105"/>
      <c r="C105"/>
      <c r="E105"/>
      <c r="F105"/>
      <c r="I105" s="6"/>
      <c r="K105" s="143"/>
      <c r="L105" s="143"/>
      <c r="M105" s="143"/>
      <c r="N105" s="143"/>
      <c r="O105" s="31"/>
      <c r="P105" s="31"/>
      <c r="Q105" s="31"/>
      <c r="R105" s="31"/>
      <c r="S105" s="31"/>
      <c r="T105" s="405"/>
      <c r="U105" s="6"/>
    </row>
    <row r="106" spans="1:63" ht="21" customHeight="1">
      <c r="A106" s="63"/>
      <c r="B106"/>
      <c r="C106"/>
      <c r="E106"/>
      <c r="F106"/>
      <c r="I106" s="6"/>
      <c r="K106" s="143"/>
      <c r="L106" s="143"/>
      <c r="M106" s="143"/>
      <c r="N106" s="143"/>
      <c r="O106" s="31"/>
      <c r="P106" s="31"/>
      <c r="Q106" s="31"/>
      <c r="R106" s="31"/>
      <c r="S106" s="31"/>
      <c r="T106" s="405"/>
      <c r="U106" s="6"/>
    </row>
    <row r="107" spans="1:63" ht="21" customHeight="1">
      <c r="A107" s="63"/>
      <c r="B107"/>
      <c r="C107"/>
      <c r="E107"/>
      <c r="F107"/>
      <c r="I107" s="6"/>
      <c r="K107" s="143"/>
      <c r="L107" s="143"/>
      <c r="M107" s="143"/>
      <c r="N107" s="143"/>
      <c r="O107" s="31"/>
      <c r="P107" s="31"/>
      <c r="T107" s="328"/>
      <c r="U107" s="6"/>
    </row>
    <row r="108" spans="1:63" ht="21" customHeight="1">
      <c r="A108" s="63"/>
      <c r="B108"/>
      <c r="C108"/>
      <c r="E108"/>
      <c r="F108"/>
      <c r="I108" s="6"/>
      <c r="K108" s="143"/>
      <c r="L108" s="143"/>
      <c r="M108" s="143"/>
      <c r="N108" s="143"/>
      <c r="O108" s="31"/>
      <c r="P108" s="31"/>
      <c r="T108" s="328"/>
      <c r="U108" s="6"/>
    </row>
    <row r="109" spans="1:63" ht="21" customHeight="1">
      <c r="A109" s="63"/>
      <c r="B109"/>
      <c r="C109"/>
      <c r="E109"/>
      <c r="F109"/>
      <c r="I109" s="6"/>
      <c r="K109" s="143"/>
      <c r="L109" s="143"/>
      <c r="M109" s="143"/>
      <c r="N109" s="143"/>
      <c r="O109" s="31"/>
      <c r="P109" s="31"/>
      <c r="T109" s="328"/>
      <c r="U109" s="6"/>
    </row>
    <row r="110" spans="1:63" ht="21" customHeight="1">
      <c r="A110" s="63"/>
      <c r="B110"/>
      <c r="C110"/>
      <c r="E110"/>
      <c r="F110"/>
      <c r="I110" s="6"/>
      <c r="K110" s="143"/>
      <c r="L110" s="143"/>
      <c r="M110" s="143"/>
      <c r="N110" s="143"/>
      <c r="O110" s="31"/>
      <c r="P110" s="31"/>
      <c r="T110" s="328"/>
      <c r="U110" s="6"/>
    </row>
    <row r="111" spans="1:63" ht="21" customHeight="1">
      <c r="A111" s="63"/>
      <c r="B111"/>
      <c r="C111"/>
      <c r="E111"/>
      <c r="I111" s="6"/>
      <c r="K111" s="143"/>
      <c r="L111" s="143"/>
      <c r="M111" s="143"/>
      <c r="N111" s="143"/>
      <c r="O111" s="31"/>
      <c r="P111" s="31"/>
      <c r="T111" s="328"/>
      <c r="U111" s="6"/>
    </row>
    <row r="112" spans="1:63" ht="21" customHeight="1">
      <c r="A112" s="63"/>
      <c r="B112"/>
      <c r="C112"/>
      <c r="E112"/>
      <c r="I112" s="6"/>
      <c r="K112" s="143"/>
      <c r="L112" s="143"/>
      <c r="M112" s="143"/>
      <c r="N112" s="143"/>
      <c r="O112" s="31"/>
      <c r="P112" s="31"/>
      <c r="T112" s="327"/>
    </row>
    <row r="113" spans="1:20" ht="21" customHeight="1">
      <c r="A113" s="63"/>
      <c r="B113"/>
      <c r="C113"/>
      <c r="E113"/>
      <c r="I113" s="6"/>
      <c r="K113" s="143"/>
      <c r="L113" s="143"/>
      <c r="M113" s="143"/>
      <c r="N113" s="143"/>
      <c r="O113" s="31"/>
      <c r="P113" s="31"/>
      <c r="T113" s="327"/>
    </row>
    <row r="114" spans="1:20" ht="21" customHeight="1">
      <c r="A114" s="63"/>
      <c r="B114" s="14"/>
      <c r="C114" s="6"/>
      <c r="D114" s="6"/>
      <c r="I114" s="6"/>
      <c r="K114" s="143"/>
      <c r="L114" s="143"/>
      <c r="M114" s="143"/>
      <c r="N114" s="143"/>
      <c r="O114" s="31"/>
      <c r="P114" s="31"/>
      <c r="T114" s="327"/>
    </row>
    <row r="115" spans="1:20" ht="21" customHeight="1">
      <c r="A115" s="63"/>
      <c r="B115" s="14"/>
      <c r="C115" s="6"/>
      <c r="D115" s="6"/>
      <c r="I115" s="6"/>
      <c r="K115" s="143"/>
      <c r="L115" s="143"/>
      <c r="M115" s="143"/>
      <c r="N115" s="143"/>
      <c r="O115" s="31"/>
      <c r="P115" s="31"/>
      <c r="T115" s="327"/>
    </row>
    <row r="116" spans="1:20" ht="21" customHeight="1">
      <c r="A116" s="63"/>
      <c r="B116" s="14"/>
      <c r="C116" s="6"/>
      <c r="D116" s="6"/>
      <c r="I116" s="6"/>
      <c r="K116" s="143"/>
      <c r="L116" s="143"/>
      <c r="M116" s="143"/>
      <c r="N116" s="143"/>
      <c r="O116" s="31"/>
      <c r="P116" s="31"/>
      <c r="T116" s="327"/>
    </row>
    <row r="117" spans="1:20" ht="21" customHeight="1">
      <c r="A117" s="63"/>
      <c r="B117" s="14"/>
      <c r="C117" s="6"/>
      <c r="D117" s="6"/>
      <c r="I117" s="6"/>
      <c r="K117" s="143"/>
      <c r="L117" s="143"/>
      <c r="M117" s="143"/>
      <c r="N117" s="143"/>
      <c r="O117" s="31"/>
      <c r="P117" s="31"/>
    </row>
    <row r="118" spans="1:20" ht="21" customHeight="1">
      <c r="A118" s="63"/>
      <c r="B118" s="301" t="s">
        <v>3664</v>
      </c>
      <c r="C118" s="421" t="s">
        <v>3665</v>
      </c>
      <c r="D118" s="6"/>
      <c r="I118" s="6"/>
      <c r="K118"/>
      <c r="L118"/>
      <c r="M118"/>
      <c r="N118" s="143"/>
      <c r="O118" s="31"/>
      <c r="P118" s="31"/>
    </row>
    <row r="119" spans="1:20" ht="21" customHeight="1">
      <c r="A119" s="63"/>
      <c r="B119" s="427" t="s">
        <v>3666</v>
      </c>
      <c r="C119" s="87" t="s">
        <v>57</v>
      </c>
      <c r="D119" s="87" t="s">
        <v>43</v>
      </c>
      <c r="E119" s="87" t="s">
        <v>54</v>
      </c>
      <c r="F119" s="87" t="s">
        <v>32</v>
      </c>
      <c r="G119" s="87" t="s">
        <v>186</v>
      </c>
      <c r="H119" s="87" t="s">
        <v>245</v>
      </c>
      <c r="I119" s="87" t="s">
        <v>405</v>
      </c>
      <c r="J119" s="87" t="s">
        <v>3667</v>
      </c>
      <c r="K119"/>
      <c r="L119"/>
      <c r="M119"/>
      <c r="N119" s="143"/>
      <c r="O119" s="31"/>
      <c r="P119" s="105"/>
    </row>
    <row r="120" spans="1:20" ht="21" customHeight="1">
      <c r="A120" s="63"/>
      <c r="B120" s="418" t="s">
        <v>270</v>
      </c>
      <c r="C120" s="707"/>
      <c r="D120" s="707"/>
      <c r="E120" s="707">
        <v>5.486111111111111E-2</v>
      </c>
      <c r="F120" s="707"/>
      <c r="G120" s="707"/>
      <c r="H120" s="707"/>
      <c r="I120" s="707"/>
      <c r="J120" s="707">
        <v>5.486111111111111E-2</v>
      </c>
      <c r="K120"/>
      <c r="L120"/>
      <c r="M120"/>
      <c r="N120" s="143"/>
      <c r="O120" s="31"/>
      <c r="P120" s="105"/>
    </row>
    <row r="121" spans="1:20" ht="21" customHeight="1">
      <c r="A121" s="63"/>
      <c r="B121" s="418" t="s">
        <v>24</v>
      </c>
      <c r="C121" s="707"/>
      <c r="D121" s="707"/>
      <c r="E121" s="707"/>
      <c r="F121" s="707"/>
      <c r="G121" s="707">
        <v>1.6666666666666666E-2</v>
      </c>
      <c r="H121" s="707"/>
      <c r="I121" s="707"/>
      <c r="J121" s="707">
        <v>1.6666666666666666E-2</v>
      </c>
      <c r="K121"/>
      <c r="L121"/>
      <c r="M121"/>
      <c r="N121" s="143"/>
      <c r="O121" s="31"/>
      <c r="P121" s="105"/>
    </row>
    <row r="122" spans="1:20" ht="21" customHeight="1">
      <c r="A122" s="63"/>
      <c r="B122" s="418" t="s">
        <v>98</v>
      </c>
      <c r="C122" s="707"/>
      <c r="D122" s="707"/>
      <c r="E122" s="707">
        <v>1.3888888888888888E-2</v>
      </c>
      <c r="F122" s="707"/>
      <c r="G122" s="707"/>
      <c r="H122" s="707"/>
      <c r="I122" s="707"/>
      <c r="J122" s="707">
        <v>1.3888888888888888E-2</v>
      </c>
      <c r="K122"/>
      <c r="L122"/>
      <c r="M122"/>
      <c r="N122" s="143"/>
      <c r="O122" s="31"/>
      <c r="P122" s="105"/>
    </row>
    <row r="123" spans="1:20" ht="21" customHeight="1">
      <c r="A123" s="63"/>
      <c r="B123" s="418" t="s">
        <v>331</v>
      </c>
      <c r="C123" s="707"/>
      <c r="D123" s="707"/>
      <c r="E123" s="707"/>
      <c r="F123" s="707"/>
      <c r="G123" s="707"/>
      <c r="H123" s="707">
        <v>1.2500000000000001E-2</v>
      </c>
      <c r="I123" s="707"/>
      <c r="J123" s="707">
        <v>1.2500000000000001E-2</v>
      </c>
      <c r="K123"/>
      <c r="L123"/>
      <c r="M123"/>
      <c r="N123" s="143"/>
      <c r="O123" s="31"/>
      <c r="P123" s="105"/>
    </row>
    <row r="124" spans="1:20" ht="21" customHeight="1">
      <c r="A124" s="63"/>
      <c r="B124" s="418" t="s">
        <v>1243</v>
      </c>
      <c r="C124" s="707"/>
      <c r="D124" s="707"/>
      <c r="E124" s="707"/>
      <c r="F124" s="707"/>
      <c r="G124" s="707"/>
      <c r="H124" s="707"/>
      <c r="I124" s="707">
        <v>1.1805555555555555E-2</v>
      </c>
      <c r="J124" s="707">
        <v>1.1805555555555555E-2</v>
      </c>
      <c r="K124"/>
      <c r="L124"/>
      <c r="M124"/>
      <c r="N124" s="143"/>
      <c r="O124" s="31"/>
      <c r="P124" s="105"/>
    </row>
    <row r="125" spans="1:20" ht="21" customHeight="1">
      <c r="A125" s="63"/>
      <c r="B125" s="418" t="s">
        <v>215</v>
      </c>
      <c r="C125" s="707"/>
      <c r="D125" s="707"/>
      <c r="E125" s="707">
        <v>1.1805555555555555E-2</v>
      </c>
      <c r="F125" s="707"/>
      <c r="G125" s="707"/>
      <c r="H125" s="707"/>
      <c r="I125" s="707"/>
      <c r="J125" s="707">
        <v>1.1805555555555555E-2</v>
      </c>
      <c r="K125"/>
      <c r="L125"/>
      <c r="M125"/>
      <c r="N125" s="143"/>
      <c r="O125" s="31"/>
      <c r="P125" s="105"/>
    </row>
    <row r="126" spans="1:20" ht="21" customHeight="1">
      <c r="A126" s="63"/>
      <c r="B126" s="418" t="s">
        <v>508</v>
      </c>
      <c r="C126" s="707"/>
      <c r="D126" s="707">
        <v>1.0416666666666666E-2</v>
      </c>
      <c r="E126" s="707"/>
      <c r="F126" s="707"/>
      <c r="G126" s="707"/>
      <c r="H126" s="707"/>
      <c r="I126" s="707"/>
      <c r="J126" s="707">
        <v>1.0416666666666666E-2</v>
      </c>
      <c r="K126"/>
      <c r="L126"/>
      <c r="M126"/>
      <c r="N126" s="143"/>
      <c r="O126" s="31"/>
      <c r="P126" s="105"/>
    </row>
    <row r="127" spans="1:20" ht="21" customHeight="1">
      <c r="A127" s="63"/>
      <c r="B127" s="418" t="s">
        <v>169</v>
      </c>
      <c r="C127" s="707"/>
      <c r="D127" s="707"/>
      <c r="E127" s="707"/>
      <c r="F127" s="707">
        <v>1.0416666666666666E-2</v>
      </c>
      <c r="G127" s="707"/>
      <c r="H127" s="707"/>
      <c r="I127" s="707"/>
      <c r="J127" s="707">
        <v>1.0416666666666666E-2</v>
      </c>
      <c r="K127"/>
      <c r="L127"/>
      <c r="M127"/>
      <c r="N127" s="143"/>
      <c r="O127" s="31"/>
      <c r="P127" s="105"/>
    </row>
    <row r="128" spans="1:20" ht="21" customHeight="1">
      <c r="A128" s="63"/>
      <c r="B128" s="418" t="s">
        <v>222</v>
      </c>
      <c r="C128" s="707">
        <v>1.0416666666666666E-2</v>
      </c>
      <c r="D128" s="707"/>
      <c r="E128" s="707"/>
      <c r="F128" s="707"/>
      <c r="G128" s="707"/>
      <c r="H128" s="707"/>
      <c r="I128" s="707"/>
      <c r="J128" s="707">
        <v>1.0416666666666666E-2</v>
      </c>
      <c r="K128"/>
      <c r="L128"/>
      <c r="M128"/>
      <c r="N128" s="143"/>
      <c r="O128" s="31"/>
      <c r="P128" s="105"/>
    </row>
    <row r="129" spans="1:63" ht="21" customHeight="1">
      <c r="A129" s="63"/>
      <c r="B129" s="418" t="s">
        <v>3667</v>
      </c>
      <c r="C129" s="707">
        <v>1.0416666666666666E-2</v>
      </c>
      <c r="D129" s="707">
        <v>1.0416666666666666E-2</v>
      </c>
      <c r="E129" s="707">
        <v>8.0555555555555547E-2</v>
      </c>
      <c r="F129" s="707">
        <v>1.0416666666666666E-2</v>
      </c>
      <c r="G129" s="707">
        <v>1.6666666666666666E-2</v>
      </c>
      <c r="H129" s="707">
        <v>1.2500000000000001E-2</v>
      </c>
      <c r="I129" s="707">
        <v>1.1805555555555555E-2</v>
      </c>
      <c r="J129" s="707">
        <v>0.15277777777777776</v>
      </c>
      <c r="K129"/>
      <c r="L129"/>
      <c r="M129"/>
      <c r="N129" s="143"/>
      <c r="O129" s="31"/>
      <c r="P129" s="105"/>
    </row>
    <row r="130" spans="1:63" ht="21" customHeight="1">
      <c r="A130" s="63"/>
      <c r="B130"/>
      <c r="C130"/>
      <c r="E130"/>
      <c r="F130"/>
      <c r="G130"/>
      <c r="H130"/>
      <c r="I130"/>
      <c r="J130"/>
      <c r="K130"/>
      <c r="L130"/>
      <c r="M130"/>
      <c r="N130" s="143"/>
      <c r="O130" s="31"/>
      <c r="P130" s="105"/>
    </row>
    <row r="131" spans="1:63" ht="21" customHeight="1">
      <c r="A131" s="63"/>
      <c r="B131"/>
      <c r="C131"/>
      <c r="E131"/>
      <c r="F131"/>
      <c r="G131"/>
      <c r="H131"/>
      <c r="I131"/>
      <c r="J131"/>
      <c r="K131"/>
      <c r="L131"/>
      <c r="M131"/>
      <c r="N131" s="143"/>
      <c r="O131" s="31"/>
      <c r="P131" s="105"/>
    </row>
    <row r="132" spans="1:63" ht="21" customHeight="1">
      <c r="A132" s="63"/>
      <c r="B132"/>
      <c r="C132"/>
      <c r="E132"/>
      <c r="F132"/>
      <c r="G132"/>
      <c r="H132"/>
      <c r="I132"/>
      <c r="J132"/>
      <c r="K132"/>
      <c r="L132"/>
      <c r="M132"/>
      <c r="N132" s="143"/>
      <c r="O132" s="31"/>
      <c r="P132" s="105"/>
    </row>
    <row r="133" spans="1:63" ht="21" customHeight="1">
      <c r="A133" s="63"/>
      <c r="B133"/>
      <c r="C133"/>
      <c r="E133"/>
      <c r="F133"/>
      <c r="G133"/>
      <c r="H133"/>
      <c r="I133"/>
      <c r="J133"/>
      <c r="K133"/>
      <c r="L133"/>
      <c r="M133"/>
      <c r="N133" s="143"/>
      <c r="O133" s="31"/>
      <c r="P133" s="105"/>
    </row>
    <row r="134" spans="1:63" ht="21" customHeight="1">
      <c r="A134" s="63"/>
      <c r="B134"/>
      <c r="C134"/>
      <c r="E134"/>
      <c r="F134"/>
      <c r="G134"/>
      <c r="H134"/>
      <c r="I134"/>
      <c r="J134"/>
      <c r="K134"/>
      <c r="L134"/>
      <c r="M134"/>
      <c r="N134" s="143"/>
      <c r="O134" s="31"/>
      <c r="P134" s="105"/>
    </row>
    <row r="135" spans="1:63" ht="21" customHeight="1">
      <c r="A135" s="63"/>
      <c r="B135"/>
      <c r="C135"/>
      <c r="E135"/>
      <c r="F135"/>
      <c r="G135"/>
      <c r="H135"/>
      <c r="I135"/>
      <c r="J135"/>
      <c r="K135"/>
      <c r="L135"/>
      <c r="M135"/>
      <c r="N135" s="143"/>
      <c r="O135" s="31"/>
      <c r="P135" s="105"/>
    </row>
    <row r="136" spans="1:63" s="62" customFormat="1" ht="21" customHeight="1">
      <c r="A136" s="63"/>
      <c r="B136"/>
      <c r="C136"/>
      <c r="D136"/>
      <c r="E136"/>
      <c r="F136"/>
      <c r="G136"/>
      <c r="H136"/>
      <c r="I136"/>
      <c r="J136"/>
      <c r="K136"/>
      <c r="L136"/>
      <c r="M136"/>
      <c r="N136" s="143"/>
      <c r="O136" s="31"/>
      <c r="P136" s="105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 s="39"/>
      <c r="BE136" s="39"/>
      <c r="BF136"/>
      <c r="BG136"/>
      <c r="BH136"/>
      <c r="BI136"/>
      <c r="BJ136"/>
      <c r="BK136"/>
    </row>
    <row r="137" spans="1:63" s="62" customFormat="1" ht="21" customHeight="1">
      <c r="A137" s="63"/>
      <c r="B137"/>
      <c r="C137"/>
      <c r="D137"/>
      <c r="E137"/>
      <c r="F137"/>
      <c r="G137"/>
      <c r="H137"/>
      <c r="I137"/>
      <c r="J137"/>
      <c r="K137"/>
      <c r="L137"/>
      <c r="M137"/>
      <c r="N137" s="143"/>
      <c r="O137" s="31"/>
      <c r="P137" s="105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 s="39"/>
      <c r="BE137" s="39"/>
      <c r="BF137"/>
      <c r="BG137"/>
      <c r="BH137"/>
      <c r="BI137"/>
      <c r="BJ137"/>
      <c r="BK137"/>
    </row>
    <row r="138" spans="1:63" s="62" customFormat="1" ht="21" customHeight="1">
      <c r="A138" s="63"/>
      <c r="B138"/>
      <c r="C138"/>
      <c r="D138"/>
      <c r="E138"/>
      <c r="F138"/>
      <c r="G138"/>
      <c r="H138"/>
      <c r="I138"/>
      <c r="J138"/>
      <c r="K138"/>
      <c r="L138"/>
      <c r="M138" s="143"/>
      <c r="N138" s="143"/>
      <c r="O138" s="31"/>
      <c r="P138" s="105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 s="39"/>
      <c r="BE138" s="39"/>
      <c r="BF138"/>
      <c r="BG138"/>
      <c r="BH138"/>
      <c r="BI138"/>
      <c r="BJ138"/>
      <c r="BK138"/>
    </row>
    <row r="139" spans="1:63" s="62" customFormat="1" ht="21" customHeight="1">
      <c r="A139" s="63"/>
      <c r="B139"/>
      <c r="C139"/>
      <c r="D139"/>
      <c r="E139"/>
      <c r="F139"/>
      <c r="G139"/>
      <c r="H139"/>
      <c r="I139"/>
      <c r="J139"/>
      <c r="K139"/>
      <c r="L139" s="143"/>
      <c r="M139" s="143"/>
      <c r="N139" s="143"/>
      <c r="O139" s="31"/>
      <c r="P139" s="105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 s="39"/>
      <c r="BE139" s="39"/>
      <c r="BF139"/>
      <c r="BG139"/>
      <c r="BH139"/>
      <c r="BI139"/>
      <c r="BJ139"/>
      <c r="BK139"/>
    </row>
    <row r="140" spans="1:63" s="62" customFormat="1" ht="21" customHeight="1">
      <c r="A140" s="63"/>
      <c r="B140"/>
      <c r="C140"/>
      <c r="D140"/>
      <c r="E140"/>
      <c r="F140"/>
      <c r="G140"/>
      <c r="H140"/>
      <c r="I140" s="417"/>
      <c r="J140" s="417"/>
      <c r="K140" s="143"/>
      <c r="L140" s="143"/>
      <c r="M140" s="143"/>
      <c r="N140" s="143"/>
      <c r="O140" s="31"/>
      <c r="P140" s="105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 s="39"/>
      <c r="BE140" s="39"/>
      <c r="BF140"/>
      <c r="BG140"/>
      <c r="BH140"/>
      <c r="BI140"/>
      <c r="BJ140"/>
      <c r="BK140"/>
    </row>
    <row r="141" spans="1:63" s="62" customFormat="1" ht="21" customHeight="1">
      <c r="A141" s="63"/>
      <c r="B141"/>
      <c r="C141"/>
      <c r="D141"/>
      <c r="E141"/>
      <c r="F141"/>
      <c r="G141"/>
      <c r="H141"/>
      <c r="I141" s="417"/>
      <c r="J141" s="417"/>
      <c r="K141" s="143"/>
      <c r="L141" s="143"/>
      <c r="M141" s="143"/>
      <c r="N141" s="143"/>
      <c r="O141" s="31"/>
      <c r="P141" s="105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 s="39"/>
      <c r="BE141" s="39"/>
      <c r="BF141"/>
      <c r="BG141"/>
      <c r="BH141"/>
      <c r="BI141"/>
      <c r="BJ141"/>
      <c r="BK141"/>
    </row>
    <row r="142" spans="1:63" s="62" customFormat="1" ht="21" customHeight="1">
      <c r="A142" s="63"/>
      <c r="B142"/>
      <c r="C142"/>
      <c r="D142"/>
      <c r="E142"/>
      <c r="F142"/>
      <c r="G142"/>
      <c r="H142"/>
      <c r="I142" s="417"/>
      <c r="J142" s="417"/>
      <c r="K142" s="143"/>
      <c r="L142" s="143"/>
      <c r="M142" s="143"/>
      <c r="N142" s="143"/>
      <c r="O142" s="31"/>
      <c r="P142" s="105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 s="39"/>
      <c r="BE142" s="39"/>
      <c r="BF142"/>
      <c r="BG142"/>
      <c r="BH142"/>
      <c r="BI142"/>
      <c r="BJ142"/>
      <c r="BK142"/>
    </row>
    <row r="143" spans="1:63" s="62" customFormat="1" ht="21" customHeight="1">
      <c r="A143" s="63"/>
      <c r="B143"/>
      <c r="C143"/>
      <c r="D143"/>
      <c r="E143"/>
      <c r="F143"/>
      <c r="G143"/>
      <c r="H143"/>
      <c r="I143" s="417"/>
      <c r="J143" s="417"/>
      <c r="K143" s="143"/>
      <c r="L143" s="143"/>
      <c r="M143" s="143"/>
      <c r="N143" s="143"/>
      <c r="O143" s="31"/>
      <c r="P143" s="105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 s="39"/>
      <c r="BE143" s="39"/>
      <c r="BF143"/>
      <c r="BG143"/>
      <c r="BH143"/>
      <c r="BI143"/>
      <c r="BJ143"/>
      <c r="BK143"/>
    </row>
    <row r="144" spans="1:63" s="62" customFormat="1" ht="21" customHeight="1">
      <c r="A144" s="63"/>
      <c r="B144" s="14"/>
      <c r="C144" s="417"/>
      <c r="D144" s="417"/>
      <c r="E144" s="417"/>
      <c r="F144" s="417"/>
      <c r="G144" s="417"/>
      <c r="H144" s="417"/>
      <c r="I144" s="417"/>
      <c r="J144" s="417"/>
      <c r="K144" s="143"/>
      <c r="L144" s="143"/>
      <c r="M144" s="143"/>
      <c r="N144" s="143"/>
      <c r="O144" s="31"/>
      <c r="P144" s="105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 s="39"/>
      <c r="BE144" s="39"/>
      <c r="BF144"/>
      <c r="BG144"/>
      <c r="BH144"/>
      <c r="BI144"/>
      <c r="BJ144"/>
      <c r="BK144"/>
    </row>
    <row r="145" spans="1:63" s="62" customFormat="1" ht="21" customHeight="1">
      <c r="A145" s="63"/>
      <c r="B145" s="14"/>
      <c r="C145" s="417"/>
      <c r="D145" s="417"/>
      <c r="E145" s="417"/>
      <c r="F145" s="417"/>
      <c r="G145" s="417"/>
      <c r="H145" s="417"/>
      <c r="I145" s="417"/>
      <c r="J145" s="417"/>
      <c r="K145" s="143"/>
      <c r="L145" s="143"/>
      <c r="M145" s="143"/>
      <c r="N145" s="143"/>
      <c r="O145" s="31"/>
      <c r="P145" s="10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 s="39"/>
      <c r="BE145" s="39"/>
      <c r="BF145"/>
      <c r="BG145"/>
      <c r="BH145"/>
      <c r="BI145"/>
      <c r="BJ145"/>
      <c r="BK145"/>
    </row>
    <row r="146" spans="1:63" s="62" customFormat="1" ht="21" customHeight="1">
      <c r="A146" s="63"/>
      <c r="B146" s="14"/>
      <c r="C146" s="417"/>
      <c r="D146" s="417"/>
      <c r="E146" s="417"/>
      <c r="F146" s="417"/>
      <c r="G146" s="417"/>
      <c r="H146" s="417"/>
      <c r="I146" s="417"/>
      <c r="J146" s="417"/>
      <c r="K146" s="143"/>
      <c r="L146" s="143"/>
      <c r="M146" s="143"/>
      <c r="N146" s="143"/>
      <c r="O146" s="31"/>
      <c r="P146" s="105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 s="39"/>
      <c r="BE146" s="39"/>
      <c r="BF146"/>
      <c r="BG146"/>
      <c r="BH146"/>
      <c r="BI146"/>
      <c r="BJ146"/>
      <c r="BK146"/>
    </row>
    <row r="147" spans="1:63" s="62" customFormat="1" ht="21" customHeight="1">
      <c r="A147" s="63"/>
      <c r="B147" s="14"/>
      <c r="C147" s="417"/>
      <c r="D147" s="417"/>
      <c r="E147" s="417"/>
      <c r="F147" s="417"/>
      <c r="G147" s="417"/>
      <c r="H147" s="417"/>
      <c r="I147" s="417"/>
      <c r="J147" s="417"/>
      <c r="K147" s="143"/>
      <c r="L147" s="143"/>
      <c r="M147" s="143"/>
      <c r="N147" s="143"/>
      <c r="O147" s="31"/>
      <c r="P147" s="105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 s="39"/>
      <c r="BE147" s="39"/>
      <c r="BF147"/>
      <c r="BG147"/>
      <c r="BH147"/>
      <c r="BI147"/>
      <c r="BJ147"/>
      <c r="BK147"/>
    </row>
    <row r="148" spans="1:63" s="62" customFormat="1" ht="21" customHeight="1">
      <c r="A148" s="63"/>
      <c r="B148" s="14"/>
      <c r="C148" s="417"/>
      <c r="D148" s="417"/>
      <c r="E148" s="417"/>
      <c r="F148" s="417"/>
      <c r="G148" s="417"/>
      <c r="H148" s="417"/>
      <c r="I148" s="417"/>
      <c r="J148" s="417"/>
      <c r="K148" s="143"/>
      <c r="L148" s="143"/>
      <c r="M148" s="143"/>
      <c r="N148" s="143"/>
      <c r="O148" s="31"/>
      <c r="P148" s="105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 s="39"/>
      <c r="BE148" s="39"/>
      <c r="BF148"/>
      <c r="BG148"/>
      <c r="BH148"/>
      <c r="BI148"/>
      <c r="BJ148"/>
      <c r="BK148"/>
    </row>
    <row r="149" spans="1:63" s="62" customFormat="1" ht="21" customHeight="1">
      <c r="A149" s="63"/>
      <c r="B149" s="428"/>
      <c r="C149" s="424"/>
      <c r="D149" s="6"/>
      <c r="E149" s="6"/>
      <c r="F149" s="6"/>
      <c r="G149" s="6"/>
      <c r="H149" s="6"/>
      <c r="I149" s="6"/>
      <c r="J149" s="6"/>
      <c r="K149" s="143"/>
      <c r="L149" s="143"/>
      <c r="M149" s="143"/>
      <c r="N149" s="143"/>
      <c r="O149" s="31"/>
      <c r="P149" s="105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 s="39"/>
      <c r="BE149" s="39"/>
      <c r="BF149"/>
      <c r="BG149"/>
      <c r="BH149"/>
      <c r="BI149"/>
      <c r="BJ149"/>
      <c r="BK149"/>
    </row>
    <row r="150" spans="1:63" s="62" customFormat="1" ht="21" customHeight="1">
      <c r="A150" s="63"/>
      <c r="B150" s="428"/>
      <c r="C150" s="424"/>
      <c r="D150" s="6"/>
      <c r="E150" s="6"/>
      <c r="F150" s="6"/>
      <c r="G150" s="6"/>
      <c r="H150" s="6"/>
      <c r="I150" s="6"/>
      <c r="J150" s="6"/>
      <c r="K150" s="143"/>
      <c r="L150" s="143"/>
      <c r="M150" s="143"/>
      <c r="N150" s="143"/>
      <c r="O150" s="31"/>
      <c r="P150" s="105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 s="39"/>
      <c r="BE150" s="39"/>
      <c r="BF150"/>
      <c r="BG150"/>
      <c r="BH150"/>
      <c r="BI150"/>
      <c r="BJ150"/>
      <c r="BK150"/>
    </row>
    <row r="151" spans="1:63" s="62" customFormat="1" ht="21" customHeight="1">
      <c r="A151" s="63"/>
      <c r="B151" s="301" t="s">
        <v>3681</v>
      </c>
      <c r="C151" s="421" t="s">
        <v>3665</v>
      </c>
      <c r="D151" s="6"/>
      <c r="E151"/>
      <c r="F151"/>
      <c r="G151"/>
      <c r="H151" s="6"/>
      <c r="I151" s="6"/>
      <c r="J151" s="6"/>
      <c r="K151" s="143"/>
      <c r="L151" s="143"/>
      <c r="M151" s="143"/>
      <c r="N151" s="143"/>
      <c r="O151" s="31"/>
      <c r="P151" s="105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 s="39"/>
      <c r="BE151" s="39"/>
      <c r="BF151"/>
      <c r="BG151"/>
      <c r="BH151"/>
      <c r="BI151"/>
      <c r="BJ151"/>
      <c r="BK151"/>
    </row>
    <row r="152" spans="1:63" s="62" customFormat="1" ht="21" customHeight="1">
      <c r="A152" s="63"/>
      <c r="B152" s="427" t="s">
        <v>3666</v>
      </c>
      <c r="C152" s="429" t="s">
        <v>36</v>
      </c>
      <c r="D152" s="87" t="s">
        <v>3667</v>
      </c>
      <c r="E152"/>
      <c r="F152"/>
      <c r="G152"/>
      <c r="H152" s="6"/>
      <c r="I152" s="6"/>
      <c r="J152" s="6"/>
      <c r="K152" s="143"/>
      <c r="L152" s="143"/>
      <c r="M152" s="143"/>
      <c r="N152" s="143"/>
      <c r="O152" s="31"/>
      <c r="P152" s="105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 s="39"/>
      <c r="BE152" s="39"/>
      <c r="BF152"/>
      <c r="BG152"/>
      <c r="BH152"/>
      <c r="BI152"/>
      <c r="BJ152"/>
      <c r="BK152"/>
    </row>
    <row r="153" spans="1:63" s="62" customFormat="1" ht="21" customHeight="1">
      <c r="A153" s="63"/>
      <c r="B153" s="418" t="s">
        <v>270</v>
      </c>
      <c r="C153" s="430">
        <v>3</v>
      </c>
      <c r="D153" s="430">
        <v>3</v>
      </c>
      <c r="E153"/>
      <c r="F153"/>
      <c r="G153"/>
      <c r="H153" s="6"/>
      <c r="I153" s="6"/>
      <c r="J153" s="6"/>
      <c r="K153" s="143"/>
      <c r="L153" s="143"/>
      <c r="M153" s="143"/>
      <c r="N153" s="143"/>
      <c r="O153" s="31"/>
      <c r="P153" s="105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 s="39"/>
      <c r="BE153" s="39"/>
      <c r="BF153"/>
      <c r="BG153"/>
      <c r="BH153"/>
      <c r="BI153"/>
      <c r="BJ153"/>
      <c r="BK153"/>
    </row>
    <row r="154" spans="1:63" s="62" customFormat="1" ht="21" customHeight="1">
      <c r="A154" s="63"/>
      <c r="B154" s="418" t="s">
        <v>331</v>
      </c>
      <c r="C154" s="430">
        <v>1</v>
      </c>
      <c r="D154" s="430">
        <v>1</v>
      </c>
      <c r="E154"/>
      <c r="F154"/>
      <c r="G154"/>
      <c r="H154" s="6"/>
      <c r="I154" s="6"/>
      <c r="J154" s="6"/>
      <c r="K154" s="143"/>
      <c r="L154" s="143"/>
      <c r="M154" s="143"/>
      <c r="N154" s="143"/>
      <c r="O154" s="31"/>
      <c r="P154" s="105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 s="39"/>
      <c r="BE154" s="39"/>
      <c r="BF154"/>
      <c r="BG154"/>
      <c r="BH154"/>
      <c r="BI154"/>
      <c r="BJ154"/>
      <c r="BK154"/>
    </row>
    <row r="155" spans="1:63" s="62" customFormat="1" ht="21" customHeight="1">
      <c r="A155" s="63"/>
      <c r="B155" s="418" t="s">
        <v>508</v>
      </c>
      <c r="C155" s="430">
        <v>1</v>
      </c>
      <c r="D155" s="430">
        <v>1</v>
      </c>
      <c r="E155"/>
      <c r="F155"/>
      <c r="G155"/>
      <c r="H155" s="6"/>
      <c r="I155" s="6"/>
      <c r="J155" s="6"/>
      <c r="K155" s="143"/>
      <c r="L155" s="143"/>
      <c r="M155" s="143"/>
      <c r="N155" s="143"/>
      <c r="O155" s="31"/>
      <c r="P155" s="10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 s="39"/>
      <c r="BE155" s="39"/>
      <c r="BF155"/>
      <c r="BG155"/>
      <c r="BH155"/>
      <c r="BI155"/>
      <c r="BJ155"/>
      <c r="BK155"/>
    </row>
    <row r="156" spans="1:63" s="62" customFormat="1" ht="21" customHeight="1">
      <c r="A156" s="63"/>
      <c r="B156" s="418" t="s">
        <v>24</v>
      </c>
      <c r="C156" s="430">
        <v>1</v>
      </c>
      <c r="D156" s="430">
        <v>1</v>
      </c>
      <c r="E156"/>
      <c r="F156"/>
      <c r="G156"/>
      <c r="H156" s="6"/>
      <c r="I156" s="6"/>
      <c r="J156" s="6"/>
      <c r="K156" s="143"/>
      <c r="L156" s="143"/>
      <c r="M156" s="143"/>
      <c r="N156" s="143"/>
      <c r="O156" s="31"/>
      <c r="P156" s="105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 s="39"/>
      <c r="BE156" s="39"/>
      <c r="BF156"/>
      <c r="BG156"/>
      <c r="BH156"/>
      <c r="BI156"/>
      <c r="BJ156"/>
      <c r="BK156"/>
    </row>
    <row r="157" spans="1:63" s="62" customFormat="1" ht="21" customHeight="1">
      <c r="A157" s="63"/>
      <c r="B157" s="418" t="s">
        <v>1243</v>
      </c>
      <c r="C157" s="430">
        <v>1</v>
      </c>
      <c r="D157" s="430">
        <v>1</v>
      </c>
      <c r="E157"/>
      <c r="F157"/>
      <c r="G157"/>
      <c r="H157" s="6"/>
      <c r="I157" s="6"/>
      <c r="J157" s="6"/>
      <c r="K157" s="143"/>
      <c r="L157" s="143"/>
      <c r="M157" s="143"/>
      <c r="N157" s="143"/>
      <c r="O157" s="31"/>
      <c r="P157" s="105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 s="39"/>
      <c r="BE157" s="39"/>
      <c r="BF157"/>
      <c r="BG157"/>
      <c r="BH157"/>
      <c r="BI157"/>
      <c r="BJ157"/>
      <c r="BK157"/>
    </row>
    <row r="158" spans="1:63" s="62" customFormat="1" ht="21" customHeight="1">
      <c r="A158" s="63"/>
      <c r="B158" s="418" t="s">
        <v>169</v>
      </c>
      <c r="C158" s="430">
        <v>1</v>
      </c>
      <c r="D158" s="430">
        <v>1</v>
      </c>
      <c r="E158"/>
      <c r="F158"/>
      <c r="G158"/>
      <c r="H158" s="6"/>
      <c r="I158" s="6"/>
      <c r="J158" s="6"/>
      <c r="K158" s="143"/>
      <c r="L158" s="143"/>
      <c r="M158" s="143"/>
      <c r="N158" s="143"/>
      <c r="O158" s="31"/>
      <c r="P158" s="105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 s="39"/>
      <c r="BE158" s="39"/>
      <c r="BF158"/>
      <c r="BG158"/>
      <c r="BH158"/>
      <c r="BI158"/>
      <c r="BJ158"/>
      <c r="BK158"/>
    </row>
    <row r="159" spans="1:63" s="62" customFormat="1" ht="21" customHeight="1">
      <c r="A159" s="63"/>
      <c r="B159" s="418" t="s">
        <v>2282</v>
      </c>
      <c r="C159" s="430">
        <v>1</v>
      </c>
      <c r="D159" s="430">
        <v>1</v>
      </c>
      <c r="E159"/>
      <c r="F159"/>
      <c r="G159"/>
      <c r="H159" s="6"/>
      <c r="I159" s="6"/>
      <c r="J159" s="6"/>
      <c r="K159" s="143"/>
      <c r="L159" s="143"/>
      <c r="M159" s="143"/>
      <c r="N159" s="143"/>
      <c r="O159" s="31"/>
      <c r="P159" s="105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 s="39"/>
      <c r="BE159" s="39"/>
      <c r="BF159"/>
      <c r="BG159"/>
      <c r="BH159"/>
      <c r="BI159"/>
      <c r="BJ159"/>
      <c r="BK159"/>
    </row>
    <row r="160" spans="1:63" s="62" customFormat="1" ht="21" customHeight="1">
      <c r="A160" s="63"/>
      <c r="B160" s="418" t="s">
        <v>215</v>
      </c>
      <c r="C160" s="430">
        <v>1</v>
      </c>
      <c r="D160" s="430">
        <v>1</v>
      </c>
      <c r="E160"/>
      <c r="F160"/>
      <c r="G160"/>
      <c r="H160" s="6"/>
      <c r="I160" s="6"/>
      <c r="J160" s="6"/>
      <c r="K160" s="143"/>
      <c r="L160" s="143"/>
      <c r="M160" s="143"/>
      <c r="N160" s="143"/>
      <c r="O160" s="31"/>
      <c r="P160" s="105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 s="39"/>
      <c r="BE160" s="39"/>
      <c r="BF160"/>
      <c r="BG160"/>
      <c r="BH160"/>
      <c r="BI160"/>
      <c r="BJ160"/>
      <c r="BK160"/>
    </row>
    <row r="161" spans="1:63" s="62" customFormat="1" ht="21" customHeight="1">
      <c r="A161" s="63"/>
      <c r="B161" s="418" t="s">
        <v>98</v>
      </c>
      <c r="C161" s="430">
        <v>1</v>
      </c>
      <c r="D161" s="430">
        <v>1</v>
      </c>
      <c r="E161"/>
      <c r="F161"/>
      <c r="G161"/>
      <c r="H161" s="6"/>
      <c r="I161" s="6"/>
      <c r="J161" s="6"/>
      <c r="K161" s="143"/>
      <c r="L161" s="143"/>
      <c r="M161" s="143"/>
      <c r="N161" s="143"/>
      <c r="O161" s="31"/>
      <c r="P161" s="105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 s="39"/>
      <c r="BE161" s="39"/>
      <c r="BF161"/>
      <c r="BG161"/>
      <c r="BH161"/>
      <c r="BI161"/>
      <c r="BJ161"/>
      <c r="BK161"/>
    </row>
    <row r="162" spans="1:63" s="62" customFormat="1" ht="21" customHeight="1">
      <c r="A162" s="63"/>
      <c r="B162" s="418" t="s">
        <v>222</v>
      </c>
      <c r="C162" s="430">
        <v>1</v>
      </c>
      <c r="D162" s="430">
        <v>1</v>
      </c>
      <c r="E162"/>
      <c r="F162"/>
      <c r="G162"/>
      <c r="H162" s="6"/>
      <c r="I162" s="6"/>
      <c r="J162" s="6"/>
      <c r="K162" s="143"/>
      <c r="L162" s="143"/>
      <c r="M162" s="143"/>
      <c r="N162" s="143"/>
      <c r="O162" s="31"/>
      <c r="P162" s="105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 s="39"/>
      <c r="BE162" s="39"/>
      <c r="BF162"/>
      <c r="BG162"/>
      <c r="BH162"/>
      <c r="BI162"/>
      <c r="BJ162"/>
      <c r="BK162"/>
    </row>
    <row r="163" spans="1:63" s="62" customFormat="1" ht="21" customHeight="1">
      <c r="A163" s="63"/>
      <c r="B163" s="418" t="s">
        <v>3667</v>
      </c>
      <c r="C163" s="430">
        <v>12</v>
      </c>
      <c r="D163" s="430">
        <v>12</v>
      </c>
      <c r="E163"/>
      <c r="F163"/>
      <c r="G163"/>
      <c r="H163" s="6"/>
      <c r="I163" s="6"/>
      <c r="J163" s="6"/>
      <c r="K163" s="143"/>
      <c r="L163" s="143"/>
      <c r="M163" s="143"/>
      <c r="N163" s="143"/>
      <c r="O163" s="31"/>
      <c r="P163" s="105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 s="39"/>
      <c r="BE163" s="39"/>
      <c r="BF163"/>
      <c r="BG163"/>
      <c r="BH163"/>
      <c r="BI163"/>
      <c r="BJ163"/>
      <c r="BK163"/>
    </row>
    <row r="164" spans="1:63" s="62" customFormat="1" ht="21" customHeight="1">
      <c r="A164" s="63"/>
      <c r="B164"/>
      <c r="C164"/>
      <c r="D164"/>
      <c r="E164"/>
      <c r="F164"/>
      <c r="G164"/>
      <c r="H164" s="6"/>
      <c r="I164" s="6"/>
      <c r="J164" s="6"/>
      <c r="K164" s="143"/>
      <c r="L164" s="143"/>
      <c r="M164" s="143"/>
      <c r="N164" s="143"/>
      <c r="O164" s="31"/>
      <c r="P164" s="105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 s="39"/>
      <c r="BE164" s="39"/>
      <c r="BF164"/>
      <c r="BG164"/>
      <c r="BH164"/>
      <c r="BI164"/>
      <c r="BJ164"/>
      <c r="BK164"/>
    </row>
    <row r="165" spans="1:63" s="62" customFormat="1" ht="21" customHeight="1">
      <c r="A165" s="63"/>
      <c r="B165"/>
      <c r="C165"/>
      <c r="D165"/>
      <c r="E165"/>
      <c r="F165"/>
      <c r="G165"/>
      <c r="H165" s="6"/>
      <c r="I165" s="6"/>
      <c r="J165" s="6"/>
      <c r="K165" s="143"/>
      <c r="L165" s="143"/>
      <c r="M165" s="143"/>
      <c r="N165" s="143"/>
      <c r="O165" s="31"/>
      <c r="P165" s="10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 s="39"/>
      <c r="BE165" s="39"/>
      <c r="BF165"/>
      <c r="BG165"/>
      <c r="BH165"/>
      <c r="BI165"/>
      <c r="BJ165"/>
      <c r="BK165"/>
    </row>
    <row r="166" spans="1:63" s="62" customFormat="1" ht="21" customHeight="1">
      <c r="A166" s="63"/>
      <c r="B166"/>
      <c r="C166"/>
      <c r="D166"/>
      <c r="E166"/>
      <c r="F166"/>
      <c r="G166"/>
      <c r="H166" s="6"/>
      <c r="I166" s="6"/>
      <c r="J166" s="6"/>
      <c r="K166" s="143"/>
      <c r="L166" s="143"/>
      <c r="M166" s="143"/>
      <c r="N166" s="143"/>
      <c r="O166" s="31"/>
      <c r="P166" s="105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 s="39"/>
      <c r="BE166" s="39"/>
      <c r="BF166"/>
      <c r="BG166"/>
      <c r="BH166"/>
      <c r="BI166"/>
      <c r="BJ166"/>
      <c r="BK166"/>
    </row>
    <row r="167" spans="1:63" s="62" customFormat="1" ht="21" customHeight="1">
      <c r="A167" s="63"/>
      <c r="B167"/>
      <c r="C167"/>
      <c r="D167"/>
      <c r="E167"/>
      <c r="F167"/>
      <c r="G167"/>
      <c r="H167" s="6"/>
      <c r="I167" s="6"/>
      <c r="J167" s="6"/>
      <c r="K167" s="143"/>
      <c r="L167" s="143"/>
      <c r="M167" s="143"/>
      <c r="N167" s="143"/>
      <c r="O167" s="31"/>
      <c r="P167" s="105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 s="39"/>
      <c r="BE167" s="39"/>
      <c r="BF167"/>
      <c r="BG167"/>
      <c r="BH167"/>
      <c r="BI167"/>
      <c r="BJ167"/>
      <c r="BK167"/>
    </row>
    <row r="168" spans="1:63" s="62" customFormat="1" ht="21" customHeight="1">
      <c r="A168" s="63"/>
      <c r="B168"/>
      <c r="C168"/>
      <c r="D168"/>
      <c r="E168"/>
      <c r="F168"/>
      <c r="G168"/>
      <c r="H168" s="6"/>
      <c r="I168" s="6"/>
      <c r="J168" s="6"/>
      <c r="K168" s="143"/>
      <c r="L168" s="143"/>
      <c r="M168" s="143"/>
      <c r="N168" s="143"/>
      <c r="O168" s="31"/>
      <c r="P168" s="105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 s="39"/>
      <c r="BE168" s="39"/>
      <c r="BF168"/>
      <c r="BG168"/>
      <c r="BH168"/>
      <c r="BI168"/>
      <c r="BJ168"/>
      <c r="BK168"/>
    </row>
    <row r="169" spans="1:63" s="62" customFormat="1" ht="21" customHeight="1">
      <c r="A169" s="63"/>
      <c r="B169"/>
      <c r="C169"/>
      <c r="D169"/>
      <c r="E169"/>
      <c r="F169"/>
      <c r="G169"/>
      <c r="H169" s="6"/>
      <c r="I169" s="6"/>
      <c r="J169" s="6"/>
      <c r="K169" s="143"/>
      <c r="L169" s="143"/>
      <c r="M169" s="143"/>
      <c r="N169" s="143"/>
      <c r="O169" s="31"/>
      <c r="P169" s="105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 s="39"/>
      <c r="BE169" s="39"/>
      <c r="BF169"/>
      <c r="BG169"/>
      <c r="BH169"/>
      <c r="BI169"/>
      <c r="BJ169"/>
      <c r="BK169"/>
    </row>
    <row r="170" spans="1:63" s="62" customFormat="1" ht="15">
      <c r="A170" s="63"/>
      <c r="B170"/>
      <c r="C170"/>
      <c r="D170"/>
      <c r="E170"/>
      <c r="F170"/>
      <c r="G170"/>
      <c r="H170" s="143"/>
      <c r="I170" s="105"/>
      <c r="J170" s="143"/>
      <c r="K170" s="143"/>
      <c r="L170" s="143"/>
      <c r="M170" s="143"/>
      <c r="N170" s="143"/>
      <c r="O170" s="31"/>
      <c r="P170" s="105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 s="39"/>
      <c r="BE170" s="39"/>
      <c r="BF170"/>
      <c r="BG170"/>
      <c r="BH170"/>
      <c r="BI170"/>
      <c r="BJ170"/>
      <c r="BK170"/>
    </row>
    <row r="171" spans="1:63" s="62" customFormat="1" ht="15">
      <c r="A171" s="63"/>
      <c r="B171"/>
      <c r="C171"/>
      <c r="D171"/>
      <c r="E171"/>
      <c r="F171"/>
      <c r="G171"/>
      <c r="H171" s="143"/>
      <c r="I171" s="105"/>
      <c r="J171" s="143"/>
      <c r="K171" s="143"/>
      <c r="L171" s="143"/>
      <c r="M171" s="143"/>
      <c r="N171" s="143"/>
      <c r="O171" s="31"/>
      <c r="P171" s="105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 s="39"/>
      <c r="BE171" s="39"/>
      <c r="BF171"/>
      <c r="BG171"/>
      <c r="BH171"/>
      <c r="BI171"/>
      <c r="BJ171"/>
      <c r="BK171"/>
    </row>
    <row r="172" spans="1:63" s="62" customFormat="1" ht="15">
      <c r="A172" s="63"/>
      <c r="B172"/>
      <c r="C172"/>
      <c r="D172"/>
      <c r="E172"/>
      <c r="F172"/>
      <c r="G172"/>
      <c r="H172" s="143"/>
      <c r="I172" s="105"/>
      <c r="J172" s="143"/>
      <c r="K172" s="143"/>
      <c r="L172" s="143"/>
      <c r="M172" s="143"/>
      <c r="N172" s="143"/>
      <c r="O172" s="31"/>
      <c r="P172" s="105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 s="39"/>
      <c r="BE172" s="39"/>
      <c r="BF172"/>
      <c r="BG172"/>
      <c r="BH172"/>
      <c r="BI172"/>
      <c r="BJ172"/>
      <c r="BK172"/>
    </row>
    <row r="173" spans="1:63" s="62" customFormat="1" ht="15">
      <c r="A173" s="6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 s="39"/>
      <c r="BE173" s="39"/>
      <c r="BF173"/>
      <c r="BG173"/>
      <c r="BH173"/>
      <c r="BI173"/>
      <c r="BJ173"/>
      <c r="BK173"/>
    </row>
    <row r="174" spans="1:63" s="62" customFormat="1" ht="15">
      <c r="A174" s="63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 s="39"/>
      <c r="BE174" s="39"/>
      <c r="BF174"/>
      <c r="BG174"/>
      <c r="BH174"/>
      <c r="BI174"/>
      <c r="BJ174"/>
      <c r="BK174"/>
    </row>
    <row r="175" spans="1:63" s="62" customFormat="1" ht="15">
      <c r="A175" s="63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 s="39"/>
      <c r="BE175" s="39"/>
      <c r="BF175"/>
      <c r="BG175"/>
      <c r="BH175"/>
      <c r="BI175"/>
      <c r="BJ175"/>
      <c r="BK175"/>
    </row>
    <row r="176" spans="1:63" s="62" customFormat="1" ht="15">
      <c r="A176" s="63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 s="39"/>
      <c r="BE176" s="39"/>
      <c r="BF176"/>
      <c r="BG176"/>
      <c r="BH176"/>
      <c r="BI176"/>
      <c r="BJ176"/>
      <c r="BK176"/>
    </row>
    <row r="177" spans="1:63" s="62" customFormat="1" ht="15">
      <c r="A177" s="63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 s="39"/>
      <c r="BE177" s="39"/>
      <c r="BF177"/>
      <c r="BG177"/>
      <c r="BH177"/>
      <c r="BI177"/>
      <c r="BJ177"/>
      <c r="BK177"/>
    </row>
    <row r="178" spans="1:63" s="62" customFormat="1" ht="15">
      <c r="A178" s="63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 s="39"/>
      <c r="BE178" s="39"/>
      <c r="BF178"/>
      <c r="BG178"/>
      <c r="BH178"/>
      <c r="BI178"/>
      <c r="BJ178"/>
      <c r="BK178"/>
    </row>
    <row r="179" spans="1:63" s="62" customFormat="1" ht="15">
      <c r="A179" s="63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 s="39"/>
      <c r="BE179" s="39"/>
      <c r="BF179"/>
      <c r="BG179"/>
      <c r="BH179"/>
      <c r="BI179"/>
      <c r="BJ179"/>
      <c r="BK179"/>
    </row>
    <row r="180" spans="1:63" s="62" customFormat="1" ht="15">
      <c r="A180" s="63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 s="39"/>
      <c r="BE180" s="39"/>
      <c r="BF180"/>
      <c r="BG180"/>
      <c r="BH180"/>
      <c r="BI180"/>
      <c r="BJ180"/>
      <c r="BK180"/>
    </row>
    <row r="181" spans="1:63" s="62" customFormat="1" ht="15">
      <c r="A181" s="63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 s="39"/>
      <c r="BE181" s="39"/>
      <c r="BF181"/>
      <c r="BG181"/>
      <c r="BH181"/>
      <c r="BI181"/>
      <c r="BJ181"/>
      <c r="BK181"/>
    </row>
    <row r="182" spans="1:63" s="62" customFormat="1" ht="15">
      <c r="A182" s="63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 s="39"/>
      <c r="BE182" s="39"/>
      <c r="BF182"/>
      <c r="BG182"/>
      <c r="BH182"/>
      <c r="BI182"/>
      <c r="BJ182"/>
      <c r="BK182"/>
    </row>
    <row r="183" spans="1:63" s="62" customFormat="1" ht="15">
      <c r="A183" s="6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 s="39"/>
      <c r="BE183" s="39"/>
      <c r="BF183"/>
      <c r="BG183"/>
      <c r="BH183"/>
      <c r="BI183"/>
      <c r="BJ183"/>
      <c r="BK183"/>
    </row>
    <row r="184" spans="1:63" s="62" customFormat="1" ht="15">
      <c r="A184" s="63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 s="39"/>
      <c r="BE184" s="39"/>
      <c r="BF184"/>
      <c r="BG184"/>
      <c r="BH184"/>
      <c r="BI184"/>
      <c r="BJ184"/>
      <c r="BK184"/>
    </row>
    <row r="185" spans="1:63" s="62" customFormat="1" ht="15">
      <c r="A185" s="63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 s="39"/>
      <c r="BE185" s="39"/>
      <c r="BF185"/>
      <c r="BG185"/>
      <c r="BH185"/>
      <c r="BI185"/>
      <c r="BJ185"/>
      <c r="BK185"/>
    </row>
    <row r="186" spans="1:63" s="62" customFormat="1" ht="15">
      <c r="A186" s="63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 s="39"/>
      <c r="BE186" s="39"/>
      <c r="BF186"/>
      <c r="BG186"/>
      <c r="BH186"/>
      <c r="BI186"/>
      <c r="BJ186"/>
      <c r="BK186"/>
    </row>
    <row r="187" spans="1:63" s="62" customFormat="1" ht="15">
      <c r="A187" s="63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 s="39"/>
      <c r="BE187" s="39"/>
      <c r="BF187"/>
      <c r="BG187"/>
      <c r="BH187"/>
      <c r="BI187"/>
      <c r="BJ187"/>
      <c r="BK187"/>
    </row>
    <row r="188" spans="1:63" s="62" customFormat="1" ht="15">
      <c r="A188" s="63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 s="39"/>
      <c r="BE188" s="39"/>
      <c r="BF188"/>
      <c r="BG188"/>
      <c r="BH188"/>
      <c r="BI188"/>
      <c r="BJ188"/>
      <c r="BK188"/>
    </row>
    <row r="189" spans="1:63" s="62" customFormat="1" ht="15">
      <c r="A189" s="63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 s="39"/>
      <c r="BE189" s="39"/>
      <c r="BF189"/>
      <c r="BG189"/>
      <c r="BH189"/>
      <c r="BI189"/>
      <c r="BJ189"/>
      <c r="BK189"/>
    </row>
    <row r="190" spans="1:63" s="62" customFormat="1" ht="15">
      <c r="A190" s="63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 s="39"/>
      <c r="BE190" s="39"/>
      <c r="BF190"/>
      <c r="BG190"/>
      <c r="BH190"/>
      <c r="BI190"/>
      <c r="BJ190"/>
      <c r="BK190"/>
    </row>
    <row r="191" spans="1:63" s="62" customFormat="1" ht="15">
      <c r="A191" s="63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 s="39"/>
      <c r="BE191" s="39"/>
      <c r="BF191"/>
      <c r="BG191"/>
      <c r="BH191"/>
      <c r="BI191"/>
      <c r="BJ191"/>
      <c r="BK191"/>
    </row>
    <row r="192" spans="1:63" s="62" customFormat="1" ht="15">
      <c r="A192" s="63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 s="39"/>
      <c r="BE192" s="39"/>
      <c r="BF192"/>
      <c r="BG192"/>
      <c r="BH192"/>
      <c r="BI192"/>
      <c r="BJ192"/>
      <c r="BK192"/>
    </row>
    <row r="193" spans="1:63" s="14" customFormat="1" ht="15">
      <c r="A193" s="63"/>
      <c r="E193" s="6"/>
      <c r="F193" s="6"/>
      <c r="G193" s="6"/>
      <c r="H193" s="6"/>
      <c r="J193" s="6"/>
      <c r="K193" s="143"/>
      <c r="L193" s="143"/>
      <c r="M193" s="31"/>
      <c r="N193" s="63"/>
      <c r="O193" s="31"/>
      <c r="P193" s="105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 s="39"/>
      <c r="BE193" s="39"/>
      <c r="BF193"/>
      <c r="BG193"/>
      <c r="BH193"/>
      <c r="BI193"/>
      <c r="BJ193"/>
      <c r="BK193"/>
    </row>
    <row r="194" spans="1:63" s="14" customFormat="1" ht="15.6" customHeight="1">
      <c r="A194" s="62"/>
      <c r="E194"/>
      <c r="F194"/>
      <c r="G194"/>
      <c r="H194"/>
      <c r="I194"/>
      <c r="J194"/>
      <c r="K194"/>
      <c r="L194"/>
      <c r="M194"/>
      <c r="N194"/>
      <c r="O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 s="39"/>
      <c r="BE194" s="39"/>
      <c r="BF194"/>
      <c r="BG194"/>
      <c r="BH194"/>
      <c r="BI194"/>
      <c r="BJ194"/>
      <c r="BK194"/>
    </row>
    <row r="195" spans="1:63" s="14" customFormat="1" ht="15.6" customHeight="1">
      <c r="A195" s="62"/>
      <c r="E195"/>
      <c r="F195"/>
      <c r="G195"/>
      <c r="H195"/>
      <c r="I195"/>
      <c r="J195"/>
      <c r="K195"/>
      <c r="L195"/>
      <c r="M195"/>
      <c r="N195"/>
      <c r="O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 s="39"/>
      <c r="BE195" s="39"/>
      <c r="BF195"/>
      <c r="BG195"/>
      <c r="BH195"/>
      <c r="BI195"/>
      <c r="BJ195"/>
      <c r="BK195"/>
    </row>
    <row r="196" spans="1:63" s="14" customFormat="1" ht="15.6" customHeight="1">
      <c r="A196" s="62"/>
      <c r="E196"/>
      <c r="F196"/>
      <c r="G196"/>
      <c r="H196"/>
      <c r="I196"/>
      <c r="J196"/>
      <c r="K196"/>
      <c r="L196"/>
      <c r="M196"/>
      <c r="N196"/>
      <c r="O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 s="39"/>
      <c r="BE196" s="39"/>
      <c r="BF196"/>
      <c r="BG196"/>
      <c r="BH196"/>
      <c r="BI196"/>
      <c r="BJ196"/>
      <c r="BK196"/>
    </row>
    <row r="197" spans="1:63" s="14" customFormat="1" ht="15.6" customHeight="1">
      <c r="A197" s="62"/>
      <c r="E197"/>
      <c r="F197"/>
      <c r="G197"/>
      <c r="H197"/>
      <c r="I197"/>
      <c r="J197"/>
      <c r="K197"/>
      <c r="L197"/>
      <c r="M197"/>
      <c r="N197"/>
      <c r="O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 s="39"/>
      <c r="BE197" s="39"/>
      <c r="BF197"/>
      <c r="BG197"/>
      <c r="BH197"/>
      <c r="BI197"/>
      <c r="BJ197"/>
      <c r="BK197"/>
    </row>
    <row r="198" spans="1:63" s="14" customFormat="1" ht="15.6" customHeight="1">
      <c r="A198" s="62"/>
      <c r="E198"/>
      <c r="F198"/>
      <c r="G198"/>
      <c r="H198"/>
      <c r="I198"/>
      <c r="J198"/>
      <c r="K198"/>
      <c r="L198"/>
      <c r="M198"/>
      <c r="N198"/>
      <c r="O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 s="39"/>
      <c r="BE198" s="39"/>
      <c r="BF198"/>
      <c r="BG198"/>
      <c r="BH198"/>
      <c r="BI198"/>
      <c r="BJ198"/>
      <c r="BK198"/>
    </row>
    <row r="199" spans="1:63" s="14" customFormat="1" ht="15.6" customHeight="1">
      <c r="A199" s="62"/>
      <c r="E199"/>
      <c r="F199"/>
      <c r="G199"/>
      <c r="H199"/>
      <c r="I199"/>
      <c r="J199"/>
      <c r="K199"/>
      <c r="L199"/>
      <c r="M199"/>
      <c r="N199"/>
      <c r="O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 s="39"/>
      <c r="BE199" s="39"/>
      <c r="BF199"/>
      <c r="BG199"/>
      <c r="BH199"/>
      <c r="BI199"/>
      <c r="BJ199"/>
      <c r="BK199"/>
    </row>
    <row r="200" spans="1:63" s="14" customFormat="1" ht="15.6" customHeight="1">
      <c r="A200" s="62"/>
      <c r="E200"/>
      <c r="F200"/>
      <c r="G200"/>
      <c r="H200"/>
      <c r="I200"/>
      <c r="J200"/>
      <c r="K200"/>
      <c r="L200"/>
      <c r="M200"/>
      <c r="N200"/>
      <c r="O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 s="39"/>
      <c r="BE200" s="39"/>
      <c r="BF200"/>
      <c r="BG200"/>
      <c r="BH200"/>
      <c r="BI200"/>
      <c r="BJ200"/>
      <c r="BK200"/>
    </row>
    <row r="201" spans="1:63" s="14" customFormat="1" ht="15.6" customHeight="1">
      <c r="A201" s="62"/>
      <c r="E201"/>
      <c r="F201"/>
      <c r="G201"/>
      <c r="H201"/>
      <c r="I201"/>
      <c r="J201"/>
      <c r="K201"/>
      <c r="L201"/>
      <c r="M201"/>
      <c r="N201"/>
      <c r="O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 s="39"/>
      <c r="BE201" s="39"/>
      <c r="BF201"/>
      <c r="BG201"/>
      <c r="BH201"/>
      <c r="BI201"/>
      <c r="BJ201"/>
      <c r="BK201"/>
    </row>
    <row r="202" spans="1:63" s="37" customFormat="1" ht="15.6" customHeight="1">
      <c r="E202"/>
      <c r="F202"/>
      <c r="G202"/>
      <c r="H202"/>
      <c r="I202"/>
      <c r="J202"/>
      <c r="K202"/>
      <c r="L202"/>
      <c r="M202"/>
      <c r="N202"/>
      <c r="O202"/>
    </row>
    <row r="203" spans="1:63" s="2" customFormat="1" ht="15.6" customHeight="1">
      <c r="E203"/>
      <c r="F203"/>
      <c r="G203"/>
      <c r="H203"/>
      <c r="I203"/>
      <c r="J203"/>
      <c r="K203"/>
      <c r="L203"/>
      <c r="M203"/>
      <c r="N203"/>
      <c r="O203"/>
      <c r="AB203" s="255"/>
      <c r="AC203" s="255"/>
      <c r="AD203" s="255"/>
      <c r="AE203" s="255"/>
      <c r="AF203" s="255"/>
      <c r="AG203" s="255"/>
      <c r="AH203" s="255"/>
      <c r="AI203" s="255"/>
    </row>
    <row r="204" spans="1:63" s="2" customFormat="1" ht="15.6" customHeight="1">
      <c r="E204"/>
      <c r="F204"/>
      <c r="G204"/>
      <c r="H204"/>
      <c r="I204"/>
      <c r="J204"/>
      <c r="K204"/>
      <c r="L204"/>
      <c r="M204"/>
      <c r="N204"/>
      <c r="O204"/>
      <c r="AB204" s="255"/>
      <c r="AC204" s="255"/>
      <c r="AD204" s="255"/>
      <c r="AE204" s="255"/>
      <c r="AF204" s="255"/>
      <c r="AG204" s="255"/>
      <c r="AH204" s="255"/>
      <c r="AI204" s="255"/>
    </row>
    <row r="205" spans="1:63" s="2" customFormat="1" ht="15.6" customHeight="1">
      <c r="E205"/>
      <c r="F205"/>
      <c r="G205"/>
      <c r="H205"/>
      <c r="I205"/>
      <c r="J205"/>
      <c r="K205"/>
      <c r="L205"/>
      <c r="M205"/>
      <c r="N205"/>
      <c r="O205"/>
      <c r="AB205" s="255"/>
      <c r="AC205" s="255"/>
      <c r="AD205" s="255"/>
      <c r="AE205" s="255"/>
      <c r="AF205" s="255"/>
      <c r="AG205" s="255"/>
      <c r="AH205" s="255"/>
      <c r="AI205" s="255"/>
    </row>
    <row r="206" spans="1:63" s="2" customFormat="1" ht="15.6" customHeight="1">
      <c r="E206"/>
      <c r="F206"/>
      <c r="G206"/>
      <c r="H206"/>
      <c r="I206"/>
      <c r="J206"/>
      <c r="K206"/>
      <c r="L206"/>
      <c r="M206"/>
      <c r="N206"/>
      <c r="O206"/>
      <c r="AB206" s="255"/>
      <c r="AC206" s="255"/>
      <c r="AD206" s="255"/>
      <c r="AE206" s="255"/>
      <c r="AF206" s="255"/>
      <c r="AG206" s="255"/>
      <c r="AH206" s="255"/>
      <c r="AI206" s="255"/>
    </row>
    <row r="207" spans="1:63" s="2" customFormat="1" ht="15.6" customHeight="1"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Y207" s="66"/>
      <c r="Z207" s="43"/>
      <c r="AA207"/>
      <c r="AB207" s="143"/>
      <c r="AC207" s="143"/>
      <c r="AD207" s="419"/>
      <c r="AE207" s="143"/>
      <c r="AF207" s="105"/>
      <c r="AG207" s="143"/>
      <c r="AH207" s="143"/>
      <c r="AI207" s="143"/>
      <c r="AJ207" s="6"/>
      <c r="AK207" s="6"/>
      <c r="AL207"/>
    </row>
    <row r="208" spans="1:63" s="2" customFormat="1" ht="15.6" customHeight="1"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Y208" s="66"/>
      <c r="Z208" s="43"/>
      <c r="AA208"/>
      <c r="AB208" s="143"/>
      <c r="AC208" s="143"/>
      <c r="AD208" s="419"/>
      <c r="AE208" s="143"/>
      <c r="AF208" s="105"/>
      <c r="AG208" s="143"/>
      <c r="AH208" s="143"/>
      <c r="AI208" s="143"/>
      <c r="AJ208" s="6"/>
      <c r="AK208" s="6"/>
      <c r="AL208"/>
    </row>
    <row r="209" spans="1:63" s="2" customFormat="1" ht="15.6" customHeight="1"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Y209" s="66"/>
      <c r="Z209" s="43"/>
      <c r="AA209"/>
      <c r="AB209" s="143"/>
      <c r="AC209" s="143"/>
      <c r="AD209" s="143"/>
      <c r="AE209" s="143"/>
      <c r="AF209" s="105"/>
      <c r="AG209" s="143"/>
      <c r="AH209" s="143"/>
      <c r="AI209" s="143"/>
      <c r="AJ209" s="6"/>
      <c r="AK209" s="6"/>
      <c r="AL209"/>
    </row>
    <row r="210" spans="1:63" s="2" customFormat="1" ht="15.6" customHeight="1"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Y210" s="66"/>
      <c r="Z210" s="43"/>
      <c r="AA210"/>
      <c r="AB210" s="143"/>
      <c r="AC210" s="143"/>
      <c r="AD210" s="143"/>
      <c r="AE210" s="143"/>
      <c r="AF210" s="105"/>
      <c r="AG210" s="143"/>
      <c r="AH210" s="143"/>
      <c r="AI210" s="143"/>
      <c r="AJ210" s="6"/>
      <c r="AK210" s="6"/>
      <c r="AL210"/>
    </row>
    <row r="211" spans="1:63" s="2" customFormat="1" ht="15.6" customHeight="1"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Y211" s="66"/>
      <c r="Z211" s="43"/>
      <c r="AB211" s="255"/>
      <c r="AC211" s="255"/>
      <c r="AD211" s="255"/>
      <c r="AE211" s="255"/>
      <c r="AF211" s="255"/>
      <c r="AG211" s="255"/>
      <c r="AH211" s="255"/>
      <c r="AI211" s="143"/>
      <c r="AJ211" s="6"/>
      <c r="AK211" s="6"/>
      <c r="AL211"/>
    </row>
    <row r="212" spans="1:63" s="2" customFormat="1" ht="15.6" customHeight="1"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Y212" s="66"/>
      <c r="Z212" s="43"/>
      <c r="AB212" s="255"/>
      <c r="AC212" s="255"/>
      <c r="AD212" s="255"/>
      <c r="AE212" s="255"/>
      <c r="AF212" s="255"/>
      <c r="AG212" s="255"/>
      <c r="AH212" s="255"/>
      <c r="AI212" s="143"/>
      <c r="AJ212" s="6"/>
      <c r="AK212" s="6"/>
      <c r="AL212"/>
    </row>
    <row r="213" spans="1:63" s="2" customFormat="1" ht="15.6" customHeight="1"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Y213" s="66"/>
      <c r="Z213" s="43"/>
      <c r="AB213" s="255"/>
      <c r="AC213" s="255"/>
      <c r="AD213" s="255"/>
      <c r="AE213" s="255"/>
      <c r="AF213" s="255"/>
      <c r="AG213" s="255"/>
      <c r="AH213" s="255"/>
      <c r="AI213" s="143"/>
      <c r="AJ213" s="6"/>
      <c r="AK213" s="6"/>
      <c r="AL213"/>
    </row>
    <row r="214" spans="1:63" s="2" customFormat="1" ht="15.6" customHeight="1"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Y214" s="66"/>
      <c r="Z214" s="43"/>
      <c r="AI214" s="6"/>
      <c r="AJ214" s="6"/>
      <c r="AK214" s="6"/>
      <c r="AL214"/>
    </row>
    <row r="215" spans="1:63" s="14" customFormat="1" ht="15.6" customHeight="1">
      <c r="A215" s="62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Q215"/>
      <c r="R215"/>
      <c r="S215"/>
      <c r="T215"/>
      <c r="U215"/>
      <c r="V215"/>
      <c r="W215"/>
      <c r="X215"/>
      <c r="Y215" s="66"/>
      <c r="Z215" s="43"/>
      <c r="AA215"/>
      <c r="AB215"/>
      <c r="AC215"/>
      <c r="AD215"/>
      <c r="AE215"/>
      <c r="AF215"/>
      <c r="AG215"/>
      <c r="AH215"/>
      <c r="AI215" s="6"/>
      <c r="AJ215" s="6"/>
      <c r="AK215" s="6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 s="39"/>
      <c r="BE215" s="39"/>
      <c r="BF215"/>
      <c r="BG215"/>
      <c r="BH215"/>
      <c r="BI215"/>
      <c r="BJ215"/>
      <c r="BK215"/>
    </row>
    <row r="216" spans="1:63" s="14" customFormat="1" ht="15.6" customHeight="1">
      <c r="A216" s="62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Q216"/>
      <c r="R216"/>
      <c r="S216"/>
      <c r="T216"/>
      <c r="U216"/>
      <c r="V216"/>
      <c r="W216"/>
      <c r="X216"/>
      <c r="Y216" s="66"/>
      <c r="Z216" s="43"/>
      <c r="AA216"/>
      <c r="AB216"/>
      <c r="AC216"/>
      <c r="AD216"/>
      <c r="AE216"/>
      <c r="AF216"/>
      <c r="AG216"/>
      <c r="AH216"/>
      <c r="AI216" s="6"/>
      <c r="AJ216" s="6"/>
      <c r="AK216" s="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 s="39"/>
      <c r="BE216" s="39"/>
      <c r="BF216"/>
      <c r="BG216"/>
      <c r="BH216"/>
      <c r="BI216"/>
      <c r="BJ216"/>
      <c r="BK216"/>
    </row>
    <row r="217" spans="1:63" s="14" customFormat="1" ht="15.6" customHeight="1">
      <c r="A217" s="62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Q217"/>
      <c r="R217"/>
      <c r="S217"/>
      <c r="T217"/>
      <c r="U217"/>
      <c r="V217"/>
      <c r="W217"/>
      <c r="X217"/>
      <c r="Y217" s="66"/>
      <c r="Z217" s="43"/>
      <c r="AA217"/>
      <c r="AB217"/>
      <c r="AC217"/>
      <c r="AD217"/>
      <c r="AE217"/>
      <c r="AF217"/>
      <c r="AG217"/>
      <c r="AH217"/>
      <c r="AI217" s="6"/>
      <c r="AJ217" s="6"/>
      <c r="AK217" s="6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 s="39"/>
      <c r="BE217" s="39"/>
      <c r="BF217"/>
      <c r="BG217"/>
      <c r="BH217"/>
      <c r="BI217"/>
      <c r="BJ217"/>
      <c r="BK217"/>
    </row>
    <row r="218" spans="1:63" s="14" customFormat="1" ht="15.6" customHeight="1">
      <c r="A218" s="62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Q218"/>
      <c r="R218"/>
      <c r="S218"/>
      <c r="T218"/>
      <c r="U218"/>
      <c r="V218"/>
      <c r="W218"/>
      <c r="X218"/>
      <c r="Y218" s="66"/>
      <c r="Z218" s="43"/>
      <c r="AA218"/>
      <c r="AB218"/>
      <c r="AC218"/>
      <c r="AD218"/>
      <c r="AE218"/>
      <c r="AF218"/>
      <c r="AG218"/>
      <c r="AH218"/>
      <c r="AI218" s="6"/>
      <c r="AJ218" s="6"/>
      <c r="AK218" s="6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 s="39"/>
      <c r="BE218" s="39"/>
      <c r="BF218"/>
      <c r="BG218"/>
      <c r="BH218"/>
      <c r="BI218"/>
      <c r="BJ218"/>
      <c r="BK218"/>
    </row>
    <row r="219" spans="1:63" s="14" customFormat="1" ht="15.6" customHeight="1">
      <c r="A219" s="62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Q219"/>
      <c r="R219"/>
      <c r="S219"/>
      <c r="T219"/>
      <c r="U219"/>
      <c r="V219"/>
      <c r="W219"/>
      <c r="X219"/>
      <c r="Y219" s="66"/>
      <c r="Z219" s="43"/>
      <c r="AA219"/>
      <c r="AB219"/>
      <c r="AC219"/>
      <c r="AD219"/>
      <c r="AE219"/>
      <c r="AF219"/>
      <c r="AG219"/>
      <c r="AH219"/>
      <c r="AI219" s="6"/>
      <c r="AJ219" s="6"/>
      <c r="AK219" s="6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 s="39"/>
      <c r="BE219" s="39"/>
      <c r="BF219"/>
      <c r="BG219"/>
      <c r="BH219"/>
      <c r="BI219"/>
      <c r="BJ219"/>
      <c r="BK219"/>
    </row>
    <row r="220" spans="1:63" s="14" customFormat="1" ht="15.6" customHeight="1">
      <c r="A220" s="62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Q220"/>
      <c r="R220"/>
      <c r="S220"/>
      <c r="T220"/>
      <c r="U220"/>
      <c r="V220"/>
      <c r="W220"/>
      <c r="X220"/>
      <c r="Y220" s="66"/>
      <c r="Z220" s="43"/>
      <c r="AA220"/>
      <c r="AB220"/>
      <c r="AC220"/>
      <c r="AD220"/>
      <c r="AE220"/>
      <c r="AF220"/>
      <c r="AG220"/>
      <c r="AH220"/>
      <c r="AI220" s="6"/>
      <c r="AJ220" s="6"/>
      <c r="AK220" s="6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 s="39"/>
      <c r="BE220" s="39"/>
      <c r="BF220"/>
      <c r="BG220"/>
      <c r="BH220"/>
      <c r="BI220"/>
      <c r="BJ220"/>
      <c r="BK220"/>
    </row>
    <row r="221" spans="1:63" s="14" customFormat="1" ht="15.6" customHeight="1">
      <c r="A221" s="62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Q221"/>
      <c r="R221"/>
      <c r="S221"/>
      <c r="T221"/>
      <c r="U221"/>
      <c r="V221"/>
      <c r="W221"/>
      <c r="X221"/>
      <c r="Y221" s="66"/>
      <c r="Z221" s="43"/>
      <c r="AA221"/>
      <c r="AB221"/>
      <c r="AC221"/>
      <c r="AD221"/>
      <c r="AE221"/>
      <c r="AF221"/>
      <c r="AG221"/>
      <c r="AH221"/>
      <c r="AI221" s="6"/>
      <c r="AJ221" s="6"/>
      <c r="AK221" s="6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 s="39"/>
      <c r="BE221" s="39"/>
      <c r="BF221"/>
      <c r="BG221"/>
      <c r="BH221"/>
      <c r="BI221"/>
      <c r="BJ221"/>
      <c r="BK221"/>
    </row>
    <row r="222" spans="1:63" s="14" customFormat="1" ht="15.6" customHeight="1">
      <c r="A222" s="6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Q222"/>
      <c r="R222"/>
      <c r="S222"/>
      <c r="T222"/>
      <c r="U222"/>
      <c r="V222"/>
      <c r="W222"/>
      <c r="X222"/>
      <c r="Y222" s="66"/>
      <c r="Z222" s="43"/>
      <c r="AA222"/>
      <c r="AB222"/>
      <c r="AC222"/>
      <c r="AD222"/>
      <c r="AE222"/>
      <c r="AF222"/>
      <c r="AG222"/>
      <c r="AH222"/>
      <c r="AI222" s="6"/>
      <c r="AJ222" s="6"/>
      <c r="AK222" s="6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 s="39"/>
      <c r="BE222" s="39"/>
      <c r="BF222"/>
      <c r="BG222"/>
      <c r="BH222"/>
      <c r="BI222"/>
      <c r="BJ222"/>
      <c r="BK222"/>
    </row>
    <row r="223" spans="1:63" s="14" customFormat="1" ht="15.6" customHeight="1">
      <c r="A223" s="62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Q223"/>
      <c r="R223"/>
      <c r="S223"/>
      <c r="T223"/>
      <c r="U223"/>
      <c r="V223"/>
      <c r="W223"/>
      <c r="X223"/>
      <c r="Y223" s="66"/>
      <c r="Z223" s="43"/>
      <c r="AA223"/>
      <c r="AB223"/>
      <c r="AC223"/>
      <c r="AD223"/>
      <c r="AE223"/>
      <c r="AF223"/>
      <c r="AG223"/>
      <c r="AH223"/>
      <c r="AI223" s="6"/>
      <c r="AJ223" s="6"/>
      <c r="AK223" s="6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 s="39"/>
      <c r="BE223" s="39"/>
      <c r="BF223"/>
      <c r="BG223"/>
      <c r="BH223"/>
      <c r="BI223"/>
      <c r="BJ223"/>
      <c r="BK223"/>
    </row>
    <row r="224" spans="1:63" s="14" customFormat="1" ht="15.6" customHeight="1">
      <c r="A224" s="62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Q224"/>
      <c r="R224"/>
      <c r="S224"/>
      <c r="T224"/>
      <c r="U224"/>
      <c r="V224"/>
      <c r="W224"/>
      <c r="X224"/>
      <c r="Y224" s="66"/>
      <c r="Z224" s="43"/>
      <c r="AA224"/>
      <c r="AB224"/>
      <c r="AC224"/>
      <c r="AD224"/>
      <c r="AE224"/>
      <c r="AF224"/>
      <c r="AG224"/>
      <c r="AH224"/>
      <c r="AI224" s="6"/>
      <c r="AJ224" s="6"/>
      <c r="AK224" s="6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 s="39"/>
      <c r="BE224" s="39"/>
      <c r="BF224"/>
      <c r="BG224"/>
      <c r="BH224"/>
      <c r="BI224"/>
      <c r="BJ224"/>
      <c r="BK224"/>
    </row>
    <row r="225" spans="1:63" s="14" customFormat="1" ht="15.6" customHeight="1">
      <c r="A225" s="62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Q225"/>
      <c r="R225"/>
      <c r="S225"/>
      <c r="T225"/>
      <c r="U225"/>
      <c r="V225"/>
      <c r="W225"/>
      <c r="X225"/>
      <c r="Y225" s="66"/>
      <c r="Z225" s="43"/>
      <c r="AA225"/>
      <c r="AB225"/>
      <c r="AC225"/>
      <c r="AD225"/>
      <c r="AE225"/>
      <c r="AF225"/>
      <c r="AG225"/>
      <c r="AH225"/>
      <c r="AI225" s="6"/>
      <c r="AJ225" s="6"/>
      <c r="AK225" s="6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 s="39"/>
      <c r="BE225" s="39"/>
      <c r="BF225"/>
      <c r="BG225"/>
      <c r="BH225"/>
      <c r="BI225"/>
      <c r="BJ225"/>
      <c r="BK225"/>
    </row>
    <row r="226" spans="1:63" s="14" customFormat="1" ht="15.6" customHeight="1">
      <c r="A226" s="62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Q226"/>
      <c r="R226"/>
      <c r="S226"/>
      <c r="T226"/>
      <c r="U226"/>
      <c r="V226"/>
      <c r="W226"/>
      <c r="X226"/>
      <c r="Y226" s="66"/>
      <c r="Z226" s="43"/>
      <c r="AA226"/>
      <c r="AB226"/>
      <c r="AC226"/>
      <c r="AD226"/>
      <c r="AE226"/>
      <c r="AF226"/>
      <c r="AG226"/>
      <c r="AH226"/>
      <c r="AI226" s="6"/>
      <c r="AJ226" s="6"/>
      <c r="AK226" s="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 s="39"/>
      <c r="BE226" s="39"/>
      <c r="BF226"/>
      <c r="BG226"/>
      <c r="BH226"/>
      <c r="BI226"/>
      <c r="BJ226"/>
      <c r="BK226"/>
    </row>
    <row r="227" spans="1:63" s="14" customFormat="1" ht="15.6" customHeight="1">
      <c r="A227" s="62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Q227"/>
      <c r="R227"/>
      <c r="S227"/>
      <c r="T227"/>
      <c r="U227"/>
      <c r="V227"/>
      <c r="W227"/>
      <c r="X227"/>
      <c r="Y227" s="66"/>
      <c r="Z227" s="43"/>
      <c r="AA227"/>
      <c r="AB227" s="6"/>
      <c r="AC227" s="6"/>
      <c r="AD227" s="6"/>
      <c r="AE227" s="6"/>
      <c r="AG227" s="6"/>
      <c r="AH227" s="6"/>
      <c r="AI227" s="6"/>
      <c r="AJ227" s="6"/>
      <c r="AK227" s="6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 s="39"/>
      <c r="BE227" s="39"/>
      <c r="BF227"/>
      <c r="BG227"/>
      <c r="BH227"/>
      <c r="BI227"/>
      <c r="BJ227"/>
      <c r="BK227"/>
    </row>
    <row r="228" spans="1:63" s="14" customFormat="1" ht="15.6" customHeight="1">
      <c r="A228" s="62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Q228"/>
      <c r="R228"/>
      <c r="S228"/>
      <c r="T228"/>
      <c r="U228"/>
      <c r="V228"/>
      <c r="W228"/>
      <c r="X228"/>
      <c r="Y228" s="66"/>
      <c r="Z228" s="43"/>
      <c r="AA228"/>
      <c r="AB228" s="6"/>
      <c r="AC228" s="6"/>
      <c r="AD228" s="6"/>
      <c r="AE228" s="6"/>
      <c r="AG228" s="6"/>
      <c r="AH228" s="6"/>
      <c r="AI228" s="6"/>
      <c r="AJ228" s="6"/>
      <c r="AK228" s="6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 s="39"/>
      <c r="BE228" s="39"/>
      <c r="BF228"/>
      <c r="BG228"/>
      <c r="BH228"/>
      <c r="BI228"/>
      <c r="BJ228"/>
      <c r="BK228"/>
    </row>
    <row r="229" spans="1:63" s="14" customFormat="1" ht="15.6" customHeight="1">
      <c r="A229" s="62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Q229"/>
      <c r="R229"/>
      <c r="S229"/>
      <c r="T229"/>
      <c r="U229"/>
      <c r="V229"/>
      <c r="W229"/>
      <c r="X229"/>
      <c r="Y229" s="66"/>
      <c r="Z229" s="43"/>
      <c r="AA229"/>
      <c r="AB229" s="6"/>
      <c r="AC229" s="6"/>
      <c r="AD229" s="6"/>
      <c r="AE229" s="6"/>
      <c r="AG229" s="6"/>
      <c r="AH229" s="6"/>
      <c r="AI229" s="6"/>
      <c r="AJ229" s="6"/>
      <c r="AK229" s="6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 s="39"/>
      <c r="BE229" s="39"/>
      <c r="BF229"/>
      <c r="BG229"/>
      <c r="BH229"/>
      <c r="BI229"/>
      <c r="BJ229"/>
      <c r="BK229"/>
    </row>
    <row r="230" spans="1:63" s="14" customFormat="1" ht="15.6" customHeight="1">
      <c r="A230" s="62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Q230"/>
      <c r="R230"/>
      <c r="S230"/>
      <c r="T230"/>
      <c r="U230"/>
      <c r="V230"/>
      <c r="W230"/>
      <c r="X230"/>
      <c r="Y230" s="66"/>
      <c r="Z230" s="43"/>
      <c r="AA230"/>
      <c r="AB230" s="6"/>
      <c r="AC230" s="6"/>
      <c r="AD230" s="6"/>
      <c r="AE230" s="6"/>
      <c r="AG230" s="6"/>
      <c r="AH230" s="6"/>
      <c r="AI230" s="6"/>
      <c r="AJ230" s="6"/>
      <c r="AK230" s="6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 s="39"/>
      <c r="BE230" s="39"/>
      <c r="BF230"/>
      <c r="BG230"/>
      <c r="BH230"/>
      <c r="BI230"/>
      <c r="BJ230"/>
      <c r="BK230"/>
    </row>
    <row r="231" spans="1:63" s="14" customFormat="1" ht="15.6" customHeight="1">
      <c r="A231" s="62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Q231"/>
      <c r="R231"/>
      <c r="S231"/>
      <c r="T231"/>
      <c r="U231"/>
      <c r="V231"/>
      <c r="W231"/>
      <c r="X231"/>
      <c r="Y231" s="66"/>
      <c r="Z231" s="43"/>
      <c r="AA231"/>
      <c r="AB231" s="6"/>
      <c r="AC231" s="6" t="s">
        <v>19</v>
      </c>
      <c r="AD231" s="6" t="s">
        <v>3682</v>
      </c>
      <c r="AE231" s="6"/>
      <c r="AG231" s="6"/>
      <c r="AH231" s="6"/>
      <c r="AI231" s="6"/>
      <c r="AJ231" s="6"/>
      <c r="AK231" s="6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 s="39"/>
      <c r="BE231" s="39"/>
      <c r="BF231"/>
      <c r="BG231"/>
      <c r="BH231"/>
      <c r="BI231"/>
      <c r="BJ231"/>
      <c r="BK231"/>
    </row>
    <row r="232" spans="1:63" s="14" customFormat="1" ht="15.6" customHeight="1">
      <c r="A232" s="6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Q232"/>
      <c r="R232"/>
      <c r="S232"/>
      <c r="T232"/>
      <c r="U232"/>
      <c r="V232"/>
      <c r="W232"/>
      <c r="X232"/>
      <c r="Y232" s="66"/>
      <c r="Z232" s="43"/>
      <c r="AA232"/>
      <c r="AB232" s="6"/>
      <c r="AC232" s="10" t="s">
        <v>3683</v>
      </c>
      <c r="AD232" s="356">
        <v>6.25E-2</v>
      </c>
      <c r="AE232" s="6"/>
      <c r="AG232" s="6"/>
      <c r="AH232" s="6"/>
      <c r="AI232" s="6"/>
      <c r="AJ232" s="6"/>
      <c r="AK232" s="6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 s="39"/>
      <c r="BE232" s="39"/>
      <c r="BF232"/>
      <c r="BG232"/>
      <c r="BH232"/>
      <c r="BI232"/>
      <c r="BJ232"/>
      <c r="BK232"/>
    </row>
    <row r="233" spans="1:63" s="14" customFormat="1" ht="15.6" customHeight="1">
      <c r="A233" s="62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Q233"/>
      <c r="R233"/>
      <c r="S233"/>
      <c r="T233"/>
      <c r="U233"/>
      <c r="V233"/>
      <c r="W233"/>
      <c r="X233"/>
      <c r="Y233" s="66"/>
      <c r="Z233" s="43"/>
      <c r="AA233"/>
      <c r="AB233" s="6"/>
      <c r="AC233" s="16" t="s">
        <v>3684</v>
      </c>
      <c r="AD233" s="357">
        <v>0.125</v>
      </c>
      <c r="AE233" s="6"/>
      <c r="AG233" s="6"/>
      <c r="AH233" s="6"/>
      <c r="AI233" s="6"/>
      <c r="AJ233" s="6"/>
      <c r="AK233" s="6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 s="39"/>
      <c r="BE233" s="39"/>
      <c r="BF233"/>
      <c r="BG233"/>
      <c r="BH233"/>
      <c r="BI233"/>
      <c r="BJ233"/>
      <c r="BK233"/>
    </row>
    <row r="234" spans="1:63" s="14" customFormat="1" ht="15.6" customHeight="1">
      <c r="A234" s="62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Q234"/>
      <c r="R234"/>
      <c r="S234"/>
      <c r="T234"/>
      <c r="U234"/>
      <c r="V234"/>
      <c r="W234"/>
      <c r="X234"/>
      <c r="Y234" s="66"/>
      <c r="Z234" s="43"/>
      <c r="AA234"/>
      <c r="AB234" s="6"/>
      <c r="AC234" s="16" t="s">
        <v>3685</v>
      </c>
      <c r="AD234" s="358">
        <v>1.25</v>
      </c>
      <c r="AE234" s="6"/>
      <c r="AG234" s="6"/>
      <c r="AH234" s="6"/>
      <c r="AI234" s="6"/>
      <c r="AJ234" s="6"/>
      <c r="AK234" s="6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 s="39"/>
      <c r="BE234" s="39"/>
      <c r="BF234"/>
      <c r="BG234"/>
      <c r="BH234"/>
      <c r="BI234"/>
      <c r="BJ234"/>
      <c r="BK234"/>
    </row>
    <row r="235" spans="1:63" s="14" customFormat="1" ht="15.6" customHeight="1">
      <c r="A235" s="62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Q235"/>
      <c r="R235"/>
      <c r="S235"/>
      <c r="T235"/>
      <c r="U235"/>
      <c r="V235"/>
      <c r="W235"/>
      <c r="X235"/>
      <c r="Y235" s="66"/>
      <c r="Z235" s="43"/>
      <c r="AA235"/>
      <c r="AB235" s="6"/>
      <c r="AC235" s="16" t="s">
        <v>3686</v>
      </c>
      <c r="AD235" s="357">
        <v>0</v>
      </c>
      <c r="AE235" s="6"/>
      <c r="AG235" s="6"/>
      <c r="AH235" s="6"/>
      <c r="AI235" s="6"/>
      <c r="AJ235" s="6"/>
      <c r="AK235" s="6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 s="39"/>
      <c r="BE235" s="39"/>
      <c r="BF235"/>
      <c r="BG235"/>
      <c r="BH235"/>
      <c r="BI235"/>
      <c r="BJ235"/>
      <c r="BK235"/>
    </row>
    <row r="236" spans="1:63" s="14" customFormat="1" ht="15.6" customHeight="1">
      <c r="A236" s="62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Q236"/>
      <c r="R236"/>
      <c r="S236"/>
      <c r="T236"/>
      <c r="U236"/>
      <c r="V236"/>
      <c r="W236"/>
      <c r="X236"/>
      <c r="Y236" s="66"/>
      <c r="Z236" s="43"/>
      <c r="AA236"/>
      <c r="AB236" s="6"/>
      <c r="AC236" s="6"/>
      <c r="AD236" s="6"/>
      <c r="AE236" s="6"/>
      <c r="AG236" s="6"/>
      <c r="AH236" s="6"/>
      <c r="AI236" s="6"/>
      <c r="AJ236" s="6"/>
      <c r="AK236" s="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 s="39"/>
      <c r="BE236" s="39"/>
      <c r="BF236"/>
      <c r="BG236"/>
      <c r="BH236"/>
      <c r="BI236"/>
      <c r="BJ236"/>
      <c r="BK236"/>
    </row>
    <row r="237" spans="1:63" s="14" customFormat="1" ht="15.6" customHeight="1">
      <c r="A237" s="62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Q237"/>
      <c r="R237"/>
      <c r="S237"/>
      <c r="T237"/>
      <c r="U237"/>
      <c r="V237"/>
      <c r="W237"/>
      <c r="X237"/>
      <c r="Y237" s="66"/>
      <c r="Z237" s="43"/>
      <c r="AA237"/>
      <c r="AB237" s="6"/>
      <c r="AC237" s="6"/>
      <c r="AD237" s="6"/>
      <c r="AE237" s="6"/>
      <c r="AG237" s="6"/>
      <c r="AH237" s="6"/>
      <c r="AI237" s="6"/>
      <c r="AJ237" s="6"/>
      <c r="AK237" s="6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 s="39"/>
      <c r="BE237" s="39"/>
      <c r="BF237"/>
      <c r="BG237"/>
      <c r="BH237"/>
      <c r="BI237"/>
      <c r="BJ237"/>
      <c r="BK237"/>
    </row>
    <row r="238" spans="1:63" s="14" customFormat="1" ht="15.6" customHeight="1">
      <c r="A238" s="62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Q238"/>
      <c r="R238"/>
      <c r="S238"/>
      <c r="T238"/>
      <c r="U238"/>
      <c r="V238"/>
      <c r="W238"/>
      <c r="X238"/>
      <c r="Y238" s="66"/>
      <c r="Z238" s="43"/>
      <c r="AA238"/>
      <c r="AB238" s="6"/>
      <c r="AC238" s="6"/>
      <c r="AD238" s="6"/>
      <c r="AE238" s="6"/>
      <c r="AG238" s="6"/>
      <c r="AH238" s="6"/>
      <c r="AI238" s="6"/>
      <c r="AJ238" s="6"/>
      <c r="AK238" s="6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 s="39"/>
      <c r="BE238" s="39"/>
      <c r="BF238"/>
      <c r="BG238"/>
      <c r="BH238"/>
      <c r="BI238"/>
      <c r="BJ238"/>
      <c r="BK238"/>
    </row>
    <row r="239" spans="1:63" s="14" customFormat="1" ht="15.6" customHeight="1">
      <c r="A239" s="62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Q239"/>
      <c r="R239"/>
      <c r="S239"/>
      <c r="T239"/>
      <c r="U239"/>
      <c r="V239"/>
      <c r="W239"/>
      <c r="X239"/>
      <c r="Y239" s="66"/>
      <c r="Z239" s="43"/>
      <c r="AA239"/>
      <c r="AB239" s="6"/>
      <c r="AC239" s="6"/>
      <c r="AD239" s="6"/>
      <c r="AE239" s="6"/>
      <c r="AG239" s="6"/>
      <c r="AH239" s="6"/>
      <c r="AI239" s="6"/>
      <c r="AJ239" s="6"/>
      <c r="AK239" s="6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 s="39"/>
      <c r="BE239" s="39"/>
      <c r="BF239"/>
      <c r="BG239"/>
      <c r="BH239"/>
      <c r="BI239"/>
      <c r="BJ239"/>
      <c r="BK239"/>
    </row>
    <row r="240" spans="1:63" s="14" customFormat="1" ht="15.6" customHeight="1">
      <c r="A240" s="62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 s="39"/>
      <c r="BE240" s="39"/>
      <c r="BF240"/>
      <c r="BG240"/>
      <c r="BH240"/>
      <c r="BI240"/>
      <c r="BJ240"/>
      <c r="BK240"/>
    </row>
    <row r="241" spans="1:63" s="14" customFormat="1" ht="15.6" customHeight="1">
      <c r="A241" s="62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 s="39"/>
      <c r="BE241" s="39"/>
      <c r="BF241"/>
      <c r="BG241"/>
      <c r="BH241"/>
      <c r="BI241"/>
      <c r="BJ241"/>
      <c r="BK241"/>
    </row>
    <row r="242" spans="1:63" s="14" customFormat="1" ht="15.6" customHeight="1">
      <c r="A242" s="6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 s="39"/>
      <c r="BE242" s="39"/>
      <c r="BF242"/>
      <c r="BG242"/>
      <c r="BH242"/>
      <c r="BI242"/>
      <c r="BJ242"/>
      <c r="BK242"/>
    </row>
    <row r="243" spans="1:63" s="14" customFormat="1" ht="15.6" customHeight="1">
      <c r="A243" s="62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 s="39"/>
      <c r="BE243" s="39"/>
      <c r="BF243"/>
      <c r="BG243"/>
      <c r="BH243"/>
      <c r="BI243"/>
      <c r="BJ243"/>
      <c r="BK243"/>
    </row>
    <row r="244" spans="1:63" s="14" customFormat="1" ht="15.6" customHeight="1">
      <c r="A244" s="62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 s="39"/>
      <c r="BE244" s="39"/>
      <c r="BF244"/>
      <c r="BG244"/>
      <c r="BH244"/>
      <c r="BI244"/>
      <c r="BJ244"/>
      <c r="BK244"/>
    </row>
    <row r="245" spans="1:63" s="14" customFormat="1" ht="15.6" customHeight="1">
      <c r="A245" s="62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 s="39"/>
      <c r="BE245" s="39"/>
      <c r="BF245"/>
      <c r="BG245"/>
      <c r="BH245"/>
      <c r="BI245"/>
      <c r="BJ245"/>
      <c r="BK245"/>
    </row>
    <row r="246" spans="1:63" s="14" customFormat="1" ht="15.6" customHeight="1">
      <c r="A246" s="62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 s="39"/>
      <c r="BE246" s="39"/>
      <c r="BF246"/>
      <c r="BG246"/>
      <c r="BH246"/>
      <c r="BI246"/>
      <c r="BJ246"/>
      <c r="BK246"/>
    </row>
    <row r="247" spans="1:63" s="14" customFormat="1" ht="15.6" customHeight="1">
      <c r="A247" s="62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 s="39"/>
      <c r="BE247" s="39"/>
      <c r="BF247"/>
      <c r="BG247"/>
      <c r="BH247"/>
      <c r="BI247"/>
      <c r="BJ247"/>
      <c r="BK247"/>
    </row>
    <row r="248" spans="1:63" s="14" customFormat="1" ht="15.6" customHeight="1">
      <c r="A248" s="62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 s="39"/>
      <c r="BE248" s="39"/>
      <c r="BF248"/>
      <c r="BG248"/>
      <c r="BH248"/>
      <c r="BI248"/>
      <c r="BJ248"/>
      <c r="BK248"/>
    </row>
    <row r="249" spans="1:63" s="14" customFormat="1" ht="15.6" customHeight="1">
      <c r="A249" s="62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 s="39"/>
      <c r="BE249" s="39"/>
      <c r="BF249"/>
      <c r="BG249"/>
      <c r="BH249"/>
      <c r="BI249"/>
      <c r="BJ249"/>
      <c r="BK249"/>
    </row>
    <row r="250" spans="1:63" s="14" customFormat="1" ht="15.6" customHeight="1">
      <c r="A250" s="62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 s="39"/>
      <c r="BE250" s="39"/>
      <c r="BF250"/>
      <c r="BG250"/>
      <c r="BH250"/>
      <c r="BI250"/>
      <c r="BJ250"/>
      <c r="BK250"/>
    </row>
    <row r="251" spans="1:63" s="14" customFormat="1" ht="15.6" customHeight="1">
      <c r="A251" s="62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 s="39"/>
      <c r="BE251" s="39"/>
      <c r="BF251"/>
      <c r="BG251"/>
      <c r="BH251"/>
      <c r="BI251"/>
      <c r="BJ251"/>
      <c r="BK251"/>
    </row>
    <row r="252" spans="1:63" s="14" customFormat="1" ht="15.6" customHeight="1">
      <c r="A252" s="6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 s="39"/>
      <c r="BE252" s="39"/>
      <c r="BF252"/>
      <c r="BG252"/>
      <c r="BH252"/>
      <c r="BI252"/>
      <c r="BJ252"/>
      <c r="BK252"/>
    </row>
    <row r="253" spans="1:63" s="14" customFormat="1" ht="15.6" customHeight="1">
      <c r="A253" s="62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 s="39"/>
      <c r="BE253" s="39"/>
      <c r="BF253"/>
      <c r="BG253"/>
      <c r="BH253"/>
      <c r="BI253"/>
      <c r="BJ253"/>
      <c r="BK253"/>
    </row>
    <row r="254" spans="1:63" s="14" customFormat="1" ht="15.6" customHeight="1">
      <c r="A254" s="62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 s="39"/>
      <c r="BE254" s="39"/>
      <c r="BF254"/>
      <c r="BG254"/>
      <c r="BH254"/>
      <c r="BI254"/>
      <c r="BJ254"/>
      <c r="BK254"/>
    </row>
    <row r="255" spans="1:63" s="14" customFormat="1" ht="15.6" customHeight="1">
      <c r="A255" s="62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 s="39"/>
      <c r="BE255" s="39"/>
      <c r="BF255"/>
      <c r="BG255"/>
      <c r="BH255"/>
      <c r="BI255"/>
      <c r="BJ255"/>
      <c r="BK255"/>
    </row>
    <row r="256" spans="1:63" s="14" customFormat="1" ht="15.6" customHeight="1">
      <c r="A256" s="62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 s="39"/>
      <c r="BE256" s="39"/>
      <c r="BF256"/>
      <c r="BG256"/>
      <c r="BH256"/>
      <c r="BI256"/>
      <c r="BJ256"/>
      <c r="BK256"/>
    </row>
    <row r="257" spans="1:63" s="14" customFormat="1" ht="15.6" customHeight="1">
      <c r="A257" s="62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 s="39"/>
      <c r="BE257" s="39"/>
      <c r="BF257"/>
      <c r="BG257"/>
      <c r="BH257"/>
      <c r="BI257"/>
      <c r="BJ257"/>
      <c r="BK257"/>
    </row>
    <row r="258" spans="1:63" s="14" customFormat="1" ht="15.6" customHeight="1">
      <c r="A258" s="62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 s="39"/>
      <c r="BE258" s="39"/>
      <c r="BF258"/>
      <c r="BG258"/>
      <c r="BH258"/>
      <c r="BI258"/>
      <c r="BJ258"/>
      <c r="BK258"/>
    </row>
    <row r="259" spans="1:63" s="14" customFormat="1" ht="15.6" customHeight="1">
      <c r="A259" s="62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 s="39"/>
      <c r="BE259" s="39"/>
      <c r="BF259"/>
      <c r="BG259"/>
      <c r="BH259"/>
      <c r="BI259"/>
      <c r="BJ259"/>
      <c r="BK259"/>
    </row>
    <row r="260" spans="1:63" s="14" customFormat="1" ht="15.6" customHeight="1">
      <c r="A260" s="62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 s="39"/>
      <c r="BE260" s="39"/>
      <c r="BF260"/>
      <c r="BG260"/>
      <c r="BH260"/>
      <c r="BI260"/>
      <c r="BJ260"/>
      <c r="BK260"/>
    </row>
    <row r="261" spans="1:63" s="14" customFormat="1" ht="15.6" customHeight="1">
      <c r="A261" s="62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 s="39"/>
      <c r="BE261" s="39"/>
      <c r="BF261"/>
      <c r="BG261"/>
      <c r="BH261"/>
      <c r="BI261"/>
      <c r="BJ261"/>
      <c r="BK261"/>
    </row>
    <row r="262" spans="1:63" s="14" customFormat="1" ht="15.6" customHeight="1">
      <c r="A262" s="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 s="39"/>
      <c r="BE262" s="39"/>
      <c r="BF262"/>
      <c r="BG262"/>
      <c r="BH262"/>
      <c r="BI262"/>
      <c r="BJ262"/>
      <c r="BK262"/>
    </row>
    <row r="263" spans="1:63" s="14" customFormat="1" ht="15.6" customHeight="1">
      <c r="A263" s="62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 s="39"/>
      <c r="BE263" s="39"/>
      <c r="BF263"/>
      <c r="BG263"/>
      <c r="BH263"/>
      <c r="BI263"/>
      <c r="BJ263"/>
      <c r="BK263"/>
    </row>
    <row r="264" spans="1:63" s="14" customFormat="1" ht="15.6" customHeight="1">
      <c r="A264" s="62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 s="39"/>
      <c r="BE264" s="39"/>
      <c r="BF264"/>
      <c r="BG264"/>
      <c r="BH264"/>
      <c r="BI264"/>
      <c r="BJ264"/>
      <c r="BK264"/>
    </row>
    <row r="265" spans="1:63" s="14" customFormat="1" ht="15.6" customHeight="1">
      <c r="A265" s="62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 s="39"/>
      <c r="BE265" s="39"/>
      <c r="BF265"/>
      <c r="BG265"/>
      <c r="BH265"/>
      <c r="BI265"/>
      <c r="BJ265"/>
      <c r="BK265"/>
    </row>
    <row r="266" spans="1:63" s="14" customFormat="1" ht="15.6" customHeight="1">
      <c r="A266" s="62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 s="39"/>
      <c r="BE266" s="39"/>
      <c r="BF266"/>
      <c r="BG266"/>
      <c r="BH266"/>
      <c r="BI266"/>
      <c r="BJ266"/>
      <c r="BK266"/>
    </row>
    <row r="267" spans="1:63" s="14" customFormat="1" ht="15.6" customHeight="1">
      <c r="A267" s="62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 s="39"/>
      <c r="BE267" s="39"/>
      <c r="BF267"/>
      <c r="BG267"/>
      <c r="BH267"/>
      <c r="BI267"/>
      <c r="BJ267"/>
      <c r="BK267"/>
    </row>
    <row r="268" spans="1:63" s="14" customFormat="1" ht="15.6" customHeight="1">
      <c r="A268" s="62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 s="39"/>
      <c r="BE268" s="39"/>
      <c r="BF268"/>
      <c r="BG268"/>
      <c r="BH268"/>
      <c r="BI268"/>
      <c r="BJ268"/>
      <c r="BK268"/>
    </row>
    <row r="269" spans="1:63" s="14" customFormat="1" ht="15.6" customHeight="1">
      <c r="A269" s="62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 s="39"/>
      <c r="BE269" s="39"/>
      <c r="BF269"/>
      <c r="BG269"/>
      <c r="BH269"/>
      <c r="BI269"/>
      <c r="BJ269"/>
      <c r="BK269"/>
    </row>
    <row r="270" spans="1:63" s="14" customFormat="1" ht="15.6" customHeight="1">
      <c r="A270" s="62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 s="39"/>
      <c r="BE270" s="39"/>
      <c r="BF270"/>
      <c r="BG270"/>
      <c r="BH270"/>
      <c r="BI270"/>
      <c r="BJ270"/>
      <c r="BK270"/>
    </row>
    <row r="271" spans="1:63" s="14" customFormat="1" ht="15.6" customHeight="1">
      <c r="A271" s="62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 s="39"/>
      <c r="BE271" s="39"/>
      <c r="BF271"/>
      <c r="BG271"/>
      <c r="BH271"/>
      <c r="BI271"/>
      <c r="BJ271"/>
      <c r="BK271"/>
    </row>
    <row r="272" spans="1:63" s="14" customFormat="1" ht="15.6" customHeight="1">
      <c r="A272" s="6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 s="39"/>
      <c r="BE272" s="39"/>
      <c r="BF272"/>
      <c r="BG272"/>
      <c r="BH272"/>
      <c r="BI272"/>
      <c r="BJ272"/>
      <c r="BK272"/>
    </row>
    <row r="273" spans="1:63" s="14" customFormat="1" ht="15.6" customHeight="1">
      <c r="A273" s="62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 s="39"/>
      <c r="BE273" s="39"/>
      <c r="BF273"/>
      <c r="BG273"/>
      <c r="BH273"/>
      <c r="BI273"/>
      <c r="BJ273"/>
      <c r="BK273"/>
    </row>
    <row r="274" spans="1:63" s="14" customFormat="1" ht="15.6" customHeight="1">
      <c r="A274" s="62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 s="39"/>
      <c r="BE274" s="39"/>
      <c r="BF274"/>
      <c r="BG274"/>
      <c r="BH274"/>
      <c r="BI274"/>
      <c r="BJ274"/>
      <c r="BK274"/>
    </row>
    <row r="275" spans="1:63" s="14" customFormat="1" ht="15.6" customHeight="1">
      <c r="A275" s="62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 s="39"/>
      <c r="BE275" s="39"/>
      <c r="BF275"/>
      <c r="BG275"/>
      <c r="BH275"/>
      <c r="BI275"/>
      <c r="BJ275"/>
      <c r="BK275"/>
    </row>
    <row r="276" spans="1:63" s="14" customFormat="1" ht="15.6" customHeight="1">
      <c r="A276" s="62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 s="39"/>
      <c r="BE276" s="39"/>
      <c r="BF276"/>
      <c r="BG276"/>
      <c r="BH276"/>
      <c r="BI276"/>
      <c r="BJ276"/>
      <c r="BK276"/>
    </row>
    <row r="277" spans="1:63" s="14" customFormat="1" ht="15.6" customHeight="1">
      <c r="A277" s="62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 s="39"/>
      <c r="BE277" s="39"/>
      <c r="BF277"/>
      <c r="BG277"/>
      <c r="BH277"/>
      <c r="BI277"/>
      <c r="BJ277"/>
      <c r="BK277"/>
    </row>
    <row r="278" spans="1:63" s="14" customFormat="1" ht="15.6" customHeight="1">
      <c r="A278" s="62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 s="39"/>
      <c r="BE278" s="39"/>
      <c r="BF278"/>
      <c r="BG278"/>
      <c r="BH278"/>
      <c r="BI278"/>
      <c r="BJ278"/>
      <c r="BK278"/>
    </row>
    <row r="279" spans="1:63" s="14" customFormat="1" ht="15.6" customHeight="1">
      <c r="A279" s="62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 s="39"/>
      <c r="BE279" s="39"/>
      <c r="BF279"/>
      <c r="BG279"/>
      <c r="BH279"/>
      <c r="BI279"/>
      <c r="BJ279"/>
      <c r="BK279"/>
    </row>
    <row r="280" spans="1:63" s="14" customFormat="1" ht="15.6" customHeight="1">
      <c r="A280" s="62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 s="39"/>
      <c r="BE280" s="39"/>
      <c r="BF280"/>
      <c r="BG280"/>
      <c r="BH280"/>
      <c r="BI280"/>
      <c r="BJ280"/>
      <c r="BK280"/>
    </row>
    <row r="281" spans="1:63" s="14" customFormat="1" ht="15.6" customHeight="1">
      <c r="A281" s="62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 s="39"/>
      <c r="BE281" s="39"/>
      <c r="BF281"/>
      <c r="BG281"/>
      <c r="BH281"/>
      <c r="BI281"/>
      <c r="BJ281"/>
      <c r="BK281"/>
    </row>
    <row r="282" spans="1:63" s="14" customFormat="1" ht="15.6" customHeight="1">
      <c r="A282" s="6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 s="39"/>
      <c r="BE282" s="39"/>
      <c r="BF282"/>
      <c r="BG282"/>
      <c r="BH282"/>
      <c r="BI282"/>
      <c r="BJ282"/>
      <c r="BK282"/>
    </row>
    <row r="283" spans="1:63" s="14" customFormat="1" ht="15.6" customHeight="1">
      <c r="A283" s="62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 s="39"/>
      <c r="BE283" s="39"/>
      <c r="BF283"/>
      <c r="BG283"/>
      <c r="BH283"/>
      <c r="BI283"/>
      <c r="BJ283"/>
      <c r="BK283"/>
    </row>
    <row r="284" spans="1:63" s="14" customFormat="1" ht="15.6" customHeight="1">
      <c r="A284" s="62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 s="39"/>
      <c r="BE284" s="39"/>
      <c r="BF284"/>
      <c r="BG284"/>
      <c r="BH284"/>
      <c r="BI284"/>
      <c r="BJ284"/>
      <c r="BK284"/>
    </row>
    <row r="285" spans="1:63" s="14" customFormat="1" ht="15.6" customHeight="1">
      <c r="A285" s="62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 s="39"/>
      <c r="BE285" s="39"/>
      <c r="BF285"/>
      <c r="BG285"/>
      <c r="BH285"/>
      <c r="BI285"/>
      <c r="BJ285"/>
      <c r="BK285"/>
    </row>
    <row r="286" spans="1:63" s="14" customFormat="1" ht="15.6" customHeight="1">
      <c r="A286" s="62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 s="39"/>
      <c r="BE286" s="39"/>
      <c r="BF286"/>
      <c r="BG286"/>
      <c r="BH286"/>
      <c r="BI286"/>
      <c r="BJ286"/>
      <c r="BK286"/>
    </row>
    <row r="287" spans="1:63" s="14" customFormat="1" ht="15.6" customHeight="1">
      <c r="A287" s="62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 s="39"/>
      <c r="BE287" s="39"/>
      <c r="BF287"/>
      <c r="BG287"/>
      <c r="BH287"/>
      <c r="BI287"/>
      <c r="BJ287"/>
      <c r="BK287"/>
    </row>
    <row r="288" spans="1:63" s="14" customFormat="1" ht="15.6" customHeight="1">
      <c r="A288" s="62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 s="39"/>
      <c r="BE288" s="39"/>
      <c r="BF288"/>
      <c r="BG288"/>
      <c r="BH288"/>
      <c r="BI288"/>
      <c r="BJ288"/>
      <c r="BK288"/>
    </row>
    <row r="289" spans="1:63" s="14" customFormat="1" ht="15.6" customHeight="1">
      <c r="A289" s="62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 s="39"/>
      <c r="BE289" s="39"/>
      <c r="BF289"/>
      <c r="BG289"/>
      <c r="BH289"/>
      <c r="BI289"/>
      <c r="BJ289"/>
      <c r="BK289"/>
    </row>
    <row r="290" spans="1:63" s="14" customFormat="1" ht="15.6" customHeight="1">
      <c r="A290" s="62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 s="39"/>
      <c r="BE290" s="39"/>
      <c r="BF290"/>
      <c r="BG290"/>
      <c r="BH290"/>
      <c r="BI290"/>
      <c r="BJ290"/>
      <c r="BK290"/>
    </row>
    <row r="291" spans="1:63" s="14" customFormat="1" ht="15.6" customHeight="1">
      <c r="A291" s="62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 s="39"/>
      <c r="BE291" s="39"/>
      <c r="BF291"/>
      <c r="BG291"/>
      <c r="BH291"/>
      <c r="BI291"/>
      <c r="BJ291"/>
      <c r="BK291"/>
    </row>
    <row r="292" spans="1:63" s="14" customFormat="1" ht="15.6" customHeight="1">
      <c r="A292" s="6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 s="39"/>
      <c r="BE292" s="39"/>
      <c r="BF292"/>
      <c r="BG292"/>
      <c r="BH292"/>
      <c r="BI292"/>
      <c r="BJ292"/>
      <c r="BK292"/>
    </row>
    <row r="293" spans="1:63" s="14" customFormat="1" ht="15.6" customHeight="1">
      <c r="A293" s="62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 s="39"/>
      <c r="BE293" s="39"/>
      <c r="BF293"/>
      <c r="BG293"/>
      <c r="BH293"/>
      <c r="BI293"/>
      <c r="BJ293"/>
      <c r="BK293"/>
    </row>
    <row r="294" spans="1:63" s="14" customFormat="1" ht="15.6" customHeight="1">
      <c r="A294" s="62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 s="39"/>
      <c r="BE294" s="39"/>
      <c r="BF294"/>
      <c r="BG294"/>
      <c r="BH294"/>
      <c r="BI294"/>
      <c r="BJ294"/>
      <c r="BK294"/>
    </row>
    <row r="295" spans="1:63" s="14" customFormat="1" ht="15.6" customHeight="1">
      <c r="A295" s="62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 s="39"/>
      <c r="BE295" s="39"/>
      <c r="BF295"/>
      <c r="BG295"/>
      <c r="BH295"/>
      <c r="BI295"/>
      <c r="BJ295"/>
      <c r="BK295"/>
    </row>
    <row r="296" spans="1:63" s="14" customFormat="1" ht="15.6" customHeight="1">
      <c r="A296" s="62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 s="39"/>
      <c r="BE296" s="39"/>
      <c r="BF296"/>
      <c r="BG296"/>
      <c r="BH296"/>
      <c r="BI296"/>
      <c r="BJ296"/>
      <c r="BK296"/>
    </row>
    <row r="297" spans="1:63" s="14" customFormat="1" ht="15.6" customHeight="1">
      <c r="A297" s="62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 s="39"/>
      <c r="BE297" s="39"/>
      <c r="BF297"/>
      <c r="BG297"/>
      <c r="BH297"/>
      <c r="BI297"/>
      <c r="BJ297"/>
      <c r="BK297"/>
    </row>
    <row r="298" spans="1:63" s="14" customFormat="1" ht="15.6" customHeight="1">
      <c r="A298" s="62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 s="39"/>
      <c r="BE298" s="39"/>
      <c r="BF298"/>
      <c r="BG298"/>
      <c r="BH298"/>
      <c r="BI298"/>
      <c r="BJ298"/>
      <c r="BK298"/>
    </row>
    <row r="299" spans="1:63" s="14" customFormat="1" ht="15.6" customHeight="1">
      <c r="A299" s="62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 s="39"/>
      <c r="BE299" s="39"/>
      <c r="BF299"/>
      <c r="BG299"/>
      <c r="BH299"/>
      <c r="BI299"/>
      <c r="BJ299"/>
      <c r="BK299"/>
    </row>
    <row r="300" spans="1:63" s="14" customFormat="1" ht="15.6" customHeight="1">
      <c r="A300" s="62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 s="39"/>
      <c r="BE300" s="39"/>
      <c r="BF300"/>
      <c r="BG300"/>
      <c r="BH300"/>
      <c r="BI300"/>
      <c r="BJ300"/>
      <c r="BK300"/>
    </row>
    <row r="301" spans="1:63" s="14" customFormat="1" ht="15.6" customHeight="1">
      <c r="A301" s="62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 s="39"/>
      <c r="BE301" s="39"/>
      <c r="BF301"/>
      <c r="BG301"/>
      <c r="BH301"/>
      <c r="BI301"/>
      <c r="BJ301"/>
      <c r="BK301"/>
    </row>
    <row r="302" spans="1:63" s="14" customFormat="1" ht="15.6" customHeight="1">
      <c r="A302" s="6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 s="39"/>
      <c r="BE302" s="39"/>
      <c r="BF302"/>
      <c r="BG302"/>
      <c r="BH302"/>
      <c r="BI302"/>
      <c r="BJ302"/>
      <c r="BK302"/>
    </row>
    <row r="303" spans="1:63" s="14" customFormat="1" ht="15.6" customHeight="1">
      <c r="A303" s="62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 s="39"/>
      <c r="BE303" s="39"/>
      <c r="BF303"/>
      <c r="BG303"/>
      <c r="BH303"/>
      <c r="BI303"/>
      <c r="BJ303"/>
      <c r="BK303"/>
    </row>
    <row r="304" spans="1:63" s="14" customFormat="1" ht="15.6" customHeight="1">
      <c r="A304" s="62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 s="39"/>
      <c r="BE304" s="39"/>
      <c r="BF304"/>
      <c r="BG304"/>
      <c r="BH304"/>
      <c r="BI304"/>
      <c r="BJ304"/>
      <c r="BK304"/>
    </row>
    <row r="305" spans="1:63" s="14" customFormat="1" ht="15.6" customHeight="1">
      <c r="A305" s="62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 s="39"/>
      <c r="BE305" s="39"/>
      <c r="BF305"/>
      <c r="BG305"/>
      <c r="BH305"/>
      <c r="BI305"/>
      <c r="BJ305"/>
      <c r="BK305"/>
    </row>
    <row r="306" spans="1:63" s="14" customFormat="1" ht="15.6" customHeight="1">
      <c r="A306" s="62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 s="39"/>
      <c r="BE306" s="39"/>
      <c r="BF306"/>
      <c r="BG306"/>
      <c r="BH306"/>
      <c r="BI306"/>
      <c r="BJ306"/>
      <c r="BK306"/>
    </row>
    <row r="307" spans="1:63" s="14" customFormat="1" ht="15.6" customHeight="1">
      <c r="A307" s="62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 s="39"/>
      <c r="BE307" s="39"/>
      <c r="BF307"/>
      <c r="BG307"/>
      <c r="BH307"/>
      <c r="BI307"/>
      <c r="BJ307"/>
      <c r="BK307"/>
    </row>
    <row r="308" spans="1:63" s="14" customFormat="1" ht="15.6" customHeight="1">
      <c r="A308" s="62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 s="39"/>
      <c r="BE308" s="39"/>
      <c r="BF308"/>
      <c r="BG308"/>
      <c r="BH308"/>
      <c r="BI308"/>
      <c r="BJ308"/>
      <c r="BK308"/>
    </row>
    <row r="309" spans="1:63" s="14" customFormat="1" ht="15.6" customHeight="1">
      <c r="A309" s="62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 s="39"/>
      <c r="BE309" s="39"/>
      <c r="BF309"/>
      <c r="BG309"/>
      <c r="BH309"/>
      <c r="BI309"/>
      <c r="BJ309"/>
      <c r="BK309"/>
    </row>
    <row r="310" spans="1:63" s="14" customFormat="1" ht="15.6" customHeight="1">
      <c r="A310" s="62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 s="39"/>
      <c r="BE310" s="39"/>
      <c r="BF310"/>
      <c r="BG310"/>
      <c r="BH310"/>
      <c r="BI310"/>
      <c r="BJ310"/>
      <c r="BK310"/>
    </row>
    <row r="311" spans="1:63" s="14" customFormat="1" ht="15.6" customHeight="1">
      <c r="A311" s="62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 s="39"/>
      <c r="BE311" s="39"/>
      <c r="BF311"/>
      <c r="BG311"/>
      <c r="BH311"/>
      <c r="BI311"/>
      <c r="BJ311"/>
      <c r="BK311"/>
    </row>
    <row r="312" spans="1:63" s="14" customFormat="1" ht="15.6" customHeight="1">
      <c r="A312" s="6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 s="39"/>
      <c r="BE312" s="39"/>
      <c r="BF312"/>
      <c r="BG312"/>
      <c r="BH312"/>
      <c r="BI312"/>
      <c r="BJ312"/>
      <c r="BK312"/>
    </row>
    <row r="313" spans="1:63" s="14" customFormat="1" ht="15.6" customHeight="1">
      <c r="A313" s="62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 s="39"/>
      <c r="BE313" s="39"/>
      <c r="BF313"/>
      <c r="BG313"/>
      <c r="BH313"/>
      <c r="BI313"/>
      <c r="BJ313"/>
      <c r="BK313"/>
    </row>
    <row r="314" spans="1:63" s="14" customFormat="1" ht="15.6" customHeight="1">
      <c r="A314" s="62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 s="39"/>
      <c r="BE314" s="39"/>
      <c r="BF314"/>
      <c r="BG314"/>
      <c r="BH314"/>
      <c r="BI314"/>
      <c r="BJ314"/>
      <c r="BK314"/>
    </row>
    <row r="315" spans="1:63" s="14" customFormat="1" ht="15.6" customHeight="1">
      <c r="A315" s="62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 s="39"/>
      <c r="BE315" s="39"/>
      <c r="BF315"/>
      <c r="BG315"/>
      <c r="BH315"/>
      <c r="BI315"/>
      <c r="BJ315"/>
      <c r="BK315"/>
    </row>
    <row r="316" spans="1:63" s="14" customFormat="1" ht="15.6" customHeight="1">
      <c r="A316" s="62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 s="39"/>
      <c r="BE316" s="39"/>
      <c r="BF316"/>
      <c r="BG316"/>
      <c r="BH316"/>
      <c r="BI316"/>
      <c r="BJ316"/>
      <c r="BK316"/>
    </row>
    <row r="317" spans="1:63" s="14" customFormat="1" ht="15.6" customHeight="1">
      <c r="A317" s="62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 s="39"/>
      <c r="BE317" s="39"/>
      <c r="BF317"/>
      <c r="BG317"/>
      <c r="BH317"/>
      <c r="BI317"/>
      <c r="BJ317"/>
      <c r="BK317"/>
    </row>
    <row r="318" spans="1:63" s="14" customFormat="1" ht="15.6" customHeight="1">
      <c r="A318" s="62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 s="39"/>
      <c r="BE318" s="39"/>
      <c r="BF318"/>
      <c r="BG318"/>
      <c r="BH318"/>
      <c r="BI318"/>
      <c r="BJ318"/>
      <c r="BK318"/>
    </row>
    <row r="319" spans="1:63" s="14" customFormat="1" ht="15.6" customHeight="1">
      <c r="A319" s="62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 s="39"/>
      <c r="BE319" s="39"/>
      <c r="BF319"/>
      <c r="BG319"/>
      <c r="BH319"/>
      <c r="BI319"/>
      <c r="BJ319"/>
      <c r="BK319"/>
    </row>
    <row r="320" spans="1:63" s="14" customFormat="1" ht="15.6" customHeight="1">
      <c r="A320" s="62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 s="39"/>
      <c r="BE320" s="39"/>
      <c r="BF320"/>
      <c r="BG320"/>
      <c r="BH320"/>
      <c r="BI320"/>
      <c r="BJ320"/>
      <c r="BK320"/>
    </row>
    <row r="321" spans="1:63" s="14" customFormat="1" ht="15.6" customHeight="1">
      <c r="A321" s="62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 s="39"/>
      <c r="BE321" s="39"/>
      <c r="BF321"/>
      <c r="BG321"/>
      <c r="BH321"/>
      <c r="BI321"/>
      <c r="BJ321"/>
      <c r="BK321"/>
    </row>
    <row r="322" spans="1:63" s="14" customFormat="1" ht="15.6" customHeight="1">
      <c r="A322" s="6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 s="39"/>
      <c r="BE322" s="39"/>
      <c r="BF322"/>
      <c r="BG322"/>
      <c r="BH322"/>
      <c r="BI322"/>
      <c r="BJ322"/>
      <c r="BK322"/>
    </row>
    <row r="323" spans="1:63" s="14" customFormat="1" ht="15.6" customHeight="1">
      <c r="A323" s="62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 s="39"/>
      <c r="BE323" s="39"/>
      <c r="BF323"/>
      <c r="BG323"/>
      <c r="BH323"/>
      <c r="BI323"/>
      <c r="BJ323"/>
      <c r="BK323"/>
    </row>
    <row r="324" spans="1:63" s="14" customFormat="1" ht="15.6" customHeight="1">
      <c r="A324" s="62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 s="39"/>
      <c r="BE324" s="39"/>
      <c r="BF324"/>
      <c r="BG324"/>
      <c r="BH324"/>
      <c r="BI324"/>
      <c r="BJ324"/>
      <c r="BK324"/>
    </row>
    <row r="325" spans="1:63" s="14" customFormat="1" ht="15.6" customHeight="1">
      <c r="A325" s="62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 s="39"/>
      <c r="BE325" s="39"/>
      <c r="BF325"/>
      <c r="BG325"/>
      <c r="BH325"/>
      <c r="BI325"/>
      <c r="BJ325"/>
      <c r="BK325"/>
    </row>
    <row r="326" spans="1:63" s="14" customFormat="1" ht="15.6" customHeight="1">
      <c r="A326" s="62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 s="39"/>
      <c r="BE326" s="39"/>
      <c r="BF326"/>
      <c r="BG326"/>
      <c r="BH326"/>
      <c r="BI326"/>
      <c r="BJ326"/>
      <c r="BK326"/>
    </row>
    <row r="327" spans="1:63" s="14" customFormat="1" ht="15.6" customHeight="1">
      <c r="A327" s="62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 s="39"/>
      <c r="BE327" s="39"/>
      <c r="BF327"/>
      <c r="BG327"/>
      <c r="BH327"/>
      <c r="BI327"/>
      <c r="BJ327"/>
      <c r="BK327"/>
    </row>
    <row r="328" spans="1:63" s="14" customFormat="1" ht="15.6" customHeight="1">
      <c r="A328" s="62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 s="39"/>
      <c r="BE328" s="39"/>
      <c r="BF328"/>
      <c r="BG328"/>
      <c r="BH328"/>
      <c r="BI328"/>
      <c r="BJ328"/>
      <c r="BK328"/>
    </row>
    <row r="329" spans="1:63" s="14" customFormat="1" ht="15.6" customHeight="1">
      <c r="A329" s="62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 s="39"/>
      <c r="BE329" s="39"/>
      <c r="BF329"/>
      <c r="BG329"/>
      <c r="BH329"/>
      <c r="BI329"/>
      <c r="BJ329"/>
      <c r="BK329"/>
    </row>
    <row r="330" spans="1:63" s="14" customFormat="1" ht="15.6" customHeight="1">
      <c r="A330" s="62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 s="39"/>
      <c r="BE330" s="39"/>
      <c r="BF330"/>
      <c r="BG330"/>
      <c r="BH330"/>
      <c r="BI330"/>
      <c r="BJ330"/>
      <c r="BK330"/>
    </row>
    <row r="331" spans="1:63" s="14" customFormat="1" ht="15.6" customHeight="1">
      <c r="A331" s="62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 s="39"/>
      <c r="BE331" s="39"/>
      <c r="BF331"/>
      <c r="BG331"/>
      <c r="BH331"/>
      <c r="BI331"/>
      <c r="BJ331"/>
      <c r="BK331"/>
    </row>
    <row r="332" spans="1:63" s="14" customFormat="1" ht="15.6" customHeight="1">
      <c r="A332" s="6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 s="39"/>
      <c r="BE332" s="39"/>
      <c r="BF332"/>
      <c r="BG332"/>
      <c r="BH332"/>
      <c r="BI332"/>
      <c r="BJ332"/>
      <c r="BK332"/>
    </row>
    <row r="333" spans="1:63" s="14" customFormat="1" ht="15.6" customHeight="1">
      <c r="A333" s="62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 s="39"/>
      <c r="BE333" s="39"/>
      <c r="BF333"/>
      <c r="BG333"/>
      <c r="BH333"/>
      <c r="BI333"/>
      <c r="BJ333"/>
      <c r="BK333"/>
    </row>
    <row r="334" spans="1:63" s="14" customFormat="1" ht="15.6" customHeight="1">
      <c r="A334" s="62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 s="39"/>
      <c r="BE334" s="39"/>
      <c r="BF334"/>
      <c r="BG334"/>
      <c r="BH334"/>
      <c r="BI334"/>
      <c r="BJ334"/>
      <c r="BK334"/>
    </row>
    <row r="335" spans="1:63" s="14" customFormat="1" ht="15.6" customHeight="1">
      <c r="A335" s="62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 s="39"/>
      <c r="BE335" s="39"/>
      <c r="BF335"/>
      <c r="BG335"/>
      <c r="BH335"/>
      <c r="BI335"/>
      <c r="BJ335"/>
      <c r="BK335"/>
    </row>
    <row r="336" spans="1:63" s="14" customFormat="1" ht="15.6" customHeight="1">
      <c r="A336" s="62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 s="39"/>
      <c r="BE336" s="39"/>
      <c r="BF336"/>
      <c r="BG336"/>
      <c r="BH336"/>
      <c r="BI336"/>
      <c r="BJ336"/>
      <c r="BK336"/>
    </row>
    <row r="337" spans="1:63" s="14" customFormat="1" ht="15.6" customHeight="1">
      <c r="A337" s="62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 s="39"/>
      <c r="BE337" s="39"/>
      <c r="BF337"/>
      <c r="BG337"/>
      <c r="BH337"/>
      <c r="BI337"/>
      <c r="BJ337"/>
      <c r="BK337"/>
    </row>
    <row r="338" spans="1:63" s="14" customFormat="1" ht="15.6" customHeight="1">
      <c r="A338" s="62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 s="39"/>
      <c r="BE338" s="39"/>
      <c r="BF338"/>
      <c r="BG338"/>
      <c r="BH338"/>
      <c r="BI338"/>
      <c r="BJ338"/>
      <c r="BK338"/>
    </row>
    <row r="339" spans="1:63" s="14" customFormat="1" ht="15.6" customHeight="1">
      <c r="A339" s="62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 s="39"/>
      <c r="BE339" s="39"/>
      <c r="BF339"/>
      <c r="BG339"/>
      <c r="BH339"/>
      <c r="BI339"/>
      <c r="BJ339"/>
      <c r="BK339"/>
    </row>
    <row r="340" spans="1:63" s="14" customFormat="1" ht="15.6" customHeight="1">
      <c r="A340" s="62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 s="39"/>
      <c r="BE340" s="39"/>
      <c r="BF340"/>
      <c r="BG340"/>
      <c r="BH340"/>
      <c r="BI340"/>
      <c r="BJ340"/>
      <c r="BK340"/>
    </row>
    <row r="341" spans="1:63" s="14" customFormat="1" ht="15.6" customHeight="1">
      <c r="A341" s="62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 s="39"/>
      <c r="BE341" s="39"/>
      <c r="BF341"/>
      <c r="BG341"/>
      <c r="BH341"/>
      <c r="BI341"/>
      <c r="BJ341"/>
      <c r="BK341"/>
    </row>
    <row r="342" spans="1:63" s="14" customFormat="1" ht="15.6" customHeight="1">
      <c r="A342" s="6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 s="39"/>
      <c r="BE342" s="39"/>
      <c r="BF342"/>
      <c r="BG342"/>
      <c r="BH342"/>
      <c r="BI342"/>
      <c r="BJ342"/>
      <c r="BK342"/>
    </row>
    <row r="343" spans="1:63" s="14" customFormat="1" ht="15.6" customHeight="1">
      <c r="A343" s="62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 s="39"/>
      <c r="BE343" s="39"/>
      <c r="BF343"/>
      <c r="BG343"/>
      <c r="BH343"/>
      <c r="BI343"/>
      <c r="BJ343"/>
      <c r="BK343"/>
    </row>
    <row r="344" spans="1:63" s="14" customFormat="1" ht="15.6" customHeight="1">
      <c r="A344" s="62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 s="39"/>
      <c r="BE344" s="39"/>
      <c r="BF344"/>
      <c r="BG344"/>
      <c r="BH344"/>
      <c r="BI344"/>
      <c r="BJ344"/>
      <c r="BK344"/>
    </row>
    <row r="345" spans="1:63" s="14" customFormat="1" ht="15.6" customHeight="1">
      <c r="A345" s="62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 s="39"/>
      <c r="BE345" s="39"/>
      <c r="BF345"/>
      <c r="BG345"/>
      <c r="BH345"/>
      <c r="BI345"/>
      <c r="BJ345"/>
      <c r="BK345"/>
    </row>
    <row r="346" spans="1:63" s="14" customFormat="1" ht="15.6" customHeight="1">
      <c r="A346" s="62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 s="39"/>
      <c r="BE346" s="39"/>
      <c r="BF346"/>
      <c r="BG346"/>
      <c r="BH346"/>
      <c r="BI346"/>
      <c r="BJ346"/>
      <c r="BK346"/>
    </row>
    <row r="347" spans="1:63" s="14" customFormat="1" ht="15.6" customHeight="1">
      <c r="A347" s="62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 s="39"/>
      <c r="BE347" s="39"/>
      <c r="BF347"/>
      <c r="BG347"/>
      <c r="BH347"/>
      <c r="BI347"/>
      <c r="BJ347"/>
      <c r="BK347"/>
    </row>
    <row r="348" spans="1:63" s="14" customFormat="1" ht="15.6" customHeight="1">
      <c r="A348" s="62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 s="39"/>
      <c r="BE348" s="39"/>
      <c r="BF348"/>
      <c r="BG348"/>
      <c r="BH348"/>
      <c r="BI348"/>
      <c r="BJ348"/>
      <c r="BK348"/>
    </row>
    <row r="349" spans="1:63" s="14" customFormat="1" ht="15.6" customHeight="1">
      <c r="A349" s="62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 s="39"/>
      <c r="BE349" s="39"/>
      <c r="BF349"/>
      <c r="BG349"/>
      <c r="BH349"/>
      <c r="BI349"/>
      <c r="BJ349"/>
      <c r="BK349"/>
    </row>
    <row r="350" spans="1:63" s="14" customFormat="1" ht="15.6" customHeight="1">
      <c r="A350" s="62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 s="39"/>
      <c r="BE350" s="39"/>
      <c r="BF350"/>
      <c r="BG350"/>
      <c r="BH350"/>
      <c r="BI350"/>
      <c r="BJ350"/>
      <c r="BK350"/>
    </row>
    <row r="351" spans="1:63" s="14" customFormat="1" ht="15.6" customHeight="1">
      <c r="A351" s="62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 s="39"/>
      <c r="BE351" s="39"/>
      <c r="BF351"/>
      <c r="BG351"/>
      <c r="BH351"/>
      <c r="BI351"/>
      <c r="BJ351"/>
      <c r="BK351"/>
    </row>
    <row r="352" spans="1:63" s="14" customFormat="1" ht="15.6" customHeight="1">
      <c r="A352" s="6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 s="39"/>
      <c r="BE352" s="39"/>
      <c r="BF352"/>
      <c r="BG352"/>
      <c r="BH352"/>
      <c r="BI352"/>
      <c r="BJ352"/>
      <c r="BK352"/>
    </row>
    <row r="353" spans="1:63" s="14" customFormat="1" ht="15.6" customHeight="1">
      <c r="A353" s="62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 s="39"/>
      <c r="BE353" s="39"/>
      <c r="BF353"/>
      <c r="BG353"/>
      <c r="BH353"/>
      <c r="BI353"/>
      <c r="BJ353"/>
      <c r="BK353"/>
    </row>
    <row r="354" spans="1:63" s="14" customFormat="1" ht="15.6" customHeight="1">
      <c r="A354" s="62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 s="39"/>
      <c r="BE354" s="39"/>
      <c r="BF354"/>
      <c r="BG354"/>
      <c r="BH354"/>
      <c r="BI354"/>
      <c r="BJ354"/>
      <c r="BK354"/>
    </row>
    <row r="355" spans="1:63" s="14" customFormat="1" ht="15.6" customHeight="1">
      <c r="A355" s="62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 s="39"/>
      <c r="BE355" s="39"/>
      <c r="BF355"/>
      <c r="BG355"/>
      <c r="BH355"/>
      <c r="BI355"/>
      <c r="BJ355"/>
      <c r="BK355"/>
    </row>
    <row r="356" spans="1:63" s="14" customFormat="1" ht="15.6" customHeight="1">
      <c r="A356" s="62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 s="39"/>
      <c r="BE356" s="39"/>
      <c r="BF356"/>
      <c r="BG356"/>
      <c r="BH356"/>
      <c r="BI356"/>
      <c r="BJ356"/>
      <c r="BK356"/>
    </row>
    <row r="357" spans="1:63" s="14" customFormat="1" ht="15.6" customHeight="1">
      <c r="A357" s="62"/>
      <c r="B357" s="428"/>
      <c r="C357" s="43"/>
      <c r="D357"/>
      <c r="E357" s="6"/>
      <c r="F357" s="6"/>
      <c r="G357" s="6"/>
      <c r="H357" s="6"/>
      <c r="J357" s="6"/>
      <c r="K357" s="6"/>
      <c r="L357" s="6"/>
      <c r="M357" s="6"/>
      <c r="N357" s="6"/>
      <c r="O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 s="39"/>
      <c r="BE357" s="39"/>
      <c r="BF357"/>
      <c r="BG357"/>
      <c r="BH357"/>
      <c r="BI357"/>
      <c r="BJ357"/>
      <c r="BK357"/>
    </row>
    <row r="358" spans="1:63" s="14" customFormat="1" ht="15.6" customHeight="1">
      <c r="A358" s="62"/>
      <c r="B358" s="428"/>
      <c r="C358" s="43"/>
      <c r="D358"/>
      <c r="E358" s="6"/>
      <c r="F358" s="6"/>
      <c r="G358" s="6"/>
      <c r="H358" s="6"/>
      <c r="J358" s="6"/>
      <c r="K358" s="6"/>
      <c r="L358" s="6"/>
      <c r="M358" s="6"/>
      <c r="N358" s="6"/>
      <c r="O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 s="39"/>
      <c r="BE358" s="39"/>
      <c r="BF358"/>
      <c r="BG358"/>
      <c r="BH358"/>
      <c r="BI358"/>
      <c r="BJ358"/>
      <c r="BK358"/>
    </row>
    <row r="359" spans="1:63" s="14" customFormat="1" ht="15.6" customHeight="1">
      <c r="A359" s="62"/>
      <c r="B359" s="428"/>
      <c r="C359" s="43"/>
      <c r="D359"/>
      <c r="E359" s="6"/>
      <c r="F359" s="6"/>
      <c r="G359" s="6"/>
      <c r="H359" s="6"/>
      <c r="J359" s="6"/>
      <c r="K359" s="6"/>
      <c r="L359" s="6"/>
      <c r="M359" s="6"/>
      <c r="N359" s="6"/>
      <c r="O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 s="39"/>
      <c r="BE359" s="39"/>
      <c r="BF359"/>
      <c r="BG359"/>
      <c r="BH359"/>
      <c r="BI359"/>
      <c r="BJ359"/>
      <c r="BK359"/>
    </row>
    <row r="360" spans="1:63" s="14" customFormat="1" ht="15.6" customHeight="1">
      <c r="A360" s="62"/>
      <c r="B360" s="428"/>
      <c r="C360" s="43"/>
      <c r="D360"/>
      <c r="E360" s="6"/>
      <c r="F360" s="6"/>
      <c r="G360" s="6"/>
      <c r="H360" s="6"/>
      <c r="J360" s="6"/>
      <c r="K360" s="6"/>
      <c r="L360" s="6"/>
      <c r="M360" s="6"/>
      <c r="N360" s="6"/>
      <c r="O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 s="39"/>
      <c r="BE360" s="39"/>
      <c r="BF360"/>
      <c r="BG360"/>
      <c r="BH360"/>
      <c r="BI360"/>
      <c r="BJ360"/>
      <c r="BK360"/>
    </row>
    <row r="361" spans="1:63" s="14" customFormat="1" ht="15.6" customHeight="1">
      <c r="A361" s="62"/>
      <c r="B361" s="428"/>
      <c r="C361" s="43"/>
      <c r="D361"/>
      <c r="E361" s="6"/>
      <c r="F361" s="6"/>
      <c r="G361" s="6"/>
      <c r="H361" s="6"/>
      <c r="J361" s="6"/>
      <c r="K361" s="6"/>
      <c r="L361" s="6"/>
      <c r="M361" s="6"/>
      <c r="N361" s="6"/>
      <c r="O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 s="39"/>
      <c r="BE361" s="39"/>
      <c r="BF361"/>
      <c r="BG361"/>
      <c r="BH361"/>
      <c r="BI361"/>
      <c r="BJ361"/>
      <c r="BK361"/>
    </row>
    <row r="362" spans="1:63" s="14" customFormat="1" ht="15.6" customHeight="1">
      <c r="A362" s="62"/>
      <c r="B362" s="428"/>
      <c r="C362" s="43"/>
      <c r="D362"/>
      <c r="E362" s="6"/>
      <c r="F362" s="6"/>
      <c r="G362" s="6"/>
      <c r="H362" s="6"/>
      <c r="J362" s="6"/>
      <c r="K362" s="6"/>
      <c r="L362" s="6"/>
      <c r="M362" s="6"/>
      <c r="N362" s="6"/>
      <c r="O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 s="39"/>
      <c r="BE362" s="39"/>
      <c r="BF362"/>
      <c r="BG362"/>
      <c r="BH362"/>
      <c r="BI362"/>
      <c r="BJ362"/>
      <c r="BK362"/>
    </row>
    <row r="363" spans="1:63" s="14" customFormat="1" ht="15.6" customHeight="1">
      <c r="A363" s="62"/>
      <c r="B363" s="428"/>
      <c r="C363" s="43"/>
      <c r="D363"/>
      <c r="E363" s="6"/>
      <c r="F363" s="6"/>
      <c r="G363" s="6"/>
      <c r="H363" s="6"/>
      <c r="J363" s="6"/>
      <c r="K363" s="6"/>
      <c r="L363" s="6"/>
      <c r="M363" s="6"/>
      <c r="N363" s="6"/>
      <c r="O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 s="39"/>
      <c r="BE363" s="39"/>
      <c r="BF363"/>
      <c r="BG363"/>
      <c r="BH363"/>
      <c r="BI363"/>
      <c r="BJ363"/>
      <c r="BK363"/>
    </row>
    <row r="364" spans="1:63" s="14" customFormat="1" ht="15.6" customHeight="1">
      <c r="A364" s="62"/>
      <c r="B364" s="428"/>
      <c r="C364" s="43"/>
      <c r="D364"/>
      <c r="E364" s="6"/>
      <c r="F364" s="6"/>
      <c r="G364" s="6"/>
      <c r="H364" s="6"/>
      <c r="J364" s="6"/>
      <c r="K364" s="6"/>
      <c r="L364" s="6"/>
      <c r="M364" s="6"/>
      <c r="N364" s="6"/>
      <c r="O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 s="39"/>
      <c r="BE364" s="39"/>
      <c r="BF364"/>
      <c r="BG364"/>
      <c r="BH364"/>
      <c r="BI364"/>
      <c r="BJ364"/>
      <c r="BK364"/>
    </row>
    <row r="365" spans="1:63" s="14" customFormat="1" ht="15.6" customHeight="1">
      <c r="A365" s="62"/>
      <c r="B365" s="428"/>
      <c r="C365" s="43"/>
      <c r="D365"/>
      <c r="E365" s="6"/>
      <c r="F365" s="6"/>
      <c r="G365" s="6"/>
      <c r="H365" s="6"/>
      <c r="J365" s="6"/>
      <c r="K365" s="6"/>
      <c r="L365" s="6"/>
      <c r="M365" s="6"/>
      <c r="N365" s="6"/>
      <c r="O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 s="39"/>
      <c r="BE365" s="39"/>
      <c r="BF365"/>
      <c r="BG365"/>
      <c r="BH365"/>
      <c r="BI365"/>
      <c r="BJ365"/>
      <c r="BK365"/>
    </row>
    <row r="366" spans="1:63" s="14" customFormat="1" ht="15.6" customHeight="1">
      <c r="A366" s="62"/>
      <c r="B366" s="428"/>
      <c r="C366" s="43"/>
      <c r="D366"/>
      <c r="E366" s="6"/>
      <c r="F366" s="6"/>
      <c r="G366" s="6"/>
      <c r="H366" s="6"/>
      <c r="J366" s="6"/>
      <c r="K366" s="6"/>
      <c r="L366" s="6"/>
      <c r="M366" s="6"/>
      <c r="N366" s="6"/>
      <c r="O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 s="39"/>
      <c r="BE366" s="39"/>
      <c r="BF366"/>
      <c r="BG366"/>
      <c r="BH366"/>
      <c r="BI366"/>
      <c r="BJ366"/>
      <c r="BK366"/>
    </row>
    <row r="367" spans="1:63" s="14" customFormat="1" ht="15.6" customHeight="1">
      <c r="A367" s="62"/>
      <c r="B367" s="428"/>
      <c r="C367" s="43"/>
      <c r="D367"/>
      <c r="E367" s="6"/>
      <c r="F367" s="6"/>
      <c r="G367" s="6"/>
      <c r="H367" s="6"/>
      <c r="J367" s="6"/>
      <c r="K367" s="6"/>
      <c r="L367" s="6"/>
      <c r="M367" s="6"/>
      <c r="N367" s="6"/>
      <c r="O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 s="39"/>
      <c r="BE367" s="39"/>
      <c r="BF367"/>
      <c r="BG367"/>
      <c r="BH367"/>
      <c r="BI367"/>
      <c r="BJ367"/>
      <c r="BK367"/>
    </row>
    <row r="368" spans="1:63" s="14" customFormat="1" ht="15.6" customHeight="1">
      <c r="A368" s="62"/>
      <c r="B368" s="428"/>
      <c r="C368" s="43"/>
      <c r="D368"/>
      <c r="E368" s="6"/>
      <c r="F368" s="6"/>
      <c r="G368" s="6"/>
      <c r="H368" s="6"/>
      <c r="J368" s="6"/>
      <c r="K368" s="6"/>
      <c r="L368" s="6"/>
      <c r="M368" s="6"/>
      <c r="N368" s="6"/>
      <c r="O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 s="39"/>
      <c r="BE368" s="39"/>
      <c r="BF368"/>
      <c r="BG368"/>
      <c r="BH368"/>
      <c r="BI368"/>
      <c r="BJ368"/>
      <c r="BK368"/>
    </row>
    <row r="369" spans="1:63" s="14" customFormat="1" ht="15.6" customHeight="1">
      <c r="A369" s="62"/>
      <c r="B369" s="428"/>
      <c r="C369" s="43"/>
      <c r="D369"/>
      <c r="E369" s="6"/>
      <c r="F369" s="6"/>
      <c r="G369" s="6"/>
      <c r="H369" s="6"/>
      <c r="J369" s="6"/>
      <c r="K369" s="6"/>
      <c r="L369" s="6"/>
      <c r="M369" s="6"/>
      <c r="N369" s="6"/>
      <c r="O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 s="39"/>
      <c r="BE369" s="39"/>
      <c r="BF369"/>
      <c r="BG369"/>
      <c r="BH369"/>
      <c r="BI369"/>
      <c r="BJ369"/>
      <c r="BK369"/>
    </row>
    <row r="370" spans="1:63" s="14" customFormat="1" ht="15.6" customHeight="1">
      <c r="A370" s="62"/>
      <c r="B370" s="428"/>
      <c r="C370" s="43"/>
      <c r="D370"/>
      <c r="E370" s="6"/>
      <c r="F370" s="6"/>
      <c r="G370" s="6"/>
      <c r="H370" s="6"/>
      <c r="J370" s="6"/>
      <c r="K370" s="6"/>
      <c r="L370" s="6"/>
      <c r="M370" s="6"/>
      <c r="N370" s="6"/>
      <c r="O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 s="39"/>
      <c r="BE370" s="39"/>
      <c r="BF370"/>
      <c r="BG370"/>
      <c r="BH370"/>
      <c r="BI370"/>
      <c r="BJ370"/>
      <c r="BK370"/>
    </row>
    <row r="371" spans="1:63" s="14" customFormat="1" ht="15.6" customHeight="1">
      <c r="A371" s="62"/>
      <c r="B371" s="428"/>
      <c r="C371" s="43"/>
      <c r="D371"/>
      <c r="E371" s="6"/>
      <c r="F371" s="6"/>
      <c r="G371" s="6"/>
      <c r="H371" s="6"/>
      <c r="J371" s="6"/>
      <c r="K371" s="6"/>
      <c r="L371" s="6"/>
      <c r="M371" s="6"/>
      <c r="N371" s="6"/>
      <c r="O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 s="39"/>
      <c r="BE371" s="39"/>
      <c r="BF371"/>
      <c r="BG371"/>
      <c r="BH371"/>
      <c r="BI371"/>
      <c r="BJ371"/>
      <c r="BK371"/>
    </row>
    <row r="372" spans="1:63" s="14" customFormat="1" ht="15.6" customHeight="1">
      <c r="A372" s="62"/>
      <c r="B372" s="428"/>
      <c r="C372" s="43"/>
      <c r="D372"/>
      <c r="E372" s="6"/>
      <c r="F372" s="6"/>
      <c r="G372" s="6"/>
      <c r="H372" s="6"/>
      <c r="J372" s="6"/>
      <c r="K372" s="6"/>
      <c r="L372" s="6"/>
      <c r="M372" s="6"/>
      <c r="N372" s="6"/>
      <c r="O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 s="39"/>
      <c r="BE372" s="39"/>
      <c r="BF372"/>
      <c r="BG372"/>
      <c r="BH372"/>
      <c r="BI372"/>
      <c r="BJ372"/>
      <c r="BK372"/>
    </row>
    <row r="373" spans="1:63" s="14" customFormat="1" ht="15.6" customHeight="1">
      <c r="A373" s="62"/>
      <c r="B373" s="428"/>
      <c r="C373" s="43"/>
      <c r="D373"/>
      <c r="E373" s="6"/>
      <c r="F373" s="6"/>
      <c r="G373" s="6"/>
      <c r="H373" s="6"/>
      <c r="J373" s="6"/>
      <c r="K373" s="6"/>
      <c r="L373" s="6"/>
      <c r="M373" s="6"/>
      <c r="N373" s="6"/>
      <c r="O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 s="39"/>
      <c r="BE373" s="39"/>
      <c r="BF373"/>
      <c r="BG373"/>
      <c r="BH373"/>
      <c r="BI373"/>
      <c r="BJ373"/>
      <c r="BK373"/>
    </row>
    <row r="374" spans="1:63" s="14" customFormat="1" ht="15.6" customHeight="1">
      <c r="A374" s="62"/>
      <c r="B374" s="428"/>
      <c r="C374" s="43"/>
      <c r="D374"/>
      <c r="E374" s="6"/>
      <c r="F374" s="6"/>
      <c r="G374" s="6"/>
      <c r="H374" s="6"/>
      <c r="J374" s="6"/>
      <c r="K374" s="6"/>
      <c r="L374" s="6"/>
      <c r="M374" s="6"/>
      <c r="N374" s="6"/>
      <c r="O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 s="39"/>
      <c r="BE374" s="39"/>
      <c r="BF374"/>
      <c r="BG374"/>
      <c r="BH374"/>
      <c r="BI374"/>
      <c r="BJ374"/>
      <c r="BK374"/>
    </row>
    <row r="375" spans="1:63" s="14" customFormat="1" ht="15.6" customHeight="1">
      <c r="A375" s="62"/>
      <c r="B375" s="428"/>
      <c r="C375" s="43"/>
      <c r="D375"/>
      <c r="E375" s="6"/>
      <c r="F375" s="6"/>
      <c r="G375" s="6"/>
      <c r="H375" s="6"/>
      <c r="J375" s="6"/>
      <c r="K375" s="6"/>
      <c r="L375" s="6"/>
      <c r="M375" s="6"/>
      <c r="N375" s="6"/>
      <c r="O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 s="39"/>
      <c r="BE375" s="39"/>
      <c r="BF375"/>
      <c r="BG375"/>
      <c r="BH375"/>
      <c r="BI375"/>
      <c r="BJ375"/>
      <c r="BK375"/>
    </row>
    <row r="376" spans="1:63" s="14" customFormat="1" ht="15.6" customHeight="1">
      <c r="A376" s="62"/>
      <c r="B376" s="428"/>
      <c r="C376" s="43"/>
      <c r="D376"/>
      <c r="E376" s="6"/>
      <c r="F376" s="6"/>
      <c r="G376" s="6"/>
      <c r="H376" s="6"/>
      <c r="J376" s="6"/>
      <c r="K376" s="6"/>
      <c r="L376" s="6"/>
      <c r="M376" s="6"/>
      <c r="N376" s="6"/>
      <c r="O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 s="39"/>
      <c r="BE376" s="39"/>
      <c r="BF376"/>
      <c r="BG376"/>
      <c r="BH376"/>
      <c r="BI376"/>
      <c r="BJ376"/>
      <c r="BK376"/>
    </row>
    <row r="377" spans="1:63" s="14" customFormat="1" ht="15.6" customHeight="1">
      <c r="A377" s="62"/>
      <c r="B377" s="428"/>
      <c r="C377" s="43"/>
      <c r="D377"/>
      <c r="E377" s="6"/>
      <c r="F377" s="6"/>
      <c r="G377" s="6"/>
      <c r="H377" s="6"/>
      <c r="J377" s="6"/>
      <c r="K377" s="6"/>
      <c r="L377" s="6"/>
      <c r="M377" s="6"/>
      <c r="N377" s="6"/>
      <c r="O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 s="39"/>
      <c r="BE377" s="39"/>
      <c r="BF377"/>
      <c r="BG377"/>
      <c r="BH377"/>
      <c r="BI377"/>
      <c r="BJ377"/>
      <c r="BK377"/>
    </row>
    <row r="378" spans="1:63" s="14" customFormat="1" ht="15.6" customHeight="1">
      <c r="A378" s="62"/>
      <c r="B378" s="428"/>
      <c r="C378" s="43"/>
      <c r="D378"/>
      <c r="E378" s="6"/>
      <c r="F378" s="6"/>
      <c r="G378" s="6"/>
      <c r="H378" s="6"/>
      <c r="J378" s="6"/>
      <c r="K378" s="6"/>
      <c r="L378" s="6"/>
      <c r="M378" s="6"/>
      <c r="N378" s="6"/>
      <c r="O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 s="39"/>
      <c r="BE378" s="39"/>
      <c r="BF378"/>
      <c r="BG378"/>
      <c r="BH378"/>
      <c r="BI378"/>
      <c r="BJ378"/>
      <c r="BK378"/>
    </row>
    <row r="379" spans="1:63" s="14" customFormat="1" ht="15.6" customHeight="1">
      <c r="A379" s="62"/>
      <c r="B379" s="428"/>
      <c r="C379" s="43"/>
      <c r="D379"/>
      <c r="E379" s="6"/>
      <c r="F379" s="6"/>
      <c r="G379" s="6"/>
      <c r="H379" s="6"/>
      <c r="J379" s="6"/>
      <c r="K379" s="6"/>
      <c r="L379" s="6"/>
      <c r="M379" s="6"/>
      <c r="N379" s="6"/>
      <c r="O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 s="39"/>
      <c r="BE379" s="39"/>
      <c r="BF379"/>
      <c r="BG379"/>
      <c r="BH379"/>
      <c r="BI379"/>
      <c r="BJ379"/>
      <c r="BK379"/>
    </row>
    <row r="380" spans="1:63" s="14" customFormat="1" ht="15.6" customHeight="1">
      <c r="A380" s="62"/>
      <c r="B380" s="428"/>
      <c r="C380" s="43"/>
      <c r="D380"/>
      <c r="E380" s="6"/>
      <c r="F380" s="6"/>
      <c r="G380" s="6"/>
      <c r="H380" s="6"/>
      <c r="J380" s="6"/>
      <c r="K380" s="6"/>
      <c r="L380" s="6"/>
      <c r="M380" s="6"/>
      <c r="N380" s="6"/>
      <c r="O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 s="39"/>
      <c r="BE380" s="39"/>
      <c r="BF380"/>
      <c r="BG380"/>
      <c r="BH380"/>
      <c r="BI380"/>
      <c r="BJ380"/>
      <c r="BK380"/>
    </row>
    <row r="381" spans="1:63" s="14" customFormat="1" ht="15.6" customHeight="1">
      <c r="A381" s="62"/>
      <c r="B381" s="428"/>
      <c r="C381" s="43"/>
      <c r="D381"/>
      <c r="E381" s="6"/>
      <c r="F381" s="6"/>
      <c r="G381" s="6"/>
      <c r="H381" s="6"/>
      <c r="J381" s="6"/>
      <c r="K381" s="6"/>
      <c r="L381" s="6"/>
      <c r="M381" s="6"/>
      <c r="N381" s="6"/>
      <c r="O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 s="39"/>
      <c r="BE381" s="39"/>
      <c r="BF381"/>
      <c r="BG381"/>
      <c r="BH381"/>
      <c r="BI381"/>
      <c r="BJ381"/>
      <c r="BK381"/>
    </row>
    <row r="382" spans="1:63" s="14" customFormat="1" ht="15.6" customHeight="1">
      <c r="A382" s="62"/>
      <c r="B382" s="428"/>
      <c r="C382" s="43"/>
      <c r="D382"/>
      <c r="E382" s="6"/>
      <c r="F382" s="6"/>
      <c r="G382" s="6"/>
      <c r="H382" s="6"/>
      <c r="J382" s="6"/>
      <c r="K382" s="6"/>
      <c r="L382" s="6"/>
      <c r="M382" s="6"/>
      <c r="N382" s="6"/>
      <c r="O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 s="39"/>
      <c r="BE382" s="39"/>
      <c r="BF382"/>
      <c r="BG382"/>
      <c r="BH382"/>
      <c r="BI382"/>
      <c r="BJ382"/>
      <c r="BK382"/>
    </row>
    <row r="383" spans="1:63" s="14" customFormat="1" ht="15.6" customHeight="1">
      <c r="A383" s="62"/>
      <c r="B383" s="428"/>
      <c r="C383" s="43"/>
      <c r="D383"/>
      <c r="E383" s="6"/>
      <c r="F383" s="6"/>
      <c r="G383" s="6"/>
      <c r="H383" s="6"/>
      <c r="J383" s="6"/>
      <c r="K383" s="6"/>
      <c r="L383" s="6"/>
      <c r="M383" s="6"/>
      <c r="N383" s="6"/>
      <c r="O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 s="39"/>
      <c r="BE383" s="39"/>
      <c r="BF383"/>
      <c r="BG383"/>
      <c r="BH383"/>
      <c r="BI383"/>
      <c r="BJ383"/>
      <c r="BK383"/>
    </row>
    <row r="384" spans="1:63" s="14" customFormat="1" ht="15.6" customHeight="1">
      <c r="A384" s="62"/>
      <c r="B384" s="428"/>
      <c r="C384" s="43"/>
      <c r="D384"/>
      <c r="E384" s="6"/>
      <c r="F384" s="6"/>
      <c r="G384" s="6"/>
      <c r="H384" s="6"/>
      <c r="J384" s="6"/>
      <c r="K384" s="6"/>
      <c r="L384" s="6"/>
      <c r="M384" s="6"/>
      <c r="N384" s="6"/>
      <c r="O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 s="39"/>
      <c r="BE384" s="39"/>
      <c r="BF384"/>
      <c r="BG384"/>
      <c r="BH384"/>
      <c r="BI384"/>
      <c r="BJ384"/>
      <c r="BK384"/>
    </row>
    <row r="389" spans="1:63" s="6" customFormat="1" ht="15.6" customHeight="1">
      <c r="A389" s="62"/>
      <c r="B389" s="428"/>
      <c r="C389" s="43"/>
      <c r="D389"/>
      <c r="I389" s="14"/>
      <c r="O389"/>
      <c r="P389" s="14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 s="39"/>
      <c r="BE389" s="39"/>
      <c r="BF389"/>
      <c r="BG389"/>
      <c r="BH389"/>
      <c r="BI389"/>
      <c r="BJ389"/>
      <c r="BK389"/>
    </row>
    <row r="390" spans="1:63" s="6" customFormat="1" ht="15.6" customHeight="1">
      <c r="A390" s="62"/>
      <c r="B390" s="428"/>
      <c r="C390" s="43"/>
      <c r="D390"/>
      <c r="I390" s="14"/>
      <c r="O390"/>
      <c r="P390" s="14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 s="39"/>
      <c r="BE390" s="39"/>
      <c r="BF390"/>
      <c r="BG390"/>
      <c r="BH390"/>
      <c r="BI390"/>
      <c r="BJ390"/>
      <c r="BK390"/>
    </row>
    <row r="391" spans="1:63" s="6" customFormat="1" ht="15.6" customHeight="1">
      <c r="A391" s="62"/>
      <c r="B391" s="428"/>
      <c r="C391" s="43"/>
      <c r="D391"/>
      <c r="I391" s="14"/>
      <c r="O391"/>
      <c r="P391" s="14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 s="39"/>
      <c r="BE391" s="39"/>
      <c r="BF391"/>
      <c r="BG391"/>
      <c r="BH391"/>
      <c r="BI391"/>
      <c r="BJ391"/>
      <c r="BK391"/>
    </row>
    <row r="392" spans="1:63" s="6" customFormat="1" ht="15.6" customHeight="1">
      <c r="A392" s="62"/>
      <c r="B392" s="428"/>
      <c r="C392" s="43"/>
      <c r="D392"/>
      <c r="I392" s="14"/>
      <c r="O392"/>
      <c r="P392" s="14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 s="39"/>
      <c r="BE392" s="39"/>
      <c r="BF392"/>
      <c r="BG392"/>
      <c r="BH392"/>
      <c r="BI392"/>
      <c r="BJ392"/>
      <c r="BK392"/>
    </row>
    <row r="393" spans="1:63" s="6" customFormat="1" ht="15.6" customHeight="1">
      <c r="A393" s="62"/>
      <c r="B393" s="428"/>
      <c r="C393" s="43"/>
      <c r="D393"/>
      <c r="I393" s="14"/>
      <c r="O393"/>
      <c r="P393" s="14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 s="39"/>
      <c r="BE393" s="39"/>
      <c r="BF393"/>
      <c r="BG393"/>
      <c r="BH393"/>
      <c r="BI393"/>
      <c r="BJ393"/>
      <c r="BK393"/>
    </row>
    <row r="394" spans="1:63" s="6" customFormat="1" ht="15.6" customHeight="1">
      <c r="A394" s="62"/>
      <c r="B394" s="428"/>
      <c r="C394" s="43"/>
      <c r="D394"/>
      <c r="I394" s="14"/>
      <c r="O394"/>
      <c r="P394" s="1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 s="39"/>
      <c r="BE394" s="39"/>
      <c r="BF394"/>
      <c r="BG394"/>
      <c r="BH394"/>
      <c r="BI394"/>
      <c r="BJ394"/>
      <c r="BK394"/>
    </row>
    <row r="395" spans="1:63" s="6" customFormat="1" ht="15.6" customHeight="1">
      <c r="A395" s="62"/>
      <c r="B395" s="428"/>
      <c r="C395" s="43"/>
      <c r="D395"/>
      <c r="I395" s="14"/>
      <c r="O395"/>
      <c r="P395" s="14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 s="39"/>
      <c r="BE395" s="39"/>
      <c r="BF395"/>
      <c r="BG395"/>
      <c r="BH395"/>
      <c r="BI395"/>
      <c r="BJ395"/>
      <c r="BK395"/>
    </row>
    <row r="396" spans="1:63" s="6" customFormat="1" ht="15.6" customHeight="1">
      <c r="A396" s="62"/>
      <c r="B396" s="428"/>
      <c r="C396" s="43"/>
      <c r="D396"/>
      <c r="I396" s="14"/>
      <c r="O396"/>
      <c r="P396" s="14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 s="39"/>
      <c r="BE396" s="39"/>
      <c r="BF396"/>
      <c r="BG396"/>
      <c r="BH396"/>
      <c r="BI396"/>
      <c r="BJ396"/>
      <c r="BK396"/>
    </row>
    <row r="397" spans="1:63" s="6" customFormat="1" ht="15.6" customHeight="1">
      <c r="A397" s="62"/>
      <c r="B397" s="428"/>
      <c r="C397" s="43"/>
      <c r="D397"/>
      <c r="I397" s="14"/>
      <c r="O397"/>
      <c r="P397" s="14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 s="39"/>
      <c r="BE397" s="39"/>
      <c r="BF397"/>
      <c r="BG397"/>
      <c r="BH397"/>
      <c r="BI397"/>
      <c r="BJ397"/>
      <c r="BK397"/>
    </row>
    <row r="398" spans="1:63" s="6" customFormat="1" ht="15.6" customHeight="1">
      <c r="A398" s="62"/>
      <c r="B398" s="428"/>
      <c r="C398" s="43"/>
      <c r="D398"/>
      <c r="I398" s="14"/>
      <c r="O398"/>
      <c r="P398" s="14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 s="39"/>
      <c r="BE398" s="39"/>
      <c r="BF398"/>
      <c r="BG398"/>
      <c r="BH398"/>
      <c r="BI398"/>
      <c r="BJ398"/>
      <c r="BK398"/>
    </row>
    <row r="399" spans="1:63" s="6" customFormat="1" ht="15.6" customHeight="1">
      <c r="A399" s="62"/>
      <c r="B399" s="428"/>
      <c r="C399" s="43"/>
      <c r="D399"/>
      <c r="I399" s="14"/>
      <c r="O399"/>
      <c r="P399" s="14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 s="39"/>
      <c r="BE399" s="39"/>
      <c r="BF399"/>
      <c r="BG399"/>
      <c r="BH399"/>
      <c r="BI399"/>
      <c r="BJ399"/>
      <c r="BK399"/>
    </row>
    <row r="400" spans="1:63" s="6" customFormat="1" ht="15.6" customHeight="1">
      <c r="A400" s="62"/>
      <c r="B400" s="428"/>
      <c r="C400" s="43"/>
      <c r="D400"/>
      <c r="I400" s="14"/>
      <c r="O400"/>
      <c r="P400" s="14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 s="39"/>
      <c r="BE400" s="39"/>
      <c r="BF400"/>
      <c r="BG400"/>
      <c r="BH400"/>
      <c r="BI400"/>
      <c r="BJ400"/>
      <c r="BK400"/>
    </row>
    <row r="401" spans="1:63" s="6" customFormat="1" ht="15.6" customHeight="1">
      <c r="A401" s="62"/>
      <c r="B401" s="428"/>
      <c r="C401" s="43"/>
      <c r="D401"/>
      <c r="I401" s="14"/>
      <c r="O401"/>
      <c r="P401" s="14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 s="39"/>
      <c r="BE401" s="39"/>
      <c r="BF401"/>
      <c r="BG401"/>
      <c r="BH401"/>
      <c r="BI401"/>
      <c r="BJ401"/>
      <c r="BK401"/>
    </row>
    <row r="402" spans="1:63" s="6" customFormat="1" ht="15.6" customHeight="1">
      <c r="A402" s="62"/>
      <c r="B402" s="428"/>
      <c r="C402" s="43"/>
      <c r="D402"/>
      <c r="I402" s="14"/>
      <c r="O402"/>
      <c r="P402" s="14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 s="39"/>
      <c r="BE402" s="39"/>
      <c r="BF402"/>
      <c r="BG402"/>
      <c r="BH402"/>
      <c r="BI402"/>
      <c r="BJ402"/>
      <c r="BK402"/>
    </row>
    <row r="403" spans="1:63" s="6" customFormat="1" ht="15.6" customHeight="1">
      <c r="A403" s="62"/>
      <c r="B403" s="428"/>
      <c r="C403" s="43"/>
      <c r="D403"/>
      <c r="I403" s="14"/>
      <c r="O403"/>
      <c r="P403" s="14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 s="39"/>
      <c r="BE403" s="39"/>
      <c r="BF403"/>
      <c r="BG403"/>
      <c r="BH403"/>
      <c r="BI403"/>
      <c r="BJ403"/>
      <c r="BK403"/>
    </row>
    <row r="404" spans="1:63" s="6" customFormat="1" ht="15.6" customHeight="1">
      <c r="A404" s="62"/>
      <c r="B404" s="428"/>
      <c r="C404" s="43"/>
      <c r="D404"/>
      <c r="I404" s="14"/>
      <c r="O404"/>
      <c r="P404" s="1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 s="39"/>
      <c r="BE404" s="39"/>
      <c r="BF404"/>
      <c r="BG404"/>
      <c r="BH404"/>
      <c r="BI404"/>
      <c r="BJ404"/>
      <c r="BK404"/>
    </row>
  </sheetData>
  <mergeCells count="1">
    <mergeCell ref="AU2:AY2"/>
  </mergeCells>
  <conditionalFormatting sqref="B2:B62 H19:H62">
    <cfRule type="containsErrors" dxfId="308" priority="53">
      <formula>ISERROR(B2)</formula>
    </cfRule>
  </conditionalFormatting>
  <conditionalFormatting sqref="B2:P2">
    <cfRule type="containsErrors" dxfId="307" priority="52">
      <formula>ISERROR(B2)</formula>
    </cfRule>
  </conditionalFormatting>
  <conditionalFormatting sqref="P3:P62">
    <cfRule type="containsErrors" dxfId="306" priority="51">
      <formula>ISERROR(P3)</formula>
    </cfRule>
  </conditionalFormatting>
  <conditionalFormatting sqref="P94:R95">
    <cfRule type="containsErrors" dxfId="305" priority="44">
      <formula>ISERROR(P94)</formula>
    </cfRule>
  </conditionalFormatting>
  <conditionalFormatting sqref="Q57:S58">
    <cfRule type="containsErrors" dxfId="304" priority="46">
      <formula>ISERROR(Q57)</formula>
    </cfRule>
  </conditionalFormatting>
  <conditionalFormatting sqref="Q9:Q10 T9:V10">
    <cfRule type="containsErrors" dxfId="303" priority="48">
      <formula>ISERROR(Q9)</formula>
    </cfRule>
  </conditionalFormatting>
  <conditionalFormatting sqref="T58">
    <cfRule type="containsErrors" dxfId="302" priority="17">
      <formula>ISERROR(T58)</formula>
    </cfRule>
  </conditionalFormatting>
  <conditionalFormatting sqref="V94:X95">
    <cfRule type="containsErrors" dxfId="301" priority="42">
      <formula>ISERROR(V94)</formula>
    </cfRule>
  </conditionalFormatting>
  <conditionalFormatting sqref="AQ11:AT13 AQ15:AT15 AQ18:AT20 AQ22:AT22 AQ25:AT26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K3">
    <cfRule type="containsErrors" dxfId="300" priority="50">
      <formula>ISERROR(BK3)</formula>
    </cfRule>
  </conditionalFormatting>
  <conditionalFormatting pivot="1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N72:N79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M72:M79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F153:F155 F158 F160 F167 F169:F170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K120:K123 K132 K134 K136:K137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E102 E100 E11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E70:E73 E82 E84 E86:E87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7:H62">
    <cfRule type="containsErrors" dxfId="299" priority="7">
      <formula>ISERROR(H17)</formula>
    </cfRule>
  </conditionalFormatting>
  <conditionalFormatting sqref="H3:H17">
    <cfRule type="containsErrors" dxfId="298" priority="6">
      <formula>ISERROR(H3)</formula>
    </cfRule>
  </conditionalFormatting>
  <conditionalFormatting sqref="R20:R27">
    <cfRule type="containsErrors" dxfId="297" priority="5">
      <formula>ISERROR(R20)</formula>
    </cfRule>
  </conditionalFormatting>
  <conditionalFormatting sqref="R18:R27">
    <cfRule type="containsErrors" dxfId="296" priority="4">
      <formula>ISERROR(R18)</formula>
    </cfRule>
  </conditionalFormatting>
  <conditionalFormatting sqref="R3:R17">
    <cfRule type="containsErrors" dxfId="295" priority="3">
      <formula>ISERROR(R3)</formula>
    </cfRule>
  </conditionalFormatting>
  <conditionalFormatting sqref="F3:F62">
    <cfRule type="duplicateValues" dxfId="294" priority="2"/>
  </conditionalFormatting>
  <conditionalFormatting sqref="F3:F35">
    <cfRule type="duplicateValues" dxfId="293" priority="1"/>
  </conditionalFormatting>
  <dataValidations count="1">
    <dataValidation allowBlank="1" showInputMessage="1" showErrorMessage="1" sqref="J3:J22 J24:J62" xr:uid="{698A60B5-9D11-4D37-9786-152391047F17}"/>
  </dataValidations>
  <pageMargins left="0.25" right="0.25" top="0.75" bottom="0.75" header="0.3" footer="0.3"/>
  <pageSetup scale="22" fitToHeight="0" orientation="landscape" r:id="rId6"/>
  <tableParts count="2">
    <tablePart r:id="rId7"/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8FAA111C-ED0E-42B7-890C-442DEA1D82B0}">
          <x14:formula1>
            <xm:f>DATOS!$F$3:$F$10</xm:f>
          </x14:formula1>
          <xm:sqref>D3:D18</xm:sqref>
        </x14:dataValidation>
        <x14:dataValidation type="list" allowBlank="1" showInputMessage="1" showErrorMessage="1" xr:uid="{C0988B98-C302-45F6-9675-1511E263DE65}">
          <x14:formula1>
            <xm:f>DATOS!$G$3:$G$7</xm:f>
          </x14:formula1>
          <xm:sqref>D38:D47</xm:sqref>
        </x14:dataValidation>
        <x14:dataValidation type="list" allowBlank="1" showInputMessage="1" showErrorMessage="1" xr:uid="{210C3686-859E-4DE3-AE76-A6698F9B20CC}">
          <x14:formula1>
            <xm:f>DATOS!$G$3:$G$5</xm:f>
          </x14:formula1>
          <xm:sqref>D48:D62</xm:sqref>
        </x14:dataValidation>
        <x14:dataValidation type="list" allowBlank="1" showInputMessage="1" showErrorMessage="1" xr:uid="{954E3CD3-7408-4F96-8730-4C84B0531125}">
          <x14:formula1>
            <xm:f>DATOS!$M$3:$M$150</xm:f>
          </x14:formula1>
          <xm:sqref>I48:I62</xm:sqref>
        </x14:dataValidation>
        <x14:dataValidation type="list" allowBlank="1" showInputMessage="1" showErrorMessage="1" xr:uid="{A5818B5C-975B-4ED3-9809-C1CD589557FE}">
          <x14:formula1>
            <xm:f>DATOS!$F$3:$F$7</xm:f>
          </x14:formula1>
          <xm:sqref>D24:D37 D19:D22</xm:sqref>
        </x14:dataValidation>
        <x14:dataValidation type="list" allowBlank="1" showInputMessage="1" showErrorMessage="1" xr:uid="{C88F5F18-ADC4-4E86-9EE0-6C56D86060EF}">
          <x14:formula1>
            <xm:f>DATOS!$H$15:$H$16</xm:f>
          </x14:formula1>
          <xm:sqref>L3:L22 L24:L47</xm:sqref>
        </x14:dataValidation>
        <x14:dataValidation type="list" allowBlank="1" showInputMessage="1" showErrorMessage="1" xr:uid="{1B898D90-8F5B-47CE-9831-A45C5D8162B2}">
          <x14:formula1>
            <xm:f>DATOS!$I$15:$I$24</xm:f>
          </x14:formula1>
          <xm:sqref>M3:M22 M24:M47</xm:sqref>
        </x14:dataValidation>
        <x14:dataValidation type="list" allowBlank="1" showInputMessage="1" showErrorMessage="1" xr:uid="{0E7FD6E4-018D-4619-B5F8-1AD3A22C631D}">
          <x14:formula1>
            <xm:f>DATOS!$I$3:$I$5</xm:f>
          </x14:formula1>
          <xm:sqref>E3:E22 E24:E62</xm:sqref>
        </x14:dataValidation>
        <x14:dataValidation type="list" allowBlank="1" showInputMessage="1" showErrorMessage="1" xr:uid="{72B704F1-7BD0-48E9-8531-C843D7213779}">
          <x14:formula1>
            <xm:f>DATOS!$P$3:$P$17</xm:f>
          </x14:formula1>
          <xm:sqref>K3:K22 K24:K62</xm:sqref>
        </x14:dataValidation>
        <x14:dataValidation type="list" allowBlank="1" showInputMessage="1" showErrorMessage="1" xr:uid="{310220B0-09AF-481C-AF79-6181C9F83EF2}">
          <x14:formula1>
            <xm:f>DATOS!$M$3:$M$1048576</xm:f>
          </x14:formula1>
          <xm:sqref>I3:I22 I24:I47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F034E-EE70-4157-A10E-0940EBF6D75B}">
  <sheetPr>
    <tabColor rgb="FF75F61E"/>
    <pageSetUpPr fitToPage="1"/>
  </sheetPr>
  <dimension ref="A1:AA329"/>
  <sheetViews>
    <sheetView showGridLines="0" view="pageBreakPreview" topLeftCell="A19" zoomScale="55" zoomScaleNormal="55" zoomScaleSheetLayoutView="55" workbookViewId="0">
      <selection activeCell="B240" sqref="B3:L249"/>
    </sheetView>
  </sheetViews>
  <sheetFormatPr defaultColWidth="11.42578125" defaultRowHeight="15"/>
  <cols>
    <col min="2" max="2" width="36.28515625" customWidth="1"/>
    <col min="3" max="3" width="28.85546875" customWidth="1"/>
    <col min="4" max="8" width="19" customWidth="1"/>
    <col min="9" max="9" width="21.85546875" customWidth="1"/>
    <col min="10" max="10" width="19" customWidth="1"/>
    <col min="11" max="11" width="61.42578125" customWidth="1"/>
    <col min="12" max="12" width="106.140625" customWidth="1"/>
    <col min="13" max="13" width="23.140625" customWidth="1"/>
    <col min="14" max="14" width="26.140625" bestFit="1" customWidth="1"/>
    <col min="15" max="15" width="30.28515625" bestFit="1" customWidth="1"/>
    <col min="16" max="16" width="31" bestFit="1" customWidth="1"/>
    <col min="17" max="17" width="18.7109375" bestFit="1" customWidth="1"/>
    <col min="18" max="18" width="26.140625" bestFit="1" customWidth="1"/>
    <col min="19" max="19" width="24" bestFit="1" customWidth="1"/>
    <col min="20" max="21" width="30" bestFit="1" customWidth="1"/>
    <col min="22" max="22" width="26.140625" style="39" bestFit="1" customWidth="1"/>
    <col min="23" max="23" width="24.85546875" style="315" bestFit="1" customWidth="1"/>
    <col min="24" max="24" width="31.5703125" bestFit="1" customWidth="1"/>
    <col min="25" max="25" width="31.5703125" style="504" bestFit="1" customWidth="1"/>
    <col min="26" max="26" width="37.140625" style="504" customWidth="1"/>
    <col min="27" max="27" width="20.28515625" style="39" bestFit="1" customWidth="1"/>
  </cols>
  <sheetData>
    <row r="1" spans="2:27">
      <c r="N1" s="730" t="str">
        <f ca="1">+CONCATENATE("SEM. - 0",WEEKNUM(TODAY()))</f>
        <v>SEM. - 027</v>
      </c>
      <c r="O1" s="730"/>
    </row>
    <row r="2" spans="2:27" ht="15.75" thickBot="1">
      <c r="N2" s="730"/>
      <c r="O2" s="730"/>
    </row>
    <row r="3" spans="2:27" ht="90.75" customHeight="1">
      <c r="B3" s="732"/>
      <c r="C3" s="733"/>
      <c r="D3" s="733"/>
      <c r="E3" s="736"/>
      <c r="F3" s="737"/>
      <c r="G3" s="737"/>
      <c r="H3" s="737"/>
      <c r="I3" s="737"/>
      <c r="J3" s="737"/>
      <c r="K3" s="737"/>
      <c r="L3" s="739"/>
      <c r="M3" s="744" t="s">
        <v>3687</v>
      </c>
      <c r="N3" s="745"/>
      <c r="O3" s="745"/>
      <c r="P3" s="493">
        <f ca="1">TODAY()-1</f>
        <v>46205</v>
      </c>
      <c r="Q3" s="494" t="s">
        <v>3688</v>
      </c>
    </row>
    <row r="4" spans="2:27" ht="119.25" customHeight="1">
      <c r="B4" s="734"/>
      <c r="C4" s="735"/>
      <c r="D4" s="735"/>
      <c r="E4" s="738"/>
      <c r="F4" s="738"/>
      <c r="G4" s="738"/>
      <c r="H4" s="738"/>
      <c r="I4" s="738"/>
      <c r="J4" s="738"/>
      <c r="K4" s="738"/>
      <c r="L4" s="740"/>
      <c r="M4" s="746" t="s">
        <v>3689</v>
      </c>
      <c r="N4" s="747"/>
      <c r="O4" s="747"/>
      <c r="P4" s="747"/>
      <c r="Q4" s="488"/>
    </row>
    <row r="5" spans="2:27" ht="28.5">
      <c r="B5" s="701"/>
      <c r="C5" s="702"/>
      <c r="D5" s="702"/>
      <c r="E5" s="702"/>
      <c r="F5" s="702"/>
      <c r="G5" s="702"/>
      <c r="H5" s="702"/>
      <c r="I5" s="702"/>
      <c r="J5" s="702"/>
      <c r="K5" s="702"/>
      <c r="L5" s="703"/>
      <c r="M5" s="748" t="s">
        <v>3690</v>
      </c>
      <c r="N5" s="747"/>
      <c r="O5" s="747"/>
      <c r="P5" s="747"/>
      <c r="Q5" s="502" t="str">
        <f>IF(Q7="OK","MAÑANA","")</f>
        <v>MAÑANA</v>
      </c>
      <c r="R5" s="502" t="str">
        <f>IF(R7="OK","TARDE","")</f>
        <v>TARDE</v>
      </c>
      <c r="S5" s="502" t="str">
        <f>IF(S7="OK","NOCHE","")</f>
        <v>NOCHE</v>
      </c>
      <c r="V5" s="631" t="s">
        <v>10</v>
      </c>
      <c r="W5" s="508" t="s">
        <v>92</v>
      </c>
      <c r="Y5" s="630" t="s">
        <v>10</v>
      </c>
      <c r="Z5" s="87" t="s">
        <v>92</v>
      </c>
    </row>
    <row r="6" spans="2:27" ht="36">
      <c r="B6" s="701"/>
      <c r="C6" s="702"/>
      <c r="D6" s="702"/>
      <c r="E6" s="702"/>
      <c r="F6" s="702"/>
      <c r="G6" s="702"/>
      <c r="H6" s="702"/>
      <c r="I6" s="702"/>
      <c r="J6" s="702"/>
      <c r="K6" s="702"/>
      <c r="L6" s="703"/>
      <c r="P6" s="488"/>
      <c r="Q6" s="502" t="s">
        <v>36</v>
      </c>
      <c r="R6" s="502" t="s">
        <v>23</v>
      </c>
      <c r="S6" s="502" t="s">
        <v>39</v>
      </c>
      <c r="W6" s="507"/>
      <c r="Z6" s="505"/>
    </row>
    <row r="7" spans="2:27" ht="36">
      <c r="B7" s="701"/>
      <c r="C7" s="702"/>
      <c r="D7" s="702"/>
      <c r="E7" s="702"/>
      <c r="F7" s="702"/>
      <c r="G7" s="702"/>
      <c r="H7" s="702"/>
      <c r="I7" s="702"/>
      <c r="J7" s="702"/>
      <c r="K7" s="702"/>
      <c r="L7" s="703"/>
      <c r="M7" s="719" t="s">
        <v>3691</v>
      </c>
      <c r="N7" s="720"/>
      <c r="O7" s="720"/>
      <c r="P7" s="499">
        <f>ROUND('TABLA-DIA'!H1*24,1)</f>
        <v>18.8</v>
      </c>
      <c r="Q7" s="500" t="str">
        <f>+IF(COUNTIF('TABLA-DIA'!E3:E64,"MAÑANA")&gt;0,"OK","")</f>
        <v>OK</v>
      </c>
      <c r="R7" s="500" t="str">
        <f>+IF(COUNTIF('TABLA-DIA'!E3:E64,"TARDE")&gt;0,"OK","")</f>
        <v>OK</v>
      </c>
      <c r="S7" s="500" t="str">
        <f>+IF(COUNTIF('TABLA-DIA'!E3:E64,"NOCHE")&gt;0,"OK","")</f>
        <v>OK</v>
      </c>
      <c r="T7" s="501">
        <f>+COUNTIF(Q7:S7,"OK")</f>
        <v>3</v>
      </c>
      <c r="V7" s="622" t="s">
        <v>3666</v>
      </c>
      <c r="W7" s="623" t="s">
        <v>3664</v>
      </c>
      <c r="Y7" s="624" t="s">
        <v>3610</v>
      </c>
      <c r="Z7" s="625" t="s">
        <v>3664</v>
      </c>
      <c r="AA7"/>
    </row>
    <row r="8" spans="2:27" ht="36">
      <c r="B8" s="701"/>
      <c r="C8" s="702"/>
      <c r="D8" s="702"/>
      <c r="E8" s="702"/>
      <c r="F8" s="702"/>
      <c r="G8" s="702"/>
      <c r="H8" s="702"/>
      <c r="I8" s="702"/>
      <c r="J8" s="702"/>
      <c r="K8" s="702"/>
      <c r="L8" s="703"/>
      <c r="M8" s="721" t="s">
        <v>3692</v>
      </c>
      <c r="N8" s="722"/>
      <c r="O8" s="722"/>
      <c r="P8" s="636">
        <f>ROUND(SUMIF(Tabla107[P/NP],"NO PROGRAMADA",Tabla107[T.TOTAL])*24,2)</f>
        <v>9.42</v>
      </c>
      <c r="Q8" s="492">
        <f>+P8/P7</f>
        <v>0.50106382978723407</v>
      </c>
      <c r="V8" s="506" t="s">
        <v>24</v>
      </c>
      <c r="W8" s="509">
        <v>1.6666666666666666E-2</v>
      </c>
      <c r="Y8" s="87" t="s">
        <v>3533</v>
      </c>
      <c r="Z8" s="510">
        <v>1.6666666666666666E-2</v>
      </c>
      <c r="AA8"/>
    </row>
    <row r="9" spans="2:27" ht="36">
      <c r="B9" s="701"/>
      <c r="C9" s="702"/>
      <c r="D9" s="702"/>
      <c r="E9" s="702"/>
      <c r="F9" s="702"/>
      <c r="G9" s="702"/>
      <c r="H9" s="702"/>
      <c r="I9" s="702"/>
      <c r="J9" s="702"/>
      <c r="K9" s="702"/>
      <c r="L9" s="703"/>
      <c r="M9" s="719" t="s">
        <v>3693</v>
      </c>
      <c r="N9" s="720"/>
      <c r="O9" s="720"/>
      <c r="P9" s="498">
        <f>+COUNTA(Tabla107[FECHA])</f>
        <v>31</v>
      </c>
      <c r="Q9" s="488"/>
      <c r="V9" s="506" t="s">
        <v>331</v>
      </c>
      <c r="W9" s="509">
        <v>1.2500000000000001E-2</v>
      </c>
      <c r="Y9" s="87" t="s">
        <v>3537</v>
      </c>
      <c r="Z9" s="510">
        <v>1.2500000000000001E-2</v>
      </c>
      <c r="AA9"/>
    </row>
    <row r="10" spans="2:27" ht="28.5">
      <c r="B10" s="701"/>
      <c r="C10" s="702"/>
      <c r="D10" s="702"/>
      <c r="E10" s="702"/>
      <c r="F10" s="702"/>
      <c r="G10" s="702"/>
      <c r="H10" s="702"/>
      <c r="I10" s="702"/>
      <c r="J10" s="702"/>
      <c r="K10" s="702"/>
      <c r="L10" s="703"/>
      <c r="M10" s="721" t="s">
        <v>3694</v>
      </c>
      <c r="N10" s="722"/>
      <c r="O10" s="722"/>
      <c r="P10" s="526" t="str">
        <f>+INDEX(V8:V20,MATCH(MAX(W8:W20),W8:W20,0))</f>
        <v>EMP. SACMI</v>
      </c>
      <c r="Q10" s="496">
        <f>+VLOOKUP(P10,V7:W25,2,FALSE)</f>
        <v>1.6666666666666666E-2</v>
      </c>
      <c r="R10" s="497">
        <f>+Q10*24</f>
        <v>0.4</v>
      </c>
      <c r="S10" s="503">
        <f>+R10/P8</f>
        <v>4.2462845010615716E-2</v>
      </c>
      <c r="V10" s="506" t="s">
        <v>508</v>
      </c>
      <c r="W10" s="509">
        <v>1.0416666666666666E-2</v>
      </c>
      <c r="Y10" s="87" t="s">
        <v>3542</v>
      </c>
      <c r="Z10" s="510">
        <v>1.0416666666666666E-2</v>
      </c>
      <c r="AA10"/>
    </row>
    <row r="11" spans="2:27" ht="36">
      <c r="B11" s="701"/>
      <c r="C11" s="702"/>
      <c r="D11" s="702"/>
      <c r="E11" s="702"/>
      <c r="F11" s="702"/>
      <c r="G11" s="702"/>
      <c r="H11" s="702"/>
      <c r="I11" s="702"/>
      <c r="J11" s="702"/>
      <c r="K11" s="702"/>
      <c r="L11" s="703"/>
      <c r="M11" s="721" t="s">
        <v>3695</v>
      </c>
      <c r="N11" s="722"/>
      <c r="O11" s="722"/>
      <c r="P11" s="491">
        <f>+COUNTIF(Tabla107[P/NP],"PROGRAMADA")</f>
        <v>19</v>
      </c>
      <c r="Q11" s="492">
        <f>+P11/P9</f>
        <v>0.61290322580645162</v>
      </c>
      <c r="V11" s="506" t="s">
        <v>222</v>
      </c>
      <c r="W11" s="509">
        <v>1.0416666666666666E-2</v>
      </c>
      <c r="Y11" s="87" t="s">
        <v>3544</v>
      </c>
      <c r="Z11" s="510">
        <v>1.0416666666666666E-2</v>
      </c>
      <c r="AA11"/>
    </row>
    <row r="12" spans="2:27">
      <c r="B12" s="701"/>
      <c r="C12" s="702"/>
      <c r="D12" s="702"/>
      <c r="E12" s="702"/>
      <c r="F12" s="702"/>
      <c r="G12" s="702"/>
      <c r="H12" s="702"/>
      <c r="I12" s="702"/>
      <c r="J12" s="702"/>
      <c r="K12" s="702"/>
      <c r="L12" s="703"/>
      <c r="N12" s="717"/>
      <c r="O12" s="717"/>
      <c r="P12" s="717"/>
      <c r="Q12" s="717"/>
      <c r="R12" s="717"/>
      <c r="V12"/>
      <c r="W12"/>
      <c r="Y12"/>
      <c r="Z12"/>
      <c r="AA12"/>
    </row>
    <row r="13" spans="2:27" ht="23.25">
      <c r="B13" s="701"/>
      <c r="C13" s="702"/>
      <c r="D13" s="702"/>
      <c r="E13" s="702"/>
      <c r="F13" s="702"/>
      <c r="G13" s="702"/>
      <c r="H13" s="702"/>
      <c r="I13" s="702"/>
      <c r="J13" s="702"/>
      <c r="K13" s="702"/>
      <c r="L13" s="703"/>
      <c r="N13" s="515" t="s">
        <v>3696</v>
      </c>
      <c r="O13" s="714" t="s">
        <v>3697</v>
      </c>
      <c r="P13" s="715"/>
      <c r="Q13" s="714" t="s">
        <v>3698</v>
      </c>
      <c r="R13" s="715"/>
      <c r="V13"/>
      <c r="W13"/>
      <c r="Y13"/>
      <c r="Z13"/>
      <c r="AA13"/>
    </row>
    <row r="14" spans="2:27" ht="23.25" customHeight="1">
      <c r="B14" s="701"/>
      <c r="C14" s="702"/>
      <c r="D14" s="702"/>
      <c r="E14" s="702"/>
      <c r="F14" s="702"/>
      <c r="G14" s="702"/>
      <c r="H14" s="702"/>
      <c r="I14" s="702"/>
      <c r="J14" s="702"/>
      <c r="K14" s="702"/>
      <c r="L14" s="703"/>
      <c r="N14" s="514">
        <f>LARGE($Z$8:$Z$25,1)</f>
        <v>1.6666666666666666E-2</v>
      </c>
      <c r="O14" s="718" t="str">
        <f>INDEX(Y8:Y26,MATCH(N14,Z8:Z25,0))</f>
        <v>Punta de pistola desprendida, se retiro punta y se llevó a taller para pegarlo</v>
      </c>
      <c r="P14" s="718"/>
      <c r="Q14" s="716" t="e">
        <f>+VLOOKUP(O14,'TABLA-DIA'!$N$2:$Q$62,4,FALSE)</f>
        <v>#N/A</v>
      </c>
      <c r="R14" s="716"/>
      <c r="V14"/>
      <c r="W14"/>
      <c r="Y14"/>
      <c r="Z14"/>
      <c r="AA14"/>
    </row>
    <row r="15" spans="2:27" ht="23.25">
      <c r="B15" s="701"/>
      <c r="C15" s="702"/>
      <c r="D15" s="702"/>
      <c r="E15" s="702"/>
      <c r="F15" s="702"/>
      <c r="G15" s="702"/>
      <c r="H15" s="702"/>
      <c r="I15" s="702"/>
      <c r="J15" s="702"/>
      <c r="K15" s="702"/>
      <c r="L15" s="703"/>
      <c r="N15" s="514">
        <f>LARGE($Z$8:$Z$25,2)</f>
        <v>1.2500000000000001E-2</v>
      </c>
      <c r="O15" s="718" t="str">
        <f>INDEX(Y8:Y26,MATCH(N15,Z8:Z25,0))</f>
        <v>Equipo muy duro para empujar</v>
      </c>
      <c r="P15" s="718"/>
      <c r="Q15" s="716" t="e">
        <f>+VLOOKUP(O15,'TABLA-DIA'!$N$2:$Q$62,4,FALSE)</f>
        <v>#N/A</v>
      </c>
      <c r="R15" s="716"/>
      <c r="V15"/>
      <c r="W15"/>
      <c r="Y15"/>
      <c r="Z15"/>
      <c r="AA15"/>
    </row>
    <row r="16" spans="2:27" ht="23.25" customHeight="1">
      <c r="B16" s="701"/>
      <c r="C16" s="702"/>
      <c r="D16" s="702"/>
      <c r="E16" s="702"/>
      <c r="F16" s="702"/>
      <c r="G16" s="702"/>
      <c r="H16" s="702"/>
      <c r="I16" s="702"/>
      <c r="J16" s="702"/>
      <c r="K16" s="702"/>
      <c r="L16" s="703"/>
      <c r="N16" s="514">
        <f>LARGE($Z$8:$Z$25,3)</f>
        <v>1.0416666666666666E-2</v>
      </c>
      <c r="O16" s="718" t="str">
        <f>INDEX(Y8:Y26,MATCH(N16,Z8:Z25,0))</f>
        <v xml:space="preserve">Temperadora no enciende </v>
      </c>
      <c r="P16" s="718"/>
      <c r="Q16" s="716" t="e">
        <f>+VLOOKUP(O16,'TABLA-DIA'!$N$2:$Q$62,4,FALSE)</f>
        <v>#N/A</v>
      </c>
      <c r="R16" s="716"/>
      <c r="V16"/>
      <c r="W16"/>
      <c r="Y16"/>
      <c r="Z16"/>
      <c r="AA16"/>
    </row>
    <row r="17" spans="2:27" ht="36">
      <c r="B17" s="701"/>
      <c r="C17" s="702"/>
      <c r="D17" s="702"/>
      <c r="E17" s="702"/>
      <c r="F17" s="702"/>
      <c r="G17" s="702"/>
      <c r="H17" s="702"/>
      <c r="I17" s="702"/>
      <c r="J17" s="702"/>
      <c r="K17" s="702"/>
      <c r="L17" s="703"/>
      <c r="P17" s="488"/>
      <c r="Q17" s="488"/>
      <c r="V17"/>
      <c r="W17"/>
      <c r="Y17"/>
      <c r="Z17"/>
      <c r="AA17"/>
    </row>
    <row r="18" spans="2:27" ht="23.25">
      <c r="B18" s="701"/>
      <c r="C18" s="702"/>
      <c r="D18" s="702"/>
      <c r="E18" s="702"/>
      <c r="F18" s="702"/>
      <c r="G18" s="702"/>
      <c r="H18" s="702"/>
      <c r="I18" s="702"/>
      <c r="J18" s="702"/>
      <c r="K18" s="702"/>
      <c r="L18" s="703"/>
      <c r="N18" s="515" t="s">
        <v>3696</v>
      </c>
      <c r="O18" s="714" t="s">
        <v>3697</v>
      </c>
      <c r="P18" s="715"/>
      <c r="Q18" s="714" t="s">
        <v>3698</v>
      </c>
      <c r="R18" s="715"/>
      <c r="V18"/>
      <c r="W18"/>
      <c r="Y18"/>
      <c r="Z18"/>
      <c r="AA18"/>
    </row>
    <row r="19" spans="2:27" ht="23.25">
      <c r="B19" s="701"/>
      <c r="C19" s="702"/>
      <c r="D19" s="702"/>
      <c r="E19" s="702"/>
      <c r="F19" s="702"/>
      <c r="G19" s="702"/>
      <c r="H19" s="702"/>
      <c r="I19" s="702"/>
      <c r="J19" s="702"/>
      <c r="K19" s="702"/>
      <c r="L19" s="703"/>
      <c r="N19" s="514">
        <f>LARGE('TABLA-DIA'!H3:H64,1)</f>
        <v>9.027777777777779E-2</v>
      </c>
      <c r="O19" s="716" t="str">
        <f>INDEX('TABLA-DIA'!N3:N62,MATCH(N19,'TABLA-DIA'!H3:H62,0))</f>
        <v xml:space="preserve">No pega goma en etiqueta </v>
      </c>
      <c r="P19" s="716"/>
      <c r="Q19" s="716" t="str">
        <f>+VLOOKUP(O19,'TABLA-DIA'!$N$2:$Q$62,4,FALSE)</f>
        <v>EMP. SAPAL</v>
      </c>
      <c r="R19" s="716"/>
      <c r="V19"/>
      <c r="W19"/>
      <c r="Y19"/>
      <c r="Z19"/>
      <c r="AA19"/>
    </row>
    <row r="20" spans="2:27" ht="36">
      <c r="B20" s="701"/>
      <c r="C20" s="702"/>
      <c r="D20" s="702"/>
      <c r="E20" s="702"/>
      <c r="F20" s="702"/>
      <c r="G20" s="702"/>
      <c r="H20" s="702"/>
      <c r="I20" s="702"/>
      <c r="J20" s="702"/>
      <c r="K20" s="702"/>
      <c r="L20" s="703"/>
      <c r="P20" s="488"/>
      <c r="Q20" s="488"/>
      <c r="V20"/>
      <c r="W20"/>
      <c r="Y20"/>
      <c r="Z20"/>
      <c r="AA20"/>
    </row>
    <row r="21" spans="2:27" ht="36">
      <c r="B21" s="701"/>
      <c r="C21" s="702"/>
      <c r="D21" s="702"/>
      <c r="E21" s="702"/>
      <c r="F21" s="702"/>
      <c r="G21" s="702"/>
      <c r="H21" s="702"/>
      <c r="I21" s="702"/>
      <c r="J21" s="702"/>
      <c r="K21" s="702"/>
      <c r="L21" s="703"/>
      <c r="P21" s="488"/>
      <c r="Q21" s="488"/>
      <c r="Y21"/>
      <c r="Z21"/>
      <c r="AA21"/>
    </row>
    <row r="22" spans="2:27" ht="31.5">
      <c r="B22" s="701"/>
      <c r="C22" s="702"/>
      <c r="D22" s="702"/>
      <c r="E22" s="702"/>
      <c r="F22" s="702"/>
      <c r="G22" s="702"/>
      <c r="H22" s="702"/>
      <c r="I22" s="702"/>
      <c r="J22" s="702"/>
      <c r="K22" s="702"/>
      <c r="L22" s="703"/>
      <c r="N22" s="712" t="s">
        <v>3699</v>
      </c>
      <c r="O22" s="712"/>
      <c r="P22" s="712"/>
      <c r="Q22" s="712"/>
      <c r="R22" s="712"/>
      <c r="S22" s="712"/>
      <c r="T22" s="712"/>
      <c r="V22"/>
      <c r="W22"/>
      <c r="Y22"/>
      <c r="Z22"/>
      <c r="AA22"/>
    </row>
    <row r="23" spans="2:27" ht="36">
      <c r="B23" s="701"/>
      <c r="C23" s="702"/>
      <c r="D23" s="702"/>
      <c r="E23" s="702"/>
      <c r="F23" s="702"/>
      <c r="G23" s="702"/>
      <c r="H23" s="702"/>
      <c r="I23" s="702"/>
      <c r="J23" s="702"/>
      <c r="K23" s="702"/>
      <c r="L23" s="703"/>
      <c r="N23" s="456" t="s">
        <v>10</v>
      </c>
      <c r="O23" s="386" t="s">
        <v>92</v>
      </c>
      <c r="P23" s="711" t="s">
        <v>3700</v>
      </c>
      <c r="Q23" s="711"/>
      <c r="R23" s="711"/>
      <c r="S23" s="711"/>
      <c r="T23" s="711"/>
      <c r="W23" s="507"/>
      <c r="Y23"/>
      <c r="Z23"/>
      <c r="AA23"/>
    </row>
    <row r="24" spans="2:27" ht="21">
      <c r="B24" s="701"/>
      <c r="C24" s="702"/>
      <c r="D24" s="702"/>
      <c r="E24" s="702"/>
      <c r="F24" s="702"/>
      <c r="G24" s="702"/>
      <c r="H24" s="702"/>
      <c r="I24" s="702"/>
      <c r="J24" s="702"/>
      <c r="K24" s="702"/>
      <c r="L24" s="703"/>
      <c r="O24" s="107"/>
      <c r="R24" s="529">
        <f>+SUM(R26:R45)</f>
        <v>1.2000000000000002</v>
      </c>
      <c r="V24" s="622" t="s">
        <v>3666</v>
      </c>
      <c r="W24" s="623" t="s">
        <v>3664</v>
      </c>
      <c r="Y24"/>
      <c r="Z24"/>
    </row>
    <row r="25" spans="2:27" ht="15.75">
      <c r="B25" s="701"/>
      <c r="C25" s="702"/>
      <c r="D25" s="702"/>
      <c r="E25" s="702"/>
      <c r="F25" s="702"/>
      <c r="G25" s="702"/>
      <c r="H25" s="702"/>
      <c r="I25" s="702"/>
      <c r="J25" s="702"/>
      <c r="K25" s="702"/>
      <c r="L25" s="703"/>
      <c r="N25" s="627" t="s">
        <v>3666</v>
      </c>
      <c r="O25" s="628" t="s">
        <v>3664</v>
      </c>
      <c r="P25" s="518" t="s">
        <v>3698</v>
      </c>
      <c r="Q25" s="519" t="s">
        <v>3701</v>
      </c>
      <c r="R25" s="520" t="s">
        <v>3696</v>
      </c>
      <c r="S25" s="520" t="s">
        <v>3702</v>
      </c>
      <c r="T25" s="521" t="s">
        <v>3703</v>
      </c>
      <c r="V25" s="697" t="s">
        <v>92</v>
      </c>
      <c r="W25" s="509">
        <v>0.05</v>
      </c>
    </row>
    <row r="26" spans="2:27">
      <c r="B26" s="701"/>
      <c r="C26" s="702"/>
      <c r="D26" s="702"/>
      <c r="E26" s="702"/>
      <c r="F26" s="702"/>
      <c r="G26" s="702"/>
      <c r="H26" s="702"/>
      <c r="I26" s="702"/>
      <c r="J26" s="702"/>
      <c r="K26" s="702"/>
      <c r="L26" s="703"/>
      <c r="N26" s="418" t="s">
        <v>24</v>
      </c>
      <c r="O26" s="479">
        <v>1.6666666666666666E-2</v>
      </c>
      <c r="P26" s="527" t="str">
        <f>IF(ISBLANK(N26),"",N26)</f>
        <v>EMP. SACMI</v>
      </c>
      <c r="Q26" s="479">
        <f>IF(ISBLANK(O26),"",O26)</f>
        <v>1.6666666666666666E-2</v>
      </c>
      <c r="R26" s="486">
        <f>IF(ISBLANK(O26),"",(O26*24))</f>
        <v>0.4</v>
      </c>
      <c r="S26" s="516">
        <f>IFERROR(R26/$R$24,"")</f>
        <v>0.33333333333333331</v>
      </c>
      <c r="T26" s="517">
        <f>IFERROR(S26,"")</f>
        <v>0.33333333333333331</v>
      </c>
      <c r="V26" s="697" t="s">
        <v>157</v>
      </c>
      <c r="W26" s="509">
        <v>0.10277777777777777</v>
      </c>
      <c r="X26" s="531">
        <f>+X28+X29</f>
        <v>3.666666666666667</v>
      </c>
      <c r="Y26"/>
    </row>
    <row r="27" spans="2:27">
      <c r="B27" s="701"/>
      <c r="C27" s="702"/>
      <c r="D27" s="702"/>
      <c r="E27" s="702"/>
      <c r="F27" s="702"/>
      <c r="G27" s="702"/>
      <c r="H27" s="702"/>
      <c r="I27" s="702"/>
      <c r="J27" s="702"/>
      <c r="K27" s="702"/>
      <c r="L27" s="703"/>
      <c r="N27" s="418" t="s">
        <v>331</v>
      </c>
      <c r="O27" s="479">
        <v>1.2500000000000001E-2</v>
      </c>
      <c r="P27" s="527" t="str">
        <f t="shared" ref="P27:P45" si="0">IF(ISBLANK(N27),"",N27)</f>
        <v>CORTADORA DE TURRON</v>
      </c>
      <c r="Q27" s="479">
        <f t="shared" ref="Q27:Q45" si="1">IF(ISBLANK(O27),"",O27)</f>
        <v>1.2500000000000001E-2</v>
      </c>
      <c r="R27" s="486">
        <f t="shared" ref="R27:R45" si="2">IF(ISBLANK(O27),"",(O27*24))</f>
        <v>0.30000000000000004</v>
      </c>
      <c r="S27" s="516">
        <f t="shared" ref="S27:S45" si="3">IFERROR(R27/$R$24,"")</f>
        <v>0.25</v>
      </c>
      <c r="T27" s="517">
        <f>IFERROR(T26+S27,"")</f>
        <v>0.58333333333333326</v>
      </c>
      <c r="V27"/>
      <c r="W27"/>
      <c r="X27" s="530" t="s">
        <v>3704</v>
      </c>
      <c r="Y27" s="530" t="s">
        <v>3705</v>
      </c>
      <c r="Z27" s="530" t="s">
        <v>3704</v>
      </c>
    </row>
    <row r="28" spans="2:27">
      <c r="B28" s="701"/>
      <c r="C28" s="702"/>
      <c r="D28" s="702"/>
      <c r="E28" s="702"/>
      <c r="F28" s="702"/>
      <c r="G28" s="702"/>
      <c r="H28" s="702"/>
      <c r="I28" s="702"/>
      <c r="J28" s="702"/>
      <c r="K28" s="702"/>
      <c r="L28" s="703"/>
      <c r="N28" s="418" t="s">
        <v>508</v>
      </c>
      <c r="O28" s="479">
        <v>1.0416666666666666E-2</v>
      </c>
      <c r="P28" s="527" t="str">
        <f t="shared" si="0"/>
        <v>TEMPERADORA CHOCOLATIER</v>
      </c>
      <c r="Q28" s="479">
        <f t="shared" si="1"/>
        <v>1.0416666666666666E-2</v>
      </c>
      <c r="R28" s="486">
        <f t="shared" si="2"/>
        <v>0.25</v>
      </c>
      <c r="S28" s="516">
        <f t="shared" si="3"/>
        <v>0.20833333333333331</v>
      </c>
      <c r="T28" s="517">
        <f t="shared" ref="T28:T45" si="4">IFERROR(T27+S28,"")</f>
        <v>0.79166666666666652</v>
      </c>
      <c r="V28" s="508" t="s">
        <v>92</v>
      </c>
      <c r="W28" s="383">
        <f>+VLOOKUP(V28,V24:W26,2,FALSE)</f>
        <v>0.05</v>
      </c>
      <c r="X28" s="486">
        <f>+W25*24</f>
        <v>1.2000000000000002</v>
      </c>
      <c r="Y28" s="532" t="str">
        <f>"("&amp; ROUND(X28/$X$26,2)*100&amp;"% )"</f>
        <v>(33% )</v>
      </c>
      <c r="Z28" s="688" t="str">
        <f>ROUND(X28,2)&amp; " h."</f>
        <v>1.2 h.</v>
      </c>
    </row>
    <row r="29" spans="2:27">
      <c r="B29" s="701"/>
      <c r="C29" s="702"/>
      <c r="D29" s="702"/>
      <c r="E29" s="702"/>
      <c r="F29" s="702"/>
      <c r="G29" s="702"/>
      <c r="H29" s="702"/>
      <c r="I29" s="702"/>
      <c r="J29" s="702"/>
      <c r="K29" s="702"/>
      <c r="L29" s="703"/>
      <c r="N29" s="418" t="s">
        <v>222</v>
      </c>
      <c r="O29" s="479">
        <v>1.0416666666666666E-2</v>
      </c>
      <c r="P29" s="527" t="str">
        <f t="shared" si="0"/>
        <v>RAYOS X 2</v>
      </c>
      <c r="Q29" s="479">
        <f t="shared" si="1"/>
        <v>1.0416666666666666E-2</v>
      </c>
      <c r="R29" s="486">
        <f t="shared" si="2"/>
        <v>0.25</v>
      </c>
      <c r="S29" s="516">
        <f t="shared" si="3"/>
        <v>0.20833333333333331</v>
      </c>
      <c r="T29" s="517">
        <f t="shared" si="4"/>
        <v>0.99999999999999978</v>
      </c>
      <c r="V29" s="508" t="s">
        <v>157</v>
      </c>
      <c r="W29" s="383">
        <f>+VLOOKUP(V29,V25:W27,2,FALSE)</f>
        <v>0.10277777777777777</v>
      </c>
      <c r="X29" s="486">
        <f>+W26*24</f>
        <v>2.4666666666666668</v>
      </c>
      <c r="Y29" s="532" t="str">
        <f>"("&amp; ROUND(X29/$X$26,2)*100&amp;"% )"</f>
        <v>(67% )</v>
      </c>
      <c r="Z29" s="688" t="str">
        <f>ROUND(X29,2)&amp; " h."</f>
        <v>2.47 h.</v>
      </c>
    </row>
    <row r="30" spans="2:27">
      <c r="B30" s="701"/>
      <c r="C30" s="702"/>
      <c r="D30" s="702"/>
      <c r="E30" s="702"/>
      <c r="F30" s="702"/>
      <c r="G30" s="702"/>
      <c r="H30" s="702"/>
      <c r="I30" s="702"/>
      <c r="J30" s="702"/>
      <c r="K30" s="702"/>
      <c r="L30" s="703"/>
      <c r="P30" s="527" t="str">
        <f t="shared" si="0"/>
        <v/>
      </c>
      <c r="Q30" s="479" t="str">
        <f t="shared" si="1"/>
        <v/>
      </c>
      <c r="R30" s="486" t="str">
        <f t="shared" si="2"/>
        <v/>
      </c>
      <c r="S30" s="516" t="str">
        <f t="shared" si="3"/>
        <v/>
      </c>
      <c r="T30" s="517" t="str">
        <f t="shared" si="4"/>
        <v/>
      </c>
      <c r="V30"/>
      <c r="W30"/>
    </row>
    <row r="31" spans="2:27">
      <c r="B31" s="701"/>
      <c r="C31" s="702"/>
      <c r="D31" s="702"/>
      <c r="E31" s="702"/>
      <c r="F31" s="702"/>
      <c r="G31" s="702"/>
      <c r="H31" s="702"/>
      <c r="I31" s="702"/>
      <c r="J31" s="702"/>
      <c r="K31" s="702"/>
      <c r="L31" s="703"/>
      <c r="P31" s="527" t="str">
        <f t="shared" si="0"/>
        <v/>
      </c>
      <c r="Q31" s="479" t="str">
        <f t="shared" si="1"/>
        <v/>
      </c>
      <c r="R31" s="486" t="str">
        <f t="shared" si="2"/>
        <v/>
      </c>
      <c r="S31" s="516" t="str">
        <f t="shared" si="3"/>
        <v/>
      </c>
      <c r="T31" s="517" t="str">
        <f t="shared" si="4"/>
        <v/>
      </c>
    </row>
    <row r="32" spans="2:27">
      <c r="B32" s="701"/>
      <c r="C32" s="702"/>
      <c r="D32" s="702"/>
      <c r="E32" s="702"/>
      <c r="F32" s="702"/>
      <c r="G32" s="702"/>
      <c r="H32" s="702"/>
      <c r="I32" s="702"/>
      <c r="J32" s="702"/>
      <c r="K32" s="702"/>
      <c r="L32" s="703"/>
      <c r="P32" s="527" t="str">
        <f t="shared" si="0"/>
        <v/>
      </c>
      <c r="Q32" s="479" t="str">
        <f t="shared" si="1"/>
        <v/>
      </c>
      <c r="R32" s="486" t="str">
        <f t="shared" si="2"/>
        <v/>
      </c>
      <c r="S32" s="516" t="str">
        <f t="shared" si="3"/>
        <v/>
      </c>
      <c r="T32" s="517" t="str">
        <f t="shared" si="4"/>
        <v/>
      </c>
      <c r="V32" s="629" t="s">
        <v>3666</v>
      </c>
      <c r="W32" s="623" t="s">
        <v>3664</v>
      </c>
    </row>
    <row r="33" spans="2:26">
      <c r="B33" s="701"/>
      <c r="C33" s="702"/>
      <c r="D33" s="702"/>
      <c r="E33" s="702"/>
      <c r="F33" s="702"/>
      <c r="G33" s="702"/>
      <c r="H33" s="702"/>
      <c r="I33" s="702"/>
      <c r="J33" s="702"/>
      <c r="K33" s="702"/>
      <c r="L33" s="703"/>
      <c r="P33" s="527" t="str">
        <f t="shared" si="0"/>
        <v/>
      </c>
      <c r="Q33" s="479" t="str">
        <f t="shared" si="1"/>
        <v/>
      </c>
      <c r="R33" s="486" t="str">
        <f t="shared" si="2"/>
        <v/>
      </c>
      <c r="S33" s="516" t="str">
        <f t="shared" si="3"/>
        <v/>
      </c>
      <c r="T33" s="517" t="str">
        <f t="shared" si="4"/>
        <v/>
      </c>
      <c r="V33" s="695" t="s">
        <v>148</v>
      </c>
      <c r="W33" s="509">
        <v>1.0416666666666666E-2</v>
      </c>
    </row>
    <row r="34" spans="2:26">
      <c r="B34" s="701"/>
      <c r="C34" s="702"/>
      <c r="D34" s="702"/>
      <c r="E34" s="702"/>
      <c r="F34" s="702"/>
      <c r="G34" s="702"/>
      <c r="H34" s="702"/>
      <c r="I34" s="702"/>
      <c r="J34" s="702"/>
      <c r="K34" s="702"/>
      <c r="L34" s="703"/>
      <c r="P34" s="527" t="str">
        <f t="shared" si="0"/>
        <v/>
      </c>
      <c r="Q34" s="479" t="str">
        <f t="shared" si="1"/>
        <v/>
      </c>
      <c r="R34" s="486" t="str">
        <f t="shared" si="2"/>
        <v/>
      </c>
      <c r="S34" s="516" t="str">
        <f t="shared" si="3"/>
        <v/>
      </c>
      <c r="T34" s="517" t="str">
        <f t="shared" si="4"/>
        <v/>
      </c>
      <c r="V34" s="695" t="s">
        <v>93</v>
      </c>
      <c r="W34" s="509">
        <v>3.9583333333333331E-2</v>
      </c>
      <c r="X34" s="531">
        <f>+X36+X37</f>
        <v>1.2</v>
      </c>
      <c r="Y34"/>
    </row>
    <row r="35" spans="2:26">
      <c r="B35" s="701"/>
      <c r="C35" s="702"/>
      <c r="D35" s="702"/>
      <c r="E35" s="702"/>
      <c r="F35" s="702"/>
      <c r="G35" s="702"/>
      <c r="H35" s="702"/>
      <c r="I35" s="702"/>
      <c r="J35" s="702"/>
      <c r="K35" s="702"/>
      <c r="L35" s="703"/>
      <c r="P35" s="527" t="str">
        <f t="shared" si="0"/>
        <v/>
      </c>
      <c r="Q35" s="479" t="str">
        <f t="shared" si="1"/>
        <v/>
      </c>
      <c r="R35" s="486" t="str">
        <f t="shared" si="2"/>
        <v/>
      </c>
      <c r="S35" s="516" t="str">
        <f t="shared" si="3"/>
        <v/>
      </c>
      <c r="T35" s="517" t="str">
        <f t="shared" si="4"/>
        <v/>
      </c>
      <c r="V35" s="506" t="s">
        <v>3706</v>
      </c>
      <c r="W35" s="509">
        <v>0.13402777777777777</v>
      </c>
      <c r="X35" s="530" t="s">
        <v>3704</v>
      </c>
      <c r="Y35" s="530" t="s">
        <v>3705</v>
      </c>
      <c r="Z35" s="530" t="s">
        <v>3704</v>
      </c>
    </row>
    <row r="36" spans="2:26">
      <c r="B36" s="701"/>
      <c r="C36" s="702"/>
      <c r="D36" s="702"/>
      <c r="E36" s="702"/>
      <c r="F36" s="702"/>
      <c r="G36" s="702"/>
      <c r="H36" s="702"/>
      <c r="I36" s="702"/>
      <c r="J36" s="702"/>
      <c r="K36" s="702"/>
      <c r="L36" s="703"/>
      <c r="P36" s="527" t="str">
        <f t="shared" si="0"/>
        <v/>
      </c>
      <c r="Q36" s="479" t="str">
        <f t="shared" si="1"/>
        <v/>
      </c>
      <c r="R36" s="486" t="str">
        <f t="shared" si="2"/>
        <v/>
      </c>
      <c r="S36" s="516" t="str">
        <f t="shared" si="3"/>
        <v/>
      </c>
      <c r="T36" s="517" t="str">
        <f t="shared" si="4"/>
        <v/>
      </c>
      <c r="V36" s="506" t="s">
        <v>148</v>
      </c>
      <c r="W36" s="383">
        <f>+VLOOKUP(V36,V32:W34,2,FALSE)</f>
        <v>1.0416666666666666E-2</v>
      </c>
      <c r="X36" s="486">
        <f>+W33*24</f>
        <v>0.25</v>
      </c>
      <c r="Y36" s="532" t="str">
        <f>"("&amp;ROUND(X36/$X$34,2)*100&amp;"% )"</f>
        <v>(21% )</v>
      </c>
      <c r="Z36" s="688" t="str">
        <f>ROUND(X36,2)&amp; " h."</f>
        <v>0.25 h.</v>
      </c>
    </row>
    <row r="37" spans="2:26">
      <c r="B37" s="701"/>
      <c r="C37" s="702"/>
      <c r="D37" s="702"/>
      <c r="E37" s="702"/>
      <c r="F37" s="702"/>
      <c r="G37" s="702"/>
      <c r="H37" s="702"/>
      <c r="I37" s="702"/>
      <c r="J37" s="702"/>
      <c r="K37" s="702"/>
      <c r="L37" s="703"/>
      <c r="P37" s="527" t="str">
        <f t="shared" si="0"/>
        <v/>
      </c>
      <c r="Q37" s="479" t="str">
        <f t="shared" si="1"/>
        <v/>
      </c>
      <c r="R37" s="486" t="str">
        <f t="shared" si="2"/>
        <v/>
      </c>
      <c r="S37" s="516" t="str">
        <f t="shared" si="3"/>
        <v/>
      </c>
      <c r="T37" s="517" t="str">
        <f t="shared" si="4"/>
        <v/>
      </c>
      <c r="V37" s="506" t="s">
        <v>93</v>
      </c>
      <c r="W37" s="383">
        <f>+VLOOKUP(V37,V33:W35,2,FALSE)</f>
        <v>3.9583333333333331E-2</v>
      </c>
      <c r="X37" s="486">
        <f>+W34*24</f>
        <v>0.95</v>
      </c>
      <c r="Y37" s="532" t="str">
        <f>"("&amp;ROUND(X37/$X$34,2)*100&amp;"% )"</f>
        <v>(79% )</v>
      </c>
      <c r="Z37" s="688" t="str">
        <f>ROUND(X37,2)&amp; " h."</f>
        <v>0.95 h.</v>
      </c>
    </row>
    <row r="38" spans="2:26">
      <c r="B38" s="701"/>
      <c r="C38" s="702"/>
      <c r="D38" s="702"/>
      <c r="E38" s="702"/>
      <c r="F38" s="702"/>
      <c r="G38" s="702"/>
      <c r="H38" s="702"/>
      <c r="I38" s="702"/>
      <c r="J38" s="702"/>
      <c r="K38" s="702"/>
      <c r="L38" s="703"/>
      <c r="P38" s="527" t="str">
        <f t="shared" si="0"/>
        <v/>
      </c>
      <c r="Q38" s="479" t="str">
        <f t="shared" si="1"/>
        <v/>
      </c>
      <c r="R38" s="486" t="str">
        <f t="shared" si="2"/>
        <v/>
      </c>
      <c r="S38" s="516" t="str">
        <f t="shared" si="3"/>
        <v/>
      </c>
      <c r="T38" s="517" t="str">
        <f t="shared" si="4"/>
        <v/>
      </c>
    </row>
    <row r="39" spans="2:26">
      <c r="B39" s="701"/>
      <c r="C39" s="702"/>
      <c r="D39" s="702"/>
      <c r="E39" s="702"/>
      <c r="F39" s="702"/>
      <c r="G39" s="702"/>
      <c r="H39" s="702"/>
      <c r="I39" s="702"/>
      <c r="J39" s="702"/>
      <c r="K39" s="702"/>
      <c r="L39" s="703"/>
      <c r="P39" s="527" t="str">
        <f t="shared" si="0"/>
        <v/>
      </c>
      <c r="Q39" s="479" t="str">
        <f t="shared" si="1"/>
        <v/>
      </c>
      <c r="R39" s="486" t="str">
        <f t="shared" si="2"/>
        <v/>
      </c>
      <c r="S39" s="516" t="str">
        <f t="shared" si="3"/>
        <v/>
      </c>
      <c r="T39" s="517" t="str">
        <f t="shared" si="4"/>
        <v/>
      </c>
    </row>
    <row r="40" spans="2:26">
      <c r="B40" s="701"/>
      <c r="C40" s="702"/>
      <c r="D40" s="702"/>
      <c r="E40" s="702"/>
      <c r="F40" s="702"/>
      <c r="G40" s="702"/>
      <c r="H40" s="702"/>
      <c r="I40" s="702"/>
      <c r="J40" s="702"/>
      <c r="K40" s="702"/>
      <c r="L40" s="703"/>
      <c r="P40" s="527" t="str">
        <f t="shared" si="0"/>
        <v/>
      </c>
      <c r="Q40" s="479" t="str">
        <f t="shared" si="1"/>
        <v/>
      </c>
      <c r="R40" s="486" t="str">
        <f t="shared" si="2"/>
        <v/>
      </c>
      <c r="S40" s="516" t="str">
        <f t="shared" si="3"/>
        <v/>
      </c>
      <c r="T40" s="517" t="str">
        <f t="shared" si="4"/>
        <v/>
      </c>
    </row>
    <row r="41" spans="2:26">
      <c r="B41" s="701"/>
      <c r="C41" s="702"/>
      <c r="D41" s="702"/>
      <c r="E41" s="702"/>
      <c r="F41" s="702"/>
      <c r="G41" s="702"/>
      <c r="H41" s="702"/>
      <c r="I41" s="702"/>
      <c r="J41" s="702"/>
      <c r="K41" s="702"/>
      <c r="L41" s="703"/>
      <c r="O41" s="107"/>
      <c r="P41" s="527" t="str">
        <f t="shared" si="0"/>
        <v/>
      </c>
      <c r="Q41" s="479" t="str">
        <f t="shared" si="1"/>
        <v/>
      </c>
      <c r="R41" s="486" t="str">
        <f t="shared" si="2"/>
        <v/>
      </c>
      <c r="S41" s="516" t="str">
        <f t="shared" si="3"/>
        <v/>
      </c>
      <c r="T41" s="517" t="str">
        <f t="shared" si="4"/>
        <v/>
      </c>
    </row>
    <row r="42" spans="2:26">
      <c r="B42" s="701"/>
      <c r="C42" s="702"/>
      <c r="D42" s="702"/>
      <c r="E42" s="702"/>
      <c r="F42" s="702"/>
      <c r="G42" s="702"/>
      <c r="H42" s="702"/>
      <c r="I42" s="702"/>
      <c r="J42" s="702"/>
      <c r="K42" s="702"/>
      <c r="L42" s="703"/>
      <c r="O42" s="107"/>
      <c r="P42" s="527" t="str">
        <f t="shared" si="0"/>
        <v/>
      </c>
      <c r="Q42" s="479" t="str">
        <f t="shared" si="1"/>
        <v/>
      </c>
      <c r="R42" s="486" t="str">
        <f t="shared" si="2"/>
        <v/>
      </c>
      <c r="S42" s="516" t="str">
        <f t="shared" si="3"/>
        <v/>
      </c>
      <c r="T42" s="517" t="str">
        <f t="shared" si="4"/>
        <v/>
      </c>
    </row>
    <row r="43" spans="2:26">
      <c r="B43" s="701"/>
      <c r="C43" s="702"/>
      <c r="D43" s="702"/>
      <c r="E43" s="702"/>
      <c r="F43" s="702"/>
      <c r="G43" s="702"/>
      <c r="H43" s="702"/>
      <c r="I43" s="702"/>
      <c r="J43" s="702"/>
      <c r="K43" s="702"/>
      <c r="L43" s="703"/>
      <c r="O43" s="107"/>
      <c r="P43" s="527" t="str">
        <f t="shared" si="0"/>
        <v/>
      </c>
      <c r="Q43" s="479" t="str">
        <f t="shared" si="1"/>
        <v/>
      </c>
      <c r="R43" s="486" t="str">
        <f t="shared" si="2"/>
        <v/>
      </c>
      <c r="S43" s="516" t="str">
        <f t="shared" si="3"/>
        <v/>
      </c>
      <c r="T43" s="517" t="str">
        <f t="shared" si="4"/>
        <v/>
      </c>
    </row>
    <row r="44" spans="2:26">
      <c r="B44" s="701"/>
      <c r="C44" s="702"/>
      <c r="D44" s="702"/>
      <c r="E44" s="702"/>
      <c r="F44" s="702"/>
      <c r="G44" s="702"/>
      <c r="H44" s="702"/>
      <c r="I44" s="702"/>
      <c r="J44" s="702"/>
      <c r="K44" s="702"/>
      <c r="L44" s="703"/>
      <c r="O44" s="107"/>
      <c r="P44" s="527" t="str">
        <f t="shared" si="0"/>
        <v/>
      </c>
      <c r="Q44" s="479" t="str">
        <f t="shared" si="1"/>
        <v/>
      </c>
      <c r="R44" s="486" t="str">
        <f t="shared" si="2"/>
        <v/>
      </c>
      <c r="S44" s="516" t="str">
        <f t="shared" si="3"/>
        <v/>
      </c>
      <c r="T44" s="517" t="str">
        <f t="shared" si="4"/>
        <v/>
      </c>
    </row>
    <row r="45" spans="2:26">
      <c r="B45" s="701"/>
      <c r="C45" s="702"/>
      <c r="D45" s="702"/>
      <c r="E45" s="702"/>
      <c r="F45" s="702"/>
      <c r="G45" s="702"/>
      <c r="H45" s="702"/>
      <c r="I45" s="702"/>
      <c r="J45" s="702"/>
      <c r="K45" s="702"/>
      <c r="L45" s="703"/>
      <c r="O45" s="107"/>
      <c r="P45" s="528" t="str">
        <f t="shared" si="0"/>
        <v/>
      </c>
      <c r="Q45" s="522" t="str">
        <f t="shared" si="1"/>
        <v/>
      </c>
      <c r="R45" s="523" t="str">
        <f t="shared" si="2"/>
        <v/>
      </c>
      <c r="S45" s="524" t="str">
        <f t="shared" si="3"/>
        <v/>
      </c>
      <c r="T45" s="525" t="str">
        <f t="shared" si="4"/>
        <v/>
      </c>
    </row>
    <row r="46" spans="2:26" ht="36" customHeight="1">
      <c r="B46" s="701"/>
      <c r="C46" s="702"/>
      <c r="D46" s="702"/>
      <c r="E46" s="702"/>
      <c r="F46" s="702"/>
      <c r="G46" s="702"/>
      <c r="H46" s="702"/>
      <c r="I46" s="702"/>
      <c r="J46" s="702"/>
      <c r="K46" s="702"/>
      <c r="L46" s="703"/>
      <c r="N46" s="713" t="s">
        <v>3707</v>
      </c>
      <c r="O46" s="713"/>
      <c r="P46" s="713"/>
      <c r="Q46" s="713"/>
      <c r="R46" s="713"/>
      <c r="S46" s="713"/>
      <c r="T46" s="713"/>
    </row>
    <row r="47" spans="2:26">
      <c r="B47" s="701"/>
      <c r="C47" s="702"/>
      <c r="D47" s="702"/>
      <c r="E47" s="702"/>
      <c r="F47" s="702"/>
      <c r="G47" s="702"/>
      <c r="H47" s="702"/>
      <c r="I47" s="702"/>
      <c r="J47" s="702"/>
      <c r="K47" s="702"/>
      <c r="L47" s="703"/>
      <c r="O47" s="107"/>
    </row>
    <row r="48" spans="2:26">
      <c r="B48" s="701"/>
      <c r="C48" s="702"/>
      <c r="D48" s="702"/>
      <c r="E48" s="702"/>
      <c r="F48" s="702"/>
      <c r="G48" s="702"/>
      <c r="H48" s="702"/>
      <c r="I48" s="702"/>
      <c r="J48" s="702"/>
      <c r="K48" s="702"/>
      <c r="L48" s="703"/>
      <c r="O48" s="107"/>
    </row>
    <row r="49" spans="2:19">
      <c r="B49" s="701"/>
      <c r="C49" s="702"/>
      <c r="D49" s="702"/>
      <c r="E49" s="702"/>
      <c r="F49" s="702"/>
      <c r="G49" s="702"/>
      <c r="H49" s="702"/>
      <c r="I49" s="702"/>
      <c r="J49" s="702"/>
      <c r="K49" s="702"/>
      <c r="L49" s="703"/>
      <c r="N49" s="456" t="s">
        <v>10</v>
      </c>
      <c r="O49" s="386" t="s">
        <v>3678</v>
      </c>
      <c r="Q49" s="456" t="s">
        <v>10</v>
      </c>
      <c r="R49" s="386" t="s">
        <v>3678</v>
      </c>
    </row>
    <row r="50" spans="2:19">
      <c r="B50" s="701"/>
      <c r="C50" s="702"/>
      <c r="D50" s="702"/>
      <c r="E50" s="702"/>
      <c r="F50" s="702"/>
      <c r="G50" s="702"/>
      <c r="H50" s="702"/>
      <c r="I50" s="702"/>
      <c r="J50" s="702"/>
      <c r="K50" s="702"/>
      <c r="L50" s="703"/>
      <c r="O50" s="107"/>
      <c r="R50" s="107"/>
    </row>
    <row r="51" spans="2:19" ht="15.75">
      <c r="B51" s="701"/>
      <c r="C51" s="702"/>
      <c r="D51" s="702"/>
      <c r="E51" s="702"/>
      <c r="F51" s="702"/>
      <c r="G51" s="702"/>
      <c r="H51" s="702"/>
      <c r="I51" s="702"/>
      <c r="J51" s="702"/>
      <c r="K51" s="702"/>
      <c r="L51" s="703"/>
      <c r="N51" s="626" t="s">
        <v>3666</v>
      </c>
      <c r="O51" s="628" t="s">
        <v>3664</v>
      </c>
      <c r="Q51" s="626" t="s">
        <v>3666</v>
      </c>
      <c r="R51" s="628" t="s">
        <v>3664</v>
      </c>
    </row>
    <row r="52" spans="2:19">
      <c r="B52" s="701"/>
      <c r="C52" s="702"/>
      <c r="D52" s="702"/>
      <c r="E52" s="702"/>
      <c r="F52" s="702"/>
      <c r="G52" s="702"/>
      <c r="H52" s="702"/>
      <c r="I52" s="702"/>
      <c r="J52" s="702"/>
      <c r="K52" s="702"/>
      <c r="L52" s="703"/>
      <c r="N52" s="696" t="s">
        <v>43</v>
      </c>
      <c r="O52" s="479">
        <v>1.0416666666666666E-2</v>
      </c>
      <c r="Q52" s="696" t="s">
        <v>36</v>
      </c>
      <c r="R52" s="479">
        <v>0.15277777777777779</v>
      </c>
    </row>
    <row r="53" spans="2:19">
      <c r="B53" s="701"/>
      <c r="C53" s="702"/>
      <c r="D53" s="702"/>
      <c r="E53" s="702"/>
      <c r="F53" s="702"/>
      <c r="G53" s="702"/>
      <c r="H53" s="702"/>
      <c r="I53" s="702"/>
      <c r="J53" s="702"/>
      <c r="K53" s="702"/>
      <c r="L53" s="703"/>
      <c r="N53" s="696" t="s">
        <v>57</v>
      </c>
      <c r="O53" s="479">
        <v>1.0416666666666666E-2</v>
      </c>
    </row>
    <row r="54" spans="2:19">
      <c r="B54" s="701"/>
      <c r="C54" s="702"/>
      <c r="D54" s="702"/>
      <c r="E54" s="702"/>
      <c r="F54" s="702"/>
      <c r="G54" s="702"/>
      <c r="H54" s="702"/>
      <c r="I54" s="702"/>
      <c r="J54" s="702"/>
      <c r="K54" s="702"/>
      <c r="L54" s="703"/>
      <c r="N54" s="696" t="s">
        <v>32</v>
      </c>
      <c r="O54" s="479">
        <v>1.0416666666666666E-2</v>
      </c>
    </row>
    <row r="55" spans="2:19">
      <c r="B55" s="701"/>
      <c r="C55" s="702"/>
      <c r="D55" s="702"/>
      <c r="E55" s="702"/>
      <c r="F55" s="702"/>
      <c r="G55" s="702"/>
      <c r="H55" s="702"/>
      <c r="I55" s="702"/>
      <c r="J55" s="702"/>
      <c r="K55" s="702"/>
      <c r="L55" s="703"/>
      <c r="N55" s="418" t="s">
        <v>405</v>
      </c>
      <c r="O55" s="479">
        <v>1.1805555555555555E-2</v>
      </c>
      <c r="R55" s="495">
        <f>+SUM(R56:R58)</f>
        <v>3.666666666666667</v>
      </c>
    </row>
    <row r="56" spans="2:19">
      <c r="B56" s="701"/>
      <c r="C56" s="702"/>
      <c r="D56" s="702"/>
      <c r="E56" s="702"/>
      <c r="F56" s="702"/>
      <c r="G56" s="702"/>
      <c r="H56" s="702"/>
      <c r="I56" s="702"/>
      <c r="J56" s="702"/>
      <c r="K56" s="702"/>
      <c r="L56" s="703"/>
      <c r="N56" s="418" t="s">
        <v>245</v>
      </c>
      <c r="O56" s="479">
        <v>1.2500000000000001E-2</v>
      </c>
      <c r="Q56" s="386" t="s">
        <v>36</v>
      </c>
      <c r="R56" s="495">
        <f>IFERROR(VLOOKUP(Q56,$Q$51:$R$54,2,FALSE),0)*24</f>
        <v>3.666666666666667</v>
      </c>
      <c r="S56" s="533">
        <f>+R56/$R$55</f>
        <v>1</v>
      </c>
    </row>
    <row r="57" spans="2:19">
      <c r="B57" s="701"/>
      <c r="C57" s="702"/>
      <c r="D57" s="702"/>
      <c r="E57" s="702"/>
      <c r="F57" s="702"/>
      <c r="G57" s="702"/>
      <c r="H57" s="702"/>
      <c r="I57" s="702"/>
      <c r="J57" s="702"/>
      <c r="K57" s="702"/>
      <c r="L57" s="703"/>
      <c r="N57" s="696" t="s">
        <v>186</v>
      </c>
      <c r="O57" s="479">
        <v>1.6666666666666666E-2</v>
      </c>
      <c r="Q57" s="386" t="s">
        <v>23</v>
      </c>
      <c r="R57" s="495">
        <f>IFERROR(VLOOKUP(Q57,$Q$51:$R$54,2,FALSE),0)*24</f>
        <v>0</v>
      </c>
      <c r="S57" s="533">
        <f>+R57/$R$55</f>
        <v>0</v>
      </c>
    </row>
    <row r="58" spans="2:19">
      <c r="B58" s="701"/>
      <c r="C58" s="702"/>
      <c r="D58" s="702"/>
      <c r="E58" s="702"/>
      <c r="F58" s="702"/>
      <c r="G58" s="702"/>
      <c r="H58" s="702"/>
      <c r="I58" s="702"/>
      <c r="J58" s="702"/>
      <c r="K58" s="702"/>
      <c r="L58" s="703"/>
      <c r="N58" s="696" t="s">
        <v>54</v>
      </c>
      <c r="O58" s="479">
        <v>8.0555555555555561E-2</v>
      </c>
      <c r="Q58" s="386" t="s">
        <v>39</v>
      </c>
      <c r="R58" s="495">
        <f>IFERROR(VLOOKUP(Q58,$Q$51:$R$54,2,FALSE),0)*24</f>
        <v>0</v>
      </c>
      <c r="S58" s="533">
        <f>+R58/$R$55</f>
        <v>0</v>
      </c>
    </row>
    <row r="59" spans="2:19">
      <c r="B59" s="701"/>
      <c r="C59" s="702"/>
      <c r="D59" s="702"/>
      <c r="E59" s="702"/>
      <c r="F59" s="702"/>
      <c r="G59" s="702"/>
      <c r="H59" s="702"/>
      <c r="I59" s="702"/>
      <c r="J59" s="702"/>
      <c r="K59" s="702"/>
      <c r="L59" s="703"/>
    </row>
    <row r="60" spans="2:19">
      <c r="B60" s="701"/>
      <c r="C60" s="702"/>
      <c r="D60" s="702"/>
      <c r="E60" s="702"/>
      <c r="F60" s="702"/>
      <c r="G60" s="702"/>
      <c r="H60" s="702"/>
      <c r="I60" s="702"/>
      <c r="J60" s="702"/>
      <c r="K60" s="702"/>
      <c r="L60" s="703"/>
    </row>
    <row r="61" spans="2:19">
      <c r="B61" s="701"/>
      <c r="C61" s="702"/>
      <c r="D61" s="702"/>
      <c r="E61" s="702"/>
      <c r="F61" s="702"/>
      <c r="G61" s="702"/>
      <c r="H61" s="702"/>
      <c r="I61" s="702"/>
      <c r="J61" s="702"/>
      <c r="K61" s="702"/>
      <c r="L61" s="703"/>
      <c r="P61" s="107"/>
    </row>
    <row r="62" spans="2:19">
      <c r="B62" s="701"/>
      <c r="C62" s="702"/>
      <c r="D62" s="702"/>
      <c r="E62" s="702"/>
      <c r="F62" s="702"/>
      <c r="G62" s="702"/>
      <c r="H62" s="702"/>
      <c r="I62" s="702"/>
      <c r="J62" s="702"/>
      <c r="K62" s="702"/>
      <c r="L62" s="703"/>
      <c r="O62" s="107"/>
    </row>
    <row r="63" spans="2:19">
      <c r="B63" s="701"/>
      <c r="C63" s="702"/>
      <c r="D63" s="702"/>
      <c r="E63" s="702"/>
      <c r="F63" s="702"/>
      <c r="G63" s="702"/>
      <c r="H63" s="702"/>
      <c r="I63" s="702"/>
      <c r="J63" s="702"/>
      <c r="K63" s="702"/>
      <c r="L63" s="703"/>
      <c r="O63" s="107"/>
    </row>
    <row r="64" spans="2:19">
      <c r="B64" s="701"/>
      <c r="C64" s="702"/>
      <c r="D64" s="702"/>
      <c r="E64" s="702"/>
      <c r="F64" s="702"/>
      <c r="G64" s="702"/>
      <c r="H64" s="702"/>
      <c r="I64" s="702"/>
      <c r="J64" s="702"/>
      <c r="K64" s="702"/>
      <c r="L64" s="703"/>
      <c r="O64" s="107"/>
    </row>
    <row r="65" spans="2:24">
      <c r="B65" s="701"/>
      <c r="C65" s="702"/>
      <c r="D65" s="702"/>
      <c r="E65" s="702"/>
      <c r="F65" s="702"/>
      <c r="G65" s="702"/>
      <c r="H65" s="702"/>
      <c r="I65" s="702"/>
      <c r="J65" s="702"/>
      <c r="K65" s="702"/>
      <c r="L65" s="703"/>
      <c r="O65" s="107"/>
    </row>
    <row r="66" spans="2:24">
      <c r="B66" s="701"/>
      <c r="C66" s="702"/>
      <c r="D66" s="702"/>
      <c r="E66" s="702"/>
      <c r="F66" s="702"/>
      <c r="G66" s="702"/>
      <c r="H66" s="702"/>
      <c r="I66" s="702"/>
      <c r="J66" s="702"/>
      <c r="K66" s="702"/>
      <c r="L66" s="703"/>
      <c r="O66" s="107"/>
    </row>
    <row r="67" spans="2:24">
      <c r="B67" s="701"/>
      <c r="C67" s="702"/>
      <c r="D67" s="702"/>
      <c r="E67" s="702"/>
      <c r="F67" s="702"/>
      <c r="G67" s="702"/>
      <c r="H67" s="702"/>
      <c r="I67" s="702"/>
      <c r="J67" s="702"/>
      <c r="K67" s="702"/>
      <c r="L67" s="703"/>
      <c r="O67" s="107"/>
    </row>
    <row r="68" spans="2:24">
      <c r="B68" s="701"/>
      <c r="C68" s="702"/>
      <c r="D68" s="702"/>
      <c r="E68" s="702"/>
      <c r="F68" s="702"/>
      <c r="G68" s="702"/>
      <c r="H68" s="702"/>
      <c r="I68" s="702"/>
      <c r="J68" s="702"/>
      <c r="K68" s="702"/>
      <c r="L68" s="703"/>
      <c r="O68" s="107"/>
    </row>
    <row r="69" spans="2:24">
      <c r="B69" s="701"/>
      <c r="C69" s="702"/>
      <c r="D69" s="702"/>
      <c r="E69" s="702"/>
      <c r="F69" s="702"/>
      <c r="G69" s="702"/>
      <c r="H69" s="702"/>
      <c r="I69" s="702"/>
      <c r="J69" s="702"/>
      <c r="K69" s="702"/>
      <c r="L69" s="703"/>
      <c r="O69" s="107"/>
    </row>
    <row r="70" spans="2:24">
      <c r="B70" s="701"/>
      <c r="C70" s="702"/>
      <c r="D70" s="702"/>
      <c r="E70" s="702"/>
      <c r="F70" s="702"/>
      <c r="G70" s="702"/>
      <c r="H70" s="702"/>
      <c r="I70" s="702"/>
      <c r="J70" s="702"/>
      <c r="K70" s="702"/>
      <c r="L70" s="703"/>
      <c r="O70" s="107"/>
    </row>
    <row r="71" spans="2:24" ht="46.5">
      <c r="B71" s="701"/>
      <c r="C71" s="702"/>
      <c r="D71" s="702"/>
      <c r="E71" s="702"/>
      <c r="F71" s="702"/>
      <c r="G71" s="702"/>
      <c r="H71" s="702"/>
      <c r="I71" s="702"/>
      <c r="J71" s="702"/>
      <c r="K71" s="702"/>
      <c r="L71" s="703"/>
      <c r="O71" s="731" t="str">
        <f ca="1">IF(COUNTIF(Q75:Q84,"&lt;&gt;NORMAL")&gt;0,"🚨 Hay consumos fuera de rango","✅ Todo en orden")</f>
        <v>🚨 Hay consumos fuera de rango</v>
      </c>
      <c r="P71" s="731"/>
      <c r="Q71" s="731"/>
      <c r="R71" s="731"/>
      <c r="S71" s="731"/>
      <c r="U71" s="39"/>
      <c r="V71" s="315"/>
      <c r="W71"/>
      <c r="X71" s="504"/>
    </row>
    <row r="72" spans="2:24">
      <c r="B72" s="701"/>
      <c r="C72" s="702"/>
      <c r="D72" s="702"/>
      <c r="E72" s="702"/>
      <c r="F72" s="702"/>
      <c r="G72" s="702"/>
      <c r="H72" s="702"/>
      <c r="I72" s="702"/>
      <c r="J72" s="702"/>
      <c r="K72" s="702"/>
      <c r="L72" s="703"/>
      <c r="U72" s="39"/>
      <c r="V72" s="315"/>
      <c r="W72"/>
      <c r="X72" s="504"/>
    </row>
    <row r="73" spans="2:24" ht="26.25">
      <c r="B73" s="701"/>
      <c r="C73" s="702"/>
      <c r="D73" s="702"/>
      <c r="E73" s="702"/>
      <c r="F73" s="702"/>
      <c r="G73" s="702"/>
      <c r="H73" s="702"/>
      <c r="I73" s="702"/>
      <c r="J73" s="702"/>
      <c r="K73" s="702"/>
      <c r="L73" s="703"/>
      <c r="N73" s="663">
        <f ca="1">TODAY()-1</f>
        <v>46205</v>
      </c>
      <c r="O73" s="663">
        <f ca="1">TODAY()</f>
        <v>46206</v>
      </c>
      <c r="P73" s="662"/>
      <c r="Q73" s="662"/>
      <c r="R73" s="662"/>
      <c r="S73" s="662"/>
      <c r="U73" s="39"/>
      <c r="V73" s="315"/>
      <c r="W73"/>
      <c r="X73" s="504"/>
    </row>
    <row r="74" spans="2:24" ht="26.25">
      <c r="B74" s="701"/>
      <c r="C74" s="702"/>
      <c r="D74" s="702"/>
      <c r="E74" s="702"/>
      <c r="F74" s="702"/>
      <c r="G74" s="702"/>
      <c r="H74" s="702"/>
      <c r="I74" s="702"/>
      <c r="J74" s="702"/>
      <c r="K74" s="702"/>
      <c r="L74" s="703"/>
      <c r="N74" s="667"/>
      <c r="O74" s="667" t="s">
        <v>3708</v>
      </c>
      <c r="P74" s="667" t="s">
        <v>3685</v>
      </c>
      <c r="Q74" s="667" t="s">
        <v>3709</v>
      </c>
      <c r="R74" s="667" t="s">
        <v>3710</v>
      </c>
      <c r="S74" s="667" t="s">
        <v>3711</v>
      </c>
      <c r="T74" s="670" t="s">
        <v>3712</v>
      </c>
      <c r="U74" s="39"/>
      <c r="V74" s="315"/>
      <c r="W74"/>
      <c r="X74" s="504"/>
    </row>
    <row r="75" spans="2:24" ht="26.25">
      <c r="B75" s="701"/>
      <c r="C75" s="702"/>
      <c r="D75" s="702"/>
      <c r="E75" s="702"/>
      <c r="F75" s="702"/>
      <c r="G75" s="702"/>
      <c r="H75" s="702"/>
      <c r="I75" s="702"/>
      <c r="J75" s="702"/>
      <c r="K75" s="702"/>
      <c r="L75" s="703"/>
      <c r="N75" s="664" t="s">
        <v>3713</v>
      </c>
      <c r="O75" s="166">
        <f ca="1">+VLOOKUP($O$73,Tabla_query___2026_06_23T082334.128[#All],13,FALSE)</f>
        <v>58</v>
      </c>
      <c r="P75" s="166">
        <v>75</v>
      </c>
      <c r="Q75" s="671" t="str">
        <f ca="1">IF(O75&lt;P75,"NORMAL","EXCEDIDO")</f>
        <v>NORMAL</v>
      </c>
      <c r="R75" s="668">
        <f ca="1">+O75/P75</f>
        <v>0.77333333333333332</v>
      </c>
      <c r="S75" s="669">
        <f ca="1">+VLOOKUP($O$73,Tabla_query___2026_06_23T082334.128[#All],2,FALSE)</f>
        <v>71106</v>
      </c>
      <c r="T75" s="166" t="str">
        <f ca="1">+O75&amp; " m3"</f>
        <v>58 m3</v>
      </c>
      <c r="U75" s="39"/>
      <c r="V75" s="315"/>
      <c r="W75"/>
      <c r="X75" s="504"/>
    </row>
    <row r="76" spans="2:24" ht="26.25">
      <c r="B76" s="701"/>
      <c r="C76" s="702"/>
      <c r="D76" s="702"/>
      <c r="E76" s="702"/>
      <c r="F76" s="702"/>
      <c r="G76" s="702"/>
      <c r="H76" s="702"/>
      <c r="I76" s="702"/>
      <c r="J76" s="702"/>
      <c r="K76" s="702"/>
      <c r="L76" s="703"/>
      <c r="N76" s="664" t="s">
        <v>3714</v>
      </c>
      <c r="O76" s="166">
        <f ca="1">+VLOOKUP($O$73,Tabla_query___2026_06_23T082334.128[#All],15,FALSE)</f>
        <v>20</v>
      </c>
      <c r="P76" s="166">
        <v>30</v>
      </c>
      <c r="Q76" s="166" t="str">
        <f ca="1">IF(O76&lt;P76,"NORMAL","EXCEDIDO")</f>
        <v>NORMAL</v>
      </c>
      <c r="R76" s="668">
        <f t="shared" ref="R76:R78" ca="1" si="5">+O76/P76</f>
        <v>0.66666666666666663</v>
      </c>
      <c r="S76" s="669">
        <f ca="1">+VLOOKUP($O$73,Tabla_query___2026_06_23T082334.128[#All],4,FALSE)</f>
        <v>16827</v>
      </c>
      <c r="T76" s="166" t="str">
        <f ca="1">+O76&amp; " m3"</f>
        <v>20 m3</v>
      </c>
      <c r="U76" s="39"/>
      <c r="V76" s="315"/>
      <c r="W76"/>
      <c r="X76" s="504"/>
    </row>
    <row r="77" spans="2:24" ht="26.25">
      <c r="B77" s="701"/>
      <c r="C77" s="702"/>
      <c r="D77" s="702"/>
      <c r="E77" s="702"/>
      <c r="F77" s="702"/>
      <c r="G77" s="702"/>
      <c r="H77" s="702"/>
      <c r="I77" s="702"/>
      <c r="J77" s="702"/>
      <c r="K77" s="702"/>
      <c r="L77" s="703"/>
      <c r="N77" s="664" t="s">
        <v>3715</v>
      </c>
      <c r="O77" s="166">
        <f ca="1">+VLOOKUP($O$73,Tabla_query___2026_06_23T082334.128[#All],16,FALSE)</f>
        <v>0.36299999999999999</v>
      </c>
      <c r="P77" s="166">
        <v>5</v>
      </c>
      <c r="Q77" s="166" t="str">
        <f ca="1">IF(O77&lt;P77,"NORMAL","EXCEDIDO")</f>
        <v>NORMAL</v>
      </c>
      <c r="R77" s="668">
        <f t="shared" ca="1" si="5"/>
        <v>7.2599999999999998E-2</v>
      </c>
      <c r="S77" s="669">
        <f ca="1">+VLOOKUP($O$73,Tabla_query___2026_06_23T082334.128[#All],5,FALSE)</f>
        <v>968.41</v>
      </c>
      <c r="T77" s="166" t="str">
        <f ca="1">+O77&amp; " m3"</f>
        <v>0.363 m3</v>
      </c>
      <c r="U77" s="39"/>
      <c r="V77" s="315"/>
      <c r="W77"/>
      <c r="X77" s="504"/>
    </row>
    <row r="78" spans="2:24" ht="26.25">
      <c r="B78" s="701"/>
      <c r="C78" s="702"/>
      <c r="D78" s="702"/>
      <c r="E78" s="702"/>
      <c r="F78" s="702"/>
      <c r="G78" s="702"/>
      <c r="H78" s="702"/>
      <c r="I78" s="702"/>
      <c r="J78" s="702"/>
      <c r="K78" s="702"/>
      <c r="L78" s="703"/>
      <c r="N78" s="664" t="s">
        <v>3716</v>
      </c>
      <c r="O78" s="166">
        <f ca="1">+VLOOKUP($O$73,Tabla_query___2026_06_23T082334.128[#All],17,FALSE)</f>
        <v>7</v>
      </c>
      <c r="P78" s="166">
        <v>20</v>
      </c>
      <c r="Q78" s="166" t="str">
        <f ca="1">IF(O78&lt;P78,"NORMAL","EXCEDIDO")</f>
        <v>NORMAL</v>
      </c>
      <c r="R78" s="668">
        <f t="shared" ca="1" si="5"/>
        <v>0.35</v>
      </c>
      <c r="S78" s="669">
        <f ca="1">+VLOOKUP($O$73,Tabla_query___2026_06_23T082334.128[#All],6,FALSE)</f>
        <v>9942</v>
      </c>
      <c r="T78" s="166" t="str">
        <f ca="1">+O78&amp; " m3"</f>
        <v>7 m3</v>
      </c>
      <c r="U78" s="39"/>
      <c r="V78" s="315"/>
      <c r="W78"/>
      <c r="X78" s="504"/>
    </row>
    <row r="79" spans="2:24" ht="26.25">
      <c r="B79" s="701"/>
      <c r="C79" s="702"/>
      <c r="D79" s="702"/>
      <c r="E79" s="702"/>
      <c r="F79" s="702"/>
      <c r="G79" s="702"/>
      <c r="H79" s="702"/>
      <c r="I79" s="702"/>
      <c r="J79" s="702"/>
      <c r="K79" s="702"/>
      <c r="L79" s="703"/>
      <c r="N79" s="664" t="s">
        <v>3717</v>
      </c>
      <c r="O79" s="666">
        <f ca="1">+VLOOKUP($O$73,Tabla_query___2026_06_23T082334.128[#All],22,FALSE)/100</f>
        <v>0.48</v>
      </c>
      <c r="P79" s="166"/>
      <c r="Q79" s="166" t="str" cm="1">
        <f t="array" aca="1" ref="Q79" ca="1">_xlfn.IFS(O79&lt;0.31,"CRÍTICO",AND(O79&gt;=0.31,O79&lt;0.51),"PRECAUCIÓN",O79&gt;0.5,"NORMAL")</f>
        <v>PRECAUCIÓN</v>
      </c>
      <c r="R79" s="665"/>
      <c r="S79" s="665"/>
      <c r="U79" s="39"/>
      <c r="V79" s="315"/>
      <c r="W79"/>
      <c r="X79" s="504"/>
    </row>
    <row r="80" spans="2:24" ht="26.25">
      <c r="B80" s="701"/>
      <c r="C80" s="702"/>
      <c r="D80" s="702"/>
      <c r="E80" s="702"/>
      <c r="F80" s="702"/>
      <c r="G80" s="702"/>
      <c r="H80" s="702"/>
      <c r="I80" s="702"/>
      <c r="J80" s="702"/>
      <c r="K80" s="702"/>
      <c r="L80" s="703"/>
      <c r="N80" s="664" t="s">
        <v>3718</v>
      </c>
      <c r="O80" s="166">
        <f ca="1">+VLOOKUP($O$73,Tabla_query___2026_06_23T082334.128[#All],19,FALSE)</f>
        <v>3.8</v>
      </c>
      <c r="P80" s="166">
        <v>5</v>
      </c>
      <c r="Q80" s="166" t="str">
        <f ca="1">IF(O80&lt;P80,"NORMAL","EXCEDIDO")</f>
        <v>NORMAL</v>
      </c>
      <c r="R80" s="665"/>
      <c r="S80" s="669">
        <f ca="1">+VLOOKUP($O$73,Tabla_query___2026_06_23T082334.128[#All],8,FALSE)</f>
        <v>5487.9</v>
      </c>
      <c r="U80" s="39"/>
      <c r="V80" s="315"/>
      <c r="W80"/>
      <c r="X80" s="504"/>
    </row>
    <row r="81" spans="2:24" ht="26.25">
      <c r="B81" s="701"/>
      <c r="C81" s="702"/>
      <c r="D81" s="702"/>
      <c r="E81" s="702"/>
      <c r="F81" s="702"/>
      <c r="G81" s="702"/>
      <c r="H81" s="702"/>
      <c r="I81" s="702"/>
      <c r="J81" s="702"/>
      <c r="K81" s="702"/>
      <c r="L81" s="703"/>
      <c r="N81" s="664" t="s">
        <v>3719</v>
      </c>
      <c r="O81" s="166">
        <f ca="1">+VLOOKUP($O$73,Tabla_query___2026_06_23T082334.128[#All],20,FALSE)</f>
        <v>14</v>
      </c>
      <c r="P81" s="166">
        <v>20</v>
      </c>
      <c r="Q81" s="166" t="str">
        <f ca="1">IF(O81&lt;P81,"NORMAL","EXCEDIDO")</f>
        <v>NORMAL</v>
      </c>
      <c r="R81" s="665"/>
      <c r="S81" s="669">
        <f ca="1">+VLOOKUP($O$73,Tabla_query___2026_06_23T082334.128[#All],9,FALSE)</f>
        <v>2617.9</v>
      </c>
      <c r="U81" s="39"/>
      <c r="V81" s="315"/>
      <c r="W81"/>
      <c r="X81" s="504"/>
    </row>
    <row r="82" spans="2:24" ht="26.25">
      <c r="B82" s="701"/>
      <c r="C82" s="702"/>
      <c r="D82" s="702"/>
      <c r="E82" s="702"/>
      <c r="F82" s="702"/>
      <c r="G82" s="702"/>
      <c r="H82" s="702"/>
      <c r="I82" s="702"/>
      <c r="J82" s="702"/>
      <c r="K82" s="702"/>
      <c r="L82" s="703"/>
      <c r="N82" s="664" t="s">
        <v>3720</v>
      </c>
      <c r="O82" s="166">
        <f ca="1">+VLOOKUP($O$73,Tabla_query___2026_06_23T082334.128[#All],21,FALSE)</f>
        <v>4</v>
      </c>
      <c r="P82" s="166">
        <v>10</v>
      </c>
      <c r="Q82" s="166" t="str">
        <f ca="1">IF(O82&lt;P82,"NORMAL","EXCEDIDO")</f>
        <v>NORMAL</v>
      </c>
      <c r="R82" s="665"/>
      <c r="S82" s="669">
        <f ca="1">+VLOOKUP($O$73,Tabla_query___2026_06_23T082334.128[#All],10,FALSE)</f>
        <v>5733.6</v>
      </c>
      <c r="U82" s="39"/>
      <c r="V82" s="315"/>
      <c r="W82"/>
      <c r="X82" s="504"/>
    </row>
    <row r="83" spans="2:24" ht="26.25">
      <c r="B83" s="701"/>
      <c r="C83" s="702"/>
      <c r="D83" s="702"/>
      <c r="E83" s="702"/>
      <c r="F83" s="702"/>
      <c r="G83" s="702"/>
      <c r="H83" s="702"/>
      <c r="I83" s="702"/>
      <c r="J83" s="702"/>
      <c r="K83" s="702"/>
      <c r="L83" s="703"/>
      <c r="N83" s="664" t="s">
        <v>3721</v>
      </c>
      <c r="O83" s="166">
        <f ca="1">+VLOOKUP($O$73,Tabla_query___2026_06_23T082334.128[#All],11,FALSE)</f>
        <v>7118</v>
      </c>
      <c r="P83" s="166">
        <v>8000</v>
      </c>
      <c r="Q83" s="166" t="str">
        <f ca="1">IF(O83&lt;P83,"NORMAL","EXCEDIDO")</f>
        <v>NORMAL</v>
      </c>
      <c r="R83" s="665"/>
      <c r="S83" s="665"/>
      <c r="T83" s="166" t="str">
        <f ca="1">+O83&amp; " kWh"</f>
        <v>7118 kWh</v>
      </c>
      <c r="U83" s="39"/>
      <c r="V83" s="315"/>
      <c r="W83"/>
      <c r="X83" s="504"/>
    </row>
    <row r="84" spans="2:24" ht="52.5">
      <c r="B84" s="701"/>
      <c r="C84" s="702"/>
      <c r="D84" s="702"/>
      <c r="E84" s="702"/>
      <c r="F84" s="702"/>
      <c r="G84" s="702"/>
      <c r="H84" s="702"/>
      <c r="I84" s="702"/>
      <c r="J84" s="702"/>
      <c r="K84" s="702"/>
      <c r="L84" s="703"/>
      <c r="N84" s="664" t="s">
        <v>3722</v>
      </c>
      <c r="O84" s="166">
        <f ca="1">+VLOOKUP($O$73,Tabla_query___2026_06_23T082334.128[#All],12,FALSE)</f>
        <v>297</v>
      </c>
      <c r="P84" s="166">
        <v>350</v>
      </c>
      <c r="Q84" s="166" t="str">
        <f ca="1">IF(O84&lt;P84,"NORMAL","EXCEDIDO")</f>
        <v>NORMAL</v>
      </c>
      <c r="R84" s="665"/>
      <c r="S84" s="665"/>
      <c r="T84" s="166" t="str">
        <f ca="1">+O84&amp; " kW"</f>
        <v>297 kW</v>
      </c>
      <c r="U84" s="39"/>
      <c r="V84" s="315"/>
      <c r="W84"/>
      <c r="X84" s="504"/>
    </row>
    <row r="85" spans="2:24">
      <c r="B85" s="701"/>
      <c r="C85" s="702"/>
      <c r="D85" s="702"/>
      <c r="E85" s="702"/>
      <c r="F85" s="702"/>
      <c r="G85" s="702"/>
      <c r="H85" s="702"/>
      <c r="I85" s="702"/>
      <c r="J85" s="702"/>
      <c r="K85" s="702"/>
      <c r="L85" s="703"/>
      <c r="U85" s="39"/>
      <c r="V85" s="315"/>
      <c r="W85"/>
      <c r="X85" s="504"/>
    </row>
    <row r="86" spans="2:24">
      <c r="B86" s="701"/>
      <c r="C86" s="702"/>
      <c r="D86" s="702"/>
      <c r="E86" s="702"/>
      <c r="F86" s="702"/>
      <c r="G86" s="702"/>
      <c r="H86" s="702"/>
      <c r="I86" s="702"/>
      <c r="J86" s="702"/>
      <c r="K86" s="702"/>
      <c r="L86" s="703"/>
      <c r="U86" s="39"/>
      <c r="V86" s="315"/>
      <c r="W86"/>
      <c r="X86" s="504"/>
    </row>
    <row r="87" spans="2:24">
      <c r="B87" s="701"/>
      <c r="C87" s="702"/>
      <c r="D87" s="702"/>
      <c r="E87" s="702"/>
      <c r="F87" s="702"/>
      <c r="G87" s="702"/>
      <c r="H87" s="702"/>
      <c r="I87" s="702"/>
      <c r="J87" s="702"/>
      <c r="K87" s="702"/>
      <c r="L87" s="703"/>
      <c r="U87" s="39"/>
      <c r="V87" s="315"/>
      <c r="W87"/>
      <c r="X87" s="504"/>
    </row>
    <row r="88" spans="2:24">
      <c r="B88" s="701"/>
      <c r="C88" s="702"/>
      <c r="D88" s="702"/>
      <c r="E88" s="702"/>
      <c r="F88" s="702"/>
      <c r="G88" s="702"/>
      <c r="H88" s="702"/>
      <c r="I88" s="702"/>
      <c r="J88" s="702"/>
      <c r="K88" s="702"/>
      <c r="L88" s="703"/>
      <c r="U88" s="39"/>
      <c r="V88" s="315"/>
      <c r="W88"/>
      <c r="X88" s="504"/>
    </row>
    <row r="89" spans="2:24">
      <c r="B89" s="701"/>
      <c r="C89" s="702"/>
      <c r="D89" s="702"/>
      <c r="E89" s="702"/>
      <c r="F89" s="702"/>
      <c r="G89" s="702"/>
      <c r="H89" s="702"/>
      <c r="I89" s="702"/>
      <c r="J89" s="702"/>
      <c r="K89" s="702"/>
      <c r="L89" s="703"/>
      <c r="U89" s="39"/>
      <c r="V89" s="315"/>
      <c r="W89"/>
      <c r="X89" s="504"/>
    </row>
    <row r="90" spans="2:24">
      <c r="B90" s="701"/>
      <c r="C90" s="702"/>
      <c r="D90" s="702"/>
      <c r="E90" s="702"/>
      <c r="F90" s="702"/>
      <c r="G90" s="702"/>
      <c r="H90" s="702"/>
      <c r="I90" s="702"/>
      <c r="J90" s="702"/>
      <c r="K90" s="702"/>
      <c r="L90" s="703"/>
      <c r="U90" s="39"/>
      <c r="V90" s="315"/>
      <c r="W90"/>
      <c r="X90" s="504"/>
    </row>
    <row r="91" spans="2:24">
      <c r="B91" s="701"/>
      <c r="C91" s="702"/>
      <c r="D91" s="702"/>
      <c r="E91" s="702"/>
      <c r="F91" s="702"/>
      <c r="G91" s="702"/>
      <c r="H91" s="702"/>
      <c r="I91" s="702"/>
      <c r="J91" s="702"/>
      <c r="K91" s="702"/>
      <c r="L91" s="703"/>
      <c r="U91" s="39"/>
      <c r="V91" s="315"/>
      <c r="W91"/>
      <c r="X91" s="504"/>
    </row>
    <row r="92" spans="2:24">
      <c r="B92" s="701"/>
      <c r="C92" s="702"/>
      <c r="D92" s="702"/>
      <c r="E92" s="702"/>
      <c r="F92" s="702"/>
      <c r="G92" s="702"/>
      <c r="H92" s="702"/>
      <c r="I92" s="702"/>
      <c r="J92" s="702"/>
      <c r="K92" s="702"/>
      <c r="L92" s="703"/>
      <c r="U92" s="39"/>
      <c r="V92" s="315"/>
      <c r="W92"/>
      <c r="X92" s="504"/>
    </row>
    <row r="93" spans="2:24">
      <c r="B93" s="701"/>
      <c r="C93" s="702"/>
      <c r="D93" s="702"/>
      <c r="E93" s="702"/>
      <c r="F93" s="702"/>
      <c r="G93" s="702"/>
      <c r="H93" s="702"/>
      <c r="I93" s="702"/>
      <c r="J93" s="702"/>
      <c r="K93" s="702"/>
      <c r="L93" s="703"/>
      <c r="U93" s="39"/>
      <c r="V93" s="315"/>
      <c r="W93"/>
      <c r="X93" s="504"/>
    </row>
    <row r="94" spans="2:24">
      <c r="B94" s="701"/>
      <c r="C94" s="702"/>
      <c r="D94" s="702"/>
      <c r="E94" s="702"/>
      <c r="F94" s="702"/>
      <c r="G94" s="702"/>
      <c r="H94" s="702"/>
      <c r="I94" s="702"/>
      <c r="J94" s="702"/>
      <c r="K94" s="702"/>
      <c r="L94" s="703"/>
      <c r="N94" s="453" t="s">
        <v>3723</v>
      </c>
      <c r="O94" t="s">
        <v>3724</v>
      </c>
      <c r="R94" s="453" t="s">
        <v>3723</v>
      </c>
      <c r="S94" t="s">
        <v>3724</v>
      </c>
      <c r="U94" s="39"/>
      <c r="V94" s="453" t="s">
        <v>3723</v>
      </c>
      <c r="W94" t="s">
        <v>3725</v>
      </c>
    </row>
    <row r="95" spans="2:24">
      <c r="B95" s="701"/>
      <c r="C95" s="702"/>
      <c r="D95" s="702"/>
      <c r="E95" s="702"/>
      <c r="F95" s="702"/>
      <c r="G95" s="702"/>
      <c r="H95" s="702"/>
      <c r="I95" s="702"/>
      <c r="J95" s="702"/>
      <c r="K95" s="702"/>
      <c r="L95" s="703"/>
      <c r="U95" s="39"/>
      <c r="V95"/>
      <c r="W95"/>
    </row>
    <row r="96" spans="2:24">
      <c r="B96" s="701"/>
      <c r="C96" s="702"/>
      <c r="D96" s="702"/>
      <c r="E96" s="702"/>
      <c r="F96" s="702"/>
      <c r="G96" s="702"/>
      <c r="H96" s="702"/>
      <c r="I96" s="702"/>
      <c r="J96" s="702"/>
      <c r="K96" s="702"/>
      <c r="L96" s="703"/>
      <c r="N96" s="453" t="s">
        <v>3666</v>
      </c>
      <c r="O96" t="s">
        <v>3726</v>
      </c>
      <c r="P96" t="s">
        <v>3727</v>
      </c>
      <c r="R96" s="453" t="s">
        <v>3666</v>
      </c>
      <c r="S96" t="s">
        <v>3728</v>
      </c>
      <c r="T96" t="s">
        <v>3729</v>
      </c>
      <c r="U96" s="39"/>
      <c r="V96" s="453" t="s">
        <v>3666</v>
      </c>
      <c r="W96" t="s">
        <v>3730</v>
      </c>
      <c r="X96" t="s">
        <v>3731</v>
      </c>
    </row>
    <row r="97" spans="2:24">
      <c r="B97" s="701"/>
      <c r="C97" s="702"/>
      <c r="D97" s="702"/>
      <c r="E97" s="702"/>
      <c r="F97" s="702"/>
      <c r="G97" s="702"/>
      <c r="H97" s="702"/>
      <c r="I97" s="702"/>
      <c r="J97" s="702"/>
      <c r="K97" s="702"/>
      <c r="L97" s="703"/>
      <c r="N97" s="687">
        <v>46204</v>
      </c>
      <c r="O97" s="637">
        <v>70</v>
      </c>
      <c r="P97">
        <v>75</v>
      </c>
      <c r="R97" s="687">
        <v>46204</v>
      </c>
      <c r="S97">
        <v>5059</v>
      </c>
      <c r="T97">
        <v>8000</v>
      </c>
      <c r="U97" s="39"/>
      <c r="V97" s="699">
        <v>46174</v>
      </c>
      <c r="W97" s="638">
        <v>273</v>
      </c>
      <c r="X97" s="638">
        <v>350</v>
      </c>
    </row>
    <row r="98" spans="2:24">
      <c r="B98" s="701"/>
      <c r="C98" s="702"/>
      <c r="D98" s="702"/>
      <c r="E98" s="702"/>
      <c r="F98" s="702"/>
      <c r="G98" s="702"/>
      <c r="H98" s="702"/>
      <c r="I98" s="702"/>
      <c r="J98" s="702"/>
      <c r="K98" s="702"/>
      <c r="L98" s="703"/>
      <c r="N98" s="687">
        <v>46205</v>
      </c>
      <c r="O98" s="637">
        <v>52</v>
      </c>
      <c r="P98">
        <v>75</v>
      </c>
      <c r="R98" s="687">
        <v>46205</v>
      </c>
      <c r="S98">
        <v>6998</v>
      </c>
      <c r="T98">
        <v>8000</v>
      </c>
      <c r="U98" s="39"/>
      <c r="V98" s="699">
        <v>46175</v>
      </c>
      <c r="W98" s="638">
        <v>266</v>
      </c>
      <c r="X98" s="638">
        <v>350</v>
      </c>
    </row>
    <row r="99" spans="2:24">
      <c r="B99" s="701"/>
      <c r="C99" s="702"/>
      <c r="D99" s="702"/>
      <c r="E99" s="702"/>
      <c r="F99" s="702"/>
      <c r="G99" s="702"/>
      <c r="H99" s="702"/>
      <c r="I99" s="702"/>
      <c r="J99" s="702"/>
      <c r="K99" s="702"/>
      <c r="L99" s="703"/>
      <c r="N99" s="699" t="s">
        <v>3667</v>
      </c>
      <c r="O99" s="637">
        <v>122</v>
      </c>
      <c r="P99">
        <v>150</v>
      </c>
      <c r="R99" s="698" t="s">
        <v>3667</v>
      </c>
      <c r="S99">
        <v>12057</v>
      </c>
      <c r="T99">
        <v>16000</v>
      </c>
      <c r="U99" s="39"/>
      <c r="V99" s="699">
        <v>46176</v>
      </c>
      <c r="W99" s="638">
        <v>354</v>
      </c>
      <c r="X99" s="638">
        <v>350</v>
      </c>
    </row>
    <row r="100" spans="2:24">
      <c r="B100" s="701"/>
      <c r="C100" s="702"/>
      <c r="D100" s="702"/>
      <c r="E100" s="702"/>
      <c r="F100" s="702"/>
      <c r="G100" s="702"/>
      <c r="H100" s="702"/>
      <c r="I100" s="702"/>
      <c r="J100" s="702"/>
      <c r="K100" s="702"/>
      <c r="L100" s="703"/>
      <c r="U100" s="39"/>
      <c r="V100" s="699">
        <v>46177</v>
      </c>
      <c r="W100" s="638">
        <v>350</v>
      </c>
      <c r="X100" s="638">
        <v>350</v>
      </c>
    </row>
    <row r="101" spans="2:24">
      <c r="B101" s="701"/>
      <c r="C101" s="702"/>
      <c r="D101" s="702"/>
      <c r="E101" s="702"/>
      <c r="F101" s="702"/>
      <c r="G101" s="702"/>
      <c r="H101" s="702"/>
      <c r="I101" s="702"/>
      <c r="J101" s="702"/>
      <c r="K101" s="702"/>
      <c r="L101" s="703"/>
      <c r="U101" s="39"/>
      <c r="V101" s="699">
        <v>46178</v>
      </c>
      <c r="W101" s="638">
        <v>340</v>
      </c>
      <c r="X101" s="638">
        <v>350</v>
      </c>
    </row>
    <row r="102" spans="2:24">
      <c r="B102" s="701"/>
      <c r="C102" s="702"/>
      <c r="D102" s="702"/>
      <c r="E102" s="702"/>
      <c r="F102" s="702"/>
      <c r="G102" s="702"/>
      <c r="H102" s="702"/>
      <c r="I102" s="702"/>
      <c r="J102" s="702"/>
      <c r="K102" s="702"/>
      <c r="L102" s="703"/>
      <c r="U102" s="39"/>
      <c r="V102" s="699">
        <v>46179</v>
      </c>
      <c r="W102" s="638">
        <v>298</v>
      </c>
      <c r="X102" s="638">
        <v>350</v>
      </c>
    </row>
    <row r="103" spans="2:24">
      <c r="B103" s="701"/>
      <c r="C103" s="702"/>
      <c r="D103" s="702"/>
      <c r="E103" s="702"/>
      <c r="F103" s="702"/>
      <c r="G103" s="702"/>
      <c r="H103" s="702"/>
      <c r="I103" s="702"/>
      <c r="J103" s="702"/>
      <c r="K103" s="702"/>
      <c r="L103" s="703"/>
      <c r="U103" s="39"/>
      <c r="V103" s="699">
        <v>46181</v>
      </c>
      <c r="W103" s="638">
        <v>128</v>
      </c>
      <c r="X103" s="638">
        <v>350</v>
      </c>
    </row>
    <row r="104" spans="2:24">
      <c r="B104" s="701"/>
      <c r="C104" s="702"/>
      <c r="D104" s="702"/>
      <c r="E104" s="702"/>
      <c r="F104" s="702"/>
      <c r="G104" s="702"/>
      <c r="H104" s="702"/>
      <c r="I104" s="702"/>
      <c r="J104" s="702"/>
      <c r="K104" s="702"/>
      <c r="L104" s="703"/>
      <c r="U104" s="39"/>
      <c r="V104" s="699">
        <v>46182</v>
      </c>
      <c r="W104" s="638">
        <v>248</v>
      </c>
      <c r="X104" s="638">
        <v>350</v>
      </c>
    </row>
    <row r="105" spans="2:24">
      <c r="B105" s="701"/>
      <c r="C105" s="702"/>
      <c r="D105" s="702"/>
      <c r="E105" s="702"/>
      <c r="F105" s="702"/>
      <c r="G105" s="702"/>
      <c r="H105" s="702"/>
      <c r="I105" s="702"/>
      <c r="J105" s="702"/>
      <c r="K105" s="702"/>
      <c r="L105" s="703"/>
      <c r="U105" s="39"/>
      <c r="V105" s="699">
        <v>46183</v>
      </c>
      <c r="W105" s="638">
        <v>354</v>
      </c>
      <c r="X105" s="638">
        <v>350</v>
      </c>
    </row>
    <row r="106" spans="2:24">
      <c r="B106" s="701"/>
      <c r="C106" s="702"/>
      <c r="D106" s="702"/>
      <c r="E106" s="702"/>
      <c r="F106" s="702"/>
      <c r="G106" s="702"/>
      <c r="H106" s="702"/>
      <c r="I106" s="702"/>
      <c r="J106" s="702"/>
      <c r="K106" s="702"/>
      <c r="L106" s="703"/>
      <c r="U106" s="39"/>
      <c r="V106" s="699">
        <v>46184</v>
      </c>
      <c r="W106" s="638">
        <v>331</v>
      </c>
      <c r="X106" s="638">
        <v>350</v>
      </c>
    </row>
    <row r="107" spans="2:24">
      <c r="B107" s="701"/>
      <c r="C107" s="702"/>
      <c r="D107" s="702"/>
      <c r="E107" s="702"/>
      <c r="F107" s="702"/>
      <c r="G107" s="702"/>
      <c r="H107" s="702"/>
      <c r="I107" s="702"/>
      <c r="J107" s="702"/>
      <c r="K107" s="702"/>
      <c r="L107" s="703"/>
      <c r="U107" s="39"/>
      <c r="V107" s="699">
        <v>46185</v>
      </c>
      <c r="W107" s="638">
        <v>350</v>
      </c>
      <c r="X107" s="638">
        <v>350</v>
      </c>
    </row>
    <row r="108" spans="2:24">
      <c r="B108" s="701"/>
      <c r="C108" s="702"/>
      <c r="D108" s="702"/>
      <c r="E108" s="702"/>
      <c r="F108" s="702"/>
      <c r="G108" s="702"/>
      <c r="H108" s="702"/>
      <c r="I108" s="702"/>
      <c r="J108" s="702"/>
      <c r="K108" s="702"/>
      <c r="L108" s="703"/>
      <c r="U108" s="39"/>
      <c r="V108" s="699">
        <v>46186</v>
      </c>
      <c r="W108" s="638">
        <v>332</v>
      </c>
      <c r="X108" s="638">
        <v>350</v>
      </c>
    </row>
    <row r="109" spans="2:24">
      <c r="B109" s="701"/>
      <c r="C109" s="702"/>
      <c r="D109" s="702"/>
      <c r="E109" s="702"/>
      <c r="F109" s="702"/>
      <c r="G109" s="702"/>
      <c r="H109" s="702"/>
      <c r="I109" s="702"/>
      <c r="J109" s="702"/>
      <c r="K109" s="702"/>
      <c r="L109" s="703"/>
      <c r="U109" s="39"/>
      <c r="V109" s="699">
        <v>46188</v>
      </c>
      <c r="W109" s="638">
        <v>282</v>
      </c>
      <c r="X109" s="638">
        <v>350</v>
      </c>
    </row>
    <row r="110" spans="2:24">
      <c r="B110" s="701"/>
      <c r="C110" s="702"/>
      <c r="D110" s="702"/>
      <c r="E110" s="702"/>
      <c r="F110" s="702"/>
      <c r="G110" s="702"/>
      <c r="H110" s="702"/>
      <c r="I110" s="702"/>
      <c r="J110" s="702"/>
      <c r="K110" s="702"/>
      <c r="L110" s="703"/>
      <c r="U110" s="39"/>
      <c r="V110" s="699">
        <v>46189</v>
      </c>
      <c r="W110" s="638">
        <v>269</v>
      </c>
      <c r="X110" s="638">
        <v>350</v>
      </c>
    </row>
    <row r="111" spans="2:24">
      <c r="B111" s="701"/>
      <c r="C111" s="702"/>
      <c r="D111" s="702"/>
      <c r="E111" s="702"/>
      <c r="F111" s="702"/>
      <c r="G111" s="702"/>
      <c r="H111" s="702"/>
      <c r="I111" s="702"/>
      <c r="J111" s="702"/>
      <c r="K111" s="702"/>
      <c r="L111" s="703"/>
      <c r="U111" s="39"/>
      <c r="V111" s="699">
        <v>46190</v>
      </c>
      <c r="W111" s="638">
        <v>379</v>
      </c>
      <c r="X111" s="638">
        <v>350</v>
      </c>
    </row>
    <row r="112" spans="2:24">
      <c r="B112" s="701"/>
      <c r="C112" s="702"/>
      <c r="D112" s="702"/>
      <c r="E112" s="702"/>
      <c r="F112" s="702"/>
      <c r="G112" s="702"/>
      <c r="H112" s="702"/>
      <c r="I112" s="702"/>
      <c r="J112" s="702"/>
      <c r="K112" s="702"/>
      <c r="L112" s="703"/>
      <c r="U112" s="39"/>
      <c r="V112" s="699">
        <v>46191</v>
      </c>
      <c r="W112" s="638">
        <v>358</v>
      </c>
      <c r="X112" s="638">
        <v>350</v>
      </c>
    </row>
    <row r="113" spans="2:24">
      <c r="B113" s="701"/>
      <c r="C113" s="702"/>
      <c r="D113" s="702"/>
      <c r="E113" s="702"/>
      <c r="F113" s="702"/>
      <c r="G113" s="702"/>
      <c r="H113" s="702"/>
      <c r="I113" s="702"/>
      <c r="J113" s="702"/>
      <c r="K113" s="702"/>
      <c r="L113" s="703"/>
      <c r="U113" s="39"/>
      <c r="V113" s="699">
        <v>46192</v>
      </c>
      <c r="W113" s="638">
        <v>323</v>
      </c>
      <c r="X113" s="638">
        <v>350</v>
      </c>
    </row>
    <row r="114" spans="2:24">
      <c r="B114" s="701"/>
      <c r="C114" s="702"/>
      <c r="D114" s="702"/>
      <c r="E114" s="702"/>
      <c r="F114" s="702"/>
      <c r="G114" s="702"/>
      <c r="H114" s="702"/>
      <c r="I114" s="702"/>
      <c r="J114" s="702"/>
      <c r="K114" s="702"/>
      <c r="L114" s="703"/>
      <c r="U114" s="39"/>
      <c r="V114" s="699">
        <v>46193</v>
      </c>
      <c r="W114" s="638">
        <v>274</v>
      </c>
      <c r="X114" s="638">
        <v>350</v>
      </c>
    </row>
    <row r="115" spans="2:24">
      <c r="B115" s="701"/>
      <c r="C115" s="702"/>
      <c r="D115" s="702"/>
      <c r="E115" s="702"/>
      <c r="F115" s="702"/>
      <c r="G115" s="702"/>
      <c r="H115" s="702"/>
      <c r="I115" s="702"/>
      <c r="J115" s="702"/>
      <c r="K115" s="702"/>
      <c r="L115" s="703"/>
      <c r="U115" s="39"/>
      <c r="V115" s="699">
        <v>46195</v>
      </c>
      <c r="W115" s="638">
        <v>108</v>
      </c>
      <c r="X115" s="638">
        <v>350</v>
      </c>
    </row>
    <row r="116" spans="2:24">
      <c r="B116" s="701"/>
      <c r="C116" s="702"/>
      <c r="D116" s="702"/>
      <c r="E116" s="702"/>
      <c r="F116" s="702"/>
      <c r="G116" s="702"/>
      <c r="H116" s="702"/>
      <c r="I116" s="702"/>
      <c r="J116" s="702"/>
      <c r="K116" s="702"/>
      <c r="L116" s="703"/>
      <c r="U116" s="39"/>
      <c r="V116" s="699">
        <v>46196</v>
      </c>
      <c r="W116" s="638">
        <v>222</v>
      </c>
      <c r="X116" s="638">
        <v>350</v>
      </c>
    </row>
    <row r="117" spans="2:24">
      <c r="B117" s="701"/>
      <c r="C117" s="702"/>
      <c r="D117" s="702"/>
      <c r="E117" s="702"/>
      <c r="F117" s="702"/>
      <c r="G117" s="702"/>
      <c r="H117" s="702"/>
      <c r="I117" s="702"/>
      <c r="J117" s="702"/>
      <c r="K117" s="702"/>
      <c r="L117" s="703"/>
      <c r="U117" s="39"/>
      <c r="V117" s="700">
        <v>46197</v>
      </c>
      <c r="W117">
        <v>338</v>
      </c>
      <c r="X117">
        <v>350</v>
      </c>
    </row>
    <row r="118" spans="2:24">
      <c r="B118" s="701"/>
      <c r="C118" s="702"/>
      <c r="D118" s="702"/>
      <c r="E118" s="702"/>
      <c r="F118" s="702"/>
      <c r="G118" s="702"/>
      <c r="H118" s="702"/>
      <c r="I118" s="702"/>
      <c r="J118" s="702"/>
      <c r="K118" s="702"/>
      <c r="L118" s="703"/>
      <c r="U118" s="39"/>
      <c r="V118" s="700">
        <v>46198</v>
      </c>
      <c r="W118">
        <v>310</v>
      </c>
      <c r="X118">
        <v>350</v>
      </c>
    </row>
    <row r="119" spans="2:24">
      <c r="B119" s="701"/>
      <c r="C119" s="702"/>
      <c r="D119" s="702"/>
      <c r="E119" s="702"/>
      <c r="F119" s="702"/>
      <c r="G119" s="702"/>
      <c r="H119" s="702"/>
      <c r="I119" s="702"/>
      <c r="J119" s="702"/>
      <c r="K119" s="702"/>
      <c r="L119" s="703"/>
      <c r="U119" s="39"/>
      <c r="V119" s="687">
        <v>46199</v>
      </c>
      <c r="W119">
        <v>291</v>
      </c>
      <c r="X119">
        <v>350</v>
      </c>
    </row>
    <row r="120" spans="2:24">
      <c r="B120" s="701"/>
      <c r="C120" s="702"/>
      <c r="D120" s="702"/>
      <c r="E120" s="702"/>
      <c r="F120" s="702"/>
      <c r="G120" s="702"/>
      <c r="H120" s="702"/>
      <c r="I120" s="702"/>
      <c r="J120" s="702"/>
      <c r="K120" s="702"/>
      <c r="L120" s="703"/>
      <c r="U120" s="39"/>
      <c r="V120" s="687">
        <v>46200</v>
      </c>
      <c r="W120">
        <v>326</v>
      </c>
      <c r="X120">
        <v>350</v>
      </c>
    </row>
    <row r="121" spans="2:24">
      <c r="B121" s="701"/>
      <c r="C121" s="702"/>
      <c r="D121" s="702"/>
      <c r="E121" s="702"/>
      <c r="F121" s="702"/>
      <c r="G121" s="702"/>
      <c r="H121" s="702"/>
      <c r="I121" s="702"/>
      <c r="J121" s="702"/>
      <c r="K121" s="702"/>
      <c r="L121" s="703"/>
      <c r="V121" s="687">
        <v>46203</v>
      </c>
      <c r="W121">
        <v>75</v>
      </c>
      <c r="X121">
        <v>350</v>
      </c>
    </row>
    <row r="122" spans="2:24">
      <c r="B122" s="701"/>
      <c r="C122" s="702"/>
      <c r="D122" s="702"/>
      <c r="E122" s="702"/>
      <c r="F122" s="702"/>
      <c r="G122" s="702"/>
      <c r="H122" s="702"/>
      <c r="I122" s="702"/>
      <c r="J122" s="702"/>
      <c r="K122" s="702"/>
      <c r="L122" s="703"/>
      <c r="V122" s="699" t="s">
        <v>3667</v>
      </c>
      <c r="W122">
        <v>7179</v>
      </c>
      <c r="X122">
        <v>8750</v>
      </c>
    </row>
    <row r="123" spans="2:24">
      <c r="B123" s="701"/>
      <c r="C123" s="702"/>
      <c r="D123" s="702"/>
      <c r="E123" s="702"/>
      <c r="F123" s="702"/>
      <c r="G123" s="702"/>
      <c r="H123" s="702"/>
      <c r="I123" s="702"/>
      <c r="J123" s="702"/>
      <c r="K123" s="702"/>
      <c r="L123" s="703"/>
    </row>
    <row r="124" spans="2:24">
      <c r="B124" s="701"/>
      <c r="C124" s="702"/>
      <c r="D124" s="702"/>
      <c r="E124" s="702"/>
      <c r="F124" s="702"/>
      <c r="G124" s="702"/>
      <c r="H124" s="702"/>
      <c r="I124" s="702"/>
      <c r="J124" s="702"/>
      <c r="K124" s="702"/>
      <c r="L124" s="703"/>
    </row>
    <row r="125" spans="2:24">
      <c r="B125" s="701"/>
      <c r="C125" s="702"/>
      <c r="D125" s="702"/>
      <c r="E125" s="702"/>
      <c r="F125" s="702"/>
      <c r="G125" s="702"/>
      <c r="H125" s="702"/>
      <c r="I125" s="702"/>
      <c r="J125" s="702"/>
      <c r="K125" s="702"/>
      <c r="L125" s="703"/>
    </row>
    <row r="126" spans="2:24">
      <c r="B126" s="701"/>
      <c r="C126" s="702"/>
      <c r="D126" s="702"/>
      <c r="E126" s="702"/>
      <c r="F126" s="702"/>
      <c r="G126" s="702"/>
      <c r="H126" s="702"/>
      <c r="I126" s="702"/>
      <c r="J126" s="702"/>
      <c r="K126" s="702"/>
      <c r="L126" s="703"/>
    </row>
    <row r="127" spans="2:24">
      <c r="B127" s="701"/>
      <c r="C127" s="702"/>
      <c r="D127" s="702"/>
      <c r="E127" s="702"/>
      <c r="F127" s="702"/>
      <c r="G127" s="702"/>
      <c r="H127" s="702"/>
      <c r="I127" s="702"/>
      <c r="J127" s="702"/>
      <c r="K127" s="702"/>
      <c r="L127" s="703"/>
    </row>
    <row r="128" spans="2:24">
      <c r="B128" s="701"/>
      <c r="C128" s="702"/>
      <c r="D128" s="702"/>
      <c r="E128" s="702"/>
      <c r="F128" s="702"/>
      <c r="G128" s="702"/>
      <c r="H128" s="702"/>
      <c r="I128" s="702"/>
      <c r="J128" s="702"/>
      <c r="K128" s="702"/>
      <c r="L128" s="703"/>
    </row>
    <row r="129" spans="2:15">
      <c r="B129" s="701"/>
      <c r="C129" s="702"/>
      <c r="D129" s="702"/>
      <c r="E129" s="702"/>
      <c r="F129" s="702"/>
      <c r="G129" s="702"/>
      <c r="H129" s="702"/>
      <c r="I129" s="702"/>
      <c r="J129" s="702"/>
      <c r="K129" s="702"/>
      <c r="L129" s="703"/>
    </row>
    <row r="130" spans="2:15">
      <c r="B130" s="701"/>
      <c r="C130" s="702"/>
      <c r="D130" s="702"/>
      <c r="E130" s="702"/>
      <c r="F130" s="702"/>
      <c r="G130" s="702"/>
      <c r="H130" s="702"/>
      <c r="I130" s="702"/>
      <c r="J130" s="702"/>
      <c r="K130" s="702"/>
      <c r="L130" s="703"/>
    </row>
    <row r="131" spans="2:15">
      <c r="B131" s="701"/>
      <c r="C131" s="702"/>
      <c r="D131" s="702"/>
      <c r="E131" s="702"/>
      <c r="F131" s="702"/>
      <c r="G131" s="702"/>
      <c r="H131" s="702"/>
      <c r="I131" s="702"/>
      <c r="J131" s="702"/>
      <c r="K131" s="702"/>
      <c r="L131" s="703"/>
    </row>
    <row r="132" spans="2:15">
      <c r="B132" s="701"/>
      <c r="C132" s="702"/>
      <c r="D132" s="702"/>
      <c r="E132" s="702"/>
      <c r="F132" s="702"/>
      <c r="G132" s="702"/>
      <c r="H132" s="702"/>
      <c r="I132" s="702"/>
      <c r="J132" s="702"/>
      <c r="K132" s="702"/>
      <c r="L132" s="703"/>
    </row>
    <row r="133" spans="2:15">
      <c r="B133" s="701"/>
      <c r="C133" s="702"/>
      <c r="D133" s="702"/>
      <c r="E133" s="702"/>
      <c r="F133" s="702"/>
      <c r="G133" s="702"/>
      <c r="H133" s="702"/>
      <c r="I133" s="702"/>
      <c r="J133" s="702"/>
      <c r="K133" s="702"/>
      <c r="L133" s="703"/>
    </row>
    <row r="134" spans="2:15">
      <c r="B134" s="701"/>
      <c r="C134" s="702"/>
      <c r="D134" s="702"/>
      <c r="E134" s="702"/>
      <c r="F134" s="702"/>
      <c r="G134" s="702"/>
      <c r="H134" s="702"/>
      <c r="I134" s="702"/>
      <c r="J134" s="702"/>
      <c r="K134" s="702"/>
      <c r="L134" s="703"/>
    </row>
    <row r="135" spans="2:15">
      <c r="B135" s="701"/>
      <c r="C135" s="702"/>
      <c r="D135" s="702"/>
      <c r="E135" s="702"/>
      <c r="F135" s="702"/>
      <c r="G135" s="702"/>
      <c r="H135" s="702"/>
      <c r="I135" s="702"/>
      <c r="J135" s="702"/>
      <c r="K135" s="702"/>
      <c r="L135" s="703"/>
    </row>
    <row r="136" spans="2:15">
      <c r="B136" s="701"/>
      <c r="C136" s="702"/>
      <c r="D136" s="702"/>
      <c r="E136" s="702"/>
      <c r="F136" s="702"/>
      <c r="G136" s="702"/>
      <c r="H136" s="702"/>
      <c r="I136" s="702"/>
      <c r="J136" s="702"/>
      <c r="K136" s="702"/>
      <c r="L136" s="703"/>
    </row>
    <row r="137" spans="2:15">
      <c r="B137" s="701"/>
      <c r="C137" s="702"/>
      <c r="D137" s="702"/>
      <c r="E137" s="702"/>
      <c r="F137" s="702"/>
      <c r="G137" s="702"/>
      <c r="H137" s="702"/>
      <c r="I137" s="702"/>
      <c r="J137" s="702"/>
      <c r="K137" s="702"/>
      <c r="L137" s="703"/>
    </row>
    <row r="138" spans="2:15">
      <c r="B138" s="701"/>
      <c r="C138" s="702"/>
      <c r="D138" s="702"/>
      <c r="E138" s="702"/>
      <c r="F138" s="702"/>
      <c r="G138" s="702"/>
      <c r="H138" s="702"/>
      <c r="I138" s="702"/>
      <c r="J138" s="702"/>
      <c r="K138" s="702"/>
      <c r="L138" s="703"/>
    </row>
    <row r="139" spans="2:15">
      <c r="B139" s="701"/>
      <c r="C139" s="702"/>
      <c r="D139" s="702"/>
      <c r="E139" s="702"/>
      <c r="F139" s="702"/>
      <c r="G139" s="702"/>
      <c r="H139" s="702"/>
      <c r="I139" s="702"/>
      <c r="J139" s="702"/>
      <c r="K139" s="702"/>
      <c r="L139" s="703"/>
    </row>
    <row r="140" spans="2:15">
      <c r="B140" s="701"/>
      <c r="C140" s="702"/>
      <c r="D140" s="702"/>
      <c r="E140" s="702"/>
      <c r="F140" s="702"/>
      <c r="G140" s="702"/>
      <c r="H140" s="702"/>
      <c r="I140" s="702"/>
      <c r="J140" s="702"/>
      <c r="K140" s="702"/>
      <c r="L140" s="703"/>
    </row>
    <row r="141" spans="2:15">
      <c r="B141" s="701"/>
      <c r="C141" s="702"/>
      <c r="D141" s="702"/>
      <c r="E141" s="702"/>
      <c r="F141" s="702"/>
      <c r="G141" s="702"/>
      <c r="H141" s="702"/>
      <c r="I141" s="702"/>
      <c r="J141" s="702"/>
      <c r="K141" s="702"/>
      <c r="L141" s="703"/>
    </row>
    <row r="142" spans="2:15" ht="47.25" customHeight="1" thickBot="1">
      <c r="B142" s="704"/>
      <c r="C142" s="705"/>
      <c r="D142" s="705"/>
      <c r="E142" s="705"/>
      <c r="F142" s="705"/>
      <c r="G142" s="705"/>
      <c r="H142" s="705"/>
      <c r="I142" s="705"/>
      <c r="J142" s="705"/>
      <c r="K142" s="705"/>
      <c r="L142" s="706"/>
    </row>
    <row r="143" spans="2:15" ht="46.5">
      <c r="B143" s="677"/>
      <c r="C143" s="678"/>
      <c r="D143" s="618"/>
      <c r="E143" s="678"/>
      <c r="F143" s="678"/>
      <c r="G143" s="678"/>
      <c r="H143" s="678"/>
      <c r="I143" s="679"/>
      <c r="J143" s="679"/>
      <c r="K143" s="678"/>
      <c r="L143" s="680"/>
      <c r="N143" s="580">
        <v>0</v>
      </c>
      <c r="O143" s="580">
        <v>4.0972222222222222E-2</v>
      </c>
    </row>
    <row r="144" spans="2:15" ht="46.5">
      <c r="B144" s="681"/>
      <c r="C144" s="682"/>
      <c r="D144" s="536"/>
      <c r="E144" s="682"/>
      <c r="F144" s="682"/>
      <c r="G144" s="681"/>
      <c r="H144" s="682"/>
      <c r="I144" s="537"/>
      <c r="J144" s="538"/>
      <c r="K144" s="682"/>
      <c r="L144" s="683"/>
      <c r="N144" s="580">
        <v>4.1666666666666664E-2</v>
      </c>
      <c r="O144" s="580">
        <v>8.2638888888888887E-2</v>
      </c>
    </row>
    <row r="145" spans="1:15" ht="25.5" customHeight="1" thickBot="1">
      <c r="B145" s="684"/>
      <c r="C145" s="685"/>
      <c r="D145" s="619"/>
      <c r="E145" s="685"/>
      <c r="F145" s="685"/>
      <c r="G145" s="681"/>
      <c r="H145" s="685"/>
      <c r="I145" s="620"/>
      <c r="J145" s="621"/>
      <c r="K145" s="685"/>
      <c r="L145" s="686"/>
      <c r="N145" s="580">
        <v>8.3333333333333329E-2</v>
      </c>
      <c r="O145" s="580">
        <v>2</v>
      </c>
    </row>
    <row r="146" spans="1:15" ht="23.25" hidden="1">
      <c r="B146" s="598"/>
      <c r="C146" s="44"/>
      <c r="D146" s="31"/>
      <c r="E146" s="143"/>
      <c r="F146" s="143"/>
      <c r="G146" s="143"/>
      <c r="H146" s="143"/>
      <c r="I146" s="534"/>
      <c r="J146" s="535"/>
      <c r="K146" s="143"/>
      <c r="L146" s="599"/>
      <c r="N146" s="62"/>
    </row>
    <row r="147" spans="1:15" ht="62.25" thickBot="1">
      <c r="B147" s="600" t="s">
        <v>3732</v>
      </c>
      <c r="C147" s="539" t="s">
        <v>3733</v>
      </c>
      <c r="D147" s="539" t="s">
        <v>3734</v>
      </c>
      <c r="E147" s="539" t="s">
        <v>3735</v>
      </c>
      <c r="F147" s="539" t="s">
        <v>3736</v>
      </c>
      <c r="G147" s="539" t="s">
        <v>3737</v>
      </c>
      <c r="H147" s="576" t="s">
        <v>3738</v>
      </c>
      <c r="I147" s="577" t="s">
        <v>10</v>
      </c>
      <c r="J147" s="539" t="s">
        <v>11</v>
      </c>
      <c r="K147" s="578" t="s">
        <v>3739</v>
      </c>
      <c r="L147" s="601" t="s">
        <v>3740</v>
      </c>
      <c r="M147" s="94" t="s">
        <v>3741</v>
      </c>
      <c r="N147" s="99" t="s">
        <v>3742</v>
      </c>
      <c r="O147" s="37"/>
    </row>
    <row r="148" spans="1:15" ht="78" customHeight="1">
      <c r="B148" s="724" t="str">
        <f>+'TABLA-DIA'!B153</f>
        <v>LINEA AUTOMATICA HACOS 2</v>
      </c>
      <c r="C148" s="561" t="str">
        <f>IFERROR(VLOOKUP(N148,'TABLA-DIA'!$B$2:$P$62,9,FALSE),"")</f>
        <v/>
      </c>
      <c r="D148" s="562" t="str">
        <f>IFERROR(VLOOKUP(N148,'TABLA-DIA'!$B$2:$P$62,4,FALSE),"")</f>
        <v/>
      </c>
      <c r="E148" s="563" t="str">
        <f>IFERROR(VLOOKUP(N148,'TABLA-DIA'!$B$2:$P$62,5,FALSE),"")</f>
        <v/>
      </c>
      <c r="F148" s="563" t="str">
        <f>IFERROR(VLOOKUP(N148,'TABLA-DIA'!$B$2:$P$62,6,FALSE),"")</f>
        <v/>
      </c>
      <c r="G148" s="541" t="str">
        <f>IFERROR(VLOOKUP(N148,'TABLA-DIA'!$B$2:$P$62,7,FALSE),"")</f>
        <v/>
      </c>
      <c r="H148" s="581" t="str">
        <f>IFERROR(VLOOKUP(N148,'TABLA-DIA'!$B$2:$P$62,10,FALSE),"")</f>
        <v/>
      </c>
      <c r="I148" s="546" t="str">
        <f>IFERROR(VLOOKUP(N148,'TABLA-DIA'!$B$2:$P$62,11,FALSE),"")</f>
        <v/>
      </c>
      <c r="J148" s="547" t="str">
        <f>IFERROR(VLOOKUP(N148,'TABLA-DIA'!$B$2:$P$62,12,FALSE),"")</f>
        <v/>
      </c>
      <c r="K148" s="556" t="str">
        <f>IFERROR(VLOOKUP(N148,'TABLA-DIA'!$B$2:$P$62,13,FALSE),"")</f>
        <v/>
      </c>
      <c r="L148" s="602" t="str">
        <f>IFERROR(IF(VLOOKUP(N148,'TABLA-DIA'!$B$2:$P$62,14,FALSE)="","",VLOOKUP(N148,'TABLA-DIA'!$B$2:$P$62,14,FALSE)),"")</f>
        <v/>
      </c>
      <c r="M148" s="586">
        <v>1</v>
      </c>
      <c r="N148" s="98" t="str">
        <f t="shared" ref="N148:N159" si="6">CONCATENATE($B$148,"-",M148)</f>
        <v>LINEA AUTOMATICA HACOS 2-1</v>
      </c>
      <c r="O148" s="94">
        <f>COUNTIF(G148:G159,"&lt;&gt;**")</f>
        <v>0</v>
      </c>
    </row>
    <row r="149" spans="1:15" ht="78" customHeight="1">
      <c r="B149" s="724"/>
      <c r="C149" s="564" t="str">
        <f>IFERROR(VLOOKUP(N149,'TABLA-DIA'!$B$2:$P$62,9,FALSE),"")</f>
        <v/>
      </c>
      <c r="D149" s="565" t="str">
        <f>IFERROR(VLOOKUP(N149,'TABLA-DIA'!$B$2:$P$62,4,FALSE),"")</f>
        <v/>
      </c>
      <c r="E149" s="566" t="str">
        <f>IFERROR(VLOOKUP(N149,'TABLA-DIA'!$B$2:$P$62,5,FALSE),"")</f>
        <v/>
      </c>
      <c r="F149" s="566" t="str">
        <f>IFERROR(VLOOKUP(N149,'TABLA-DIA'!$B$2:$P$62,6,FALSE),"")</f>
        <v/>
      </c>
      <c r="G149" s="542" t="str">
        <f>IFERROR(VLOOKUP(N149,'TABLA-DIA'!$B$2:$P$62,7,FALSE),"")</f>
        <v/>
      </c>
      <c r="H149" s="582" t="str">
        <f>IFERROR(VLOOKUP(N149,'TABLA-DIA'!$B$2:$P$62,10,FALSE),"")</f>
        <v/>
      </c>
      <c r="I149" s="548" t="str">
        <f>IFERROR(VLOOKUP(N149,'TABLA-DIA'!$B$2:$P$62,11,FALSE),"")</f>
        <v/>
      </c>
      <c r="J149" s="549" t="str">
        <f>IFERROR(VLOOKUP(N149,'TABLA-DIA'!$B$2:$P$62,12,FALSE),"")</f>
        <v/>
      </c>
      <c r="K149" s="557" t="str">
        <f>IFERROR(VLOOKUP(N149,'TABLA-DIA'!$B$2:$P$62,13,FALSE),"")</f>
        <v/>
      </c>
      <c r="L149" s="603" t="str">
        <f>IFERROR(IF(VLOOKUP(N149,'TABLA-DIA'!$B$2:$P$62,14,FALSE)="","",VLOOKUP(N149,'TABLA-DIA'!$B$2:$P$62,14,FALSE)),"")</f>
        <v/>
      </c>
      <c r="M149" s="587">
        <v>2</v>
      </c>
      <c r="N149" s="125" t="str">
        <f t="shared" si="6"/>
        <v>LINEA AUTOMATICA HACOS 2-2</v>
      </c>
      <c r="O149" s="2"/>
    </row>
    <row r="150" spans="1:15" ht="78" customHeight="1" thickBot="1">
      <c r="B150" s="724"/>
      <c r="C150" s="564" t="str">
        <f>IFERROR(VLOOKUP(N150,'TABLA-DIA'!$B$2:$P$62,9,FALSE),"")</f>
        <v/>
      </c>
      <c r="D150" s="565" t="str">
        <f>IFERROR(VLOOKUP(N150,'TABLA-DIA'!$B$2:$P$62,4,FALSE),"")</f>
        <v/>
      </c>
      <c r="E150" s="566" t="str">
        <f>IFERROR(VLOOKUP(N150,'TABLA-DIA'!$B$2:$P$62,5,FALSE),"")</f>
        <v/>
      </c>
      <c r="F150" s="566" t="str">
        <f>IFERROR(VLOOKUP(N150,'TABLA-DIA'!$B$2:$P$62,6,FALSE),"")</f>
        <v/>
      </c>
      <c r="G150" s="542" t="str">
        <f>IFERROR(VLOOKUP(N150,'TABLA-DIA'!$B$2:$P$62,7,FALSE),"")</f>
        <v/>
      </c>
      <c r="H150" s="582" t="str">
        <f>IFERROR(VLOOKUP(N150,'TABLA-DIA'!$B$2:$P$62,10,FALSE),"")</f>
        <v/>
      </c>
      <c r="I150" s="548" t="str">
        <f>IFERROR(VLOOKUP(N150,'TABLA-DIA'!$B$2:$P$62,11,FALSE),"")</f>
        <v/>
      </c>
      <c r="J150" s="549" t="str">
        <f>IFERROR(VLOOKUP(N150,'TABLA-DIA'!$B$2:$P$62,12,FALSE),"")</f>
        <v/>
      </c>
      <c r="K150" s="557" t="str">
        <f>IFERROR(VLOOKUP(N150,'TABLA-DIA'!$B$2:$P$62,13,FALSE),"")</f>
        <v/>
      </c>
      <c r="L150" s="603" t="str">
        <f>IFERROR(IF(VLOOKUP(N150,'TABLA-DIA'!$B$2:$P$62,14,FALSE)="","",VLOOKUP(N150,'TABLA-DIA'!$B$2:$P$62,14,FALSE)),"")</f>
        <v/>
      </c>
      <c r="M150" s="587">
        <v>3</v>
      </c>
      <c r="N150" s="125" t="str">
        <f t="shared" si="6"/>
        <v>LINEA AUTOMATICA HACOS 2-3</v>
      </c>
      <c r="O150" s="2"/>
    </row>
    <row r="151" spans="1:15" ht="78" hidden="1" customHeight="1" thickBot="1">
      <c r="B151" s="724"/>
      <c r="C151" s="564" t="str">
        <f>IFERROR(VLOOKUP(N151,'TABLA-DIA'!$B$2:$P$62,9,FALSE),"")</f>
        <v/>
      </c>
      <c r="D151" s="565" t="str">
        <f>IFERROR(VLOOKUP(N151,'TABLA-DIA'!$B$2:$P$62,4,FALSE),"")</f>
        <v/>
      </c>
      <c r="E151" s="566" t="str">
        <f>IFERROR(VLOOKUP(N151,'TABLA-DIA'!$B$2:$P$62,5,FALSE),"")</f>
        <v/>
      </c>
      <c r="F151" s="566" t="str">
        <f>IFERROR(VLOOKUP(N151,'TABLA-DIA'!$B$2:$P$62,6,FALSE),"")</f>
        <v/>
      </c>
      <c r="G151" s="542" t="str">
        <f>IFERROR(VLOOKUP(N151,'TABLA-DIA'!$B$2:$P$62,7,FALSE),"")</f>
        <v/>
      </c>
      <c r="H151" s="582" t="str">
        <f>IFERROR(VLOOKUP(N151,'TABLA-DIA'!$B$2:$P$62,10,FALSE),"")</f>
        <v/>
      </c>
      <c r="I151" s="548" t="str">
        <f>IFERROR(VLOOKUP(N151,'TABLA-DIA'!$B$2:$P$62,11,FALSE),"")</f>
        <v/>
      </c>
      <c r="J151" s="549" t="str">
        <f>IFERROR(VLOOKUP(N151,'TABLA-DIA'!$B$2:$P$62,12,FALSE),"")</f>
        <v/>
      </c>
      <c r="K151" s="557" t="str">
        <f>IFERROR(VLOOKUP(N151,'TABLA-DIA'!$B$2:$P$62,13,FALSE),"")</f>
        <v/>
      </c>
      <c r="L151" s="603" t="str">
        <f>IFERROR(IF(VLOOKUP(N151,'TABLA-DIA'!$B$2:$P$62,14,FALSE)="","",VLOOKUP(N151,'TABLA-DIA'!$B$2:$P$62,14,FALSE)),"")</f>
        <v/>
      </c>
      <c r="M151" s="587">
        <v>4</v>
      </c>
      <c r="N151" s="125" t="str">
        <f t="shared" si="6"/>
        <v>LINEA AUTOMATICA HACOS 2-4</v>
      </c>
      <c r="O151" s="2"/>
    </row>
    <row r="152" spans="1:15" ht="78" hidden="1" customHeight="1">
      <c r="B152" s="724"/>
      <c r="C152" s="564" t="str">
        <f>IFERROR(VLOOKUP(N152,'TABLA-DIA'!$B$2:$P$62,9,FALSE),"")</f>
        <v/>
      </c>
      <c r="D152" s="565" t="str">
        <f>IFERROR(VLOOKUP(N152,'TABLA-DIA'!$B$2:$P$62,4,FALSE),"")</f>
        <v/>
      </c>
      <c r="E152" s="566" t="str">
        <f>IFERROR(VLOOKUP(N152,'TABLA-DIA'!$B$2:$P$62,5,FALSE),"")</f>
        <v/>
      </c>
      <c r="F152" s="566" t="str">
        <f>IFERROR(VLOOKUP(N152,'TABLA-DIA'!$B$2:$P$62,6,FALSE),"")</f>
        <v/>
      </c>
      <c r="G152" s="542" t="str">
        <f>IFERROR(VLOOKUP(N152,'TABLA-DIA'!$B$2:$P$62,7,FALSE),"")</f>
        <v/>
      </c>
      <c r="H152" s="582" t="str">
        <f>IFERROR(VLOOKUP(N152,'TABLA-DIA'!$B$2:$P$62,10,FALSE),"")</f>
        <v/>
      </c>
      <c r="I152" s="548" t="str">
        <f>IFERROR(VLOOKUP(N152,'TABLA-DIA'!$B$2:$P$62,11,FALSE),"")</f>
        <v/>
      </c>
      <c r="J152" s="549" t="str">
        <f>IFERROR(VLOOKUP(N152,'TABLA-DIA'!$B$2:$P$62,12,FALSE),"")</f>
        <v/>
      </c>
      <c r="K152" s="557" t="str">
        <f>IFERROR(VLOOKUP(N152,'TABLA-DIA'!$B$2:$P$62,13,FALSE),"")</f>
        <v/>
      </c>
      <c r="L152" s="603" t="str">
        <f>IFERROR(IF(VLOOKUP(N152,'TABLA-DIA'!$B$2:$P$62,14,FALSE)="","",VLOOKUP(N152,'TABLA-DIA'!$B$2:$P$62,14,FALSE)),"")</f>
        <v/>
      </c>
      <c r="M152" s="587">
        <v>5</v>
      </c>
      <c r="N152" s="125" t="str">
        <f t="shared" si="6"/>
        <v>LINEA AUTOMATICA HACOS 2-5</v>
      </c>
      <c r="O152" s="2"/>
    </row>
    <row r="153" spans="1:15" ht="78" hidden="1" customHeight="1">
      <c r="B153" s="724"/>
      <c r="C153" s="564" t="str">
        <f>IFERROR(VLOOKUP(N153,'TABLA-DIA'!$B$2:$P$62,9,FALSE),"")</f>
        <v/>
      </c>
      <c r="D153" s="565" t="str">
        <f>IFERROR(VLOOKUP(N153,'TABLA-DIA'!$B$2:$P$62,4,FALSE),"")</f>
        <v/>
      </c>
      <c r="E153" s="566" t="str">
        <f>IFERROR(VLOOKUP(N153,'TABLA-DIA'!$B$2:$P$62,5,FALSE),"")</f>
        <v/>
      </c>
      <c r="F153" s="566" t="str">
        <f>IFERROR(VLOOKUP(N153,'TABLA-DIA'!$B$2:$P$62,6,FALSE),"")</f>
        <v/>
      </c>
      <c r="G153" s="542" t="str">
        <f>IFERROR(VLOOKUP(N153,'TABLA-DIA'!$B$2:$P$62,7,FALSE),"")</f>
        <v/>
      </c>
      <c r="H153" s="582" t="str">
        <f>IFERROR(VLOOKUP(N153,'TABLA-DIA'!$B$2:$P$62,10,FALSE),"")</f>
        <v/>
      </c>
      <c r="I153" s="548" t="str">
        <f>IFERROR(VLOOKUP(N153,'TABLA-DIA'!$B$2:$P$62,11,FALSE),"")</f>
        <v/>
      </c>
      <c r="J153" s="549" t="str">
        <f>IFERROR(VLOOKUP(N153,'TABLA-DIA'!$B$2:$P$62,12,FALSE),"")</f>
        <v/>
      </c>
      <c r="K153" s="557" t="str">
        <f>IFERROR(VLOOKUP(N153,'TABLA-DIA'!$B$2:$P$62,13,FALSE),"")</f>
        <v/>
      </c>
      <c r="L153" s="603" t="str">
        <f>IFERROR(IF(VLOOKUP(N153,'TABLA-DIA'!$B$2:$P$62,14,FALSE)="","",VLOOKUP(N153,'TABLA-DIA'!$B$2:$P$62,14,FALSE)),"")</f>
        <v/>
      </c>
      <c r="M153" s="587">
        <v>6</v>
      </c>
      <c r="N153" s="125" t="str">
        <f t="shared" si="6"/>
        <v>LINEA AUTOMATICA HACOS 2-6</v>
      </c>
      <c r="O153" s="2"/>
    </row>
    <row r="154" spans="1:15" ht="78" hidden="1" customHeight="1">
      <c r="A154" t="s">
        <v>3743</v>
      </c>
      <c r="B154" s="724"/>
      <c r="C154" s="564" t="str">
        <f>IFERROR(VLOOKUP(N154,'TABLA-DIA'!$B$2:$P$62,9,FALSE),"")</f>
        <v/>
      </c>
      <c r="D154" s="565" t="str">
        <f>IFERROR(VLOOKUP(N154,'TABLA-DIA'!$B$2:$P$62,4,FALSE),"")</f>
        <v/>
      </c>
      <c r="E154" s="566" t="str">
        <f>IFERROR(VLOOKUP(N154,'TABLA-DIA'!$B$2:$P$62,5,FALSE),"")</f>
        <v/>
      </c>
      <c r="F154" s="566" t="str">
        <f>IFERROR(VLOOKUP(N154,'TABLA-DIA'!$B$2:$P$62,6,FALSE),"")</f>
        <v/>
      </c>
      <c r="G154" s="542" t="str">
        <f>IFERROR(VLOOKUP(N154,'TABLA-DIA'!$B$2:$P$62,7,FALSE),"")</f>
        <v/>
      </c>
      <c r="H154" s="582" t="str">
        <f>IFERROR(VLOOKUP(N154,'TABLA-DIA'!$B$2:$P$62,10,FALSE),"")</f>
        <v/>
      </c>
      <c r="I154" s="548" t="str">
        <f>IFERROR(VLOOKUP(N154,'TABLA-DIA'!$B$2:$P$62,11,FALSE),"")</f>
        <v/>
      </c>
      <c r="J154" s="549" t="str">
        <f>IFERROR(VLOOKUP(N154,'TABLA-DIA'!$B$2:$P$62,12,FALSE),"")</f>
        <v/>
      </c>
      <c r="K154" s="557" t="str">
        <f>IFERROR(VLOOKUP(N154,'TABLA-DIA'!$B$2:$P$62,13,FALSE),"")</f>
        <v/>
      </c>
      <c r="L154" s="603" t="str">
        <f>IFERROR(IF(VLOOKUP(N154,'TABLA-DIA'!$B$2:$P$62,14,FALSE)="","",VLOOKUP(N154,'TABLA-DIA'!$B$2:$P$62,14,FALSE)),"")</f>
        <v/>
      </c>
      <c r="M154" s="587">
        <v>7</v>
      </c>
      <c r="N154" s="125" t="str">
        <f t="shared" si="6"/>
        <v>LINEA AUTOMATICA HACOS 2-7</v>
      </c>
      <c r="O154" s="2"/>
    </row>
    <row r="155" spans="1:15" ht="78" hidden="1" customHeight="1" thickBot="1">
      <c r="B155" s="724"/>
      <c r="C155" s="564" t="str">
        <f>IFERROR(VLOOKUP(N155,'TABLA-DIA'!$B$2:$P$62,9,FALSE),"")</f>
        <v/>
      </c>
      <c r="D155" s="565" t="str">
        <f>IFERROR(VLOOKUP(N155,'TABLA-DIA'!$B$2:$P$62,4,FALSE),"")</f>
        <v/>
      </c>
      <c r="E155" s="566" t="str">
        <f>IFERROR(VLOOKUP(N155,'TABLA-DIA'!$B$2:$P$62,5,FALSE),"")</f>
        <v/>
      </c>
      <c r="F155" s="566" t="str">
        <f>IFERROR(VLOOKUP(N155,'TABLA-DIA'!$B$2:$P$62,6,FALSE),"")</f>
        <v/>
      </c>
      <c r="G155" s="542" t="str">
        <f>IFERROR(VLOOKUP(N155,'TABLA-DIA'!$B$2:$P$62,7,FALSE),"")</f>
        <v/>
      </c>
      <c r="H155" s="582" t="str">
        <f>IFERROR(VLOOKUP(N155,'TABLA-DIA'!$B$2:$P$62,10,FALSE),"")</f>
        <v/>
      </c>
      <c r="I155" s="548" t="str">
        <f>IFERROR(VLOOKUP(N155,'TABLA-DIA'!$B$2:$P$62,11,FALSE),"")</f>
        <v/>
      </c>
      <c r="J155" s="549" t="str">
        <f>IFERROR(VLOOKUP(N155,'TABLA-DIA'!$B$2:$P$62,12,FALSE),"")</f>
        <v/>
      </c>
      <c r="K155" s="557" t="str">
        <f>IFERROR(VLOOKUP(N155,'TABLA-DIA'!$B$2:$P$62,13,FALSE),"")</f>
        <v/>
      </c>
      <c r="L155" s="603" t="str">
        <f>IFERROR(IF(VLOOKUP(N155,'TABLA-DIA'!$B$2:$P$62,14,FALSE)="","",VLOOKUP(N155,'TABLA-DIA'!$B$2:$P$62,14,FALSE)),"")</f>
        <v/>
      </c>
      <c r="M155" s="587">
        <v>8</v>
      </c>
      <c r="N155" s="125" t="str">
        <f t="shared" si="6"/>
        <v>LINEA AUTOMATICA HACOS 2-8</v>
      </c>
      <c r="O155" s="2"/>
    </row>
    <row r="156" spans="1:15" ht="78" hidden="1" customHeight="1">
      <c r="B156" s="724"/>
      <c r="C156" s="564" t="str">
        <f>IFERROR(VLOOKUP(N156,'TABLA-DIA'!$B$2:$P$62,9,FALSE),"")</f>
        <v/>
      </c>
      <c r="D156" s="565" t="str">
        <f>IFERROR(VLOOKUP(N156,'TABLA-DIA'!$B$2:$P$62,4,FALSE),"")</f>
        <v/>
      </c>
      <c r="E156" s="566" t="str">
        <f>IFERROR(VLOOKUP(N156,'TABLA-DIA'!$B$2:$P$62,5,FALSE),"")</f>
        <v/>
      </c>
      <c r="F156" s="566" t="str">
        <f>IFERROR(VLOOKUP(N156,'TABLA-DIA'!$B$2:$P$62,6,FALSE),"")</f>
        <v/>
      </c>
      <c r="G156" s="542" t="str">
        <f>IFERROR(VLOOKUP(N156,'TABLA-DIA'!$B$2:$P$62,7,FALSE),"")</f>
        <v/>
      </c>
      <c r="H156" s="582" t="str">
        <f>IFERROR(VLOOKUP(N156,'TABLA-DIA'!$B$2:$P$62,10,FALSE),"")</f>
        <v/>
      </c>
      <c r="I156" s="548" t="str">
        <f>IFERROR(VLOOKUP(N156,'TABLA-DIA'!$B$2:$P$62,11,FALSE),"")</f>
        <v/>
      </c>
      <c r="J156" s="549" t="str">
        <f>IFERROR(VLOOKUP(N156,'TABLA-DIA'!$B$2:$P$62,12,FALSE),"")</f>
        <v/>
      </c>
      <c r="K156" s="557" t="str">
        <f>IFERROR(VLOOKUP(N156,'TABLA-DIA'!$B$2:$P$62,13,FALSE),"")</f>
        <v/>
      </c>
      <c r="L156" s="603" t="str">
        <f>IFERROR(IF(VLOOKUP(N156,'TABLA-DIA'!$B$2:$P$62,14,FALSE)="","",VLOOKUP(N156,'TABLA-DIA'!$B$2:$P$62,14,FALSE)),"")</f>
        <v/>
      </c>
      <c r="M156" s="587">
        <v>9</v>
      </c>
      <c r="N156" s="125" t="str">
        <f t="shared" si="6"/>
        <v>LINEA AUTOMATICA HACOS 2-9</v>
      </c>
      <c r="O156" s="2"/>
    </row>
    <row r="157" spans="1:15" ht="112.5" hidden="1" customHeight="1">
      <c r="B157" s="724"/>
      <c r="C157" s="564" t="str">
        <f>IFERROR(VLOOKUP(N157,'TABLA-DIA'!$B$2:$P$62,9,FALSE),"")</f>
        <v/>
      </c>
      <c r="D157" s="565" t="str">
        <f>IFERROR(VLOOKUP(N157,'TABLA-DIA'!$B$2:$P$62,4,FALSE),"")</f>
        <v/>
      </c>
      <c r="E157" s="566" t="str">
        <f>IFERROR(VLOOKUP(N157,'TABLA-DIA'!$B$2:$P$62,5,FALSE),"")</f>
        <v/>
      </c>
      <c r="F157" s="566" t="str">
        <f>IFERROR(VLOOKUP(N157,'TABLA-DIA'!$B$2:$P$62,6,FALSE),"")</f>
        <v/>
      </c>
      <c r="G157" s="542" t="str">
        <f>IFERROR(VLOOKUP(N157,'TABLA-DIA'!$B$2:$P$62,7,FALSE),"")</f>
        <v/>
      </c>
      <c r="H157" s="582" t="str">
        <f>IFERROR(VLOOKUP(N157,'TABLA-DIA'!$B$2:$P$62,10,FALSE),"")</f>
        <v/>
      </c>
      <c r="I157" s="548" t="str">
        <f>IFERROR(VLOOKUP(N157,'TABLA-DIA'!$B$2:$P$62,11,FALSE),"")</f>
        <v/>
      </c>
      <c r="J157" s="549" t="str">
        <f>IFERROR(VLOOKUP(N157,'TABLA-DIA'!$B$2:$P$62,12,FALSE),"")</f>
        <v/>
      </c>
      <c r="K157" s="557" t="str">
        <f>IFERROR(VLOOKUP(N157,'TABLA-DIA'!$B$2:$P$62,13,FALSE),"")</f>
        <v/>
      </c>
      <c r="L157" s="603" t="str">
        <f>IFERROR(IF(VLOOKUP(N157,'TABLA-DIA'!$B$2:$P$62,14,FALSE)="","",VLOOKUP(N157,'TABLA-DIA'!$B$2:$P$62,14,FALSE)),"")</f>
        <v/>
      </c>
      <c r="M157" s="587">
        <v>10</v>
      </c>
      <c r="N157" s="125" t="str">
        <f t="shared" si="6"/>
        <v>LINEA AUTOMATICA HACOS 2-10</v>
      </c>
      <c r="O157" s="2"/>
    </row>
    <row r="158" spans="1:15" ht="112.5" hidden="1" customHeight="1">
      <c r="B158" s="724"/>
      <c r="C158" s="564" t="str">
        <f>IFERROR(VLOOKUP(N158,'TABLA-DIA'!$B$2:$P$62,9,FALSE),"")</f>
        <v/>
      </c>
      <c r="D158" s="565" t="str">
        <f>IFERROR(VLOOKUP(N158,'TABLA-DIA'!$B$2:$P$62,4,FALSE),"")</f>
        <v/>
      </c>
      <c r="E158" s="566" t="str">
        <f>IFERROR(VLOOKUP(N158,'TABLA-DIA'!$B$2:$P$62,5,FALSE),"")</f>
        <v/>
      </c>
      <c r="F158" s="566" t="str">
        <f>IFERROR(VLOOKUP(N158,'TABLA-DIA'!$B$2:$P$62,6,FALSE),"")</f>
        <v/>
      </c>
      <c r="G158" s="542" t="str">
        <f>IFERROR(VLOOKUP(N158,'TABLA-DIA'!$B$2:$P$62,7,FALSE),"")</f>
        <v/>
      </c>
      <c r="H158" s="582" t="str">
        <f>IFERROR(VLOOKUP(N158,'TABLA-DIA'!$B$2:$P$62,10,FALSE),"")</f>
        <v/>
      </c>
      <c r="I158" s="548" t="str">
        <f>IFERROR(VLOOKUP(N158,'TABLA-DIA'!$B$2:$P$62,11,FALSE),"")</f>
        <v/>
      </c>
      <c r="J158" s="549" t="str">
        <f>IFERROR(VLOOKUP(N158,'TABLA-DIA'!$B$2:$P$62,12,FALSE),"")</f>
        <v/>
      </c>
      <c r="K158" s="557" t="str">
        <f>IFERROR(VLOOKUP(N158,'TABLA-DIA'!$B$2:$P$62,13,FALSE),"")</f>
        <v/>
      </c>
      <c r="L158" s="603" t="str">
        <f>IFERROR(IF(VLOOKUP(N158,'TABLA-DIA'!$B$2:$P$62,14,FALSE)="","",VLOOKUP(N158,'TABLA-DIA'!$B$2:$P$62,14,FALSE)),"")</f>
        <v/>
      </c>
      <c r="M158" s="587">
        <v>11</v>
      </c>
      <c r="N158" s="125" t="str">
        <f t="shared" si="6"/>
        <v>LINEA AUTOMATICA HACOS 2-11</v>
      </c>
      <c r="O158" s="2"/>
    </row>
    <row r="159" spans="1:15" ht="112.5" hidden="1" customHeight="1" thickBot="1">
      <c r="B159" s="724"/>
      <c r="C159" s="579" t="str">
        <f>IFERROR(VLOOKUP(N159,'TABLA-DIA'!$B$2:$P$62,9,FALSE),"")</f>
        <v/>
      </c>
      <c r="D159" s="567" t="str">
        <f>IFERROR(VLOOKUP(N159,'TABLA-DIA'!$B$2:$P$62,4,FALSE),"")</f>
        <v/>
      </c>
      <c r="E159" s="568" t="str">
        <f>IFERROR(VLOOKUP(N159,'TABLA-DIA'!$B$2:$P$62,5,FALSE),"")</f>
        <v/>
      </c>
      <c r="F159" s="568" t="str">
        <f>IFERROR(VLOOKUP(N159,'TABLA-DIA'!$B$2:$P$62,6,FALSE),"")</f>
        <v/>
      </c>
      <c r="G159" s="543" t="str">
        <f>IFERROR(VLOOKUP(N159,'TABLA-DIA'!$B$2:$P$62,7,FALSE),"")</f>
        <v/>
      </c>
      <c r="H159" s="583" t="str">
        <f>IFERROR(VLOOKUP(N159,'TABLA-DIA'!$B$2:$P$62,10,FALSE),"")</f>
        <v/>
      </c>
      <c r="I159" s="550" t="str">
        <f>IFERROR(VLOOKUP(N159,'TABLA-DIA'!$B$2:$P$62,11,FALSE),"")</f>
        <v/>
      </c>
      <c r="J159" s="551" t="str">
        <f>IFERROR(VLOOKUP(N159,'TABLA-DIA'!$B$2:$P$62,12,FALSE),"")</f>
        <v/>
      </c>
      <c r="K159" s="558" t="str">
        <f>IFERROR(VLOOKUP(N159,'TABLA-DIA'!$B$2:$P$62,13,FALSE),"")</f>
        <v/>
      </c>
      <c r="L159" s="604" t="str">
        <f>IFERROR(IF(VLOOKUP(N159,'TABLA-DIA'!$B$2:$P$62,14,FALSE)="","",VLOOKUP(N159,'TABLA-DIA'!$B$2:$P$62,14,FALSE)),"")</f>
        <v/>
      </c>
      <c r="M159" s="588">
        <v>12</v>
      </c>
      <c r="N159" s="135" t="str">
        <f t="shared" si="6"/>
        <v>LINEA AUTOMATICA HACOS 2-12</v>
      </c>
      <c r="O159" s="2"/>
    </row>
    <row r="160" spans="1:15" ht="95.25" customHeight="1" thickBot="1">
      <c r="B160" s="741" t="str">
        <f>+'TABLA-DIA'!B154</f>
        <v>CORTADORA DE TURRON</v>
      </c>
      <c r="C160" s="569" t="str">
        <f>IFERROR(VLOOKUP(N160,'TABLA-DIA'!$B$2:$P$62,9,FALSE),"")</f>
        <v/>
      </c>
      <c r="D160" s="570" t="str">
        <f>IFERROR(VLOOKUP(N160,'TABLA-DIA'!$B$2:$P$62,4,FALSE),"")</f>
        <v/>
      </c>
      <c r="E160" s="571" t="str">
        <f>IFERROR(VLOOKUP(N160,'TABLA-DIA'!$B$2:$P$62,5,FALSE),"")</f>
        <v/>
      </c>
      <c r="F160" s="571" t="str">
        <f>IFERROR(VLOOKUP(N160,'TABLA-DIA'!$B$2:$P$62,6,FALSE),"")</f>
        <v/>
      </c>
      <c r="G160" s="544" t="str">
        <f>IFERROR(VLOOKUP(N160,'TABLA-DIA'!$B$2:$P$62,7,FALSE),"")</f>
        <v/>
      </c>
      <c r="H160" s="584" t="str">
        <f>IFERROR(VLOOKUP(N160,'TABLA-DIA'!$B$2:$P$62,10,FALSE),"")</f>
        <v/>
      </c>
      <c r="I160" s="552" t="str">
        <f>IFERROR(VLOOKUP(N160,'TABLA-DIA'!$B$2:$P$62,11,FALSE),"")</f>
        <v/>
      </c>
      <c r="J160" s="553" t="str">
        <f>IFERROR(VLOOKUP(N160,'TABLA-DIA'!$B$2:$P$62,12,FALSE),"")</f>
        <v/>
      </c>
      <c r="K160" s="559" t="str">
        <f>IFERROR(VLOOKUP(N160,'TABLA-DIA'!$B$2:$P$62,13,FALSE),"")</f>
        <v/>
      </c>
      <c r="L160" s="605" t="str">
        <f>IFERROR(IF(VLOOKUP(N160,'TABLA-DIA'!$B$2:$P$62,14,FALSE)="","",VLOOKUP(N160,'TABLA-DIA'!$B$2:$P$62,14,FALSE)),"")</f>
        <v/>
      </c>
      <c r="M160" s="589">
        <v>1</v>
      </c>
      <c r="N160" s="98" t="str">
        <f t="shared" ref="N160:N169" si="7">CONCATENATE($B$160,"-",M160)</f>
        <v>CORTADORA DE TURRON-1</v>
      </c>
      <c r="O160" s="91">
        <f>COUNTIF(G160:G169,"&lt;&gt;**")</f>
        <v>0</v>
      </c>
    </row>
    <row r="161" spans="2:15" ht="88.5" hidden="1" customHeight="1">
      <c r="B161" s="742"/>
      <c r="C161" s="564" t="str">
        <f>IFERROR(VLOOKUP(N161,'TABLA-DIA'!$B$2:$P$62,9,FALSE),"")</f>
        <v/>
      </c>
      <c r="D161" s="565" t="str">
        <f>IFERROR(VLOOKUP(N161,'TABLA-DIA'!$B$2:$P$62,4,FALSE),"")</f>
        <v/>
      </c>
      <c r="E161" s="566" t="str">
        <f>IFERROR(VLOOKUP(N161,'TABLA-DIA'!$B$2:$P$62,5,FALSE),"")</f>
        <v/>
      </c>
      <c r="F161" s="566" t="str">
        <f>IFERROR(VLOOKUP(N161,'TABLA-DIA'!$B$2:$P$62,6,FALSE),"")</f>
        <v/>
      </c>
      <c r="G161" s="542" t="str">
        <f>IFERROR(VLOOKUP(N161,'TABLA-DIA'!$B$2:$P$62,7,FALSE),"")</f>
        <v/>
      </c>
      <c r="H161" s="582" t="str">
        <f>IFERROR(VLOOKUP(N161,'TABLA-DIA'!$B$2:$P$62,10,FALSE),"")</f>
        <v/>
      </c>
      <c r="I161" s="548" t="str">
        <f>IFERROR(VLOOKUP(N161,'TABLA-DIA'!$B$2:$P$62,11,FALSE),"")</f>
        <v/>
      </c>
      <c r="J161" s="549" t="str">
        <f>IFERROR(VLOOKUP(N161,'TABLA-DIA'!$B$2:$P$62,12,FALSE),"")</f>
        <v/>
      </c>
      <c r="K161" s="557" t="str">
        <f>IFERROR(VLOOKUP(N161,'TABLA-DIA'!$B$2:$P$62,13,FALSE),"")</f>
        <v/>
      </c>
      <c r="L161" s="603" t="str">
        <f>IFERROR(IF(VLOOKUP(N161,'TABLA-DIA'!$B$2:$P$62,14,FALSE)="","",VLOOKUP(N161,'TABLA-DIA'!$B$2:$P$62,14,FALSE)),"")</f>
        <v/>
      </c>
      <c r="M161" s="590">
        <f t="shared" ref="M161:M169" si="8">+M160+1</f>
        <v>2</v>
      </c>
      <c r="N161" s="125" t="str">
        <f t="shared" si="7"/>
        <v>CORTADORA DE TURRON-2</v>
      </c>
    </row>
    <row r="162" spans="2:15" ht="88.5" hidden="1" customHeight="1" thickBot="1">
      <c r="B162" s="742"/>
      <c r="C162" s="564" t="str">
        <f>IFERROR(VLOOKUP(N162,'TABLA-DIA'!$B$2:$P$62,9,FALSE),"")</f>
        <v/>
      </c>
      <c r="D162" s="565" t="str">
        <f>IFERROR(VLOOKUP(N162,'TABLA-DIA'!$B$2:$P$62,4,FALSE),"")</f>
        <v/>
      </c>
      <c r="E162" s="566" t="str">
        <f>IFERROR(VLOOKUP(N162,'TABLA-DIA'!$B$2:$P$62,5,FALSE),"")</f>
        <v/>
      </c>
      <c r="F162" s="566" t="str">
        <f>IFERROR(VLOOKUP(N162,'TABLA-DIA'!$B$2:$P$62,6,FALSE),"")</f>
        <v/>
      </c>
      <c r="G162" s="542" t="str">
        <f>IFERROR(VLOOKUP(N162,'TABLA-DIA'!$B$2:$P$62,7,FALSE),"")</f>
        <v/>
      </c>
      <c r="H162" s="582" t="str">
        <f>IFERROR(VLOOKUP(N162,'TABLA-DIA'!$B$2:$P$62,10,FALSE),"")</f>
        <v/>
      </c>
      <c r="I162" s="548" t="str">
        <f>IFERROR(VLOOKUP(N162,'TABLA-DIA'!$B$2:$P$62,11,FALSE),"")</f>
        <v/>
      </c>
      <c r="J162" s="549" t="str">
        <f>IFERROR(VLOOKUP(N162,'TABLA-DIA'!$B$2:$P$62,12,FALSE),"")</f>
        <v/>
      </c>
      <c r="K162" s="557" t="str">
        <f>IFERROR(VLOOKUP(N162,'TABLA-DIA'!$B$2:$P$62,13,FALSE),"")</f>
        <v/>
      </c>
      <c r="L162" s="603" t="str">
        <f>IFERROR(IF(VLOOKUP(N162,'TABLA-DIA'!$B$2:$P$62,14,FALSE)="","",VLOOKUP(N162,'TABLA-DIA'!$B$2:$P$62,14,FALSE)),"")</f>
        <v/>
      </c>
      <c r="M162" s="590">
        <f t="shared" si="8"/>
        <v>3</v>
      </c>
      <c r="N162" s="125" t="str">
        <f t="shared" si="7"/>
        <v>CORTADORA DE TURRON-3</v>
      </c>
    </row>
    <row r="163" spans="2:15" ht="90.75" hidden="1" customHeight="1">
      <c r="B163" s="742"/>
      <c r="C163" s="564" t="str">
        <f>IFERROR(VLOOKUP(N163,'TABLA-DIA'!$B$2:$P$62,9,FALSE),"")</f>
        <v/>
      </c>
      <c r="D163" s="565" t="str">
        <f>IFERROR(VLOOKUP(N163,'TABLA-DIA'!$B$2:$P$62,4,FALSE),"")</f>
        <v/>
      </c>
      <c r="E163" s="566" t="str">
        <f>IFERROR(VLOOKUP(N163,'TABLA-DIA'!$B$2:$P$62,5,FALSE),"")</f>
        <v/>
      </c>
      <c r="F163" s="566" t="str">
        <f>IFERROR(VLOOKUP(N163,'TABLA-DIA'!$B$2:$P$62,6,FALSE),"")</f>
        <v/>
      </c>
      <c r="G163" s="542" t="str">
        <f>IFERROR(VLOOKUP(N163,'TABLA-DIA'!$B$2:$P$62,7,FALSE),"")</f>
        <v/>
      </c>
      <c r="H163" s="582" t="str">
        <f>IFERROR(VLOOKUP(N163,'TABLA-DIA'!$B$2:$P$62,10,FALSE),"")</f>
        <v/>
      </c>
      <c r="I163" s="548" t="str">
        <f>IFERROR(VLOOKUP(N163,'TABLA-DIA'!$B$2:$P$62,11,FALSE),"")</f>
        <v/>
      </c>
      <c r="J163" s="549" t="str">
        <f>IFERROR(VLOOKUP(N163,'TABLA-DIA'!$B$2:$P$62,12,FALSE),"")</f>
        <v/>
      </c>
      <c r="K163" s="557" t="str">
        <f>IFERROR(VLOOKUP(N163,'TABLA-DIA'!$B$2:$P$62,13,FALSE),"")</f>
        <v/>
      </c>
      <c r="L163" s="603" t="str">
        <f>IFERROR(IF(VLOOKUP(N163,'TABLA-DIA'!$B$2:$P$62,14,FALSE)="","",VLOOKUP(N163,'TABLA-DIA'!$B$2:$P$62,14,FALSE)),"")</f>
        <v/>
      </c>
      <c r="M163" s="590">
        <f t="shared" si="8"/>
        <v>4</v>
      </c>
      <c r="N163" s="125" t="str">
        <f t="shared" si="7"/>
        <v>CORTADORA DE TURRON-4</v>
      </c>
    </row>
    <row r="164" spans="2:15" ht="95.25" hidden="1" customHeight="1">
      <c r="B164" s="742"/>
      <c r="C164" s="564" t="str">
        <f>IFERROR(VLOOKUP(N164,'TABLA-DIA'!$B$2:$P$62,9,FALSE),"")</f>
        <v/>
      </c>
      <c r="D164" s="565" t="str">
        <f>IFERROR(VLOOKUP(N164,'TABLA-DIA'!$B$2:$P$62,4,FALSE),"")</f>
        <v/>
      </c>
      <c r="E164" s="566" t="str">
        <f>IFERROR(VLOOKUP(N164,'TABLA-DIA'!$B$2:$P$62,5,FALSE),"")</f>
        <v/>
      </c>
      <c r="F164" s="566" t="str">
        <f>IFERROR(VLOOKUP(N164,'TABLA-DIA'!$B$2:$P$62,6,FALSE),"")</f>
        <v/>
      </c>
      <c r="G164" s="542" t="str">
        <f>IFERROR(VLOOKUP(N164,'TABLA-DIA'!$B$2:$P$62,7,FALSE),"")</f>
        <v/>
      </c>
      <c r="H164" s="582" t="str">
        <f>IFERROR(VLOOKUP(N164,'TABLA-DIA'!$B$2:$P$62,10,FALSE),"")</f>
        <v/>
      </c>
      <c r="I164" s="548" t="str">
        <f>IFERROR(VLOOKUP(N164,'TABLA-DIA'!$B$2:$P$62,11,FALSE),"")</f>
        <v/>
      </c>
      <c r="J164" s="549" t="str">
        <f>IFERROR(VLOOKUP(N164,'TABLA-DIA'!$B$2:$P$62,12,FALSE),"")</f>
        <v/>
      </c>
      <c r="K164" s="557" t="str">
        <f>IFERROR(VLOOKUP(N164,'TABLA-DIA'!$B$2:$P$62,13,FALSE),"")</f>
        <v/>
      </c>
      <c r="L164" s="603" t="str">
        <f>IFERROR(IF(VLOOKUP(N164,'TABLA-DIA'!$B$2:$P$62,14,FALSE)="","",VLOOKUP(N164,'TABLA-DIA'!$B$2:$P$62,14,FALSE)),"")</f>
        <v/>
      </c>
      <c r="M164" s="590">
        <f t="shared" si="8"/>
        <v>5</v>
      </c>
      <c r="N164" s="125" t="str">
        <f t="shared" si="7"/>
        <v>CORTADORA DE TURRON-5</v>
      </c>
    </row>
    <row r="165" spans="2:15" ht="112.5" hidden="1" customHeight="1">
      <c r="B165" s="742"/>
      <c r="C165" s="564" t="str">
        <f>IFERROR(VLOOKUP(N165,'TABLA-DIA'!$B$2:$P$62,9,FALSE),"")</f>
        <v/>
      </c>
      <c r="D165" s="565" t="str">
        <f>IFERROR(VLOOKUP(N165,'TABLA-DIA'!$B$2:$P$62,4,FALSE),"")</f>
        <v/>
      </c>
      <c r="E165" s="566" t="str">
        <f>IFERROR(VLOOKUP(N165,'TABLA-DIA'!$B$2:$P$62,5,FALSE),"")</f>
        <v/>
      </c>
      <c r="F165" s="566" t="str">
        <f>IFERROR(VLOOKUP(N165,'TABLA-DIA'!$B$2:$P$62,6,FALSE),"")</f>
        <v/>
      </c>
      <c r="G165" s="542" t="str">
        <f>IFERROR(VLOOKUP(N165,'TABLA-DIA'!$B$2:$P$62,7,FALSE),"")</f>
        <v/>
      </c>
      <c r="H165" s="582" t="str">
        <f>IFERROR(VLOOKUP(N165,'TABLA-DIA'!$B$2:$P$62,10,FALSE),"")</f>
        <v/>
      </c>
      <c r="I165" s="548" t="str">
        <f>IFERROR(VLOOKUP(N165,'TABLA-DIA'!$B$2:$P$62,11,FALSE),"")</f>
        <v/>
      </c>
      <c r="J165" s="549" t="str">
        <f>IFERROR(VLOOKUP(N165,'TABLA-DIA'!$B$2:$P$62,12,FALSE),"")</f>
        <v/>
      </c>
      <c r="K165" s="557" t="str">
        <f>IFERROR(VLOOKUP(N165,'TABLA-DIA'!$B$2:$P$62,13,FALSE),"")</f>
        <v/>
      </c>
      <c r="L165" s="603" t="str">
        <f>IFERROR(IF(VLOOKUP(N165,'TABLA-DIA'!$B$2:$P$62,14,FALSE)="","",VLOOKUP(N165,'TABLA-DIA'!$B$2:$P$62,14,FALSE)),"")</f>
        <v/>
      </c>
      <c r="M165" s="590">
        <f t="shared" si="8"/>
        <v>6</v>
      </c>
      <c r="N165" s="125" t="str">
        <f t="shared" si="7"/>
        <v>CORTADORA DE TURRON-6</v>
      </c>
    </row>
    <row r="166" spans="2:15" ht="116.25" hidden="1" customHeight="1" thickBot="1">
      <c r="B166" s="742"/>
      <c r="C166" s="564" t="str">
        <f>IFERROR(VLOOKUP(N166,'TABLA-DIA'!$B$2:$P$62,9,FALSE),"")</f>
        <v/>
      </c>
      <c r="D166" s="565" t="str">
        <f>IFERROR(VLOOKUP(N166,'TABLA-DIA'!$B$2:$P$62,4,FALSE),"")</f>
        <v/>
      </c>
      <c r="E166" s="566" t="str">
        <f>IFERROR(VLOOKUP(N166,'TABLA-DIA'!$B$2:$P$62,5,FALSE),"")</f>
        <v/>
      </c>
      <c r="F166" s="566" t="str">
        <f>IFERROR(VLOOKUP(N166,'TABLA-DIA'!$B$2:$P$62,6,FALSE),"")</f>
        <v/>
      </c>
      <c r="G166" s="542" t="str">
        <f>IFERROR(VLOOKUP(N166,'TABLA-DIA'!$B$2:$P$62,7,FALSE),"")</f>
        <v/>
      </c>
      <c r="H166" s="582" t="str">
        <f>IFERROR(VLOOKUP(N166,'TABLA-DIA'!$B$2:$P$62,10,FALSE),"")</f>
        <v/>
      </c>
      <c r="I166" s="548" t="str">
        <f>IFERROR(VLOOKUP(N166,'TABLA-DIA'!$B$2:$P$62,11,FALSE),"")</f>
        <v/>
      </c>
      <c r="J166" s="549" t="str">
        <f>IFERROR(VLOOKUP(N166,'TABLA-DIA'!$B$2:$P$62,12,FALSE),"")</f>
        <v/>
      </c>
      <c r="K166" s="557" t="str">
        <f>IFERROR(VLOOKUP(N166,'TABLA-DIA'!$B$2:$P$62,13,FALSE),"")</f>
        <v/>
      </c>
      <c r="L166" s="603" t="str">
        <f>IFERROR(IF(VLOOKUP(N166,'TABLA-DIA'!$B$2:$P$62,14,FALSE)="","",VLOOKUP(N166,'TABLA-DIA'!$B$2:$P$62,14,FALSE)),"")</f>
        <v/>
      </c>
      <c r="M166" s="590">
        <f t="shared" si="8"/>
        <v>7</v>
      </c>
      <c r="N166" s="125" t="str">
        <f t="shared" si="7"/>
        <v>CORTADORA DE TURRON-7</v>
      </c>
    </row>
    <row r="167" spans="2:15" ht="116.25" hidden="1" customHeight="1">
      <c r="B167" s="742"/>
      <c r="C167" s="564" t="str">
        <f>IFERROR(VLOOKUP(N167,'TABLA-DIA'!$B$2:$P$62,9,FALSE),"")</f>
        <v/>
      </c>
      <c r="D167" s="565" t="str">
        <f>IFERROR(VLOOKUP(N167,'TABLA-DIA'!$B$2:$P$62,4,FALSE),"")</f>
        <v/>
      </c>
      <c r="E167" s="566" t="str">
        <f>IFERROR(VLOOKUP(N167,'TABLA-DIA'!$B$2:$P$62,5,FALSE),"")</f>
        <v/>
      </c>
      <c r="F167" s="566" t="str">
        <f>IFERROR(VLOOKUP(N167,'TABLA-DIA'!$B$2:$P$62,6,FALSE),"")</f>
        <v/>
      </c>
      <c r="G167" s="542" t="str">
        <f>IFERROR(VLOOKUP(N167,'TABLA-DIA'!$B$2:$P$62,7,FALSE),"")</f>
        <v/>
      </c>
      <c r="H167" s="582" t="str">
        <f>IFERROR(VLOOKUP(N167,'TABLA-DIA'!$B$2:$P$62,10,FALSE),"")</f>
        <v/>
      </c>
      <c r="I167" s="548" t="str">
        <f>IFERROR(VLOOKUP(N167,'TABLA-DIA'!$B$2:$P$62,11,FALSE),"")</f>
        <v/>
      </c>
      <c r="J167" s="549" t="str">
        <f>IFERROR(VLOOKUP(N167,'TABLA-DIA'!$B$2:$P$62,12,FALSE),"")</f>
        <v/>
      </c>
      <c r="K167" s="557" t="str">
        <f>IFERROR(VLOOKUP(N167,'TABLA-DIA'!$B$2:$P$62,13,FALSE),"")</f>
        <v/>
      </c>
      <c r="L167" s="603" t="str">
        <f>IFERROR(IF(VLOOKUP(N167,'TABLA-DIA'!$B$2:$P$62,14,FALSE)="","",VLOOKUP(N167,'TABLA-DIA'!$B$2:$P$62,14,FALSE)),"")</f>
        <v/>
      </c>
      <c r="M167" s="590">
        <f t="shared" si="8"/>
        <v>8</v>
      </c>
      <c r="N167" s="125" t="str">
        <f t="shared" si="7"/>
        <v>CORTADORA DE TURRON-8</v>
      </c>
    </row>
    <row r="168" spans="2:15" ht="116.25" hidden="1" customHeight="1">
      <c r="B168" s="742"/>
      <c r="C168" s="564" t="str">
        <f>IFERROR(VLOOKUP(N168,'TABLA-DIA'!$B$2:$P$62,9,FALSE),"")</f>
        <v/>
      </c>
      <c r="D168" s="565" t="str">
        <f>IFERROR(VLOOKUP(N168,'TABLA-DIA'!$B$2:$P$62,4,FALSE),"")</f>
        <v/>
      </c>
      <c r="E168" s="566" t="str">
        <f>IFERROR(VLOOKUP(N168,'TABLA-DIA'!$B$2:$P$62,5,FALSE),"")</f>
        <v/>
      </c>
      <c r="F168" s="566" t="str">
        <f>IFERROR(VLOOKUP(N168,'TABLA-DIA'!$B$2:$P$62,6,FALSE),"")</f>
        <v/>
      </c>
      <c r="G168" s="542" t="str">
        <f>IFERROR(VLOOKUP(N168,'TABLA-DIA'!$B$2:$P$62,7,FALSE),"")</f>
        <v/>
      </c>
      <c r="H168" s="582" t="str">
        <f>IFERROR(VLOOKUP(N168,'TABLA-DIA'!$B$2:$P$62,10,FALSE),"")</f>
        <v/>
      </c>
      <c r="I168" s="548" t="str">
        <f>IFERROR(VLOOKUP(N168,'TABLA-DIA'!$B$2:$P$62,11,FALSE),"")</f>
        <v/>
      </c>
      <c r="J168" s="549" t="str">
        <f>IFERROR(VLOOKUP(N168,'TABLA-DIA'!$B$2:$P$62,12,FALSE),"")</f>
        <v/>
      </c>
      <c r="K168" s="557" t="str">
        <f>IFERROR(VLOOKUP(N168,'TABLA-DIA'!$B$2:$P$62,13,FALSE),"")</f>
        <v/>
      </c>
      <c r="L168" s="603" t="str">
        <f>IFERROR(IF(VLOOKUP(N168,'TABLA-DIA'!$B$2:$P$62,14,FALSE)="","",VLOOKUP(N168,'TABLA-DIA'!$B$2:$P$62,14,FALSE)),"")</f>
        <v/>
      </c>
      <c r="M168" s="590">
        <f t="shared" si="8"/>
        <v>9</v>
      </c>
      <c r="N168" s="125" t="str">
        <f t="shared" si="7"/>
        <v>CORTADORA DE TURRON-9</v>
      </c>
    </row>
    <row r="169" spans="2:15" ht="116.25" hidden="1" customHeight="1" thickBot="1">
      <c r="B169" s="743"/>
      <c r="C169" s="572" t="str">
        <f>IFERROR(VLOOKUP(N169,'TABLA-DIA'!$B$2:$P$62,9,FALSE),"")</f>
        <v/>
      </c>
      <c r="D169" s="567" t="str">
        <f>IFERROR(VLOOKUP(N169,'TABLA-DIA'!$B$2:$P$62,4,FALSE),"")</f>
        <v/>
      </c>
      <c r="E169" s="568" t="str">
        <f>IFERROR(VLOOKUP(N169,'TABLA-DIA'!$B$2:$P$62,5,FALSE),"")</f>
        <v/>
      </c>
      <c r="F169" s="568" t="str">
        <f>IFERROR(VLOOKUP(N169,'TABLA-DIA'!$B$2:$P$62,6,FALSE),"")</f>
        <v/>
      </c>
      <c r="G169" s="543" t="str">
        <f>IFERROR(VLOOKUP(N169,'TABLA-DIA'!$B$2:$P$62,7,FALSE),"")</f>
        <v/>
      </c>
      <c r="H169" s="583" t="str">
        <f>IFERROR(VLOOKUP(N169,'TABLA-DIA'!$B$2:$P$62,10,FALSE),"")</f>
        <v/>
      </c>
      <c r="I169" s="550" t="str">
        <f>IFERROR(VLOOKUP(N169,'TABLA-DIA'!$B$2:$P$62,11,FALSE),"")</f>
        <v/>
      </c>
      <c r="J169" s="551" t="str">
        <f>IFERROR(VLOOKUP(N169,'TABLA-DIA'!$B$2:$P$62,12,FALSE),"")</f>
        <v/>
      </c>
      <c r="K169" s="558" t="str">
        <f>IFERROR(VLOOKUP(N169,'TABLA-DIA'!$B$2:$P$62,13,FALSE),"")</f>
        <v/>
      </c>
      <c r="L169" s="604" t="str">
        <f>IFERROR(IF(VLOOKUP(N169,'TABLA-DIA'!$B$2:$P$62,14,FALSE)="","",VLOOKUP(N169,'TABLA-DIA'!$B$2:$P$62,14,FALSE)),"")</f>
        <v/>
      </c>
      <c r="M169" s="591">
        <f t="shared" si="8"/>
        <v>10</v>
      </c>
      <c r="N169" s="135" t="str">
        <f t="shared" si="7"/>
        <v>CORTADORA DE TURRON-10</v>
      </c>
    </row>
    <row r="170" spans="2:15" ht="82.5" customHeight="1" thickBot="1">
      <c r="B170" s="741" t="str">
        <f>+'TABLA-DIA'!B155</f>
        <v>TEMPERADORA CHOCOLATIER</v>
      </c>
      <c r="C170" s="569" t="str">
        <f>IFERROR(VLOOKUP(N170,'TABLA-DIA'!$B$2:$P$62,9,FALSE),"")</f>
        <v/>
      </c>
      <c r="D170" s="570" t="str">
        <f>IFERROR(VLOOKUP(N170,'TABLA-DIA'!$B$2:$P$62,4,FALSE),"")</f>
        <v/>
      </c>
      <c r="E170" s="571" t="str">
        <f>IFERROR(VLOOKUP(N170,'TABLA-DIA'!$B$2:$P$62,5,FALSE),"")</f>
        <v/>
      </c>
      <c r="F170" s="571" t="str">
        <f>IFERROR(VLOOKUP(N170,'TABLA-DIA'!$B$2:$P$62,6,FALSE),"")</f>
        <v/>
      </c>
      <c r="G170" s="544" t="str">
        <f>IFERROR(VLOOKUP(N170,'TABLA-DIA'!$B$2:$P$62,7,FALSE),"")</f>
        <v/>
      </c>
      <c r="H170" s="584" t="str">
        <f>IFERROR(VLOOKUP(N170,'TABLA-DIA'!$B$2:$P$62,10,FALSE),"")</f>
        <v/>
      </c>
      <c r="I170" s="552" t="str">
        <f>IFERROR(VLOOKUP(N170,'TABLA-DIA'!$B$2:$P$62,11,FALSE),"")</f>
        <v/>
      </c>
      <c r="J170" s="553" t="str">
        <f>IFERROR(VLOOKUP(N170,'TABLA-DIA'!$B$2:$P$62,12,FALSE),"")</f>
        <v/>
      </c>
      <c r="K170" s="559" t="str">
        <f>IFERROR(VLOOKUP(N170,'TABLA-DIA'!$B$2:$P$62,13,FALSE),"")</f>
        <v/>
      </c>
      <c r="L170" s="605" t="str">
        <f>IFERROR(IF(VLOOKUP(N170,'TABLA-DIA'!$B$2:$P$62,14,FALSE)="","",VLOOKUP(N170,'TABLA-DIA'!$B$2:$P$62,14,FALSE)),"")</f>
        <v/>
      </c>
      <c r="M170" s="589">
        <v>1</v>
      </c>
      <c r="N170" s="98" t="str">
        <f t="shared" ref="N170:N179" si="9">CONCATENATE($B$170,"-",M170)</f>
        <v>TEMPERADORA CHOCOLATIER-1</v>
      </c>
      <c r="O170" s="91">
        <f>COUNTIF(G170:G178,"&lt;&gt;**")</f>
        <v>0</v>
      </c>
    </row>
    <row r="171" spans="2:15" ht="82.5" hidden="1" customHeight="1" thickBot="1">
      <c r="B171" s="742"/>
      <c r="C171" s="564" t="str">
        <f>IFERROR(VLOOKUP(N171,'TABLA-DIA'!$B$2:$P$62,9,FALSE),"")</f>
        <v/>
      </c>
      <c r="D171" s="565" t="str">
        <f>IFERROR(VLOOKUP(N171,'TABLA-DIA'!$B$2:$P$62,4,FALSE),"")</f>
        <v/>
      </c>
      <c r="E171" s="566" t="str">
        <f>IFERROR(VLOOKUP(N171,'TABLA-DIA'!$B$2:$P$62,5,FALSE),"")</f>
        <v/>
      </c>
      <c r="F171" s="566" t="str">
        <f>IFERROR(VLOOKUP(N171,'TABLA-DIA'!$B$2:$P$62,6,FALSE),"")</f>
        <v/>
      </c>
      <c r="G171" s="542" t="str">
        <f>IFERROR(VLOOKUP(N171,'TABLA-DIA'!$B$2:$P$62,7,FALSE),"")</f>
        <v/>
      </c>
      <c r="H171" s="582" t="str">
        <f>IFERROR(VLOOKUP(N171,'TABLA-DIA'!$B$2:$P$62,10,FALSE),"")</f>
        <v/>
      </c>
      <c r="I171" s="548" t="str">
        <f>IFERROR(VLOOKUP(N171,'TABLA-DIA'!$B$2:$P$62,11,FALSE),"")</f>
        <v/>
      </c>
      <c r="J171" s="549" t="str">
        <f>IFERROR(VLOOKUP(N171,'TABLA-DIA'!$B$2:$P$62,12,FALSE),"")</f>
        <v/>
      </c>
      <c r="K171" s="557" t="str">
        <f>IFERROR(VLOOKUP(N171,'TABLA-DIA'!$B$2:$P$62,13,FALSE),"")</f>
        <v/>
      </c>
      <c r="L171" s="603" t="str">
        <f>IFERROR(IF(VLOOKUP(N171,'TABLA-DIA'!$B$2:$P$62,14,FALSE)="","",VLOOKUP(N171,'TABLA-DIA'!$B$2:$P$62,14,FALSE)),"")</f>
        <v/>
      </c>
      <c r="M171" s="590">
        <f t="shared" ref="M171:M179" si="10">+M170+1</f>
        <v>2</v>
      </c>
      <c r="N171" s="125" t="str">
        <f t="shared" si="9"/>
        <v>TEMPERADORA CHOCOLATIER-2</v>
      </c>
    </row>
    <row r="172" spans="2:15" ht="82.5" hidden="1" customHeight="1" thickBot="1">
      <c r="B172" s="742"/>
      <c r="C172" s="564" t="str">
        <f>IFERROR(VLOOKUP(N172,'TABLA-DIA'!$B$2:$P$62,9,FALSE),"")</f>
        <v/>
      </c>
      <c r="D172" s="565" t="str">
        <f>IFERROR(VLOOKUP(N172,'TABLA-DIA'!$B$2:$P$62,4,FALSE),"")</f>
        <v/>
      </c>
      <c r="E172" s="566" t="str">
        <f>IFERROR(VLOOKUP(N172,'TABLA-DIA'!$B$2:$P$62,5,FALSE),"")</f>
        <v/>
      </c>
      <c r="F172" s="566" t="str">
        <f>IFERROR(VLOOKUP(N172,'TABLA-DIA'!$B$2:$P$62,6,FALSE),"")</f>
        <v/>
      </c>
      <c r="G172" s="542" t="str">
        <f>IFERROR(VLOOKUP(N172,'TABLA-DIA'!$B$2:$P$62,7,FALSE),"")</f>
        <v/>
      </c>
      <c r="H172" s="582" t="str">
        <f>IFERROR(VLOOKUP(N172,'TABLA-DIA'!$B$2:$P$62,10,FALSE),"")</f>
        <v/>
      </c>
      <c r="I172" s="548" t="str">
        <f>IFERROR(VLOOKUP(N172,'TABLA-DIA'!$B$2:$P$62,11,FALSE),"")</f>
        <v/>
      </c>
      <c r="J172" s="549" t="str">
        <f>IFERROR(VLOOKUP(N172,'TABLA-DIA'!$B$2:$P$62,12,FALSE),"")</f>
        <v/>
      </c>
      <c r="K172" s="557" t="str">
        <f>IFERROR(VLOOKUP(N172,'TABLA-DIA'!$B$2:$P$62,13,FALSE),"")</f>
        <v/>
      </c>
      <c r="L172" s="603" t="str">
        <f>IFERROR(IF(VLOOKUP(N172,'TABLA-DIA'!$B$2:$P$62,14,FALSE)="","",VLOOKUP(N172,'TABLA-DIA'!$B$2:$P$62,14,FALSE)),"")</f>
        <v/>
      </c>
      <c r="M172" s="590">
        <f t="shared" si="10"/>
        <v>3</v>
      </c>
      <c r="N172" s="125" t="str">
        <f t="shared" si="9"/>
        <v>TEMPERADORA CHOCOLATIER-3</v>
      </c>
    </row>
    <row r="173" spans="2:15" ht="82.5" hidden="1" customHeight="1">
      <c r="B173" s="742"/>
      <c r="C173" s="564" t="str">
        <f>IFERROR(VLOOKUP(N173,'TABLA-DIA'!$B$2:$P$62,9,FALSE),"")</f>
        <v/>
      </c>
      <c r="D173" s="565" t="str">
        <f>IFERROR(VLOOKUP(N173,'TABLA-DIA'!$B$2:$P$62,4,FALSE),"")</f>
        <v/>
      </c>
      <c r="E173" s="566" t="str">
        <f>IFERROR(VLOOKUP(N173,'TABLA-DIA'!$B$2:$P$62,5,FALSE),"")</f>
        <v/>
      </c>
      <c r="F173" s="566" t="str">
        <f>IFERROR(VLOOKUP(N173,'TABLA-DIA'!$B$2:$P$62,6,FALSE),"")</f>
        <v/>
      </c>
      <c r="G173" s="542" t="str">
        <f>IFERROR(VLOOKUP(N173,'TABLA-DIA'!$B$2:$P$62,7,FALSE),"")</f>
        <v/>
      </c>
      <c r="H173" s="582" t="str">
        <f>IFERROR(VLOOKUP(N173,'TABLA-DIA'!$B$2:$P$62,10,FALSE),"")</f>
        <v/>
      </c>
      <c r="I173" s="548" t="str">
        <f>IFERROR(VLOOKUP(N173,'TABLA-DIA'!$B$2:$P$62,11,FALSE),"")</f>
        <v/>
      </c>
      <c r="J173" s="549" t="str">
        <f>IFERROR(VLOOKUP(N173,'TABLA-DIA'!$B$2:$P$62,12,FALSE),"")</f>
        <v/>
      </c>
      <c r="K173" s="557" t="str">
        <f>IFERROR(VLOOKUP(N173,'TABLA-DIA'!$B$2:$P$62,13,FALSE),"")</f>
        <v/>
      </c>
      <c r="L173" s="603" t="str">
        <f>IFERROR(IF(VLOOKUP(N173,'TABLA-DIA'!$B$2:$P$62,14,FALSE)="","",VLOOKUP(N173,'TABLA-DIA'!$B$2:$P$62,14,FALSE)),"")</f>
        <v/>
      </c>
      <c r="M173" s="590">
        <f t="shared" si="10"/>
        <v>4</v>
      </c>
      <c r="N173" s="125" t="str">
        <f t="shared" si="9"/>
        <v>TEMPERADORA CHOCOLATIER-4</v>
      </c>
    </row>
    <row r="174" spans="2:15" ht="112.5" hidden="1" customHeight="1">
      <c r="B174" s="742"/>
      <c r="C174" s="564" t="str">
        <f>IFERROR(VLOOKUP(N174,'TABLA-DIA'!$B$2:$P$62,9,FALSE),"")</f>
        <v/>
      </c>
      <c r="D174" s="565" t="str">
        <f>IFERROR(VLOOKUP(N174,'TABLA-DIA'!$B$2:$P$62,4,FALSE),"")</f>
        <v/>
      </c>
      <c r="E174" s="566" t="str">
        <f>IFERROR(VLOOKUP(N174,'TABLA-DIA'!$B$2:$P$62,5,FALSE),"")</f>
        <v/>
      </c>
      <c r="F174" s="566" t="str">
        <f>IFERROR(VLOOKUP(N174,'TABLA-DIA'!$B$2:$P$62,6,FALSE),"")</f>
        <v/>
      </c>
      <c r="G174" s="542" t="str">
        <f>IFERROR(VLOOKUP(N174,'TABLA-DIA'!$B$2:$P$62,7,FALSE),"")</f>
        <v/>
      </c>
      <c r="H174" s="582" t="str">
        <f>IFERROR(VLOOKUP(N174,'TABLA-DIA'!$B$2:$P$62,10,FALSE),"")</f>
        <v/>
      </c>
      <c r="I174" s="548" t="str">
        <f>IFERROR(VLOOKUP(N174,'TABLA-DIA'!$B$2:$P$62,11,FALSE),"")</f>
        <v/>
      </c>
      <c r="J174" s="549" t="str">
        <f>IFERROR(VLOOKUP(N174,'TABLA-DIA'!$B$2:$P$62,12,FALSE),"")</f>
        <v/>
      </c>
      <c r="K174" s="557" t="str">
        <f>IFERROR(VLOOKUP(N174,'TABLA-DIA'!$B$2:$P$62,13,FALSE),"")</f>
        <v/>
      </c>
      <c r="L174" s="603" t="str">
        <f>IFERROR(IF(VLOOKUP(N174,'TABLA-DIA'!$B$2:$P$62,14,FALSE)="","",VLOOKUP(N174,'TABLA-DIA'!$B$2:$P$62,14,FALSE)),"")</f>
        <v/>
      </c>
      <c r="M174" s="590">
        <f t="shared" si="10"/>
        <v>5</v>
      </c>
      <c r="N174" s="125" t="str">
        <f t="shared" si="9"/>
        <v>TEMPERADORA CHOCOLATIER-5</v>
      </c>
    </row>
    <row r="175" spans="2:15" ht="112.5" hidden="1" customHeight="1">
      <c r="B175" s="742"/>
      <c r="C175" s="564" t="str">
        <f>IFERROR(VLOOKUP(N175,'TABLA-DIA'!$B$2:$P$62,9,FALSE),"")</f>
        <v/>
      </c>
      <c r="D175" s="565" t="str">
        <f>IFERROR(VLOOKUP(N175,'TABLA-DIA'!$B$2:$P$62,4,FALSE),"")</f>
        <v/>
      </c>
      <c r="E175" s="566" t="str">
        <f>IFERROR(VLOOKUP(N175,'TABLA-DIA'!$B$2:$P$62,5,FALSE),"")</f>
        <v/>
      </c>
      <c r="F175" s="566" t="str">
        <f>IFERROR(VLOOKUP(N175,'TABLA-DIA'!$B$2:$P$62,6,FALSE),"")</f>
        <v/>
      </c>
      <c r="G175" s="542" t="str">
        <f>IFERROR(VLOOKUP(N175,'TABLA-DIA'!$B$2:$P$62,7,FALSE),"")</f>
        <v/>
      </c>
      <c r="H175" s="582" t="str">
        <f>IFERROR(VLOOKUP(N175,'TABLA-DIA'!$B$2:$P$62,10,FALSE),"")</f>
        <v/>
      </c>
      <c r="I175" s="548" t="str">
        <f>IFERROR(VLOOKUP(N175,'TABLA-DIA'!$B$2:$P$62,11,FALSE),"")</f>
        <v/>
      </c>
      <c r="J175" s="549" t="str">
        <f>IFERROR(VLOOKUP(N175,'TABLA-DIA'!$B$2:$P$62,12,FALSE),"")</f>
        <v/>
      </c>
      <c r="K175" s="557" t="str">
        <f>IFERROR(VLOOKUP(N175,'TABLA-DIA'!$B$2:$P$62,13,FALSE),"")</f>
        <v/>
      </c>
      <c r="L175" s="603" t="str">
        <f>IFERROR(IF(VLOOKUP(N175,'TABLA-DIA'!$B$2:$P$62,14,FALSE)="","",VLOOKUP(N175,'TABLA-DIA'!$B$2:$P$62,14,FALSE)),"")</f>
        <v/>
      </c>
      <c r="M175" s="590">
        <f t="shared" si="10"/>
        <v>6</v>
      </c>
      <c r="N175" s="125" t="str">
        <f t="shared" si="9"/>
        <v>TEMPERADORA CHOCOLATIER-6</v>
      </c>
    </row>
    <row r="176" spans="2:15" ht="112.5" hidden="1" customHeight="1">
      <c r="B176" s="742"/>
      <c r="C176" s="564" t="str">
        <f>IFERROR(VLOOKUP(N176,'TABLA-DIA'!$B$2:$P$62,9,FALSE),"")</f>
        <v/>
      </c>
      <c r="D176" s="565" t="str">
        <f>IFERROR(VLOOKUP(N176,'TABLA-DIA'!$B$2:$P$62,4,FALSE),"")</f>
        <v/>
      </c>
      <c r="E176" s="566" t="str">
        <f>IFERROR(VLOOKUP(N176,'TABLA-DIA'!$B$2:$P$62,5,FALSE),"")</f>
        <v/>
      </c>
      <c r="F176" s="566" t="str">
        <f>IFERROR(VLOOKUP(N176,'TABLA-DIA'!$B$2:$P$62,6,FALSE),"")</f>
        <v/>
      </c>
      <c r="G176" s="542" t="str">
        <f>IFERROR(VLOOKUP(N176,'TABLA-DIA'!$B$2:$P$62,7,FALSE),"")</f>
        <v/>
      </c>
      <c r="H176" s="582" t="str">
        <f>IFERROR(VLOOKUP(N176,'TABLA-DIA'!$B$2:$P$62,10,FALSE),"")</f>
        <v/>
      </c>
      <c r="I176" s="548" t="str">
        <f>IFERROR(VLOOKUP(N176,'TABLA-DIA'!$B$2:$P$62,11,FALSE),"")</f>
        <v/>
      </c>
      <c r="J176" s="549" t="str">
        <f>IFERROR(VLOOKUP(N176,'TABLA-DIA'!$B$2:$P$62,12,FALSE),"")</f>
        <v/>
      </c>
      <c r="K176" s="557" t="str">
        <f>IFERROR(VLOOKUP(N176,'TABLA-DIA'!$B$2:$P$62,13,FALSE),"")</f>
        <v/>
      </c>
      <c r="L176" s="603" t="str">
        <f>IFERROR(IF(VLOOKUP(N176,'TABLA-DIA'!$B$2:$P$62,14,FALSE)="","",VLOOKUP(N176,'TABLA-DIA'!$B$2:$P$62,14,FALSE)),"")</f>
        <v/>
      </c>
      <c r="M176" s="590">
        <f t="shared" si="10"/>
        <v>7</v>
      </c>
      <c r="N176" s="125" t="str">
        <f t="shared" si="9"/>
        <v>TEMPERADORA CHOCOLATIER-7</v>
      </c>
    </row>
    <row r="177" spans="2:15" ht="112.5" hidden="1" customHeight="1">
      <c r="B177" s="742"/>
      <c r="C177" s="564" t="str">
        <f>IFERROR(VLOOKUP(N177,'TABLA-DIA'!$B$2:$P$62,9,FALSE),"")</f>
        <v/>
      </c>
      <c r="D177" s="565" t="str">
        <f>IFERROR(VLOOKUP(N177,'TABLA-DIA'!$B$2:$P$62,4,FALSE),"")</f>
        <v/>
      </c>
      <c r="E177" s="566" t="str">
        <f>IFERROR(VLOOKUP(N177,'TABLA-DIA'!$B$2:$P$62,5,FALSE),"")</f>
        <v/>
      </c>
      <c r="F177" s="566" t="str">
        <f>IFERROR(VLOOKUP(N177,'TABLA-DIA'!$B$2:$P$62,6,FALSE),"")</f>
        <v/>
      </c>
      <c r="G177" s="542" t="str">
        <f>IFERROR(VLOOKUP(N177,'TABLA-DIA'!$B$2:$P$62,7,FALSE),"")</f>
        <v/>
      </c>
      <c r="H177" s="582" t="str">
        <f>IFERROR(VLOOKUP(N177,'TABLA-DIA'!$B$2:$P$62,10,FALSE),"")</f>
        <v/>
      </c>
      <c r="I177" s="548" t="str">
        <f>IFERROR(VLOOKUP(N177,'TABLA-DIA'!$B$2:$P$62,11,FALSE),"")</f>
        <v/>
      </c>
      <c r="J177" s="549" t="str">
        <f>IFERROR(VLOOKUP(N177,'TABLA-DIA'!$B$2:$P$62,12,FALSE),"")</f>
        <v/>
      </c>
      <c r="K177" s="557" t="str">
        <f>IFERROR(VLOOKUP(N177,'TABLA-DIA'!$B$2:$P$62,13,FALSE),"")</f>
        <v/>
      </c>
      <c r="L177" s="603" t="str">
        <f>IFERROR(IF(VLOOKUP(N177,'TABLA-DIA'!$B$2:$P$62,14,FALSE)="","",VLOOKUP(N177,'TABLA-DIA'!$B$2:$P$62,14,FALSE)),"")</f>
        <v/>
      </c>
      <c r="M177" s="590">
        <f t="shared" si="10"/>
        <v>8</v>
      </c>
      <c r="N177" s="125" t="str">
        <f t="shared" si="9"/>
        <v>TEMPERADORA CHOCOLATIER-8</v>
      </c>
    </row>
    <row r="178" spans="2:15" ht="112.5" hidden="1" customHeight="1">
      <c r="B178" s="742"/>
      <c r="C178" s="564" t="str">
        <f>IFERROR(VLOOKUP(N178,'TABLA-DIA'!$B$2:$P$62,9,FALSE),"")</f>
        <v/>
      </c>
      <c r="D178" s="565" t="str">
        <f>IFERROR(VLOOKUP(N178,'TABLA-DIA'!$B$2:$P$62,4,FALSE),"")</f>
        <v/>
      </c>
      <c r="E178" s="566" t="str">
        <f>IFERROR(VLOOKUP(N178,'TABLA-DIA'!$B$2:$P$62,5,FALSE),"")</f>
        <v/>
      </c>
      <c r="F178" s="566" t="str">
        <f>IFERROR(VLOOKUP(N178,'TABLA-DIA'!$B$2:$P$62,6,FALSE),"")</f>
        <v/>
      </c>
      <c r="G178" s="542" t="str">
        <f>IFERROR(VLOOKUP(N178,'TABLA-DIA'!$B$2:$P$62,7,FALSE),"")</f>
        <v/>
      </c>
      <c r="H178" s="582" t="str">
        <f>IFERROR(VLOOKUP(N178,'TABLA-DIA'!$B$2:$P$62,10,FALSE),"")</f>
        <v/>
      </c>
      <c r="I178" s="548" t="str">
        <f>IFERROR(VLOOKUP(N178,'TABLA-DIA'!$B$2:$P$62,11,FALSE),"")</f>
        <v/>
      </c>
      <c r="J178" s="549" t="str">
        <f>IFERROR(VLOOKUP(N178,'TABLA-DIA'!$B$2:$P$62,12,FALSE),"")</f>
        <v/>
      </c>
      <c r="K178" s="557" t="str">
        <f>IFERROR(VLOOKUP(N178,'TABLA-DIA'!$B$2:$P$62,13,FALSE),"")</f>
        <v/>
      </c>
      <c r="L178" s="603" t="str">
        <f>IFERROR(IF(VLOOKUP(N178,'TABLA-DIA'!$B$2:$P$62,14,FALSE)="","",VLOOKUP(N178,'TABLA-DIA'!$B$2:$P$62,14,FALSE)),"")</f>
        <v/>
      </c>
      <c r="M178" s="590">
        <f t="shared" si="10"/>
        <v>9</v>
      </c>
      <c r="N178" s="125" t="str">
        <f t="shared" si="9"/>
        <v>TEMPERADORA CHOCOLATIER-9</v>
      </c>
    </row>
    <row r="179" spans="2:15" ht="112.5" hidden="1" customHeight="1" thickBot="1">
      <c r="B179" s="743"/>
      <c r="C179" s="572" t="str">
        <f>IFERROR(VLOOKUP(N179,'TABLA-DIA'!$B$2:$P$62,9,FALSE),"")</f>
        <v/>
      </c>
      <c r="D179" s="567" t="str">
        <f>IFERROR(VLOOKUP(N179,'TABLA-DIA'!$B$2:$P$62,4,FALSE),"")</f>
        <v/>
      </c>
      <c r="E179" s="568" t="str">
        <f>IFERROR(VLOOKUP(N179,'TABLA-DIA'!$B$2:$P$62,5,FALSE),"")</f>
        <v/>
      </c>
      <c r="F179" s="568" t="str">
        <f>IFERROR(VLOOKUP(N179,'TABLA-DIA'!$B$2:$P$62,6,FALSE),"")</f>
        <v/>
      </c>
      <c r="G179" s="543" t="str">
        <f>IFERROR(VLOOKUP(N179,'TABLA-DIA'!$B$2:$P$62,7,FALSE),"")</f>
        <v/>
      </c>
      <c r="H179" s="583" t="str">
        <f>IFERROR(VLOOKUP(N179,'TABLA-DIA'!$B$2:$P$62,10,FALSE),"")</f>
        <v/>
      </c>
      <c r="I179" s="550" t="str">
        <f>IFERROR(VLOOKUP(N179,'TABLA-DIA'!$B$2:$P$62,11,FALSE),"")</f>
        <v/>
      </c>
      <c r="J179" s="551" t="str">
        <f>IFERROR(VLOOKUP(N179,'TABLA-DIA'!$B$2:$P$62,12,FALSE),"")</f>
        <v/>
      </c>
      <c r="K179" s="558" t="str">
        <f>IFERROR(VLOOKUP(N179,'TABLA-DIA'!$B$2:$P$62,13,FALSE),"")</f>
        <v/>
      </c>
      <c r="L179" s="604" t="str">
        <f>IFERROR(IF(VLOOKUP(N179,'TABLA-DIA'!$B$2:$P$62,14,FALSE)="","",VLOOKUP(N179,'TABLA-DIA'!$B$2:$P$62,14,FALSE)),"")</f>
        <v/>
      </c>
      <c r="M179" s="591">
        <f t="shared" si="10"/>
        <v>10</v>
      </c>
      <c r="N179" s="135" t="str">
        <f t="shared" si="9"/>
        <v>TEMPERADORA CHOCOLATIER-10</v>
      </c>
    </row>
    <row r="180" spans="2:15" ht="64.5" thickBot="1">
      <c r="B180" s="723" t="str">
        <f>+'TABLA-DIA'!B156</f>
        <v>EMP. SACMI</v>
      </c>
      <c r="C180" s="569" t="str">
        <f>IFERROR(VLOOKUP(N180,'TABLA-DIA'!$B$2:$P$62,9,FALSE),"")</f>
        <v/>
      </c>
      <c r="D180" s="570" t="str">
        <f>IFERROR(VLOOKUP(N180,'TABLA-DIA'!$B$2:$P$62,4,FALSE),"")</f>
        <v/>
      </c>
      <c r="E180" s="571" t="str">
        <f>IFERROR(VLOOKUP(N180,'TABLA-DIA'!$B$2:$P$62,5,FALSE),"")</f>
        <v/>
      </c>
      <c r="F180" s="571" t="str">
        <f>IFERROR(VLOOKUP(N180,'TABLA-DIA'!$B$2:$P$62,6,FALSE),"")</f>
        <v/>
      </c>
      <c r="G180" s="544" t="str">
        <f>IFERROR(VLOOKUP(N180,'TABLA-DIA'!$B$2:$P$62,7,FALSE),"")</f>
        <v/>
      </c>
      <c r="H180" s="584" t="str">
        <f>IFERROR(VLOOKUP(N180,'TABLA-DIA'!$B$2:$P$62,10,FALSE),"")</f>
        <v/>
      </c>
      <c r="I180" s="552" t="str">
        <f>IFERROR(VLOOKUP(N180,'TABLA-DIA'!$B$2:$P$62,11,FALSE),"")</f>
        <v/>
      </c>
      <c r="J180" s="553" t="str">
        <f>IFERROR(VLOOKUP(N180,'TABLA-DIA'!$B$2:$P$62,12,FALSE),"")</f>
        <v/>
      </c>
      <c r="K180" s="559" t="str">
        <f>IFERROR(VLOOKUP(N180,'TABLA-DIA'!$B$2:$P$62,13,FALSE),"")</f>
        <v/>
      </c>
      <c r="L180" s="605" t="str">
        <f>IFERROR(IF(VLOOKUP(N180,'TABLA-DIA'!$B$2:$P$62,14,FALSE)="","",VLOOKUP(N180,'TABLA-DIA'!$B$2:$P$62,14,FALSE)),"")</f>
        <v/>
      </c>
      <c r="M180" s="589">
        <v>1</v>
      </c>
      <c r="N180" s="98" t="str">
        <f t="shared" ref="N180:N189" si="11">CONCATENATE($B$180,"-",M180)</f>
        <v>EMP. SACMI-1</v>
      </c>
      <c r="O180" s="91">
        <f>COUNTIF(G180:G189,"&lt;&gt;**")</f>
        <v>0</v>
      </c>
    </row>
    <row r="181" spans="2:15" ht="84" hidden="1" customHeight="1" thickBot="1">
      <c r="B181" s="724"/>
      <c r="C181" s="564" t="str">
        <f>IFERROR(VLOOKUP(N181,'TABLA-DIA'!$B$2:$P$62,9,FALSE),"")</f>
        <v/>
      </c>
      <c r="D181" s="570" t="str">
        <f>IFERROR(VLOOKUP(N181,'TABLA-DIA'!$B$2:$P$62,4,FALSE),"")</f>
        <v/>
      </c>
      <c r="E181" s="566" t="str">
        <f>IFERROR(VLOOKUP(N181,'TABLA-DIA'!$B$2:$P$62,5,FALSE),"")</f>
        <v/>
      </c>
      <c r="F181" s="566" t="str">
        <f>IFERROR(VLOOKUP(N181,'TABLA-DIA'!$B$2:$P$62,6,FALSE),"")</f>
        <v/>
      </c>
      <c r="G181" s="542" t="str">
        <f>IFERROR(VLOOKUP(N181,'TABLA-DIA'!$B$2:$P$62,7,FALSE),"")</f>
        <v/>
      </c>
      <c r="H181" s="582" t="str">
        <f>IFERROR(VLOOKUP(N181,'TABLA-DIA'!$B$2:$P$62,10,FALSE),"")</f>
        <v/>
      </c>
      <c r="I181" s="548" t="str">
        <f>IFERROR(VLOOKUP(N181,'TABLA-DIA'!$B$2:$P$62,11,FALSE),"")</f>
        <v/>
      </c>
      <c r="J181" s="549" t="str">
        <f>IFERROR(VLOOKUP(N181,'TABLA-DIA'!$B$2:$P$62,12,FALSE),"")</f>
        <v/>
      </c>
      <c r="K181" s="557" t="str">
        <f>IFERROR(VLOOKUP(N181,'TABLA-DIA'!$B$2:$P$62,13,FALSE),"")</f>
        <v/>
      </c>
      <c r="L181" s="603" t="str">
        <f>IFERROR(IF(VLOOKUP(N181,'TABLA-DIA'!$B$2:$P$62,14,FALSE)="","",VLOOKUP(N181,'TABLA-DIA'!$B$2:$P$62,14,FALSE)),"")</f>
        <v/>
      </c>
      <c r="M181" s="590">
        <f t="shared" ref="M181:M189" si="12">+M180+1</f>
        <v>2</v>
      </c>
      <c r="N181" s="125" t="str">
        <f t="shared" si="11"/>
        <v>EMP. SACMI-2</v>
      </c>
    </row>
    <row r="182" spans="2:15" ht="112.5" hidden="1" customHeight="1" thickBot="1">
      <c r="B182" s="724"/>
      <c r="C182" s="564" t="str">
        <f>IFERROR(VLOOKUP(N182,'TABLA-DIA'!$B$2:$P$62,9,FALSE),"")</f>
        <v/>
      </c>
      <c r="D182" s="565" t="str">
        <f>IFERROR(VLOOKUP(N182,'TABLA-DIA'!$B$2:$P$62,4,FALSE),"")</f>
        <v/>
      </c>
      <c r="E182" s="566" t="str">
        <f>IFERROR(VLOOKUP(N182,'TABLA-DIA'!$B$2:$P$62,5,FALSE),"")</f>
        <v/>
      </c>
      <c r="F182" s="566" t="str">
        <f>IFERROR(VLOOKUP(N182,'TABLA-DIA'!$B$2:$P$62,6,FALSE),"")</f>
        <v/>
      </c>
      <c r="G182" s="542" t="str">
        <f>IFERROR(VLOOKUP(N182,'TABLA-DIA'!$B$2:$P$62,7,FALSE),"")</f>
        <v/>
      </c>
      <c r="H182" s="582" t="str">
        <f>IFERROR(VLOOKUP(N182,'TABLA-DIA'!$B$2:$P$62,10,FALSE),"")</f>
        <v/>
      </c>
      <c r="I182" s="548" t="str">
        <f>IFERROR(VLOOKUP(N182,'TABLA-DIA'!$B$2:$P$62,11,FALSE),"")</f>
        <v/>
      </c>
      <c r="J182" s="549" t="str">
        <f>IFERROR(VLOOKUP(N182,'TABLA-DIA'!$B$2:$P$62,12,FALSE),"")</f>
        <v/>
      </c>
      <c r="K182" s="557" t="str">
        <f>IFERROR(VLOOKUP(N182,'TABLA-DIA'!$B$2:$P$62,13,FALSE),"")</f>
        <v/>
      </c>
      <c r="L182" s="603" t="str">
        <f>IFERROR(IF(VLOOKUP(N182,'TABLA-DIA'!$B$2:$P$62,14,FALSE)="","",VLOOKUP(N182,'TABLA-DIA'!$B$2:$P$62,14,FALSE)),"")</f>
        <v/>
      </c>
      <c r="M182" s="590">
        <f t="shared" si="12"/>
        <v>3</v>
      </c>
      <c r="N182" s="125" t="str">
        <f t="shared" si="11"/>
        <v>EMP. SACMI-3</v>
      </c>
    </row>
    <row r="183" spans="2:15" ht="112.5" hidden="1" customHeight="1">
      <c r="B183" s="724"/>
      <c r="C183" s="564" t="str">
        <f>IFERROR(VLOOKUP(N183,'TABLA-DIA'!$B$2:$P$62,9,FALSE),"")</f>
        <v/>
      </c>
      <c r="D183" s="565" t="str">
        <f>IFERROR(VLOOKUP(N183,'TABLA-DIA'!$B$2:$P$62,4,FALSE),"")</f>
        <v/>
      </c>
      <c r="E183" s="566" t="str">
        <f>IFERROR(VLOOKUP(N183,'TABLA-DIA'!$B$2:$P$62,5,FALSE),"")</f>
        <v/>
      </c>
      <c r="F183" s="566" t="str">
        <f>IFERROR(VLOOKUP(N183,'TABLA-DIA'!$B$2:$P$62,6,FALSE),"")</f>
        <v/>
      </c>
      <c r="G183" s="542" t="str">
        <f>IFERROR(VLOOKUP(N183,'TABLA-DIA'!$B$2:$P$62,7,FALSE),"")</f>
        <v/>
      </c>
      <c r="H183" s="582" t="str">
        <f>IFERROR(VLOOKUP(N183,'TABLA-DIA'!$B$2:$P$62,10,FALSE),"")</f>
        <v/>
      </c>
      <c r="I183" s="548" t="str">
        <f>IFERROR(VLOOKUP(N183,'TABLA-DIA'!$B$2:$P$62,11,FALSE),"")</f>
        <v/>
      </c>
      <c r="J183" s="549" t="str">
        <f>IFERROR(VLOOKUP(N183,'TABLA-DIA'!$B$2:$P$62,12,FALSE),"")</f>
        <v/>
      </c>
      <c r="K183" s="557" t="str">
        <f>IFERROR(VLOOKUP(N183,'TABLA-DIA'!$B$2:$P$62,13,FALSE),"")</f>
        <v/>
      </c>
      <c r="L183" s="603" t="str">
        <f>IFERROR(IF(VLOOKUP(N183,'TABLA-DIA'!$B$2:$P$62,14,FALSE)="","",VLOOKUP(N183,'TABLA-DIA'!$B$2:$P$62,14,FALSE)),"")</f>
        <v/>
      </c>
      <c r="M183" s="590">
        <f t="shared" si="12"/>
        <v>4</v>
      </c>
      <c r="N183" s="125" t="str">
        <f t="shared" si="11"/>
        <v>EMP. SACMI-4</v>
      </c>
    </row>
    <row r="184" spans="2:15" ht="112.5" hidden="1" customHeight="1">
      <c r="B184" s="724"/>
      <c r="C184" s="564" t="str">
        <f>IFERROR(VLOOKUP(N184,'TABLA-DIA'!$B$2:$P$62,9,FALSE),"")</f>
        <v/>
      </c>
      <c r="D184" s="565" t="str">
        <f>IFERROR(VLOOKUP(N184,'TABLA-DIA'!$B$2:$P$62,4,FALSE),"")</f>
        <v/>
      </c>
      <c r="E184" s="566" t="str">
        <f>IFERROR(VLOOKUP(N184,'TABLA-DIA'!$B$2:$P$62,5,FALSE),"")</f>
        <v/>
      </c>
      <c r="F184" s="566" t="str">
        <f>IFERROR(VLOOKUP(N184,'TABLA-DIA'!$B$2:$P$62,6,FALSE),"")</f>
        <v/>
      </c>
      <c r="G184" s="542" t="str">
        <f>IFERROR(VLOOKUP(N184,'TABLA-DIA'!$B$2:$P$62,7,FALSE),"")</f>
        <v/>
      </c>
      <c r="H184" s="582" t="str">
        <f>IFERROR(VLOOKUP(N184,'TABLA-DIA'!$B$2:$P$62,10,FALSE),"")</f>
        <v/>
      </c>
      <c r="I184" s="548" t="str">
        <f>IFERROR(VLOOKUP(N184,'TABLA-DIA'!$B$2:$P$62,11,FALSE),"")</f>
        <v/>
      </c>
      <c r="J184" s="549" t="str">
        <f>IFERROR(VLOOKUP(N184,'TABLA-DIA'!$B$2:$P$62,12,FALSE),"")</f>
        <v/>
      </c>
      <c r="K184" s="557" t="str">
        <f>IFERROR(VLOOKUP(N184,'TABLA-DIA'!$B$2:$P$62,13,FALSE),"")</f>
        <v/>
      </c>
      <c r="L184" s="603" t="str">
        <f>IFERROR(IF(VLOOKUP(N184,'TABLA-DIA'!$B$2:$P$62,14,FALSE)="","",VLOOKUP(N184,'TABLA-DIA'!$B$2:$P$62,14,FALSE)),"")</f>
        <v/>
      </c>
      <c r="M184" s="590">
        <f t="shared" si="12"/>
        <v>5</v>
      </c>
      <c r="N184" s="125" t="str">
        <f t="shared" si="11"/>
        <v>EMP. SACMI-5</v>
      </c>
    </row>
    <row r="185" spans="2:15" ht="112.5" hidden="1" customHeight="1">
      <c r="B185" s="724"/>
      <c r="C185" s="564" t="str">
        <f>IFERROR(VLOOKUP(N185,'TABLA-DIA'!$B$2:$P$62,9,FALSE),"")</f>
        <v/>
      </c>
      <c r="D185" s="565" t="str">
        <f>IFERROR(VLOOKUP(N185,'TABLA-DIA'!$B$2:$P$62,4,FALSE),"")</f>
        <v/>
      </c>
      <c r="E185" s="566" t="str">
        <f>IFERROR(VLOOKUP(N185,'TABLA-DIA'!$B$2:$P$62,5,FALSE),"")</f>
        <v/>
      </c>
      <c r="F185" s="566" t="str">
        <f>IFERROR(VLOOKUP(N185,'TABLA-DIA'!$B$2:$P$62,6,FALSE),"")</f>
        <v/>
      </c>
      <c r="G185" s="542" t="str">
        <f>IFERROR(VLOOKUP(N185,'TABLA-DIA'!$B$2:$P$62,7,FALSE),"")</f>
        <v/>
      </c>
      <c r="H185" s="582" t="str">
        <f>IFERROR(VLOOKUP(N185,'TABLA-DIA'!$B$2:$P$62,10,FALSE),"")</f>
        <v/>
      </c>
      <c r="I185" s="548" t="str">
        <f>IFERROR(VLOOKUP(N185,'TABLA-DIA'!$B$2:$P$62,11,FALSE),"")</f>
        <v/>
      </c>
      <c r="J185" s="549" t="str">
        <f>IFERROR(VLOOKUP(N185,'TABLA-DIA'!$B$2:$P$62,12,FALSE),"")</f>
        <v/>
      </c>
      <c r="K185" s="557" t="str">
        <f>IFERROR(VLOOKUP(N185,'TABLA-DIA'!$B$2:$P$62,13,FALSE),"")</f>
        <v/>
      </c>
      <c r="L185" s="603" t="str">
        <f>IFERROR(IF(VLOOKUP(N185,'TABLA-DIA'!$B$2:$P$62,14,FALSE)="","",VLOOKUP(N185,'TABLA-DIA'!$B$2:$P$62,14,FALSE)),"")</f>
        <v/>
      </c>
      <c r="M185" s="590">
        <f t="shared" si="12"/>
        <v>6</v>
      </c>
      <c r="N185" s="125" t="str">
        <f t="shared" si="11"/>
        <v>EMP. SACMI-6</v>
      </c>
    </row>
    <row r="186" spans="2:15" ht="112.5" hidden="1" customHeight="1">
      <c r="B186" s="724"/>
      <c r="C186" s="564" t="str">
        <f>IFERROR(VLOOKUP(N186,'TABLA-DIA'!$B$2:$P$62,9,FALSE),"")</f>
        <v/>
      </c>
      <c r="D186" s="565" t="str">
        <f>IFERROR(VLOOKUP(N186,'TABLA-DIA'!$B$2:$P$62,4,FALSE),"")</f>
        <v/>
      </c>
      <c r="E186" s="566" t="str">
        <f>IFERROR(VLOOKUP(N186,'TABLA-DIA'!$B$2:$P$62,5,FALSE),"")</f>
        <v/>
      </c>
      <c r="F186" s="566" t="str">
        <f>IFERROR(VLOOKUP(N186,'TABLA-DIA'!$B$2:$P$62,6,FALSE),"")</f>
        <v/>
      </c>
      <c r="G186" s="542" t="str">
        <f>IFERROR(VLOOKUP(N186,'TABLA-DIA'!$B$2:$P$62,7,FALSE),"")</f>
        <v/>
      </c>
      <c r="H186" s="582" t="str">
        <f>IFERROR(VLOOKUP(N186,'TABLA-DIA'!$B$2:$P$62,10,FALSE),"")</f>
        <v/>
      </c>
      <c r="I186" s="548" t="str">
        <f>IFERROR(VLOOKUP(N186,'TABLA-DIA'!$B$2:$P$62,11,FALSE),"")</f>
        <v/>
      </c>
      <c r="J186" s="549" t="str">
        <f>IFERROR(VLOOKUP(N186,'TABLA-DIA'!$B$2:$P$62,12,FALSE),"")</f>
        <v/>
      </c>
      <c r="K186" s="557" t="str">
        <f>IFERROR(VLOOKUP(N186,'TABLA-DIA'!$B$2:$P$62,13,FALSE),"")</f>
        <v/>
      </c>
      <c r="L186" s="603" t="str">
        <f>IFERROR(IF(VLOOKUP(N186,'TABLA-DIA'!$B$2:$P$62,14,FALSE)="","",VLOOKUP(N186,'TABLA-DIA'!$B$2:$P$62,14,FALSE)),"")</f>
        <v/>
      </c>
      <c r="M186" s="590">
        <f t="shared" si="12"/>
        <v>7</v>
      </c>
      <c r="N186" s="125" t="str">
        <f t="shared" si="11"/>
        <v>EMP. SACMI-7</v>
      </c>
    </row>
    <row r="187" spans="2:15" ht="112.5" hidden="1" customHeight="1">
      <c r="B187" s="724"/>
      <c r="C187" s="564" t="str">
        <f>IFERROR(VLOOKUP(N187,'TABLA-DIA'!$B$2:$P$62,9,FALSE),"")</f>
        <v/>
      </c>
      <c r="D187" s="565" t="str">
        <f>IFERROR(VLOOKUP(N187,'TABLA-DIA'!$B$2:$P$62,4,FALSE),"")</f>
        <v/>
      </c>
      <c r="E187" s="566" t="str">
        <f>IFERROR(VLOOKUP(N187,'TABLA-DIA'!$B$2:$P$62,5,FALSE),"")</f>
        <v/>
      </c>
      <c r="F187" s="566" t="str">
        <f>IFERROR(VLOOKUP(N187,'TABLA-DIA'!$B$2:$P$62,6,FALSE),"")</f>
        <v/>
      </c>
      <c r="G187" s="542" t="str">
        <f>IFERROR(VLOOKUP(N187,'TABLA-DIA'!$B$2:$P$62,7,FALSE),"")</f>
        <v/>
      </c>
      <c r="H187" s="582" t="str">
        <f>IFERROR(VLOOKUP(N187,'TABLA-DIA'!$B$2:$P$62,10,FALSE),"")</f>
        <v/>
      </c>
      <c r="I187" s="548" t="str">
        <f>IFERROR(VLOOKUP(N187,'TABLA-DIA'!$B$2:$P$62,11,FALSE),"")</f>
        <v/>
      </c>
      <c r="J187" s="549" t="str">
        <f>IFERROR(VLOOKUP(N187,'TABLA-DIA'!$B$2:$P$62,12,FALSE),"")</f>
        <v/>
      </c>
      <c r="K187" s="557" t="str">
        <f>IFERROR(VLOOKUP(N187,'TABLA-DIA'!$B$2:$P$62,13,FALSE),"")</f>
        <v/>
      </c>
      <c r="L187" s="603" t="str">
        <f>IFERROR(IF(VLOOKUP(N187,'TABLA-DIA'!$B$2:$P$62,14,FALSE)="","",VLOOKUP(N187,'TABLA-DIA'!$B$2:$P$62,14,FALSE)),"")</f>
        <v/>
      </c>
      <c r="M187" s="590">
        <f t="shared" si="12"/>
        <v>8</v>
      </c>
      <c r="N187" s="125" t="str">
        <f t="shared" si="11"/>
        <v>EMP. SACMI-8</v>
      </c>
    </row>
    <row r="188" spans="2:15" ht="112.5" hidden="1" customHeight="1">
      <c r="B188" s="724"/>
      <c r="C188" s="564" t="str">
        <f>IFERROR(VLOOKUP(N188,'TABLA-DIA'!$B$2:$P$62,9,FALSE),"")</f>
        <v/>
      </c>
      <c r="D188" s="565" t="str">
        <f>IFERROR(VLOOKUP(N188,'TABLA-DIA'!$B$2:$P$62,4,FALSE),"")</f>
        <v/>
      </c>
      <c r="E188" s="566" t="str">
        <f>IFERROR(VLOOKUP(N188,'TABLA-DIA'!$B$2:$P$62,5,FALSE),"")</f>
        <v/>
      </c>
      <c r="F188" s="566" t="str">
        <f>IFERROR(VLOOKUP(N188,'TABLA-DIA'!$B$2:$P$62,6,FALSE),"")</f>
        <v/>
      </c>
      <c r="G188" s="542" t="str">
        <f>IFERROR(VLOOKUP(N188,'TABLA-DIA'!$B$2:$P$62,7,FALSE),"")</f>
        <v/>
      </c>
      <c r="H188" s="582" t="str">
        <f>IFERROR(VLOOKUP(N188,'TABLA-DIA'!$B$2:$P$62,10,FALSE),"")</f>
        <v/>
      </c>
      <c r="I188" s="548" t="str">
        <f>IFERROR(VLOOKUP(N188,'TABLA-DIA'!$B$2:$P$62,11,FALSE),"")</f>
        <v/>
      </c>
      <c r="J188" s="549" t="str">
        <f>IFERROR(VLOOKUP(N188,'TABLA-DIA'!$B$2:$P$62,12,FALSE),"")</f>
        <v/>
      </c>
      <c r="K188" s="557" t="str">
        <f>IFERROR(VLOOKUP(N188,'TABLA-DIA'!$B$2:$P$62,13,FALSE),"")</f>
        <v/>
      </c>
      <c r="L188" s="603" t="str">
        <f>IFERROR(IF(VLOOKUP(N188,'TABLA-DIA'!$B$2:$P$62,14,FALSE)="","",VLOOKUP(N188,'TABLA-DIA'!$B$2:$P$62,14,FALSE)),"")</f>
        <v/>
      </c>
      <c r="M188" s="590">
        <f t="shared" si="12"/>
        <v>9</v>
      </c>
      <c r="N188" s="125" t="str">
        <f t="shared" si="11"/>
        <v>EMP. SACMI-9</v>
      </c>
    </row>
    <row r="189" spans="2:15" ht="53.25" hidden="1" customHeight="1" thickBot="1">
      <c r="B189" s="726"/>
      <c r="C189" s="573" t="str">
        <f>IFERROR(VLOOKUP(N189,'TABLA-DIA'!$B$2:$P$62,9,FALSE),"")</f>
        <v/>
      </c>
      <c r="D189" s="574" t="str">
        <f>IFERROR(VLOOKUP(N189,'TABLA-DIA'!$B$2:$P$62,4,FALSE),"")</f>
        <v/>
      </c>
      <c r="E189" s="575" t="str">
        <f>IFERROR(VLOOKUP(N189,'TABLA-DIA'!$B$2:$P$62,5,FALSE),"")</f>
        <v/>
      </c>
      <c r="F189" s="575" t="str">
        <f>IFERROR(VLOOKUP(N189,'TABLA-DIA'!$B$2:$P$62,6,FALSE),"")</f>
        <v/>
      </c>
      <c r="G189" s="545" t="str">
        <f>IFERROR(VLOOKUP(N189,'TABLA-DIA'!$B$2:$P$62,7,FALSE),"")</f>
        <v/>
      </c>
      <c r="H189" s="585" t="str">
        <f>IFERROR(VLOOKUP(N189,'TABLA-DIA'!$B$2:$P$62,10,FALSE),"")</f>
        <v/>
      </c>
      <c r="I189" s="554" t="str">
        <f>IFERROR(VLOOKUP(N189,'TABLA-DIA'!$B$2:$P$62,11,FALSE),"")</f>
        <v/>
      </c>
      <c r="J189" s="555" t="str">
        <f>IFERROR(VLOOKUP(N189,'TABLA-DIA'!$B$2:$P$62,12,FALSE),"")</f>
        <v/>
      </c>
      <c r="K189" s="560" t="str">
        <f>IFERROR(VLOOKUP(N189,'TABLA-DIA'!$B$2:$P$62,13,FALSE),"")</f>
        <v/>
      </c>
      <c r="L189" s="606" t="str">
        <f>IFERROR(IF(VLOOKUP(N189,'TABLA-DIA'!$B$2:$P$62,14,FALSE)="","",VLOOKUP(N189,'TABLA-DIA'!$B$2:$P$62,14,FALSE)),"")</f>
        <v/>
      </c>
      <c r="M189" s="592">
        <f t="shared" si="12"/>
        <v>10</v>
      </c>
      <c r="N189" s="130" t="str">
        <f t="shared" si="11"/>
        <v>EMP. SACMI-10</v>
      </c>
    </row>
    <row r="190" spans="2:15" ht="84" customHeight="1" thickBot="1">
      <c r="B190" s="723" t="str">
        <f>+'TABLA-DIA'!B157</f>
        <v>POZO DE CHILLER</v>
      </c>
      <c r="C190" s="569" t="str">
        <f>IFERROR(VLOOKUP(N190,'TABLA-DIA'!$B$2:$P$62,9,FALSE),"")</f>
        <v/>
      </c>
      <c r="D190" s="570" t="str">
        <f>IFERROR(VLOOKUP(N190,'TABLA-DIA'!$B$2:$P$62,4,FALSE),"")</f>
        <v/>
      </c>
      <c r="E190" s="571" t="str">
        <f>IFERROR(VLOOKUP(N190,'TABLA-DIA'!$B$2:$P$62,5,FALSE),"")</f>
        <v/>
      </c>
      <c r="F190" s="571" t="str">
        <f>IFERROR(VLOOKUP(N190,'TABLA-DIA'!$B$2:$P$62,6,FALSE),"")</f>
        <v/>
      </c>
      <c r="G190" s="544" t="str">
        <f>IFERROR(VLOOKUP(N190,'TABLA-DIA'!$B$2:$P$62,7,FALSE),"")</f>
        <v/>
      </c>
      <c r="H190" s="584" t="str">
        <f>IFERROR(VLOOKUP(N190,'TABLA-DIA'!$B$2:$P$62,10,FALSE),"")</f>
        <v/>
      </c>
      <c r="I190" s="552" t="str">
        <f>IFERROR(VLOOKUP(N190,'TABLA-DIA'!$B$2:$P$62,11,FALSE),"")</f>
        <v/>
      </c>
      <c r="J190" s="553" t="str">
        <f>IFERROR(VLOOKUP(N190,'TABLA-DIA'!$B$2:$P$62,12,FALSE),"")</f>
        <v/>
      </c>
      <c r="K190" s="559" t="str">
        <f>IFERROR(VLOOKUP(N190,'TABLA-DIA'!$B$2:$P$62,13,FALSE),"")</f>
        <v/>
      </c>
      <c r="L190" s="605" t="str">
        <f>IFERROR(IF(VLOOKUP(N190,'TABLA-DIA'!$B$2:$P$62,14,FALSE)="","",VLOOKUP(N190,'TABLA-DIA'!$B$2:$P$62,14,FALSE)),"")</f>
        <v/>
      </c>
      <c r="M190" s="589">
        <v>1</v>
      </c>
      <c r="N190" s="98" t="str">
        <f t="shared" ref="N190:N199" si="13">CONCATENATE($B$190,"-",M190)</f>
        <v>POZO DE CHILLER-1</v>
      </c>
      <c r="O190" s="91">
        <f>COUNTIF(G190:G199,"&lt;&gt;**")</f>
        <v>0</v>
      </c>
    </row>
    <row r="191" spans="2:15" ht="105.75" hidden="1" customHeight="1" thickBot="1">
      <c r="B191" s="724"/>
      <c r="C191" s="564" t="str">
        <f>IFERROR(VLOOKUP(N191,'TABLA-DIA'!$B$2:$P$62,9,FALSE),"")</f>
        <v/>
      </c>
      <c r="D191" s="565" t="str">
        <f>IFERROR(VLOOKUP(N191,'TABLA-DIA'!$B$2:$P$62,4,FALSE),"")</f>
        <v/>
      </c>
      <c r="E191" s="566" t="str">
        <f>IFERROR(VLOOKUP(N191,'TABLA-DIA'!$B$2:$P$62,5,FALSE),"")</f>
        <v/>
      </c>
      <c r="F191" s="566" t="str">
        <f>IFERROR(VLOOKUP(N191,'TABLA-DIA'!$B$2:$P$62,6,FALSE),"")</f>
        <v/>
      </c>
      <c r="G191" s="542" t="str">
        <f>IFERROR(VLOOKUP(N191,'TABLA-DIA'!$B$2:$P$62,7,FALSE),"")</f>
        <v/>
      </c>
      <c r="H191" s="582" t="str">
        <f>IFERROR(VLOOKUP(N191,'TABLA-DIA'!$B$2:$P$62,10,FALSE),"")</f>
        <v/>
      </c>
      <c r="I191" s="548" t="str">
        <f>IFERROR(VLOOKUP(N191,'TABLA-DIA'!$B$2:$P$62,11,FALSE),"")</f>
        <v/>
      </c>
      <c r="J191" s="549" t="str">
        <f>IFERROR(VLOOKUP(N191,'TABLA-DIA'!$B$2:$P$62,12,FALSE),"")</f>
        <v/>
      </c>
      <c r="K191" s="557" t="str">
        <f>IFERROR(VLOOKUP(N191,'TABLA-DIA'!$B$2:$P$62,13,FALSE),"")</f>
        <v/>
      </c>
      <c r="L191" s="603" t="str">
        <f>IFERROR(IF(VLOOKUP(N191,'TABLA-DIA'!$B$2:$P$62,14,FALSE)="","",VLOOKUP(N191,'TABLA-DIA'!$B$2:$P$62,14,FALSE)),"")</f>
        <v/>
      </c>
      <c r="M191" s="590">
        <f t="shared" ref="M191:M199" si="14">+M190+1</f>
        <v>2</v>
      </c>
      <c r="N191" s="125" t="str">
        <f t="shared" si="13"/>
        <v>POZO DE CHILLER-2</v>
      </c>
    </row>
    <row r="192" spans="2:15" ht="112.5" hidden="1" customHeight="1" thickBot="1">
      <c r="B192" s="724"/>
      <c r="C192" s="564" t="str">
        <f>IFERROR(VLOOKUP(N192,'TABLA-DIA'!$B$2:$P$62,9,FALSE),"")</f>
        <v/>
      </c>
      <c r="D192" s="565" t="str">
        <f>IFERROR(VLOOKUP(N192,'TABLA-DIA'!$B$2:$P$62,4,FALSE),"")</f>
        <v/>
      </c>
      <c r="E192" s="566" t="str">
        <f>IFERROR(VLOOKUP(N192,'TABLA-DIA'!$B$2:$P$62,5,FALSE),"")</f>
        <v/>
      </c>
      <c r="F192" s="566" t="str">
        <f>IFERROR(VLOOKUP(N192,'TABLA-DIA'!$B$2:$P$62,6,FALSE),"")</f>
        <v/>
      </c>
      <c r="G192" s="542" t="str">
        <f>IFERROR(VLOOKUP(N192,'TABLA-DIA'!$B$2:$P$62,7,FALSE),"")</f>
        <v/>
      </c>
      <c r="H192" s="582" t="str">
        <f>IFERROR(VLOOKUP(N192,'TABLA-DIA'!$B$2:$P$62,10,FALSE),"")</f>
        <v/>
      </c>
      <c r="I192" s="548" t="str">
        <f>IFERROR(VLOOKUP(N192,'TABLA-DIA'!$B$2:$P$62,11,FALSE),"")</f>
        <v/>
      </c>
      <c r="J192" s="549" t="str">
        <f>IFERROR(VLOOKUP(N192,'TABLA-DIA'!$B$2:$P$62,12,FALSE),"")</f>
        <v/>
      </c>
      <c r="K192" s="557" t="str">
        <f>IFERROR(VLOOKUP(N192,'TABLA-DIA'!$B$2:$P$62,13,FALSE),"")</f>
        <v/>
      </c>
      <c r="L192" s="603" t="str">
        <f>IFERROR(IF(VLOOKUP(N192,'TABLA-DIA'!$B$2:$P$62,14,FALSE)="","",VLOOKUP(N192,'TABLA-DIA'!$B$2:$P$62,14,FALSE)),"")</f>
        <v/>
      </c>
      <c r="M192" s="590">
        <f t="shared" si="14"/>
        <v>3</v>
      </c>
      <c r="N192" s="125" t="str">
        <f t="shared" si="13"/>
        <v>POZO DE CHILLER-3</v>
      </c>
    </row>
    <row r="193" spans="2:15" ht="112.5" hidden="1" customHeight="1">
      <c r="B193" s="724"/>
      <c r="C193" s="564" t="str">
        <f>IFERROR(VLOOKUP(N193,'TABLA-DIA'!$B$2:$P$62,9,FALSE),"")</f>
        <v/>
      </c>
      <c r="D193" s="565" t="str">
        <f>IFERROR(VLOOKUP(N193,'TABLA-DIA'!$B$2:$P$62,4,FALSE),"")</f>
        <v/>
      </c>
      <c r="E193" s="566" t="str">
        <f>IFERROR(VLOOKUP(N193,'TABLA-DIA'!$B$2:$P$62,5,FALSE),"")</f>
        <v/>
      </c>
      <c r="F193" s="566" t="str">
        <f>IFERROR(VLOOKUP(N193,'TABLA-DIA'!$B$2:$P$62,6,FALSE),"")</f>
        <v/>
      </c>
      <c r="G193" s="542" t="str">
        <f>IFERROR(VLOOKUP(N193,'TABLA-DIA'!$B$2:$P$62,7,FALSE),"")</f>
        <v/>
      </c>
      <c r="H193" s="582" t="str">
        <f>IFERROR(VLOOKUP(N193,'TABLA-DIA'!$B$2:$P$62,10,FALSE),"")</f>
        <v/>
      </c>
      <c r="I193" s="548" t="str">
        <f>IFERROR(VLOOKUP(N193,'TABLA-DIA'!$B$2:$P$62,11,FALSE),"")</f>
        <v/>
      </c>
      <c r="J193" s="549" t="str">
        <f>IFERROR(VLOOKUP(N193,'TABLA-DIA'!$B$2:$P$62,12,FALSE),"")</f>
        <v/>
      </c>
      <c r="K193" s="557" t="str">
        <f>IFERROR(VLOOKUP(N193,'TABLA-DIA'!$B$2:$P$62,13,FALSE),"")</f>
        <v/>
      </c>
      <c r="L193" s="603" t="str">
        <f>IFERROR(IF(VLOOKUP(N193,'TABLA-DIA'!$B$2:$P$62,14,FALSE)="","",VLOOKUP(N193,'TABLA-DIA'!$B$2:$P$62,14,FALSE)),"")</f>
        <v/>
      </c>
      <c r="M193" s="590">
        <f t="shared" si="14"/>
        <v>4</v>
      </c>
      <c r="N193" s="125" t="str">
        <f t="shared" si="13"/>
        <v>POZO DE CHILLER-4</v>
      </c>
    </row>
    <row r="194" spans="2:15" ht="112.5" hidden="1" customHeight="1">
      <c r="B194" s="724"/>
      <c r="C194" s="564" t="str">
        <f>IFERROR(VLOOKUP(N194,'TABLA-DIA'!$B$2:$P$62,9,FALSE),"")</f>
        <v/>
      </c>
      <c r="D194" s="565" t="str">
        <f>IFERROR(VLOOKUP(N194,'TABLA-DIA'!$B$2:$P$62,4,FALSE),"")</f>
        <v/>
      </c>
      <c r="E194" s="566" t="str">
        <f>IFERROR(VLOOKUP(N194,'TABLA-DIA'!$B$2:$P$62,5,FALSE),"")</f>
        <v/>
      </c>
      <c r="F194" s="566" t="str">
        <f>IFERROR(VLOOKUP(N194,'TABLA-DIA'!$B$2:$P$62,6,FALSE),"")</f>
        <v/>
      </c>
      <c r="G194" s="542" t="str">
        <f>IFERROR(VLOOKUP(N194,'TABLA-DIA'!$B$2:$P$62,7,FALSE),"")</f>
        <v/>
      </c>
      <c r="H194" s="582" t="str">
        <f>IFERROR(VLOOKUP(N194,'TABLA-DIA'!$B$2:$P$62,10,FALSE),"")</f>
        <v/>
      </c>
      <c r="I194" s="548" t="str">
        <f>IFERROR(VLOOKUP(N194,'TABLA-DIA'!$B$2:$P$62,11,FALSE),"")</f>
        <v/>
      </c>
      <c r="J194" s="549" t="str">
        <f>IFERROR(VLOOKUP(N194,'TABLA-DIA'!$B$2:$P$62,12,FALSE),"")</f>
        <v/>
      </c>
      <c r="K194" s="557" t="str">
        <f>IFERROR(VLOOKUP(N194,'TABLA-DIA'!$B$2:$P$62,13,FALSE),"")</f>
        <v/>
      </c>
      <c r="L194" s="603" t="str">
        <f>IFERROR(IF(VLOOKUP(N194,'TABLA-DIA'!$B$2:$P$62,14,FALSE)="","",VLOOKUP(N194,'TABLA-DIA'!$B$2:$P$62,14,FALSE)),"")</f>
        <v/>
      </c>
      <c r="M194" s="590">
        <f t="shared" si="14"/>
        <v>5</v>
      </c>
      <c r="N194" s="125" t="str">
        <f t="shared" si="13"/>
        <v>POZO DE CHILLER-5</v>
      </c>
    </row>
    <row r="195" spans="2:15" ht="112.5" hidden="1" customHeight="1">
      <c r="B195" s="724"/>
      <c r="C195" s="564" t="str">
        <f>IFERROR(VLOOKUP(N195,'TABLA-DIA'!$B$2:$P$62,9,FALSE),"")</f>
        <v/>
      </c>
      <c r="D195" s="565" t="str">
        <f>IFERROR(VLOOKUP(N195,'TABLA-DIA'!$B$2:$P$62,4,FALSE),"")</f>
        <v/>
      </c>
      <c r="E195" s="566" t="str">
        <f>IFERROR(VLOOKUP(N195,'TABLA-DIA'!$B$2:$P$62,5,FALSE),"")</f>
        <v/>
      </c>
      <c r="F195" s="566" t="str">
        <f>IFERROR(VLOOKUP(N195,'TABLA-DIA'!$B$2:$P$62,6,FALSE),"")</f>
        <v/>
      </c>
      <c r="G195" s="542" t="str">
        <f>IFERROR(VLOOKUP(N195,'TABLA-DIA'!$B$2:$P$62,7,FALSE),"")</f>
        <v/>
      </c>
      <c r="H195" s="582" t="str">
        <f>IFERROR(VLOOKUP(N195,'TABLA-DIA'!$B$2:$P$62,10,FALSE),"")</f>
        <v/>
      </c>
      <c r="I195" s="548" t="str">
        <f>IFERROR(VLOOKUP(N195,'TABLA-DIA'!$B$2:$P$62,11,FALSE),"")</f>
        <v/>
      </c>
      <c r="J195" s="549" t="str">
        <f>IFERROR(VLOOKUP(N195,'TABLA-DIA'!$B$2:$P$62,12,FALSE),"")</f>
        <v/>
      </c>
      <c r="K195" s="557" t="str">
        <f>IFERROR(VLOOKUP(N195,'TABLA-DIA'!$B$2:$P$62,13,FALSE),"")</f>
        <v/>
      </c>
      <c r="L195" s="603" t="str">
        <f>IFERROR(IF(VLOOKUP(N195,'TABLA-DIA'!$B$2:$P$62,14,FALSE)="","",VLOOKUP(N195,'TABLA-DIA'!$B$2:$P$62,14,FALSE)),"")</f>
        <v/>
      </c>
      <c r="M195" s="590">
        <f t="shared" si="14"/>
        <v>6</v>
      </c>
      <c r="N195" s="125" t="str">
        <f t="shared" si="13"/>
        <v>POZO DE CHILLER-6</v>
      </c>
    </row>
    <row r="196" spans="2:15" ht="112.5" hidden="1" customHeight="1">
      <c r="B196" s="724"/>
      <c r="C196" s="564" t="str">
        <f>IFERROR(VLOOKUP(N196,'TABLA-DIA'!$B$2:$P$62,9,FALSE),"")</f>
        <v/>
      </c>
      <c r="D196" s="565" t="str">
        <f>IFERROR(VLOOKUP(N196,'TABLA-DIA'!$B$2:$P$62,4,FALSE),"")</f>
        <v/>
      </c>
      <c r="E196" s="566" t="str">
        <f>IFERROR(VLOOKUP(N196,'TABLA-DIA'!$B$2:$P$62,5,FALSE),"")</f>
        <v/>
      </c>
      <c r="F196" s="566" t="str">
        <f>IFERROR(VLOOKUP(N196,'TABLA-DIA'!$B$2:$P$62,6,FALSE),"")</f>
        <v/>
      </c>
      <c r="G196" s="542" t="str">
        <f>IFERROR(VLOOKUP(N196,'TABLA-DIA'!$B$2:$P$62,7,FALSE),"")</f>
        <v/>
      </c>
      <c r="H196" s="582" t="str">
        <f>IFERROR(VLOOKUP(N196,'TABLA-DIA'!$B$2:$P$62,10,FALSE),"")</f>
        <v/>
      </c>
      <c r="I196" s="548" t="str">
        <f>IFERROR(VLOOKUP(N196,'TABLA-DIA'!$B$2:$P$62,11,FALSE),"")</f>
        <v/>
      </c>
      <c r="J196" s="549" t="str">
        <f>IFERROR(VLOOKUP(N196,'TABLA-DIA'!$B$2:$P$62,12,FALSE),"")</f>
        <v/>
      </c>
      <c r="K196" s="557" t="str">
        <f>IFERROR(VLOOKUP(N196,'TABLA-DIA'!$B$2:$P$62,13,FALSE),"")</f>
        <v/>
      </c>
      <c r="L196" s="603" t="str">
        <f>IFERROR(IF(VLOOKUP(N196,'TABLA-DIA'!$B$2:$P$62,14,FALSE)="","",VLOOKUP(N196,'TABLA-DIA'!$B$2:$P$62,14,FALSE)),"")</f>
        <v/>
      </c>
      <c r="M196" s="590">
        <f t="shared" si="14"/>
        <v>7</v>
      </c>
      <c r="N196" s="125" t="str">
        <f t="shared" si="13"/>
        <v>POZO DE CHILLER-7</v>
      </c>
    </row>
    <row r="197" spans="2:15" ht="112.5" hidden="1" customHeight="1">
      <c r="B197" s="724"/>
      <c r="C197" s="564" t="str">
        <f>IFERROR(VLOOKUP(N197,'TABLA-DIA'!$B$2:$P$62,9,FALSE),"")</f>
        <v/>
      </c>
      <c r="D197" s="565" t="str">
        <f>IFERROR(VLOOKUP(N197,'TABLA-DIA'!$B$2:$P$62,4,FALSE),"")</f>
        <v/>
      </c>
      <c r="E197" s="566" t="str">
        <f>IFERROR(VLOOKUP(N197,'TABLA-DIA'!$B$2:$P$62,5,FALSE),"")</f>
        <v/>
      </c>
      <c r="F197" s="566" t="str">
        <f>IFERROR(VLOOKUP(N197,'TABLA-DIA'!$B$2:$P$62,6,FALSE),"")</f>
        <v/>
      </c>
      <c r="G197" s="542" t="str">
        <f>IFERROR(VLOOKUP(N197,'TABLA-DIA'!$B$2:$P$62,7,FALSE),"")</f>
        <v/>
      </c>
      <c r="H197" s="582" t="str">
        <f>IFERROR(VLOOKUP(N197,'TABLA-DIA'!$B$2:$P$62,10,FALSE),"")</f>
        <v/>
      </c>
      <c r="I197" s="548" t="str">
        <f>IFERROR(VLOOKUP(N197,'TABLA-DIA'!$B$2:$P$62,11,FALSE),"")</f>
        <v/>
      </c>
      <c r="J197" s="549" t="str">
        <f>IFERROR(VLOOKUP(N197,'TABLA-DIA'!$B$2:$P$62,12,FALSE),"")</f>
        <v/>
      </c>
      <c r="K197" s="557" t="str">
        <f>IFERROR(VLOOKUP(N197,'TABLA-DIA'!$B$2:$P$62,13,FALSE),"")</f>
        <v/>
      </c>
      <c r="L197" s="603" t="str">
        <f>IFERROR(IF(VLOOKUP(N197,'TABLA-DIA'!$B$2:$P$62,14,FALSE)="","",VLOOKUP(N197,'TABLA-DIA'!$B$2:$P$62,14,FALSE)),"")</f>
        <v/>
      </c>
      <c r="M197" s="590">
        <f t="shared" si="14"/>
        <v>8</v>
      </c>
      <c r="N197" s="125" t="str">
        <f t="shared" si="13"/>
        <v>POZO DE CHILLER-8</v>
      </c>
    </row>
    <row r="198" spans="2:15" ht="112.5" hidden="1" customHeight="1">
      <c r="B198" s="724"/>
      <c r="C198" s="564" t="str">
        <f>IFERROR(VLOOKUP(N198,'TABLA-DIA'!$B$2:$P$62,9,FALSE),"")</f>
        <v/>
      </c>
      <c r="D198" s="565" t="str">
        <f>IFERROR(VLOOKUP(N198,'TABLA-DIA'!$B$2:$P$62,4,FALSE),"")</f>
        <v/>
      </c>
      <c r="E198" s="566" t="str">
        <f>IFERROR(VLOOKUP(N198,'TABLA-DIA'!$B$2:$P$62,5,FALSE),"")</f>
        <v/>
      </c>
      <c r="F198" s="566" t="str">
        <f>IFERROR(VLOOKUP(N198,'TABLA-DIA'!$B$2:$P$62,6,FALSE),"")</f>
        <v/>
      </c>
      <c r="G198" s="542" t="str">
        <f>IFERROR(VLOOKUP(N198,'TABLA-DIA'!$B$2:$P$62,7,FALSE),"")</f>
        <v/>
      </c>
      <c r="H198" s="582" t="str">
        <f>IFERROR(VLOOKUP(N198,'TABLA-DIA'!$B$2:$P$62,10,FALSE),"")</f>
        <v/>
      </c>
      <c r="I198" s="548" t="str">
        <f>IFERROR(VLOOKUP(N198,'TABLA-DIA'!$B$2:$P$62,11,FALSE),"")</f>
        <v/>
      </c>
      <c r="J198" s="549" t="str">
        <f>IFERROR(VLOOKUP(N198,'TABLA-DIA'!$B$2:$P$62,12,FALSE),"")</f>
        <v/>
      </c>
      <c r="K198" s="557" t="str">
        <f>IFERROR(VLOOKUP(N198,'TABLA-DIA'!$B$2:$P$62,13,FALSE),"")</f>
        <v/>
      </c>
      <c r="L198" s="603" t="str">
        <f>IFERROR(IF(VLOOKUP(N198,'TABLA-DIA'!$B$2:$P$62,14,FALSE)="","",VLOOKUP(N198,'TABLA-DIA'!$B$2:$P$62,14,FALSE)),"")</f>
        <v/>
      </c>
      <c r="M198" s="590">
        <f t="shared" si="14"/>
        <v>9</v>
      </c>
      <c r="N198" s="125" t="str">
        <f t="shared" si="13"/>
        <v>POZO DE CHILLER-9</v>
      </c>
    </row>
    <row r="199" spans="2:15" ht="112.5" hidden="1" customHeight="1" thickBot="1">
      <c r="B199" s="726"/>
      <c r="C199" s="573" t="str">
        <f>IFERROR(VLOOKUP(N199,'TABLA-DIA'!$B$2:$P$62,9,FALSE),"")</f>
        <v/>
      </c>
      <c r="D199" s="574" t="str">
        <f>IFERROR(VLOOKUP(N199,'TABLA-DIA'!$B$2:$P$62,4,FALSE),"")</f>
        <v/>
      </c>
      <c r="E199" s="575" t="str">
        <f>IFERROR(VLOOKUP(N199,'TABLA-DIA'!$B$2:$P$62,5,FALSE),"")</f>
        <v/>
      </c>
      <c r="F199" s="575" t="str">
        <f>IFERROR(VLOOKUP(N199,'TABLA-DIA'!$B$2:$P$62,6,FALSE),"")</f>
        <v/>
      </c>
      <c r="G199" s="545" t="str">
        <f>IFERROR(VLOOKUP(N199,'TABLA-DIA'!$B$2:$P$62,7,FALSE),"")</f>
        <v/>
      </c>
      <c r="H199" s="585" t="str">
        <f>IFERROR(VLOOKUP(N199,'TABLA-DIA'!$B$2:$P$62,10,FALSE),"")</f>
        <v/>
      </c>
      <c r="I199" s="554" t="str">
        <f>IFERROR(VLOOKUP(N199,'TABLA-DIA'!$B$2:$P$62,11,FALSE),"")</f>
        <v/>
      </c>
      <c r="J199" s="555" t="str">
        <f>IFERROR(VLOOKUP(N199,'TABLA-DIA'!$B$2:$P$62,12,FALSE),"")</f>
        <v/>
      </c>
      <c r="K199" s="560" t="str">
        <f>IFERROR(VLOOKUP(N199,'TABLA-DIA'!$B$2:$P$62,13,FALSE),"")</f>
        <v/>
      </c>
      <c r="L199" s="606" t="str">
        <f>IFERROR(IF(VLOOKUP(N199,'TABLA-DIA'!$B$2:$P$62,14,FALSE)="","",VLOOKUP(N199,'TABLA-DIA'!$B$2:$P$62,14,FALSE)),"")</f>
        <v/>
      </c>
      <c r="M199" s="592">
        <f t="shared" si="14"/>
        <v>10</v>
      </c>
      <c r="N199" s="130" t="str">
        <f t="shared" si="13"/>
        <v>POZO DE CHILLER-10</v>
      </c>
    </row>
    <row r="200" spans="2:15" ht="82.5" customHeight="1" thickBot="1">
      <c r="B200" s="723" t="str">
        <f>+'TABLA-DIA'!B158</f>
        <v>PROCESADORA DE MASAS - NETZSCH</v>
      </c>
      <c r="C200" s="569" t="str">
        <f>IFERROR(VLOOKUP(N200,'TABLA-DIA'!$B$2:$P$62,9,FALSE),"")</f>
        <v/>
      </c>
      <c r="D200" s="570" t="str">
        <f>IFERROR(VLOOKUP(N200,'TABLA-DIA'!$B$2:$P$62,4,FALSE),"")</f>
        <v/>
      </c>
      <c r="E200" s="571" t="str">
        <f>IFERROR(VLOOKUP(N200,'TABLA-DIA'!$B$2:$P$62,5,FALSE),"")</f>
        <v/>
      </c>
      <c r="F200" s="571" t="str">
        <f>IFERROR(VLOOKUP(N200,'TABLA-DIA'!$B$2:$P$62,6,FALSE),"")</f>
        <v/>
      </c>
      <c r="G200" s="544" t="str">
        <f>IFERROR(VLOOKUP(N200,'TABLA-DIA'!$B$2:$P$62,7,FALSE),"")</f>
        <v/>
      </c>
      <c r="H200" s="584" t="str">
        <f>IFERROR(VLOOKUP(N200,'TABLA-DIA'!$B$2:$P$62,10,FALSE),"")</f>
        <v/>
      </c>
      <c r="I200" s="552" t="str">
        <f>IFERROR(VLOOKUP(N200,'TABLA-DIA'!$B$2:$P$62,11,FALSE),"")</f>
        <v/>
      </c>
      <c r="J200" s="553" t="str">
        <f>IFERROR(VLOOKUP(N200,'TABLA-DIA'!$B$2:$P$62,12,FALSE),"")</f>
        <v/>
      </c>
      <c r="K200" s="559" t="str">
        <f>IFERROR(VLOOKUP(N200,'TABLA-DIA'!$B$2:$P$62,13,FALSE),"")</f>
        <v/>
      </c>
      <c r="L200" s="605" t="str">
        <f>IFERROR(IF(VLOOKUP(N200,'TABLA-DIA'!$B$2:$P$62,14,FALSE)="","",VLOOKUP(N200,'TABLA-DIA'!$B$2:$P$62,14,FALSE)),"")</f>
        <v/>
      </c>
      <c r="M200" s="589">
        <v>1</v>
      </c>
      <c r="N200" s="98" t="str">
        <f t="shared" ref="N200:N209" si="15">CONCATENATE($B$200,"-",M200)</f>
        <v>PROCESADORA DE MASAS - NETZSCH-1</v>
      </c>
      <c r="O200" s="91">
        <f>COUNTIF(G200:G209,"&lt;&gt;**")</f>
        <v>0</v>
      </c>
    </row>
    <row r="201" spans="2:15" ht="108.75" hidden="1" customHeight="1" thickBot="1">
      <c r="B201" s="724"/>
      <c r="C201" s="564" t="str">
        <f>IFERROR(VLOOKUP(N201,'TABLA-DIA'!$B$2:$P$62,9,FALSE),"")</f>
        <v/>
      </c>
      <c r="D201" s="565" t="str">
        <f>IFERROR(VLOOKUP(N201,'TABLA-DIA'!$B$2:$P$62,4,FALSE),"")</f>
        <v/>
      </c>
      <c r="E201" s="566" t="str">
        <f>IFERROR(VLOOKUP(N201,'TABLA-DIA'!$B$2:$P$62,5,FALSE),"")</f>
        <v/>
      </c>
      <c r="F201" s="566" t="str">
        <f>IFERROR(VLOOKUP(N201,'TABLA-DIA'!$B$2:$P$62,6,FALSE),"")</f>
        <v/>
      </c>
      <c r="G201" s="542" t="str">
        <f>IFERROR(VLOOKUP(N201,'TABLA-DIA'!$B$2:$P$62,7,FALSE),"")</f>
        <v/>
      </c>
      <c r="H201" s="582" t="str">
        <f>IFERROR(VLOOKUP(N201,'TABLA-DIA'!$B$2:$P$62,10,FALSE),"")</f>
        <v/>
      </c>
      <c r="I201" s="548" t="str">
        <f>IFERROR(VLOOKUP(N201,'TABLA-DIA'!$B$2:$P$62,11,FALSE),"")</f>
        <v/>
      </c>
      <c r="J201" s="549" t="str">
        <f>IFERROR(VLOOKUP(N201,'TABLA-DIA'!$B$2:$P$62,12,FALSE),"")</f>
        <v/>
      </c>
      <c r="K201" s="557" t="str">
        <f>IFERROR(VLOOKUP(N201,'TABLA-DIA'!$B$2:$P$62,13,FALSE),"")</f>
        <v/>
      </c>
      <c r="L201" s="603" t="str">
        <f>IFERROR(IF(VLOOKUP(N201,'TABLA-DIA'!$B$2:$P$62,14,FALSE)="","",VLOOKUP(N201,'TABLA-DIA'!$B$2:$P$62,14,FALSE)),"")</f>
        <v/>
      </c>
      <c r="M201" s="590">
        <f t="shared" ref="M201:M209" si="16">+M200+1</f>
        <v>2</v>
      </c>
      <c r="N201" s="125" t="str">
        <f t="shared" si="15"/>
        <v>PROCESADORA DE MASAS - NETZSCH-2</v>
      </c>
    </row>
    <row r="202" spans="2:15" ht="108.75" hidden="1" customHeight="1">
      <c r="B202" s="724"/>
      <c r="C202" s="564" t="str">
        <f>IFERROR(VLOOKUP(N202,'TABLA-DIA'!$B$2:$P$62,9,FALSE),"")</f>
        <v/>
      </c>
      <c r="D202" s="565" t="str">
        <f>IFERROR(VLOOKUP(N202,'TABLA-DIA'!$B$2:$P$62,4,FALSE),"")</f>
        <v/>
      </c>
      <c r="E202" s="566" t="str">
        <f>IFERROR(VLOOKUP(N202,'TABLA-DIA'!$B$2:$P$62,5,FALSE),"")</f>
        <v/>
      </c>
      <c r="F202" s="566" t="str">
        <f>IFERROR(VLOOKUP(N202,'TABLA-DIA'!$B$2:$P$62,6,FALSE),"")</f>
        <v/>
      </c>
      <c r="G202" s="542" t="str">
        <f>IFERROR(VLOOKUP(N202,'TABLA-DIA'!$B$2:$P$62,7,FALSE),"")</f>
        <v/>
      </c>
      <c r="H202" s="582" t="str">
        <f>IFERROR(VLOOKUP(N202,'TABLA-DIA'!$B$2:$P$62,10,FALSE),"")</f>
        <v/>
      </c>
      <c r="I202" s="548" t="str">
        <f>IFERROR(VLOOKUP(N202,'TABLA-DIA'!$B$2:$P$62,11,FALSE),"")</f>
        <v/>
      </c>
      <c r="J202" s="549" t="str">
        <f>IFERROR(VLOOKUP(N202,'TABLA-DIA'!$B$2:$P$62,12,FALSE),"")</f>
        <v/>
      </c>
      <c r="K202" s="557" t="str">
        <f>IFERROR(VLOOKUP(N202,'TABLA-DIA'!$B$2:$P$62,13,FALSE),"")</f>
        <v/>
      </c>
      <c r="L202" s="603" t="str">
        <f>IFERROR(IF(VLOOKUP(N202,'TABLA-DIA'!$B$2:$P$62,14,FALSE)="","",VLOOKUP(N202,'TABLA-DIA'!$B$2:$P$62,14,FALSE)),"")</f>
        <v/>
      </c>
      <c r="M202" s="590">
        <f t="shared" si="16"/>
        <v>3</v>
      </c>
      <c r="N202" s="125" t="str">
        <f t="shared" si="15"/>
        <v>PROCESADORA DE MASAS - NETZSCH-3</v>
      </c>
    </row>
    <row r="203" spans="2:15" ht="108.75" hidden="1" customHeight="1">
      <c r="B203" s="724"/>
      <c r="C203" s="564" t="str">
        <f>IFERROR(VLOOKUP(N203,'TABLA-DIA'!$B$2:$P$62,9,FALSE),"")</f>
        <v/>
      </c>
      <c r="D203" s="565" t="str">
        <f>IFERROR(VLOOKUP(N203,'TABLA-DIA'!$B$2:$P$62,4,FALSE),"")</f>
        <v/>
      </c>
      <c r="E203" s="566" t="str">
        <f>IFERROR(VLOOKUP(N203,'TABLA-DIA'!$B$2:$P$62,5,FALSE),"")</f>
        <v/>
      </c>
      <c r="F203" s="566" t="str">
        <f>IFERROR(VLOOKUP(N203,'TABLA-DIA'!$B$2:$P$62,6,FALSE),"")</f>
        <v/>
      </c>
      <c r="G203" s="542" t="str">
        <f>IFERROR(VLOOKUP(N203,'TABLA-DIA'!$B$2:$P$62,7,FALSE),"")</f>
        <v/>
      </c>
      <c r="H203" s="582" t="str">
        <f>IFERROR(VLOOKUP(N203,'TABLA-DIA'!$B$2:$P$62,10,FALSE),"")</f>
        <v/>
      </c>
      <c r="I203" s="548" t="str">
        <f>IFERROR(VLOOKUP(N203,'TABLA-DIA'!$B$2:$P$62,11,FALSE),"")</f>
        <v/>
      </c>
      <c r="J203" s="549" t="str">
        <f>IFERROR(VLOOKUP(N203,'TABLA-DIA'!$B$2:$P$62,12,FALSE),"")</f>
        <v/>
      </c>
      <c r="K203" s="557" t="str">
        <f>IFERROR(VLOOKUP(N203,'TABLA-DIA'!$B$2:$P$62,13,FALSE),"")</f>
        <v/>
      </c>
      <c r="L203" s="603" t="str">
        <f>IFERROR(IF(VLOOKUP(N203,'TABLA-DIA'!$B$2:$P$62,14,FALSE)="","",VLOOKUP(N203,'TABLA-DIA'!$B$2:$P$62,14,FALSE)),"")</f>
        <v/>
      </c>
      <c r="M203" s="590">
        <f t="shared" si="16"/>
        <v>4</v>
      </c>
      <c r="N203" s="125" t="str">
        <f t="shared" si="15"/>
        <v>PROCESADORA DE MASAS - NETZSCH-4</v>
      </c>
    </row>
    <row r="204" spans="2:15" ht="108.75" hidden="1" customHeight="1">
      <c r="B204" s="724"/>
      <c r="C204" s="564" t="str">
        <f>IFERROR(VLOOKUP(N204,'TABLA-DIA'!$B$2:$P$62,9,FALSE),"")</f>
        <v/>
      </c>
      <c r="D204" s="565" t="str">
        <f>IFERROR(VLOOKUP(N204,'TABLA-DIA'!$B$2:$P$62,4,FALSE),"")</f>
        <v/>
      </c>
      <c r="E204" s="566" t="str">
        <f>IFERROR(VLOOKUP(N204,'TABLA-DIA'!$B$2:$P$62,5,FALSE),"")</f>
        <v/>
      </c>
      <c r="F204" s="566" t="str">
        <f>IFERROR(VLOOKUP(N204,'TABLA-DIA'!$B$2:$P$62,6,FALSE),"")</f>
        <v/>
      </c>
      <c r="G204" s="542" t="str">
        <f>IFERROR(VLOOKUP(N204,'TABLA-DIA'!$B$2:$P$62,7,FALSE),"")</f>
        <v/>
      </c>
      <c r="H204" s="582" t="str">
        <f>IFERROR(VLOOKUP(N204,'TABLA-DIA'!$B$2:$P$62,10,FALSE),"")</f>
        <v/>
      </c>
      <c r="I204" s="548" t="str">
        <f>IFERROR(VLOOKUP(N204,'TABLA-DIA'!$B$2:$P$62,11,FALSE),"")</f>
        <v/>
      </c>
      <c r="J204" s="549" t="str">
        <f>IFERROR(VLOOKUP(N204,'TABLA-DIA'!$B$2:$P$62,12,FALSE),"")</f>
        <v/>
      </c>
      <c r="K204" s="557" t="str">
        <f>IFERROR(VLOOKUP(N204,'TABLA-DIA'!$B$2:$P$62,13,FALSE),"")</f>
        <v/>
      </c>
      <c r="L204" s="603" t="str">
        <f>IFERROR(IF(VLOOKUP(N204,'TABLA-DIA'!$B$2:$P$62,14,FALSE)="","",VLOOKUP(N204,'TABLA-DIA'!$B$2:$P$62,14,FALSE)),"")</f>
        <v/>
      </c>
      <c r="M204" s="590">
        <f t="shared" si="16"/>
        <v>5</v>
      </c>
      <c r="N204" s="125" t="str">
        <f t="shared" si="15"/>
        <v>PROCESADORA DE MASAS - NETZSCH-5</v>
      </c>
    </row>
    <row r="205" spans="2:15" ht="108.75" hidden="1" customHeight="1">
      <c r="B205" s="724"/>
      <c r="C205" s="564" t="str">
        <f>IFERROR(VLOOKUP(N205,'TABLA-DIA'!$B$2:$P$62,9,FALSE),"")</f>
        <v/>
      </c>
      <c r="D205" s="565" t="str">
        <f>IFERROR(VLOOKUP(N205,'TABLA-DIA'!$B$2:$P$62,4,FALSE),"")</f>
        <v/>
      </c>
      <c r="E205" s="566" t="str">
        <f>IFERROR(VLOOKUP(N205,'TABLA-DIA'!$B$2:$P$62,5,FALSE),"")</f>
        <v/>
      </c>
      <c r="F205" s="566" t="str">
        <f>IFERROR(VLOOKUP(N205,'TABLA-DIA'!$B$2:$P$62,6,FALSE),"")</f>
        <v/>
      </c>
      <c r="G205" s="542" t="str">
        <f>IFERROR(VLOOKUP(N205,'TABLA-DIA'!$B$2:$P$62,7,FALSE),"")</f>
        <v/>
      </c>
      <c r="H205" s="582" t="str">
        <f>IFERROR(VLOOKUP(N205,'TABLA-DIA'!$B$2:$P$62,10,FALSE),"")</f>
        <v/>
      </c>
      <c r="I205" s="548" t="str">
        <f>IFERROR(VLOOKUP(N205,'TABLA-DIA'!$B$2:$P$62,11,FALSE),"")</f>
        <v/>
      </c>
      <c r="J205" s="549" t="str">
        <f>IFERROR(VLOOKUP(N205,'TABLA-DIA'!$B$2:$P$62,12,FALSE),"")</f>
        <v/>
      </c>
      <c r="K205" s="557" t="str">
        <f>IFERROR(VLOOKUP(N205,'TABLA-DIA'!$B$2:$P$62,13,FALSE),"")</f>
        <v/>
      </c>
      <c r="L205" s="603" t="str">
        <f>IFERROR(IF(VLOOKUP(N205,'TABLA-DIA'!$B$2:$P$62,14,FALSE)="","",VLOOKUP(N205,'TABLA-DIA'!$B$2:$P$62,14,FALSE)),"")</f>
        <v/>
      </c>
      <c r="M205" s="590">
        <f t="shared" si="16"/>
        <v>6</v>
      </c>
      <c r="N205" s="125" t="str">
        <f t="shared" si="15"/>
        <v>PROCESADORA DE MASAS - NETZSCH-6</v>
      </c>
    </row>
    <row r="206" spans="2:15" ht="108.75" hidden="1" customHeight="1">
      <c r="B206" s="724"/>
      <c r="C206" s="564" t="str">
        <f>IFERROR(VLOOKUP(N206,'TABLA-DIA'!$B$2:$P$62,9,FALSE),"")</f>
        <v/>
      </c>
      <c r="D206" s="565" t="str">
        <f>IFERROR(VLOOKUP(N206,'TABLA-DIA'!$B$2:$P$62,4,FALSE),"")</f>
        <v/>
      </c>
      <c r="E206" s="566" t="str">
        <f>IFERROR(VLOOKUP(N206,'TABLA-DIA'!$B$2:$P$62,5,FALSE),"")</f>
        <v/>
      </c>
      <c r="F206" s="566" t="str">
        <f>IFERROR(VLOOKUP(N206,'TABLA-DIA'!$B$2:$P$62,6,FALSE),"")</f>
        <v/>
      </c>
      <c r="G206" s="542" t="str">
        <f>IFERROR(VLOOKUP(N206,'TABLA-DIA'!$B$2:$P$62,7,FALSE),"")</f>
        <v/>
      </c>
      <c r="H206" s="582" t="str">
        <f>IFERROR(VLOOKUP(N206,'TABLA-DIA'!$B$2:$P$62,10,FALSE),"")</f>
        <v/>
      </c>
      <c r="I206" s="548" t="str">
        <f>IFERROR(VLOOKUP(N206,'TABLA-DIA'!$B$2:$P$62,11,FALSE),"")</f>
        <v/>
      </c>
      <c r="J206" s="549" t="str">
        <f>IFERROR(VLOOKUP(N206,'TABLA-DIA'!$B$2:$P$62,12,FALSE),"")</f>
        <v/>
      </c>
      <c r="K206" s="557" t="str">
        <f>IFERROR(VLOOKUP(N206,'TABLA-DIA'!$B$2:$P$62,13,FALSE),"")</f>
        <v/>
      </c>
      <c r="L206" s="603" t="str">
        <f>IFERROR(IF(VLOOKUP(N206,'TABLA-DIA'!$B$2:$P$62,14,FALSE)="","",VLOOKUP(N206,'TABLA-DIA'!$B$2:$P$62,14,FALSE)),"")</f>
        <v/>
      </c>
      <c r="M206" s="590">
        <f t="shared" si="16"/>
        <v>7</v>
      </c>
      <c r="N206" s="125" t="str">
        <f t="shared" si="15"/>
        <v>PROCESADORA DE MASAS - NETZSCH-7</v>
      </c>
    </row>
    <row r="207" spans="2:15" ht="108.75" hidden="1" customHeight="1">
      <c r="B207" s="724"/>
      <c r="C207" s="564" t="str">
        <f>IFERROR(VLOOKUP(N207,'TABLA-DIA'!$B$2:$P$62,9,FALSE),"")</f>
        <v/>
      </c>
      <c r="D207" s="565" t="str">
        <f>IFERROR(VLOOKUP(N207,'TABLA-DIA'!$B$2:$P$62,4,FALSE),"")</f>
        <v/>
      </c>
      <c r="E207" s="566" t="str">
        <f>IFERROR(VLOOKUP(N207,'TABLA-DIA'!$B$2:$P$62,5,FALSE),"")</f>
        <v/>
      </c>
      <c r="F207" s="566" t="str">
        <f>IFERROR(VLOOKUP(N207,'TABLA-DIA'!$B$2:$P$62,6,FALSE),"")</f>
        <v/>
      </c>
      <c r="G207" s="542" t="str">
        <f>IFERROR(VLOOKUP(N207,'TABLA-DIA'!$B$2:$P$62,7,FALSE),"")</f>
        <v/>
      </c>
      <c r="H207" s="582" t="str">
        <f>IFERROR(VLOOKUP(N207,'TABLA-DIA'!$B$2:$P$62,10,FALSE),"")</f>
        <v/>
      </c>
      <c r="I207" s="548" t="str">
        <f>IFERROR(VLOOKUP(N207,'TABLA-DIA'!$B$2:$P$62,11,FALSE),"")</f>
        <v/>
      </c>
      <c r="J207" s="549" t="str">
        <f>IFERROR(VLOOKUP(N207,'TABLA-DIA'!$B$2:$P$62,12,FALSE),"")</f>
        <v/>
      </c>
      <c r="K207" s="557" t="str">
        <f>IFERROR(VLOOKUP(N207,'TABLA-DIA'!$B$2:$P$62,13,FALSE),"")</f>
        <v/>
      </c>
      <c r="L207" s="603" t="str">
        <f>IFERROR(IF(VLOOKUP(N207,'TABLA-DIA'!$B$2:$P$62,14,FALSE)="","",VLOOKUP(N207,'TABLA-DIA'!$B$2:$P$62,14,FALSE)),"")</f>
        <v/>
      </c>
      <c r="M207" s="590">
        <f t="shared" si="16"/>
        <v>8</v>
      </c>
      <c r="N207" s="125" t="str">
        <f t="shared" si="15"/>
        <v>PROCESADORA DE MASAS - NETZSCH-8</v>
      </c>
    </row>
    <row r="208" spans="2:15" ht="108.75" hidden="1" customHeight="1">
      <c r="B208" s="724"/>
      <c r="C208" s="564" t="str">
        <f>IFERROR(VLOOKUP(N208,'TABLA-DIA'!$B$2:$P$62,9,FALSE),"")</f>
        <v/>
      </c>
      <c r="D208" s="565" t="str">
        <f>IFERROR(VLOOKUP(N208,'TABLA-DIA'!$B$2:$P$62,4,FALSE),"")</f>
        <v/>
      </c>
      <c r="E208" s="566" t="str">
        <f>IFERROR(VLOOKUP(N208,'TABLA-DIA'!$B$2:$P$62,5,FALSE),"")</f>
        <v/>
      </c>
      <c r="F208" s="566" t="str">
        <f>IFERROR(VLOOKUP(N208,'TABLA-DIA'!$B$2:$P$62,6,FALSE),"")</f>
        <v/>
      </c>
      <c r="G208" s="542" t="str">
        <f>IFERROR(VLOOKUP(N208,'TABLA-DIA'!$B$2:$P$62,7,FALSE),"")</f>
        <v/>
      </c>
      <c r="H208" s="582" t="str">
        <f>IFERROR(VLOOKUP(N208,'TABLA-DIA'!$B$2:$P$62,10,FALSE),"")</f>
        <v/>
      </c>
      <c r="I208" s="548" t="str">
        <f>IFERROR(VLOOKUP(N208,'TABLA-DIA'!$B$2:$P$62,11,FALSE),"")</f>
        <v/>
      </c>
      <c r="J208" s="549" t="str">
        <f>IFERROR(VLOOKUP(N208,'TABLA-DIA'!$B$2:$P$62,12,FALSE),"")</f>
        <v/>
      </c>
      <c r="K208" s="557" t="str">
        <f>IFERROR(VLOOKUP(N208,'TABLA-DIA'!$B$2:$P$62,13,FALSE),"")</f>
        <v/>
      </c>
      <c r="L208" s="603" t="str">
        <f>IFERROR(IF(VLOOKUP(N208,'TABLA-DIA'!$B$2:$P$62,14,FALSE)="","",VLOOKUP(N208,'TABLA-DIA'!$B$2:$P$62,14,FALSE)),"")</f>
        <v/>
      </c>
      <c r="M208" s="590">
        <f t="shared" si="16"/>
        <v>9</v>
      </c>
      <c r="N208" s="125" t="str">
        <f t="shared" si="15"/>
        <v>PROCESADORA DE MASAS - NETZSCH-9</v>
      </c>
    </row>
    <row r="209" spans="2:15" ht="108.75" hidden="1" customHeight="1" thickBot="1">
      <c r="B209" s="726"/>
      <c r="C209" s="573" t="str">
        <f>IFERROR(VLOOKUP(N209,'TABLA-DIA'!$B$2:$P$62,9,FALSE),"")</f>
        <v/>
      </c>
      <c r="D209" s="574" t="str">
        <f>IFERROR(VLOOKUP(N209,'TABLA-DIA'!$B$2:$P$62,4,FALSE),"")</f>
        <v/>
      </c>
      <c r="E209" s="575" t="str">
        <f>IFERROR(VLOOKUP(N209,'TABLA-DIA'!$B$2:$P$62,5,FALSE),"")</f>
        <v/>
      </c>
      <c r="F209" s="575" t="str">
        <f>IFERROR(VLOOKUP(N209,'TABLA-DIA'!$B$2:$P$62,6,FALSE),"")</f>
        <v/>
      </c>
      <c r="G209" s="545" t="str">
        <f>IFERROR(VLOOKUP(N209,'TABLA-DIA'!$B$2:$P$62,7,FALSE),"")</f>
        <v/>
      </c>
      <c r="H209" s="585" t="str">
        <f>IFERROR(VLOOKUP(N209,'TABLA-DIA'!$B$2:$P$62,10,FALSE),"")</f>
        <v/>
      </c>
      <c r="I209" s="554" t="str">
        <f>IFERROR(VLOOKUP(N209,'TABLA-DIA'!$B$2:$P$62,11,FALSE),"")</f>
        <v/>
      </c>
      <c r="J209" s="555" t="str">
        <f>IFERROR(VLOOKUP(N209,'TABLA-DIA'!$B$2:$P$62,12,FALSE),"")</f>
        <v/>
      </c>
      <c r="K209" s="560" t="str">
        <f>IFERROR(VLOOKUP(N209,'TABLA-DIA'!$B$2:$P$62,13,FALSE),"")</f>
        <v/>
      </c>
      <c r="L209" s="606" t="str">
        <f>IFERROR(IF(VLOOKUP(N209,'TABLA-DIA'!$B$2:$P$62,14,FALSE)="","",VLOOKUP(N209,'TABLA-DIA'!$B$2:$P$62,14,FALSE)),"")</f>
        <v/>
      </c>
      <c r="M209" s="592">
        <f t="shared" si="16"/>
        <v>10</v>
      </c>
      <c r="N209" s="130" t="str">
        <f t="shared" si="15"/>
        <v>PROCESADORA DE MASAS - NETZSCH-10</v>
      </c>
    </row>
    <row r="210" spans="2:15" ht="75.75" customHeight="1" thickBot="1">
      <c r="B210" s="723" t="str">
        <f>+'TABLA-DIA'!B159</f>
        <v>COMEDOR</v>
      </c>
      <c r="C210" s="569" t="str">
        <f>IFERROR(VLOOKUP(N210,'TABLA-DIA'!$B$2:$P$62,9,FALSE),"")</f>
        <v/>
      </c>
      <c r="D210" s="570" t="str">
        <f>IFERROR(VLOOKUP(N210,'TABLA-DIA'!$B$2:$P$62,4,FALSE),"")</f>
        <v/>
      </c>
      <c r="E210" s="571" t="str">
        <f>IFERROR(VLOOKUP(N210,'TABLA-DIA'!$B$2:$P$62,5,FALSE),"")</f>
        <v/>
      </c>
      <c r="F210" s="571" t="str">
        <f>IFERROR(VLOOKUP(N210,'TABLA-DIA'!$B$2:$P$62,6,FALSE),"")</f>
        <v/>
      </c>
      <c r="G210" s="544" t="str">
        <f>IFERROR(VLOOKUP(N210,'TABLA-DIA'!$B$2:$P$62,7,FALSE),"")</f>
        <v/>
      </c>
      <c r="H210" s="584" t="str">
        <f>IFERROR(VLOOKUP(N210,'TABLA-DIA'!$B$2:$P$62,10,FALSE),"")</f>
        <v/>
      </c>
      <c r="I210" s="552" t="str">
        <f>IFERROR(VLOOKUP(N210,'TABLA-DIA'!$B$2:$P$62,11,FALSE),"")</f>
        <v/>
      </c>
      <c r="J210" s="553" t="str">
        <f>IFERROR(VLOOKUP(N210,'TABLA-DIA'!$B$2:$P$62,12,FALSE),"")</f>
        <v/>
      </c>
      <c r="K210" s="559" t="str">
        <f>IFERROR(VLOOKUP(N210,'TABLA-DIA'!$B$2:$P$62,13,FALSE),"")</f>
        <v/>
      </c>
      <c r="L210" s="605" t="str">
        <f>IFERROR(IF(VLOOKUP(N210,'TABLA-DIA'!$B$2:$P$62,14,FALSE)="","",VLOOKUP(N210,'TABLA-DIA'!$B$2:$P$62,14,FALSE)),"")</f>
        <v/>
      </c>
      <c r="M210" s="589">
        <v>1</v>
      </c>
      <c r="N210" s="98" t="str">
        <f t="shared" ref="N210:N219" si="17">CONCATENATE($B$210,"-",M210)</f>
        <v>COMEDOR-1</v>
      </c>
      <c r="O210" s="91">
        <f>COUNTIF(G210:G219,"&lt;&gt;**")</f>
        <v>0</v>
      </c>
    </row>
    <row r="211" spans="2:15" ht="75.75" hidden="1" customHeight="1" thickBot="1">
      <c r="B211" s="724"/>
      <c r="C211" s="564" t="str">
        <f>IFERROR(VLOOKUP(N211,'TABLA-DIA'!$B$2:$P$62,9,FALSE),"")</f>
        <v/>
      </c>
      <c r="D211" s="565" t="str">
        <f>IFERROR(VLOOKUP(N211,'TABLA-DIA'!$B$2:$P$62,4,FALSE),"")</f>
        <v/>
      </c>
      <c r="E211" s="566" t="str">
        <f>IFERROR(VLOOKUP(N211,'TABLA-DIA'!$B$2:$P$62,5,FALSE),"")</f>
        <v/>
      </c>
      <c r="F211" s="566" t="str">
        <f>IFERROR(VLOOKUP(N211,'TABLA-DIA'!$B$2:$P$62,6,FALSE),"")</f>
        <v/>
      </c>
      <c r="G211" s="542" t="str">
        <f>IFERROR(VLOOKUP(N211,'TABLA-DIA'!$B$2:$P$62,7,FALSE),"")</f>
        <v/>
      </c>
      <c r="H211" s="582" t="str">
        <f>IFERROR(VLOOKUP(N211,'TABLA-DIA'!$B$2:$P$62,10,FALSE),"")</f>
        <v/>
      </c>
      <c r="I211" s="548" t="str">
        <f>IFERROR(VLOOKUP(N211,'TABLA-DIA'!$B$2:$P$62,11,FALSE),"")</f>
        <v/>
      </c>
      <c r="J211" s="549" t="str">
        <f>IFERROR(VLOOKUP(N211,'TABLA-DIA'!$B$2:$P$62,12,FALSE),"")</f>
        <v/>
      </c>
      <c r="K211" s="557" t="str">
        <f>IFERROR(VLOOKUP(N211,'TABLA-DIA'!$B$2:$P$62,13,FALSE),"")</f>
        <v/>
      </c>
      <c r="L211" s="603" t="str">
        <f>IFERROR(IF(VLOOKUP(N211,'TABLA-DIA'!$B$2:$P$62,14,FALSE)="","",VLOOKUP(N211,'TABLA-DIA'!$B$2:$P$62,14,FALSE)),"")</f>
        <v/>
      </c>
      <c r="M211" s="590">
        <f t="shared" ref="M211:M219" si="18">+M210+1</f>
        <v>2</v>
      </c>
      <c r="N211" s="125" t="str">
        <f t="shared" si="17"/>
        <v>COMEDOR-2</v>
      </c>
    </row>
    <row r="212" spans="2:15" ht="108.75" hidden="1" customHeight="1">
      <c r="B212" s="724"/>
      <c r="C212" s="564" t="str">
        <f>IFERROR(VLOOKUP(N212,'TABLA-DIA'!$B$2:$P$62,9,FALSE),"")</f>
        <v/>
      </c>
      <c r="D212" s="565" t="str">
        <f>IFERROR(VLOOKUP(N212,'TABLA-DIA'!$B$2:$P$62,4,FALSE),"")</f>
        <v/>
      </c>
      <c r="E212" s="566" t="str">
        <f>IFERROR(VLOOKUP(N212,'TABLA-DIA'!$B$2:$P$62,5,FALSE),"")</f>
        <v/>
      </c>
      <c r="F212" s="566" t="str">
        <f>IFERROR(VLOOKUP(N212,'TABLA-DIA'!$B$2:$P$62,6,FALSE),"")</f>
        <v/>
      </c>
      <c r="G212" s="542" t="str">
        <f>IFERROR(VLOOKUP(N212,'TABLA-DIA'!$B$2:$P$62,7,FALSE),"")</f>
        <v/>
      </c>
      <c r="H212" s="582" t="str">
        <f>IFERROR(VLOOKUP(N212,'TABLA-DIA'!$B$2:$P$62,10,FALSE),"")</f>
        <v/>
      </c>
      <c r="I212" s="548" t="str">
        <f>IFERROR(VLOOKUP(N212,'TABLA-DIA'!$B$2:$P$62,11,FALSE),"")</f>
        <v/>
      </c>
      <c r="J212" s="549" t="str">
        <f>IFERROR(VLOOKUP(N212,'TABLA-DIA'!$B$2:$P$62,12,FALSE),"")</f>
        <v/>
      </c>
      <c r="K212" s="557" t="str">
        <f>IFERROR(VLOOKUP(N212,'TABLA-DIA'!$B$2:$P$62,13,FALSE),"")</f>
        <v/>
      </c>
      <c r="L212" s="603" t="str">
        <f>IFERROR(IF(VLOOKUP(N212,'TABLA-DIA'!$B$2:$P$62,14,FALSE)="","",VLOOKUP(N212,'TABLA-DIA'!$B$2:$P$62,14,FALSE)),"")</f>
        <v/>
      </c>
      <c r="M212" s="590">
        <f t="shared" si="18"/>
        <v>3</v>
      </c>
      <c r="N212" s="125" t="str">
        <f t="shared" si="17"/>
        <v>COMEDOR-3</v>
      </c>
    </row>
    <row r="213" spans="2:15" ht="108.75" hidden="1" customHeight="1">
      <c r="B213" s="724"/>
      <c r="C213" s="564" t="str">
        <f>IFERROR(VLOOKUP(N213,'TABLA-DIA'!$B$2:$P$62,9,FALSE),"")</f>
        <v/>
      </c>
      <c r="D213" s="565" t="str">
        <f>IFERROR(VLOOKUP(N213,'TABLA-DIA'!$B$2:$P$62,4,FALSE),"")</f>
        <v/>
      </c>
      <c r="E213" s="566" t="str">
        <f>IFERROR(VLOOKUP(N213,'TABLA-DIA'!$B$2:$P$62,5,FALSE),"")</f>
        <v/>
      </c>
      <c r="F213" s="566" t="str">
        <f>IFERROR(VLOOKUP(N213,'TABLA-DIA'!$B$2:$P$62,6,FALSE),"")</f>
        <v/>
      </c>
      <c r="G213" s="542" t="str">
        <f>IFERROR(VLOOKUP(N213,'TABLA-DIA'!$B$2:$P$62,7,FALSE),"")</f>
        <v/>
      </c>
      <c r="H213" s="582" t="str">
        <f>IFERROR(VLOOKUP(N213,'TABLA-DIA'!$B$2:$P$62,10,FALSE),"")</f>
        <v/>
      </c>
      <c r="I213" s="548" t="str">
        <f>IFERROR(VLOOKUP(N213,'TABLA-DIA'!$B$2:$P$62,11,FALSE),"")</f>
        <v/>
      </c>
      <c r="J213" s="549" t="str">
        <f>IFERROR(VLOOKUP(N213,'TABLA-DIA'!$B$2:$P$62,12,FALSE),"")</f>
        <v/>
      </c>
      <c r="K213" s="557" t="str">
        <f>IFERROR(VLOOKUP(N213,'TABLA-DIA'!$B$2:$P$62,13,FALSE),"")</f>
        <v/>
      </c>
      <c r="L213" s="603" t="str">
        <f>IFERROR(IF(VLOOKUP(N213,'TABLA-DIA'!$B$2:$P$62,14,FALSE)="","",VLOOKUP(N213,'TABLA-DIA'!$B$2:$P$62,14,FALSE)),"")</f>
        <v/>
      </c>
      <c r="M213" s="590">
        <f t="shared" si="18"/>
        <v>4</v>
      </c>
      <c r="N213" s="125" t="str">
        <f t="shared" si="17"/>
        <v>COMEDOR-4</v>
      </c>
    </row>
    <row r="214" spans="2:15" ht="108.75" hidden="1" customHeight="1">
      <c r="B214" s="724"/>
      <c r="C214" s="564" t="str">
        <f>IFERROR(VLOOKUP(N214,'TABLA-DIA'!$B$2:$P$62,9,FALSE),"")</f>
        <v/>
      </c>
      <c r="D214" s="565" t="str">
        <f>IFERROR(VLOOKUP(N214,'TABLA-DIA'!$B$2:$P$62,4,FALSE),"")</f>
        <v/>
      </c>
      <c r="E214" s="566" t="str">
        <f>IFERROR(VLOOKUP(N214,'TABLA-DIA'!$B$2:$P$62,5,FALSE),"")</f>
        <v/>
      </c>
      <c r="F214" s="566" t="str">
        <f>IFERROR(VLOOKUP(N214,'TABLA-DIA'!$B$2:$P$62,6,FALSE),"")</f>
        <v/>
      </c>
      <c r="G214" s="542" t="str">
        <f>IFERROR(VLOOKUP(N214,'TABLA-DIA'!$B$2:$P$62,7,FALSE),"")</f>
        <v/>
      </c>
      <c r="H214" s="582" t="str">
        <f>IFERROR(VLOOKUP(N214,'TABLA-DIA'!$B$2:$P$62,10,FALSE),"")</f>
        <v/>
      </c>
      <c r="I214" s="548" t="str">
        <f>IFERROR(VLOOKUP(N214,'TABLA-DIA'!$B$2:$P$62,11,FALSE),"")</f>
        <v/>
      </c>
      <c r="J214" s="549" t="str">
        <f>IFERROR(VLOOKUP(N214,'TABLA-DIA'!$B$2:$P$62,12,FALSE),"")</f>
        <v/>
      </c>
      <c r="K214" s="557" t="str">
        <f>IFERROR(VLOOKUP(N214,'TABLA-DIA'!$B$2:$P$62,13,FALSE),"")</f>
        <v/>
      </c>
      <c r="L214" s="603" t="str">
        <f>IFERROR(IF(VLOOKUP(N214,'TABLA-DIA'!$B$2:$P$62,14,FALSE)="","",VLOOKUP(N214,'TABLA-DIA'!$B$2:$P$62,14,FALSE)),"")</f>
        <v/>
      </c>
      <c r="M214" s="590">
        <f t="shared" si="18"/>
        <v>5</v>
      </c>
      <c r="N214" s="125" t="str">
        <f t="shared" si="17"/>
        <v>COMEDOR-5</v>
      </c>
    </row>
    <row r="215" spans="2:15" ht="108.75" hidden="1" customHeight="1">
      <c r="B215" s="724"/>
      <c r="C215" s="564" t="str">
        <f>IFERROR(VLOOKUP(N215,'TABLA-DIA'!$B$2:$P$62,9,FALSE),"")</f>
        <v/>
      </c>
      <c r="D215" s="565" t="str">
        <f>IFERROR(VLOOKUP(N215,'TABLA-DIA'!$B$2:$P$62,4,FALSE),"")</f>
        <v/>
      </c>
      <c r="E215" s="566" t="str">
        <f>IFERROR(VLOOKUP(N215,'TABLA-DIA'!$B$2:$P$62,5,FALSE),"")</f>
        <v/>
      </c>
      <c r="F215" s="566" t="str">
        <f>IFERROR(VLOOKUP(N215,'TABLA-DIA'!$B$2:$P$62,6,FALSE),"")</f>
        <v/>
      </c>
      <c r="G215" s="542" t="str">
        <f>IFERROR(VLOOKUP(N215,'TABLA-DIA'!$B$2:$P$62,7,FALSE),"")</f>
        <v/>
      </c>
      <c r="H215" s="582" t="str">
        <f>IFERROR(VLOOKUP(N215,'TABLA-DIA'!$B$2:$P$62,10,FALSE),"")</f>
        <v/>
      </c>
      <c r="I215" s="548" t="str">
        <f>IFERROR(VLOOKUP(N215,'TABLA-DIA'!$B$2:$P$62,11,FALSE),"")</f>
        <v/>
      </c>
      <c r="J215" s="549" t="str">
        <f>IFERROR(VLOOKUP(N215,'TABLA-DIA'!$B$2:$P$62,12,FALSE),"")</f>
        <v/>
      </c>
      <c r="K215" s="557" t="str">
        <f>IFERROR(VLOOKUP(N215,'TABLA-DIA'!$B$2:$P$62,13,FALSE),"")</f>
        <v/>
      </c>
      <c r="L215" s="603" t="str">
        <f>IFERROR(IF(VLOOKUP(N215,'TABLA-DIA'!$B$2:$P$62,14,FALSE)="","",VLOOKUP(N215,'TABLA-DIA'!$B$2:$P$62,14,FALSE)),"")</f>
        <v/>
      </c>
      <c r="M215" s="590">
        <f t="shared" si="18"/>
        <v>6</v>
      </c>
      <c r="N215" s="125" t="str">
        <f t="shared" si="17"/>
        <v>COMEDOR-6</v>
      </c>
    </row>
    <row r="216" spans="2:15" ht="108.75" hidden="1" customHeight="1">
      <c r="B216" s="724"/>
      <c r="C216" s="564" t="str">
        <f>IFERROR(VLOOKUP(N216,'TABLA-DIA'!$B$2:$P$62,9,FALSE),"")</f>
        <v/>
      </c>
      <c r="D216" s="565" t="str">
        <f>IFERROR(VLOOKUP(N216,'TABLA-DIA'!$B$2:$P$62,4,FALSE),"")</f>
        <v/>
      </c>
      <c r="E216" s="566" t="str">
        <f>IFERROR(VLOOKUP(N216,'TABLA-DIA'!$B$2:$P$62,5,FALSE),"")</f>
        <v/>
      </c>
      <c r="F216" s="566" t="str">
        <f>IFERROR(VLOOKUP(N216,'TABLA-DIA'!$B$2:$P$62,6,FALSE),"")</f>
        <v/>
      </c>
      <c r="G216" s="542" t="str">
        <f>IFERROR(VLOOKUP(N216,'TABLA-DIA'!$B$2:$P$62,7,FALSE),"")</f>
        <v/>
      </c>
      <c r="H216" s="582" t="str">
        <f>IFERROR(VLOOKUP(N216,'TABLA-DIA'!$B$2:$P$62,10,FALSE),"")</f>
        <v/>
      </c>
      <c r="I216" s="548" t="str">
        <f>IFERROR(VLOOKUP(N216,'TABLA-DIA'!$B$2:$P$62,11,FALSE),"")</f>
        <v/>
      </c>
      <c r="J216" s="549" t="str">
        <f>IFERROR(VLOOKUP(N216,'TABLA-DIA'!$B$2:$P$62,12,FALSE),"")</f>
        <v/>
      </c>
      <c r="K216" s="557" t="str">
        <f>IFERROR(VLOOKUP(N216,'TABLA-DIA'!$B$2:$P$62,13,FALSE),"")</f>
        <v/>
      </c>
      <c r="L216" s="603" t="str">
        <f>IFERROR(IF(VLOOKUP(N216,'TABLA-DIA'!$B$2:$P$62,14,FALSE)="","",VLOOKUP(N216,'TABLA-DIA'!$B$2:$P$62,14,FALSE)),"")</f>
        <v/>
      </c>
      <c r="M216" s="590">
        <f t="shared" si="18"/>
        <v>7</v>
      </c>
      <c r="N216" s="125" t="str">
        <f t="shared" si="17"/>
        <v>COMEDOR-7</v>
      </c>
    </row>
    <row r="217" spans="2:15" ht="108.75" hidden="1" customHeight="1">
      <c r="B217" s="724"/>
      <c r="C217" s="564" t="str">
        <f>IFERROR(VLOOKUP(N217,'TABLA-DIA'!$B$2:$P$62,9,FALSE),"")</f>
        <v/>
      </c>
      <c r="D217" s="565" t="str">
        <f>IFERROR(VLOOKUP(N217,'TABLA-DIA'!$B$2:$P$62,4,FALSE),"")</f>
        <v/>
      </c>
      <c r="E217" s="566" t="str">
        <f>IFERROR(VLOOKUP(N217,'TABLA-DIA'!$B$2:$P$62,5,FALSE),"")</f>
        <v/>
      </c>
      <c r="F217" s="566" t="str">
        <f>IFERROR(VLOOKUP(N217,'TABLA-DIA'!$B$2:$P$62,6,FALSE),"")</f>
        <v/>
      </c>
      <c r="G217" s="542" t="str">
        <f>IFERROR(VLOOKUP(N217,'TABLA-DIA'!$B$2:$P$62,7,FALSE),"")</f>
        <v/>
      </c>
      <c r="H217" s="582" t="str">
        <f>IFERROR(VLOOKUP(N217,'TABLA-DIA'!$B$2:$P$62,10,FALSE),"")</f>
        <v/>
      </c>
      <c r="I217" s="548" t="str">
        <f>IFERROR(VLOOKUP(N217,'TABLA-DIA'!$B$2:$P$62,11,FALSE),"")</f>
        <v/>
      </c>
      <c r="J217" s="549" t="str">
        <f>IFERROR(VLOOKUP(N217,'TABLA-DIA'!$B$2:$P$62,12,FALSE),"")</f>
        <v/>
      </c>
      <c r="K217" s="557" t="str">
        <f>IFERROR(VLOOKUP(N217,'TABLA-DIA'!$B$2:$P$62,13,FALSE),"")</f>
        <v/>
      </c>
      <c r="L217" s="603" t="str">
        <f>IFERROR(IF(VLOOKUP(N217,'TABLA-DIA'!$B$2:$P$62,14,FALSE)="","",VLOOKUP(N217,'TABLA-DIA'!$B$2:$P$62,14,FALSE)),"")</f>
        <v/>
      </c>
      <c r="M217" s="590">
        <f t="shared" si="18"/>
        <v>8</v>
      </c>
      <c r="N217" s="125" t="str">
        <f t="shared" si="17"/>
        <v>COMEDOR-8</v>
      </c>
    </row>
    <row r="218" spans="2:15" ht="108.75" hidden="1" customHeight="1">
      <c r="B218" s="724"/>
      <c r="C218" s="564" t="str">
        <f>IFERROR(VLOOKUP(N218,'TABLA-DIA'!$B$2:$P$62,9,FALSE),"")</f>
        <v/>
      </c>
      <c r="D218" s="565" t="str">
        <f>IFERROR(VLOOKUP(N218,'TABLA-DIA'!$B$2:$P$62,4,FALSE),"")</f>
        <v/>
      </c>
      <c r="E218" s="566" t="str">
        <f>IFERROR(VLOOKUP(N218,'TABLA-DIA'!$B$2:$P$62,5,FALSE),"")</f>
        <v/>
      </c>
      <c r="F218" s="566" t="str">
        <f>IFERROR(VLOOKUP(N218,'TABLA-DIA'!$B$2:$P$62,6,FALSE),"")</f>
        <v/>
      </c>
      <c r="G218" s="542" t="str">
        <f>IFERROR(VLOOKUP(N218,'TABLA-DIA'!$B$2:$P$62,7,FALSE),"")</f>
        <v/>
      </c>
      <c r="H218" s="582" t="str">
        <f>IFERROR(VLOOKUP(N218,'TABLA-DIA'!$B$2:$P$62,10,FALSE),"")</f>
        <v/>
      </c>
      <c r="I218" s="548" t="str">
        <f>IFERROR(VLOOKUP(N218,'TABLA-DIA'!$B$2:$P$62,11,FALSE),"")</f>
        <v/>
      </c>
      <c r="J218" s="549" t="str">
        <f>IFERROR(VLOOKUP(N218,'TABLA-DIA'!$B$2:$P$62,12,FALSE),"")</f>
        <v/>
      </c>
      <c r="K218" s="557" t="str">
        <f>IFERROR(VLOOKUP(N218,'TABLA-DIA'!$B$2:$P$62,13,FALSE),"")</f>
        <v/>
      </c>
      <c r="L218" s="603" t="str">
        <f>IFERROR(IF(VLOOKUP(N218,'TABLA-DIA'!$B$2:$P$62,14,FALSE)="","",VLOOKUP(N218,'TABLA-DIA'!$B$2:$P$62,14,FALSE)),"")</f>
        <v/>
      </c>
      <c r="M218" s="590">
        <f t="shared" si="18"/>
        <v>9</v>
      </c>
      <c r="N218" s="125" t="str">
        <f t="shared" si="17"/>
        <v>COMEDOR-9</v>
      </c>
    </row>
    <row r="219" spans="2:15" ht="108.75" hidden="1" customHeight="1" thickBot="1">
      <c r="B219" s="726"/>
      <c r="C219" s="573" t="str">
        <f>IFERROR(VLOOKUP(N219,'TABLA-DIA'!$B$2:$P$62,9,FALSE),"")</f>
        <v/>
      </c>
      <c r="D219" s="574" t="str">
        <f>IFERROR(VLOOKUP(N219,'TABLA-DIA'!$B$2:$P$62,4,FALSE),"")</f>
        <v/>
      </c>
      <c r="E219" s="575" t="str">
        <f>IFERROR(VLOOKUP(N219,'TABLA-DIA'!$B$2:$P$62,5,FALSE),"")</f>
        <v/>
      </c>
      <c r="F219" s="575" t="str">
        <f>IFERROR(VLOOKUP(N219,'TABLA-DIA'!$B$2:$P$62,6,FALSE),"")</f>
        <v/>
      </c>
      <c r="G219" s="545" t="str">
        <f>IFERROR(VLOOKUP(N219,'TABLA-DIA'!$B$2:$P$62,7,FALSE),"")</f>
        <v/>
      </c>
      <c r="H219" s="585" t="str">
        <f>IFERROR(VLOOKUP(N219,'TABLA-DIA'!$B$2:$P$62,10,FALSE),"")</f>
        <v/>
      </c>
      <c r="I219" s="554" t="str">
        <f>IFERROR(VLOOKUP(N219,'TABLA-DIA'!$B$2:$P$62,11,FALSE),"")</f>
        <v/>
      </c>
      <c r="J219" s="555" t="str">
        <f>IFERROR(VLOOKUP(N219,'TABLA-DIA'!$B$2:$P$62,12,FALSE),"")</f>
        <v/>
      </c>
      <c r="K219" s="560" t="str">
        <f>IFERROR(VLOOKUP(N219,'TABLA-DIA'!$B$2:$P$62,13,FALSE),"")</f>
        <v/>
      </c>
      <c r="L219" s="606" t="str">
        <f>IFERROR(IF(VLOOKUP(N219,'TABLA-DIA'!$B$2:$P$62,14,FALSE)="","",VLOOKUP(N219,'TABLA-DIA'!$B$2:$P$62,14,FALSE)),"")</f>
        <v/>
      </c>
      <c r="M219" s="592">
        <f t="shared" si="18"/>
        <v>10</v>
      </c>
      <c r="N219" s="130" t="str">
        <f t="shared" si="17"/>
        <v>COMEDOR-10</v>
      </c>
    </row>
    <row r="220" spans="2:15" ht="95.25" customHeight="1" thickBot="1">
      <c r="B220" s="723" t="str">
        <f>+'TABLA-DIA'!B160</f>
        <v>CALDERO, CHRILLER Y COMPRESOR</v>
      </c>
      <c r="C220" s="569" t="str">
        <f>IFERROR(VLOOKUP(N220,'TABLA-DIA'!$B$2:$P$62,9,FALSE),"")</f>
        <v>Equipos auxiliares</v>
      </c>
      <c r="D220" s="570" t="str">
        <f>IFERROR(VLOOKUP(N220,'TABLA-DIA'!$B$2:$P$62,4,FALSE),"")</f>
        <v>TARDE</v>
      </c>
      <c r="E220" s="571" t="str">
        <f>IFERROR(VLOOKUP(N220,'TABLA-DIA'!$B$2:$P$62,5,FALSE),"")</f>
        <v>12:40</v>
      </c>
      <c r="F220" s="571" t="str">
        <f>IFERROR(VLOOKUP(N220,'TABLA-DIA'!$B$2:$P$62,6,FALSE),"")</f>
        <v>13:00</v>
      </c>
      <c r="G220" s="544">
        <f>IFERROR(VLOOKUP(N220,'TABLA-DIA'!$B$2:$P$62,7,FALSE),"")</f>
        <v>1.388888888888884E-2</v>
      </c>
      <c r="H220" s="584" t="str">
        <f>IFERROR(VLOOKUP(N220,'TABLA-DIA'!$B$2:$P$62,10,FALSE),"")</f>
        <v>Inspección</v>
      </c>
      <c r="I220" s="552" t="str">
        <f>IFERROR(VLOOKUP(N220,'TABLA-DIA'!$B$2:$P$62,11,FALSE),"")</f>
        <v>PROGRAMADA</v>
      </c>
      <c r="J220" s="553">
        <f>IFERROR(VLOOKUP(N220,'TABLA-DIA'!$B$2:$P$62,12,FALSE),"")</f>
        <v>0</v>
      </c>
      <c r="K220" s="559" t="str">
        <f>IFERROR(VLOOKUP(N220,'TABLA-DIA'!$B$2:$P$62,13,FALSE),"")</f>
        <v xml:space="preserve">Se realiza inspección de equipos y parámetros </v>
      </c>
      <c r="L220" s="605" t="str">
        <f>IFERROR(IF(VLOOKUP(N220,'TABLA-DIA'!$B$2:$P$62,14,FALSE)="","",VLOOKUP(N220,'TABLA-DIA'!$B$2:$P$62,14,FALSE)),"")</f>
        <v/>
      </c>
      <c r="M220" s="589">
        <v>1</v>
      </c>
      <c r="N220" s="98" t="str">
        <f t="shared" ref="N220:N229" si="19">CONCATENATE($B$220,"-",M220)</f>
        <v>CALDERO, CHRILLER Y COMPRESOR-1</v>
      </c>
      <c r="O220" s="91">
        <f>COUNTIF(G220:G229,"&lt;&gt;**")</f>
        <v>1</v>
      </c>
    </row>
    <row r="221" spans="2:15" ht="67.150000000000006" hidden="1" customHeight="1" thickBot="1">
      <c r="B221" s="724"/>
      <c r="C221" s="564" t="str">
        <f>IFERROR(VLOOKUP(N221,'TABLA-DIA'!$B$2:$P$62,9,FALSE),"")</f>
        <v/>
      </c>
      <c r="D221" s="565" t="str">
        <f>IFERROR(VLOOKUP(N221,'TABLA-DIA'!$B$2:$P$62,4,FALSE),"")</f>
        <v/>
      </c>
      <c r="E221" s="566" t="str">
        <f>IFERROR(VLOOKUP(N221,'TABLA-DIA'!$B$2:$P$62,5,FALSE),"")</f>
        <v/>
      </c>
      <c r="F221" s="566" t="str">
        <f>IFERROR(VLOOKUP(N221,'TABLA-DIA'!$B$2:$P$62,6,FALSE),"")</f>
        <v/>
      </c>
      <c r="G221" s="542" t="str">
        <f>IFERROR(VLOOKUP(N221,'TABLA-DIA'!$B$2:$P$62,7,FALSE),"")</f>
        <v/>
      </c>
      <c r="H221" s="582" t="str">
        <f>IFERROR(VLOOKUP(N221,'TABLA-DIA'!$B$2:$P$62,10,FALSE),"")</f>
        <v/>
      </c>
      <c r="I221" s="548" t="str">
        <f>IFERROR(VLOOKUP(N221,'TABLA-DIA'!$B$2:$P$62,11,FALSE),"")</f>
        <v/>
      </c>
      <c r="J221" s="549" t="str">
        <f>IFERROR(VLOOKUP(N221,'TABLA-DIA'!$B$2:$P$62,12,FALSE),"")</f>
        <v/>
      </c>
      <c r="K221" s="557" t="str">
        <f>IFERROR(VLOOKUP(N221,'TABLA-DIA'!$B$2:$P$62,13,FALSE),"")</f>
        <v/>
      </c>
      <c r="L221" s="603" t="str">
        <f>IFERROR(IF(VLOOKUP(N221,'TABLA-DIA'!$B$2:$P$62,14,FALSE)="","",VLOOKUP(N221,'TABLA-DIA'!$B$2:$P$62,14,FALSE)),"")</f>
        <v/>
      </c>
      <c r="M221" s="590">
        <f t="shared" ref="M221:M229" si="20">+M220+1</f>
        <v>2</v>
      </c>
      <c r="N221" s="125" t="str">
        <f t="shared" si="19"/>
        <v>CALDERO, CHRILLER Y COMPRESOR-2</v>
      </c>
    </row>
    <row r="222" spans="2:15" ht="67.150000000000006" hidden="1" customHeight="1">
      <c r="B222" s="724"/>
      <c r="C222" s="564" t="str">
        <f>IFERROR(VLOOKUP(N222,'TABLA-DIA'!$B$2:$P$62,9,FALSE),"")</f>
        <v/>
      </c>
      <c r="D222" s="565" t="str">
        <f>IFERROR(VLOOKUP(N222,'TABLA-DIA'!$B$2:$P$62,4,FALSE),"")</f>
        <v/>
      </c>
      <c r="E222" s="566" t="str">
        <f>IFERROR(VLOOKUP(N222,'TABLA-DIA'!$B$2:$P$62,5,FALSE),"")</f>
        <v/>
      </c>
      <c r="F222" s="566" t="str">
        <f>IFERROR(VLOOKUP(N222,'TABLA-DIA'!$B$2:$P$62,6,FALSE),"")</f>
        <v/>
      </c>
      <c r="G222" s="542" t="str">
        <f>IFERROR(VLOOKUP(N222,'TABLA-DIA'!$B$2:$P$62,7,FALSE),"")</f>
        <v/>
      </c>
      <c r="H222" s="582" t="str">
        <f>IFERROR(VLOOKUP(N222,'TABLA-DIA'!$B$2:$P$62,10,FALSE),"")</f>
        <v/>
      </c>
      <c r="I222" s="548" t="str">
        <f>IFERROR(VLOOKUP(N222,'TABLA-DIA'!$B$2:$P$62,11,FALSE),"")</f>
        <v/>
      </c>
      <c r="J222" s="549" t="str">
        <f>IFERROR(VLOOKUP(N222,'TABLA-DIA'!$B$2:$P$62,12,FALSE),"")</f>
        <v/>
      </c>
      <c r="K222" s="557" t="str">
        <f>IFERROR(VLOOKUP(N222,'TABLA-DIA'!$B$2:$P$62,13,FALSE),"")</f>
        <v/>
      </c>
      <c r="L222" s="603" t="str">
        <f>IFERROR(IF(VLOOKUP(N222,'TABLA-DIA'!$B$2:$P$62,14,FALSE)="","",VLOOKUP(N222,'TABLA-DIA'!$B$2:$P$62,14,FALSE)),"")</f>
        <v/>
      </c>
      <c r="M222" s="590">
        <f t="shared" si="20"/>
        <v>3</v>
      </c>
      <c r="N222" s="125" t="str">
        <f t="shared" si="19"/>
        <v>CALDERO, CHRILLER Y COMPRESOR-3</v>
      </c>
    </row>
    <row r="223" spans="2:15" ht="67.150000000000006" hidden="1" customHeight="1">
      <c r="B223" s="724"/>
      <c r="C223" s="564" t="str">
        <f>IFERROR(VLOOKUP(N223,'TABLA-DIA'!$B$2:$P$62,9,FALSE),"")</f>
        <v/>
      </c>
      <c r="D223" s="565" t="str">
        <f>IFERROR(VLOOKUP(N223,'TABLA-DIA'!$B$2:$P$62,4,FALSE),"")</f>
        <v/>
      </c>
      <c r="E223" s="566" t="str">
        <f>IFERROR(VLOOKUP(N223,'TABLA-DIA'!$B$2:$P$62,5,FALSE),"")</f>
        <v/>
      </c>
      <c r="F223" s="566" t="str">
        <f>IFERROR(VLOOKUP(N223,'TABLA-DIA'!$B$2:$P$62,6,FALSE),"")</f>
        <v/>
      </c>
      <c r="G223" s="542" t="str">
        <f>IFERROR(VLOOKUP(N223,'TABLA-DIA'!$B$2:$P$62,7,FALSE),"")</f>
        <v/>
      </c>
      <c r="H223" s="582" t="str">
        <f>IFERROR(VLOOKUP(N223,'TABLA-DIA'!$B$2:$P$62,10,FALSE),"")</f>
        <v/>
      </c>
      <c r="I223" s="548" t="str">
        <f>IFERROR(VLOOKUP(N223,'TABLA-DIA'!$B$2:$P$62,11,FALSE),"")</f>
        <v/>
      </c>
      <c r="J223" s="549" t="str">
        <f>IFERROR(VLOOKUP(N223,'TABLA-DIA'!$B$2:$P$62,12,FALSE),"")</f>
        <v/>
      </c>
      <c r="K223" s="557" t="str">
        <f>IFERROR(VLOOKUP(N223,'TABLA-DIA'!$B$2:$P$62,13,FALSE),"")</f>
        <v/>
      </c>
      <c r="L223" s="603" t="str">
        <f>IFERROR(IF(VLOOKUP(N223,'TABLA-DIA'!$B$2:$P$62,14,FALSE)="","",VLOOKUP(N223,'TABLA-DIA'!$B$2:$P$62,14,FALSE)),"")</f>
        <v/>
      </c>
      <c r="M223" s="590">
        <f t="shared" si="20"/>
        <v>4</v>
      </c>
      <c r="N223" s="125" t="str">
        <f t="shared" si="19"/>
        <v>CALDERO, CHRILLER Y COMPRESOR-4</v>
      </c>
    </row>
    <row r="224" spans="2:15" ht="67.150000000000006" hidden="1" customHeight="1">
      <c r="B224" s="724"/>
      <c r="C224" s="564" t="str">
        <f>IFERROR(VLOOKUP(N224,'TABLA-DIA'!$B$2:$P$62,9,FALSE),"")</f>
        <v/>
      </c>
      <c r="D224" s="565" t="str">
        <f>IFERROR(VLOOKUP(N224,'TABLA-DIA'!$B$2:$P$62,4,FALSE),"")</f>
        <v/>
      </c>
      <c r="E224" s="566" t="str">
        <f>IFERROR(VLOOKUP(N224,'TABLA-DIA'!$B$2:$P$62,5,FALSE),"")</f>
        <v/>
      </c>
      <c r="F224" s="566" t="str">
        <f>IFERROR(VLOOKUP(N224,'TABLA-DIA'!$B$2:$P$62,6,FALSE),"")</f>
        <v/>
      </c>
      <c r="G224" s="542" t="str">
        <f>IFERROR(VLOOKUP(N224,'TABLA-DIA'!$B$2:$P$62,7,FALSE),"")</f>
        <v/>
      </c>
      <c r="H224" s="582" t="str">
        <f>IFERROR(VLOOKUP(N224,'TABLA-DIA'!$B$2:$P$62,10,FALSE),"")</f>
        <v/>
      </c>
      <c r="I224" s="548" t="str">
        <f>IFERROR(VLOOKUP(N224,'TABLA-DIA'!$B$2:$P$62,11,FALSE),"")</f>
        <v/>
      </c>
      <c r="J224" s="549" t="str">
        <f>IFERROR(VLOOKUP(N224,'TABLA-DIA'!$B$2:$P$62,12,FALSE),"")</f>
        <v/>
      </c>
      <c r="K224" s="557" t="str">
        <f>IFERROR(VLOOKUP(N224,'TABLA-DIA'!$B$2:$P$62,13,FALSE),"")</f>
        <v/>
      </c>
      <c r="L224" s="603" t="str">
        <f>IFERROR(IF(VLOOKUP(N224,'TABLA-DIA'!$B$2:$P$62,14,FALSE)="","",VLOOKUP(N224,'TABLA-DIA'!$B$2:$P$62,14,FALSE)),"")</f>
        <v/>
      </c>
      <c r="M224" s="590">
        <f t="shared" si="20"/>
        <v>5</v>
      </c>
      <c r="N224" s="125" t="str">
        <f t="shared" si="19"/>
        <v>CALDERO, CHRILLER Y COMPRESOR-5</v>
      </c>
    </row>
    <row r="225" spans="2:15" ht="67.150000000000006" hidden="1" customHeight="1">
      <c r="B225" s="724"/>
      <c r="C225" s="564" t="str">
        <f>IFERROR(VLOOKUP(N225,'TABLA-DIA'!$B$2:$P$62,9,FALSE),"")</f>
        <v/>
      </c>
      <c r="D225" s="565" t="str">
        <f>IFERROR(VLOOKUP(N225,'TABLA-DIA'!$B$2:$P$62,4,FALSE),"")</f>
        <v/>
      </c>
      <c r="E225" s="566" t="str">
        <f>IFERROR(VLOOKUP(N225,'TABLA-DIA'!$B$2:$P$62,5,FALSE),"")</f>
        <v/>
      </c>
      <c r="F225" s="566" t="str">
        <f>IFERROR(VLOOKUP(N225,'TABLA-DIA'!$B$2:$P$62,6,FALSE),"")</f>
        <v/>
      </c>
      <c r="G225" s="542" t="str">
        <f>IFERROR(VLOOKUP(N225,'TABLA-DIA'!$B$2:$P$62,7,FALSE),"")</f>
        <v/>
      </c>
      <c r="H225" s="582" t="str">
        <f>IFERROR(VLOOKUP(N225,'TABLA-DIA'!$B$2:$P$62,10,FALSE),"")</f>
        <v/>
      </c>
      <c r="I225" s="548" t="str">
        <f>IFERROR(VLOOKUP(N225,'TABLA-DIA'!$B$2:$P$62,11,FALSE),"")</f>
        <v/>
      </c>
      <c r="J225" s="549" t="str">
        <f>IFERROR(VLOOKUP(N225,'TABLA-DIA'!$B$2:$P$62,12,FALSE),"")</f>
        <v/>
      </c>
      <c r="K225" s="557" t="str">
        <f>IFERROR(VLOOKUP(N225,'TABLA-DIA'!$B$2:$P$62,13,FALSE),"")</f>
        <v/>
      </c>
      <c r="L225" s="603" t="str">
        <f>IFERROR(IF(VLOOKUP(N225,'TABLA-DIA'!$B$2:$P$62,14,FALSE)="","",VLOOKUP(N225,'TABLA-DIA'!$B$2:$P$62,14,FALSE)),"")</f>
        <v/>
      </c>
      <c r="M225" s="590">
        <f t="shared" si="20"/>
        <v>6</v>
      </c>
      <c r="N225" s="125" t="str">
        <f t="shared" si="19"/>
        <v>CALDERO, CHRILLER Y COMPRESOR-6</v>
      </c>
    </row>
    <row r="226" spans="2:15" ht="67.150000000000006" hidden="1" customHeight="1">
      <c r="B226" s="724"/>
      <c r="C226" s="564" t="str">
        <f>IFERROR(VLOOKUP(N226,'TABLA-DIA'!$B$2:$P$62,9,FALSE),"")</f>
        <v/>
      </c>
      <c r="D226" s="565" t="str">
        <f>IFERROR(VLOOKUP(N226,'TABLA-DIA'!$B$2:$P$62,4,FALSE),"")</f>
        <v/>
      </c>
      <c r="E226" s="566" t="str">
        <f>IFERROR(VLOOKUP(N226,'TABLA-DIA'!$B$2:$P$62,5,FALSE),"")</f>
        <v/>
      </c>
      <c r="F226" s="566" t="str">
        <f>IFERROR(VLOOKUP(N226,'TABLA-DIA'!$B$2:$P$62,6,FALSE),"")</f>
        <v/>
      </c>
      <c r="G226" s="542" t="str">
        <f>IFERROR(VLOOKUP(N226,'TABLA-DIA'!$B$2:$P$62,7,FALSE),"")</f>
        <v/>
      </c>
      <c r="H226" s="582" t="str">
        <f>IFERROR(VLOOKUP(N226,'TABLA-DIA'!$B$2:$P$62,10,FALSE),"")</f>
        <v/>
      </c>
      <c r="I226" s="548" t="str">
        <f>IFERROR(VLOOKUP(N226,'TABLA-DIA'!$B$2:$P$62,11,FALSE),"")</f>
        <v/>
      </c>
      <c r="J226" s="549" t="str">
        <f>IFERROR(VLOOKUP(N226,'TABLA-DIA'!$B$2:$P$62,12,FALSE),"")</f>
        <v/>
      </c>
      <c r="K226" s="557" t="str">
        <f>IFERROR(VLOOKUP(N226,'TABLA-DIA'!$B$2:$P$62,13,FALSE),"")</f>
        <v/>
      </c>
      <c r="L226" s="603" t="str">
        <f>IFERROR(IF(VLOOKUP(N226,'TABLA-DIA'!$B$2:$P$62,14,FALSE)="","",VLOOKUP(N226,'TABLA-DIA'!$B$2:$P$62,14,FALSE)),"")</f>
        <v/>
      </c>
      <c r="M226" s="590">
        <f t="shared" si="20"/>
        <v>7</v>
      </c>
      <c r="N226" s="125" t="str">
        <f t="shared" si="19"/>
        <v>CALDERO, CHRILLER Y COMPRESOR-7</v>
      </c>
    </row>
    <row r="227" spans="2:15" ht="67.150000000000006" hidden="1" customHeight="1">
      <c r="B227" s="724"/>
      <c r="C227" s="564" t="str">
        <f>IFERROR(VLOOKUP(N227,'TABLA-DIA'!$B$2:$P$62,9,FALSE),"")</f>
        <v/>
      </c>
      <c r="D227" s="565" t="str">
        <f>IFERROR(VLOOKUP(N227,'TABLA-DIA'!$B$2:$P$62,4,FALSE),"")</f>
        <v/>
      </c>
      <c r="E227" s="566" t="str">
        <f>IFERROR(VLOOKUP(N227,'TABLA-DIA'!$B$2:$P$62,5,FALSE),"")</f>
        <v/>
      </c>
      <c r="F227" s="566" t="str">
        <f>IFERROR(VLOOKUP(N227,'TABLA-DIA'!$B$2:$P$62,6,FALSE),"")</f>
        <v/>
      </c>
      <c r="G227" s="542" t="str">
        <f>IFERROR(VLOOKUP(N227,'TABLA-DIA'!$B$2:$P$62,7,FALSE),"")</f>
        <v/>
      </c>
      <c r="H227" s="582" t="str">
        <f>IFERROR(VLOOKUP(N227,'TABLA-DIA'!$B$2:$P$62,10,FALSE),"")</f>
        <v/>
      </c>
      <c r="I227" s="548" t="str">
        <f>IFERROR(VLOOKUP(N227,'TABLA-DIA'!$B$2:$P$62,11,FALSE),"")</f>
        <v/>
      </c>
      <c r="J227" s="549" t="str">
        <f>IFERROR(VLOOKUP(N227,'TABLA-DIA'!$B$2:$P$62,12,FALSE),"")</f>
        <v/>
      </c>
      <c r="K227" s="557" t="str">
        <f>IFERROR(VLOOKUP(N227,'TABLA-DIA'!$B$2:$P$62,13,FALSE),"")</f>
        <v/>
      </c>
      <c r="L227" s="603" t="str">
        <f>IFERROR(IF(VLOOKUP(N227,'TABLA-DIA'!$B$2:$P$62,14,FALSE)="","",VLOOKUP(N227,'TABLA-DIA'!$B$2:$P$62,14,FALSE)),"")</f>
        <v/>
      </c>
      <c r="M227" s="590">
        <f t="shared" si="20"/>
        <v>8</v>
      </c>
      <c r="N227" s="125" t="str">
        <f t="shared" si="19"/>
        <v>CALDERO, CHRILLER Y COMPRESOR-8</v>
      </c>
    </row>
    <row r="228" spans="2:15" ht="67.150000000000006" hidden="1" customHeight="1">
      <c r="B228" s="724"/>
      <c r="C228" s="564" t="str">
        <f>IFERROR(VLOOKUP(N228,'TABLA-DIA'!$B$2:$P$62,9,FALSE),"")</f>
        <v/>
      </c>
      <c r="D228" s="565" t="str">
        <f>IFERROR(VLOOKUP(N228,'TABLA-DIA'!$B$2:$P$62,4,FALSE),"")</f>
        <v/>
      </c>
      <c r="E228" s="566" t="str">
        <f>IFERROR(VLOOKUP(N228,'TABLA-DIA'!$B$2:$P$62,5,FALSE),"")</f>
        <v/>
      </c>
      <c r="F228" s="566" t="str">
        <f>IFERROR(VLOOKUP(N228,'TABLA-DIA'!$B$2:$P$62,6,FALSE),"")</f>
        <v/>
      </c>
      <c r="G228" s="542" t="str">
        <f>IFERROR(VLOOKUP(N228,'TABLA-DIA'!$B$2:$P$62,7,FALSE),"")</f>
        <v/>
      </c>
      <c r="H228" s="582" t="str">
        <f>IFERROR(VLOOKUP(N228,'TABLA-DIA'!$B$2:$P$62,10,FALSE),"")</f>
        <v/>
      </c>
      <c r="I228" s="548" t="str">
        <f>IFERROR(VLOOKUP(N228,'TABLA-DIA'!$B$2:$P$62,11,FALSE),"")</f>
        <v/>
      </c>
      <c r="J228" s="549" t="str">
        <f>IFERROR(VLOOKUP(N228,'TABLA-DIA'!$B$2:$P$62,12,FALSE),"")</f>
        <v/>
      </c>
      <c r="K228" s="557" t="str">
        <f>IFERROR(VLOOKUP(N228,'TABLA-DIA'!$B$2:$P$62,13,FALSE),"")</f>
        <v/>
      </c>
      <c r="L228" s="603" t="str">
        <f>IFERROR(IF(VLOOKUP(N228,'TABLA-DIA'!$B$2:$P$62,14,FALSE)="","",VLOOKUP(N228,'TABLA-DIA'!$B$2:$P$62,14,FALSE)),"")</f>
        <v/>
      </c>
      <c r="M228" s="590">
        <f t="shared" si="20"/>
        <v>9</v>
      </c>
      <c r="N228" s="125" t="str">
        <f t="shared" si="19"/>
        <v>CALDERO, CHRILLER Y COMPRESOR-9</v>
      </c>
    </row>
    <row r="229" spans="2:15" ht="67.150000000000006" hidden="1" customHeight="1" thickBot="1">
      <c r="B229" s="726"/>
      <c r="C229" s="573" t="str">
        <f>IFERROR(VLOOKUP(N229,'TABLA-DIA'!$B$2:$P$62,9,FALSE),"")</f>
        <v/>
      </c>
      <c r="D229" s="574" t="str">
        <f>IFERROR(VLOOKUP(N229,'TABLA-DIA'!$B$2:$P$62,4,FALSE),"")</f>
        <v/>
      </c>
      <c r="E229" s="575" t="str">
        <f>IFERROR(VLOOKUP(N229,'TABLA-DIA'!$B$2:$P$62,5,FALSE),"")</f>
        <v/>
      </c>
      <c r="F229" s="575" t="str">
        <f>IFERROR(VLOOKUP(N229,'TABLA-DIA'!$B$2:$P$62,6,FALSE),"")</f>
        <v/>
      </c>
      <c r="G229" s="545" t="str">
        <f>IFERROR(VLOOKUP(N229,'TABLA-DIA'!$B$2:$P$62,7,FALSE),"")</f>
        <v/>
      </c>
      <c r="H229" s="585" t="str">
        <f>IFERROR(VLOOKUP(N229,'TABLA-DIA'!$B$2:$P$62,10,FALSE),"")</f>
        <v/>
      </c>
      <c r="I229" s="554" t="str">
        <f>IFERROR(VLOOKUP(N229,'TABLA-DIA'!$B$2:$P$62,11,FALSE),"")</f>
        <v/>
      </c>
      <c r="J229" s="555" t="str">
        <f>IFERROR(VLOOKUP(N229,'TABLA-DIA'!$B$2:$P$62,12,FALSE),"")</f>
        <v/>
      </c>
      <c r="K229" s="560" t="str">
        <f>IFERROR(VLOOKUP(N229,'TABLA-DIA'!$B$2:$P$62,13,FALSE),"")</f>
        <v/>
      </c>
      <c r="L229" s="606" t="str">
        <f>IFERROR(IF(VLOOKUP(N229,'TABLA-DIA'!$B$2:$P$62,14,FALSE)="","",VLOOKUP(N229,'TABLA-DIA'!$B$2:$P$62,14,FALSE)),"")</f>
        <v/>
      </c>
      <c r="M229" s="592">
        <f t="shared" si="20"/>
        <v>10</v>
      </c>
      <c r="N229" s="130" t="str">
        <f t="shared" si="19"/>
        <v>CALDERO, CHRILLER Y COMPRESOR-10</v>
      </c>
    </row>
    <row r="230" spans="2:15" ht="96" customHeight="1" thickBot="1">
      <c r="B230" s="723" t="str">
        <f>+'TABLA-DIA'!B161</f>
        <v>BARQUILLERA FRANZ HAAZ</v>
      </c>
      <c r="C230" s="569" t="str">
        <f>IFERROR(VLOOKUP(N230,'TABLA-DIA'!$B$2:$P$62,9,FALSE),"")</f>
        <v/>
      </c>
      <c r="D230" s="570" t="str">
        <f>IFERROR(VLOOKUP(N230,'TABLA-DIA'!$B$2:$P$62,4,FALSE),"")</f>
        <v/>
      </c>
      <c r="E230" s="571" t="str">
        <f>IFERROR(VLOOKUP(N230,'TABLA-DIA'!$B$2:$P$62,5,FALSE),"")</f>
        <v/>
      </c>
      <c r="F230" s="571" t="str">
        <f>IFERROR(VLOOKUP(N230,'TABLA-DIA'!$B$2:$P$62,6,FALSE),"")</f>
        <v/>
      </c>
      <c r="G230" s="544" t="str">
        <f>IFERROR(VLOOKUP(N230,'TABLA-DIA'!$B$2:$P$62,7,FALSE),"")</f>
        <v/>
      </c>
      <c r="H230" s="584" t="str">
        <f>IFERROR(VLOOKUP(N230,'TABLA-DIA'!$B$2:$P$62,10,FALSE),"")</f>
        <v/>
      </c>
      <c r="I230" s="552" t="str">
        <f>IFERROR(VLOOKUP(N230,'TABLA-DIA'!$B$2:$P$62,11,FALSE),"")</f>
        <v/>
      </c>
      <c r="J230" s="553" t="str">
        <f>IFERROR(VLOOKUP(N230,'TABLA-DIA'!$B$2:$P$62,12,FALSE),"")</f>
        <v/>
      </c>
      <c r="K230" s="559" t="str">
        <f>IFERROR(VLOOKUP(N230,'TABLA-DIA'!$B$2:$P$62,13,FALSE),"")</f>
        <v/>
      </c>
      <c r="L230" s="605" t="str">
        <f>IFERROR(IF(VLOOKUP(N230,'TABLA-DIA'!$B$2:$P$62,14,FALSE)="","",VLOOKUP(N230,'TABLA-DIA'!$B$2:$P$62,14,FALSE)),"")</f>
        <v/>
      </c>
      <c r="M230" s="589">
        <v>1</v>
      </c>
      <c r="N230" s="98" t="str">
        <f t="shared" ref="N230:N239" si="21">CONCATENATE($B$230,"-",M230)</f>
        <v>BARQUILLERA FRANZ HAAZ-1</v>
      </c>
      <c r="O230" s="91">
        <f>COUNTIF(G230:G238,"&lt;&gt;**")</f>
        <v>0</v>
      </c>
    </row>
    <row r="231" spans="2:15" ht="67.150000000000006" hidden="1" customHeight="1" thickBot="1">
      <c r="B231" s="724"/>
      <c r="C231" s="564" t="str">
        <f>IFERROR(VLOOKUP(N231,'TABLA-DIA'!$B$2:$P$62,9,FALSE),"")</f>
        <v/>
      </c>
      <c r="D231" s="565" t="str">
        <f>IFERROR(VLOOKUP(N231,'TABLA-DIA'!$B$2:$P$62,4,FALSE),"")</f>
        <v/>
      </c>
      <c r="E231" s="566" t="str">
        <f>IFERROR(VLOOKUP(N231,'TABLA-DIA'!$B$2:$P$62,5,FALSE),"")</f>
        <v/>
      </c>
      <c r="F231" s="566" t="str">
        <f>IFERROR(VLOOKUP(N231,'TABLA-DIA'!$B$2:$P$62,6,FALSE),"")</f>
        <v/>
      </c>
      <c r="G231" s="542" t="str">
        <f>IFERROR(VLOOKUP(N231,'TABLA-DIA'!$B$2:$P$62,7,FALSE),"")</f>
        <v/>
      </c>
      <c r="H231" s="582" t="str">
        <f>IFERROR(VLOOKUP(N231,'TABLA-DIA'!$B$2:$P$62,10,FALSE),"")</f>
        <v/>
      </c>
      <c r="I231" s="548" t="str">
        <f>IFERROR(VLOOKUP(N231,'TABLA-DIA'!$B$2:$P$62,11,FALSE),"")</f>
        <v/>
      </c>
      <c r="J231" s="549" t="str">
        <f>IFERROR(VLOOKUP(N231,'TABLA-DIA'!$B$2:$P$62,12,FALSE),"")</f>
        <v/>
      </c>
      <c r="K231" s="557" t="str">
        <f>IFERROR(VLOOKUP(N231,'TABLA-DIA'!$B$2:$P$62,13,FALSE),"")</f>
        <v/>
      </c>
      <c r="L231" s="603" t="str">
        <f>IFERROR(IF(VLOOKUP(N231,'TABLA-DIA'!$B$2:$P$62,14,FALSE)="","",VLOOKUP(N231,'TABLA-DIA'!$B$2:$P$62,14,FALSE)),"")</f>
        <v/>
      </c>
      <c r="M231" s="590">
        <f t="shared" ref="M231:M239" si="22">+M230+1</f>
        <v>2</v>
      </c>
      <c r="N231" s="125" t="str">
        <f t="shared" si="21"/>
        <v>BARQUILLERA FRANZ HAAZ-2</v>
      </c>
    </row>
    <row r="232" spans="2:15" ht="67.150000000000006" hidden="1" customHeight="1">
      <c r="B232" s="724"/>
      <c r="C232" s="564" t="str">
        <f>IFERROR(VLOOKUP(N232,'TABLA-DIA'!$B$2:$P$62,9,FALSE),"")</f>
        <v/>
      </c>
      <c r="D232" s="565" t="str">
        <f>IFERROR(VLOOKUP(N232,'TABLA-DIA'!$B$2:$P$62,4,FALSE),"")</f>
        <v/>
      </c>
      <c r="E232" s="566" t="str">
        <f>IFERROR(VLOOKUP(N232,'TABLA-DIA'!$B$2:$P$62,5,FALSE),"")</f>
        <v/>
      </c>
      <c r="F232" s="566" t="str">
        <f>IFERROR(VLOOKUP(N232,'TABLA-DIA'!$B$2:$P$62,6,FALSE),"")</f>
        <v/>
      </c>
      <c r="G232" s="542" t="str">
        <f>IFERROR(VLOOKUP(N232,'TABLA-DIA'!$B$2:$P$62,7,FALSE),"")</f>
        <v/>
      </c>
      <c r="H232" s="582" t="str">
        <f>IFERROR(VLOOKUP(N232,'TABLA-DIA'!$B$2:$P$62,10,FALSE),"")</f>
        <v/>
      </c>
      <c r="I232" s="548" t="str">
        <f>IFERROR(VLOOKUP(N232,'TABLA-DIA'!$B$2:$P$62,11,FALSE),"")</f>
        <v/>
      </c>
      <c r="J232" s="549" t="str">
        <f>IFERROR(VLOOKUP(N232,'TABLA-DIA'!$B$2:$P$62,12,FALSE),"")</f>
        <v/>
      </c>
      <c r="K232" s="557" t="str">
        <f>IFERROR(VLOOKUP(N232,'TABLA-DIA'!$B$2:$P$62,13,FALSE),"")</f>
        <v/>
      </c>
      <c r="L232" s="603" t="str">
        <f>IFERROR(IF(VLOOKUP(N232,'TABLA-DIA'!$B$2:$P$62,14,FALSE)="","",VLOOKUP(N232,'TABLA-DIA'!$B$2:$P$62,14,FALSE)),"")</f>
        <v/>
      </c>
      <c r="M232" s="590">
        <f t="shared" si="22"/>
        <v>3</v>
      </c>
      <c r="N232" s="125" t="str">
        <f t="shared" si="21"/>
        <v>BARQUILLERA FRANZ HAAZ-3</v>
      </c>
    </row>
    <row r="233" spans="2:15" ht="67.150000000000006" hidden="1" customHeight="1">
      <c r="B233" s="724"/>
      <c r="C233" s="564" t="str">
        <f>IFERROR(VLOOKUP(N233,'TABLA-DIA'!$B$2:$P$62,9,FALSE),"")</f>
        <v/>
      </c>
      <c r="D233" s="565" t="str">
        <f>IFERROR(VLOOKUP(N233,'TABLA-DIA'!$B$2:$P$62,4,FALSE),"")</f>
        <v/>
      </c>
      <c r="E233" s="566" t="str">
        <f>IFERROR(VLOOKUP(N233,'TABLA-DIA'!$B$2:$P$62,5,FALSE),"")</f>
        <v/>
      </c>
      <c r="F233" s="566" t="str">
        <f>IFERROR(VLOOKUP(N233,'TABLA-DIA'!$B$2:$P$62,6,FALSE),"")</f>
        <v/>
      </c>
      <c r="G233" s="542" t="str">
        <f>IFERROR(VLOOKUP(N233,'TABLA-DIA'!$B$2:$P$62,7,FALSE),"")</f>
        <v/>
      </c>
      <c r="H233" s="582" t="str">
        <f>IFERROR(VLOOKUP(N233,'TABLA-DIA'!$B$2:$P$62,10,FALSE),"")</f>
        <v/>
      </c>
      <c r="I233" s="548" t="str">
        <f>IFERROR(VLOOKUP(N233,'TABLA-DIA'!$B$2:$P$62,11,FALSE),"")</f>
        <v/>
      </c>
      <c r="J233" s="549" t="str">
        <f>IFERROR(VLOOKUP(N233,'TABLA-DIA'!$B$2:$P$62,12,FALSE),"")</f>
        <v/>
      </c>
      <c r="K233" s="557" t="str">
        <f>IFERROR(VLOOKUP(N233,'TABLA-DIA'!$B$2:$P$62,13,FALSE),"")</f>
        <v/>
      </c>
      <c r="L233" s="603" t="str">
        <f>IFERROR(IF(VLOOKUP(N233,'TABLA-DIA'!$B$2:$P$62,14,FALSE)="","",VLOOKUP(N233,'TABLA-DIA'!$B$2:$P$62,14,FALSE)),"")</f>
        <v/>
      </c>
      <c r="M233" s="590">
        <f t="shared" si="22"/>
        <v>4</v>
      </c>
      <c r="N233" s="125" t="str">
        <f t="shared" si="21"/>
        <v>BARQUILLERA FRANZ HAAZ-4</v>
      </c>
    </row>
    <row r="234" spans="2:15" ht="67.150000000000006" hidden="1" customHeight="1">
      <c r="B234" s="724"/>
      <c r="C234" s="564" t="str">
        <f>IFERROR(VLOOKUP(N234,'TABLA-DIA'!$B$2:$P$62,9,FALSE),"")</f>
        <v/>
      </c>
      <c r="D234" s="565" t="str">
        <f>IFERROR(VLOOKUP(N234,'TABLA-DIA'!$B$2:$P$62,4,FALSE),"")</f>
        <v/>
      </c>
      <c r="E234" s="566" t="str">
        <f>IFERROR(VLOOKUP(N234,'TABLA-DIA'!$B$2:$P$62,5,FALSE),"")</f>
        <v/>
      </c>
      <c r="F234" s="566" t="str">
        <f>IFERROR(VLOOKUP(N234,'TABLA-DIA'!$B$2:$P$62,6,FALSE),"")</f>
        <v/>
      </c>
      <c r="G234" s="542" t="str">
        <f>IFERROR(VLOOKUP(N234,'TABLA-DIA'!$B$2:$P$62,7,FALSE),"")</f>
        <v/>
      </c>
      <c r="H234" s="582" t="str">
        <f>IFERROR(VLOOKUP(N234,'TABLA-DIA'!$B$2:$P$62,10,FALSE),"")</f>
        <v/>
      </c>
      <c r="I234" s="548" t="str">
        <f>IFERROR(VLOOKUP(N234,'TABLA-DIA'!$B$2:$P$62,11,FALSE),"")</f>
        <v/>
      </c>
      <c r="J234" s="549" t="str">
        <f>IFERROR(VLOOKUP(N234,'TABLA-DIA'!$B$2:$P$62,12,FALSE),"")</f>
        <v/>
      </c>
      <c r="K234" s="557" t="str">
        <f>IFERROR(VLOOKUP(N234,'TABLA-DIA'!$B$2:$P$62,13,FALSE),"")</f>
        <v/>
      </c>
      <c r="L234" s="603" t="str">
        <f>IFERROR(IF(VLOOKUP(N234,'TABLA-DIA'!$B$2:$P$62,14,FALSE)="","",VLOOKUP(N234,'TABLA-DIA'!$B$2:$P$62,14,FALSE)),"")</f>
        <v/>
      </c>
      <c r="M234" s="590">
        <f t="shared" si="22"/>
        <v>5</v>
      </c>
      <c r="N234" s="125" t="str">
        <f t="shared" si="21"/>
        <v>BARQUILLERA FRANZ HAAZ-5</v>
      </c>
    </row>
    <row r="235" spans="2:15" ht="67.150000000000006" hidden="1" customHeight="1">
      <c r="B235" s="724"/>
      <c r="C235" s="564" t="str">
        <f>IFERROR(VLOOKUP(N235,'TABLA-DIA'!$B$2:$P$62,9,FALSE),"")</f>
        <v/>
      </c>
      <c r="D235" s="565" t="str">
        <f>IFERROR(VLOOKUP(N235,'TABLA-DIA'!$B$2:$P$62,4,FALSE),"")</f>
        <v/>
      </c>
      <c r="E235" s="566" t="str">
        <f>IFERROR(VLOOKUP(N235,'TABLA-DIA'!$B$2:$P$62,5,FALSE),"")</f>
        <v/>
      </c>
      <c r="F235" s="566" t="str">
        <f>IFERROR(VLOOKUP(N235,'TABLA-DIA'!$B$2:$P$62,6,FALSE),"")</f>
        <v/>
      </c>
      <c r="G235" s="542" t="str">
        <f>IFERROR(VLOOKUP(N235,'TABLA-DIA'!$B$2:$P$62,7,FALSE),"")</f>
        <v/>
      </c>
      <c r="H235" s="582" t="str">
        <f>IFERROR(VLOOKUP(N235,'TABLA-DIA'!$B$2:$P$62,10,FALSE),"")</f>
        <v/>
      </c>
      <c r="I235" s="548" t="str">
        <f>IFERROR(VLOOKUP(N235,'TABLA-DIA'!$B$2:$P$62,11,FALSE),"")</f>
        <v/>
      </c>
      <c r="J235" s="549" t="str">
        <f>IFERROR(VLOOKUP(N235,'TABLA-DIA'!$B$2:$P$62,12,FALSE),"")</f>
        <v/>
      </c>
      <c r="K235" s="557" t="str">
        <f>IFERROR(VLOOKUP(N235,'TABLA-DIA'!$B$2:$P$62,13,FALSE),"")</f>
        <v/>
      </c>
      <c r="L235" s="603" t="str">
        <f>IFERROR(IF(VLOOKUP(N235,'TABLA-DIA'!$B$2:$P$62,14,FALSE)="","",VLOOKUP(N235,'TABLA-DIA'!$B$2:$P$62,14,FALSE)),"")</f>
        <v/>
      </c>
      <c r="M235" s="590">
        <f t="shared" si="22"/>
        <v>6</v>
      </c>
      <c r="N235" s="125" t="str">
        <f t="shared" si="21"/>
        <v>BARQUILLERA FRANZ HAAZ-6</v>
      </c>
    </row>
    <row r="236" spans="2:15" ht="67.150000000000006" hidden="1" customHeight="1">
      <c r="B236" s="724"/>
      <c r="C236" s="564" t="str">
        <f>IFERROR(VLOOKUP(N236,'TABLA-DIA'!$B$2:$P$62,9,FALSE),"")</f>
        <v/>
      </c>
      <c r="D236" s="565" t="str">
        <f>IFERROR(VLOOKUP(N236,'TABLA-DIA'!$B$2:$P$62,4,FALSE),"")</f>
        <v/>
      </c>
      <c r="E236" s="566" t="str">
        <f>IFERROR(VLOOKUP(N236,'TABLA-DIA'!$B$2:$P$62,5,FALSE),"")</f>
        <v/>
      </c>
      <c r="F236" s="566" t="str">
        <f>IFERROR(VLOOKUP(N236,'TABLA-DIA'!$B$2:$P$62,6,FALSE),"")</f>
        <v/>
      </c>
      <c r="G236" s="542" t="str">
        <f>IFERROR(VLOOKUP(N236,'TABLA-DIA'!$B$2:$P$62,7,FALSE),"")</f>
        <v/>
      </c>
      <c r="H236" s="582" t="str">
        <f>IFERROR(VLOOKUP(N236,'TABLA-DIA'!$B$2:$P$62,10,FALSE),"")</f>
        <v/>
      </c>
      <c r="I236" s="548" t="str">
        <f>IFERROR(VLOOKUP(N236,'TABLA-DIA'!$B$2:$P$62,11,FALSE),"")</f>
        <v/>
      </c>
      <c r="J236" s="549" t="str">
        <f>IFERROR(VLOOKUP(N236,'TABLA-DIA'!$B$2:$P$62,12,FALSE),"")</f>
        <v/>
      </c>
      <c r="K236" s="557" t="str">
        <f>IFERROR(VLOOKUP(N236,'TABLA-DIA'!$B$2:$P$62,13,FALSE),"")</f>
        <v/>
      </c>
      <c r="L236" s="603" t="str">
        <f>IFERROR(IF(VLOOKUP(N236,'TABLA-DIA'!$B$2:$P$62,14,FALSE)="","",VLOOKUP(N236,'TABLA-DIA'!$B$2:$P$62,14,FALSE)),"")</f>
        <v/>
      </c>
      <c r="M236" s="590">
        <f t="shared" si="22"/>
        <v>7</v>
      </c>
      <c r="N236" s="125" t="str">
        <f t="shared" si="21"/>
        <v>BARQUILLERA FRANZ HAAZ-7</v>
      </c>
    </row>
    <row r="237" spans="2:15" ht="67.150000000000006" hidden="1" customHeight="1">
      <c r="B237" s="724"/>
      <c r="C237" s="564" t="str">
        <f>IFERROR(VLOOKUP(N237,'TABLA-DIA'!$B$2:$P$62,9,FALSE),"")</f>
        <v/>
      </c>
      <c r="D237" s="565" t="str">
        <f>IFERROR(VLOOKUP(N237,'TABLA-DIA'!$B$2:$P$62,4,FALSE),"")</f>
        <v/>
      </c>
      <c r="E237" s="566" t="str">
        <f>IFERROR(VLOOKUP(N237,'TABLA-DIA'!$B$2:$P$62,5,FALSE),"")</f>
        <v/>
      </c>
      <c r="F237" s="566" t="str">
        <f>IFERROR(VLOOKUP(N237,'TABLA-DIA'!$B$2:$P$62,6,FALSE),"")</f>
        <v/>
      </c>
      <c r="G237" s="542" t="str">
        <f>IFERROR(VLOOKUP(N237,'TABLA-DIA'!$B$2:$P$62,7,FALSE),"")</f>
        <v/>
      </c>
      <c r="H237" s="582" t="str">
        <f>IFERROR(VLOOKUP(N237,'TABLA-DIA'!$B$2:$P$62,10,FALSE),"")</f>
        <v/>
      </c>
      <c r="I237" s="548" t="str">
        <f>IFERROR(VLOOKUP(N237,'TABLA-DIA'!$B$2:$P$62,11,FALSE),"")</f>
        <v/>
      </c>
      <c r="J237" s="549" t="str">
        <f>IFERROR(VLOOKUP(N237,'TABLA-DIA'!$B$2:$P$62,12,FALSE),"")</f>
        <v/>
      </c>
      <c r="K237" s="557" t="str">
        <f>IFERROR(VLOOKUP(N237,'TABLA-DIA'!$B$2:$P$62,13,FALSE),"")</f>
        <v/>
      </c>
      <c r="L237" s="603" t="str">
        <f>IFERROR(IF(VLOOKUP(N237,'TABLA-DIA'!$B$2:$P$62,14,FALSE)="","",VLOOKUP(N237,'TABLA-DIA'!$B$2:$P$62,14,FALSE)),"")</f>
        <v/>
      </c>
      <c r="M237" s="590">
        <f t="shared" si="22"/>
        <v>8</v>
      </c>
      <c r="N237" s="125" t="str">
        <f t="shared" si="21"/>
        <v>BARQUILLERA FRANZ HAAZ-8</v>
      </c>
    </row>
    <row r="238" spans="2:15" ht="67.150000000000006" hidden="1" customHeight="1">
      <c r="B238" s="724"/>
      <c r="C238" s="564" t="str">
        <f>IFERROR(VLOOKUP(N238,'TABLA-DIA'!$B$2:$P$62,9,FALSE),"")</f>
        <v/>
      </c>
      <c r="D238" s="565" t="str">
        <f>IFERROR(VLOOKUP(N238,'TABLA-DIA'!$B$2:$P$62,4,FALSE),"")</f>
        <v/>
      </c>
      <c r="E238" s="566" t="str">
        <f>IFERROR(VLOOKUP(N238,'TABLA-DIA'!$B$2:$P$62,5,FALSE),"")</f>
        <v/>
      </c>
      <c r="F238" s="566" t="str">
        <f>IFERROR(VLOOKUP(N238,'TABLA-DIA'!$B$2:$P$62,6,FALSE),"")</f>
        <v/>
      </c>
      <c r="G238" s="542" t="str">
        <f>IFERROR(VLOOKUP(N238,'TABLA-DIA'!$B$2:$P$62,7,FALSE),"")</f>
        <v/>
      </c>
      <c r="H238" s="582" t="str">
        <f>IFERROR(VLOOKUP(N238,'TABLA-DIA'!$B$2:$P$62,10,FALSE),"")</f>
        <v/>
      </c>
      <c r="I238" s="548" t="str">
        <f>IFERROR(VLOOKUP(N238,'TABLA-DIA'!$B$2:$P$62,11,FALSE),"")</f>
        <v/>
      </c>
      <c r="J238" s="549" t="str">
        <f>IFERROR(VLOOKUP(N238,'TABLA-DIA'!$B$2:$P$62,12,FALSE),"")</f>
        <v/>
      </c>
      <c r="K238" s="557" t="str">
        <f>IFERROR(VLOOKUP(N238,'TABLA-DIA'!$B$2:$P$62,13,FALSE),"")</f>
        <v/>
      </c>
      <c r="L238" s="603" t="str">
        <f>IFERROR(IF(VLOOKUP(N238,'TABLA-DIA'!$B$2:$P$62,14,FALSE)="","",VLOOKUP(N238,'TABLA-DIA'!$B$2:$P$62,14,FALSE)),"")</f>
        <v/>
      </c>
      <c r="M238" s="590">
        <f t="shared" si="22"/>
        <v>9</v>
      </c>
      <c r="N238" s="125" t="str">
        <f t="shared" si="21"/>
        <v>BARQUILLERA FRANZ HAAZ-9</v>
      </c>
    </row>
    <row r="239" spans="2:15" ht="67.150000000000006" hidden="1" customHeight="1" thickBot="1">
      <c r="B239" s="726"/>
      <c r="C239" s="573" t="str">
        <f>IFERROR(VLOOKUP(N239,'TABLA-DIA'!$B$2:$P$62,9,FALSE),"")</f>
        <v/>
      </c>
      <c r="D239" s="574" t="str">
        <f>IFERROR(VLOOKUP(N239,'TABLA-DIA'!$B$2:$P$62,4,FALSE),"")</f>
        <v/>
      </c>
      <c r="E239" s="575" t="str">
        <f>IFERROR(VLOOKUP(N239,'TABLA-DIA'!$B$2:$P$62,5,FALSE),"")</f>
        <v/>
      </c>
      <c r="F239" s="575" t="str">
        <f>IFERROR(VLOOKUP(N239,'TABLA-DIA'!$B$2:$P$62,6,FALSE),"")</f>
        <v/>
      </c>
      <c r="G239" s="545" t="str">
        <f>IFERROR(VLOOKUP(N239,'TABLA-DIA'!$B$2:$P$62,7,FALSE),"")</f>
        <v/>
      </c>
      <c r="H239" s="585" t="str">
        <f>IFERROR(VLOOKUP(N239,'TABLA-DIA'!$B$2:$P$62,10,FALSE),"")</f>
        <v/>
      </c>
      <c r="I239" s="554" t="str">
        <f>IFERROR(VLOOKUP(N239,'TABLA-DIA'!$B$2:$P$62,11,FALSE),"")</f>
        <v/>
      </c>
      <c r="J239" s="555" t="str">
        <f>IFERROR(VLOOKUP(N239,'TABLA-DIA'!$B$2:$P$62,12,FALSE),"")</f>
        <v/>
      </c>
      <c r="K239" s="560" t="str">
        <f>IFERROR(VLOOKUP(N239,'TABLA-DIA'!$B$2:$P$62,13,FALSE),"")</f>
        <v/>
      </c>
      <c r="L239" s="606" t="str">
        <f>IFERROR(IF(VLOOKUP(N239,'TABLA-DIA'!$B$2:$P$62,14,FALSE)="","",VLOOKUP(N239,'TABLA-DIA'!$B$2:$P$62,14,FALSE)),"")</f>
        <v/>
      </c>
      <c r="M239" s="592">
        <f t="shared" si="22"/>
        <v>10</v>
      </c>
      <c r="N239" s="130" t="str">
        <f t="shared" si="21"/>
        <v>BARQUILLERA FRANZ HAAZ-10</v>
      </c>
    </row>
    <row r="240" spans="2:15" ht="101.25" customHeight="1" thickBot="1">
      <c r="B240" s="723" t="str">
        <f>+'TABLA-DIA'!B162</f>
        <v>RAYOS X 2</v>
      </c>
      <c r="C240" s="569" t="str">
        <f>IFERROR(VLOOKUP(N240,'TABLA-DIA'!$B$2:$P$62,9,FALSE),"")</f>
        <v/>
      </c>
      <c r="D240" s="570" t="str">
        <f>IFERROR(VLOOKUP(N240,'TABLA-DIA'!$B$2:$P$62,4,FALSE),"")</f>
        <v/>
      </c>
      <c r="E240" s="571" t="str">
        <f>IFERROR(VLOOKUP(N240,'TABLA-DIA'!$B$2:$P$62,5,FALSE),"")</f>
        <v/>
      </c>
      <c r="F240" s="571" t="str">
        <f>IFERROR(VLOOKUP(N240,'TABLA-DIA'!$B$2:$P$62,6,FALSE),"")</f>
        <v/>
      </c>
      <c r="G240" s="544" t="str">
        <f>IFERROR(VLOOKUP(N240,'TABLA-DIA'!$B$2:$P$62,7,FALSE),"")</f>
        <v/>
      </c>
      <c r="H240" s="584" t="str">
        <f>IFERROR(VLOOKUP(N240,'TABLA-DIA'!$B$2:$P$62,10,FALSE),"")</f>
        <v/>
      </c>
      <c r="I240" s="552" t="str">
        <f>IFERROR(VLOOKUP(N240,'TABLA-DIA'!$B$2:$P$62,11,FALSE),"")</f>
        <v/>
      </c>
      <c r="J240" s="553" t="str">
        <f>IFERROR(VLOOKUP(N240,'TABLA-DIA'!$B$2:$P$62,12,FALSE),"")</f>
        <v/>
      </c>
      <c r="K240" s="559" t="str">
        <f>IFERROR(VLOOKUP(N240,'TABLA-DIA'!$B$2:$P$62,13,FALSE),"")</f>
        <v/>
      </c>
      <c r="L240" s="605" t="str">
        <f>IFERROR(IF(VLOOKUP(N240,'TABLA-DIA'!$B$2:$P$62,14,FALSE)="","",VLOOKUP(N240,'TABLA-DIA'!$B$2:$P$62,14,FALSE)),"")</f>
        <v/>
      </c>
      <c r="M240" s="589">
        <v>1</v>
      </c>
      <c r="N240" s="98" t="str">
        <f t="shared" ref="N240:N249" si="23">CONCATENATE($B$240,"-",M240)</f>
        <v>RAYOS X 2-1</v>
      </c>
      <c r="O240" s="91">
        <f>COUNTIF(G240:G249,"&lt;&gt;**")</f>
        <v>0</v>
      </c>
    </row>
    <row r="241" spans="2:15" ht="67.150000000000006" hidden="1" customHeight="1" thickBot="1">
      <c r="B241" s="724"/>
      <c r="C241" s="564" t="str">
        <f>IFERROR(VLOOKUP(N241,'TABLA-DIA'!$B$2:$P$62,9,FALSE),"")</f>
        <v/>
      </c>
      <c r="D241" s="565" t="str">
        <f>IFERROR(VLOOKUP(N241,'TABLA-DIA'!$B$2:$P$62,4,FALSE),"")</f>
        <v/>
      </c>
      <c r="E241" s="566" t="str">
        <f>IFERROR(VLOOKUP(N241,'TABLA-DIA'!$B$2:$P$62,5,FALSE),"")</f>
        <v/>
      </c>
      <c r="F241" s="566" t="str">
        <f>IFERROR(VLOOKUP(N241,'TABLA-DIA'!$B$2:$P$62,6,FALSE),"")</f>
        <v/>
      </c>
      <c r="G241" s="544" t="str">
        <f>IFERROR(VLOOKUP(N241,'TABLA-DIA'!$B$2:$P$62,7,FALSE),"")</f>
        <v/>
      </c>
      <c r="H241" s="582" t="str">
        <f>IFERROR(VLOOKUP(N241,'TABLA-DIA'!$B$2:$P$62,10,FALSE),"")</f>
        <v/>
      </c>
      <c r="I241" s="548" t="str">
        <f>IFERROR(VLOOKUP(N241,'TABLA-DIA'!$B$2:$P$62,11,FALSE),"")</f>
        <v/>
      </c>
      <c r="J241" s="549" t="str">
        <f>IFERROR(VLOOKUP(N241,'TABLA-DIA'!$B$2:$P$62,12,FALSE),"")</f>
        <v/>
      </c>
      <c r="K241" s="557" t="str">
        <f>IFERROR(VLOOKUP(N241,'TABLA-DIA'!$B$2:$P$62,13,FALSE),"")</f>
        <v/>
      </c>
      <c r="L241" s="603" t="str">
        <f>IFERROR(IF(VLOOKUP(N241,'TABLA-DIA'!$B$2:$P$62,14,FALSE)="","",VLOOKUP(N241,'TABLA-DIA'!$B$2:$P$62,14,FALSE)),"")</f>
        <v/>
      </c>
      <c r="M241" s="590">
        <f t="shared" ref="M241:M249" si="24">+M240+1</f>
        <v>2</v>
      </c>
      <c r="N241" s="125" t="str">
        <f t="shared" si="23"/>
        <v>RAYOS X 2-2</v>
      </c>
    </row>
    <row r="242" spans="2:15" ht="67.150000000000006" hidden="1" customHeight="1" thickBot="1">
      <c r="B242" s="724"/>
      <c r="C242" s="564" t="str">
        <f>IFERROR(VLOOKUP(N242,'TABLA-DIA'!$B$2:$P$62,9,FALSE),"")</f>
        <v/>
      </c>
      <c r="D242" s="565" t="str">
        <f>IFERROR(VLOOKUP(N242,'TABLA-DIA'!$B$2:$P$62,4,FALSE),"")</f>
        <v/>
      </c>
      <c r="E242" s="566" t="str">
        <f>IFERROR(VLOOKUP(N242,'TABLA-DIA'!$B$2:$P$62,5,FALSE),"")</f>
        <v/>
      </c>
      <c r="F242" s="566" t="str">
        <f>IFERROR(VLOOKUP(N242,'TABLA-DIA'!$B$2:$P$62,6,FALSE),"")</f>
        <v/>
      </c>
      <c r="G242" s="544" t="str">
        <f>IFERROR(VLOOKUP(N242,'TABLA-DIA'!$B$2:$P$62,7,FALSE),"")</f>
        <v/>
      </c>
      <c r="H242" s="582" t="str">
        <f>IFERROR(VLOOKUP(N242,'TABLA-DIA'!$B$2:$P$62,10,FALSE),"")</f>
        <v/>
      </c>
      <c r="I242" s="548" t="str">
        <f>IFERROR(VLOOKUP(N242,'TABLA-DIA'!$B$2:$P$62,11,FALSE),"")</f>
        <v/>
      </c>
      <c r="J242" s="549" t="str">
        <f>IFERROR(VLOOKUP(N242,'TABLA-DIA'!$B$2:$P$62,12,FALSE),"")</f>
        <v/>
      </c>
      <c r="K242" s="557" t="str">
        <f>IFERROR(VLOOKUP(N242,'TABLA-DIA'!$B$2:$P$62,13,FALSE),"")</f>
        <v/>
      </c>
      <c r="L242" s="603" t="str">
        <f>IFERROR(IF(VLOOKUP(N242,'TABLA-DIA'!$B$2:$P$62,14,FALSE)="","",VLOOKUP(N242,'TABLA-DIA'!$B$2:$P$62,14,FALSE)),"")</f>
        <v/>
      </c>
      <c r="M242" s="590">
        <f t="shared" si="24"/>
        <v>3</v>
      </c>
      <c r="N242" s="125" t="str">
        <f t="shared" si="23"/>
        <v>RAYOS X 2-3</v>
      </c>
    </row>
    <row r="243" spans="2:15" ht="67.150000000000006" hidden="1" customHeight="1" thickBot="1">
      <c r="B243" s="724"/>
      <c r="C243" s="564" t="str">
        <f>IFERROR(VLOOKUP(N243,'TABLA-DIA'!$B$2:$P$62,9,FALSE),"")</f>
        <v/>
      </c>
      <c r="D243" s="565" t="str">
        <f>IFERROR(VLOOKUP(N243,'TABLA-DIA'!$B$2:$P$62,4,FALSE),"")</f>
        <v/>
      </c>
      <c r="E243" s="566" t="str">
        <f>IFERROR(VLOOKUP(N243,'TABLA-DIA'!$B$2:$P$62,5,FALSE),"")</f>
        <v/>
      </c>
      <c r="F243" s="566" t="str">
        <f>IFERROR(VLOOKUP(N243,'TABLA-DIA'!$B$2:$P$62,6,FALSE),"")</f>
        <v/>
      </c>
      <c r="G243" s="544" t="str">
        <f>IFERROR(VLOOKUP(N243,'TABLA-DIA'!$B$2:$P$62,7,FALSE),"")</f>
        <v/>
      </c>
      <c r="H243" s="582" t="str">
        <f>IFERROR(VLOOKUP(N243,'TABLA-DIA'!$B$2:$P$62,10,FALSE),"")</f>
        <v/>
      </c>
      <c r="I243" s="548" t="str">
        <f>IFERROR(VLOOKUP(N243,'TABLA-DIA'!$B$2:$P$62,11,FALSE),"")</f>
        <v/>
      </c>
      <c r="J243" s="549" t="str">
        <f>IFERROR(VLOOKUP(N243,'TABLA-DIA'!$B$2:$P$62,12,FALSE),"")</f>
        <v/>
      </c>
      <c r="K243" s="557" t="str">
        <f>IFERROR(VLOOKUP(N243,'TABLA-DIA'!$B$2:$P$62,13,FALSE),"")</f>
        <v/>
      </c>
      <c r="L243" s="603" t="str">
        <f>IFERROR(IF(VLOOKUP(N243,'TABLA-DIA'!$B$2:$P$62,14,FALSE)="","",VLOOKUP(N243,'TABLA-DIA'!$B$2:$P$62,14,FALSE)),"")</f>
        <v/>
      </c>
      <c r="M243" s="590">
        <f t="shared" si="24"/>
        <v>4</v>
      </c>
      <c r="N243" s="125" t="str">
        <f t="shared" si="23"/>
        <v>RAYOS X 2-4</v>
      </c>
    </row>
    <row r="244" spans="2:15" ht="67.150000000000006" hidden="1" customHeight="1" thickBot="1">
      <c r="B244" s="724"/>
      <c r="C244" s="564" t="str">
        <f>IFERROR(VLOOKUP(N244,'TABLA-DIA'!$B$2:$P$62,9,FALSE),"")</f>
        <v/>
      </c>
      <c r="D244" s="565" t="str">
        <f>IFERROR(VLOOKUP(N244,'TABLA-DIA'!$B$2:$P$62,4,FALSE),"")</f>
        <v/>
      </c>
      <c r="E244" s="566" t="str">
        <f>IFERROR(VLOOKUP(N244,'TABLA-DIA'!$B$2:$P$62,5,FALSE),"")</f>
        <v/>
      </c>
      <c r="F244" s="566" t="str">
        <f>IFERROR(VLOOKUP(N244,'TABLA-DIA'!$B$2:$P$62,6,FALSE),"")</f>
        <v/>
      </c>
      <c r="G244" s="544" t="str">
        <f>IFERROR(VLOOKUP(N244,'TABLA-DIA'!$B$2:$P$62,7,FALSE),"")</f>
        <v/>
      </c>
      <c r="H244" s="582" t="str">
        <f>IFERROR(VLOOKUP(N244,'TABLA-DIA'!$B$2:$P$62,10,FALSE),"")</f>
        <v/>
      </c>
      <c r="I244" s="548" t="str">
        <f>IFERROR(VLOOKUP(N244,'TABLA-DIA'!$B$2:$P$62,11,FALSE),"")</f>
        <v/>
      </c>
      <c r="J244" s="549" t="str">
        <f>IFERROR(VLOOKUP(N244,'TABLA-DIA'!$B$2:$P$62,12,FALSE),"")</f>
        <v/>
      </c>
      <c r="K244" s="557" t="str">
        <f>IFERROR(VLOOKUP(N244,'TABLA-DIA'!$B$2:$P$62,13,FALSE),"")</f>
        <v/>
      </c>
      <c r="L244" s="603" t="str">
        <f>IFERROR(IF(VLOOKUP(N244,'TABLA-DIA'!$B$2:$P$62,14,FALSE)="","",VLOOKUP(N244,'TABLA-DIA'!$B$2:$P$62,14,FALSE)),"")</f>
        <v/>
      </c>
      <c r="M244" s="590">
        <f t="shared" si="24"/>
        <v>5</v>
      </c>
      <c r="N244" s="125" t="str">
        <f t="shared" si="23"/>
        <v>RAYOS X 2-5</v>
      </c>
    </row>
    <row r="245" spans="2:15" ht="67.150000000000006" hidden="1" customHeight="1" thickBot="1">
      <c r="B245" s="724"/>
      <c r="C245" s="564" t="str">
        <f>IFERROR(VLOOKUP(N245,'TABLA-DIA'!$B$2:$P$62,9,FALSE),"")</f>
        <v/>
      </c>
      <c r="D245" s="565" t="str">
        <f>IFERROR(VLOOKUP(N245,'TABLA-DIA'!$B$2:$P$62,4,FALSE),"")</f>
        <v/>
      </c>
      <c r="E245" s="566" t="str">
        <f>IFERROR(VLOOKUP(N245,'TABLA-DIA'!$B$2:$P$62,5,FALSE),"")</f>
        <v/>
      </c>
      <c r="F245" s="566" t="str">
        <f>IFERROR(VLOOKUP(N245,'TABLA-DIA'!$B$2:$P$62,6,FALSE),"")</f>
        <v/>
      </c>
      <c r="G245" s="544" t="str">
        <f>IFERROR(VLOOKUP(N245,'TABLA-DIA'!$B$2:$P$62,7,FALSE),"")</f>
        <v/>
      </c>
      <c r="H245" s="582" t="str">
        <f>IFERROR(VLOOKUP(N245,'TABLA-DIA'!$B$2:$P$62,10,FALSE),"")</f>
        <v/>
      </c>
      <c r="I245" s="548" t="str">
        <f>IFERROR(VLOOKUP(N245,'TABLA-DIA'!$B$2:$P$62,11,FALSE),"")</f>
        <v/>
      </c>
      <c r="J245" s="549" t="str">
        <f>IFERROR(VLOOKUP(N245,'TABLA-DIA'!$B$2:$P$62,12,FALSE),"")</f>
        <v/>
      </c>
      <c r="K245" s="557" t="str">
        <f>IFERROR(VLOOKUP(N245,'TABLA-DIA'!$B$2:$P$62,13,FALSE),"")</f>
        <v/>
      </c>
      <c r="L245" s="603" t="str">
        <f>IFERROR(IF(VLOOKUP(N245,'TABLA-DIA'!$B$2:$P$62,14,FALSE)="","",VLOOKUP(N245,'TABLA-DIA'!$B$2:$P$62,14,FALSE)),"")</f>
        <v/>
      </c>
      <c r="M245" s="590">
        <f t="shared" si="24"/>
        <v>6</v>
      </c>
      <c r="N245" s="125" t="str">
        <f t="shared" si="23"/>
        <v>RAYOS X 2-6</v>
      </c>
    </row>
    <row r="246" spans="2:15" ht="67.150000000000006" hidden="1" customHeight="1" thickBot="1">
      <c r="B246" s="724"/>
      <c r="C246" s="564" t="str">
        <f>IFERROR(VLOOKUP(N246,'TABLA-DIA'!$B$2:$P$62,9,FALSE),"")</f>
        <v/>
      </c>
      <c r="D246" s="565" t="str">
        <f>IFERROR(VLOOKUP(N246,'TABLA-DIA'!$B$2:$P$62,4,FALSE),"")</f>
        <v/>
      </c>
      <c r="E246" s="566" t="str">
        <f>IFERROR(VLOOKUP(N246,'TABLA-DIA'!$B$2:$P$62,5,FALSE),"")</f>
        <v/>
      </c>
      <c r="F246" s="566" t="str">
        <f>IFERROR(VLOOKUP(N246,'TABLA-DIA'!$B$2:$P$62,6,FALSE),"")</f>
        <v/>
      </c>
      <c r="G246" s="544" t="str">
        <f>IFERROR(VLOOKUP(N246,'TABLA-DIA'!$B$2:$P$62,7,FALSE),"")</f>
        <v/>
      </c>
      <c r="H246" s="582" t="str">
        <f>IFERROR(VLOOKUP(N246,'TABLA-DIA'!$B$2:$P$62,10,FALSE),"")</f>
        <v/>
      </c>
      <c r="I246" s="548" t="str">
        <f>IFERROR(VLOOKUP(N246,'TABLA-DIA'!$B$2:$P$62,11,FALSE),"")</f>
        <v/>
      </c>
      <c r="J246" s="549" t="str">
        <f>IFERROR(VLOOKUP(N246,'TABLA-DIA'!$B$2:$P$62,12,FALSE),"")</f>
        <v/>
      </c>
      <c r="K246" s="557" t="str">
        <f>IFERROR(VLOOKUP(N246,'TABLA-DIA'!$B$2:$P$62,13,FALSE),"")</f>
        <v/>
      </c>
      <c r="L246" s="603" t="str">
        <f>IFERROR(IF(VLOOKUP(N246,'TABLA-DIA'!$B$2:$P$62,14,FALSE)="","",VLOOKUP(N246,'TABLA-DIA'!$B$2:$P$62,14,FALSE)),"")</f>
        <v/>
      </c>
      <c r="M246" s="590">
        <f t="shared" si="24"/>
        <v>7</v>
      </c>
      <c r="N246" s="125" t="str">
        <f t="shared" si="23"/>
        <v>RAYOS X 2-7</v>
      </c>
    </row>
    <row r="247" spans="2:15" ht="67.150000000000006" hidden="1" customHeight="1" thickBot="1">
      <c r="B247" s="724"/>
      <c r="C247" s="564" t="str">
        <f>IFERROR(VLOOKUP(N247,'TABLA-DIA'!$B$2:$P$62,9,FALSE),"")</f>
        <v/>
      </c>
      <c r="D247" s="565" t="str">
        <f>IFERROR(VLOOKUP(N247,'TABLA-DIA'!$B$2:$P$62,4,FALSE),"")</f>
        <v/>
      </c>
      <c r="E247" s="566" t="str">
        <f>IFERROR(VLOOKUP(N247,'TABLA-DIA'!$B$2:$P$62,5,FALSE),"")</f>
        <v/>
      </c>
      <c r="F247" s="566" t="str">
        <f>IFERROR(VLOOKUP(N247,'TABLA-DIA'!$B$2:$P$62,6,FALSE),"")</f>
        <v/>
      </c>
      <c r="G247" s="544" t="str">
        <f>IFERROR(VLOOKUP(N247,'TABLA-DIA'!$B$2:$P$62,7,FALSE),"")</f>
        <v/>
      </c>
      <c r="H247" s="582" t="str">
        <f>IFERROR(VLOOKUP(N247,'TABLA-DIA'!$B$2:$P$62,10,FALSE),"")</f>
        <v/>
      </c>
      <c r="I247" s="548" t="str">
        <f>IFERROR(VLOOKUP(N247,'TABLA-DIA'!$B$2:$P$62,11,FALSE),"")</f>
        <v/>
      </c>
      <c r="J247" s="549" t="str">
        <f>IFERROR(VLOOKUP(N247,'TABLA-DIA'!$B$2:$P$62,12,FALSE),"")</f>
        <v/>
      </c>
      <c r="K247" s="557" t="str">
        <f>IFERROR(VLOOKUP(N247,'TABLA-DIA'!$B$2:$P$62,13,FALSE),"")</f>
        <v/>
      </c>
      <c r="L247" s="603" t="str">
        <f>IFERROR(IF(VLOOKUP(N247,'TABLA-DIA'!$B$2:$P$62,14,FALSE)="","",VLOOKUP(N247,'TABLA-DIA'!$B$2:$P$62,14,FALSE)),"")</f>
        <v/>
      </c>
      <c r="M247" s="590">
        <f t="shared" si="24"/>
        <v>8</v>
      </c>
      <c r="N247" s="125" t="str">
        <f t="shared" si="23"/>
        <v>RAYOS X 2-8</v>
      </c>
    </row>
    <row r="248" spans="2:15" ht="67.150000000000006" hidden="1" customHeight="1" thickBot="1">
      <c r="B248" s="724"/>
      <c r="C248" s="564" t="str">
        <f>IFERROR(VLOOKUP(N248,'TABLA-DIA'!$B$2:$P$62,9,FALSE),"")</f>
        <v/>
      </c>
      <c r="D248" s="565" t="str">
        <f>IFERROR(VLOOKUP(N248,'TABLA-DIA'!$B$2:$P$62,4,FALSE),"")</f>
        <v/>
      </c>
      <c r="E248" s="566" t="str">
        <f>IFERROR(VLOOKUP(N248,'TABLA-DIA'!$B$2:$P$62,5,FALSE),"")</f>
        <v/>
      </c>
      <c r="F248" s="566" t="str">
        <f>IFERROR(VLOOKUP(N248,'TABLA-DIA'!$B$2:$P$62,6,FALSE),"")</f>
        <v/>
      </c>
      <c r="G248" s="544" t="str">
        <f>IFERROR(VLOOKUP(N248,'TABLA-DIA'!$B$2:$P$62,7,FALSE),"")</f>
        <v/>
      </c>
      <c r="H248" s="582" t="str">
        <f>IFERROR(VLOOKUP(N248,'TABLA-DIA'!$B$2:$P$62,10,FALSE),"")</f>
        <v/>
      </c>
      <c r="I248" s="548" t="str">
        <f>IFERROR(VLOOKUP(N248,'TABLA-DIA'!$B$2:$P$62,11,FALSE),"")</f>
        <v/>
      </c>
      <c r="J248" s="549" t="str">
        <f>IFERROR(VLOOKUP(N248,'TABLA-DIA'!$B$2:$P$62,12,FALSE),"")</f>
        <v/>
      </c>
      <c r="K248" s="557" t="str">
        <f>IFERROR(VLOOKUP(N248,'TABLA-DIA'!$B$2:$P$62,13,FALSE),"")</f>
        <v/>
      </c>
      <c r="L248" s="603" t="str">
        <f>IFERROR(IF(VLOOKUP(N248,'TABLA-DIA'!$B$2:$P$62,14,FALSE)="","",VLOOKUP(N248,'TABLA-DIA'!$B$2:$P$62,14,FALSE)),"")</f>
        <v/>
      </c>
      <c r="M248" s="590">
        <f t="shared" si="24"/>
        <v>9</v>
      </c>
      <c r="N248" s="125" t="str">
        <f t="shared" si="23"/>
        <v>RAYOS X 2-9</v>
      </c>
    </row>
    <row r="249" spans="2:15" ht="67.150000000000006" hidden="1" customHeight="1" thickBot="1">
      <c r="B249" s="726"/>
      <c r="C249" s="573" t="str">
        <f>IFERROR(VLOOKUP(N249,'TABLA-DIA'!$B$2:$P$62,9,FALSE),"")</f>
        <v/>
      </c>
      <c r="D249" s="574" t="str">
        <f>IFERROR(VLOOKUP(N249,'TABLA-DIA'!$B$2:$P$62,4,FALSE),"")</f>
        <v/>
      </c>
      <c r="E249" s="575" t="str">
        <f>IFERROR(VLOOKUP(N249,'TABLA-DIA'!$B$2:$P$62,5,FALSE),"")</f>
        <v/>
      </c>
      <c r="F249" s="575" t="str">
        <f>IFERROR(VLOOKUP(N249,'TABLA-DIA'!$B$2:$P$62,6,FALSE),"")</f>
        <v/>
      </c>
      <c r="G249" s="544" t="str">
        <f>IFERROR(VLOOKUP(N249,'TABLA-DIA'!$B$2:$P$62,7,FALSE),"")</f>
        <v/>
      </c>
      <c r="H249" s="585" t="str">
        <f>IFERROR(VLOOKUP(N249,'TABLA-DIA'!$B$2:$P$62,10,FALSE),"")</f>
        <v/>
      </c>
      <c r="I249" s="554" t="str">
        <f>IFERROR(VLOOKUP(N249,'TABLA-DIA'!$B$2:$P$62,11,FALSE),"")</f>
        <v/>
      </c>
      <c r="J249" s="555" t="str">
        <f>IFERROR(VLOOKUP(N249,'TABLA-DIA'!$B$2:$P$62,12,FALSE),"")</f>
        <v/>
      </c>
      <c r="K249" s="560" t="str">
        <f>IFERROR(VLOOKUP(N249,'TABLA-DIA'!$B$2:$P$62,13,FALSE),"")</f>
        <v/>
      </c>
      <c r="L249" s="606" t="str">
        <f>IFERROR(IF(VLOOKUP(N249,'TABLA-DIA'!$B$2:$P$62,14,FALSE)="","",VLOOKUP(N249,'TABLA-DIA'!$B$2:$P$62,14,FALSE)),"")</f>
        <v/>
      </c>
      <c r="M249" s="592">
        <f t="shared" si="24"/>
        <v>10</v>
      </c>
      <c r="N249" s="130" t="str">
        <f t="shared" si="23"/>
        <v>RAYOS X 2-10</v>
      </c>
    </row>
    <row r="250" spans="2:15" ht="110.25" customHeight="1" thickBot="1">
      <c r="B250" s="723" t="str">
        <f>+'TABLA-DIA'!B163</f>
        <v>Total general</v>
      </c>
      <c r="C250" s="569" t="str">
        <f>IFERROR(VLOOKUP(N250,'TABLA-DIA'!$B$2:$P$62,9,FALSE),"")</f>
        <v/>
      </c>
      <c r="D250" s="570" t="str">
        <f>IFERROR(VLOOKUP(N250,'TABLA-DIA'!$B$2:$P$62,4,FALSE),"")</f>
        <v/>
      </c>
      <c r="E250" s="571" t="str">
        <f>IFERROR(VLOOKUP(N250,'TABLA-DIA'!$B$2:$P$62,5,FALSE),"")</f>
        <v/>
      </c>
      <c r="F250" s="571" t="str">
        <f>IFERROR(VLOOKUP(N250,'TABLA-DIA'!$B$2:$P$62,6,FALSE),"")</f>
        <v/>
      </c>
      <c r="G250" s="544" t="str">
        <f>IFERROR(VLOOKUP(N250,'TABLA-DIA'!$B$2:$P$62,7,FALSE),"")</f>
        <v/>
      </c>
      <c r="H250" s="584" t="str">
        <f>IFERROR(VLOOKUP(N250,'TABLA-DIA'!$B$2:$P$62,10,FALSE),"")</f>
        <v/>
      </c>
      <c r="I250" s="552" t="str">
        <f>IFERROR(VLOOKUP(N250,'TABLA-DIA'!$B$2:$P$62,11,FALSE),"")</f>
        <v/>
      </c>
      <c r="J250" s="553" t="str">
        <f>IFERROR(VLOOKUP(N250,'TABLA-DIA'!$B$2:$P$62,12,FALSE),"")</f>
        <v/>
      </c>
      <c r="K250" s="559" t="str">
        <f>IFERROR(VLOOKUP(N250,'TABLA-DIA'!$B$2:$P$62,13,FALSE),"")</f>
        <v/>
      </c>
      <c r="L250" s="605" t="str">
        <f>IFERROR(IF(VLOOKUP(N250,'TABLA-DIA'!$B$2:$P$62,14,FALSE)="","",VLOOKUP(N250,'TABLA-DIA'!$B$2:$P$62,14,FALSE)),"")</f>
        <v/>
      </c>
      <c r="M250" s="589">
        <v>1</v>
      </c>
      <c r="N250" s="98" t="str">
        <f t="shared" ref="N250:N259" si="25">CONCATENATE($B$250,"-",M250)</f>
        <v>Total general-1</v>
      </c>
      <c r="O250" s="91">
        <f>COUNTIF(G250:G259,"&lt;&gt;**")</f>
        <v>0</v>
      </c>
    </row>
    <row r="251" spans="2:15" ht="67.150000000000006" hidden="1" customHeight="1" thickBot="1">
      <c r="B251" s="724"/>
      <c r="C251" s="564" t="str">
        <f>IFERROR(VLOOKUP(N251,'TABLA-DIA'!$B$2:$P$62,9,FALSE),"")</f>
        <v/>
      </c>
      <c r="D251" s="565" t="str">
        <f>IFERROR(VLOOKUP(N251,'TABLA-DIA'!$B$2:$P$62,4,FALSE),"")</f>
        <v/>
      </c>
      <c r="E251" s="566" t="str">
        <f>IFERROR(VLOOKUP(N251,'TABLA-DIA'!$B$2:$P$62,5,FALSE),"")</f>
        <v/>
      </c>
      <c r="F251" s="566" t="str">
        <f>IFERROR(VLOOKUP(N251,'TABLA-DIA'!$B$2:$P$62,6,FALSE),"")</f>
        <v/>
      </c>
      <c r="G251" s="544" t="str">
        <f>IFERROR(VLOOKUP(N251,'TABLA-DIA'!$B$2:$P$62,7,FALSE),"")</f>
        <v/>
      </c>
      <c r="H251" s="582" t="str">
        <f>IFERROR(VLOOKUP(N251,'TABLA-DIA'!$B$2:$P$62,10,FALSE),"")</f>
        <v/>
      </c>
      <c r="I251" s="548" t="str">
        <f>IFERROR(VLOOKUP(N251,'TABLA-DIA'!$B$2:$P$62,11,FALSE),"")</f>
        <v/>
      </c>
      <c r="J251" s="549" t="str">
        <f>IFERROR(VLOOKUP(N251,'TABLA-DIA'!$B$2:$P$62,12,FALSE),"")</f>
        <v/>
      </c>
      <c r="K251" s="557" t="str">
        <f>IFERROR(VLOOKUP(N251,'TABLA-DIA'!$B$2:$P$62,13,FALSE),"")</f>
        <v/>
      </c>
      <c r="L251" s="603" t="str">
        <f>IFERROR(IF(VLOOKUP(N251,'TABLA-DIA'!$B$2:$P$62,14,FALSE)="","",VLOOKUP(N251,'TABLA-DIA'!$B$2:$P$62,14,FALSE)),"")</f>
        <v/>
      </c>
      <c r="M251" s="590">
        <f t="shared" ref="M251:M259" si="26">+M250+1</f>
        <v>2</v>
      </c>
      <c r="N251" s="125" t="str">
        <f t="shared" si="25"/>
        <v>Total general-2</v>
      </c>
    </row>
    <row r="252" spans="2:15" ht="67.150000000000006" hidden="1" customHeight="1" thickBot="1">
      <c r="B252" s="724"/>
      <c r="C252" s="564" t="str">
        <f>IFERROR(VLOOKUP(N252,'TABLA-DIA'!$B$2:$P$62,9,FALSE),"")</f>
        <v/>
      </c>
      <c r="D252" s="565" t="str">
        <f>IFERROR(VLOOKUP(N252,'TABLA-DIA'!$B$2:$P$62,4,FALSE),"")</f>
        <v/>
      </c>
      <c r="E252" s="566" t="str">
        <f>IFERROR(VLOOKUP(N252,'TABLA-DIA'!$B$2:$P$62,5,FALSE),"")</f>
        <v/>
      </c>
      <c r="F252" s="566" t="str">
        <f>IFERROR(VLOOKUP(N252,'TABLA-DIA'!$B$2:$P$62,6,FALSE),"")</f>
        <v/>
      </c>
      <c r="G252" s="544" t="str">
        <f>IFERROR(VLOOKUP(N252,'TABLA-DIA'!$B$2:$P$62,7,FALSE),"")</f>
        <v/>
      </c>
      <c r="H252" s="582" t="str">
        <f>IFERROR(VLOOKUP(N252,'TABLA-DIA'!$B$2:$P$62,10,FALSE),"")</f>
        <v/>
      </c>
      <c r="I252" s="548" t="str">
        <f>IFERROR(VLOOKUP(N252,'TABLA-DIA'!$B$2:$P$62,11,FALSE),"")</f>
        <v/>
      </c>
      <c r="J252" s="549" t="str">
        <f>IFERROR(VLOOKUP(N252,'TABLA-DIA'!$B$2:$P$62,12,FALSE),"")</f>
        <v/>
      </c>
      <c r="K252" s="557" t="str">
        <f>IFERROR(VLOOKUP(N252,'TABLA-DIA'!$B$2:$P$62,13,FALSE),"")</f>
        <v/>
      </c>
      <c r="L252" s="603" t="str">
        <f>IFERROR(IF(VLOOKUP(N252,'TABLA-DIA'!$B$2:$P$62,14,FALSE)="","",VLOOKUP(N252,'TABLA-DIA'!$B$2:$P$62,14,FALSE)),"")</f>
        <v/>
      </c>
      <c r="M252" s="590">
        <f t="shared" si="26"/>
        <v>3</v>
      </c>
      <c r="N252" s="125" t="str">
        <f t="shared" si="25"/>
        <v>Total general-3</v>
      </c>
    </row>
    <row r="253" spans="2:15" ht="67.150000000000006" hidden="1" customHeight="1" thickBot="1">
      <c r="B253" s="724"/>
      <c r="C253" s="564" t="str">
        <f>IFERROR(VLOOKUP(N253,'TABLA-DIA'!$B$2:$P$62,9,FALSE),"")</f>
        <v/>
      </c>
      <c r="D253" s="565" t="str">
        <f>IFERROR(VLOOKUP(N253,'TABLA-DIA'!$B$2:$P$62,4,FALSE),"")</f>
        <v/>
      </c>
      <c r="E253" s="566" t="str">
        <f>IFERROR(VLOOKUP(N253,'TABLA-DIA'!$B$2:$P$62,5,FALSE),"")</f>
        <v/>
      </c>
      <c r="F253" s="566" t="str">
        <f>IFERROR(VLOOKUP(N253,'TABLA-DIA'!$B$2:$P$62,6,FALSE),"")</f>
        <v/>
      </c>
      <c r="G253" s="544" t="str">
        <f>IFERROR(VLOOKUP(N253,'TABLA-DIA'!$B$2:$P$62,7,FALSE),"")</f>
        <v/>
      </c>
      <c r="H253" s="582" t="str">
        <f>IFERROR(VLOOKUP(N253,'TABLA-DIA'!$B$2:$P$62,10,FALSE),"")</f>
        <v/>
      </c>
      <c r="I253" s="548" t="str">
        <f>IFERROR(VLOOKUP(N253,'TABLA-DIA'!$B$2:$P$62,11,FALSE),"")</f>
        <v/>
      </c>
      <c r="J253" s="549" t="str">
        <f>IFERROR(VLOOKUP(N253,'TABLA-DIA'!$B$2:$P$62,12,FALSE),"")</f>
        <v/>
      </c>
      <c r="K253" s="557" t="str">
        <f>IFERROR(VLOOKUP(N253,'TABLA-DIA'!$B$2:$P$62,13,FALSE),"")</f>
        <v/>
      </c>
      <c r="L253" s="603" t="str">
        <f>IFERROR(IF(VLOOKUP(N253,'TABLA-DIA'!$B$2:$P$62,14,FALSE)="","",VLOOKUP(N253,'TABLA-DIA'!$B$2:$P$62,14,FALSE)),"")</f>
        <v/>
      </c>
      <c r="M253" s="590">
        <f t="shared" si="26"/>
        <v>4</v>
      </c>
      <c r="N253" s="125" t="str">
        <f t="shared" si="25"/>
        <v>Total general-4</v>
      </c>
    </row>
    <row r="254" spans="2:15" ht="67.150000000000006" hidden="1" customHeight="1" thickBot="1">
      <c r="B254" s="724"/>
      <c r="C254" s="564" t="str">
        <f>IFERROR(VLOOKUP(N254,'TABLA-DIA'!$B$2:$P$62,9,FALSE),"")</f>
        <v/>
      </c>
      <c r="D254" s="565" t="str">
        <f>IFERROR(VLOOKUP(N254,'TABLA-DIA'!$B$2:$P$62,4,FALSE),"")</f>
        <v/>
      </c>
      <c r="E254" s="566" t="str">
        <f>IFERROR(VLOOKUP(N254,'TABLA-DIA'!$B$2:$P$62,5,FALSE),"")</f>
        <v/>
      </c>
      <c r="F254" s="566" t="str">
        <f>IFERROR(VLOOKUP(N254,'TABLA-DIA'!$B$2:$P$62,6,FALSE),"")</f>
        <v/>
      </c>
      <c r="G254" s="544" t="str">
        <f>IFERROR(VLOOKUP(N254,'TABLA-DIA'!$B$2:$P$62,7,FALSE),"")</f>
        <v/>
      </c>
      <c r="H254" s="582" t="str">
        <f>IFERROR(VLOOKUP(N254,'TABLA-DIA'!$B$2:$P$62,10,FALSE),"")</f>
        <v/>
      </c>
      <c r="I254" s="548" t="str">
        <f>IFERROR(VLOOKUP(N254,'TABLA-DIA'!$B$2:$P$62,11,FALSE),"")</f>
        <v/>
      </c>
      <c r="J254" s="549" t="str">
        <f>IFERROR(VLOOKUP(N254,'TABLA-DIA'!$B$2:$P$62,12,FALSE),"")</f>
        <v/>
      </c>
      <c r="K254" s="557" t="str">
        <f>IFERROR(VLOOKUP(N254,'TABLA-DIA'!$B$2:$P$62,13,FALSE),"")</f>
        <v/>
      </c>
      <c r="L254" s="603" t="str">
        <f>IFERROR(IF(VLOOKUP(N254,'TABLA-DIA'!$B$2:$P$62,14,FALSE)="","",VLOOKUP(N254,'TABLA-DIA'!$B$2:$P$62,14,FALSE)),"")</f>
        <v/>
      </c>
      <c r="M254" s="590">
        <f t="shared" si="26"/>
        <v>5</v>
      </c>
      <c r="N254" s="125" t="str">
        <f t="shared" si="25"/>
        <v>Total general-5</v>
      </c>
    </row>
    <row r="255" spans="2:15" ht="67.150000000000006" hidden="1" customHeight="1" thickBot="1">
      <c r="B255" s="724"/>
      <c r="C255" s="564" t="str">
        <f>IFERROR(VLOOKUP(N255,'TABLA-DIA'!$B$2:$P$62,9,FALSE),"")</f>
        <v/>
      </c>
      <c r="D255" s="565" t="str">
        <f>IFERROR(VLOOKUP(N255,'TABLA-DIA'!$B$2:$P$62,4,FALSE),"")</f>
        <v/>
      </c>
      <c r="E255" s="566" t="str">
        <f>IFERROR(VLOOKUP(N255,'TABLA-DIA'!$B$2:$P$62,5,FALSE),"")</f>
        <v/>
      </c>
      <c r="F255" s="566" t="str">
        <f>IFERROR(VLOOKUP(N255,'TABLA-DIA'!$B$2:$P$62,6,FALSE),"")</f>
        <v/>
      </c>
      <c r="G255" s="544" t="str">
        <f>IFERROR(VLOOKUP(N255,'TABLA-DIA'!$B$2:$P$62,7,FALSE),"")</f>
        <v/>
      </c>
      <c r="H255" s="582" t="str">
        <f>IFERROR(VLOOKUP(N255,'TABLA-DIA'!$B$2:$P$62,10,FALSE),"")</f>
        <v/>
      </c>
      <c r="I255" s="548" t="str">
        <f>IFERROR(VLOOKUP(N255,'TABLA-DIA'!$B$2:$P$62,11,FALSE),"")</f>
        <v/>
      </c>
      <c r="J255" s="549" t="str">
        <f>IFERROR(VLOOKUP(N255,'TABLA-DIA'!$B$2:$P$62,12,FALSE),"")</f>
        <v/>
      </c>
      <c r="K255" s="557" t="str">
        <f>IFERROR(VLOOKUP(N255,'TABLA-DIA'!$B$2:$P$62,13,FALSE),"")</f>
        <v/>
      </c>
      <c r="L255" s="603" t="str">
        <f>IFERROR(IF(VLOOKUP(N255,'TABLA-DIA'!$B$2:$P$62,14,FALSE)="","",VLOOKUP(N255,'TABLA-DIA'!$B$2:$P$62,14,FALSE)),"")</f>
        <v/>
      </c>
      <c r="M255" s="590">
        <f t="shared" si="26"/>
        <v>6</v>
      </c>
      <c r="N255" s="125" t="str">
        <f t="shared" si="25"/>
        <v>Total general-6</v>
      </c>
    </row>
    <row r="256" spans="2:15" ht="67.150000000000006" hidden="1" customHeight="1" thickBot="1">
      <c r="B256" s="724"/>
      <c r="C256" s="564" t="str">
        <f>IFERROR(VLOOKUP(N256,'TABLA-DIA'!$B$2:$P$62,9,FALSE),"")</f>
        <v/>
      </c>
      <c r="D256" s="565" t="str">
        <f>IFERROR(VLOOKUP(N256,'TABLA-DIA'!$B$2:$P$62,4,FALSE),"")</f>
        <v/>
      </c>
      <c r="E256" s="566" t="str">
        <f>IFERROR(VLOOKUP(N256,'TABLA-DIA'!$B$2:$P$62,5,FALSE),"")</f>
        <v/>
      </c>
      <c r="F256" s="566" t="str">
        <f>IFERROR(VLOOKUP(N256,'TABLA-DIA'!$B$2:$P$62,6,FALSE),"")</f>
        <v/>
      </c>
      <c r="G256" s="544" t="str">
        <f>IFERROR(VLOOKUP(N256,'TABLA-DIA'!$B$2:$P$62,7,FALSE),"")</f>
        <v/>
      </c>
      <c r="H256" s="582" t="str">
        <f>IFERROR(VLOOKUP(N256,'TABLA-DIA'!$B$2:$P$62,10,FALSE),"")</f>
        <v/>
      </c>
      <c r="I256" s="548" t="str">
        <f>IFERROR(VLOOKUP(N256,'TABLA-DIA'!$B$2:$P$62,11,FALSE),"")</f>
        <v/>
      </c>
      <c r="J256" s="549" t="str">
        <f>IFERROR(VLOOKUP(N256,'TABLA-DIA'!$B$2:$P$62,12,FALSE),"")</f>
        <v/>
      </c>
      <c r="K256" s="557" t="str">
        <f>IFERROR(VLOOKUP(N256,'TABLA-DIA'!$B$2:$P$62,13,FALSE),"")</f>
        <v/>
      </c>
      <c r="L256" s="603" t="str">
        <f>IFERROR(IF(VLOOKUP(N256,'TABLA-DIA'!$B$2:$P$62,14,FALSE)="","",VLOOKUP(N256,'TABLA-DIA'!$B$2:$P$62,14,FALSE)),"")</f>
        <v/>
      </c>
      <c r="M256" s="590">
        <f t="shared" si="26"/>
        <v>7</v>
      </c>
      <c r="N256" s="125" t="str">
        <f t="shared" si="25"/>
        <v>Total general-7</v>
      </c>
    </row>
    <row r="257" spans="2:15" ht="67.150000000000006" hidden="1" customHeight="1" thickBot="1">
      <c r="B257" s="724"/>
      <c r="C257" s="564" t="str">
        <f>IFERROR(VLOOKUP(N257,'TABLA-DIA'!$B$2:$P$62,9,FALSE),"")</f>
        <v/>
      </c>
      <c r="D257" s="565" t="str">
        <f>IFERROR(VLOOKUP(N257,'TABLA-DIA'!$B$2:$P$62,4,FALSE),"")</f>
        <v/>
      </c>
      <c r="E257" s="566" t="str">
        <f>IFERROR(VLOOKUP(N257,'TABLA-DIA'!$B$2:$P$62,5,FALSE),"")</f>
        <v/>
      </c>
      <c r="F257" s="566" t="str">
        <f>IFERROR(VLOOKUP(N257,'TABLA-DIA'!$B$2:$P$62,6,FALSE),"")</f>
        <v/>
      </c>
      <c r="G257" s="544" t="str">
        <f>IFERROR(VLOOKUP(N257,'TABLA-DIA'!$B$2:$P$62,7,FALSE),"")</f>
        <v/>
      </c>
      <c r="H257" s="582" t="str">
        <f>IFERROR(VLOOKUP(N257,'TABLA-DIA'!$B$2:$P$62,10,FALSE),"")</f>
        <v/>
      </c>
      <c r="I257" s="548" t="str">
        <f>IFERROR(VLOOKUP(N257,'TABLA-DIA'!$B$2:$P$62,11,FALSE),"")</f>
        <v/>
      </c>
      <c r="J257" s="549" t="str">
        <f>IFERROR(VLOOKUP(N257,'TABLA-DIA'!$B$2:$P$62,12,FALSE),"")</f>
        <v/>
      </c>
      <c r="K257" s="557" t="str">
        <f>IFERROR(VLOOKUP(N257,'TABLA-DIA'!$B$2:$P$62,13,FALSE),"")</f>
        <v/>
      </c>
      <c r="L257" s="603" t="str">
        <f>IFERROR(IF(VLOOKUP(N257,'TABLA-DIA'!$B$2:$P$62,14,FALSE)="","",VLOOKUP(N257,'TABLA-DIA'!$B$2:$P$62,14,FALSE)),"")</f>
        <v/>
      </c>
      <c r="M257" s="590">
        <f t="shared" si="26"/>
        <v>8</v>
      </c>
      <c r="N257" s="125" t="str">
        <f t="shared" si="25"/>
        <v>Total general-8</v>
      </c>
    </row>
    <row r="258" spans="2:15" ht="67.150000000000006" hidden="1" customHeight="1" thickBot="1">
      <c r="B258" s="724"/>
      <c r="C258" s="564" t="str">
        <f>IFERROR(VLOOKUP(N258,'TABLA-DIA'!$B$2:$P$62,9,FALSE),"")</f>
        <v/>
      </c>
      <c r="D258" s="565" t="str">
        <f>IFERROR(VLOOKUP(N258,'TABLA-DIA'!$B$2:$P$62,4,FALSE),"")</f>
        <v/>
      </c>
      <c r="E258" s="566" t="str">
        <f>IFERROR(VLOOKUP(N258,'TABLA-DIA'!$B$2:$P$62,5,FALSE),"")</f>
        <v/>
      </c>
      <c r="F258" s="566" t="str">
        <f>IFERROR(VLOOKUP(N258,'TABLA-DIA'!$B$2:$P$62,6,FALSE),"")</f>
        <v/>
      </c>
      <c r="G258" s="544" t="str">
        <f>IFERROR(VLOOKUP(N258,'TABLA-DIA'!$B$2:$P$62,7,FALSE),"")</f>
        <v/>
      </c>
      <c r="H258" s="582" t="str">
        <f>IFERROR(VLOOKUP(N258,'TABLA-DIA'!$B$2:$P$62,10,FALSE),"")</f>
        <v/>
      </c>
      <c r="I258" s="548" t="str">
        <f>IFERROR(VLOOKUP(N258,'TABLA-DIA'!$B$2:$P$62,11,FALSE),"")</f>
        <v/>
      </c>
      <c r="J258" s="549" t="str">
        <f>IFERROR(VLOOKUP(N258,'TABLA-DIA'!$B$2:$P$62,12,FALSE),"")</f>
        <v/>
      </c>
      <c r="K258" s="557" t="str">
        <f>IFERROR(VLOOKUP(N258,'TABLA-DIA'!$B$2:$P$62,13,FALSE),"")</f>
        <v/>
      </c>
      <c r="L258" s="603" t="str">
        <f>IFERROR(IF(VLOOKUP(N258,'TABLA-DIA'!$B$2:$P$62,14,FALSE)="","",VLOOKUP(N258,'TABLA-DIA'!$B$2:$P$62,14,FALSE)),"")</f>
        <v/>
      </c>
      <c r="M258" s="590">
        <f t="shared" si="26"/>
        <v>9</v>
      </c>
      <c r="N258" s="125" t="str">
        <f t="shared" si="25"/>
        <v>Total general-9</v>
      </c>
    </row>
    <row r="259" spans="2:15" ht="37.15" hidden="1" customHeight="1" thickBot="1">
      <c r="B259" s="726"/>
      <c r="C259" s="573" t="str">
        <f>IFERROR(VLOOKUP(N259,'TABLA-DIA'!$B$2:$P$62,9,FALSE),"")</f>
        <v/>
      </c>
      <c r="D259" s="574" t="str">
        <f>IFERROR(VLOOKUP(N259,'TABLA-DIA'!$B$2:$P$62,4,FALSE),"")</f>
        <v/>
      </c>
      <c r="E259" s="575" t="str">
        <f>IFERROR(VLOOKUP(N259,'TABLA-DIA'!$B$2:$P$62,5,FALSE),"")</f>
        <v/>
      </c>
      <c r="F259" s="575" t="str">
        <f>IFERROR(VLOOKUP(N259,'TABLA-DIA'!$B$2:$P$62,6,FALSE),"")</f>
        <v/>
      </c>
      <c r="G259" s="544" t="str">
        <f>IFERROR(VLOOKUP(N259,'TABLA-DIA'!$B$2:$P$62,7,FALSE),"")</f>
        <v/>
      </c>
      <c r="H259" s="585" t="str">
        <f>IFERROR(VLOOKUP(N259,'TABLA-DIA'!$B$2:$P$62,10,FALSE),"")</f>
        <v/>
      </c>
      <c r="I259" s="554" t="str">
        <f>IFERROR(VLOOKUP(N259,'TABLA-DIA'!$B$2:$P$62,11,FALSE),"")</f>
        <v/>
      </c>
      <c r="J259" s="555" t="str">
        <f>IFERROR(VLOOKUP(N259,'TABLA-DIA'!$B$2:$P$62,12,FALSE),"")</f>
        <v/>
      </c>
      <c r="K259" s="560" t="str">
        <f>IFERROR(VLOOKUP(N259,'TABLA-DIA'!$B$2:$P$62,13,FALSE),"")</f>
        <v/>
      </c>
      <c r="L259" s="606" t="str">
        <f>IFERROR(IF(VLOOKUP(N259,'TABLA-DIA'!$B$2:$P$62,14,FALSE)="","",VLOOKUP(N259,'TABLA-DIA'!$B$2:$P$62,14,FALSE)),"")</f>
        <v/>
      </c>
      <c r="M259" s="592">
        <f t="shared" si="26"/>
        <v>10</v>
      </c>
      <c r="N259" s="130" t="str">
        <f t="shared" si="25"/>
        <v>Total general-10</v>
      </c>
    </row>
    <row r="260" spans="2:15" ht="89.45" customHeight="1" thickBot="1">
      <c r="B260" s="727">
        <f>+'TABLA-DIA'!B164</f>
        <v>0</v>
      </c>
      <c r="C260" s="569" t="str">
        <f>IFERROR(VLOOKUP(N260,'TABLA-DIA'!$B$2:$P$62,9,FALSE),"")</f>
        <v/>
      </c>
      <c r="D260" s="570" t="str">
        <f>IFERROR(VLOOKUP(N260,'TABLA-DIA'!$B$2:$P$62,4,FALSE),"")</f>
        <v/>
      </c>
      <c r="E260" s="571" t="str">
        <f>IFERROR(VLOOKUP(N260,'TABLA-DIA'!$B$2:$P$62,5,FALSE),"")</f>
        <v/>
      </c>
      <c r="F260" s="571" t="str">
        <f>IFERROR(VLOOKUP(N260,'TABLA-DIA'!$B$2:$P$62,6,FALSE),"")</f>
        <v/>
      </c>
      <c r="G260" s="544" t="str">
        <f>IFERROR(VLOOKUP(N260,'TABLA-DIA'!$B$2:$P$62,7,FALSE),"")</f>
        <v/>
      </c>
      <c r="H260" s="584" t="str">
        <f>IFERROR(VLOOKUP(N260,'TABLA-DIA'!$B$2:$P$62,10,FALSE),"")</f>
        <v/>
      </c>
      <c r="I260" s="552" t="str">
        <f>IFERROR(VLOOKUP(N260,'TABLA-DIA'!$B$2:$P$62,11,FALSE),"")</f>
        <v/>
      </c>
      <c r="J260" s="553" t="str">
        <f>IFERROR(VLOOKUP(N260,'TABLA-DIA'!$B$2:$P$62,12,FALSE),"")</f>
        <v/>
      </c>
      <c r="K260" s="559" t="str">
        <f>IFERROR(VLOOKUP(N260,'TABLA-DIA'!$B$2:$P$62,13,FALSE),"")</f>
        <v/>
      </c>
      <c r="L260" s="605" t="str">
        <f>IFERROR(IF(VLOOKUP(N260,'TABLA-DIA'!$B$2:$P$62,14,FALSE)="","",VLOOKUP(N260,'TABLA-DIA'!$B$2:$P$62,14,FALSE)),"")</f>
        <v/>
      </c>
      <c r="M260" s="589">
        <v>1</v>
      </c>
      <c r="N260" s="98" t="str">
        <f t="shared" ref="N260:N269" si="27">CONCATENATE($B$260,"-",M260)</f>
        <v>0-1</v>
      </c>
      <c r="O260" s="91">
        <f>COUNTIF(G260:G269,"&lt;&gt;**")</f>
        <v>0</v>
      </c>
    </row>
    <row r="261" spans="2:15" ht="67.150000000000006" hidden="1" customHeight="1" thickBot="1">
      <c r="B261" s="728"/>
      <c r="C261" s="564" t="str">
        <f>IFERROR(VLOOKUP(N261,'TABLA-DIA'!$B$2:$P$62,9,FALSE),"")</f>
        <v/>
      </c>
      <c r="D261" s="565" t="str">
        <f>IFERROR(VLOOKUP(N261,'TABLA-DIA'!$B$2:$P$62,4,FALSE),"")</f>
        <v/>
      </c>
      <c r="E261" s="566" t="str">
        <f>IFERROR(VLOOKUP(N261,'TABLA-DIA'!$B$2:$P$62,5,FALSE),"")</f>
        <v/>
      </c>
      <c r="F261" s="566" t="str">
        <f>IFERROR(VLOOKUP(N261,'TABLA-DIA'!$B$2:$P$62,6,FALSE),"")</f>
        <v/>
      </c>
      <c r="G261" s="544" t="str">
        <f>IFERROR(VLOOKUP(N261,'TABLA-DIA'!$B$2:$P$62,7,FALSE),"")</f>
        <v/>
      </c>
      <c r="H261" s="582" t="str">
        <f>IFERROR(VLOOKUP(N261,'TABLA-DIA'!$B$2:$P$62,10,FALSE),"")</f>
        <v/>
      </c>
      <c r="I261" s="548" t="str">
        <f>IFERROR(VLOOKUP(N261,'TABLA-DIA'!$B$2:$P$62,11,FALSE),"")</f>
        <v/>
      </c>
      <c r="J261" s="549" t="str">
        <f>IFERROR(VLOOKUP(N261,'TABLA-DIA'!$B$2:$P$62,12,FALSE),"")</f>
        <v/>
      </c>
      <c r="K261" s="557" t="str">
        <f>IFERROR(VLOOKUP(N261,'TABLA-DIA'!$B$2:$P$62,13,FALSE),"")</f>
        <v/>
      </c>
      <c r="L261" s="603" t="str">
        <f>IFERROR(IF(VLOOKUP(N261,'TABLA-DIA'!$B$2:$P$62,14,FALSE)="","",VLOOKUP(N261,'TABLA-DIA'!$B$2:$P$62,14,FALSE)),"")</f>
        <v/>
      </c>
      <c r="M261" s="590">
        <f t="shared" ref="M261:M269" si="28">+M260+1</f>
        <v>2</v>
      </c>
      <c r="N261" s="125" t="str">
        <f t="shared" si="27"/>
        <v>0-2</v>
      </c>
    </row>
    <row r="262" spans="2:15" ht="67.150000000000006" hidden="1" customHeight="1" thickBot="1">
      <c r="B262" s="728"/>
      <c r="C262" s="564" t="str">
        <f>IFERROR(VLOOKUP(N262,'TABLA-DIA'!$B$2:$P$62,9,FALSE),"")</f>
        <v/>
      </c>
      <c r="D262" s="565" t="str">
        <f>IFERROR(VLOOKUP(N262,'TABLA-DIA'!$B$2:$P$62,4,FALSE),"")</f>
        <v/>
      </c>
      <c r="E262" s="566" t="str">
        <f>IFERROR(VLOOKUP(N262,'TABLA-DIA'!$B$2:$P$62,5,FALSE),"")</f>
        <v/>
      </c>
      <c r="F262" s="566" t="str">
        <f>IFERROR(VLOOKUP(N262,'TABLA-DIA'!$B$2:$P$62,6,FALSE),"")</f>
        <v/>
      </c>
      <c r="G262" s="544" t="str">
        <f>IFERROR(VLOOKUP(N262,'TABLA-DIA'!$B$2:$P$62,7,FALSE),"")</f>
        <v/>
      </c>
      <c r="H262" s="582" t="str">
        <f>IFERROR(VLOOKUP(N262,'TABLA-DIA'!$B$2:$P$62,10,FALSE),"")</f>
        <v/>
      </c>
      <c r="I262" s="548" t="str">
        <f>IFERROR(VLOOKUP(N262,'TABLA-DIA'!$B$2:$P$62,11,FALSE),"")</f>
        <v/>
      </c>
      <c r="J262" s="549" t="str">
        <f>IFERROR(VLOOKUP(N262,'TABLA-DIA'!$B$2:$P$62,12,FALSE),"")</f>
        <v/>
      </c>
      <c r="K262" s="557" t="str">
        <f>IFERROR(VLOOKUP(N262,'TABLA-DIA'!$B$2:$P$62,13,FALSE),"")</f>
        <v/>
      </c>
      <c r="L262" s="603" t="str">
        <f>IFERROR(IF(VLOOKUP(N262,'TABLA-DIA'!$B$2:$P$62,14,FALSE)="","",VLOOKUP(N262,'TABLA-DIA'!$B$2:$P$62,14,FALSE)),"")</f>
        <v/>
      </c>
      <c r="M262" s="590">
        <f t="shared" si="28"/>
        <v>3</v>
      </c>
      <c r="N262" s="125" t="str">
        <f t="shared" si="27"/>
        <v>0-3</v>
      </c>
    </row>
    <row r="263" spans="2:15" ht="67.150000000000006" hidden="1" customHeight="1" thickBot="1">
      <c r="B263" s="728"/>
      <c r="C263" s="564" t="str">
        <f>IFERROR(VLOOKUP(N263,'TABLA-DIA'!$B$2:$P$62,9,FALSE),"")</f>
        <v/>
      </c>
      <c r="D263" s="565" t="str">
        <f>IFERROR(VLOOKUP(N263,'TABLA-DIA'!$B$2:$P$62,4,FALSE),"")</f>
        <v/>
      </c>
      <c r="E263" s="566" t="str">
        <f>IFERROR(VLOOKUP(N263,'TABLA-DIA'!$B$2:$P$62,5,FALSE),"")</f>
        <v/>
      </c>
      <c r="F263" s="566" t="str">
        <f>IFERROR(VLOOKUP(N263,'TABLA-DIA'!$B$2:$P$62,6,FALSE),"")</f>
        <v/>
      </c>
      <c r="G263" s="544" t="str">
        <f>IFERROR(VLOOKUP(N263,'TABLA-DIA'!$B$2:$P$62,7,FALSE),"")</f>
        <v/>
      </c>
      <c r="H263" s="582" t="str">
        <f>IFERROR(VLOOKUP(N263,'TABLA-DIA'!$B$2:$P$62,10,FALSE),"")</f>
        <v/>
      </c>
      <c r="I263" s="548" t="str">
        <f>IFERROR(VLOOKUP(N263,'TABLA-DIA'!$B$2:$P$62,11,FALSE),"")</f>
        <v/>
      </c>
      <c r="J263" s="549" t="str">
        <f>IFERROR(VLOOKUP(N263,'TABLA-DIA'!$B$2:$P$62,12,FALSE),"")</f>
        <v/>
      </c>
      <c r="K263" s="557" t="str">
        <f>IFERROR(VLOOKUP(N263,'TABLA-DIA'!$B$2:$P$62,13,FALSE),"")</f>
        <v/>
      </c>
      <c r="L263" s="603" t="str">
        <f>IFERROR(IF(VLOOKUP(N263,'TABLA-DIA'!$B$2:$P$62,14,FALSE)="","",VLOOKUP(N263,'TABLA-DIA'!$B$2:$P$62,14,FALSE)),"")</f>
        <v/>
      </c>
      <c r="M263" s="590">
        <f t="shared" si="28"/>
        <v>4</v>
      </c>
      <c r="N263" s="125" t="str">
        <f t="shared" si="27"/>
        <v>0-4</v>
      </c>
    </row>
    <row r="264" spans="2:15" ht="67.150000000000006" hidden="1" customHeight="1" thickBot="1">
      <c r="B264" s="728"/>
      <c r="C264" s="564" t="str">
        <f>IFERROR(VLOOKUP(N264,'TABLA-DIA'!$B$2:$P$62,9,FALSE),"")</f>
        <v/>
      </c>
      <c r="D264" s="565" t="str">
        <f>IFERROR(VLOOKUP(N264,'TABLA-DIA'!$B$2:$P$62,4,FALSE),"")</f>
        <v/>
      </c>
      <c r="E264" s="566" t="str">
        <f>IFERROR(VLOOKUP(N264,'TABLA-DIA'!$B$2:$P$62,5,FALSE),"")</f>
        <v/>
      </c>
      <c r="F264" s="566" t="str">
        <f>IFERROR(VLOOKUP(N264,'TABLA-DIA'!$B$2:$P$62,6,FALSE),"")</f>
        <v/>
      </c>
      <c r="G264" s="544" t="str">
        <f>IFERROR(VLOOKUP(N264,'TABLA-DIA'!$B$2:$P$62,7,FALSE),"")</f>
        <v/>
      </c>
      <c r="H264" s="582" t="str">
        <f>IFERROR(VLOOKUP(N264,'TABLA-DIA'!$B$2:$P$62,10,FALSE),"")</f>
        <v/>
      </c>
      <c r="I264" s="548" t="str">
        <f>IFERROR(VLOOKUP(N264,'TABLA-DIA'!$B$2:$P$62,11,FALSE),"")</f>
        <v/>
      </c>
      <c r="J264" s="549" t="str">
        <f>IFERROR(VLOOKUP(N264,'TABLA-DIA'!$B$2:$P$62,12,FALSE),"")</f>
        <v/>
      </c>
      <c r="K264" s="557" t="str">
        <f>IFERROR(VLOOKUP(N264,'TABLA-DIA'!$B$2:$P$62,13,FALSE),"")</f>
        <v/>
      </c>
      <c r="L264" s="603" t="str">
        <f>IFERROR(IF(VLOOKUP(N264,'TABLA-DIA'!$B$2:$P$62,14,FALSE)="","",VLOOKUP(N264,'TABLA-DIA'!$B$2:$P$62,14,FALSE)),"")</f>
        <v/>
      </c>
      <c r="M264" s="590">
        <f t="shared" si="28"/>
        <v>5</v>
      </c>
      <c r="N264" s="125" t="str">
        <f t="shared" si="27"/>
        <v>0-5</v>
      </c>
    </row>
    <row r="265" spans="2:15" ht="67.150000000000006" hidden="1" customHeight="1" thickBot="1">
      <c r="B265" s="728"/>
      <c r="C265" s="564" t="str">
        <f>IFERROR(VLOOKUP(N265,'TABLA-DIA'!$B$2:$P$62,9,FALSE),"")</f>
        <v/>
      </c>
      <c r="D265" s="565" t="str">
        <f>IFERROR(VLOOKUP(N265,'TABLA-DIA'!$B$2:$P$62,4,FALSE),"")</f>
        <v/>
      </c>
      <c r="E265" s="566" t="str">
        <f>IFERROR(VLOOKUP(N265,'TABLA-DIA'!$B$2:$P$62,5,FALSE),"")</f>
        <v/>
      </c>
      <c r="F265" s="566" t="str">
        <f>IFERROR(VLOOKUP(N265,'TABLA-DIA'!$B$2:$P$62,6,FALSE),"")</f>
        <v/>
      </c>
      <c r="G265" s="544" t="str">
        <f>IFERROR(VLOOKUP(N265,'TABLA-DIA'!$B$2:$P$62,7,FALSE),"")</f>
        <v/>
      </c>
      <c r="H265" s="582" t="str">
        <f>IFERROR(VLOOKUP(N265,'TABLA-DIA'!$B$2:$P$62,10,FALSE),"")</f>
        <v/>
      </c>
      <c r="I265" s="548" t="str">
        <f>IFERROR(VLOOKUP(N265,'TABLA-DIA'!$B$2:$P$62,11,FALSE),"")</f>
        <v/>
      </c>
      <c r="J265" s="549" t="str">
        <f>IFERROR(VLOOKUP(N265,'TABLA-DIA'!$B$2:$P$62,12,FALSE),"")</f>
        <v/>
      </c>
      <c r="K265" s="557" t="str">
        <f>IFERROR(VLOOKUP(N265,'TABLA-DIA'!$B$2:$P$62,13,FALSE),"")</f>
        <v/>
      </c>
      <c r="L265" s="603" t="str">
        <f>IFERROR(IF(VLOOKUP(N265,'TABLA-DIA'!$B$2:$P$62,14,FALSE)="","",VLOOKUP(N265,'TABLA-DIA'!$B$2:$P$62,14,FALSE)),"")</f>
        <v/>
      </c>
      <c r="M265" s="590">
        <f t="shared" si="28"/>
        <v>6</v>
      </c>
      <c r="N265" s="125" t="str">
        <f t="shared" si="27"/>
        <v>0-6</v>
      </c>
    </row>
    <row r="266" spans="2:15" ht="67.150000000000006" hidden="1" customHeight="1" thickBot="1">
      <c r="B266" s="728"/>
      <c r="C266" s="564" t="str">
        <f>IFERROR(VLOOKUP(N266,'TABLA-DIA'!$B$2:$P$62,9,FALSE),"")</f>
        <v/>
      </c>
      <c r="D266" s="565" t="str">
        <f>IFERROR(VLOOKUP(N266,'TABLA-DIA'!$B$2:$P$62,4,FALSE),"")</f>
        <v/>
      </c>
      <c r="E266" s="566" t="str">
        <f>IFERROR(VLOOKUP(N266,'TABLA-DIA'!$B$2:$P$62,5,FALSE),"")</f>
        <v/>
      </c>
      <c r="F266" s="566" t="str">
        <f>IFERROR(VLOOKUP(N266,'TABLA-DIA'!$B$2:$P$62,6,FALSE),"")</f>
        <v/>
      </c>
      <c r="G266" s="544" t="str">
        <f>IFERROR(VLOOKUP(N266,'TABLA-DIA'!$B$2:$P$62,7,FALSE),"")</f>
        <v/>
      </c>
      <c r="H266" s="582" t="str">
        <f>IFERROR(VLOOKUP(N266,'TABLA-DIA'!$B$2:$P$62,10,FALSE),"")</f>
        <v/>
      </c>
      <c r="I266" s="548" t="str">
        <f>IFERROR(VLOOKUP(N266,'TABLA-DIA'!$B$2:$P$62,11,FALSE),"")</f>
        <v/>
      </c>
      <c r="J266" s="549" t="str">
        <f>IFERROR(VLOOKUP(N266,'TABLA-DIA'!$B$2:$P$62,12,FALSE),"")</f>
        <v/>
      </c>
      <c r="K266" s="557" t="str">
        <f>IFERROR(VLOOKUP(N266,'TABLA-DIA'!$B$2:$P$62,13,FALSE),"")</f>
        <v/>
      </c>
      <c r="L266" s="603" t="str">
        <f>IFERROR(IF(VLOOKUP(N266,'TABLA-DIA'!$B$2:$P$62,14,FALSE)="","",VLOOKUP(N266,'TABLA-DIA'!$B$2:$P$62,14,FALSE)),"")</f>
        <v/>
      </c>
      <c r="M266" s="590">
        <f t="shared" si="28"/>
        <v>7</v>
      </c>
      <c r="N266" s="125" t="str">
        <f t="shared" si="27"/>
        <v>0-7</v>
      </c>
    </row>
    <row r="267" spans="2:15" ht="67.150000000000006" hidden="1" customHeight="1" thickBot="1">
      <c r="B267" s="728"/>
      <c r="C267" s="564" t="str">
        <f>IFERROR(VLOOKUP(N267,'TABLA-DIA'!$B$2:$P$62,9,FALSE),"")</f>
        <v/>
      </c>
      <c r="D267" s="565" t="str">
        <f>IFERROR(VLOOKUP(N267,'TABLA-DIA'!$B$2:$P$62,4,FALSE),"")</f>
        <v/>
      </c>
      <c r="E267" s="566" t="str">
        <f>IFERROR(VLOOKUP(N267,'TABLA-DIA'!$B$2:$P$62,5,FALSE),"")</f>
        <v/>
      </c>
      <c r="F267" s="566" t="str">
        <f>IFERROR(VLOOKUP(N267,'TABLA-DIA'!$B$2:$P$62,6,FALSE),"")</f>
        <v/>
      </c>
      <c r="G267" s="544" t="str">
        <f>IFERROR(VLOOKUP(N267,'TABLA-DIA'!$B$2:$P$62,7,FALSE),"")</f>
        <v/>
      </c>
      <c r="H267" s="582" t="str">
        <f>IFERROR(VLOOKUP(N267,'TABLA-DIA'!$B$2:$P$62,10,FALSE),"")</f>
        <v/>
      </c>
      <c r="I267" s="548" t="str">
        <f>IFERROR(VLOOKUP(N267,'TABLA-DIA'!$B$2:$P$62,11,FALSE),"")</f>
        <v/>
      </c>
      <c r="J267" s="549" t="str">
        <f>IFERROR(VLOOKUP(N267,'TABLA-DIA'!$B$2:$P$62,12,FALSE),"")</f>
        <v/>
      </c>
      <c r="K267" s="557" t="str">
        <f>IFERROR(VLOOKUP(N267,'TABLA-DIA'!$B$2:$P$62,13,FALSE),"")</f>
        <v/>
      </c>
      <c r="L267" s="603" t="str">
        <f>IFERROR(IF(VLOOKUP(N267,'TABLA-DIA'!$B$2:$P$62,14,FALSE)="","",VLOOKUP(N267,'TABLA-DIA'!$B$2:$P$62,14,FALSE)),"")</f>
        <v/>
      </c>
      <c r="M267" s="590">
        <f t="shared" si="28"/>
        <v>8</v>
      </c>
      <c r="N267" s="125" t="str">
        <f t="shared" si="27"/>
        <v>0-8</v>
      </c>
    </row>
    <row r="268" spans="2:15" ht="67.150000000000006" hidden="1" customHeight="1" thickBot="1">
      <c r="B268" s="728"/>
      <c r="C268" s="564" t="str">
        <f>IFERROR(VLOOKUP(N268,'TABLA-DIA'!$B$2:$P$62,9,FALSE),"")</f>
        <v/>
      </c>
      <c r="D268" s="565" t="str">
        <f>IFERROR(VLOOKUP(N268,'TABLA-DIA'!$B$2:$P$62,4,FALSE),"")</f>
        <v/>
      </c>
      <c r="E268" s="566" t="str">
        <f>IFERROR(VLOOKUP(N268,'TABLA-DIA'!$B$2:$P$62,5,FALSE),"")</f>
        <v/>
      </c>
      <c r="F268" s="566" t="str">
        <f>IFERROR(VLOOKUP(N268,'TABLA-DIA'!$B$2:$P$62,6,FALSE),"")</f>
        <v/>
      </c>
      <c r="G268" s="544" t="str">
        <f>IFERROR(VLOOKUP(N268,'TABLA-DIA'!$B$2:$P$62,7,FALSE),"")</f>
        <v/>
      </c>
      <c r="H268" s="582" t="str">
        <f>IFERROR(VLOOKUP(N268,'TABLA-DIA'!$B$2:$P$62,10,FALSE),"")</f>
        <v/>
      </c>
      <c r="I268" s="548" t="str">
        <f>IFERROR(VLOOKUP(N268,'TABLA-DIA'!$B$2:$P$62,11,FALSE),"")</f>
        <v/>
      </c>
      <c r="J268" s="549" t="str">
        <f>IFERROR(VLOOKUP(N268,'TABLA-DIA'!$B$2:$P$62,12,FALSE),"")</f>
        <v/>
      </c>
      <c r="K268" s="557" t="str">
        <f>IFERROR(VLOOKUP(N268,'TABLA-DIA'!$B$2:$P$62,13,FALSE),"")</f>
        <v/>
      </c>
      <c r="L268" s="603" t="str">
        <f>IFERROR(IF(VLOOKUP(N268,'TABLA-DIA'!$B$2:$P$62,14,FALSE)="","",VLOOKUP(N268,'TABLA-DIA'!$B$2:$P$62,14,FALSE)),"")</f>
        <v/>
      </c>
      <c r="M268" s="590">
        <f t="shared" si="28"/>
        <v>9</v>
      </c>
      <c r="N268" s="125" t="str">
        <f t="shared" si="27"/>
        <v>0-9</v>
      </c>
    </row>
    <row r="269" spans="2:15" ht="67.150000000000006" hidden="1" customHeight="1" thickBot="1">
      <c r="B269" s="729"/>
      <c r="C269" s="573" t="str">
        <f>IFERROR(VLOOKUP(N269,'TABLA-DIA'!$B$2:$P$62,9,FALSE),"")</f>
        <v/>
      </c>
      <c r="D269" s="574" t="str">
        <f>IFERROR(VLOOKUP(N269,'TABLA-DIA'!$B$2:$P$62,4,FALSE),"")</f>
        <v/>
      </c>
      <c r="E269" s="575" t="str">
        <f>IFERROR(VLOOKUP(N269,'TABLA-DIA'!$B$2:$P$62,5,FALSE),"")</f>
        <v/>
      </c>
      <c r="F269" s="575" t="str">
        <f>IFERROR(VLOOKUP(N269,'TABLA-DIA'!$B$2:$P$62,6,FALSE),"")</f>
        <v/>
      </c>
      <c r="G269" s="544" t="str">
        <f>IFERROR(VLOOKUP(N269,'TABLA-DIA'!$B$2:$P$62,7,FALSE),"")</f>
        <v/>
      </c>
      <c r="H269" s="585" t="str">
        <f>IFERROR(VLOOKUP(N269,'TABLA-DIA'!$B$2:$P$62,10,FALSE),"")</f>
        <v/>
      </c>
      <c r="I269" s="554" t="str">
        <f>IFERROR(VLOOKUP(N269,'TABLA-DIA'!$B$2:$P$62,11,FALSE),"")</f>
        <v/>
      </c>
      <c r="J269" s="555" t="str">
        <f>IFERROR(VLOOKUP(N269,'TABLA-DIA'!$B$2:$P$62,12,FALSE),"")</f>
        <v/>
      </c>
      <c r="K269" s="560" t="str">
        <f>IFERROR(VLOOKUP(N269,'TABLA-DIA'!$B$2:$P$62,13,FALSE),"")</f>
        <v/>
      </c>
      <c r="L269" s="606" t="str">
        <f>IFERROR(IF(VLOOKUP(N269,'TABLA-DIA'!$B$2:$P$62,14,FALSE)="","",VLOOKUP(N269,'TABLA-DIA'!$B$2:$P$62,14,FALSE)),"")</f>
        <v/>
      </c>
      <c r="M269" s="592">
        <f t="shared" si="28"/>
        <v>10</v>
      </c>
      <c r="N269" s="130" t="str">
        <f t="shared" si="27"/>
        <v>0-10</v>
      </c>
    </row>
    <row r="270" spans="2:15" ht="110.25" customHeight="1" thickBot="1">
      <c r="B270" s="723">
        <f>+'TABLA-DIA'!B165</f>
        <v>0</v>
      </c>
      <c r="C270" s="569" t="str">
        <f>IFERROR(VLOOKUP(N270,'TABLA-DIA'!$B$2:$P$62,9,FALSE),"")</f>
        <v/>
      </c>
      <c r="D270" s="570" t="str">
        <f>IFERROR(VLOOKUP(N270,'TABLA-DIA'!$B$2:$P$62,4,FALSE),"")</f>
        <v/>
      </c>
      <c r="E270" s="571" t="str">
        <f>IFERROR(VLOOKUP(N270,'TABLA-DIA'!$B$2:$P$62,5,FALSE),"")</f>
        <v/>
      </c>
      <c r="F270" s="571" t="str">
        <f>IFERROR(VLOOKUP(N270,'TABLA-DIA'!$B$2:$P$62,6,FALSE),"")</f>
        <v/>
      </c>
      <c r="G270" s="544" t="str">
        <f>IFERROR(VLOOKUP(N270,'TABLA-DIA'!$B$2:$P$62,7,FALSE),"")</f>
        <v/>
      </c>
      <c r="H270" s="584" t="str">
        <f>IFERROR(VLOOKUP(N270,'TABLA-DIA'!$B$2:$P$62,10,FALSE),"")</f>
        <v/>
      </c>
      <c r="I270" s="552" t="str">
        <f>IFERROR(VLOOKUP(N270,'TABLA-DIA'!$B$2:$P$62,11,FALSE),"")</f>
        <v/>
      </c>
      <c r="J270" s="553" t="str">
        <f>IFERROR(VLOOKUP(N270,'TABLA-DIA'!$B$2:$P$62,12,FALSE),"")</f>
        <v/>
      </c>
      <c r="K270" s="559" t="str">
        <f>IFERROR(VLOOKUP(N270,'TABLA-DIA'!$B$2:$P$62,13,FALSE),"")</f>
        <v/>
      </c>
      <c r="L270" s="605" t="str">
        <f>IFERROR(IF(VLOOKUP(N270,'TABLA-DIA'!$B$2:$P$62,14,FALSE)="","",VLOOKUP(N270,'TABLA-DIA'!$B$2:$P$62,14,FALSE)),"")</f>
        <v/>
      </c>
      <c r="M270" s="589">
        <v>1</v>
      </c>
      <c r="N270" s="98" t="str">
        <f t="shared" ref="N270:N279" si="29">CONCATENATE($B$270,"-",M270)</f>
        <v>0-1</v>
      </c>
      <c r="O270" s="91">
        <f>COUNTIF(G270:G279,"&lt;&gt;**")</f>
        <v>0</v>
      </c>
    </row>
    <row r="271" spans="2:15" ht="67.150000000000006" hidden="1" customHeight="1" thickBot="1">
      <c r="B271" s="724"/>
      <c r="C271" s="564" t="str">
        <f>IFERROR(VLOOKUP(N271,'TABLA-DIA'!$B$2:$P$62,9,FALSE),"")</f>
        <v/>
      </c>
      <c r="D271" s="565" t="str">
        <f>IFERROR(VLOOKUP(N271,'TABLA-DIA'!$B$2:$P$62,4,FALSE),"")</f>
        <v/>
      </c>
      <c r="E271" s="566" t="str">
        <f>IFERROR(VLOOKUP(N271,'TABLA-DIA'!$B$2:$P$62,5,FALSE),"")</f>
        <v/>
      </c>
      <c r="F271" s="566" t="str">
        <f>IFERROR(VLOOKUP(N271,'TABLA-DIA'!$B$2:$P$62,6,FALSE),"")</f>
        <v/>
      </c>
      <c r="G271" s="544" t="str">
        <f>IFERROR(VLOOKUP(N271,'TABLA-DIA'!$B$2:$P$62,7,FALSE),"")</f>
        <v/>
      </c>
      <c r="H271" s="582" t="str">
        <f>IFERROR(VLOOKUP(N271,'TABLA-DIA'!$B$2:$P$62,10,FALSE),"")</f>
        <v/>
      </c>
      <c r="I271" s="548" t="str">
        <f>IFERROR(VLOOKUP(N271,'TABLA-DIA'!$B$2:$P$62,11,FALSE),"")</f>
        <v/>
      </c>
      <c r="J271" s="549" t="str">
        <f>IFERROR(VLOOKUP(N271,'TABLA-DIA'!$B$2:$P$62,12,FALSE),"")</f>
        <v/>
      </c>
      <c r="K271" s="557" t="str">
        <f>IFERROR(VLOOKUP(N271,'TABLA-DIA'!$B$2:$P$62,13,FALSE),"")</f>
        <v/>
      </c>
      <c r="L271" s="603" t="str">
        <f>IFERROR(IF(VLOOKUP(N271,'TABLA-DIA'!$B$2:$P$62,14,FALSE)="","",VLOOKUP(N271,'TABLA-DIA'!$B$2:$P$62,14,FALSE)),"")</f>
        <v/>
      </c>
      <c r="M271" s="590">
        <v>2</v>
      </c>
      <c r="N271" s="125" t="str">
        <f t="shared" si="29"/>
        <v>0-2</v>
      </c>
    </row>
    <row r="272" spans="2:15" ht="67.150000000000006" hidden="1" customHeight="1" thickBot="1">
      <c r="B272" s="724"/>
      <c r="C272" s="564" t="str">
        <f>IFERROR(VLOOKUP(N272,'TABLA-DIA'!$B$2:$P$62,9,FALSE),"")</f>
        <v/>
      </c>
      <c r="D272" s="565" t="str">
        <f>IFERROR(VLOOKUP(N272,'TABLA-DIA'!$B$2:$P$62,4,FALSE),"")</f>
        <v/>
      </c>
      <c r="E272" s="566" t="str">
        <f>IFERROR(VLOOKUP(N272,'TABLA-DIA'!$B$2:$P$62,5,FALSE),"")</f>
        <v/>
      </c>
      <c r="F272" s="566" t="str">
        <f>IFERROR(VLOOKUP(N272,'TABLA-DIA'!$B$2:$P$62,6,FALSE),"")</f>
        <v/>
      </c>
      <c r="G272" s="544" t="str">
        <f>IFERROR(VLOOKUP(N272,'TABLA-DIA'!$B$2:$P$62,7,FALSE),"")</f>
        <v/>
      </c>
      <c r="H272" s="582" t="str">
        <f>IFERROR(VLOOKUP(N272,'TABLA-DIA'!$B$2:$P$62,10,FALSE),"")</f>
        <v/>
      </c>
      <c r="I272" s="548" t="str">
        <f>IFERROR(VLOOKUP(N272,'TABLA-DIA'!$B$2:$P$62,11,FALSE),"")</f>
        <v/>
      </c>
      <c r="J272" s="549" t="str">
        <f>IFERROR(VLOOKUP(N272,'TABLA-DIA'!$B$2:$P$62,12,FALSE),"")</f>
        <v/>
      </c>
      <c r="K272" s="557" t="str">
        <f>IFERROR(VLOOKUP(N272,'TABLA-DIA'!$B$2:$P$62,13,FALSE),"")</f>
        <v/>
      </c>
      <c r="L272" s="603" t="str">
        <f>IFERROR(IF(VLOOKUP(N272,'TABLA-DIA'!$B$2:$P$62,14,FALSE)="","",VLOOKUP(N272,'TABLA-DIA'!$B$2:$P$62,14,FALSE)),"")</f>
        <v/>
      </c>
      <c r="M272" s="590">
        <v>3</v>
      </c>
      <c r="N272" s="125" t="str">
        <f t="shared" si="29"/>
        <v>0-3</v>
      </c>
    </row>
    <row r="273" spans="2:15" ht="67.150000000000006" hidden="1" customHeight="1" thickBot="1">
      <c r="B273" s="724"/>
      <c r="C273" s="564" t="str">
        <f>IFERROR(VLOOKUP(N273,'TABLA-DIA'!$B$2:$P$62,9,FALSE),"")</f>
        <v/>
      </c>
      <c r="D273" s="565" t="str">
        <f>IFERROR(VLOOKUP(N273,'TABLA-DIA'!$B$2:$P$62,4,FALSE),"")</f>
        <v/>
      </c>
      <c r="E273" s="566" t="str">
        <f>IFERROR(VLOOKUP(N273,'TABLA-DIA'!$B$2:$P$62,5,FALSE),"")</f>
        <v/>
      </c>
      <c r="F273" s="566" t="str">
        <f>IFERROR(VLOOKUP(N273,'TABLA-DIA'!$B$2:$P$62,6,FALSE),"")</f>
        <v/>
      </c>
      <c r="G273" s="544" t="str">
        <f>IFERROR(VLOOKUP(N273,'TABLA-DIA'!$B$2:$P$62,7,FALSE),"")</f>
        <v/>
      </c>
      <c r="H273" s="582" t="str">
        <f>IFERROR(VLOOKUP(N273,'TABLA-DIA'!$B$2:$P$62,10,FALSE),"")</f>
        <v/>
      </c>
      <c r="I273" s="548" t="str">
        <f>IFERROR(VLOOKUP(N273,'TABLA-DIA'!$B$2:$P$62,11,FALSE),"")</f>
        <v/>
      </c>
      <c r="J273" s="549" t="str">
        <f>IFERROR(VLOOKUP(N273,'TABLA-DIA'!$B$2:$P$62,12,FALSE),"")</f>
        <v/>
      </c>
      <c r="K273" s="557" t="str">
        <f>IFERROR(VLOOKUP(N273,'TABLA-DIA'!$B$2:$P$62,13,FALSE),"")</f>
        <v/>
      </c>
      <c r="L273" s="603" t="str">
        <f>IFERROR(IF(VLOOKUP(N273,'TABLA-DIA'!$B$2:$P$62,14,FALSE)="","",VLOOKUP(N273,'TABLA-DIA'!$B$2:$P$62,14,FALSE)),"")</f>
        <v/>
      </c>
      <c r="M273" s="590">
        <v>4</v>
      </c>
      <c r="N273" s="125" t="str">
        <f t="shared" si="29"/>
        <v>0-4</v>
      </c>
    </row>
    <row r="274" spans="2:15" ht="67.150000000000006" hidden="1" customHeight="1" thickBot="1">
      <c r="B274" s="724"/>
      <c r="C274" s="564" t="str">
        <f>IFERROR(VLOOKUP(N274,'TABLA-DIA'!$B$2:$P$62,9,FALSE),"")</f>
        <v/>
      </c>
      <c r="D274" s="565" t="str">
        <f>IFERROR(VLOOKUP(N274,'TABLA-DIA'!$B$2:$P$62,4,FALSE),"")</f>
        <v/>
      </c>
      <c r="E274" s="566" t="str">
        <f>IFERROR(VLOOKUP(N274,'TABLA-DIA'!$B$2:$P$62,5,FALSE),"")</f>
        <v/>
      </c>
      <c r="F274" s="566" t="str">
        <f>IFERROR(VLOOKUP(N274,'TABLA-DIA'!$B$2:$P$62,6,FALSE),"")</f>
        <v/>
      </c>
      <c r="G274" s="544" t="str">
        <f>IFERROR(VLOOKUP(N274,'TABLA-DIA'!$B$2:$P$62,7,FALSE),"")</f>
        <v/>
      </c>
      <c r="H274" s="582" t="str">
        <f>IFERROR(VLOOKUP(N274,'TABLA-DIA'!$B$2:$P$62,10,FALSE),"")</f>
        <v/>
      </c>
      <c r="I274" s="548" t="str">
        <f>IFERROR(VLOOKUP(N274,'TABLA-DIA'!$B$2:$P$62,11,FALSE),"")</f>
        <v/>
      </c>
      <c r="J274" s="549" t="str">
        <f>IFERROR(VLOOKUP(N274,'TABLA-DIA'!$B$2:$P$62,12,FALSE),"")</f>
        <v/>
      </c>
      <c r="K274" s="557" t="str">
        <f>IFERROR(VLOOKUP(N274,'TABLA-DIA'!$B$2:$P$62,13,FALSE),"")</f>
        <v/>
      </c>
      <c r="L274" s="603" t="str">
        <f>IFERROR(IF(VLOOKUP(N274,'TABLA-DIA'!$B$2:$P$62,14,FALSE)="","",VLOOKUP(N274,'TABLA-DIA'!$B$2:$P$62,14,FALSE)),"")</f>
        <v/>
      </c>
      <c r="M274" s="590">
        <v>5</v>
      </c>
      <c r="N274" s="125" t="str">
        <f t="shared" si="29"/>
        <v>0-5</v>
      </c>
    </row>
    <row r="275" spans="2:15" ht="67.150000000000006" hidden="1" customHeight="1" thickBot="1">
      <c r="B275" s="724"/>
      <c r="C275" s="564" t="str">
        <f>IFERROR(VLOOKUP(N275,'TABLA-DIA'!$B$2:$P$62,9,FALSE),"")</f>
        <v/>
      </c>
      <c r="D275" s="565" t="str">
        <f>IFERROR(VLOOKUP(N275,'TABLA-DIA'!$B$2:$P$62,4,FALSE),"")</f>
        <v/>
      </c>
      <c r="E275" s="566" t="str">
        <f>IFERROR(VLOOKUP(N275,'TABLA-DIA'!$B$2:$P$62,5,FALSE),"")</f>
        <v/>
      </c>
      <c r="F275" s="566" t="str">
        <f>IFERROR(VLOOKUP(N275,'TABLA-DIA'!$B$2:$P$62,6,FALSE),"")</f>
        <v/>
      </c>
      <c r="G275" s="544" t="str">
        <f>IFERROR(VLOOKUP(N275,'TABLA-DIA'!$B$2:$P$62,7,FALSE),"")</f>
        <v/>
      </c>
      <c r="H275" s="582" t="str">
        <f>IFERROR(VLOOKUP(N275,'TABLA-DIA'!$B$2:$P$62,10,FALSE),"")</f>
        <v/>
      </c>
      <c r="I275" s="548" t="str">
        <f>IFERROR(VLOOKUP(N275,'TABLA-DIA'!$B$2:$P$62,11,FALSE),"")</f>
        <v/>
      </c>
      <c r="J275" s="549" t="str">
        <f>IFERROR(VLOOKUP(N275,'TABLA-DIA'!$B$2:$P$62,12,FALSE),"")</f>
        <v/>
      </c>
      <c r="K275" s="557" t="str">
        <f>IFERROR(VLOOKUP(N275,'TABLA-DIA'!$B$2:$P$62,13,FALSE),"")</f>
        <v/>
      </c>
      <c r="L275" s="603" t="str">
        <f>IFERROR(IF(VLOOKUP(N275,'TABLA-DIA'!$B$2:$P$62,14,FALSE)="","",VLOOKUP(N275,'TABLA-DIA'!$B$2:$P$62,14,FALSE)),"")</f>
        <v/>
      </c>
      <c r="M275" s="590">
        <v>6</v>
      </c>
      <c r="N275" s="125" t="str">
        <f t="shared" si="29"/>
        <v>0-6</v>
      </c>
    </row>
    <row r="276" spans="2:15" ht="67.150000000000006" hidden="1" customHeight="1" thickBot="1">
      <c r="B276" s="724"/>
      <c r="C276" s="564" t="str">
        <f>IFERROR(VLOOKUP(N276,'TABLA-DIA'!$B$2:$P$62,9,FALSE),"")</f>
        <v/>
      </c>
      <c r="D276" s="565" t="str">
        <f>IFERROR(VLOOKUP(N276,'TABLA-DIA'!$B$2:$P$62,4,FALSE),"")</f>
        <v/>
      </c>
      <c r="E276" s="566" t="str">
        <f>IFERROR(VLOOKUP(N276,'TABLA-DIA'!$B$2:$P$62,5,FALSE),"")</f>
        <v/>
      </c>
      <c r="F276" s="566" t="str">
        <f>IFERROR(VLOOKUP(N276,'TABLA-DIA'!$B$2:$P$62,6,FALSE),"")</f>
        <v/>
      </c>
      <c r="G276" s="544" t="str">
        <f>IFERROR(VLOOKUP(N276,'TABLA-DIA'!$B$2:$P$62,7,FALSE),"")</f>
        <v/>
      </c>
      <c r="H276" s="582" t="str">
        <f>IFERROR(VLOOKUP(N276,'TABLA-DIA'!$B$2:$P$62,10,FALSE),"")</f>
        <v/>
      </c>
      <c r="I276" s="548" t="str">
        <f>IFERROR(VLOOKUP(N276,'TABLA-DIA'!$B$2:$P$62,11,FALSE),"")</f>
        <v/>
      </c>
      <c r="J276" s="549" t="str">
        <f>IFERROR(VLOOKUP(N276,'TABLA-DIA'!$B$2:$P$62,12,FALSE),"")</f>
        <v/>
      </c>
      <c r="K276" s="557" t="str">
        <f>IFERROR(VLOOKUP(N276,'TABLA-DIA'!$B$2:$P$62,13,FALSE),"")</f>
        <v/>
      </c>
      <c r="L276" s="603" t="str">
        <f>IFERROR(IF(VLOOKUP(N276,'TABLA-DIA'!$B$2:$P$62,14,FALSE)="","",VLOOKUP(N276,'TABLA-DIA'!$B$2:$P$62,14,FALSE)),"")</f>
        <v/>
      </c>
      <c r="M276" s="590">
        <v>7</v>
      </c>
      <c r="N276" s="125" t="str">
        <f t="shared" si="29"/>
        <v>0-7</v>
      </c>
    </row>
    <row r="277" spans="2:15" ht="67.150000000000006" hidden="1" customHeight="1" thickBot="1">
      <c r="B277" s="724"/>
      <c r="C277" s="564" t="str">
        <f>IFERROR(VLOOKUP(N277,'TABLA-DIA'!$B$2:$P$62,9,FALSE),"")</f>
        <v/>
      </c>
      <c r="D277" s="565" t="str">
        <f>IFERROR(VLOOKUP(N277,'TABLA-DIA'!$B$2:$P$62,4,FALSE),"")</f>
        <v/>
      </c>
      <c r="E277" s="566" t="str">
        <f>IFERROR(VLOOKUP(N277,'TABLA-DIA'!$B$2:$P$62,5,FALSE),"")</f>
        <v/>
      </c>
      <c r="F277" s="566" t="str">
        <f>IFERROR(VLOOKUP(N277,'TABLA-DIA'!$B$2:$P$62,6,FALSE),"")</f>
        <v/>
      </c>
      <c r="G277" s="544" t="str">
        <f>IFERROR(VLOOKUP(N277,'TABLA-DIA'!$B$2:$P$62,7,FALSE),"")</f>
        <v/>
      </c>
      <c r="H277" s="582" t="str">
        <f>IFERROR(VLOOKUP(N277,'TABLA-DIA'!$B$2:$P$62,10,FALSE),"")</f>
        <v/>
      </c>
      <c r="I277" s="548" t="str">
        <f>IFERROR(VLOOKUP(N277,'TABLA-DIA'!$B$2:$P$62,11,FALSE),"")</f>
        <v/>
      </c>
      <c r="J277" s="549" t="str">
        <f>IFERROR(VLOOKUP(N277,'TABLA-DIA'!$B$2:$P$62,12,FALSE),"")</f>
        <v/>
      </c>
      <c r="K277" s="557" t="str">
        <f>IFERROR(VLOOKUP(N277,'TABLA-DIA'!$B$2:$P$62,13,FALSE),"")</f>
        <v/>
      </c>
      <c r="L277" s="603" t="str">
        <f>IFERROR(IF(VLOOKUP(N277,'TABLA-DIA'!$B$2:$P$62,14,FALSE)="","",VLOOKUP(N277,'TABLA-DIA'!$B$2:$P$62,14,FALSE)),"")</f>
        <v/>
      </c>
      <c r="M277" s="590">
        <v>8</v>
      </c>
      <c r="N277" s="125" t="str">
        <f t="shared" si="29"/>
        <v>0-8</v>
      </c>
    </row>
    <row r="278" spans="2:15" ht="67.150000000000006" hidden="1" customHeight="1" thickBot="1">
      <c r="B278" s="724"/>
      <c r="C278" s="564" t="str">
        <f>IFERROR(VLOOKUP(N278,'TABLA-DIA'!$B$2:$P$62,9,FALSE),"")</f>
        <v/>
      </c>
      <c r="D278" s="565" t="str">
        <f>IFERROR(VLOOKUP(N278,'TABLA-DIA'!$B$2:$P$62,4,FALSE),"")</f>
        <v/>
      </c>
      <c r="E278" s="566" t="str">
        <f>IFERROR(VLOOKUP(N278,'TABLA-DIA'!$B$2:$P$62,5,FALSE),"")</f>
        <v/>
      </c>
      <c r="F278" s="566" t="str">
        <f>IFERROR(VLOOKUP(N278,'TABLA-DIA'!$B$2:$P$62,6,FALSE),"")</f>
        <v/>
      </c>
      <c r="G278" s="544" t="str">
        <f>IFERROR(VLOOKUP(N278,'TABLA-DIA'!$B$2:$P$62,7,FALSE),"")</f>
        <v/>
      </c>
      <c r="H278" s="582" t="str">
        <f>IFERROR(VLOOKUP(N278,'TABLA-DIA'!$B$2:$P$62,10,FALSE),"")</f>
        <v/>
      </c>
      <c r="I278" s="548" t="str">
        <f>IFERROR(VLOOKUP(N278,'TABLA-DIA'!$B$2:$P$62,11,FALSE),"")</f>
        <v/>
      </c>
      <c r="J278" s="549" t="str">
        <f>IFERROR(VLOOKUP(N278,'TABLA-DIA'!$B$2:$P$62,12,FALSE),"")</f>
        <v/>
      </c>
      <c r="K278" s="557" t="str">
        <f>IFERROR(VLOOKUP(N278,'TABLA-DIA'!$B$2:$P$62,13,FALSE),"")</f>
        <v/>
      </c>
      <c r="L278" s="603" t="str">
        <f>IFERROR(IF(VLOOKUP(N278,'TABLA-DIA'!$B$2:$P$62,14,FALSE)="","",VLOOKUP(N278,'TABLA-DIA'!$B$2:$P$62,14,FALSE)),"")</f>
        <v/>
      </c>
      <c r="M278" s="590">
        <v>9</v>
      </c>
      <c r="N278" s="125" t="str">
        <f t="shared" si="29"/>
        <v>0-9</v>
      </c>
    </row>
    <row r="279" spans="2:15" ht="67.150000000000006" hidden="1" customHeight="1" thickBot="1">
      <c r="B279" s="726"/>
      <c r="C279" s="573" t="str">
        <f>IFERROR(VLOOKUP(N279,'TABLA-DIA'!$B$2:$P$62,9,FALSE),"")</f>
        <v/>
      </c>
      <c r="D279" s="574" t="str">
        <f>IFERROR(VLOOKUP(N279,'TABLA-DIA'!$B$2:$P$62,4,FALSE),"")</f>
        <v/>
      </c>
      <c r="E279" s="575" t="str">
        <f>IFERROR(VLOOKUP(N279,'TABLA-DIA'!$B$2:$P$62,5,FALSE),"")</f>
        <v/>
      </c>
      <c r="F279" s="575" t="str">
        <f>IFERROR(VLOOKUP(N279,'TABLA-DIA'!$B$2:$P$62,6,FALSE),"")</f>
        <v/>
      </c>
      <c r="G279" s="544" t="str">
        <f>IFERROR(VLOOKUP(N279,'TABLA-DIA'!$B$2:$P$62,7,FALSE),"")</f>
        <v/>
      </c>
      <c r="H279" s="585" t="str">
        <f>IFERROR(VLOOKUP(N279,'TABLA-DIA'!$B$2:$P$62,10,FALSE),"")</f>
        <v/>
      </c>
      <c r="I279" s="554" t="str">
        <f>IFERROR(VLOOKUP(N279,'TABLA-DIA'!$B$2:$P$62,11,FALSE),"")</f>
        <v/>
      </c>
      <c r="J279" s="555" t="str">
        <f>IFERROR(VLOOKUP(N279,'TABLA-DIA'!$B$2:$P$62,12,FALSE),"")</f>
        <v/>
      </c>
      <c r="K279" s="560" t="str">
        <f>IFERROR(VLOOKUP(N279,'TABLA-DIA'!$B$2:$P$62,13,FALSE),"")</f>
        <v/>
      </c>
      <c r="L279" s="606" t="str">
        <f>IFERROR(IF(VLOOKUP(N279,'TABLA-DIA'!$B$2:$P$62,14,FALSE)="","",VLOOKUP(N279,'TABLA-DIA'!$B$2:$P$62,14,FALSE)),"")</f>
        <v/>
      </c>
      <c r="M279" s="592">
        <v>10</v>
      </c>
      <c r="N279" s="130" t="str">
        <f t="shared" si="29"/>
        <v>0-10</v>
      </c>
    </row>
    <row r="280" spans="2:15" ht="90" customHeight="1" thickBot="1">
      <c r="B280" s="723">
        <f>+'TABLA-DIA'!B166</f>
        <v>0</v>
      </c>
      <c r="C280" s="569" t="str">
        <f>IFERROR(VLOOKUP(N280,'TABLA-DIA'!$B$2:$P$62,9,FALSE),"")</f>
        <v/>
      </c>
      <c r="D280" s="570" t="str">
        <f>IFERROR(VLOOKUP(N280,'TABLA-DIA'!$B$2:$P$62,4,FALSE),"")</f>
        <v/>
      </c>
      <c r="E280" s="571" t="str">
        <f>IFERROR(VLOOKUP(N280,'TABLA-DIA'!$B$2:$P$62,5,FALSE),"")</f>
        <v/>
      </c>
      <c r="F280" s="571" t="str">
        <f>IFERROR(VLOOKUP(N280,'TABLA-DIA'!$B$2:$P$62,6,FALSE),"")</f>
        <v/>
      </c>
      <c r="G280" s="544" t="str">
        <f>IFERROR(VLOOKUP(N280,'TABLA-DIA'!$B$2:$P$62,7,FALSE),"")</f>
        <v/>
      </c>
      <c r="H280" s="584" t="str">
        <f>IFERROR(VLOOKUP(N280,'TABLA-DIA'!$B$2:$P$62,10,FALSE),"")</f>
        <v/>
      </c>
      <c r="I280" s="552" t="str">
        <f>IFERROR(VLOOKUP(N280,'TABLA-DIA'!$B$2:$P$62,11,FALSE),"")</f>
        <v/>
      </c>
      <c r="J280" s="553" t="str">
        <f>IFERROR(VLOOKUP(N280,'TABLA-DIA'!$B$2:$P$62,12,FALSE),"")</f>
        <v/>
      </c>
      <c r="K280" s="559" t="str">
        <f>IFERROR(VLOOKUP(N280,'TABLA-DIA'!$B$2:$P$62,13,FALSE),"")</f>
        <v/>
      </c>
      <c r="L280" s="605" t="str">
        <f>IFERROR(IF(VLOOKUP(N280,'TABLA-DIA'!$B$2:$P$62,14,FALSE)="","",VLOOKUP(N280,'TABLA-DIA'!$B$2:$P$62,14,FALSE)),"")</f>
        <v/>
      </c>
      <c r="M280" s="589">
        <v>1</v>
      </c>
      <c r="N280" s="98" t="str">
        <f t="shared" ref="N280:N289" si="30">CONCATENATE($B$280,"-",M280)</f>
        <v>0-1</v>
      </c>
      <c r="O280" s="91">
        <f>COUNTIF(G280:G289,"&lt;&gt;**")</f>
        <v>0</v>
      </c>
    </row>
    <row r="281" spans="2:15" ht="67.150000000000006" hidden="1" customHeight="1" thickBot="1">
      <c r="B281" s="724"/>
      <c r="C281" s="564" t="str">
        <f>IFERROR(VLOOKUP(N281,'TABLA-DIA'!$B$2:$P$62,9,FALSE),"")</f>
        <v/>
      </c>
      <c r="D281" s="565" t="str">
        <f>IFERROR(VLOOKUP(N281,'TABLA-DIA'!$B$2:$P$62,4,FALSE),"")</f>
        <v/>
      </c>
      <c r="E281" s="566" t="str">
        <f>IFERROR(VLOOKUP(N281,'TABLA-DIA'!$B$2:$P$62,5,FALSE),"")</f>
        <v/>
      </c>
      <c r="F281" s="566" t="str">
        <f>IFERROR(VLOOKUP(N281,'TABLA-DIA'!$B$2:$P$62,6,FALSE),"")</f>
        <v/>
      </c>
      <c r="G281" s="544" t="str">
        <f>IFERROR(VLOOKUP(N281,'TABLA-DIA'!$B$2:$P$62,7,FALSE),"")</f>
        <v/>
      </c>
      <c r="H281" s="582" t="str">
        <f>IFERROR(VLOOKUP(N281,'TABLA-DIA'!$B$2:$P$62,10,FALSE),"")</f>
        <v/>
      </c>
      <c r="I281" s="548" t="str">
        <f>IFERROR(VLOOKUP(N281,'TABLA-DIA'!$B$2:$P$62,11,FALSE),"")</f>
        <v/>
      </c>
      <c r="J281" s="549" t="str">
        <f>IFERROR(VLOOKUP(N281,'TABLA-DIA'!$B$2:$P$62,12,FALSE),"")</f>
        <v/>
      </c>
      <c r="K281" s="557" t="str">
        <f>IFERROR(VLOOKUP(N281,'TABLA-DIA'!$B$2:$P$62,13,FALSE),"")</f>
        <v/>
      </c>
      <c r="L281" s="603" t="str">
        <f>IFERROR(IF(VLOOKUP(N281,'TABLA-DIA'!$B$2:$P$62,14,FALSE)="","",VLOOKUP(N281,'TABLA-DIA'!$B$2:$P$62,14,FALSE)),"")</f>
        <v/>
      </c>
      <c r="M281" s="590">
        <v>2</v>
      </c>
      <c r="N281" s="125" t="str">
        <f t="shared" si="30"/>
        <v>0-2</v>
      </c>
    </row>
    <row r="282" spans="2:15" ht="67.150000000000006" hidden="1" customHeight="1" thickBot="1">
      <c r="B282" s="724"/>
      <c r="C282" s="564" t="str">
        <f>IFERROR(VLOOKUP(N282,'TABLA-DIA'!$B$2:$P$62,9,FALSE),"")</f>
        <v/>
      </c>
      <c r="D282" s="565" t="str">
        <f>IFERROR(VLOOKUP(N282,'TABLA-DIA'!$B$2:$P$62,4,FALSE),"")</f>
        <v/>
      </c>
      <c r="E282" s="566" t="str">
        <f>IFERROR(VLOOKUP(N282,'TABLA-DIA'!$B$2:$P$62,5,FALSE),"")</f>
        <v/>
      </c>
      <c r="F282" s="566" t="str">
        <f>IFERROR(VLOOKUP(N282,'TABLA-DIA'!$B$2:$P$62,6,FALSE),"")</f>
        <v/>
      </c>
      <c r="G282" s="544" t="str">
        <f>IFERROR(VLOOKUP(N282,'TABLA-DIA'!$B$2:$P$62,7,FALSE),"")</f>
        <v/>
      </c>
      <c r="H282" s="582" t="str">
        <f>IFERROR(VLOOKUP(N282,'TABLA-DIA'!$B$2:$P$62,10,FALSE),"")</f>
        <v/>
      </c>
      <c r="I282" s="548" t="str">
        <f>IFERROR(VLOOKUP(N282,'TABLA-DIA'!$B$2:$P$62,11,FALSE),"")</f>
        <v/>
      </c>
      <c r="J282" s="549" t="str">
        <f>IFERROR(VLOOKUP(N282,'TABLA-DIA'!$B$2:$P$62,12,FALSE),"")</f>
        <v/>
      </c>
      <c r="K282" s="557" t="str">
        <f>IFERROR(VLOOKUP(N282,'TABLA-DIA'!$B$2:$P$62,13,FALSE),"")</f>
        <v/>
      </c>
      <c r="L282" s="603" t="str">
        <f>IFERROR(IF(VLOOKUP(N282,'TABLA-DIA'!$B$2:$P$62,14,FALSE)="","",VLOOKUP(N282,'TABLA-DIA'!$B$2:$P$62,14,FALSE)),"")</f>
        <v/>
      </c>
      <c r="M282" s="590">
        <v>3</v>
      </c>
      <c r="N282" s="125" t="str">
        <f t="shared" si="30"/>
        <v>0-3</v>
      </c>
    </row>
    <row r="283" spans="2:15" ht="67.150000000000006" hidden="1" customHeight="1" thickBot="1">
      <c r="B283" s="724"/>
      <c r="C283" s="564" t="str">
        <f>IFERROR(VLOOKUP(N283,'TABLA-DIA'!$B$2:$P$62,9,FALSE),"")</f>
        <v/>
      </c>
      <c r="D283" s="565" t="str">
        <f>IFERROR(VLOOKUP(N283,'TABLA-DIA'!$B$2:$P$62,4,FALSE),"")</f>
        <v/>
      </c>
      <c r="E283" s="566" t="str">
        <f>IFERROR(VLOOKUP(N283,'TABLA-DIA'!$B$2:$P$62,5,FALSE),"")</f>
        <v/>
      </c>
      <c r="F283" s="566" t="str">
        <f>IFERROR(VLOOKUP(N283,'TABLA-DIA'!$B$2:$P$62,6,FALSE),"")</f>
        <v/>
      </c>
      <c r="G283" s="544" t="str">
        <f>IFERROR(VLOOKUP(N283,'TABLA-DIA'!$B$2:$P$62,7,FALSE),"")</f>
        <v/>
      </c>
      <c r="H283" s="582" t="str">
        <f>IFERROR(VLOOKUP(N283,'TABLA-DIA'!$B$2:$P$62,10,FALSE),"")</f>
        <v/>
      </c>
      <c r="I283" s="548" t="str">
        <f>IFERROR(VLOOKUP(N283,'TABLA-DIA'!$B$2:$P$62,11,FALSE),"")</f>
        <v/>
      </c>
      <c r="J283" s="549" t="str">
        <f>IFERROR(VLOOKUP(N283,'TABLA-DIA'!$B$2:$P$62,12,FALSE),"")</f>
        <v/>
      </c>
      <c r="K283" s="557" t="str">
        <f>IFERROR(VLOOKUP(N283,'TABLA-DIA'!$B$2:$P$62,13,FALSE),"")</f>
        <v/>
      </c>
      <c r="L283" s="603" t="str">
        <f>IFERROR(IF(VLOOKUP(N283,'TABLA-DIA'!$B$2:$P$62,14,FALSE)="","",VLOOKUP(N283,'TABLA-DIA'!$B$2:$P$62,14,FALSE)),"")</f>
        <v/>
      </c>
      <c r="M283" s="590">
        <v>4</v>
      </c>
      <c r="N283" s="125" t="str">
        <f t="shared" si="30"/>
        <v>0-4</v>
      </c>
    </row>
    <row r="284" spans="2:15" ht="67.150000000000006" hidden="1" customHeight="1" thickBot="1">
      <c r="B284" s="724"/>
      <c r="C284" s="564" t="str">
        <f>IFERROR(VLOOKUP(N284,'TABLA-DIA'!$B$2:$P$62,9,FALSE),"")</f>
        <v/>
      </c>
      <c r="D284" s="565" t="str">
        <f>IFERROR(VLOOKUP(N284,'TABLA-DIA'!$B$2:$P$62,4,FALSE),"")</f>
        <v/>
      </c>
      <c r="E284" s="566" t="str">
        <f>IFERROR(VLOOKUP(N284,'TABLA-DIA'!$B$2:$P$62,5,FALSE),"")</f>
        <v/>
      </c>
      <c r="F284" s="566" t="str">
        <f>IFERROR(VLOOKUP(N284,'TABLA-DIA'!$B$2:$P$62,6,FALSE),"")</f>
        <v/>
      </c>
      <c r="G284" s="544" t="str">
        <f>IFERROR(VLOOKUP(N284,'TABLA-DIA'!$B$2:$P$62,7,FALSE),"")</f>
        <v/>
      </c>
      <c r="H284" s="582" t="str">
        <f>IFERROR(VLOOKUP(N284,'TABLA-DIA'!$B$2:$P$62,10,FALSE),"")</f>
        <v/>
      </c>
      <c r="I284" s="548" t="str">
        <f>IFERROR(VLOOKUP(N284,'TABLA-DIA'!$B$2:$P$62,11,FALSE),"")</f>
        <v/>
      </c>
      <c r="J284" s="549" t="str">
        <f>IFERROR(VLOOKUP(N284,'TABLA-DIA'!$B$2:$P$62,12,FALSE),"")</f>
        <v/>
      </c>
      <c r="K284" s="557" t="str">
        <f>IFERROR(VLOOKUP(N284,'TABLA-DIA'!$B$2:$P$62,13,FALSE),"")</f>
        <v/>
      </c>
      <c r="L284" s="603" t="str">
        <f>IFERROR(IF(VLOOKUP(N284,'TABLA-DIA'!$B$2:$P$62,14,FALSE)="","",VLOOKUP(N284,'TABLA-DIA'!$B$2:$P$62,14,FALSE)),"")</f>
        <v/>
      </c>
      <c r="M284" s="590">
        <v>5</v>
      </c>
      <c r="N284" s="125" t="str">
        <f t="shared" si="30"/>
        <v>0-5</v>
      </c>
    </row>
    <row r="285" spans="2:15" ht="67.150000000000006" hidden="1" customHeight="1" thickBot="1">
      <c r="B285" s="724"/>
      <c r="C285" s="564" t="str">
        <f>IFERROR(VLOOKUP(N285,'TABLA-DIA'!$B$2:$P$62,9,FALSE),"")</f>
        <v/>
      </c>
      <c r="D285" s="565" t="str">
        <f>IFERROR(VLOOKUP(N285,'TABLA-DIA'!$B$2:$P$62,4,FALSE),"")</f>
        <v/>
      </c>
      <c r="E285" s="566" t="str">
        <f>IFERROR(VLOOKUP(N285,'TABLA-DIA'!$B$2:$P$62,5,FALSE),"")</f>
        <v/>
      </c>
      <c r="F285" s="566" t="str">
        <f>IFERROR(VLOOKUP(N285,'TABLA-DIA'!$B$2:$P$62,6,FALSE),"")</f>
        <v/>
      </c>
      <c r="G285" s="544" t="str">
        <f>IFERROR(VLOOKUP(N285,'TABLA-DIA'!$B$2:$P$62,7,FALSE),"")</f>
        <v/>
      </c>
      <c r="H285" s="582" t="str">
        <f>IFERROR(VLOOKUP(N285,'TABLA-DIA'!$B$2:$P$62,10,FALSE),"")</f>
        <v/>
      </c>
      <c r="I285" s="548" t="str">
        <f>IFERROR(VLOOKUP(N285,'TABLA-DIA'!$B$2:$P$62,11,FALSE),"")</f>
        <v/>
      </c>
      <c r="J285" s="549" t="str">
        <f>IFERROR(VLOOKUP(N285,'TABLA-DIA'!$B$2:$P$62,12,FALSE),"")</f>
        <v/>
      </c>
      <c r="K285" s="557" t="str">
        <f>IFERROR(VLOOKUP(N285,'TABLA-DIA'!$B$2:$P$62,13,FALSE),"")</f>
        <v/>
      </c>
      <c r="L285" s="603" t="str">
        <f>IFERROR(IF(VLOOKUP(N285,'TABLA-DIA'!$B$2:$P$62,14,FALSE)="","",VLOOKUP(N285,'TABLA-DIA'!$B$2:$P$62,14,FALSE)),"")</f>
        <v/>
      </c>
      <c r="M285" s="590">
        <v>6</v>
      </c>
      <c r="N285" s="125" t="str">
        <f t="shared" si="30"/>
        <v>0-6</v>
      </c>
    </row>
    <row r="286" spans="2:15" ht="67.150000000000006" hidden="1" customHeight="1" thickBot="1">
      <c r="B286" s="724"/>
      <c r="C286" s="564" t="str">
        <f>IFERROR(VLOOKUP(N286,'TABLA-DIA'!$B$2:$P$62,9,FALSE),"")</f>
        <v/>
      </c>
      <c r="D286" s="565" t="str">
        <f>IFERROR(VLOOKUP(N286,'TABLA-DIA'!$B$2:$P$62,4,FALSE),"")</f>
        <v/>
      </c>
      <c r="E286" s="566" t="str">
        <f>IFERROR(VLOOKUP(N286,'TABLA-DIA'!$B$2:$P$62,5,FALSE),"")</f>
        <v/>
      </c>
      <c r="F286" s="566" t="str">
        <f>IFERROR(VLOOKUP(N286,'TABLA-DIA'!$B$2:$P$62,6,FALSE),"")</f>
        <v/>
      </c>
      <c r="G286" s="544" t="str">
        <f>IFERROR(VLOOKUP(N286,'TABLA-DIA'!$B$2:$P$62,7,FALSE),"")</f>
        <v/>
      </c>
      <c r="H286" s="582" t="str">
        <f>IFERROR(VLOOKUP(N286,'TABLA-DIA'!$B$2:$P$62,10,FALSE),"")</f>
        <v/>
      </c>
      <c r="I286" s="548" t="str">
        <f>IFERROR(VLOOKUP(N286,'TABLA-DIA'!$B$2:$P$62,11,FALSE),"")</f>
        <v/>
      </c>
      <c r="J286" s="549" t="str">
        <f>IFERROR(VLOOKUP(N286,'TABLA-DIA'!$B$2:$P$62,12,FALSE),"")</f>
        <v/>
      </c>
      <c r="K286" s="557" t="str">
        <f>IFERROR(VLOOKUP(N286,'TABLA-DIA'!$B$2:$P$62,13,FALSE),"")</f>
        <v/>
      </c>
      <c r="L286" s="603" t="str">
        <f>IFERROR(IF(VLOOKUP(N286,'TABLA-DIA'!$B$2:$P$62,14,FALSE)="","",VLOOKUP(N286,'TABLA-DIA'!$B$2:$P$62,14,FALSE)),"")</f>
        <v/>
      </c>
      <c r="M286" s="590">
        <v>7</v>
      </c>
      <c r="N286" s="125" t="str">
        <f t="shared" si="30"/>
        <v>0-7</v>
      </c>
    </row>
    <row r="287" spans="2:15" ht="67.150000000000006" hidden="1" customHeight="1" thickBot="1">
      <c r="B287" s="724"/>
      <c r="C287" s="564" t="str">
        <f>IFERROR(VLOOKUP(N287,'TABLA-DIA'!$B$2:$P$62,9,FALSE),"")</f>
        <v/>
      </c>
      <c r="D287" s="565" t="str">
        <f>IFERROR(VLOOKUP(N287,'TABLA-DIA'!$B$2:$P$62,4,FALSE),"")</f>
        <v/>
      </c>
      <c r="E287" s="566" t="str">
        <f>IFERROR(VLOOKUP(N287,'TABLA-DIA'!$B$2:$P$62,5,FALSE),"")</f>
        <v/>
      </c>
      <c r="F287" s="566" t="str">
        <f>IFERROR(VLOOKUP(N287,'TABLA-DIA'!$B$2:$P$62,6,FALSE),"")</f>
        <v/>
      </c>
      <c r="G287" s="544" t="str">
        <f>IFERROR(VLOOKUP(N287,'TABLA-DIA'!$B$2:$P$62,7,FALSE),"")</f>
        <v/>
      </c>
      <c r="H287" s="582" t="str">
        <f>IFERROR(VLOOKUP(N287,'TABLA-DIA'!$B$2:$P$62,10,FALSE),"")</f>
        <v/>
      </c>
      <c r="I287" s="548" t="str">
        <f>IFERROR(VLOOKUP(N287,'TABLA-DIA'!$B$2:$P$62,11,FALSE),"")</f>
        <v/>
      </c>
      <c r="J287" s="549" t="str">
        <f>IFERROR(VLOOKUP(N287,'TABLA-DIA'!$B$2:$P$62,12,FALSE),"")</f>
        <v/>
      </c>
      <c r="K287" s="557" t="str">
        <f>IFERROR(VLOOKUP(N287,'TABLA-DIA'!$B$2:$P$62,13,FALSE),"")</f>
        <v/>
      </c>
      <c r="L287" s="603" t="str">
        <f>IFERROR(IF(VLOOKUP(N287,'TABLA-DIA'!$B$2:$P$62,14,FALSE)="","",VLOOKUP(N287,'TABLA-DIA'!$B$2:$P$62,14,FALSE)),"")</f>
        <v/>
      </c>
      <c r="M287" s="590">
        <v>8</v>
      </c>
      <c r="N287" s="125" t="str">
        <f t="shared" si="30"/>
        <v>0-8</v>
      </c>
    </row>
    <row r="288" spans="2:15" ht="67.150000000000006" hidden="1" customHeight="1" thickBot="1">
      <c r="B288" s="724"/>
      <c r="C288" s="564" t="str">
        <f>IFERROR(VLOOKUP(N288,'TABLA-DIA'!$B$2:$P$62,9,FALSE),"")</f>
        <v/>
      </c>
      <c r="D288" s="565" t="str">
        <f>IFERROR(VLOOKUP(N288,'TABLA-DIA'!$B$2:$P$62,4,FALSE),"")</f>
        <v/>
      </c>
      <c r="E288" s="566" t="str">
        <f>IFERROR(VLOOKUP(N288,'TABLA-DIA'!$B$2:$P$62,5,FALSE),"")</f>
        <v/>
      </c>
      <c r="F288" s="566" t="str">
        <f>IFERROR(VLOOKUP(N288,'TABLA-DIA'!$B$2:$P$62,6,FALSE),"")</f>
        <v/>
      </c>
      <c r="G288" s="544" t="str">
        <f>IFERROR(VLOOKUP(N288,'TABLA-DIA'!$B$2:$P$62,7,FALSE),"")</f>
        <v/>
      </c>
      <c r="H288" s="582" t="str">
        <f>IFERROR(VLOOKUP(N288,'TABLA-DIA'!$B$2:$P$62,10,FALSE),"")</f>
        <v/>
      </c>
      <c r="I288" s="548" t="str">
        <f>IFERROR(VLOOKUP(N288,'TABLA-DIA'!$B$2:$P$62,11,FALSE),"")</f>
        <v/>
      </c>
      <c r="J288" s="549" t="str">
        <f>IFERROR(VLOOKUP(N288,'TABLA-DIA'!$B$2:$P$62,12,FALSE),"")</f>
        <v/>
      </c>
      <c r="K288" s="557" t="str">
        <f>IFERROR(VLOOKUP(N288,'TABLA-DIA'!$B$2:$P$62,13,FALSE),"")</f>
        <v/>
      </c>
      <c r="L288" s="603" t="str">
        <f>IFERROR(IF(VLOOKUP(N288,'TABLA-DIA'!$B$2:$P$62,14,FALSE)="","",VLOOKUP(N288,'TABLA-DIA'!$B$2:$P$62,14,FALSE)),"")</f>
        <v/>
      </c>
      <c r="M288" s="590">
        <v>9</v>
      </c>
      <c r="N288" s="125" t="str">
        <f t="shared" si="30"/>
        <v>0-9</v>
      </c>
    </row>
    <row r="289" spans="2:15" ht="67.150000000000006" hidden="1" customHeight="1" thickBot="1">
      <c r="B289" s="726"/>
      <c r="C289" s="573" t="str">
        <f>IFERROR(VLOOKUP(N289,'TABLA-DIA'!$B$2:$P$62,9,FALSE),"")</f>
        <v/>
      </c>
      <c r="D289" s="574" t="str">
        <f>IFERROR(VLOOKUP(N289,'TABLA-DIA'!$B$2:$P$62,4,FALSE),"")</f>
        <v/>
      </c>
      <c r="E289" s="575" t="str">
        <f>IFERROR(VLOOKUP(N289,'TABLA-DIA'!$B$2:$P$62,5,FALSE),"")</f>
        <v/>
      </c>
      <c r="F289" s="575" t="str">
        <f>IFERROR(VLOOKUP(N289,'TABLA-DIA'!$B$2:$P$62,6,FALSE),"")</f>
        <v/>
      </c>
      <c r="G289" s="544" t="str">
        <f>IFERROR(VLOOKUP(N289,'TABLA-DIA'!$B$2:$P$62,7,FALSE),"")</f>
        <v/>
      </c>
      <c r="H289" s="585" t="str">
        <f>IFERROR(VLOOKUP(N289,'TABLA-DIA'!$B$2:$P$62,10,FALSE),"")</f>
        <v/>
      </c>
      <c r="I289" s="554" t="str">
        <f>IFERROR(VLOOKUP(N289,'TABLA-DIA'!$B$2:$P$62,11,FALSE),"")</f>
        <v/>
      </c>
      <c r="J289" s="555" t="str">
        <f>IFERROR(VLOOKUP(N289,'TABLA-DIA'!$B$2:$P$62,12,FALSE),"")</f>
        <v/>
      </c>
      <c r="K289" s="560" t="str">
        <f>IFERROR(VLOOKUP(N289,'TABLA-DIA'!$B$2:$P$62,13,FALSE),"")</f>
        <v/>
      </c>
      <c r="L289" s="606" t="str">
        <f>IFERROR(IF(VLOOKUP(N289,'TABLA-DIA'!$B$2:$P$62,14,FALSE)="","",VLOOKUP(N289,'TABLA-DIA'!$B$2:$P$62,14,FALSE)),"")</f>
        <v/>
      </c>
      <c r="M289" s="592">
        <v>10</v>
      </c>
      <c r="N289" s="130" t="str">
        <f t="shared" si="30"/>
        <v>0-10</v>
      </c>
    </row>
    <row r="290" spans="2:15" ht="115.5" customHeight="1" thickBot="1">
      <c r="B290" s="723">
        <f>+'TABLA-DIA'!B167</f>
        <v>0</v>
      </c>
      <c r="C290" s="569" t="str">
        <f>IFERROR(VLOOKUP(N290,'TABLA-DIA'!$B$2:$P$62,9,FALSE),"")</f>
        <v/>
      </c>
      <c r="D290" s="570" t="str">
        <f>IFERROR(VLOOKUP(N290,'TABLA-DIA'!$B$2:$P$62,4,FALSE),"")</f>
        <v/>
      </c>
      <c r="E290" s="571" t="str">
        <f>IFERROR(VLOOKUP(N290,'TABLA-DIA'!$B$2:$P$62,5,FALSE),"")</f>
        <v/>
      </c>
      <c r="F290" s="571" t="str">
        <f>IFERROR(VLOOKUP(N290,'TABLA-DIA'!$B$2:$P$62,6,FALSE),"")</f>
        <v/>
      </c>
      <c r="G290" s="544" t="str">
        <f>IFERROR(VLOOKUP(N290,'TABLA-DIA'!$B$2:$P$62,7,FALSE),"")</f>
        <v/>
      </c>
      <c r="H290" s="584" t="str">
        <f>IFERROR(VLOOKUP(N290,'TABLA-DIA'!$B$2:$P$62,10,FALSE),"")</f>
        <v/>
      </c>
      <c r="I290" s="552" t="str">
        <f>IFERROR(VLOOKUP(N290,'TABLA-DIA'!$B$2:$P$62,11,FALSE),"")</f>
        <v/>
      </c>
      <c r="J290" s="553" t="str">
        <f>IFERROR(VLOOKUP(N290,'TABLA-DIA'!$B$2:$P$62,12,FALSE),"")</f>
        <v/>
      </c>
      <c r="K290" s="559" t="str">
        <f>IFERROR(VLOOKUP(N290,'TABLA-DIA'!$B$2:$P$62,13,FALSE),"")</f>
        <v/>
      </c>
      <c r="L290" s="605" t="str">
        <f>IFERROR(IF(VLOOKUP(N290,'TABLA-DIA'!$B$2:$P$62,14,FALSE)="","",VLOOKUP(N290,'TABLA-DIA'!$B$2:$P$62,14,FALSE)),"")</f>
        <v/>
      </c>
      <c r="M290" s="589">
        <v>1</v>
      </c>
      <c r="N290" s="98" t="str">
        <f t="shared" ref="N290:N299" si="31">CONCATENATE($B$290,"-",M290)</f>
        <v>0-1</v>
      </c>
      <c r="O290" s="91">
        <f>COUNTIF(G290:G299,"&lt;&gt;**")</f>
        <v>0</v>
      </c>
    </row>
    <row r="291" spans="2:15" ht="67.150000000000006" hidden="1" customHeight="1" thickBot="1">
      <c r="B291" s="724"/>
      <c r="C291" s="564" t="str">
        <f>IFERROR(VLOOKUP(N291,'TABLA-DIA'!$B$2:$P$62,9,FALSE),"")</f>
        <v/>
      </c>
      <c r="D291" s="565" t="str">
        <f>IFERROR(VLOOKUP(N291,'TABLA-DIA'!$B$2:$P$62,4,FALSE),"")</f>
        <v/>
      </c>
      <c r="E291" s="566" t="str">
        <f>IFERROR(VLOOKUP(N291,'TABLA-DIA'!$B$2:$P$62,5,FALSE),"")</f>
        <v/>
      </c>
      <c r="F291" s="566" t="str">
        <f>IFERROR(VLOOKUP(N291,'TABLA-DIA'!$B$2:$P$62,6,FALSE),"")</f>
        <v/>
      </c>
      <c r="G291" s="544" t="str">
        <f>IFERROR(VLOOKUP(N291,'TABLA-DIA'!$B$2:$P$62,7,FALSE),"")</f>
        <v/>
      </c>
      <c r="H291" s="582" t="str">
        <f>IFERROR(VLOOKUP(N291,'TABLA-DIA'!$B$2:$P$62,10,FALSE),"")</f>
        <v/>
      </c>
      <c r="I291" s="548" t="str">
        <f>IFERROR(VLOOKUP(N291,'TABLA-DIA'!$B$2:$P$62,11,FALSE),"")</f>
        <v/>
      </c>
      <c r="J291" s="548" t="str">
        <f>IFERROR(VLOOKUP(N291,'TABLA-DIA'!$B$2:$P$62,12,FALSE),"")</f>
        <v/>
      </c>
      <c r="K291" s="557" t="str">
        <f>IFERROR(VLOOKUP(N291,'TABLA-DIA'!$B$2:$P$62,13,FALSE),"")</f>
        <v/>
      </c>
      <c r="L291" s="603" t="str">
        <f>IFERROR(IF(VLOOKUP(N291,'TABLA-DIA'!$B$2:$P$62,14,FALSE)="","",VLOOKUP(N291,'TABLA-DIA'!$B$2:$P$62,14,FALSE)),"")</f>
        <v/>
      </c>
      <c r="M291" s="590">
        <v>2</v>
      </c>
      <c r="N291" s="125" t="str">
        <f t="shared" si="31"/>
        <v>0-2</v>
      </c>
    </row>
    <row r="292" spans="2:15" ht="67.150000000000006" hidden="1" customHeight="1" thickBot="1">
      <c r="B292" s="724"/>
      <c r="C292" s="564" t="str">
        <f>IFERROR(VLOOKUP(N292,'TABLA-DIA'!$B$2:$P$62,9,FALSE),"")</f>
        <v/>
      </c>
      <c r="D292" s="565" t="str">
        <f>IFERROR(VLOOKUP(N292,'TABLA-DIA'!$B$2:$P$62,4,FALSE),"")</f>
        <v/>
      </c>
      <c r="E292" s="566" t="str">
        <f>IFERROR(VLOOKUP(N292,'TABLA-DIA'!$B$2:$P$62,5,FALSE),"")</f>
        <v/>
      </c>
      <c r="F292" s="566" t="str">
        <f>IFERROR(VLOOKUP(N292,'TABLA-DIA'!$B$2:$P$62,6,FALSE),"")</f>
        <v/>
      </c>
      <c r="G292" s="544" t="str">
        <f>IFERROR(VLOOKUP(N292,'TABLA-DIA'!$B$2:$P$62,7,FALSE),"")</f>
        <v/>
      </c>
      <c r="H292" s="582" t="str">
        <f>IFERROR(VLOOKUP(N292,'TABLA-DIA'!$B$2:$P$62,10,FALSE),"")</f>
        <v/>
      </c>
      <c r="I292" s="548" t="str">
        <f>IFERROR(VLOOKUP(N292,'TABLA-DIA'!$B$2:$P$62,11,FALSE),"")</f>
        <v/>
      </c>
      <c r="J292" s="548" t="str">
        <f>IFERROR(VLOOKUP(N292,'TABLA-DIA'!$B$2:$P$62,12,FALSE),"")</f>
        <v/>
      </c>
      <c r="K292" s="557" t="str">
        <f>IFERROR(VLOOKUP(N292,'TABLA-DIA'!$B$2:$P$62,13,FALSE),"")</f>
        <v/>
      </c>
      <c r="L292" s="603" t="str">
        <f>IFERROR(IF(VLOOKUP(N292,'TABLA-DIA'!$B$2:$P$62,14,FALSE)="","",VLOOKUP(N292,'TABLA-DIA'!$B$2:$P$62,14,FALSE)),"")</f>
        <v/>
      </c>
      <c r="M292" s="590">
        <v>3</v>
      </c>
      <c r="N292" s="125" t="str">
        <f t="shared" si="31"/>
        <v>0-3</v>
      </c>
    </row>
    <row r="293" spans="2:15" ht="67.150000000000006" hidden="1" customHeight="1" thickBot="1">
      <c r="B293" s="724"/>
      <c r="C293" s="564" t="str">
        <f>IFERROR(VLOOKUP(N293,'TABLA-DIA'!$B$2:$P$62,9,FALSE),"")</f>
        <v/>
      </c>
      <c r="D293" s="565" t="str">
        <f>IFERROR(VLOOKUP(N293,'TABLA-DIA'!$B$2:$P$62,4,FALSE),"")</f>
        <v/>
      </c>
      <c r="E293" s="566" t="str">
        <f>IFERROR(VLOOKUP(N293,'TABLA-DIA'!$B$2:$P$62,5,FALSE),"")</f>
        <v/>
      </c>
      <c r="F293" s="566" t="str">
        <f>IFERROR(VLOOKUP(N293,'TABLA-DIA'!$B$2:$P$62,6,FALSE),"")</f>
        <v/>
      </c>
      <c r="G293" s="544" t="str">
        <f>IFERROR(VLOOKUP(N293,'TABLA-DIA'!$B$2:$P$62,7,FALSE),"")</f>
        <v/>
      </c>
      <c r="H293" s="582" t="str">
        <f>IFERROR(VLOOKUP(N293,'TABLA-DIA'!$B$2:$P$62,10,FALSE),"")</f>
        <v/>
      </c>
      <c r="I293" s="548" t="str">
        <f>IFERROR(VLOOKUP(N293,'TABLA-DIA'!$B$2:$P$62,11,FALSE),"")</f>
        <v/>
      </c>
      <c r="J293" s="548" t="str">
        <f>IFERROR(VLOOKUP(N293,'TABLA-DIA'!$B$2:$P$62,12,FALSE),"")</f>
        <v/>
      </c>
      <c r="K293" s="557" t="str">
        <f>IFERROR(VLOOKUP(N293,'TABLA-DIA'!$B$2:$P$62,13,FALSE),"")</f>
        <v/>
      </c>
      <c r="L293" s="603" t="str">
        <f>IFERROR(IF(VLOOKUP(N293,'TABLA-DIA'!$B$2:$P$62,14,FALSE)="","",VLOOKUP(N293,'TABLA-DIA'!$B$2:$P$62,14,FALSE)),"")</f>
        <v/>
      </c>
      <c r="M293" s="590">
        <v>4</v>
      </c>
      <c r="N293" s="125" t="str">
        <f t="shared" si="31"/>
        <v>0-4</v>
      </c>
    </row>
    <row r="294" spans="2:15" ht="67.150000000000006" hidden="1" customHeight="1" thickBot="1">
      <c r="B294" s="724"/>
      <c r="C294" s="564" t="str">
        <f>IFERROR(VLOOKUP(N294,'TABLA-DIA'!$B$2:$P$62,9,FALSE),"")</f>
        <v/>
      </c>
      <c r="D294" s="565" t="str">
        <f>IFERROR(VLOOKUP(N294,'TABLA-DIA'!$B$2:$P$62,4,FALSE),"")</f>
        <v/>
      </c>
      <c r="E294" s="566" t="str">
        <f>IFERROR(VLOOKUP(N294,'TABLA-DIA'!$B$2:$P$62,5,FALSE),"")</f>
        <v/>
      </c>
      <c r="F294" s="566" t="str">
        <f>IFERROR(VLOOKUP(N294,'TABLA-DIA'!$B$2:$P$62,6,FALSE),"")</f>
        <v/>
      </c>
      <c r="G294" s="544" t="str">
        <f>IFERROR(VLOOKUP(N294,'TABLA-DIA'!$B$2:$P$62,7,FALSE),"")</f>
        <v/>
      </c>
      <c r="H294" s="582" t="str">
        <f>IFERROR(VLOOKUP(N294,'TABLA-DIA'!$B$2:$P$62,10,FALSE),"")</f>
        <v/>
      </c>
      <c r="I294" s="548" t="str">
        <f>IFERROR(VLOOKUP(N294,'TABLA-DIA'!$B$2:$P$62,11,FALSE),"")</f>
        <v/>
      </c>
      <c r="J294" s="548" t="str">
        <f>IFERROR(VLOOKUP(N294,'TABLA-DIA'!$B$2:$P$62,12,FALSE),"")</f>
        <v/>
      </c>
      <c r="K294" s="557" t="str">
        <f>IFERROR(VLOOKUP(N294,'TABLA-DIA'!$B$2:$P$62,13,FALSE),"")</f>
        <v/>
      </c>
      <c r="L294" s="603" t="str">
        <f>IFERROR(IF(VLOOKUP(N294,'TABLA-DIA'!$B$2:$P$62,14,FALSE)="","",VLOOKUP(N294,'TABLA-DIA'!$B$2:$P$62,14,FALSE)),"")</f>
        <v/>
      </c>
      <c r="M294" s="590">
        <v>5</v>
      </c>
      <c r="N294" s="125" t="str">
        <f t="shared" si="31"/>
        <v>0-5</v>
      </c>
    </row>
    <row r="295" spans="2:15" ht="67.150000000000006" hidden="1" customHeight="1" thickBot="1">
      <c r="B295" s="724"/>
      <c r="C295" s="564" t="str">
        <f>IFERROR(VLOOKUP(N295,'TABLA-DIA'!$B$2:$P$62,9,FALSE),"")</f>
        <v/>
      </c>
      <c r="D295" s="565" t="str">
        <f>IFERROR(VLOOKUP(N295,'TABLA-DIA'!$B$2:$P$62,4,FALSE),"")</f>
        <v/>
      </c>
      <c r="E295" s="566" t="str">
        <f>IFERROR(VLOOKUP(N295,'TABLA-DIA'!$B$2:$P$62,5,FALSE),"")</f>
        <v/>
      </c>
      <c r="F295" s="566" t="str">
        <f>IFERROR(VLOOKUP(N295,'TABLA-DIA'!$B$2:$P$62,6,FALSE),"")</f>
        <v/>
      </c>
      <c r="G295" s="544" t="str">
        <f>IFERROR(VLOOKUP(N295,'TABLA-DIA'!$B$2:$P$62,7,FALSE),"")</f>
        <v/>
      </c>
      <c r="H295" s="582" t="str">
        <f>IFERROR(VLOOKUP(N295,'TABLA-DIA'!$B$2:$P$62,10,FALSE),"")</f>
        <v/>
      </c>
      <c r="I295" s="548" t="str">
        <f>IFERROR(VLOOKUP(N295,'TABLA-DIA'!$B$2:$P$62,11,FALSE),"")</f>
        <v/>
      </c>
      <c r="J295" s="548" t="str">
        <f>IFERROR(VLOOKUP(N295,'TABLA-DIA'!$B$2:$P$62,12,FALSE),"")</f>
        <v/>
      </c>
      <c r="K295" s="557" t="str">
        <f>IFERROR(VLOOKUP(N295,'TABLA-DIA'!$B$2:$P$62,13,FALSE),"")</f>
        <v/>
      </c>
      <c r="L295" s="603" t="str">
        <f>IFERROR(IF(VLOOKUP(N295,'TABLA-DIA'!$B$2:$P$62,14,FALSE)="","",VLOOKUP(N295,'TABLA-DIA'!$B$2:$P$62,14,FALSE)),"")</f>
        <v/>
      </c>
      <c r="M295" s="590">
        <v>6</v>
      </c>
      <c r="N295" s="125" t="str">
        <f t="shared" si="31"/>
        <v>0-6</v>
      </c>
    </row>
    <row r="296" spans="2:15" ht="67.150000000000006" hidden="1" customHeight="1" thickBot="1">
      <c r="B296" s="724"/>
      <c r="C296" s="564" t="str">
        <f>IFERROR(VLOOKUP(N296,'TABLA-DIA'!$B$2:$P$62,9,FALSE),"")</f>
        <v/>
      </c>
      <c r="D296" s="565" t="str">
        <f>IFERROR(VLOOKUP(N296,'TABLA-DIA'!$B$2:$P$62,4,FALSE),"")</f>
        <v/>
      </c>
      <c r="E296" s="566" t="str">
        <f>IFERROR(VLOOKUP(N296,'TABLA-DIA'!$B$2:$P$62,5,FALSE),"")</f>
        <v/>
      </c>
      <c r="F296" s="566" t="str">
        <f>IFERROR(VLOOKUP(N296,'TABLA-DIA'!$B$2:$P$62,6,FALSE),"")</f>
        <v/>
      </c>
      <c r="G296" s="544" t="str">
        <f>IFERROR(VLOOKUP(N296,'TABLA-DIA'!$B$2:$P$62,7,FALSE),"")</f>
        <v/>
      </c>
      <c r="H296" s="582" t="str">
        <f>IFERROR(VLOOKUP(N296,'TABLA-DIA'!$B$2:$P$62,10,FALSE),"")</f>
        <v/>
      </c>
      <c r="I296" s="548" t="str">
        <f>IFERROR(VLOOKUP(N296,'TABLA-DIA'!$B$2:$P$62,11,FALSE),"")</f>
        <v/>
      </c>
      <c r="J296" s="548" t="str">
        <f>IFERROR(VLOOKUP(N296,'TABLA-DIA'!$B$2:$P$62,12,FALSE),"")</f>
        <v/>
      </c>
      <c r="K296" s="557" t="str">
        <f>IFERROR(VLOOKUP(N296,'TABLA-DIA'!$B$2:$P$62,13,FALSE),"")</f>
        <v/>
      </c>
      <c r="L296" s="603" t="str">
        <f>IFERROR(IF(VLOOKUP(N296,'TABLA-DIA'!$B$2:$P$62,14,FALSE)="","",VLOOKUP(N296,'TABLA-DIA'!$B$2:$P$62,14,FALSE)),"")</f>
        <v/>
      </c>
      <c r="M296" s="590">
        <v>7</v>
      </c>
      <c r="N296" s="125" t="str">
        <f t="shared" si="31"/>
        <v>0-7</v>
      </c>
    </row>
    <row r="297" spans="2:15" ht="67.150000000000006" hidden="1" customHeight="1" thickBot="1">
      <c r="B297" s="724"/>
      <c r="C297" s="564" t="str">
        <f>IFERROR(VLOOKUP(N297,'TABLA-DIA'!$B$2:$P$62,9,FALSE),"")</f>
        <v/>
      </c>
      <c r="D297" s="565" t="str">
        <f>IFERROR(VLOOKUP(N297,'TABLA-DIA'!$B$2:$P$62,4,FALSE),"")</f>
        <v/>
      </c>
      <c r="E297" s="566" t="str">
        <f>IFERROR(VLOOKUP(N297,'TABLA-DIA'!$B$2:$P$62,5,FALSE),"")</f>
        <v/>
      </c>
      <c r="F297" s="566" t="str">
        <f>IFERROR(VLOOKUP(N297,'TABLA-DIA'!$B$2:$P$62,6,FALSE),"")</f>
        <v/>
      </c>
      <c r="G297" s="544" t="str">
        <f>IFERROR(VLOOKUP(N297,'TABLA-DIA'!$B$2:$P$62,7,FALSE),"")</f>
        <v/>
      </c>
      <c r="H297" s="582" t="str">
        <f>IFERROR(VLOOKUP(N297,'TABLA-DIA'!$B$2:$P$62,10,FALSE),"")</f>
        <v/>
      </c>
      <c r="I297" s="548" t="str">
        <f>IFERROR(VLOOKUP(N297,'TABLA-DIA'!$B$2:$P$62,11,FALSE),"")</f>
        <v/>
      </c>
      <c r="J297" s="548" t="str">
        <f>IFERROR(VLOOKUP(N297,'TABLA-DIA'!$B$2:$P$62,12,FALSE),"")</f>
        <v/>
      </c>
      <c r="K297" s="557" t="str">
        <f>IFERROR(VLOOKUP(N297,'TABLA-DIA'!$B$2:$P$62,13,FALSE),"")</f>
        <v/>
      </c>
      <c r="L297" s="603" t="str">
        <f>IFERROR(IF(VLOOKUP(N297,'TABLA-DIA'!$B$2:$P$62,14,FALSE)="","",VLOOKUP(N297,'TABLA-DIA'!$B$2:$P$62,14,FALSE)),"")</f>
        <v/>
      </c>
      <c r="M297" s="590">
        <v>8</v>
      </c>
      <c r="N297" s="125" t="str">
        <f t="shared" si="31"/>
        <v>0-8</v>
      </c>
    </row>
    <row r="298" spans="2:15" ht="67.150000000000006" hidden="1" customHeight="1" thickBot="1">
      <c r="B298" s="724"/>
      <c r="C298" s="564" t="str">
        <f>IFERROR(VLOOKUP(N298,'TABLA-DIA'!$B$2:$P$62,9,FALSE),"")</f>
        <v/>
      </c>
      <c r="D298" s="565" t="str">
        <f>IFERROR(VLOOKUP(N298,'TABLA-DIA'!$B$2:$P$62,4,FALSE),"")</f>
        <v/>
      </c>
      <c r="E298" s="566" t="str">
        <f>IFERROR(VLOOKUP(N298,'TABLA-DIA'!$B$2:$P$62,5,FALSE),"")</f>
        <v/>
      </c>
      <c r="F298" s="566" t="str">
        <f>IFERROR(VLOOKUP(N298,'TABLA-DIA'!$B$2:$P$62,6,FALSE),"")</f>
        <v/>
      </c>
      <c r="G298" s="544" t="str">
        <f>IFERROR(VLOOKUP(N298,'TABLA-DIA'!$B$2:$P$62,7,FALSE),"")</f>
        <v/>
      </c>
      <c r="H298" s="582" t="str">
        <f>IFERROR(VLOOKUP(N298,'TABLA-DIA'!$B$2:$P$62,10,FALSE),"")</f>
        <v/>
      </c>
      <c r="I298" s="548" t="str">
        <f>IFERROR(VLOOKUP(N298,'TABLA-DIA'!$B$2:$P$62,11,FALSE),"")</f>
        <v/>
      </c>
      <c r="J298" s="548" t="str">
        <f>IFERROR(VLOOKUP(N298,'TABLA-DIA'!$B$2:$P$62,12,FALSE),"")</f>
        <v/>
      </c>
      <c r="K298" s="557" t="str">
        <f>IFERROR(VLOOKUP(N298,'TABLA-DIA'!$B$2:$P$62,13,FALSE),"")</f>
        <v/>
      </c>
      <c r="L298" s="603" t="str">
        <f>IFERROR(IF(VLOOKUP(N298,'TABLA-DIA'!$B$2:$P$62,14,FALSE)="","",VLOOKUP(N298,'TABLA-DIA'!$B$2:$P$62,14,FALSE)),"")</f>
        <v/>
      </c>
      <c r="M298" s="590">
        <v>9</v>
      </c>
      <c r="N298" s="125" t="str">
        <f t="shared" si="31"/>
        <v>0-9</v>
      </c>
    </row>
    <row r="299" spans="2:15" ht="67.150000000000006" hidden="1" customHeight="1" thickBot="1">
      <c r="B299" s="726"/>
      <c r="C299" s="573" t="str">
        <f>IFERROR(VLOOKUP(N299,'TABLA-DIA'!$B$2:$P$62,9,FALSE),"")</f>
        <v/>
      </c>
      <c r="D299" s="574" t="str">
        <f>IFERROR(VLOOKUP(N299,'TABLA-DIA'!$B$2:$P$62,4,FALSE),"")</f>
        <v/>
      </c>
      <c r="E299" s="575" t="str">
        <f>IFERROR(VLOOKUP(N299,'TABLA-DIA'!$B$2:$P$62,5,FALSE),"")</f>
        <v/>
      </c>
      <c r="F299" s="575" t="str">
        <f>IFERROR(VLOOKUP(N299,'TABLA-DIA'!$B$2:$P$62,6,FALSE),"")</f>
        <v/>
      </c>
      <c r="G299" s="544" t="str">
        <f>IFERROR(VLOOKUP(N299,'TABLA-DIA'!$B$2:$P$62,7,FALSE),"")</f>
        <v/>
      </c>
      <c r="H299" s="585" t="str">
        <f>IFERROR(VLOOKUP(N299,'TABLA-DIA'!$B$2:$P$62,10,FALSE),"")</f>
        <v/>
      </c>
      <c r="I299" s="554" t="str">
        <f>IFERROR(VLOOKUP(N299,'TABLA-DIA'!$B$2:$P$62,11,FALSE),"")</f>
        <v/>
      </c>
      <c r="J299" s="554" t="str">
        <f>IFERROR(VLOOKUP(N299,'TABLA-DIA'!$B$2:$P$62,12,FALSE),"")</f>
        <v/>
      </c>
      <c r="K299" s="560" t="str">
        <f>IFERROR(VLOOKUP(N299,'TABLA-DIA'!$B$2:$P$62,13,FALSE),"")</f>
        <v/>
      </c>
      <c r="L299" s="606" t="str">
        <f>IFERROR(IF(VLOOKUP(N299,'TABLA-DIA'!$B$2:$P$62,14,FALSE)="","",VLOOKUP(N299,'TABLA-DIA'!$B$2:$P$62,14,FALSE)),"")</f>
        <v/>
      </c>
      <c r="M299" s="592">
        <v>10</v>
      </c>
      <c r="N299" s="130" t="str">
        <f t="shared" si="31"/>
        <v>0-10</v>
      </c>
    </row>
    <row r="300" spans="2:15" ht="108.75" customHeight="1" thickBot="1">
      <c r="B300" s="723">
        <f>+'TABLA-DIA'!B168</f>
        <v>0</v>
      </c>
      <c r="C300" s="569" t="str">
        <f>IFERROR(VLOOKUP(N300,'TABLA-DIA'!$B$2:$P$62,9,FALSE),"")</f>
        <v/>
      </c>
      <c r="D300" s="570" t="str">
        <f>IFERROR(VLOOKUP(N300,'TABLA-DIA'!$B$2:$P$62,4,FALSE),"")</f>
        <v/>
      </c>
      <c r="E300" s="571" t="str">
        <f>IFERROR(VLOOKUP(N300,'TABLA-DIA'!$B$2:$P$62,5,FALSE),"")</f>
        <v/>
      </c>
      <c r="F300" s="571" t="str">
        <f>IFERROR(VLOOKUP(N300,'TABLA-DIA'!$B$2:$P$62,6,FALSE),"")</f>
        <v/>
      </c>
      <c r="G300" s="544" t="str">
        <f>IFERROR(VLOOKUP(N300,'TABLA-DIA'!$B$2:$P$62,7,FALSE),"")</f>
        <v/>
      </c>
      <c r="H300" s="584" t="str">
        <f>IFERROR(VLOOKUP(N300,'TABLA-DIA'!$B$2:$P$62,10,FALSE),"")</f>
        <v/>
      </c>
      <c r="I300" s="552" t="str">
        <f>IFERROR(VLOOKUP(N300,'TABLA-DIA'!$B$2:$P$62,11,FALSE),"")</f>
        <v/>
      </c>
      <c r="J300" s="552" t="str">
        <f>IFERROR(VLOOKUP(N300,'TABLA-DIA'!$B$2:$P$62,12,FALSE),"")</f>
        <v/>
      </c>
      <c r="K300" s="559" t="str">
        <f>IFERROR(VLOOKUP(N300,'TABLA-DIA'!$B$2:$P$62,13,FALSE),"")</f>
        <v/>
      </c>
      <c r="L300" s="605" t="str">
        <f>IFERROR(IF(VLOOKUP(N300,'TABLA-DIA'!$B$2:$P$62,14,FALSE)="","",VLOOKUP(N300,'TABLA-DIA'!$B$2:$P$62,14,FALSE)),"")</f>
        <v/>
      </c>
      <c r="M300" s="589">
        <v>1</v>
      </c>
      <c r="N300" s="98" t="str">
        <f t="shared" ref="N300:N309" si="32">CONCATENATE($B$300,"-",M300)</f>
        <v>0-1</v>
      </c>
      <c r="O300" s="91">
        <f>COUNTIF(G300:G309,"&lt;&gt;**")</f>
        <v>0</v>
      </c>
    </row>
    <row r="301" spans="2:15" ht="67.150000000000006" hidden="1" customHeight="1" thickBot="1">
      <c r="B301" s="724"/>
      <c r="C301" s="564" t="str">
        <f>IFERROR(VLOOKUP(N301,'TABLA-DIA'!$B$2:$P$62,9,FALSE),"")</f>
        <v/>
      </c>
      <c r="D301" s="565" t="str">
        <f>IFERROR(VLOOKUP(N301,'TABLA-DIA'!$B$2:$P$62,4,FALSE),"")</f>
        <v/>
      </c>
      <c r="E301" s="566" t="str">
        <f>IFERROR(VLOOKUP(N301,'TABLA-DIA'!$B$2:$P$62,5,FALSE),"")</f>
        <v/>
      </c>
      <c r="F301" s="566" t="str">
        <f>IFERROR(VLOOKUP(N301,'TABLA-DIA'!$B$2:$P$62,6,FALSE),"")</f>
        <v/>
      </c>
      <c r="G301" s="544" t="str">
        <f>IFERROR(VLOOKUP(N301,'TABLA-DIA'!$B$2:$P$62,7,FALSE),"")</f>
        <v/>
      </c>
      <c r="H301" s="582" t="str">
        <f>IFERROR(VLOOKUP(N301,'TABLA-DIA'!$B$2:$P$62,10,FALSE),"")</f>
        <v/>
      </c>
      <c r="I301" s="548" t="str">
        <f>IFERROR(VLOOKUP(N301,'TABLA-DIA'!$B$2:$P$62,11,FALSE),"")</f>
        <v/>
      </c>
      <c r="J301" s="548" t="str">
        <f>IFERROR(VLOOKUP(N301,'TABLA-DIA'!$B$2:$P$62,12,FALSE),"")</f>
        <v/>
      </c>
      <c r="K301" s="557" t="str">
        <f>IFERROR(VLOOKUP(N301,'TABLA-DIA'!$B$2:$P$62,13,FALSE),"")</f>
        <v/>
      </c>
      <c r="L301" s="603" t="str">
        <f>IFERROR(IF(VLOOKUP(N301,'TABLA-DIA'!$B$2:$P$62,14,FALSE)="","",VLOOKUP(N301,'TABLA-DIA'!$B$2:$P$62,14,FALSE)),"")</f>
        <v/>
      </c>
      <c r="M301" s="590">
        <v>2</v>
      </c>
      <c r="N301" s="125" t="str">
        <f t="shared" si="32"/>
        <v>0-2</v>
      </c>
    </row>
    <row r="302" spans="2:15" ht="67.150000000000006" hidden="1" customHeight="1" thickBot="1">
      <c r="B302" s="724"/>
      <c r="C302" s="564" t="str">
        <f>IFERROR(VLOOKUP(N302,'TABLA-DIA'!$B$2:$P$62,9,FALSE),"")</f>
        <v/>
      </c>
      <c r="D302" s="565" t="str">
        <f>IFERROR(VLOOKUP(N302,'TABLA-DIA'!$B$2:$P$62,4,FALSE),"")</f>
        <v/>
      </c>
      <c r="E302" s="566" t="str">
        <f>IFERROR(VLOOKUP(N302,'TABLA-DIA'!$B$2:$P$62,5,FALSE),"")</f>
        <v/>
      </c>
      <c r="F302" s="566" t="str">
        <f>IFERROR(VLOOKUP(N302,'TABLA-DIA'!$B$2:$P$62,6,FALSE),"")</f>
        <v/>
      </c>
      <c r="G302" s="544" t="str">
        <f>IFERROR(VLOOKUP(N302,'TABLA-DIA'!$B$2:$P$62,7,FALSE),"")</f>
        <v/>
      </c>
      <c r="H302" s="582" t="str">
        <f>IFERROR(VLOOKUP(N302,'TABLA-DIA'!$B$2:$P$62,10,FALSE),"")</f>
        <v/>
      </c>
      <c r="I302" s="548" t="str">
        <f>IFERROR(VLOOKUP(N302,'TABLA-DIA'!$B$2:$P$62,11,FALSE),"")</f>
        <v/>
      </c>
      <c r="J302" s="548" t="str">
        <f>IFERROR(VLOOKUP(N302,'TABLA-DIA'!$B$2:$P$62,12,FALSE),"")</f>
        <v/>
      </c>
      <c r="K302" s="557" t="str">
        <f>IFERROR(VLOOKUP(N302,'TABLA-DIA'!$B$2:$P$62,13,FALSE),"")</f>
        <v/>
      </c>
      <c r="L302" s="603" t="str">
        <f>IFERROR(IF(VLOOKUP(N302,'TABLA-DIA'!$B$2:$P$62,14,FALSE)="","",VLOOKUP(N302,'TABLA-DIA'!$B$2:$P$62,14,FALSE)),"")</f>
        <v/>
      </c>
      <c r="M302" s="590">
        <v>3</v>
      </c>
      <c r="N302" s="125" t="str">
        <f t="shared" si="32"/>
        <v>0-3</v>
      </c>
    </row>
    <row r="303" spans="2:15" ht="67.150000000000006" hidden="1" customHeight="1" thickBot="1">
      <c r="B303" s="724"/>
      <c r="C303" s="564" t="str">
        <f>IFERROR(VLOOKUP(N303,'TABLA-DIA'!$B$2:$P$62,9,FALSE),"")</f>
        <v/>
      </c>
      <c r="D303" s="565" t="str">
        <f>IFERROR(VLOOKUP(N303,'TABLA-DIA'!$B$2:$P$62,4,FALSE),"")</f>
        <v/>
      </c>
      <c r="E303" s="566" t="str">
        <f>IFERROR(VLOOKUP(N303,'TABLA-DIA'!$B$2:$P$62,5,FALSE),"")</f>
        <v/>
      </c>
      <c r="F303" s="566" t="str">
        <f>IFERROR(VLOOKUP(N303,'TABLA-DIA'!$B$2:$P$62,6,FALSE),"")</f>
        <v/>
      </c>
      <c r="G303" s="544" t="str">
        <f>IFERROR(VLOOKUP(N303,'TABLA-DIA'!$B$2:$P$62,7,FALSE),"")</f>
        <v/>
      </c>
      <c r="H303" s="582" t="str">
        <f>IFERROR(VLOOKUP(N303,'TABLA-DIA'!$B$2:$P$62,10,FALSE),"")</f>
        <v/>
      </c>
      <c r="I303" s="548" t="str">
        <f>IFERROR(VLOOKUP(N303,'TABLA-DIA'!$B$2:$P$62,11,FALSE),"")</f>
        <v/>
      </c>
      <c r="J303" s="548" t="str">
        <f>IFERROR(VLOOKUP(N303,'TABLA-DIA'!$B$2:$P$62,12,FALSE),"")</f>
        <v/>
      </c>
      <c r="K303" s="557" t="str">
        <f>IFERROR(VLOOKUP(N303,'TABLA-DIA'!$B$2:$P$62,13,FALSE),"")</f>
        <v/>
      </c>
      <c r="L303" s="603" t="str">
        <f>IFERROR(IF(VLOOKUP(N303,'TABLA-DIA'!$B$2:$P$62,14,FALSE)="","",VLOOKUP(N303,'TABLA-DIA'!$B$2:$P$62,14,FALSE)),"")</f>
        <v/>
      </c>
      <c r="M303" s="590">
        <v>4</v>
      </c>
      <c r="N303" s="125" t="str">
        <f t="shared" si="32"/>
        <v>0-4</v>
      </c>
    </row>
    <row r="304" spans="2:15" ht="67.150000000000006" hidden="1" customHeight="1" thickBot="1">
      <c r="B304" s="724"/>
      <c r="C304" s="564" t="str">
        <f>IFERROR(VLOOKUP(N304,'TABLA-DIA'!$B$2:$P$62,9,FALSE),"")</f>
        <v/>
      </c>
      <c r="D304" s="565" t="str">
        <f>IFERROR(VLOOKUP(N304,'TABLA-DIA'!$B$2:$P$62,4,FALSE),"")</f>
        <v/>
      </c>
      <c r="E304" s="566" t="str">
        <f>IFERROR(VLOOKUP(N304,'TABLA-DIA'!$B$2:$P$62,5,FALSE),"")</f>
        <v/>
      </c>
      <c r="F304" s="566" t="str">
        <f>IFERROR(VLOOKUP(N304,'TABLA-DIA'!$B$2:$P$62,6,FALSE),"")</f>
        <v/>
      </c>
      <c r="G304" s="544" t="str">
        <f>IFERROR(VLOOKUP(N304,'TABLA-DIA'!$B$2:$P$62,7,FALSE),"")</f>
        <v/>
      </c>
      <c r="H304" s="582" t="str">
        <f>IFERROR(VLOOKUP(N304,'TABLA-DIA'!$B$2:$P$62,10,FALSE),"")</f>
        <v/>
      </c>
      <c r="I304" s="548" t="str">
        <f>IFERROR(VLOOKUP(N304,'TABLA-DIA'!$B$2:$P$62,11,FALSE),"")</f>
        <v/>
      </c>
      <c r="J304" s="548" t="str">
        <f>IFERROR(VLOOKUP(N304,'TABLA-DIA'!$B$2:$P$62,12,FALSE),"")</f>
        <v/>
      </c>
      <c r="K304" s="557" t="str">
        <f>IFERROR(VLOOKUP(N304,'TABLA-DIA'!$B$2:$P$62,13,FALSE),"")</f>
        <v/>
      </c>
      <c r="L304" s="603" t="str">
        <f>IFERROR(IF(VLOOKUP(N304,'TABLA-DIA'!$B$2:$P$62,14,FALSE)="","",VLOOKUP(N304,'TABLA-DIA'!$B$2:$P$62,14,FALSE)),"")</f>
        <v/>
      </c>
      <c r="M304" s="590">
        <v>5</v>
      </c>
      <c r="N304" s="125" t="str">
        <f t="shared" si="32"/>
        <v>0-5</v>
      </c>
    </row>
    <row r="305" spans="2:15" ht="67.150000000000006" hidden="1" customHeight="1" thickBot="1">
      <c r="B305" s="724"/>
      <c r="C305" s="564" t="str">
        <f>IFERROR(VLOOKUP(N305,'TABLA-DIA'!$B$2:$P$62,9,FALSE),"")</f>
        <v/>
      </c>
      <c r="D305" s="565" t="str">
        <f>IFERROR(VLOOKUP(N305,'TABLA-DIA'!$B$2:$P$62,4,FALSE),"")</f>
        <v/>
      </c>
      <c r="E305" s="566" t="str">
        <f>IFERROR(VLOOKUP(N305,'TABLA-DIA'!$B$2:$P$62,5,FALSE),"")</f>
        <v/>
      </c>
      <c r="F305" s="566" t="str">
        <f>IFERROR(VLOOKUP(N305,'TABLA-DIA'!$B$2:$P$62,6,FALSE),"")</f>
        <v/>
      </c>
      <c r="G305" s="544" t="str">
        <f>IFERROR(VLOOKUP(N305,'TABLA-DIA'!$B$2:$P$62,7,FALSE),"")</f>
        <v/>
      </c>
      <c r="H305" s="582" t="str">
        <f>IFERROR(VLOOKUP(N305,'TABLA-DIA'!$B$2:$P$62,10,FALSE),"")</f>
        <v/>
      </c>
      <c r="I305" s="548" t="str">
        <f>IFERROR(VLOOKUP(N305,'TABLA-DIA'!$B$2:$P$62,11,FALSE),"")</f>
        <v/>
      </c>
      <c r="J305" s="548" t="str">
        <f>IFERROR(VLOOKUP(N305,'TABLA-DIA'!$B$2:$P$62,12,FALSE),"")</f>
        <v/>
      </c>
      <c r="K305" s="557" t="str">
        <f>IFERROR(VLOOKUP(N305,'TABLA-DIA'!$B$2:$P$62,13,FALSE),"")</f>
        <v/>
      </c>
      <c r="L305" s="603" t="str">
        <f>IFERROR(IF(VLOOKUP(N305,'TABLA-DIA'!$B$2:$P$62,14,FALSE)="","",VLOOKUP(N305,'TABLA-DIA'!$B$2:$P$62,14,FALSE)),"")</f>
        <v/>
      </c>
      <c r="M305" s="590">
        <v>6</v>
      </c>
      <c r="N305" s="125" t="str">
        <f t="shared" si="32"/>
        <v>0-6</v>
      </c>
    </row>
    <row r="306" spans="2:15" ht="67.150000000000006" hidden="1" customHeight="1" thickBot="1">
      <c r="B306" s="724"/>
      <c r="C306" s="564" t="str">
        <f>IFERROR(VLOOKUP(N306,'TABLA-DIA'!$B$2:$P$62,9,FALSE),"")</f>
        <v/>
      </c>
      <c r="D306" s="565" t="str">
        <f>IFERROR(VLOOKUP(N306,'TABLA-DIA'!$B$2:$P$62,4,FALSE),"")</f>
        <v/>
      </c>
      <c r="E306" s="566" t="str">
        <f>IFERROR(VLOOKUP(N306,'TABLA-DIA'!$B$2:$P$62,5,FALSE),"")</f>
        <v/>
      </c>
      <c r="F306" s="566" t="str">
        <f>IFERROR(VLOOKUP(N306,'TABLA-DIA'!$B$2:$P$62,6,FALSE),"")</f>
        <v/>
      </c>
      <c r="G306" s="544" t="str">
        <f>IFERROR(VLOOKUP(N306,'TABLA-DIA'!$B$2:$P$62,7,FALSE),"")</f>
        <v/>
      </c>
      <c r="H306" s="582" t="str">
        <f>IFERROR(VLOOKUP(N306,'TABLA-DIA'!$B$2:$P$62,10,FALSE),"")</f>
        <v/>
      </c>
      <c r="I306" s="548" t="str">
        <f>IFERROR(VLOOKUP(N306,'TABLA-DIA'!$B$2:$P$62,11,FALSE),"")</f>
        <v/>
      </c>
      <c r="J306" s="548" t="str">
        <f>IFERROR(VLOOKUP(N306,'TABLA-DIA'!$B$2:$P$62,12,FALSE),"")</f>
        <v/>
      </c>
      <c r="K306" s="557" t="str">
        <f>IFERROR(VLOOKUP(N306,'TABLA-DIA'!$B$2:$P$62,13,FALSE),"")</f>
        <v/>
      </c>
      <c r="L306" s="603" t="str">
        <f>IFERROR(IF(VLOOKUP(N306,'TABLA-DIA'!$B$2:$P$62,14,FALSE)="","",VLOOKUP(N306,'TABLA-DIA'!$B$2:$P$62,14,FALSE)),"")</f>
        <v/>
      </c>
      <c r="M306" s="590">
        <v>7</v>
      </c>
      <c r="N306" s="125" t="str">
        <f t="shared" si="32"/>
        <v>0-7</v>
      </c>
    </row>
    <row r="307" spans="2:15" ht="67.150000000000006" hidden="1" customHeight="1" thickBot="1">
      <c r="B307" s="724"/>
      <c r="C307" s="564" t="str">
        <f>IFERROR(VLOOKUP(N307,'TABLA-DIA'!$B$2:$P$62,9,FALSE),"")</f>
        <v/>
      </c>
      <c r="D307" s="565" t="str">
        <f>IFERROR(VLOOKUP(N307,'TABLA-DIA'!$B$2:$P$62,4,FALSE),"")</f>
        <v/>
      </c>
      <c r="E307" s="566" t="str">
        <f>IFERROR(VLOOKUP(N307,'TABLA-DIA'!$B$2:$P$62,5,FALSE),"")</f>
        <v/>
      </c>
      <c r="F307" s="566" t="str">
        <f>IFERROR(VLOOKUP(N307,'TABLA-DIA'!$B$2:$P$62,6,FALSE),"")</f>
        <v/>
      </c>
      <c r="G307" s="544" t="str">
        <f>IFERROR(VLOOKUP(N307,'TABLA-DIA'!$B$2:$P$62,7,FALSE),"")</f>
        <v/>
      </c>
      <c r="H307" s="582" t="str">
        <f>IFERROR(VLOOKUP(N307,'TABLA-DIA'!$B$2:$P$62,10,FALSE),"")</f>
        <v/>
      </c>
      <c r="I307" s="548" t="str">
        <f>IFERROR(VLOOKUP(N307,'TABLA-DIA'!$B$2:$P$62,11,FALSE),"")</f>
        <v/>
      </c>
      <c r="J307" s="548" t="str">
        <f>IFERROR(VLOOKUP(N307,'TABLA-DIA'!$B$2:$P$62,12,FALSE),"")</f>
        <v/>
      </c>
      <c r="K307" s="557" t="str">
        <f>IFERROR(VLOOKUP(N307,'TABLA-DIA'!$B$2:$P$62,13,FALSE),"")</f>
        <v/>
      </c>
      <c r="L307" s="603" t="str">
        <f>IFERROR(IF(VLOOKUP(N307,'TABLA-DIA'!$B$2:$P$62,14,FALSE)="","",VLOOKUP(N307,'TABLA-DIA'!$B$2:$P$62,14,FALSE)),"")</f>
        <v/>
      </c>
      <c r="M307" s="590">
        <v>8</v>
      </c>
      <c r="N307" s="125" t="str">
        <f t="shared" si="32"/>
        <v>0-8</v>
      </c>
    </row>
    <row r="308" spans="2:15" ht="67.150000000000006" hidden="1" customHeight="1" thickBot="1">
      <c r="B308" s="724"/>
      <c r="C308" s="564" t="str">
        <f>IFERROR(VLOOKUP(N308,'TABLA-DIA'!$B$2:$P$62,9,FALSE),"")</f>
        <v/>
      </c>
      <c r="D308" s="565" t="str">
        <f>IFERROR(VLOOKUP(N308,'TABLA-DIA'!$B$2:$P$62,4,FALSE),"")</f>
        <v/>
      </c>
      <c r="E308" s="566" t="str">
        <f>IFERROR(VLOOKUP(N308,'TABLA-DIA'!$B$2:$P$62,5,FALSE),"")</f>
        <v/>
      </c>
      <c r="F308" s="566" t="str">
        <f>IFERROR(VLOOKUP(N308,'TABLA-DIA'!$B$2:$P$62,6,FALSE),"")</f>
        <v/>
      </c>
      <c r="G308" s="544" t="str">
        <f>IFERROR(VLOOKUP(N308,'TABLA-DIA'!$B$2:$P$62,7,FALSE),"")</f>
        <v/>
      </c>
      <c r="H308" s="582" t="str">
        <f>IFERROR(VLOOKUP(N308,'TABLA-DIA'!$B$2:$P$62,10,FALSE),"")</f>
        <v/>
      </c>
      <c r="I308" s="548" t="str">
        <f>IFERROR(VLOOKUP(N308,'TABLA-DIA'!$B$2:$P$62,11,FALSE),"")</f>
        <v/>
      </c>
      <c r="J308" s="548" t="str">
        <f>IFERROR(VLOOKUP(N308,'TABLA-DIA'!$B$2:$P$62,12,FALSE),"")</f>
        <v/>
      </c>
      <c r="K308" s="557" t="str">
        <f>IFERROR(VLOOKUP(N308,'TABLA-DIA'!$B$2:$P$62,13,FALSE),"")</f>
        <v/>
      </c>
      <c r="L308" s="603" t="str">
        <f>IFERROR(IF(VLOOKUP(N308,'TABLA-DIA'!$B$2:$P$62,14,FALSE)="","",VLOOKUP(N308,'TABLA-DIA'!$B$2:$P$62,14,FALSE)),"")</f>
        <v/>
      </c>
      <c r="M308" s="590">
        <v>9</v>
      </c>
      <c r="N308" s="125" t="str">
        <f t="shared" si="32"/>
        <v>0-9</v>
      </c>
    </row>
    <row r="309" spans="2:15" ht="67.150000000000006" hidden="1" customHeight="1" thickBot="1">
      <c r="B309" s="726"/>
      <c r="C309" s="573" t="str">
        <f>IFERROR(VLOOKUP(N309,'TABLA-DIA'!$B$2:$P$62,9,FALSE),"")</f>
        <v/>
      </c>
      <c r="D309" s="574" t="str">
        <f>IFERROR(VLOOKUP(N309,'TABLA-DIA'!$B$2:$P$62,4,FALSE),"")</f>
        <v/>
      </c>
      <c r="E309" s="575" t="str">
        <f>IFERROR(VLOOKUP(N309,'TABLA-DIA'!$B$2:$P$62,5,FALSE),"")</f>
        <v/>
      </c>
      <c r="F309" s="575" t="str">
        <f>IFERROR(VLOOKUP(N309,'TABLA-DIA'!$B$2:$P$62,6,FALSE),"")</f>
        <v/>
      </c>
      <c r="G309" s="544" t="str">
        <f>IFERROR(VLOOKUP(N309,'TABLA-DIA'!$B$2:$P$62,7,FALSE),"")</f>
        <v/>
      </c>
      <c r="H309" s="585" t="str">
        <f>IFERROR(VLOOKUP(N309,'TABLA-DIA'!$B$2:$P$62,10,FALSE),"")</f>
        <v/>
      </c>
      <c r="I309" s="554" t="str">
        <f>IFERROR(VLOOKUP(N309,'TABLA-DIA'!$B$2:$P$62,11,FALSE),"")</f>
        <v/>
      </c>
      <c r="J309" s="554" t="str">
        <f>IFERROR(VLOOKUP(N309,'TABLA-DIA'!$B$2:$P$62,12,FALSE),"")</f>
        <v/>
      </c>
      <c r="K309" s="560" t="str">
        <f>IFERROR(VLOOKUP(N309,'TABLA-DIA'!$B$2:$P$62,13,FALSE),"")</f>
        <v/>
      </c>
      <c r="L309" s="606" t="str">
        <f>IFERROR(IF(VLOOKUP(N309,'TABLA-DIA'!$B$2:$P$62,14,FALSE)="","",VLOOKUP(N309,'TABLA-DIA'!$B$2:$P$62,14,FALSE)),"")</f>
        <v/>
      </c>
      <c r="M309" s="591">
        <v>10</v>
      </c>
      <c r="N309" s="135" t="str">
        <f t="shared" si="32"/>
        <v>0-10</v>
      </c>
    </row>
    <row r="310" spans="2:15" ht="107.25" customHeight="1" thickBot="1">
      <c r="B310" s="723">
        <f>+'TABLA-DIA'!B169</f>
        <v>0</v>
      </c>
      <c r="C310" s="569" t="str">
        <f>IFERROR(VLOOKUP(N310,'TABLA-DIA'!$B$2:$P$62,9,FALSE),"")</f>
        <v/>
      </c>
      <c r="D310" s="570" t="str">
        <f>IFERROR(VLOOKUP(N310,'TABLA-DIA'!$B$2:$P$62,4,FALSE),"")</f>
        <v/>
      </c>
      <c r="E310" s="571" t="str">
        <f>IFERROR(VLOOKUP(N310,'TABLA-DIA'!$B$2:$P$62,5,FALSE),"")</f>
        <v/>
      </c>
      <c r="F310" s="571" t="str">
        <f>IFERROR(VLOOKUP(N310,'TABLA-DIA'!$B$2:$P$62,6,FALSE),"")</f>
        <v/>
      </c>
      <c r="G310" s="544" t="str">
        <f>IFERROR(VLOOKUP(N310,'TABLA-DIA'!$B$2:$P$62,7,FALSE),"")</f>
        <v/>
      </c>
      <c r="H310" s="584" t="str">
        <f>IFERROR(VLOOKUP(N310,'TABLA-DIA'!$B$2:$P$62,10,FALSE),"")</f>
        <v/>
      </c>
      <c r="I310" s="552" t="str">
        <f>IFERROR(VLOOKUP(N310,'TABLA-DIA'!$B$2:$P$62,11,FALSE),"")</f>
        <v/>
      </c>
      <c r="J310" s="553" t="str">
        <f>IFERROR(VLOOKUP(N310,'TABLA-DIA'!$B$2:$P$62,12,FALSE),"")</f>
        <v/>
      </c>
      <c r="K310" s="559" t="str">
        <f>IFERROR(VLOOKUP(N310,'TABLA-DIA'!$B$2:$P$62,13,FALSE),"")</f>
        <v/>
      </c>
      <c r="L310" s="605" t="str">
        <f>IFERROR(IF(VLOOKUP(N310,'TABLA-DIA'!$B$2:$P$62,14,FALSE)="","",VLOOKUP(N310,'TABLA-DIA'!$B$2:$P$62,14,FALSE)),"")</f>
        <v/>
      </c>
      <c r="M310" s="593">
        <v>1</v>
      </c>
      <c r="N310" s="157" t="str">
        <f t="shared" ref="N310:N319" si="33">CONCATENATE($B$310,"-",M310)</f>
        <v>0-1</v>
      </c>
      <c r="O310" s="91">
        <f>COUNTIF(G310:G319,"&lt;&gt;**")</f>
        <v>0</v>
      </c>
    </row>
    <row r="311" spans="2:15" ht="67.150000000000006" hidden="1" customHeight="1" thickBot="1">
      <c r="B311" s="724"/>
      <c r="C311" s="564" t="str">
        <f>IFERROR(VLOOKUP(N311,'TABLA-DIA'!$B$2:$P$62,9,FALSE),"")</f>
        <v/>
      </c>
      <c r="D311" s="565" t="str">
        <f>IFERROR(VLOOKUP(N311,'TABLA-DIA'!$B$2:$P$62,4,FALSE),"")</f>
        <v/>
      </c>
      <c r="E311" s="566" t="str">
        <f>IFERROR(VLOOKUP(N311,'TABLA-DIA'!$B$2:$P$62,5,FALSE),"")</f>
        <v/>
      </c>
      <c r="F311" s="566" t="str">
        <f>IFERROR(VLOOKUP(N311,'TABLA-DIA'!$B$2:$P$62,6,FALSE),"")</f>
        <v/>
      </c>
      <c r="G311" s="544" t="str">
        <f>IFERROR(VLOOKUP(N311,'TABLA-DIA'!$B$2:$P$62,7,FALSE),"")</f>
        <v/>
      </c>
      <c r="H311" s="582" t="str">
        <f>IFERROR(VLOOKUP(N311,'TABLA-DIA'!$B$2:$P$62,10,FALSE),"")</f>
        <v/>
      </c>
      <c r="I311" s="548" t="str">
        <f>IFERROR(VLOOKUP(N311,'TABLA-DIA'!$B$2:$P$62,11,FALSE),"")</f>
        <v/>
      </c>
      <c r="J311" s="553" t="str">
        <f>IFERROR(VLOOKUP(N311,'TABLA-DIA'!$B$2:$P$62,12,FALSE),"")</f>
        <v/>
      </c>
      <c r="K311" s="557" t="str">
        <f>IFERROR(VLOOKUP(N311,'TABLA-DIA'!$B$2:$P$62,13,FALSE),"")</f>
        <v/>
      </c>
      <c r="L311" s="603" t="str">
        <f>IFERROR(IF(VLOOKUP(N311,'TABLA-DIA'!$B$2:$P$62,14,FALSE)="","",VLOOKUP(N311,'TABLA-DIA'!$B$2:$P$62,14,FALSE)),"")</f>
        <v/>
      </c>
      <c r="M311" s="590">
        <v>2</v>
      </c>
      <c r="N311" s="436" t="str">
        <f t="shared" si="33"/>
        <v>0-2</v>
      </c>
    </row>
    <row r="312" spans="2:15" ht="67.150000000000006" hidden="1" customHeight="1" thickBot="1">
      <c r="B312" s="724"/>
      <c r="C312" s="564" t="str">
        <f>IFERROR(VLOOKUP(N312,'TABLA-DIA'!$B$2:$P$62,9,FALSE),"")</f>
        <v/>
      </c>
      <c r="D312" s="565" t="str">
        <f>IFERROR(VLOOKUP(N312,'TABLA-DIA'!$B$2:$P$62,4,FALSE),"")</f>
        <v/>
      </c>
      <c r="E312" s="566" t="str">
        <f>IFERROR(VLOOKUP(N312,'TABLA-DIA'!$B$2:$P$62,5,FALSE),"")</f>
        <v/>
      </c>
      <c r="F312" s="566" t="str">
        <f>IFERROR(VLOOKUP(N312,'TABLA-DIA'!$B$2:$P$62,6,FALSE),"")</f>
        <v/>
      </c>
      <c r="G312" s="544" t="str">
        <f>IFERROR(VLOOKUP(N312,'TABLA-DIA'!$B$2:$P$62,7,FALSE),"")</f>
        <v/>
      </c>
      <c r="H312" s="582" t="str">
        <f>IFERROR(VLOOKUP(N312,'TABLA-DIA'!$B$2:$P$62,10,FALSE),"")</f>
        <v/>
      </c>
      <c r="I312" s="548" t="str">
        <f>IFERROR(VLOOKUP(N312,'TABLA-DIA'!$B$2:$P$62,11,FALSE),"")</f>
        <v/>
      </c>
      <c r="J312" s="553" t="str">
        <f>IFERROR(VLOOKUP(N312,'TABLA-DIA'!$B$2:$P$62,12,FALSE),"")</f>
        <v/>
      </c>
      <c r="K312" s="557" t="str">
        <f>IFERROR(VLOOKUP(N312,'TABLA-DIA'!$B$2:$P$62,13,FALSE),"")</f>
        <v/>
      </c>
      <c r="L312" s="603" t="str">
        <f>IFERROR(IF(VLOOKUP(N312,'TABLA-DIA'!$B$2:$P$62,14,FALSE)="","",VLOOKUP(N312,'TABLA-DIA'!$B$2:$P$62,14,FALSE)),"")</f>
        <v/>
      </c>
      <c r="M312" s="590">
        <v>3</v>
      </c>
      <c r="N312" s="436" t="str">
        <f t="shared" si="33"/>
        <v>0-3</v>
      </c>
    </row>
    <row r="313" spans="2:15" ht="67.150000000000006" hidden="1" customHeight="1" thickBot="1">
      <c r="B313" s="724"/>
      <c r="C313" s="564" t="str">
        <f>IFERROR(VLOOKUP(N313,'TABLA-DIA'!$B$2:$P$62,9,FALSE),"")</f>
        <v/>
      </c>
      <c r="D313" s="565" t="str">
        <f>IFERROR(VLOOKUP(N313,'TABLA-DIA'!$B$2:$P$62,4,FALSE),"")</f>
        <v/>
      </c>
      <c r="E313" s="566" t="str">
        <f>IFERROR(VLOOKUP(N313,'TABLA-DIA'!$B$2:$P$62,5,FALSE),"")</f>
        <v/>
      </c>
      <c r="F313" s="566" t="str">
        <f>IFERROR(VLOOKUP(N313,'TABLA-DIA'!$B$2:$P$62,6,FALSE),"")</f>
        <v/>
      </c>
      <c r="G313" s="544" t="str">
        <f>IFERROR(VLOOKUP(N313,'TABLA-DIA'!$B$2:$P$62,7,FALSE),"")</f>
        <v/>
      </c>
      <c r="H313" s="582" t="str">
        <f>IFERROR(VLOOKUP(N313,'TABLA-DIA'!$B$2:$P$62,10,FALSE),"")</f>
        <v/>
      </c>
      <c r="I313" s="548" t="str">
        <f>IFERROR(VLOOKUP(N313,'TABLA-DIA'!$B$2:$P$62,11,FALSE),"")</f>
        <v/>
      </c>
      <c r="J313" s="553" t="str">
        <f>IFERROR(VLOOKUP(N313,'TABLA-DIA'!$B$2:$P$62,12,FALSE),"")</f>
        <v/>
      </c>
      <c r="K313" s="557" t="str">
        <f>IFERROR(VLOOKUP(N313,'TABLA-DIA'!$B$2:$P$62,13,FALSE),"")</f>
        <v/>
      </c>
      <c r="L313" s="603" t="str">
        <f>IFERROR(IF(VLOOKUP(N313,'TABLA-DIA'!$B$2:$P$62,14,FALSE)="","",VLOOKUP(N313,'TABLA-DIA'!$B$2:$P$62,14,FALSE)),"")</f>
        <v/>
      </c>
      <c r="M313" s="590">
        <v>4</v>
      </c>
      <c r="N313" s="436" t="str">
        <f t="shared" si="33"/>
        <v>0-4</v>
      </c>
    </row>
    <row r="314" spans="2:15" ht="67.150000000000006" hidden="1" customHeight="1" thickBot="1">
      <c r="B314" s="724"/>
      <c r="C314" s="564" t="str">
        <f>IFERROR(VLOOKUP(N314,'TABLA-DIA'!$B$2:$P$62,9,FALSE),"")</f>
        <v/>
      </c>
      <c r="D314" s="565" t="str">
        <f>IFERROR(VLOOKUP(N314,'TABLA-DIA'!$B$2:$P$62,4,FALSE),"")</f>
        <v/>
      </c>
      <c r="E314" s="566" t="str">
        <f>IFERROR(VLOOKUP(N314,'TABLA-DIA'!$B$2:$P$62,5,FALSE),"")</f>
        <v/>
      </c>
      <c r="F314" s="566" t="str">
        <f>IFERROR(VLOOKUP(N314,'TABLA-DIA'!$B$2:$P$62,6,FALSE),"")</f>
        <v/>
      </c>
      <c r="G314" s="544" t="str">
        <f>IFERROR(VLOOKUP(N314,'TABLA-DIA'!$B$2:$P$62,7,FALSE),"")</f>
        <v/>
      </c>
      <c r="H314" s="582" t="str">
        <f>IFERROR(VLOOKUP(N314,'TABLA-DIA'!$B$2:$P$62,10,FALSE),"")</f>
        <v/>
      </c>
      <c r="I314" s="548" t="str">
        <f>IFERROR(VLOOKUP(N314,'TABLA-DIA'!$B$2:$P$62,11,FALSE),"")</f>
        <v/>
      </c>
      <c r="J314" s="553" t="str">
        <f>IFERROR(VLOOKUP(N314,'TABLA-DIA'!$B$2:$P$62,12,FALSE),"")</f>
        <v/>
      </c>
      <c r="K314" s="557" t="str">
        <f>IFERROR(VLOOKUP(N314,'TABLA-DIA'!$B$2:$P$62,13,FALSE),"")</f>
        <v/>
      </c>
      <c r="L314" s="603" t="str">
        <f>IFERROR(IF(VLOOKUP(N314,'TABLA-DIA'!$B$2:$P$62,14,FALSE)="","",VLOOKUP(N314,'TABLA-DIA'!$B$2:$P$62,14,FALSE)),"")</f>
        <v/>
      </c>
      <c r="M314" s="590">
        <v>5</v>
      </c>
      <c r="N314" s="436" t="str">
        <f t="shared" si="33"/>
        <v>0-5</v>
      </c>
    </row>
    <row r="315" spans="2:15" ht="67.150000000000006" hidden="1" customHeight="1" thickBot="1">
      <c r="B315" s="724"/>
      <c r="C315" s="564" t="str">
        <f>IFERROR(VLOOKUP(N315,'TABLA-DIA'!$B$2:$P$62,9,FALSE),"")</f>
        <v/>
      </c>
      <c r="D315" s="565" t="str">
        <f>IFERROR(VLOOKUP(N315,'TABLA-DIA'!$B$2:$P$62,4,FALSE),"")</f>
        <v/>
      </c>
      <c r="E315" s="566" t="str">
        <f>IFERROR(VLOOKUP(N315,'TABLA-DIA'!$B$2:$P$62,5,FALSE),"")</f>
        <v/>
      </c>
      <c r="F315" s="566" t="str">
        <f>IFERROR(VLOOKUP(N315,'TABLA-DIA'!$B$2:$P$62,6,FALSE),"")</f>
        <v/>
      </c>
      <c r="G315" s="544" t="str">
        <f>IFERROR(VLOOKUP(N315,'TABLA-DIA'!$B$2:$P$62,7,FALSE),"")</f>
        <v/>
      </c>
      <c r="H315" s="582" t="str">
        <f>IFERROR(VLOOKUP(N315,'TABLA-DIA'!$B$2:$P$62,10,FALSE),"")</f>
        <v/>
      </c>
      <c r="I315" s="548" t="str">
        <f>IFERROR(VLOOKUP(N315,'TABLA-DIA'!$B$2:$P$62,11,FALSE),"")</f>
        <v/>
      </c>
      <c r="J315" s="553" t="str">
        <f>IFERROR(VLOOKUP(N315,'TABLA-DIA'!$B$2:$P$62,12,FALSE),"")</f>
        <v/>
      </c>
      <c r="K315" s="557" t="str">
        <f>IFERROR(VLOOKUP(N315,'TABLA-DIA'!$B$2:$P$62,13,FALSE),"")</f>
        <v/>
      </c>
      <c r="L315" s="603" t="str">
        <f>IFERROR(IF(VLOOKUP(N315,'TABLA-DIA'!$B$2:$P$62,14,FALSE)="","",VLOOKUP(N315,'TABLA-DIA'!$B$2:$P$62,14,FALSE)),"")</f>
        <v/>
      </c>
      <c r="M315" s="590">
        <v>6</v>
      </c>
      <c r="N315" s="436" t="str">
        <f t="shared" si="33"/>
        <v>0-6</v>
      </c>
    </row>
    <row r="316" spans="2:15" ht="67.150000000000006" hidden="1" customHeight="1" thickBot="1">
      <c r="B316" s="724"/>
      <c r="C316" s="564" t="str">
        <f>IFERROR(VLOOKUP(N316,'TABLA-DIA'!$B$2:$P$62,9,FALSE),"")</f>
        <v/>
      </c>
      <c r="D316" s="565" t="str">
        <f>IFERROR(VLOOKUP(N316,'TABLA-DIA'!$B$2:$P$62,4,FALSE),"")</f>
        <v/>
      </c>
      <c r="E316" s="566" t="str">
        <f>IFERROR(VLOOKUP(N316,'TABLA-DIA'!$B$2:$P$62,5,FALSE),"")</f>
        <v/>
      </c>
      <c r="F316" s="566" t="str">
        <f>IFERROR(VLOOKUP(N316,'TABLA-DIA'!$B$2:$P$62,6,FALSE),"")</f>
        <v/>
      </c>
      <c r="G316" s="544" t="str">
        <f>IFERROR(VLOOKUP(N316,'TABLA-DIA'!$B$2:$P$62,7,FALSE),"")</f>
        <v/>
      </c>
      <c r="H316" s="582" t="str">
        <f>IFERROR(VLOOKUP(N316,'TABLA-DIA'!$B$2:$P$62,10,FALSE),"")</f>
        <v/>
      </c>
      <c r="I316" s="548" t="str">
        <f>IFERROR(VLOOKUP(N316,'TABLA-DIA'!$B$2:$P$62,11,FALSE),"")</f>
        <v/>
      </c>
      <c r="J316" s="553" t="str">
        <f>IFERROR(VLOOKUP(N316,'TABLA-DIA'!$B$2:$P$62,12,FALSE),"")</f>
        <v/>
      </c>
      <c r="K316" s="557" t="str">
        <f>IFERROR(VLOOKUP(N316,'TABLA-DIA'!$B$2:$P$62,13,FALSE),"")</f>
        <v/>
      </c>
      <c r="L316" s="603" t="str">
        <f>IFERROR(IF(VLOOKUP(N316,'TABLA-DIA'!$B$2:$P$62,14,FALSE)="","",VLOOKUP(N316,'TABLA-DIA'!$B$2:$P$62,14,FALSE)),"")</f>
        <v/>
      </c>
      <c r="M316" s="590">
        <v>7</v>
      </c>
      <c r="N316" s="436" t="str">
        <f t="shared" si="33"/>
        <v>0-7</v>
      </c>
    </row>
    <row r="317" spans="2:15" ht="67.150000000000006" hidden="1" customHeight="1" thickBot="1">
      <c r="B317" s="724"/>
      <c r="C317" s="564" t="str">
        <f>IFERROR(VLOOKUP(N317,'TABLA-DIA'!$B$2:$P$62,9,FALSE),"")</f>
        <v/>
      </c>
      <c r="D317" s="565" t="str">
        <f>IFERROR(VLOOKUP(N317,'TABLA-DIA'!$B$2:$P$62,4,FALSE),"")</f>
        <v/>
      </c>
      <c r="E317" s="566" t="str">
        <f>IFERROR(VLOOKUP(N317,'TABLA-DIA'!$B$2:$P$62,5,FALSE),"")</f>
        <v/>
      </c>
      <c r="F317" s="566" t="str">
        <f>IFERROR(VLOOKUP(N317,'TABLA-DIA'!$B$2:$P$62,6,FALSE),"")</f>
        <v/>
      </c>
      <c r="G317" s="544" t="str">
        <f>IFERROR(VLOOKUP(N317,'TABLA-DIA'!$B$2:$P$62,7,FALSE),"")</f>
        <v/>
      </c>
      <c r="H317" s="582" t="str">
        <f>IFERROR(VLOOKUP(N317,'TABLA-DIA'!$B$2:$P$62,10,FALSE),"")</f>
        <v/>
      </c>
      <c r="I317" s="548" t="str">
        <f>IFERROR(VLOOKUP(N317,'TABLA-DIA'!$B$2:$P$62,11,FALSE),"")</f>
        <v/>
      </c>
      <c r="J317" s="553" t="str">
        <f>IFERROR(VLOOKUP(N317,'TABLA-DIA'!$B$2:$P$62,12,FALSE),"")</f>
        <v/>
      </c>
      <c r="K317" s="557" t="str">
        <f>IFERROR(VLOOKUP(N317,'TABLA-DIA'!$B$2:$P$62,13,FALSE),"")</f>
        <v/>
      </c>
      <c r="L317" s="603" t="str">
        <f>IFERROR(IF(VLOOKUP(N317,'TABLA-DIA'!$B$2:$P$62,14,FALSE)="","",VLOOKUP(N317,'TABLA-DIA'!$B$2:$P$62,14,FALSE)),"")</f>
        <v/>
      </c>
      <c r="M317" s="590">
        <v>8</v>
      </c>
      <c r="N317" s="436" t="str">
        <f t="shared" si="33"/>
        <v>0-8</v>
      </c>
    </row>
    <row r="318" spans="2:15" ht="67.150000000000006" hidden="1" customHeight="1" thickBot="1">
      <c r="B318" s="724"/>
      <c r="C318" s="564" t="str">
        <f>IFERROR(VLOOKUP(N318,'TABLA-DIA'!$B$2:$P$62,9,FALSE),"")</f>
        <v/>
      </c>
      <c r="D318" s="565" t="str">
        <f>IFERROR(VLOOKUP(N318,'TABLA-DIA'!$B$2:$P$62,4,FALSE),"")</f>
        <v/>
      </c>
      <c r="E318" s="566" t="str">
        <f>IFERROR(VLOOKUP(N318,'TABLA-DIA'!$B$2:$P$62,5,FALSE),"")</f>
        <v/>
      </c>
      <c r="F318" s="566" t="str">
        <f>IFERROR(VLOOKUP(N318,'TABLA-DIA'!$B$2:$P$62,6,FALSE),"")</f>
        <v/>
      </c>
      <c r="G318" s="544" t="str">
        <f>IFERROR(VLOOKUP(N318,'TABLA-DIA'!$B$2:$P$62,7,FALSE),"")</f>
        <v/>
      </c>
      <c r="H318" s="582" t="str">
        <f>IFERROR(VLOOKUP(N318,'TABLA-DIA'!$B$2:$P$62,10,FALSE),"")</f>
        <v/>
      </c>
      <c r="I318" s="548" t="str">
        <f>IFERROR(VLOOKUP(N318,'TABLA-DIA'!$B$2:$P$62,11,FALSE),"")</f>
        <v/>
      </c>
      <c r="J318" s="553" t="str">
        <f>IFERROR(VLOOKUP(N318,'TABLA-DIA'!$B$2:$P$62,12,FALSE),"")</f>
        <v/>
      </c>
      <c r="K318" s="557" t="str">
        <f>IFERROR(VLOOKUP(N318,'TABLA-DIA'!$B$2:$P$62,13,FALSE),"")</f>
        <v/>
      </c>
      <c r="L318" s="603" t="str">
        <f>IFERROR(IF(VLOOKUP(N318,'TABLA-DIA'!$B$2:$P$62,14,FALSE)="","",VLOOKUP(N318,'TABLA-DIA'!$B$2:$P$62,14,FALSE)),"")</f>
        <v/>
      </c>
      <c r="M318" s="590">
        <v>9</v>
      </c>
      <c r="N318" s="436" t="str">
        <f t="shared" si="33"/>
        <v>0-9</v>
      </c>
    </row>
    <row r="319" spans="2:15" ht="67.150000000000006" hidden="1" customHeight="1" thickBot="1">
      <c r="B319" s="726"/>
      <c r="C319" s="573" t="str">
        <f>IFERROR(VLOOKUP(N319,'TABLA-DIA'!$B$2:$P$62,9,FALSE),"")</f>
        <v/>
      </c>
      <c r="D319" s="574" t="str">
        <f>IFERROR(VLOOKUP(N319,'TABLA-DIA'!$B$2:$P$62,4,FALSE),"")</f>
        <v/>
      </c>
      <c r="E319" s="575" t="str">
        <f>IFERROR(VLOOKUP(N319,'TABLA-DIA'!$B$2:$P$62,5,FALSE),"")</f>
        <v/>
      </c>
      <c r="F319" s="575" t="str">
        <f>IFERROR(VLOOKUP(N319,'TABLA-DIA'!$B$2:$P$62,6,FALSE),"")</f>
        <v/>
      </c>
      <c r="G319" s="544" t="str">
        <f>IFERROR(VLOOKUP(N319,'TABLA-DIA'!$B$2:$P$62,7,FALSE),"")</f>
        <v/>
      </c>
      <c r="H319" s="585" t="str">
        <f>IFERROR(VLOOKUP(N319,'TABLA-DIA'!$B$2:$P$62,10,FALSE),"")</f>
        <v/>
      </c>
      <c r="I319" s="554" t="str">
        <f>IFERROR(VLOOKUP(N319,'TABLA-DIA'!$B$2:$P$62,11,FALSE),"")</f>
        <v/>
      </c>
      <c r="J319" s="553" t="str">
        <f>IFERROR(VLOOKUP(N319,'TABLA-DIA'!$B$2:$P$62,12,FALSE),"")</f>
        <v/>
      </c>
      <c r="K319" s="560" t="str">
        <f>IFERROR(VLOOKUP(N319,'TABLA-DIA'!$B$2:$P$62,13,FALSE),"")</f>
        <v/>
      </c>
      <c r="L319" s="606" t="str">
        <f>IFERROR(IF(VLOOKUP(N319,'TABLA-DIA'!$B$2:$P$62,14,FALSE)="","",VLOOKUP(N319,'TABLA-DIA'!$B$2:$P$62,14,FALSE)),"")</f>
        <v/>
      </c>
      <c r="M319" s="594">
        <v>10</v>
      </c>
      <c r="N319" s="438" t="str">
        <f t="shared" si="33"/>
        <v>0-10</v>
      </c>
    </row>
    <row r="320" spans="2:15" ht="141.75" customHeight="1" thickBot="1">
      <c r="B320" s="723">
        <f>+'TABLA-DIA'!B170</f>
        <v>0</v>
      </c>
      <c r="C320" s="569" t="str">
        <f>IFERROR(VLOOKUP(N320,'TABLA-DIA'!$B$2:$P$62,9,FALSE),"")</f>
        <v/>
      </c>
      <c r="D320" s="570" t="str">
        <f>IFERROR(VLOOKUP(N320,'TABLA-DIA'!$B$2:$P$62,4,FALSE),"")</f>
        <v/>
      </c>
      <c r="E320" s="571" t="str">
        <f>IFERROR(VLOOKUP(N320,'TABLA-DIA'!$B$2:$P$62,5,FALSE),"")</f>
        <v/>
      </c>
      <c r="F320" s="571" t="str">
        <f>IFERROR(VLOOKUP(N320,'TABLA-DIA'!$B$2:$P$62,6,FALSE),"")</f>
        <v/>
      </c>
      <c r="G320" s="544" t="str">
        <f>IFERROR(VLOOKUP(N320,'TABLA-DIA'!$B$2:$P$62,7,FALSE),"")</f>
        <v/>
      </c>
      <c r="H320" s="584" t="str">
        <f>IFERROR(VLOOKUP(N320,'TABLA-DIA'!$B$2:$P$62,10,FALSE),"")</f>
        <v/>
      </c>
      <c r="I320" s="552" t="str">
        <f>IFERROR(VLOOKUP(N320,'TABLA-DIA'!$B$2:$P$62,11,FALSE),"")</f>
        <v/>
      </c>
      <c r="J320" s="553" t="str">
        <f>IFERROR(VLOOKUP(N320,'TABLA-DIA'!$B$2:$P$62,12,FALSE),"")</f>
        <v/>
      </c>
      <c r="K320" s="559" t="str">
        <f>IFERROR(VLOOKUP(N320,'TABLA-DIA'!$B$2:$P$62,13,FALSE),"")</f>
        <v/>
      </c>
      <c r="L320" s="605" t="str">
        <f>IFERROR(IF(VLOOKUP(N320,'TABLA-DIA'!$B$2:$P$62,14,FALSE)="","",VLOOKUP(N320,'TABLA-DIA'!$B$2:$P$62,14,FALSE)),"")</f>
        <v/>
      </c>
      <c r="M320" s="593">
        <v>1</v>
      </c>
      <c r="N320" s="157" t="str">
        <f t="shared" ref="N320:N329" si="34">CONCATENATE($B$320,"-",M320)</f>
        <v>0-1</v>
      </c>
      <c r="O320" s="91">
        <f>COUNTIF(G320:G329,"&lt;&gt;**")</f>
        <v>0</v>
      </c>
    </row>
    <row r="321" spans="2:14" ht="67.150000000000006" hidden="1" customHeight="1" thickBot="1">
      <c r="B321" s="724"/>
      <c r="C321" s="564" t="str">
        <f>IFERROR(VLOOKUP(N321,'TABLA-DIA'!$B$2:$P$62,9,FALSE),"")</f>
        <v/>
      </c>
      <c r="D321" s="565" t="str">
        <f>IFERROR(VLOOKUP(N321,'TABLA-DIA'!$B$2:$P$62,4,FALSE),"")</f>
        <v/>
      </c>
      <c r="E321" s="566" t="str">
        <f>IFERROR(VLOOKUP(N321,'TABLA-DIA'!$B$2:$P$62,5,FALSE),"")</f>
        <v/>
      </c>
      <c r="F321" s="566" t="str">
        <f>IFERROR(VLOOKUP(N321,'TABLA-DIA'!$B$2:$P$62,6,FALSE),"")</f>
        <v/>
      </c>
      <c r="G321" s="540" t="str">
        <f>IFERROR(VLOOKUP(N321,'TABLA-DIA'!$B$2:$P$62,7,FALSE),"")</f>
        <v/>
      </c>
      <c r="H321" s="582" t="str">
        <f>IFERROR(VLOOKUP(N321,'TABLA-DIA'!$B$2:$P$62,10,FALSE),"")</f>
        <v/>
      </c>
      <c r="I321" s="548" t="str">
        <f>IFERROR(VLOOKUP(N321,'TABLA-DIA'!$B$2:$P$62,11,FALSE),"")</f>
        <v/>
      </c>
      <c r="J321" s="548" t="str">
        <f>IFERROR(VLOOKUP(N321,'TABLA-DIA'!$B$2:$P$62,12,FALSE),"")</f>
        <v/>
      </c>
      <c r="K321" s="557" t="str">
        <f>IFERROR(VLOOKUP(N321,'TABLA-DIA'!$B$2:$P$62,13,FALSE),"")</f>
        <v/>
      </c>
      <c r="L321" s="603" t="str">
        <f>IFERROR(IF(VLOOKUP(N321,'TABLA-DIA'!$B$2:$P$62,14,FALSE)="","",VLOOKUP(N321,'TABLA-DIA'!$B$2:$P$62,14,FALSE)),"")</f>
        <v/>
      </c>
      <c r="M321" s="590">
        <v>2</v>
      </c>
      <c r="N321" s="157" t="str">
        <f t="shared" si="34"/>
        <v>0-2</v>
      </c>
    </row>
    <row r="322" spans="2:14" ht="67.150000000000006" hidden="1" customHeight="1" thickBot="1">
      <c r="B322" s="724"/>
      <c r="C322" s="564" t="str">
        <f>IFERROR(VLOOKUP(N322,'TABLA-DIA'!$B$2:$P$62,9,FALSE),"")</f>
        <v/>
      </c>
      <c r="D322" s="565" t="str">
        <f>IFERROR(VLOOKUP(N322,'TABLA-DIA'!$B$2:$P$62,4,FALSE),"")</f>
        <v/>
      </c>
      <c r="E322" s="566" t="str">
        <f>IFERROR(VLOOKUP(N322,'TABLA-DIA'!$B$2:$P$62,5,FALSE),"")</f>
        <v/>
      </c>
      <c r="F322" s="566" t="str">
        <f>IFERROR(VLOOKUP(N322,'TABLA-DIA'!$B$2:$P$62,6,FALSE),"")</f>
        <v/>
      </c>
      <c r="G322" s="540" t="str">
        <f>IFERROR(VLOOKUP(N322,'TABLA-DIA'!$B$2:$P$62,7,FALSE),"")</f>
        <v/>
      </c>
      <c r="H322" s="582" t="str">
        <f>IFERROR(VLOOKUP(N322,'TABLA-DIA'!$B$2:$P$62,10,FALSE),"")</f>
        <v/>
      </c>
      <c r="I322" s="548" t="str">
        <f>IFERROR(VLOOKUP(N322,'TABLA-DIA'!$B$2:$P$62,11,FALSE),"")</f>
        <v/>
      </c>
      <c r="J322" s="548" t="str">
        <f>IFERROR(VLOOKUP(N322,'TABLA-DIA'!$B$2:$P$62,12,FALSE),"")</f>
        <v/>
      </c>
      <c r="K322" s="557" t="str">
        <f>IFERROR(VLOOKUP(N322,'TABLA-DIA'!$B$2:$P$62,13,FALSE),"")</f>
        <v/>
      </c>
      <c r="L322" s="603" t="str">
        <f>IFERROR(IF(VLOOKUP(N322,'TABLA-DIA'!$B$2:$P$62,14,FALSE)="","",VLOOKUP(N322,'TABLA-DIA'!$B$2:$P$62,14,FALSE)),"")</f>
        <v/>
      </c>
      <c r="M322" s="590">
        <v>3</v>
      </c>
      <c r="N322" s="157" t="str">
        <f t="shared" si="34"/>
        <v>0-3</v>
      </c>
    </row>
    <row r="323" spans="2:14" ht="67.150000000000006" hidden="1" customHeight="1" thickBot="1">
      <c r="B323" s="724"/>
      <c r="C323" s="564" t="str">
        <f>IFERROR(VLOOKUP(N323,'TABLA-DIA'!$B$2:$P$62,9,FALSE),"")</f>
        <v/>
      </c>
      <c r="D323" s="565" t="str">
        <f>IFERROR(VLOOKUP(N323,'TABLA-DIA'!$B$2:$P$62,4,FALSE),"")</f>
        <v/>
      </c>
      <c r="E323" s="566" t="str">
        <f>IFERROR(VLOOKUP(N323,'TABLA-DIA'!$B$2:$P$62,5,FALSE),"")</f>
        <v/>
      </c>
      <c r="F323" s="566" t="str">
        <f>IFERROR(VLOOKUP(N323,'TABLA-DIA'!$B$2:$P$62,6,FALSE),"")</f>
        <v/>
      </c>
      <c r="G323" s="540" t="str">
        <f>IFERROR(VLOOKUP(N323,'TABLA-DIA'!$B$2:$P$62,7,FALSE),"")</f>
        <v/>
      </c>
      <c r="H323" s="582" t="str">
        <f>IFERROR(VLOOKUP(N323,'TABLA-DIA'!$B$2:$P$62,10,FALSE),"")</f>
        <v/>
      </c>
      <c r="I323" s="548" t="str">
        <f>IFERROR(VLOOKUP(N323,'TABLA-DIA'!$B$2:$P$62,11,FALSE),"")</f>
        <v/>
      </c>
      <c r="J323" s="548" t="str">
        <f>IFERROR(VLOOKUP(N323,'TABLA-DIA'!$B$2:$P$62,12,FALSE),"")</f>
        <v/>
      </c>
      <c r="K323" s="557" t="str">
        <f>IFERROR(VLOOKUP(N323,'TABLA-DIA'!$B$2:$P$62,13,FALSE),"")</f>
        <v/>
      </c>
      <c r="L323" s="603" t="str">
        <f>IFERROR(IF(VLOOKUP(N323,'TABLA-DIA'!$B$2:$P$62,14,FALSE)="","",VLOOKUP(N323,'TABLA-DIA'!$B$2:$P$62,14,FALSE)),"")</f>
        <v/>
      </c>
      <c r="M323" s="590">
        <v>4</v>
      </c>
      <c r="N323" s="157" t="str">
        <f t="shared" si="34"/>
        <v>0-4</v>
      </c>
    </row>
    <row r="324" spans="2:14" ht="67.150000000000006" hidden="1" customHeight="1" thickBot="1">
      <c r="B324" s="724"/>
      <c r="C324" s="564" t="str">
        <f>IFERROR(VLOOKUP(N324,'TABLA-DIA'!$B$2:$P$62,9,FALSE),"")</f>
        <v/>
      </c>
      <c r="D324" s="565" t="str">
        <f>IFERROR(VLOOKUP(N324,'TABLA-DIA'!$B$2:$P$62,4,FALSE),"")</f>
        <v/>
      </c>
      <c r="E324" s="566" t="str">
        <f>IFERROR(VLOOKUP(N324,'TABLA-DIA'!$B$2:$P$62,5,FALSE),"")</f>
        <v/>
      </c>
      <c r="F324" s="566" t="str">
        <f>IFERROR(VLOOKUP(N324,'TABLA-DIA'!$B$2:$P$62,6,FALSE),"")</f>
        <v/>
      </c>
      <c r="G324" s="540" t="str">
        <f>IFERROR(VLOOKUP(N324,'TABLA-DIA'!$B$2:$P$62,7,FALSE),"")</f>
        <v/>
      </c>
      <c r="H324" s="582" t="str">
        <f>IFERROR(VLOOKUP(N324,'TABLA-DIA'!$B$2:$P$62,10,FALSE),"")</f>
        <v/>
      </c>
      <c r="I324" s="548" t="str">
        <f>IFERROR(VLOOKUP(N324,'TABLA-DIA'!$B$2:$P$62,11,FALSE),"")</f>
        <v/>
      </c>
      <c r="J324" s="548" t="str">
        <f>IFERROR(VLOOKUP(N324,'TABLA-DIA'!$B$2:$P$62,12,FALSE),"")</f>
        <v/>
      </c>
      <c r="K324" s="557" t="str">
        <f>IFERROR(VLOOKUP(N324,'TABLA-DIA'!$B$2:$P$62,13,FALSE),"")</f>
        <v/>
      </c>
      <c r="L324" s="603" t="str">
        <f>IFERROR(IF(VLOOKUP(N324,'TABLA-DIA'!$B$2:$P$62,14,FALSE)="","",VLOOKUP(N324,'TABLA-DIA'!$B$2:$P$62,14,FALSE)),"")</f>
        <v/>
      </c>
      <c r="M324" s="590">
        <v>5</v>
      </c>
      <c r="N324" s="157" t="str">
        <f t="shared" si="34"/>
        <v>0-5</v>
      </c>
    </row>
    <row r="325" spans="2:14" ht="67.150000000000006" hidden="1" customHeight="1" thickBot="1">
      <c r="B325" s="724"/>
      <c r="C325" s="564" t="str">
        <f>IFERROR(VLOOKUP(N325,'TABLA-DIA'!$B$2:$P$62,9,FALSE),"")</f>
        <v/>
      </c>
      <c r="D325" s="565" t="str">
        <f>IFERROR(VLOOKUP(N325,'TABLA-DIA'!$B$2:$P$62,4,FALSE),"")</f>
        <v/>
      </c>
      <c r="E325" s="566" t="str">
        <f>IFERROR(VLOOKUP(N325,'TABLA-DIA'!$B$2:$P$62,5,FALSE),"")</f>
        <v/>
      </c>
      <c r="F325" s="566" t="str">
        <f>IFERROR(VLOOKUP(N325,'TABLA-DIA'!$B$2:$P$62,6,FALSE),"")</f>
        <v/>
      </c>
      <c r="G325" s="540" t="str">
        <f>IFERROR(VLOOKUP(N325,'TABLA-DIA'!$B$2:$P$62,7,FALSE),"")</f>
        <v/>
      </c>
      <c r="H325" s="582" t="str">
        <f>IFERROR(VLOOKUP(N325,'TABLA-DIA'!$B$2:$P$62,10,FALSE),"")</f>
        <v/>
      </c>
      <c r="I325" s="548" t="str">
        <f>IFERROR(VLOOKUP(N325,'TABLA-DIA'!$B$2:$P$62,11,FALSE),"")</f>
        <v/>
      </c>
      <c r="J325" s="548" t="str">
        <f>IFERROR(VLOOKUP(N325,'TABLA-DIA'!$B$2:$P$62,12,FALSE),"")</f>
        <v/>
      </c>
      <c r="K325" s="557" t="str">
        <f>IFERROR(VLOOKUP(N325,'TABLA-DIA'!$B$2:$P$62,13,FALSE),"")</f>
        <v/>
      </c>
      <c r="L325" s="603" t="str">
        <f>IFERROR(IF(VLOOKUP(N325,'TABLA-DIA'!$B$2:$P$62,14,FALSE)="","",VLOOKUP(N325,'TABLA-DIA'!$B$2:$P$62,14,FALSE)),"")</f>
        <v/>
      </c>
      <c r="M325" s="590">
        <v>6</v>
      </c>
      <c r="N325" s="157" t="str">
        <f t="shared" si="34"/>
        <v>0-6</v>
      </c>
    </row>
    <row r="326" spans="2:14" ht="67.150000000000006" hidden="1" customHeight="1" thickBot="1">
      <c r="B326" s="724"/>
      <c r="C326" s="564" t="str">
        <f>IFERROR(VLOOKUP(N326,'TABLA-DIA'!$B$2:$P$62,9,FALSE),"")</f>
        <v/>
      </c>
      <c r="D326" s="565" t="str">
        <f>IFERROR(VLOOKUP(N326,'TABLA-DIA'!$B$2:$P$62,4,FALSE),"")</f>
        <v/>
      </c>
      <c r="E326" s="566" t="str">
        <f>IFERROR(VLOOKUP(N326,'TABLA-DIA'!$B$2:$P$62,5,FALSE),"")</f>
        <v/>
      </c>
      <c r="F326" s="566" t="str">
        <f>IFERROR(VLOOKUP(N326,'TABLA-DIA'!$B$2:$P$62,6,FALSE),"")</f>
        <v/>
      </c>
      <c r="G326" s="540" t="str">
        <f>IFERROR(VLOOKUP(N326,'TABLA-DIA'!$B$2:$P$62,7,FALSE),"")</f>
        <v/>
      </c>
      <c r="H326" s="582" t="str">
        <f>IFERROR(VLOOKUP(N326,'TABLA-DIA'!$B$2:$P$62,10,FALSE),"")</f>
        <v/>
      </c>
      <c r="I326" s="548" t="str">
        <f>IFERROR(VLOOKUP(N326,'TABLA-DIA'!$B$2:$P$62,11,FALSE),"")</f>
        <v/>
      </c>
      <c r="J326" s="548" t="str">
        <f>IFERROR(VLOOKUP(N326,'TABLA-DIA'!$B$2:$P$62,12,FALSE),"")</f>
        <v/>
      </c>
      <c r="K326" s="557" t="str">
        <f>IFERROR(VLOOKUP(N326,'TABLA-DIA'!$B$2:$P$62,13,FALSE),"")</f>
        <v/>
      </c>
      <c r="L326" s="603" t="str">
        <f>IFERROR(IF(VLOOKUP(N326,'TABLA-DIA'!$B$2:$P$62,14,FALSE)="","",VLOOKUP(N326,'TABLA-DIA'!$B$2:$P$62,14,FALSE)),"")</f>
        <v/>
      </c>
      <c r="M326" s="590">
        <v>7</v>
      </c>
      <c r="N326" s="157" t="str">
        <f t="shared" si="34"/>
        <v>0-7</v>
      </c>
    </row>
    <row r="327" spans="2:14" ht="67.150000000000006" hidden="1" customHeight="1" thickBot="1">
      <c r="B327" s="724"/>
      <c r="C327" s="564" t="str">
        <f>IFERROR(VLOOKUP(N327,'TABLA-DIA'!$B$2:$P$62,9,FALSE),"")</f>
        <v/>
      </c>
      <c r="D327" s="565" t="str">
        <f>IFERROR(VLOOKUP(N327,'TABLA-DIA'!$B$2:$P$62,4,FALSE),"")</f>
        <v/>
      </c>
      <c r="E327" s="566" t="str">
        <f>IFERROR(VLOOKUP(N327,'TABLA-DIA'!$B$2:$P$62,5,FALSE),"")</f>
        <v/>
      </c>
      <c r="F327" s="566" t="str">
        <f>IFERROR(VLOOKUP(N327,'TABLA-DIA'!$B$2:$P$62,6,FALSE),"")</f>
        <v/>
      </c>
      <c r="G327" s="540" t="str">
        <f>IFERROR(VLOOKUP(N327,'TABLA-DIA'!$B$2:$P$62,7,FALSE),"")</f>
        <v/>
      </c>
      <c r="H327" s="582" t="str">
        <f>IFERROR(VLOOKUP(N327,'TABLA-DIA'!$B$2:$P$62,10,FALSE),"")</f>
        <v/>
      </c>
      <c r="I327" s="548" t="str">
        <f>IFERROR(VLOOKUP(N327,'TABLA-DIA'!$B$2:$P$62,11,FALSE),"")</f>
        <v/>
      </c>
      <c r="J327" s="548" t="str">
        <f>IFERROR(VLOOKUP(N327,'TABLA-DIA'!$B$2:$P$62,12,FALSE),"")</f>
        <v/>
      </c>
      <c r="K327" s="557" t="str">
        <f>IFERROR(VLOOKUP(N327,'TABLA-DIA'!$B$2:$P$62,13,FALSE),"")</f>
        <v/>
      </c>
      <c r="L327" s="603" t="str">
        <f>IFERROR(IF(VLOOKUP(N327,'TABLA-DIA'!$B$2:$P$62,14,FALSE)="","",VLOOKUP(N327,'TABLA-DIA'!$B$2:$P$62,14,FALSE)),"")</f>
        <v/>
      </c>
      <c r="M327" s="590">
        <v>8</v>
      </c>
      <c r="N327" s="157" t="str">
        <f t="shared" si="34"/>
        <v>0-8</v>
      </c>
    </row>
    <row r="328" spans="2:14" ht="67.150000000000006" hidden="1" customHeight="1" thickBot="1">
      <c r="B328" s="724"/>
      <c r="C328" s="564" t="str">
        <f>IFERROR(VLOOKUP(N328,'TABLA-DIA'!$B$2:$P$62,9,FALSE),"")</f>
        <v/>
      </c>
      <c r="D328" s="565" t="str">
        <f>IFERROR(VLOOKUP(N328,'TABLA-DIA'!$B$2:$P$62,4,FALSE),"")</f>
        <v/>
      </c>
      <c r="E328" s="566" t="str">
        <f>IFERROR(VLOOKUP(N328,'TABLA-DIA'!$B$2:$P$62,5,FALSE),"")</f>
        <v/>
      </c>
      <c r="F328" s="566" t="str">
        <f>IFERROR(VLOOKUP(N328,'TABLA-DIA'!$B$2:$P$62,6,FALSE),"")</f>
        <v/>
      </c>
      <c r="G328" s="540" t="str">
        <f>IFERROR(VLOOKUP(N328,'TABLA-DIA'!$B$2:$P$62,7,FALSE),"")</f>
        <v/>
      </c>
      <c r="H328" s="582" t="str">
        <f>IFERROR(VLOOKUP(N328,'TABLA-DIA'!$B$2:$P$62,10,FALSE),"")</f>
        <v/>
      </c>
      <c r="I328" s="548" t="str">
        <f>IFERROR(VLOOKUP(N328,'TABLA-DIA'!$B$2:$P$62,11,FALSE),"")</f>
        <v/>
      </c>
      <c r="J328" s="548" t="str">
        <f>IFERROR(VLOOKUP(N328,'TABLA-DIA'!$B$2:$P$62,12,FALSE),"")</f>
        <v/>
      </c>
      <c r="K328" s="557" t="str">
        <f>IFERROR(VLOOKUP(N328,'TABLA-DIA'!$B$2:$P$62,13,FALSE),"")</f>
        <v/>
      </c>
      <c r="L328" s="603" t="str">
        <f>IFERROR(IF(VLOOKUP(N328,'TABLA-DIA'!$B$2:$P$62,14,FALSE)="","",VLOOKUP(N328,'TABLA-DIA'!$B$2:$P$62,14,FALSE)),"")</f>
        <v/>
      </c>
      <c r="M328" s="590">
        <v>9</v>
      </c>
      <c r="N328" s="157" t="str">
        <f t="shared" si="34"/>
        <v>0-9</v>
      </c>
    </row>
    <row r="329" spans="2:14" ht="1.5" customHeight="1" thickBot="1">
      <c r="B329" s="725"/>
      <c r="C329" s="607" t="str">
        <f>IFERROR(VLOOKUP(N329,'TABLA-DIA'!$B$2:$P$62,9,FALSE),"")</f>
        <v/>
      </c>
      <c r="D329" s="608" t="str">
        <f>IFERROR(VLOOKUP(N329,'TABLA-DIA'!$B$2:$P$62,4,FALSE),"")</f>
        <v/>
      </c>
      <c r="E329" s="609" t="str">
        <f>IFERROR(VLOOKUP(N329,'TABLA-DIA'!$B$2:$P$62,5,FALSE),"")</f>
        <v/>
      </c>
      <c r="F329" s="609" t="str">
        <f>IFERROR(VLOOKUP(N329,'TABLA-DIA'!$B$2:$P$62,6,FALSE),"")</f>
        <v/>
      </c>
      <c r="G329" s="610" t="str">
        <f>IFERROR(VLOOKUP(N329,'TABLA-DIA'!$B$2:$P$62,7,FALSE),"")</f>
        <v/>
      </c>
      <c r="H329" s="611" t="str">
        <f>IFERROR(VLOOKUP(N329,'TABLA-DIA'!$B$2:$P$62,10,FALSE),"")</f>
        <v/>
      </c>
      <c r="I329" s="612" t="str">
        <f>IFERROR(VLOOKUP(N329,'TABLA-DIA'!$B$2:$P$62,11,FALSE),"")</f>
        <v/>
      </c>
      <c r="J329" s="612" t="str">
        <f>IFERROR(VLOOKUP(N329,'TABLA-DIA'!$B$2:$P$62,12,FALSE),"")</f>
        <v/>
      </c>
      <c r="K329" s="613" t="str">
        <f>IFERROR(VLOOKUP(N329,'TABLA-DIA'!$B$2:$P$62,13,FALSE),"")</f>
        <v/>
      </c>
      <c r="L329" s="614" t="str">
        <f>IFERROR(IF(VLOOKUP(N329,'TABLA-DIA'!$B$2:$P$62,14,FALSE)="","",VLOOKUP(N329,'TABLA-DIA'!$B$2:$P$62,14,FALSE)),"")</f>
        <v/>
      </c>
      <c r="M329" s="594">
        <v>10</v>
      </c>
      <c r="N329" s="157" t="str">
        <f t="shared" si="34"/>
        <v>0-10</v>
      </c>
    </row>
  </sheetData>
  <mergeCells count="47">
    <mergeCell ref="N1:O2"/>
    <mergeCell ref="O71:S71"/>
    <mergeCell ref="B200:B209"/>
    <mergeCell ref="B3:D4"/>
    <mergeCell ref="E3:K4"/>
    <mergeCell ref="L3:L4"/>
    <mergeCell ref="B148:B159"/>
    <mergeCell ref="B160:B169"/>
    <mergeCell ref="B170:B179"/>
    <mergeCell ref="B180:B189"/>
    <mergeCell ref="B190:B199"/>
    <mergeCell ref="M3:O3"/>
    <mergeCell ref="M4:P4"/>
    <mergeCell ref="M5:P5"/>
    <mergeCell ref="O14:P14"/>
    <mergeCell ref="O15:P15"/>
    <mergeCell ref="B320:B329"/>
    <mergeCell ref="B210:B219"/>
    <mergeCell ref="B220:B229"/>
    <mergeCell ref="B230:B239"/>
    <mergeCell ref="B240:B249"/>
    <mergeCell ref="B250:B259"/>
    <mergeCell ref="B260:B269"/>
    <mergeCell ref="B270:B279"/>
    <mergeCell ref="B280:B289"/>
    <mergeCell ref="B290:B299"/>
    <mergeCell ref="B300:B309"/>
    <mergeCell ref="B310:B319"/>
    <mergeCell ref="M7:O7"/>
    <mergeCell ref="M8:O8"/>
    <mergeCell ref="M9:O9"/>
    <mergeCell ref="M10:O10"/>
    <mergeCell ref="M11:O11"/>
    <mergeCell ref="N12:R12"/>
    <mergeCell ref="O16:P16"/>
    <mergeCell ref="O13:P13"/>
    <mergeCell ref="Q13:R13"/>
    <mergeCell ref="Q14:R14"/>
    <mergeCell ref="Q15:R15"/>
    <mergeCell ref="Q16:R16"/>
    <mergeCell ref="P23:T23"/>
    <mergeCell ref="N22:T22"/>
    <mergeCell ref="N46:T46"/>
    <mergeCell ref="O18:P18"/>
    <mergeCell ref="Q18:R18"/>
    <mergeCell ref="O19:P19"/>
    <mergeCell ref="Q19:R19"/>
  </mergeCells>
  <conditionalFormatting sqref="D143:D145">
    <cfRule type="containsText" dxfId="266" priority="6" operator="containsText" text="NOCHE">
      <formula>NOT(ISERROR(SEARCH("NOCHE",D143)))</formula>
    </cfRule>
    <cfRule type="containsText" dxfId="265" priority="7" operator="containsText" text="TARDE">
      <formula>NOT(ISERROR(SEARCH("TARDE",D143)))</formula>
    </cfRule>
    <cfRule type="containsText" dxfId="264" priority="8" operator="containsText" text="MAÑANA">
      <formula>NOT(ISERROR(SEARCH("MAÑANA",D143)))</formula>
    </cfRule>
  </conditionalFormatting>
  <conditionalFormatting sqref="D148:D329">
    <cfRule type="containsText" dxfId="263" priority="9" operator="containsText" text="NOCHE">
      <formula>NOT(ISERROR(SEARCH("NOCHE",D148)))</formula>
    </cfRule>
    <cfRule type="containsText" dxfId="262" priority="10" operator="containsText" text="TARDE">
      <formula>NOT(ISERROR(SEARCH("TARDE",D148)))</formula>
    </cfRule>
    <cfRule type="containsText" dxfId="261" priority="11" operator="containsText" text="MAÑANA">
      <formula>NOT(ISERROR(SEARCH("MAÑANA",D148)))</formula>
    </cfRule>
  </conditionalFormatting>
  <conditionalFormatting sqref="G148:G329">
    <cfRule type="cellIs" dxfId="260" priority="15" operator="between">
      <formula>$N$143</formula>
      <formula>$O$143</formula>
    </cfRule>
    <cfRule type="cellIs" dxfId="259" priority="16" operator="between">
      <formula>$N$144</formula>
      <formula>$O$144</formula>
    </cfRule>
    <cfRule type="cellIs" dxfId="258" priority="17" operator="between">
      <formula>$N$145</formula>
      <formula>$O$145</formula>
    </cfRule>
  </conditionalFormatting>
  <conditionalFormatting sqref="I144:I145">
    <cfRule type="endsWith" dxfId="257" priority="3" operator="endsWith" text="NO PROGRAMADA">
      <formula>RIGHT(I144,LEN("NO PROGRAMADA"))="NO PROGRAMADA"</formula>
    </cfRule>
  </conditionalFormatting>
  <conditionalFormatting sqref="I148:I329">
    <cfRule type="beginsWith" dxfId="256" priority="2" operator="beginsWith" text="PROGRAMADA">
      <formula>LEFT(I148,LEN("PROGRAMADA"))="PROGRAMADA"</formula>
    </cfRule>
    <cfRule type="beginsWith" dxfId="255" priority="14" operator="beginsWith" text="NO PROGRAMADA">
      <formula>LEFT(I148,LEN("NO PROGRAMADA"))="NO PROGRAMADA"</formula>
    </cfRule>
  </conditionalFormatting>
  <conditionalFormatting sqref="J144:J145">
    <cfRule type="containsText" dxfId="254" priority="4" operator="containsText" text="ELÉCTRICA">
      <formula>NOT(ISERROR(SEARCH("ELÉCTRICA",J144)))</formula>
    </cfRule>
    <cfRule type="containsText" dxfId="253" priority="5" operator="containsText" text="MECÁNICA">
      <formula>NOT(ISERROR(SEARCH("MECÁNICA",J144)))</formula>
    </cfRule>
  </conditionalFormatting>
  <conditionalFormatting sqref="J148:J329">
    <cfRule type="containsText" dxfId="252" priority="1" operator="containsText" text="0">
      <formula>NOT(ISERROR(SEARCH("0",J148)))</formula>
    </cfRule>
    <cfRule type="containsText" dxfId="251" priority="12" operator="containsText" text="ELÉCTRICA">
      <formula>NOT(ISERROR(SEARCH("ELÉCTRICA",J148)))</formula>
    </cfRule>
    <cfRule type="containsText" dxfId="250" priority="13" operator="containsText" text="MECÁNICA">
      <formula>NOT(ISERROR(SEARCH("MECÁNICA",J148)))</formula>
    </cfRule>
  </conditionalFormatting>
  <pageMargins left="0.23622047244094491" right="0" top="0.19685039370078741" bottom="0" header="0" footer="0"/>
  <pageSetup scale="28" fitToHeight="0" orientation="portrait" r:id="rId11"/>
  <rowBreaks count="2" manualBreakCount="2">
    <brk id="141" min="1" max="11" man="1"/>
    <brk id="329" min="1" max="11" man="1"/>
  </rowBreaks>
  <drawing r:id="rId12"/>
  <legacyDrawing r:id="rId13"/>
  <tableParts count="1"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40DEC-78AB-4FA1-A4E8-CCD84BE6861D}">
  <sheetPr>
    <tabColor theme="9" tint="-0.249977111117893"/>
  </sheetPr>
  <dimension ref="B2:AA132"/>
  <sheetViews>
    <sheetView zoomScale="55" zoomScaleNormal="55" workbookViewId="0">
      <selection activeCell="G29" sqref="A29:G32"/>
    </sheetView>
  </sheetViews>
  <sheetFormatPr defaultColWidth="11.42578125" defaultRowHeight="21"/>
  <cols>
    <col min="2" max="2" width="55.5703125" bestFit="1" customWidth="1"/>
    <col min="3" max="4" width="26.7109375" style="80" customWidth="1"/>
    <col min="5" max="8" width="15.85546875" style="80" customWidth="1"/>
    <col min="9" max="9" width="26.5703125" style="80" customWidth="1"/>
    <col min="10" max="12" width="15.85546875" style="80" customWidth="1"/>
    <col min="13" max="13" width="18.85546875" style="80" customWidth="1"/>
    <col min="19" max="27" width="27.140625" style="39" customWidth="1"/>
  </cols>
  <sheetData>
    <row r="2" spans="2:11" ht="33.75">
      <c r="B2" s="146" t="s">
        <v>3744</v>
      </c>
      <c r="C2" s="247">
        <f ca="1">+C4-7</f>
        <v>46199</v>
      </c>
      <c r="E2" s="749" t="s">
        <v>3745</v>
      </c>
      <c r="F2" s="749"/>
      <c r="G2" s="749"/>
      <c r="H2" s="749"/>
      <c r="I2" s="749"/>
      <c r="J2" s="749"/>
      <c r="K2" s="749"/>
    </row>
    <row r="3" spans="2:11" ht="33.75">
      <c r="B3" s="146" t="s">
        <v>3746</v>
      </c>
      <c r="C3" s="247">
        <f ca="1">+C4-2</f>
        <v>46204</v>
      </c>
      <c r="E3" s="749"/>
      <c r="F3" s="749"/>
      <c r="G3" s="749"/>
      <c r="H3" s="749"/>
      <c r="I3" s="749"/>
      <c r="J3" s="749"/>
      <c r="K3" s="749"/>
    </row>
    <row r="4" spans="2:11" ht="33.75">
      <c r="B4" s="146" t="s">
        <v>3747</v>
      </c>
      <c r="C4" s="247">
        <f ca="1">+TODAY()</f>
        <v>46206</v>
      </c>
      <c r="D4" s="81"/>
      <c r="E4" s="749"/>
      <c r="F4" s="749"/>
      <c r="G4" s="749"/>
      <c r="H4" s="749"/>
      <c r="I4" s="749"/>
      <c r="J4" s="749"/>
      <c r="K4" s="749"/>
    </row>
    <row r="5" spans="2:11">
      <c r="B5" s="145"/>
      <c r="C5" s="82"/>
      <c r="E5" s="749"/>
      <c r="F5" s="749"/>
      <c r="G5" s="749"/>
      <c r="H5" s="749"/>
      <c r="I5" s="749"/>
      <c r="J5" s="749"/>
      <c r="K5" s="749"/>
    </row>
    <row r="6" spans="2:11">
      <c r="B6" s="145"/>
      <c r="C6" s="82"/>
      <c r="E6" s="304" t="s">
        <v>3748</v>
      </c>
      <c r="F6" s="304"/>
      <c r="G6" s="304"/>
      <c r="H6" s="304"/>
      <c r="I6" s="304"/>
      <c r="J6" s="304"/>
      <c r="K6" s="304"/>
    </row>
    <row r="7" spans="2:11" ht="28.5">
      <c r="B7" s="147" t="s">
        <v>3608</v>
      </c>
      <c r="C7" s="484" t="s">
        <v>3614</v>
      </c>
      <c r="E7" s="304"/>
      <c r="F7" s="304"/>
      <c r="G7" s="304"/>
      <c r="H7" s="304"/>
      <c r="I7" s="304"/>
      <c r="J7" s="304"/>
      <c r="K7" s="304"/>
    </row>
    <row r="8" spans="2:11">
      <c r="B8" s="148"/>
      <c r="C8" s="248"/>
      <c r="D8" s="81"/>
      <c r="E8" s="81"/>
      <c r="F8" s="81"/>
      <c r="G8" s="81"/>
      <c r="H8" s="81"/>
      <c r="I8" s="253"/>
      <c r="J8" s="81"/>
      <c r="K8" s="81"/>
    </row>
    <row r="9" spans="2:11">
      <c r="B9" s="251" t="s">
        <v>3664</v>
      </c>
      <c r="C9" s="249" t="s">
        <v>3665</v>
      </c>
      <c r="D9" s="484"/>
      <c r="E9" s="484"/>
      <c r="F9" s="484"/>
      <c r="G9" s="484"/>
      <c r="H9" s="484"/>
      <c r="I9" s="484"/>
      <c r="J9" s="484"/>
      <c r="K9"/>
    </row>
    <row r="10" spans="2:11" s="315" customFormat="1" ht="42">
      <c r="B10" s="317" t="s">
        <v>3666</v>
      </c>
      <c r="C10" s="316" t="s">
        <v>57</v>
      </c>
      <c r="D10" s="316" t="s">
        <v>54</v>
      </c>
      <c r="E10" s="316" t="s">
        <v>61</v>
      </c>
      <c r="F10" s="484" t="s">
        <v>245</v>
      </c>
      <c r="G10" s="316" t="s">
        <v>32</v>
      </c>
      <c r="H10" s="316" t="s">
        <v>28</v>
      </c>
      <c r="I10" s="483" t="s">
        <v>1426</v>
      </c>
      <c r="J10" s="316" t="s">
        <v>3667</v>
      </c>
      <c r="K10"/>
    </row>
    <row r="11" spans="2:11" ht="28.5">
      <c r="B11" s="141" t="s">
        <v>119</v>
      </c>
      <c r="C11" s="250">
        <v>6.2500000000000003E-3</v>
      </c>
      <c r="D11" s="485">
        <v>0.12291666666666666</v>
      </c>
      <c r="E11" s="485">
        <v>4.6527777777777772E-2</v>
      </c>
      <c r="F11" s="485"/>
      <c r="G11" s="485">
        <v>0.18124999999999997</v>
      </c>
      <c r="H11" s="485"/>
      <c r="I11" s="485">
        <v>6.9444444444444441E-3</v>
      </c>
      <c r="J11" s="485">
        <v>0.36388888888888882</v>
      </c>
      <c r="K11"/>
    </row>
    <row r="12" spans="2:11">
      <c r="B12" s="382" t="s">
        <v>31</v>
      </c>
      <c r="C12" s="250">
        <v>0.13819444444444445</v>
      </c>
      <c r="D12" s="485">
        <v>1.0416666666666666E-2</v>
      </c>
      <c r="E12" s="485"/>
      <c r="F12" s="485"/>
      <c r="G12" s="485">
        <v>0.13472222222222222</v>
      </c>
      <c r="H12" s="485"/>
      <c r="I12" s="485"/>
      <c r="J12" s="485">
        <v>0.28333333333333333</v>
      </c>
      <c r="K12"/>
    </row>
    <row r="13" spans="2:11" ht="28.5">
      <c r="B13" s="142" t="s">
        <v>182</v>
      </c>
      <c r="C13" s="250"/>
      <c r="D13" s="485"/>
      <c r="E13" s="485"/>
      <c r="F13" s="485"/>
      <c r="G13" s="485">
        <v>0.15763888888888888</v>
      </c>
      <c r="H13" s="485"/>
      <c r="I13" s="485"/>
      <c r="J13" s="485">
        <v>0.15763888888888888</v>
      </c>
      <c r="K13"/>
    </row>
    <row r="14" spans="2:11">
      <c r="B14" s="382" t="s">
        <v>24</v>
      </c>
      <c r="C14" s="250">
        <v>2.4305555555555556E-2</v>
      </c>
      <c r="D14" s="485">
        <v>1.3888888888888888E-2</v>
      </c>
      <c r="E14" s="485"/>
      <c r="F14" s="485"/>
      <c r="G14" s="485">
        <v>5.4166666666666669E-2</v>
      </c>
      <c r="H14" s="485"/>
      <c r="I14" s="485"/>
      <c r="J14" s="485">
        <v>9.2361111111111116E-2</v>
      </c>
      <c r="K14"/>
    </row>
    <row r="15" spans="2:11" ht="28.5">
      <c r="B15" s="141" t="s">
        <v>256</v>
      </c>
      <c r="C15" s="250">
        <v>5.9027777777777776E-2</v>
      </c>
      <c r="D15" s="485">
        <v>2.7083333333333334E-2</v>
      </c>
      <c r="E15" s="485"/>
      <c r="F15" s="485"/>
      <c r="G15" s="485"/>
      <c r="H15" s="485"/>
      <c r="I15" s="485"/>
      <c r="J15" s="485">
        <v>8.611111111111111E-2</v>
      </c>
      <c r="K15"/>
    </row>
    <row r="16" spans="2:11">
      <c r="C16"/>
      <c r="D16"/>
      <c r="E16"/>
      <c r="F16"/>
      <c r="G16"/>
      <c r="H16"/>
      <c r="I16"/>
      <c r="J16"/>
      <c r="K16"/>
    </row>
    <row r="17" spans="3:8">
      <c r="C17"/>
      <c r="D17"/>
      <c r="E17"/>
      <c r="F17"/>
      <c r="G17"/>
      <c r="H17"/>
    </row>
    <row r="37" spans="2:3">
      <c r="B37" s="480" t="s">
        <v>3608</v>
      </c>
      <c r="C37" s="481" t="s">
        <v>3614</v>
      </c>
    </row>
    <row r="38" spans="2:3">
      <c r="B38" s="254"/>
      <c r="C38" s="254"/>
    </row>
    <row r="39" spans="2:3">
      <c r="B39" s="480" t="s">
        <v>3666</v>
      </c>
      <c r="C39" s="481" t="s">
        <v>3664</v>
      </c>
    </row>
    <row r="40" spans="2:3">
      <c r="B40" s="252" t="s">
        <v>119</v>
      </c>
      <c r="C40" s="482">
        <v>0.36388888888888898</v>
      </c>
    </row>
    <row r="41" spans="2:3">
      <c r="B41" s="252" t="s">
        <v>31</v>
      </c>
      <c r="C41" s="482">
        <v>0.28333333333333333</v>
      </c>
    </row>
    <row r="42" spans="2:3">
      <c r="B42" s="252" t="s">
        <v>182</v>
      </c>
      <c r="C42" s="482">
        <v>0.15763888888888888</v>
      </c>
    </row>
    <row r="43" spans="2:3">
      <c r="B43" s="252" t="s">
        <v>24</v>
      </c>
      <c r="C43" s="482">
        <v>9.2361111111111102E-2</v>
      </c>
    </row>
    <row r="44" spans="2:3">
      <c r="B44" s="252" t="s">
        <v>256</v>
      </c>
      <c r="C44" s="482">
        <v>8.611111111111111E-2</v>
      </c>
    </row>
    <row r="45" spans="2:3">
      <c r="C45"/>
    </row>
    <row r="46" spans="2:3">
      <c r="C46"/>
    </row>
    <row r="62" spans="2:9">
      <c r="B62" s="750" t="s">
        <v>3749</v>
      </c>
      <c r="C62" s="750"/>
      <c r="D62" s="750"/>
      <c r="E62" s="750"/>
      <c r="F62" s="750"/>
      <c r="G62" s="750"/>
      <c r="H62" s="750"/>
      <c r="I62" s="750"/>
    </row>
    <row r="63" spans="2:9">
      <c r="B63" s="750"/>
      <c r="C63" s="750"/>
      <c r="D63" s="750"/>
      <c r="E63" s="750"/>
      <c r="F63" s="750"/>
      <c r="G63" s="750"/>
      <c r="H63" s="750"/>
      <c r="I63" s="750"/>
    </row>
    <row r="64" spans="2:9" ht="28.5">
      <c r="B64" s="487" t="s">
        <v>3608</v>
      </c>
      <c r="C64" s="483" t="s">
        <v>3614</v>
      </c>
      <c r="D64"/>
      <c r="E64"/>
      <c r="F64"/>
      <c r="G64"/>
    </row>
    <row r="65" spans="2:13">
      <c r="B65" s="148"/>
      <c r="C65" s="143"/>
      <c r="D65" s="31"/>
      <c r="E65" s="31"/>
      <c r="F65" s="31"/>
      <c r="G65" s="105"/>
    </row>
    <row r="66" spans="2:13" ht="28.5">
      <c r="B66" s="147" t="s">
        <v>3681</v>
      </c>
      <c r="C66" s="144" t="s">
        <v>3665</v>
      </c>
      <c r="D66" s="483"/>
      <c r="E66" s="483"/>
      <c r="F66" s="483"/>
      <c r="G66"/>
      <c r="I66" s="487" t="s">
        <v>3608</v>
      </c>
      <c r="J66" s="483" t="s">
        <v>3614</v>
      </c>
      <c r="K66"/>
      <c r="L66"/>
      <c r="M66"/>
    </row>
    <row r="67" spans="2:13" ht="28.5">
      <c r="B67" s="147" t="s">
        <v>3666</v>
      </c>
      <c r="C67" s="142" t="s">
        <v>36</v>
      </c>
      <c r="D67" s="483" t="s">
        <v>39</v>
      </c>
      <c r="E67" s="483" t="s">
        <v>23</v>
      </c>
      <c r="F67" s="483" t="s">
        <v>3667</v>
      </c>
      <c r="G67"/>
      <c r="I67" s="31"/>
      <c r="J67" s="255"/>
      <c r="K67"/>
      <c r="L67"/>
      <c r="M67"/>
    </row>
    <row r="68" spans="2:13" ht="28.5">
      <c r="B68" s="142" t="s">
        <v>119</v>
      </c>
      <c r="C68" s="142">
        <v>9</v>
      </c>
      <c r="D68" s="483">
        <v>6</v>
      </c>
      <c r="E68" s="483">
        <v>5</v>
      </c>
      <c r="F68" s="483">
        <v>20</v>
      </c>
      <c r="G68"/>
      <c r="I68" s="487" t="s">
        <v>3681</v>
      </c>
      <c r="J68" s="487" t="s">
        <v>3665</v>
      </c>
      <c r="K68" s="483"/>
      <c r="L68" s="483"/>
      <c r="M68" s="483"/>
    </row>
    <row r="69" spans="2:13" ht="28.5">
      <c r="B69" s="149" t="s">
        <v>31</v>
      </c>
      <c r="C69" s="142">
        <v>3</v>
      </c>
      <c r="D69" s="483">
        <v>2</v>
      </c>
      <c r="E69" s="483">
        <v>3</v>
      </c>
      <c r="F69" s="483">
        <v>8</v>
      </c>
      <c r="G69"/>
      <c r="I69" s="487" t="s">
        <v>3666</v>
      </c>
      <c r="J69" s="483" t="s">
        <v>36</v>
      </c>
      <c r="K69" s="483" t="s">
        <v>39</v>
      </c>
      <c r="L69" s="483" t="s">
        <v>23</v>
      </c>
      <c r="M69" s="483" t="s">
        <v>3667</v>
      </c>
    </row>
    <row r="70" spans="2:13" ht="28.5">
      <c r="B70" s="149" t="s">
        <v>24</v>
      </c>
      <c r="C70" s="142">
        <v>4</v>
      </c>
      <c r="D70" s="483">
        <v>2</v>
      </c>
      <c r="E70" s="483"/>
      <c r="F70" s="483">
        <v>6</v>
      </c>
      <c r="G70"/>
      <c r="I70" s="141" t="s">
        <v>3750</v>
      </c>
      <c r="J70" s="483">
        <v>13</v>
      </c>
      <c r="K70" s="483">
        <v>5</v>
      </c>
      <c r="L70" s="483"/>
      <c r="M70" s="483">
        <v>18</v>
      </c>
    </row>
    <row r="71" spans="2:13" ht="28.5">
      <c r="B71" s="149" t="s">
        <v>438</v>
      </c>
      <c r="C71" s="142">
        <v>1</v>
      </c>
      <c r="D71" s="483">
        <v>1</v>
      </c>
      <c r="E71" s="483">
        <v>2</v>
      </c>
      <c r="F71" s="483">
        <v>4</v>
      </c>
      <c r="G71"/>
      <c r="I71" s="141" t="s">
        <v>3751</v>
      </c>
      <c r="J71" s="483">
        <v>10</v>
      </c>
      <c r="K71" s="483">
        <v>4</v>
      </c>
      <c r="L71" s="483">
        <v>8</v>
      </c>
      <c r="M71" s="483">
        <v>22</v>
      </c>
    </row>
    <row r="72" spans="2:13" ht="28.5">
      <c r="B72" s="142" t="s">
        <v>114</v>
      </c>
      <c r="C72" s="142">
        <v>3</v>
      </c>
      <c r="D72" s="483"/>
      <c r="E72" s="483"/>
      <c r="F72" s="483">
        <v>3</v>
      </c>
      <c r="G72"/>
      <c r="I72" s="141" t="s">
        <v>3752</v>
      </c>
      <c r="J72" s="483">
        <v>10</v>
      </c>
      <c r="K72" s="483">
        <v>6</v>
      </c>
      <c r="L72" s="483"/>
      <c r="M72" s="483">
        <v>16</v>
      </c>
    </row>
    <row r="73" spans="2:13" ht="28.5">
      <c r="B73" s="142" t="s">
        <v>965</v>
      </c>
      <c r="C73" s="142"/>
      <c r="D73" s="483">
        <v>2</v>
      </c>
      <c r="E73" s="483">
        <v>1</v>
      </c>
      <c r="F73" s="483">
        <v>3</v>
      </c>
      <c r="G73"/>
      <c r="I73" s="141" t="s">
        <v>3753</v>
      </c>
      <c r="J73" s="483"/>
      <c r="K73" s="483">
        <v>5</v>
      </c>
      <c r="L73" s="483">
        <v>8</v>
      </c>
      <c r="M73" s="483">
        <v>13</v>
      </c>
    </row>
    <row r="74" spans="2:13" ht="28.5">
      <c r="B74" s="142" t="s">
        <v>182</v>
      </c>
      <c r="C74" s="142">
        <v>1</v>
      </c>
      <c r="D74" s="483">
        <v>1</v>
      </c>
      <c r="E74" s="483">
        <v>1</v>
      </c>
      <c r="F74" s="483">
        <v>3</v>
      </c>
      <c r="G74"/>
      <c r="I74" s="141" t="s">
        <v>3754</v>
      </c>
      <c r="J74" s="483"/>
      <c r="K74" s="483">
        <v>3</v>
      </c>
      <c r="L74" s="483">
        <v>3</v>
      </c>
      <c r="M74" s="483">
        <v>6</v>
      </c>
    </row>
    <row r="75" spans="2:13" ht="28.5">
      <c r="B75" s="142" t="s">
        <v>815</v>
      </c>
      <c r="C75" s="142"/>
      <c r="D75" s="483">
        <v>3</v>
      </c>
      <c r="E75" s="483"/>
      <c r="F75" s="483">
        <v>3</v>
      </c>
      <c r="G75"/>
      <c r="H75"/>
      <c r="I75" s="141" t="s">
        <v>3667</v>
      </c>
      <c r="J75" s="483">
        <v>33</v>
      </c>
      <c r="K75" s="483">
        <v>23</v>
      </c>
      <c r="L75" s="483">
        <v>19</v>
      </c>
      <c r="M75" s="483">
        <v>75</v>
      </c>
    </row>
    <row r="76" spans="2:13" ht="28.5">
      <c r="B76" s="142" t="s">
        <v>270</v>
      </c>
      <c r="C76" s="142">
        <v>1</v>
      </c>
      <c r="D76" s="483">
        <v>1</v>
      </c>
      <c r="E76" s="483">
        <v>1</v>
      </c>
      <c r="F76" s="483">
        <v>3</v>
      </c>
      <c r="G76"/>
      <c r="H76"/>
      <c r="I76"/>
      <c r="J76"/>
      <c r="K76"/>
      <c r="L76"/>
      <c r="M76"/>
    </row>
    <row r="77" spans="2:13" ht="28.5">
      <c r="B77" s="142" t="s">
        <v>256</v>
      </c>
      <c r="C77" s="142">
        <v>1</v>
      </c>
      <c r="D77" s="483">
        <v>1</v>
      </c>
      <c r="E77" s="483">
        <v>1</v>
      </c>
      <c r="F77" s="483">
        <v>3</v>
      </c>
      <c r="G77"/>
      <c r="H77"/>
      <c r="I77"/>
      <c r="J77"/>
      <c r="K77"/>
      <c r="L77"/>
      <c r="M77"/>
    </row>
    <row r="78" spans="2:13" ht="28.5">
      <c r="B78" s="149" t="s">
        <v>3667</v>
      </c>
      <c r="C78" s="142">
        <v>23</v>
      </c>
      <c r="D78" s="483">
        <v>19</v>
      </c>
      <c r="E78" s="483">
        <v>14</v>
      </c>
      <c r="F78" s="483">
        <v>56</v>
      </c>
    </row>
    <row r="113" spans="2:27" ht="52.5">
      <c r="B113" s="242" t="s">
        <v>3664</v>
      </c>
      <c r="C113" s="242" t="s">
        <v>3665</v>
      </c>
      <c r="D113" s="242"/>
      <c r="E113"/>
      <c r="H113" s="151" t="s">
        <v>3666</v>
      </c>
      <c r="I113" s="151" t="s">
        <v>3664</v>
      </c>
      <c r="S113" s="151" t="s">
        <v>3664</v>
      </c>
      <c r="T113" s="151" t="s">
        <v>3665</v>
      </c>
      <c r="U113" s="151"/>
      <c r="V113" s="151"/>
      <c r="W113" s="318"/>
      <c r="X113" s="318"/>
      <c r="Y113" s="318"/>
      <c r="Z113" s="151" t="s">
        <v>3666</v>
      </c>
      <c r="AA113" s="151" t="s">
        <v>3664</v>
      </c>
    </row>
    <row r="114" spans="2:27" ht="78.75">
      <c r="B114" s="242" t="s">
        <v>3666</v>
      </c>
      <c r="C114" s="242" t="s">
        <v>92</v>
      </c>
      <c r="D114" s="242" t="s">
        <v>157</v>
      </c>
      <c r="E114"/>
      <c r="H114" s="151" t="s">
        <v>92</v>
      </c>
      <c r="I114" s="164">
        <v>0.48819444444444449</v>
      </c>
      <c r="S114" s="151" t="s">
        <v>3666</v>
      </c>
      <c r="T114" s="151" t="s">
        <v>148</v>
      </c>
      <c r="U114" s="151" t="s">
        <v>93</v>
      </c>
      <c r="V114" s="153" t="s">
        <v>3667</v>
      </c>
      <c r="W114" s="318"/>
      <c r="X114" s="318"/>
      <c r="Y114" s="318"/>
      <c r="Z114" s="151" t="s">
        <v>148</v>
      </c>
      <c r="AA114" s="165">
        <v>3.9583333333333331E-2</v>
      </c>
    </row>
    <row r="115" spans="2:27" ht="52.5">
      <c r="B115" s="166" t="s">
        <v>31</v>
      </c>
      <c r="C115" s="243">
        <v>0.13819444444444445</v>
      </c>
      <c r="D115" s="244">
        <v>0.14513888888888887</v>
      </c>
      <c r="E115"/>
      <c r="H115" s="151" t="s">
        <v>157</v>
      </c>
      <c r="I115" s="164">
        <v>1.5243055555555556</v>
      </c>
      <c r="S115" s="152" t="s">
        <v>31</v>
      </c>
      <c r="T115" s="245"/>
      <c r="U115" s="245">
        <v>0.13819444444444445</v>
      </c>
      <c r="V115" s="246">
        <v>0.13819444444444445</v>
      </c>
      <c r="W115" s="318"/>
      <c r="X115" s="318"/>
      <c r="Y115" s="318"/>
      <c r="Z115" s="151" t="s">
        <v>93</v>
      </c>
      <c r="AA115" s="165">
        <v>0.44861111111111113</v>
      </c>
    </row>
    <row r="116" spans="2:27" ht="78.75">
      <c r="B116" s="166" t="s">
        <v>24</v>
      </c>
      <c r="C116" s="243">
        <v>2.4305555555555556E-2</v>
      </c>
      <c r="D116" s="244">
        <v>6.805555555555555E-2</v>
      </c>
      <c r="E116"/>
      <c r="I116"/>
      <c r="S116" s="152" t="s">
        <v>256</v>
      </c>
      <c r="T116" s="245"/>
      <c r="U116" s="245">
        <v>5.9027777777777776E-2</v>
      </c>
      <c r="V116" s="246">
        <v>5.9027777777777776E-2</v>
      </c>
      <c r="W116" s="318"/>
      <c r="X116" s="318"/>
      <c r="Y116" s="318"/>
      <c r="Z116" s="318"/>
      <c r="AA116" s="318"/>
    </row>
    <row r="117" spans="2:27" ht="78.75">
      <c r="B117" s="166" t="s">
        <v>438</v>
      </c>
      <c r="C117" s="243">
        <v>2.2222222222222223E-2</v>
      </c>
      <c r="D117" s="244">
        <v>4.5138888888888881E-2</v>
      </c>
      <c r="E117"/>
      <c r="S117" s="152" t="s">
        <v>815</v>
      </c>
      <c r="T117" s="245"/>
      <c r="U117" s="245">
        <v>5.5555555555555559E-2</v>
      </c>
      <c r="V117" s="246">
        <v>5.5555555555555559E-2</v>
      </c>
      <c r="W117" s="318"/>
      <c r="X117" s="318"/>
      <c r="Y117" s="318"/>
      <c r="Z117" s="318"/>
      <c r="AA117" s="318"/>
    </row>
    <row r="118" spans="2:27" ht="78.75">
      <c r="B118" s="166" t="s">
        <v>153</v>
      </c>
      <c r="C118" s="243">
        <v>2.0833333333333332E-2</v>
      </c>
      <c r="D118" s="244">
        <v>1.7361111111111112E-2</v>
      </c>
      <c r="E118"/>
      <c r="S118" s="152" t="s">
        <v>270</v>
      </c>
      <c r="T118" s="245"/>
      <c r="U118" s="245">
        <v>5.2083333333333336E-2</v>
      </c>
      <c r="V118" s="246">
        <v>5.2083333333333336E-2</v>
      </c>
      <c r="W118" s="318"/>
      <c r="X118" s="318"/>
      <c r="Y118" s="318"/>
      <c r="Z118" s="318"/>
      <c r="AA118" s="318"/>
    </row>
    <row r="119" spans="2:27" ht="26.25">
      <c r="B119" s="166" t="s">
        <v>198</v>
      </c>
      <c r="C119" s="243">
        <v>1.8055555555555554E-2</v>
      </c>
      <c r="D119" s="244"/>
      <c r="E119"/>
      <c r="S119" s="152" t="s">
        <v>24</v>
      </c>
      <c r="T119" s="245"/>
      <c r="U119" s="245">
        <v>2.4305555555555556E-2</v>
      </c>
      <c r="V119" s="246">
        <v>2.4305555555555556E-2</v>
      </c>
      <c r="W119" s="318"/>
      <c r="X119" s="318"/>
      <c r="Y119" s="318"/>
      <c r="Z119" s="318"/>
      <c r="AA119" s="318"/>
    </row>
    <row r="120" spans="2:27" ht="52.5">
      <c r="B120" s="166" t="s">
        <v>91</v>
      </c>
      <c r="C120" s="243">
        <v>1.7361111111111112E-2</v>
      </c>
      <c r="D120" s="244"/>
      <c r="E120"/>
      <c r="S120" s="152" t="s">
        <v>153</v>
      </c>
      <c r="T120" s="245"/>
      <c r="U120" s="245">
        <v>2.0833333333333332E-2</v>
      </c>
      <c r="V120" s="246">
        <v>2.0833333333333332E-2</v>
      </c>
      <c r="W120" s="318"/>
      <c r="X120" s="318"/>
      <c r="Y120" s="318"/>
      <c r="Z120" s="318"/>
      <c r="AA120" s="318"/>
    </row>
    <row r="121" spans="2:27" ht="52.5">
      <c r="B121" s="166" t="s">
        <v>140</v>
      </c>
      <c r="C121" s="243">
        <v>1.5972222222222221E-2</v>
      </c>
      <c r="D121" s="244"/>
      <c r="E121"/>
      <c r="S121" s="152" t="s">
        <v>965</v>
      </c>
      <c r="T121" s="245"/>
      <c r="U121" s="245">
        <v>2.013888888888889E-2</v>
      </c>
      <c r="V121" s="246">
        <v>2.013888888888889E-2</v>
      </c>
      <c r="W121" s="318"/>
      <c r="X121" s="318"/>
      <c r="Y121" s="318"/>
      <c r="Z121" s="318"/>
      <c r="AA121" s="318"/>
    </row>
    <row r="122" spans="2:27" ht="52.5">
      <c r="B122" s="166" t="s">
        <v>328</v>
      </c>
      <c r="C122" s="243">
        <v>1.3888888888888888E-2</v>
      </c>
      <c r="D122" s="244">
        <v>0.11458333333333334</v>
      </c>
      <c r="E122"/>
      <c r="S122" s="152" t="s">
        <v>198</v>
      </c>
      <c r="T122" s="245"/>
      <c r="U122" s="245">
        <v>1.8055555555555554E-2</v>
      </c>
      <c r="V122" s="246">
        <v>1.8055555555555554E-2</v>
      </c>
    </row>
    <row r="123" spans="2:27" ht="52.5">
      <c r="B123" s="166" t="s">
        <v>81</v>
      </c>
      <c r="C123" s="243">
        <v>9.7222222222222224E-3</v>
      </c>
      <c r="D123" s="244"/>
      <c r="E123"/>
      <c r="S123" s="152" t="s">
        <v>140</v>
      </c>
      <c r="T123" s="245"/>
      <c r="U123" s="245">
        <v>1.5972222222222221E-2</v>
      </c>
      <c r="V123" s="246">
        <v>1.5972222222222221E-2</v>
      </c>
    </row>
    <row r="124" spans="2:27" ht="78.75">
      <c r="B124" s="166" t="s">
        <v>3242</v>
      </c>
      <c r="C124" s="243"/>
      <c r="D124" s="244">
        <v>3.2638888888888891E-2</v>
      </c>
      <c r="E124"/>
      <c r="S124" s="152" t="s">
        <v>128</v>
      </c>
      <c r="T124" s="245"/>
      <c r="U124" s="245">
        <v>1.4583333333333334E-2</v>
      </c>
      <c r="V124" s="246">
        <v>1.4583333333333334E-2</v>
      </c>
    </row>
    <row r="125" spans="2:27" ht="78.75">
      <c r="B125" s="166" t="s">
        <v>103</v>
      </c>
      <c r="C125" s="243"/>
      <c r="D125" s="244">
        <v>4.9305555555555561E-2</v>
      </c>
      <c r="E125"/>
      <c r="S125" s="152" t="s">
        <v>328</v>
      </c>
      <c r="T125" s="245"/>
      <c r="U125" s="245">
        <v>1.3888888888888888E-2</v>
      </c>
      <c r="V125" s="246">
        <v>1.3888888888888888E-2</v>
      </c>
    </row>
    <row r="126" spans="2:27" ht="52.5">
      <c r="B126" s="166" t="s">
        <v>222</v>
      </c>
      <c r="C126" s="243"/>
      <c r="D126" s="244">
        <v>1.5972222222222221E-2</v>
      </c>
      <c r="E126"/>
      <c r="S126" s="152" t="s">
        <v>81</v>
      </c>
      <c r="T126" s="245"/>
      <c r="U126" s="245">
        <v>9.7222222222222224E-3</v>
      </c>
      <c r="V126" s="246">
        <v>9.7222222222222224E-3</v>
      </c>
    </row>
    <row r="127" spans="2:27" ht="78.75">
      <c r="B127" s="166" t="s">
        <v>98</v>
      </c>
      <c r="C127" s="243"/>
      <c r="D127" s="244">
        <v>5.486111111111111E-2</v>
      </c>
      <c r="E127"/>
      <c r="S127" s="152" t="s">
        <v>119</v>
      </c>
      <c r="T127" s="245"/>
      <c r="U127" s="245">
        <v>6.2500000000000003E-3</v>
      </c>
      <c r="V127" s="246">
        <v>6.2500000000000003E-3</v>
      </c>
    </row>
    <row r="128" spans="2:27" ht="52.5">
      <c r="B128" s="166" t="s">
        <v>192</v>
      </c>
      <c r="C128" s="243"/>
      <c r="D128" s="244">
        <v>5.9027777777777776E-2</v>
      </c>
      <c r="E128"/>
      <c r="S128" s="152" t="s">
        <v>438</v>
      </c>
      <c r="T128" s="245">
        <v>2.2222222222222223E-2</v>
      </c>
      <c r="U128" s="245"/>
      <c r="V128" s="246">
        <v>2.2222222222222223E-2</v>
      </c>
    </row>
    <row r="129" spans="2:22" ht="26.25">
      <c r="B129" s="166" t="s">
        <v>241</v>
      </c>
      <c r="C129" s="243"/>
      <c r="D129" s="244">
        <v>1.3888888888888888E-2</v>
      </c>
      <c r="E129"/>
      <c r="S129" s="152" t="s">
        <v>91</v>
      </c>
      <c r="T129" s="245">
        <v>1.7361111111111112E-2</v>
      </c>
      <c r="U129" s="245"/>
      <c r="V129" s="246">
        <v>1.7361111111111112E-2</v>
      </c>
    </row>
    <row r="130" spans="2:22">
      <c r="C130"/>
      <c r="D130"/>
      <c r="E130"/>
      <c r="S130"/>
      <c r="T130"/>
      <c r="U130"/>
      <c r="V130"/>
    </row>
    <row r="131" spans="2:22">
      <c r="C131"/>
      <c r="D131"/>
      <c r="E131"/>
      <c r="S131"/>
      <c r="T131"/>
      <c r="U131"/>
      <c r="V131"/>
    </row>
    <row r="132" spans="2:22">
      <c r="C132"/>
      <c r="D132"/>
      <c r="E132"/>
      <c r="S132"/>
      <c r="T132"/>
      <c r="U132"/>
      <c r="V132"/>
    </row>
  </sheetData>
  <mergeCells count="2">
    <mergeCell ref="E2:K5"/>
    <mergeCell ref="B62:I63"/>
  </mergeCells>
  <conditionalFormatting sqref="B39:C39">
    <cfRule type="containsErrors" dxfId="240" priority="10">
      <formula>ISERROR(B39)</formula>
    </cfRule>
  </conditionalFormatting>
  <conditionalFormatting sqref="B113:D114">
    <cfRule type="containsErrors" dxfId="239" priority="6">
      <formula>ISERROR(B113)</formula>
    </cfRule>
  </conditionalFormatting>
  <conditionalFormatting sqref="B9:E9 E10:M10">
    <cfRule type="containsErrors" dxfId="238" priority="11">
      <formula>ISERROR(B9)</formula>
    </cfRule>
  </conditionalFormatting>
  <conditionalFormatting sqref="B66:E66 E67">
    <cfRule type="containsErrors" dxfId="237" priority="8">
      <formula>ISERROR(B66)</formula>
    </cfRule>
  </conditionalFormatting>
  <conditionalFormatting sqref="F9:M10">
    <cfRule type="containsErrors" dxfId="236" priority="12">
      <formula>ISERROR(F9)</formula>
    </cfRule>
  </conditionalFormatting>
  <conditionalFormatting sqref="G66:G67">
    <cfRule type="containsErrors" dxfId="235" priority="7">
      <formula>ISERROR(G66)</formula>
    </cfRule>
  </conditionalFormatting>
  <conditionalFormatting sqref="H114">
    <cfRule type="containsErrors" dxfId="234" priority="4">
      <formula>ISERROR(H114)</formula>
    </cfRule>
  </conditionalFormatting>
  <conditionalFormatting sqref="H113:I113">
    <cfRule type="containsErrors" dxfId="233" priority="5">
      <formula>ISERROR(H113)</formula>
    </cfRule>
  </conditionalFormatting>
  <conditionalFormatting sqref="I68:J68">
    <cfRule type="containsErrors" dxfId="232" priority="9">
      <formula>ISERROR(I68)</formula>
    </cfRule>
  </conditionalFormatting>
  <conditionalFormatting sqref="S113:U114">
    <cfRule type="containsErrors" dxfId="231" priority="3">
      <formula>ISERROR(S113)</formula>
    </cfRule>
  </conditionalFormatting>
  <conditionalFormatting sqref="Z114">
    <cfRule type="containsErrors" dxfId="230" priority="1">
      <formula>ISERROR(Z114)</formula>
    </cfRule>
  </conditionalFormatting>
  <conditionalFormatting sqref="Z113:AA113">
    <cfRule type="containsErrors" dxfId="229" priority="2">
      <formula>ISERROR(Z113)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5B222-C37D-445D-BA0B-D6CD471C56BC}">
  <sheetPr>
    <tabColor rgb="FFFFC000"/>
  </sheetPr>
  <dimension ref="B1:AD312"/>
  <sheetViews>
    <sheetView topLeftCell="A272" workbookViewId="0">
      <selection activeCell="C292" sqref="C292"/>
    </sheetView>
  </sheetViews>
  <sheetFormatPr defaultColWidth="11.42578125" defaultRowHeight="15"/>
  <cols>
    <col min="1" max="1" width="2.140625" customWidth="1"/>
    <col min="2" max="2" width="12.140625" style="675" customWidth="1"/>
    <col min="5" max="5" width="9.140625" customWidth="1"/>
    <col min="14" max="14" width="14.85546875" customWidth="1"/>
  </cols>
  <sheetData>
    <row r="1" spans="2:30" ht="8.25" customHeight="1">
      <c r="B1"/>
      <c r="AB1">
        <v>75</v>
      </c>
      <c r="AC1">
        <v>8000</v>
      </c>
      <c r="AD1">
        <v>350</v>
      </c>
    </row>
    <row r="2" spans="2:30" s="315" customFormat="1" ht="45">
      <c r="B2" s="639" t="s">
        <v>3755</v>
      </c>
      <c r="C2" s="640" t="s">
        <v>3713</v>
      </c>
      <c r="D2" s="640" t="s">
        <v>3756</v>
      </c>
      <c r="E2" s="640" t="s">
        <v>3757</v>
      </c>
      <c r="F2" s="640" t="s">
        <v>3715</v>
      </c>
      <c r="G2" s="640" t="s">
        <v>3716</v>
      </c>
      <c r="H2" s="640" t="s">
        <v>3758</v>
      </c>
      <c r="I2" s="640" t="s">
        <v>3718</v>
      </c>
      <c r="J2" s="640" t="s">
        <v>3719</v>
      </c>
      <c r="K2" s="640" t="s">
        <v>3720</v>
      </c>
      <c r="L2" s="640" t="s">
        <v>3721</v>
      </c>
      <c r="M2" s="640" t="s">
        <v>3759</v>
      </c>
      <c r="N2" s="640" t="s">
        <v>3760</v>
      </c>
      <c r="O2" s="640" t="s">
        <v>3761</v>
      </c>
      <c r="P2" s="640" t="s">
        <v>3762</v>
      </c>
      <c r="Q2" s="640" t="s">
        <v>3763</v>
      </c>
      <c r="R2" s="640" t="s">
        <v>3764</v>
      </c>
      <c r="S2" s="640" t="s">
        <v>3765</v>
      </c>
      <c r="T2" s="640" t="s">
        <v>3766</v>
      </c>
      <c r="U2" s="640" t="s">
        <v>3767</v>
      </c>
      <c r="V2" s="640" t="s">
        <v>3768</v>
      </c>
      <c r="W2" s="640" t="s">
        <v>3769</v>
      </c>
      <c r="X2" s="640" t="s">
        <v>3770</v>
      </c>
      <c r="Y2" s="640" t="s">
        <v>3771</v>
      </c>
      <c r="Z2" s="641" t="s">
        <v>3772</v>
      </c>
      <c r="AA2" s="672" t="s">
        <v>3723</v>
      </c>
      <c r="AB2" s="640" t="s">
        <v>3773</v>
      </c>
      <c r="AC2" s="640" t="s">
        <v>3774</v>
      </c>
      <c r="AD2" s="640" t="s">
        <v>3775</v>
      </c>
    </row>
    <row r="3" spans="2:30">
      <c r="B3" s="673">
        <v>45848</v>
      </c>
      <c r="C3" s="642">
        <v>53190</v>
      </c>
      <c r="D3" s="642">
        <v>54145</v>
      </c>
      <c r="E3" s="642">
        <v>13133</v>
      </c>
      <c r="F3" s="642">
        <v>757.01</v>
      </c>
      <c r="G3" s="642">
        <v>7400</v>
      </c>
      <c r="H3" s="642">
        <v>226413</v>
      </c>
      <c r="I3" s="643">
        <v>4446.1000000000004</v>
      </c>
      <c r="J3" s="643">
        <v>8268.5</v>
      </c>
      <c r="K3" s="643">
        <v>4259.3999999999996</v>
      </c>
      <c r="L3" s="644"/>
      <c r="M3" s="644"/>
      <c r="N3" s="645">
        <v>36</v>
      </c>
      <c r="O3" s="645">
        <v>37</v>
      </c>
      <c r="P3" s="645">
        <v>14</v>
      </c>
      <c r="Q3" s="646">
        <v>0</v>
      </c>
      <c r="R3" s="645">
        <v>8</v>
      </c>
      <c r="S3" s="645">
        <v>38</v>
      </c>
      <c r="T3" s="643">
        <v>3.2</v>
      </c>
      <c r="U3" s="647">
        <v>13.6</v>
      </c>
      <c r="V3" s="643">
        <v>6.2</v>
      </c>
      <c r="W3" s="648">
        <v>35</v>
      </c>
      <c r="X3" s="649">
        <v>28</v>
      </c>
      <c r="Y3" s="650">
        <v>2025</v>
      </c>
      <c r="Z3" s="651">
        <v>7</v>
      </c>
      <c r="AA3" s="649" t="str">
        <f>+Tabla_query___2026_06_23T082334.128[[#This Row],[AÑO]]&amp;" - "&amp;Tabla_query___2026_06_23T082334.128[[#This Row],[MES]]</f>
        <v>2025 - 7</v>
      </c>
      <c r="AB3" s="6">
        <f t="shared" ref="AB3:AB66" si="0">+$AB$1</f>
        <v>75</v>
      </c>
      <c r="AC3" s="6">
        <f t="shared" ref="AC3:AC66" si="1">+$AC$1</f>
        <v>8000</v>
      </c>
      <c r="AD3" s="6">
        <f t="shared" ref="AD3:AD66" si="2">+$AD$1</f>
        <v>350</v>
      </c>
    </row>
    <row r="4" spans="2:30">
      <c r="B4" s="673">
        <v>45849</v>
      </c>
      <c r="C4" s="642">
        <v>53246</v>
      </c>
      <c r="D4" s="642">
        <v>54204</v>
      </c>
      <c r="E4" s="642">
        <v>13148</v>
      </c>
      <c r="F4" s="642">
        <v>757.74400000000003</v>
      </c>
      <c r="G4" s="642">
        <v>7406</v>
      </c>
      <c r="H4" s="642">
        <v>226472</v>
      </c>
      <c r="I4" s="643">
        <v>4449</v>
      </c>
      <c r="J4" s="643">
        <v>8280.6</v>
      </c>
      <c r="K4" s="643">
        <v>4265.8</v>
      </c>
      <c r="L4" s="644"/>
      <c r="M4" s="644"/>
      <c r="N4" s="645">
        <v>56</v>
      </c>
      <c r="O4" s="645">
        <v>59</v>
      </c>
      <c r="P4" s="645">
        <v>15</v>
      </c>
      <c r="Q4" s="646">
        <v>0.73399999999999999</v>
      </c>
      <c r="R4" s="645">
        <v>6</v>
      </c>
      <c r="S4" s="645">
        <v>59</v>
      </c>
      <c r="T4" s="643">
        <v>2.9</v>
      </c>
      <c r="U4" s="647">
        <v>12.1</v>
      </c>
      <c r="V4" s="643">
        <v>6.4</v>
      </c>
      <c r="W4" s="648">
        <v>35</v>
      </c>
      <c r="X4" s="649">
        <v>28</v>
      </c>
      <c r="Y4" s="650">
        <v>2025</v>
      </c>
      <c r="Z4" s="651">
        <v>7</v>
      </c>
      <c r="AA4" s="649" t="str">
        <f>+Tabla_query___2026_06_23T082334.128[[#This Row],[AÑO]]&amp;" - "&amp;Tabla_query___2026_06_23T082334.128[[#This Row],[MES]]</f>
        <v>2025 - 7</v>
      </c>
      <c r="AB4" s="6">
        <f t="shared" si="0"/>
        <v>75</v>
      </c>
      <c r="AC4" s="6">
        <f t="shared" si="1"/>
        <v>8000</v>
      </c>
      <c r="AD4" s="6">
        <f t="shared" si="2"/>
        <v>350</v>
      </c>
    </row>
    <row r="5" spans="2:30">
      <c r="B5" s="673">
        <v>45850</v>
      </c>
      <c r="C5" s="642">
        <v>53294</v>
      </c>
      <c r="D5" s="642">
        <v>54254</v>
      </c>
      <c r="E5" s="642">
        <v>13159</v>
      </c>
      <c r="F5" s="642">
        <v>757.74400000000003</v>
      </c>
      <c r="G5" s="642">
        <v>7416</v>
      </c>
      <c r="H5" s="642">
        <v>226523</v>
      </c>
      <c r="I5" s="643">
        <v>4452.1000000000004</v>
      </c>
      <c r="J5" s="643">
        <v>8294.1</v>
      </c>
      <c r="K5" s="643">
        <v>4274</v>
      </c>
      <c r="L5" s="644"/>
      <c r="M5" s="644"/>
      <c r="N5" s="645">
        <v>48</v>
      </c>
      <c r="O5" s="645">
        <v>50</v>
      </c>
      <c r="P5" s="645">
        <v>11</v>
      </c>
      <c r="Q5" s="646">
        <v>0</v>
      </c>
      <c r="R5" s="645">
        <v>10</v>
      </c>
      <c r="S5" s="645">
        <v>51</v>
      </c>
      <c r="T5" s="643">
        <v>3.1</v>
      </c>
      <c r="U5" s="647">
        <v>13.5</v>
      </c>
      <c r="V5" s="643">
        <v>8.1999999999999993</v>
      </c>
      <c r="W5" s="648">
        <v>35</v>
      </c>
      <c r="X5" s="649">
        <v>28</v>
      </c>
      <c r="Y5" s="650">
        <v>2025</v>
      </c>
      <c r="Z5" s="651">
        <v>7</v>
      </c>
      <c r="AA5" s="649" t="str">
        <f>+Tabla_query___2026_06_23T082334.128[[#This Row],[AÑO]]&amp;" - "&amp;Tabla_query___2026_06_23T082334.128[[#This Row],[MES]]</f>
        <v>2025 - 7</v>
      </c>
      <c r="AB5" s="6">
        <f t="shared" si="0"/>
        <v>75</v>
      </c>
      <c r="AC5" s="6">
        <f t="shared" si="1"/>
        <v>8000</v>
      </c>
      <c r="AD5" s="6">
        <f t="shared" si="2"/>
        <v>350</v>
      </c>
    </row>
    <row r="6" spans="2:30">
      <c r="B6" s="673">
        <v>45852</v>
      </c>
      <c r="C6" s="642">
        <v>53351</v>
      </c>
      <c r="D6" s="642">
        <v>54313</v>
      </c>
      <c r="E6" s="642">
        <v>13173</v>
      </c>
      <c r="F6" s="642">
        <v>758.02099999999996</v>
      </c>
      <c r="G6" s="642">
        <v>7417</v>
      </c>
      <c r="H6" s="642">
        <v>226583</v>
      </c>
      <c r="I6" s="643">
        <v>4455.7</v>
      </c>
      <c r="J6" s="643">
        <v>8310.7999999999993</v>
      </c>
      <c r="K6" s="643">
        <v>4281.6000000000004</v>
      </c>
      <c r="L6" s="644"/>
      <c r="M6" s="644"/>
      <c r="N6" s="645">
        <v>57</v>
      </c>
      <c r="O6" s="645">
        <v>59</v>
      </c>
      <c r="P6" s="645">
        <v>14</v>
      </c>
      <c r="Q6" s="646">
        <v>0.27700000000000002</v>
      </c>
      <c r="R6" s="645">
        <v>1</v>
      </c>
      <c r="S6" s="645">
        <v>60</v>
      </c>
      <c r="T6" s="643">
        <v>3.6</v>
      </c>
      <c r="U6" s="647">
        <v>16.7</v>
      </c>
      <c r="V6" s="643">
        <v>7.6</v>
      </c>
      <c r="W6" s="648">
        <v>35</v>
      </c>
      <c r="X6" s="649">
        <v>29</v>
      </c>
      <c r="Y6" s="650">
        <v>2025</v>
      </c>
      <c r="Z6" s="651">
        <v>7</v>
      </c>
      <c r="AA6" s="649" t="str">
        <f>+Tabla_query___2026_06_23T082334.128[[#This Row],[AÑO]]&amp;" - "&amp;Tabla_query___2026_06_23T082334.128[[#This Row],[MES]]</f>
        <v>2025 - 7</v>
      </c>
      <c r="AB6" s="6">
        <f t="shared" si="0"/>
        <v>75</v>
      </c>
      <c r="AC6" s="6">
        <f t="shared" si="1"/>
        <v>8000</v>
      </c>
      <c r="AD6" s="6">
        <f t="shared" si="2"/>
        <v>350</v>
      </c>
    </row>
    <row r="7" spans="2:30">
      <c r="B7" s="673">
        <v>45853</v>
      </c>
      <c r="C7" s="642">
        <v>53414</v>
      </c>
      <c r="D7" s="642">
        <v>54377</v>
      </c>
      <c r="E7" s="642">
        <v>13187</v>
      </c>
      <c r="F7" s="642">
        <v>758.76300000000003</v>
      </c>
      <c r="G7" s="642">
        <v>7428</v>
      </c>
      <c r="H7" s="642">
        <v>226648</v>
      </c>
      <c r="I7" s="643">
        <v>4459.1000000000004</v>
      </c>
      <c r="J7" s="643">
        <v>8323.1</v>
      </c>
      <c r="K7" s="643">
        <v>4288.1000000000004</v>
      </c>
      <c r="L7" s="644"/>
      <c r="M7" s="644"/>
      <c r="N7" s="645">
        <v>63</v>
      </c>
      <c r="O7" s="645">
        <v>64</v>
      </c>
      <c r="P7" s="645">
        <v>14</v>
      </c>
      <c r="Q7" s="646">
        <v>0.74199999999999999</v>
      </c>
      <c r="R7" s="645">
        <v>11</v>
      </c>
      <c r="S7" s="645">
        <v>65</v>
      </c>
      <c r="T7" s="643">
        <v>3.4</v>
      </c>
      <c r="U7" s="647">
        <v>12.3</v>
      </c>
      <c r="V7" s="643">
        <v>6.5</v>
      </c>
      <c r="W7" s="648">
        <v>31</v>
      </c>
      <c r="X7" s="649">
        <v>29</v>
      </c>
      <c r="Y7" s="650">
        <v>2025</v>
      </c>
      <c r="Z7" s="651">
        <v>7</v>
      </c>
      <c r="AA7" s="649" t="str">
        <f>+Tabla_query___2026_06_23T082334.128[[#This Row],[AÑO]]&amp;" - "&amp;Tabla_query___2026_06_23T082334.128[[#This Row],[MES]]</f>
        <v>2025 - 7</v>
      </c>
      <c r="AB7" s="6">
        <f t="shared" si="0"/>
        <v>75</v>
      </c>
      <c r="AC7" s="6">
        <f t="shared" si="1"/>
        <v>8000</v>
      </c>
      <c r="AD7" s="6">
        <f t="shared" si="2"/>
        <v>350</v>
      </c>
    </row>
    <row r="8" spans="2:30">
      <c r="B8" s="673">
        <v>45854</v>
      </c>
      <c r="C8" s="642">
        <v>53466</v>
      </c>
      <c r="D8" s="642">
        <v>54430</v>
      </c>
      <c r="E8" s="642">
        <v>13196</v>
      </c>
      <c r="F8" s="642">
        <v>759.05</v>
      </c>
      <c r="G8" s="642">
        <v>7438</v>
      </c>
      <c r="H8" s="642">
        <v>226702</v>
      </c>
      <c r="I8" s="643">
        <v>4462.3</v>
      </c>
      <c r="J8" s="643">
        <v>8335.4</v>
      </c>
      <c r="K8" s="643">
        <v>4295.5</v>
      </c>
      <c r="L8" s="644"/>
      <c r="M8" s="644"/>
      <c r="N8" s="645">
        <v>52</v>
      </c>
      <c r="O8" s="645">
        <v>53</v>
      </c>
      <c r="P8" s="645">
        <v>9</v>
      </c>
      <c r="Q8" s="646">
        <v>0.28699999999999998</v>
      </c>
      <c r="R8" s="645">
        <v>10</v>
      </c>
      <c r="S8" s="645">
        <v>54</v>
      </c>
      <c r="T8" s="643">
        <v>3.2</v>
      </c>
      <c r="U8" s="647">
        <v>12.3</v>
      </c>
      <c r="V8" s="643">
        <v>7.4</v>
      </c>
      <c r="W8" s="648">
        <v>85</v>
      </c>
      <c r="X8" s="649">
        <v>29</v>
      </c>
      <c r="Y8" s="650">
        <v>2025</v>
      </c>
      <c r="Z8" s="651">
        <v>7</v>
      </c>
      <c r="AA8" s="649" t="str">
        <f>+Tabla_query___2026_06_23T082334.128[[#This Row],[AÑO]]&amp;" - "&amp;Tabla_query___2026_06_23T082334.128[[#This Row],[MES]]</f>
        <v>2025 - 7</v>
      </c>
      <c r="AB8" s="6">
        <f t="shared" si="0"/>
        <v>75</v>
      </c>
      <c r="AC8" s="6">
        <f t="shared" si="1"/>
        <v>8000</v>
      </c>
      <c r="AD8" s="6">
        <f t="shared" si="2"/>
        <v>350</v>
      </c>
    </row>
    <row r="9" spans="2:30">
      <c r="B9" s="673">
        <v>45855</v>
      </c>
      <c r="C9" s="642">
        <v>53509</v>
      </c>
      <c r="D9" s="642">
        <v>54475</v>
      </c>
      <c r="E9" s="642">
        <v>13206</v>
      </c>
      <c r="F9" s="642">
        <v>759.18200000000002</v>
      </c>
      <c r="G9" s="642">
        <v>7444</v>
      </c>
      <c r="H9" s="642">
        <v>226747</v>
      </c>
      <c r="I9" s="643">
        <v>4466</v>
      </c>
      <c r="J9" s="643">
        <v>8350.2000000000007</v>
      </c>
      <c r="K9" s="643">
        <v>4302.1000000000004</v>
      </c>
      <c r="L9" s="644"/>
      <c r="M9" s="644"/>
      <c r="N9" s="645">
        <v>43</v>
      </c>
      <c r="O9" s="645">
        <v>45</v>
      </c>
      <c r="P9" s="645">
        <v>10</v>
      </c>
      <c r="Q9" s="646">
        <v>0.13200000000000001</v>
      </c>
      <c r="R9" s="645">
        <v>6</v>
      </c>
      <c r="S9" s="645">
        <v>45</v>
      </c>
      <c r="T9" s="643">
        <v>3.7</v>
      </c>
      <c r="U9" s="647">
        <v>14.8</v>
      </c>
      <c r="V9" s="643">
        <v>6.6</v>
      </c>
      <c r="W9" s="648">
        <v>75</v>
      </c>
      <c r="X9" s="649">
        <v>29</v>
      </c>
      <c r="Y9" s="650">
        <v>2025</v>
      </c>
      <c r="Z9" s="651">
        <v>7</v>
      </c>
      <c r="AA9" s="649" t="str">
        <f>+Tabla_query___2026_06_23T082334.128[[#This Row],[AÑO]]&amp;" - "&amp;Tabla_query___2026_06_23T082334.128[[#This Row],[MES]]</f>
        <v>2025 - 7</v>
      </c>
      <c r="AB9" s="6">
        <f t="shared" si="0"/>
        <v>75</v>
      </c>
      <c r="AC9" s="6">
        <f t="shared" si="1"/>
        <v>8000</v>
      </c>
      <c r="AD9" s="6">
        <f t="shared" si="2"/>
        <v>350</v>
      </c>
    </row>
    <row r="10" spans="2:30">
      <c r="B10" s="673">
        <v>45856</v>
      </c>
      <c r="C10" s="642">
        <v>53575</v>
      </c>
      <c r="D10" s="642">
        <v>54543</v>
      </c>
      <c r="E10" s="642">
        <v>13219</v>
      </c>
      <c r="F10" s="642">
        <v>763.04499999999996</v>
      </c>
      <c r="G10" s="642">
        <v>7453</v>
      </c>
      <c r="H10" s="642">
        <v>226817</v>
      </c>
      <c r="I10" s="643">
        <v>4469.7</v>
      </c>
      <c r="J10" s="643">
        <v>8365.6</v>
      </c>
      <c r="K10" s="643">
        <v>4309.3</v>
      </c>
      <c r="L10" s="644"/>
      <c r="M10" s="644"/>
      <c r="N10" s="645">
        <v>66</v>
      </c>
      <c r="O10" s="645">
        <v>68</v>
      </c>
      <c r="P10" s="645">
        <v>13</v>
      </c>
      <c r="Q10" s="646">
        <v>3.863</v>
      </c>
      <c r="R10" s="645">
        <v>9</v>
      </c>
      <c r="S10" s="645">
        <v>70</v>
      </c>
      <c r="T10" s="643">
        <v>3.7</v>
      </c>
      <c r="U10" s="647">
        <v>15.4</v>
      </c>
      <c r="V10" s="643">
        <v>7.2</v>
      </c>
      <c r="W10" s="648">
        <v>75</v>
      </c>
      <c r="X10" s="649">
        <v>29</v>
      </c>
      <c r="Y10" s="650">
        <v>2025</v>
      </c>
      <c r="Z10" s="651">
        <v>7</v>
      </c>
      <c r="AA10" s="649" t="str">
        <f>+Tabla_query___2026_06_23T082334.128[[#This Row],[AÑO]]&amp;" - "&amp;Tabla_query___2026_06_23T082334.128[[#This Row],[MES]]</f>
        <v>2025 - 7</v>
      </c>
      <c r="AB10" s="6">
        <f t="shared" si="0"/>
        <v>75</v>
      </c>
      <c r="AC10" s="6">
        <f t="shared" si="1"/>
        <v>8000</v>
      </c>
      <c r="AD10" s="6">
        <f t="shared" si="2"/>
        <v>350</v>
      </c>
    </row>
    <row r="11" spans="2:30">
      <c r="B11" s="673">
        <v>45857</v>
      </c>
      <c r="C11" s="642">
        <v>53626</v>
      </c>
      <c r="D11" s="642">
        <v>54595</v>
      </c>
      <c r="E11" s="642">
        <v>13228</v>
      </c>
      <c r="F11" s="642">
        <v>763.18899999999996</v>
      </c>
      <c r="G11" s="642">
        <v>7464</v>
      </c>
      <c r="H11" s="642">
        <v>226872</v>
      </c>
      <c r="I11" s="643">
        <v>4474</v>
      </c>
      <c r="J11" s="643">
        <v>8375.7999999999993</v>
      </c>
      <c r="K11" s="643">
        <v>4316.3</v>
      </c>
      <c r="L11" s="644"/>
      <c r="M11" s="644"/>
      <c r="N11" s="645">
        <v>51</v>
      </c>
      <c r="O11" s="645">
        <v>52</v>
      </c>
      <c r="P11" s="645">
        <v>9</v>
      </c>
      <c r="Q11" s="646">
        <v>0.14399999999999999</v>
      </c>
      <c r="R11" s="645">
        <v>11</v>
      </c>
      <c r="S11" s="645">
        <v>55</v>
      </c>
      <c r="T11" s="643">
        <v>4.3</v>
      </c>
      <c r="U11" s="647">
        <v>10.199999999999999</v>
      </c>
      <c r="V11" s="643">
        <v>7</v>
      </c>
      <c r="W11" s="648">
        <v>70</v>
      </c>
      <c r="X11" s="649">
        <v>29</v>
      </c>
      <c r="Y11" s="650">
        <v>2025</v>
      </c>
      <c r="Z11" s="651">
        <v>7</v>
      </c>
      <c r="AA11" s="649" t="str">
        <f>+Tabla_query___2026_06_23T082334.128[[#This Row],[AÑO]]&amp;" - "&amp;Tabla_query___2026_06_23T082334.128[[#This Row],[MES]]</f>
        <v>2025 - 7</v>
      </c>
      <c r="AB11" s="6">
        <f t="shared" si="0"/>
        <v>75</v>
      </c>
      <c r="AC11" s="6">
        <f t="shared" si="1"/>
        <v>8000</v>
      </c>
      <c r="AD11" s="6">
        <f t="shared" si="2"/>
        <v>350</v>
      </c>
    </row>
    <row r="12" spans="2:30">
      <c r="B12" s="673">
        <v>45859</v>
      </c>
      <c r="C12" s="642">
        <v>53690</v>
      </c>
      <c r="D12" s="642">
        <v>54661</v>
      </c>
      <c r="E12" s="642">
        <v>13238</v>
      </c>
      <c r="F12" s="642">
        <v>763.18899999999996</v>
      </c>
      <c r="G12" s="642">
        <v>7469</v>
      </c>
      <c r="H12" s="642">
        <v>226938</v>
      </c>
      <c r="I12" s="643">
        <v>4476.7</v>
      </c>
      <c r="J12" s="643">
        <v>8395.1</v>
      </c>
      <c r="K12" s="643">
        <v>4318.8</v>
      </c>
      <c r="L12" s="644"/>
      <c r="M12" s="644"/>
      <c r="N12" s="645">
        <v>64</v>
      </c>
      <c r="O12" s="645">
        <v>66</v>
      </c>
      <c r="P12" s="645">
        <v>10</v>
      </c>
      <c r="Q12" s="646">
        <v>0</v>
      </c>
      <c r="R12" s="645">
        <v>5</v>
      </c>
      <c r="S12" s="645">
        <v>66</v>
      </c>
      <c r="T12" s="643">
        <v>2.7</v>
      </c>
      <c r="U12" s="647">
        <v>19.3</v>
      </c>
      <c r="V12" s="643">
        <v>9.5</v>
      </c>
      <c r="W12" s="648">
        <v>65</v>
      </c>
      <c r="X12" s="649">
        <v>30</v>
      </c>
      <c r="Y12" s="650">
        <v>2025</v>
      </c>
      <c r="Z12" s="651">
        <v>7</v>
      </c>
      <c r="AA12" s="649" t="str">
        <f>+Tabla_query___2026_06_23T082334.128[[#This Row],[AÑO]]&amp;" - "&amp;Tabla_query___2026_06_23T082334.128[[#This Row],[MES]]</f>
        <v>2025 - 7</v>
      </c>
      <c r="AB12" s="6">
        <f t="shared" si="0"/>
        <v>75</v>
      </c>
      <c r="AC12" s="6">
        <f t="shared" si="1"/>
        <v>8000</v>
      </c>
      <c r="AD12" s="6">
        <f t="shared" si="2"/>
        <v>350</v>
      </c>
    </row>
    <row r="13" spans="2:30">
      <c r="B13" s="673">
        <v>45860</v>
      </c>
      <c r="C13" s="642">
        <v>53744</v>
      </c>
      <c r="D13" s="642">
        <v>54718</v>
      </c>
      <c r="E13" s="642">
        <v>13249</v>
      </c>
      <c r="F13" s="642">
        <v>763.50599999999997</v>
      </c>
      <c r="G13" s="642">
        <v>7478</v>
      </c>
      <c r="H13" s="642">
        <v>226995</v>
      </c>
      <c r="I13" s="643">
        <v>4480.1000000000004</v>
      </c>
      <c r="J13" s="643">
        <v>8407.9</v>
      </c>
      <c r="K13" s="643">
        <v>4331.1000000000004</v>
      </c>
      <c r="L13" s="644"/>
      <c r="M13" s="644"/>
      <c r="N13" s="645">
        <v>54</v>
      </c>
      <c r="O13" s="645">
        <v>57</v>
      </c>
      <c r="P13" s="645">
        <v>11</v>
      </c>
      <c r="Q13" s="646">
        <v>0.317</v>
      </c>
      <c r="R13" s="645">
        <v>9</v>
      </c>
      <c r="S13" s="645">
        <v>57</v>
      </c>
      <c r="T13" s="643">
        <v>3.4</v>
      </c>
      <c r="U13" s="647">
        <v>12.8</v>
      </c>
      <c r="V13" s="643">
        <v>12.3</v>
      </c>
      <c r="W13" s="648">
        <v>60</v>
      </c>
      <c r="X13" s="649">
        <v>30</v>
      </c>
      <c r="Y13" s="650">
        <v>2025</v>
      </c>
      <c r="Z13" s="651">
        <v>7</v>
      </c>
      <c r="AA13" s="649" t="str">
        <f>+Tabla_query___2026_06_23T082334.128[[#This Row],[AÑO]]&amp;" - "&amp;Tabla_query___2026_06_23T082334.128[[#This Row],[MES]]</f>
        <v>2025 - 7</v>
      </c>
      <c r="AB13" s="6">
        <f t="shared" si="0"/>
        <v>75</v>
      </c>
      <c r="AC13" s="6">
        <f t="shared" si="1"/>
        <v>8000</v>
      </c>
      <c r="AD13" s="6">
        <f t="shared" si="2"/>
        <v>350</v>
      </c>
    </row>
    <row r="14" spans="2:30">
      <c r="B14" s="673">
        <v>45862</v>
      </c>
      <c r="C14" s="642">
        <v>53800</v>
      </c>
      <c r="D14" s="642">
        <v>54775</v>
      </c>
      <c r="E14" s="642">
        <v>13259</v>
      </c>
      <c r="F14" s="642">
        <v>763.68700000000001</v>
      </c>
      <c r="G14" s="642">
        <v>7486</v>
      </c>
      <c r="H14" s="642">
        <v>227053</v>
      </c>
      <c r="I14" s="643">
        <v>4484.3</v>
      </c>
      <c r="J14" s="643">
        <v>8424.5</v>
      </c>
      <c r="K14" s="643">
        <v>4338.7</v>
      </c>
      <c r="L14" s="644"/>
      <c r="M14" s="644"/>
      <c r="N14" s="645">
        <v>56</v>
      </c>
      <c r="O14" s="645">
        <v>57</v>
      </c>
      <c r="P14" s="645">
        <v>10</v>
      </c>
      <c r="Q14" s="646">
        <v>0.18099999999999999</v>
      </c>
      <c r="R14" s="645">
        <v>8</v>
      </c>
      <c r="S14" s="645">
        <v>58</v>
      </c>
      <c r="T14" s="643">
        <v>4.2</v>
      </c>
      <c r="U14" s="647">
        <v>16.600000000000001</v>
      </c>
      <c r="V14" s="643">
        <v>7.6</v>
      </c>
      <c r="W14" s="648">
        <v>55</v>
      </c>
      <c r="X14" s="649">
        <v>30</v>
      </c>
      <c r="Y14" s="650">
        <v>2025</v>
      </c>
      <c r="Z14" s="651">
        <v>7</v>
      </c>
      <c r="AA14" s="649" t="str">
        <f>+Tabla_query___2026_06_23T082334.128[[#This Row],[AÑO]]&amp;" - "&amp;Tabla_query___2026_06_23T082334.128[[#This Row],[MES]]</f>
        <v>2025 - 7</v>
      </c>
      <c r="AB14" s="6">
        <f t="shared" si="0"/>
        <v>75</v>
      </c>
      <c r="AC14" s="6">
        <f t="shared" si="1"/>
        <v>8000</v>
      </c>
      <c r="AD14" s="6">
        <f t="shared" si="2"/>
        <v>350</v>
      </c>
    </row>
    <row r="15" spans="2:30">
      <c r="B15" s="673">
        <v>45863</v>
      </c>
      <c r="C15" s="642">
        <v>53840</v>
      </c>
      <c r="D15" s="642">
        <v>54817</v>
      </c>
      <c r="E15" s="642">
        <v>13270</v>
      </c>
      <c r="F15" s="642">
        <v>763.87800000000004</v>
      </c>
      <c r="G15" s="642">
        <v>7493</v>
      </c>
      <c r="H15" s="642">
        <v>227096</v>
      </c>
      <c r="I15" s="643">
        <v>4488.1000000000004</v>
      </c>
      <c r="J15" s="643">
        <v>8438.9</v>
      </c>
      <c r="K15" s="643">
        <v>4344.8</v>
      </c>
      <c r="L15" s="644"/>
      <c r="M15" s="644"/>
      <c r="N15" s="645">
        <v>40</v>
      </c>
      <c r="O15" s="645">
        <v>42</v>
      </c>
      <c r="P15" s="645">
        <v>11</v>
      </c>
      <c r="Q15" s="646">
        <v>0.191</v>
      </c>
      <c r="R15" s="645">
        <v>7</v>
      </c>
      <c r="S15" s="645">
        <v>43</v>
      </c>
      <c r="T15" s="643">
        <v>3.8</v>
      </c>
      <c r="U15" s="647">
        <v>14.4</v>
      </c>
      <c r="V15" s="643">
        <v>6.1</v>
      </c>
      <c r="W15" s="648">
        <v>50</v>
      </c>
      <c r="X15" s="649">
        <v>30</v>
      </c>
      <c r="Y15" s="650">
        <v>2025</v>
      </c>
      <c r="Z15" s="651">
        <v>7</v>
      </c>
      <c r="AA15" s="649" t="str">
        <f>+Tabla_query___2026_06_23T082334.128[[#This Row],[AÑO]]&amp;" - "&amp;Tabla_query___2026_06_23T082334.128[[#This Row],[MES]]</f>
        <v>2025 - 7</v>
      </c>
      <c r="AB15" s="6">
        <f t="shared" si="0"/>
        <v>75</v>
      </c>
      <c r="AC15" s="6">
        <f t="shared" si="1"/>
        <v>8000</v>
      </c>
      <c r="AD15" s="6">
        <f t="shared" si="2"/>
        <v>350</v>
      </c>
    </row>
    <row r="16" spans="2:30">
      <c r="B16" s="673">
        <v>45864</v>
      </c>
      <c r="C16" s="642">
        <v>53869</v>
      </c>
      <c r="D16" s="642">
        <v>54847</v>
      </c>
      <c r="E16" s="642">
        <v>13281</v>
      </c>
      <c r="F16" s="642">
        <v>764.07</v>
      </c>
      <c r="G16" s="642">
        <v>7503</v>
      </c>
      <c r="H16" s="642">
        <v>227126</v>
      </c>
      <c r="I16" s="643">
        <v>4491.6000000000004</v>
      </c>
      <c r="J16" s="643">
        <v>8451.7000000000007</v>
      </c>
      <c r="K16" s="643">
        <v>4351.2</v>
      </c>
      <c r="L16" s="644"/>
      <c r="M16" s="644"/>
      <c r="N16" s="645">
        <v>29</v>
      </c>
      <c r="O16" s="645">
        <v>30</v>
      </c>
      <c r="P16" s="645">
        <v>11</v>
      </c>
      <c r="Q16" s="646">
        <v>0.192</v>
      </c>
      <c r="R16" s="645">
        <v>10</v>
      </c>
      <c r="S16" s="645">
        <v>30</v>
      </c>
      <c r="T16" s="643">
        <v>3.5</v>
      </c>
      <c r="U16" s="647">
        <v>12.8</v>
      </c>
      <c r="V16" s="643">
        <v>6.4</v>
      </c>
      <c r="W16" s="648">
        <v>50</v>
      </c>
      <c r="X16" s="649">
        <v>30</v>
      </c>
      <c r="Y16" s="650">
        <v>2025</v>
      </c>
      <c r="Z16" s="651">
        <v>7</v>
      </c>
      <c r="AA16" s="649" t="str">
        <f>+Tabla_query___2026_06_23T082334.128[[#This Row],[AÑO]]&amp;" - "&amp;Tabla_query___2026_06_23T082334.128[[#This Row],[MES]]</f>
        <v>2025 - 7</v>
      </c>
      <c r="AB16" s="6">
        <f t="shared" si="0"/>
        <v>75</v>
      </c>
      <c r="AC16" s="6">
        <f t="shared" si="1"/>
        <v>8000</v>
      </c>
      <c r="AD16" s="6">
        <f t="shared" si="2"/>
        <v>350</v>
      </c>
    </row>
    <row r="17" spans="2:30">
      <c r="B17" s="673">
        <v>45868</v>
      </c>
      <c r="C17" s="642">
        <v>53918</v>
      </c>
      <c r="D17" s="642">
        <v>54895</v>
      </c>
      <c r="E17" s="642">
        <v>13292</v>
      </c>
      <c r="F17" s="642">
        <v>764.83900000000006</v>
      </c>
      <c r="G17" s="642">
        <v>7505</v>
      </c>
      <c r="H17" s="642">
        <v>227177</v>
      </c>
      <c r="I17" s="643">
        <v>4494.3</v>
      </c>
      <c r="J17" s="643">
        <v>8474.2999999999993</v>
      </c>
      <c r="K17" s="643">
        <v>4360.1000000000004</v>
      </c>
      <c r="L17" s="644"/>
      <c r="M17" s="644"/>
      <c r="N17" s="645">
        <v>49</v>
      </c>
      <c r="O17" s="645">
        <v>48</v>
      </c>
      <c r="P17" s="645">
        <v>11</v>
      </c>
      <c r="Q17" s="646">
        <v>0.76900000000000002</v>
      </c>
      <c r="R17" s="645">
        <v>2</v>
      </c>
      <c r="S17" s="645">
        <v>51</v>
      </c>
      <c r="T17" s="643">
        <v>2.7</v>
      </c>
      <c r="U17" s="647">
        <v>22.6</v>
      </c>
      <c r="V17" s="643">
        <v>8.9</v>
      </c>
      <c r="W17" s="648">
        <v>45</v>
      </c>
      <c r="X17" s="649">
        <v>31</v>
      </c>
      <c r="Y17" s="650">
        <v>2025</v>
      </c>
      <c r="Z17" s="651">
        <v>7</v>
      </c>
      <c r="AA17" s="649" t="str">
        <f>+Tabla_query___2026_06_23T082334.128[[#This Row],[AÑO]]&amp;" - "&amp;Tabla_query___2026_06_23T082334.128[[#This Row],[MES]]</f>
        <v>2025 - 7</v>
      </c>
      <c r="AB17" s="6">
        <f t="shared" si="0"/>
        <v>75</v>
      </c>
      <c r="AC17" s="6">
        <f t="shared" si="1"/>
        <v>8000</v>
      </c>
      <c r="AD17" s="6">
        <f t="shared" si="2"/>
        <v>350</v>
      </c>
    </row>
    <row r="18" spans="2:30">
      <c r="B18" s="673">
        <v>45869</v>
      </c>
      <c r="C18" s="642">
        <v>53966</v>
      </c>
      <c r="D18" s="642">
        <v>54945</v>
      </c>
      <c r="E18" s="642">
        <v>13302</v>
      </c>
      <c r="F18" s="642">
        <v>764.83900000000006</v>
      </c>
      <c r="G18" s="642">
        <v>7515</v>
      </c>
      <c r="H18" s="642">
        <v>227228</v>
      </c>
      <c r="I18" s="643">
        <v>4498.3</v>
      </c>
      <c r="J18" s="643">
        <v>8485</v>
      </c>
      <c r="K18" s="643">
        <v>4365.2</v>
      </c>
      <c r="L18" s="644"/>
      <c r="M18" s="644"/>
      <c r="N18" s="645">
        <v>48</v>
      </c>
      <c r="O18" s="645">
        <v>50</v>
      </c>
      <c r="P18" s="645">
        <v>10</v>
      </c>
      <c r="Q18" s="646">
        <v>0</v>
      </c>
      <c r="R18" s="645">
        <v>10</v>
      </c>
      <c r="S18" s="645">
        <v>51</v>
      </c>
      <c r="T18" s="643">
        <v>4</v>
      </c>
      <c r="U18" s="647">
        <v>10.7</v>
      </c>
      <c r="V18" s="643">
        <v>5.0999999999999996</v>
      </c>
      <c r="W18" s="648">
        <v>45</v>
      </c>
      <c r="X18" s="649">
        <v>31</v>
      </c>
      <c r="Y18" s="650">
        <v>2025</v>
      </c>
      <c r="Z18" s="651">
        <v>7</v>
      </c>
      <c r="AA18" s="649" t="str">
        <f>+Tabla_query___2026_06_23T082334.128[[#This Row],[AÑO]]&amp;" - "&amp;Tabla_query___2026_06_23T082334.128[[#This Row],[MES]]</f>
        <v>2025 - 7</v>
      </c>
      <c r="AB18" s="6">
        <f t="shared" si="0"/>
        <v>75</v>
      </c>
      <c r="AC18" s="6">
        <f t="shared" si="1"/>
        <v>8000</v>
      </c>
      <c r="AD18" s="6">
        <f t="shared" si="2"/>
        <v>350</v>
      </c>
    </row>
    <row r="19" spans="2:30">
      <c r="B19" s="673">
        <v>45870</v>
      </c>
      <c r="C19" s="642">
        <v>54016</v>
      </c>
      <c r="D19" s="642">
        <v>54997</v>
      </c>
      <c r="E19" s="642">
        <v>13312</v>
      </c>
      <c r="F19" s="642">
        <v>764.83900000000006</v>
      </c>
      <c r="G19" s="642">
        <v>7525</v>
      </c>
      <c r="H19" s="642">
        <v>227281</v>
      </c>
      <c r="I19" s="643">
        <v>4501.8999999999996</v>
      </c>
      <c r="J19" s="643">
        <v>8501</v>
      </c>
      <c r="K19" s="643">
        <v>4369.3999999999996</v>
      </c>
      <c r="L19" s="644"/>
      <c r="M19" s="644"/>
      <c r="N19" s="645">
        <v>50</v>
      </c>
      <c r="O19" s="645">
        <v>52</v>
      </c>
      <c r="P19" s="645">
        <v>10</v>
      </c>
      <c r="Q19" s="646">
        <v>0</v>
      </c>
      <c r="R19" s="645">
        <v>10</v>
      </c>
      <c r="S19" s="645">
        <v>53</v>
      </c>
      <c r="T19" s="643">
        <v>3.6</v>
      </c>
      <c r="U19" s="647">
        <v>16</v>
      </c>
      <c r="V19" s="643">
        <v>4.2</v>
      </c>
      <c r="W19" s="648">
        <v>79</v>
      </c>
      <c r="X19" s="649">
        <v>31</v>
      </c>
      <c r="Y19" s="650">
        <v>2025</v>
      </c>
      <c r="Z19" s="651">
        <v>8</v>
      </c>
      <c r="AA19" s="649" t="str">
        <f>+Tabla_query___2026_06_23T082334.128[[#This Row],[AÑO]]&amp;" - "&amp;Tabla_query___2026_06_23T082334.128[[#This Row],[MES]]</f>
        <v>2025 - 8</v>
      </c>
      <c r="AB19" s="6">
        <f t="shared" si="0"/>
        <v>75</v>
      </c>
      <c r="AC19" s="6">
        <f t="shared" si="1"/>
        <v>8000</v>
      </c>
      <c r="AD19" s="6">
        <f t="shared" si="2"/>
        <v>350</v>
      </c>
    </row>
    <row r="20" spans="2:30">
      <c r="B20" s="673">
        <v>45871</v>
      </c>
      <c r="C20" s="642">
        <v>54076</v>
      </c>
      <c r="D20" s="642">
        <v>55059</v>
      </c>
      <c r="E20" s="642">
        <v>13323</v>
      </c>
      <c r="F20" s="642">
        <v>766.01800000000003</v>
      </c>
      <c r="G20" s="642">
        <v>7533</v>
      </c>
      <c r="H20" s="642">
        <v>227344</v>
      </c>
      <c r="I20" s="643">
        <v>4505</v>
      </c>
      <c r="J20" s="643">
        <v>8514.7000000000007</v>
      </c>
      <c r="K20" s="643">
        <v>4373.3999999999996</v>
      </c>
      <c r="L20" s="644"/>
      <c r="M20" s="644"/>
      <c r="N20" s="645">
        <v>60</v>
      </c>
      <c r="O20" s="645">
        <v>62</v>
      </c>
      <c r="P20" s="645">
        <v>11</v>
      </c>
      <c r="Q20" s="646">
        <v>1.179</v>
      </c>
      <c r="R20" s="645">
        <v>8</v>
      </c>
      <c r="S20" s="645">
        <v>63</v>
      </c>
      <c r="T20" s="643">
        <v>3.1</v>
      </c>
      <c r="U20" s="647">
        <v>13.7</v>
      </c>
      <c r="V20" s="643">
        <v>4</v>
      </c>
      <c r="W20" s="648">
        <v>85</v>
      </c>
      <c r="X20" s="649">
        <v>31</v>
      </c>
      <c r="Y20" s="650">
        <v>2025</v>
      </c>
      <c r="Z20" s="651">
        <v>8</v>
      </c>
      <c r="AA20" s="649" t="str">
        <f>+Tabla_query___2026_06_23T082334.128[[#This Row],[AÑO]]&amp;" - "&amp;Tabla_query___2026_06_23T082334.128[[#This Row],[MES]]</f>
        <v>2025 - 8</v>
      </c>
      <c r="AB20" s="6">
        <f t="shared" si="0"/>
        <v>75</v>
      </c>
      <c r="AC20" s="6">
        <f t="shared" si="1"/>
        <v>8000</v>
      </c>
      <c r="AD20" s="6">
        <f t="shared" si="2"/>
        <v>350</v>
      </c>
    </row>
    <row r="21" spans="2:30">
      <c r="B21" s="673">
        <v>45874</v>
      </c>
      <c r="C21" s="642">
        <v>54207</v>
      </c>
      <c r="D21" s="642">
        <v>55194</v>
      </c>
      <c r="E21" s="642">
        <v>13343</v>
      </c>
      <c r="F21" s="642">
        <v>766.66099999999994</v>
      </c>
      <c r="G21" s="642">
        <v>7539</v>
      </c>
      <c r="H21" s="642">
        <v>227481</v>
      </c>
      <c r="I21" s="643">
        <v>4512.2</v>
      </c>
      <c r="J21" s="643">
        <v>8547.2000000000007</v>
      </c>
      <c r="K21" s="643">
        <v>4383.3</v>
      </c>
      <c r="L21" s="644"/>
      <c r="M21" s="644"/>
      <c r="N21" s="645">
        <v>55</v>
      </c>
      <c r="O21" s="645">
        <v>57</v>
      </c>
      <c r="P21" s="645">
        <v>9</v>
      </c>
      <c r="Q21" s="646">
        <v>0.25700000000000001</v>
      </c>
      <c r="R21" s="645">
        <v>1</v>
      </c>
      <c r="S21" s="645">
        <v>58</v>
      </c>
      <c r="T21" s="643">
        <v>3</v>
      </c>
      <c r="U21" s="647">
        <v>12.9</v>
      </c>
      <c r="V21" s="643">
        <v>5</v>
      </c>
      <c r="W21" s="648">
        <v>70</v>
      </c>
      <c r="X21" s="649">
        <v>32</v>
      </c>
      <c r="Y21" s="650">
        <v>2025</v>
      </c>
      <c r="Z21" s="651">
        <v>8</v>
      </c>
      <c r="AA21" s="649" t="str">
        <f>+Tabla_query___2026_06_23T082334.128[[#This Row],[AÑO]]&amp;" - "&amp;Tabla_query___2026_06_23T082334.128[[#This Row],[MES]]</f>
        <v>2025 - 8</v>
      </c>
      <c r="AB21" s="6">
        <f t="shared" si="0"/>
        <v>75</v>
      </c>
      <c r="AC21" s="6">
        <f t="shared" si="1"/>
        <v>8000</v>
      </c>
      <c r="AD21" s="6">
        <f t="shared" si="2"/>
        <v>350</v>
      </c>
    </row>
    <row r="22" spans="2:30">
      <c r="B22" s="673">
        <v>45876</v>
      </c>
      <c r="C22" s="642">
        <v>54269</v>
      </c>
      <c r="D22" s="642">
        <v>55257</v>
      </c>
      <c r="E22" s="642">
        <v>13352</v>
      </c>
      <c r="F22" s="642">
        <v>767.15</v>
      </c>
      <c r="G22" s="642">
        <v>7543</v>
      </c>
      <c r="H22" s="642">
        <v>227546</v>
      </c>
      <c r="I22" s="643">
        <v>4516.3999999999996</v>
      </c>
      <c r="J22" s="643">
        <v>8563.2000000000007</v>
      </c>
      <c r="K22" s="643">
        <v>4387.3</v>
      </c>
      <c r="L22" s="644"/>
      <c r="M22" s="644"/>
      <c r="N22" s="645">
        <v>62</v>
      </c>
      <c r="O22" s="645">
        <v>63</v>
      </c>
      <c r="P22" s="645">
        <v>9</v>
      </c>
      <c r="Q22" s="646">
        <v>0.48899999999999999</v>
      </c>
      <c r="R22" s="645">
        <v>4</v>
      </c>
      <c r="S22" s="645">
        <v>65</v>
      </c>
      <c r="T22" s="643">
        <v>4.2</v>
      </c>
      <c r="U22" s="647">
        <v>16</v>
      </c>
      <c r="V22" s="643">
        <v>4</v>
      </c>
      <c r="W22" s="648">
        <v>64</v>
      </c>
      <c r="X22" s="649">
        <v>32</v>
      </c>
      <c r="Y22" s="650">
        <v>2025</v>
      </c>
      <c r="Z22" s="651">
        <v>8</v>
      </c>
      <c r="AA22" s="649" t="str">
        <f>+Tabla_query___2026_06_23T082334.128[[#This Row],[AÑO]]&amp;" - "&amp;Tabla_query___2026_06_23T082334.128[[#This Row],[MES]]</f>
        <v>2025 - 8</v>
      </c>
      <c r="AB22" s="6">
        <f t="shared" si="0"/>
        <v>75</v>
      </c>
      <c r="AC22" s="6">
        <f t="shared" si="1"/>
        <v>8000</v>
      </c>
      <c r="AD22" s="6">
        <f t="shared" si="2"/>
        <v>350</v>
      </c>
    </row>
    <row r="23" spans="2:30">
      <c r="B23" s="673">
        <v>45877</v>
      </c>
      <c r="C23" s="642">
        <v>54322</v>
      </c>
      <c r="D23" s="642">
        <v>55312</v>
      </c>
      <c r="E23" s="642">
        <v>13362</v>
      </c>
      <c r="F23" s="642">
        <v>767.30600000000004</v>
      </c>
      <c r="G23" s="642">
        <v>7555</v>
      </c>
      <c r="H23" s="642">
        <v>227603</v>
      </c>
      <c r="I23" s="643">
        <v>4520.2</v>
      </c>
      <c r="J23" s="643">
        <v>8577.7000000000007</v>
      </c>
      <c r="K23" s="643">
        <v>4391.6000000000004</v>
      </c>
      <c r="L23" s="644"/>
      <c r="M23" s="644"/>
      <c r="N23" s="645">
        <v>53</v>
      </c>
      <c r="O23" s="645">
        <v>55</v>
      </c>
      <c r="P23" s="645">
        <v>10</v>
      </c>
      <c r="Q23" s="646">
        <v>0.156</v>
      </c>
      <c r="R23" s="645">
        <v>12</v>
      </c>
      <c r="S23" s="645">
        <v>57</v>
      </c>
      <c r="T23" s="643">
        <v>3.8</v>
      </c>
      <c r="U23" s="647">
        <v>14.5</v>
      </c>
      <c r="V23" s="643">
        <v>4.3</v>
      </c>
      <c r="W23" s="648">
        <v>60</v>
      </c>
      <c r="X23" s="649">
        <v>32</v>
      </c>
      <c r="Y23" s="650">
        <v>2025</v>
      </c>
      <c r="Z23" s="651">
        <v>8</v>
      </c>
      <c r="AA23" s="649" t="str">
        <f>+Tabla_query___2026_06_23T082334.128[[#This Row],[AÑO]]&amp;" - "&amp;Tabla_query___2026_06_23T082334.128[[#This Row],[MES]]</f>
        <v>2025 - 8</v>
      </c>
      <c r="AB23" s="6">
        <f t="shared" si="0"/>
        <v>75</v>
      </c>
      <c r="AC23" s="6">
        <f t="shared" si="1"/>
        <v>8000</v>
      </c>
      <c r="AD23" s="6">
        <f t="shared" si="2"/>
        <v>350</v>
      </c>
    </row>
    <row r="24" spans="2:30">
      <c r="B24" s="673">
        <v>45878</v>
      </c>
      <c r="C24" s="642">
        <v>54365</v>
      </c>
      <c r="D24" s="642">
        <v>55357</v>
      </c>
      <c r="E24" s="642">
        <v>13374</v>
      </c>
      <c r="F24" s="642">
        <v>770.40499999999997</v>
      </c>
      <c r="G24" s="642">
        <v>7566</v>
      </c>
      <c r="H24" s="642">
        <v>227648</v>
      </c>
      <c r="I24" s="643">
        <v>4523.7</v>
      </c>
      <c r="J24" s="643">
        <v>8588.7000000000007</v>
      </c>
      <c r="K24" s="643">
        <v>4395.1000000000004</v>
      </c>
      <c r="L24" s="644"/>
      <c r="M24" s="644"/>
      <c r="N24" s="645">
        <v>43</v>
      </c>
      <c r="O24" s="645">
        <v>45</v>
      </c>
      <c r="P24" s="645">
        <v>12</v>
      </c>
      <c r="Q24" s="646">
        <v>3.0990000000000002</v>
      </c>
      <c r="R24" s="645">
        <v>11</v>
      </c>
      <c r="S24" s="645">
        <v>45</v>
      </c>
      <c r="T24" s="643">
        <v>3.5</v>
      </c>
      <c r="U24" s="647">
        <v>11</v>
      </c>
      <c r="V24" s="643">
        <v>3.5</v>
      </c>
      <c r="W24" s="648">
        <v>54</v>
      </c>
      <c r="X24" s="649">
        <v>32</v>
      </c>
      <c r="Y24" s="650">
        <v>2025</v>
      </c>
      <c r="Z24" s="651">
        <v>8</v>
      </c>
      <c r="AA24" s="649" t="str">
        <f>+Tabla_query___2026_06_23T082334.128[[#This Row],[AÑO]]&amp;" - "&amp;Tabla_query___2026_06_23T082334.128[[#This Row],[MES]]</f>
        <v>2025 - 8</v>
      </c>
      <c r="AB24" s="6">
        <f t="shared" si="0"/>
        <v>75</v>
      </c>
      <c r="AC24" s="6">
        <f t="shared" si="1"/>
        <v>8000</v>
      </c>
      <c r="AD24" s="6">
        <f t="shared" si="2"/>
        <v>350</v>
      </c>
    </row>
    <row r="25" spans="2:30">
      <c r="B25" s="673">
        <v>45880</v>
      </c>
      <c r="C25" s="642">
        <v>54426</v>
      </c>
      <c r="D25" s="642">
        <v>55419</v>
      </c>
      <c r="E25" s="642">
        <v>13385</v>
      </c>
      <c r="F25" s="642">
        <v>770.71100000000001</v>
      </c>
      <c r="G25" s="642">
        <v>7568</v>
      </c>
      <c r="H25" s="642">
        <v>227711</v>
      </c>
      <c r="I25" s="643">
        <v>4527</v>
      </c>
      <c r="J25" s="643">
        <v>8605</v>
      </c>
      <c r="K25" s="643">
        <v>4399.5</v>
      </c>
      <c r="L25" s="644"/>
      <c r="M25" s="644"/>
      <c r="N25" s="645">
        <v>61</v>
      </c>
      <c r="O25" s="645">
        <v>62</v>
      </c>
      <c r="P25" s="645">
        <v>11</v>
      </c>
      <c r="Q25" s="646">
        <v>0.30599999999999999</v>
      </c>
      <c r="R25" s="645">
        <v>2</v>
      </c>
      <c r="S25" s="645">
        <v>63</v>
      </c>
      <c r="T25" s="643">
        <v>3.3</v>
      </c>
      <c r="U25" s="647">
        <v>16.3</v>
      </c>
      <c r="V25" s="643">
        <v>4.4000000000000004</v>
      </c>
      <c r="W25" s="648">
        <v>51</v>
      </c>
      <c r="X25" s="649">
        <v>33</v>
      </c>
      <c r="Y25" s="650">
        <v>2025</v>
      </c>
      <c r="Z25" s="651">
        <v>8</v>
      </c>
      <c r="AA25" s="649" t="str">
        <f>+Tabla_query___2026_06_23T082334.128[[#This Row],[AÑO]]&amp;" - "&amp;Tabla_query___2026_06_23T082334.128[[#This Row],[MES]]</f>
        <v>2025 - 8</v>
      </c>
      <c r="AB25" s="6">
        <f t="shared" si="0"/>
        <v>75</v>
      </c>
      <c r="AC25" s="6">
        <f t="shared" si="1"/>
        <v>8000</v>
      </c>
      <c r="AD25" s="6">
        <f t="shared" si="2"/>
        <v>350</v>
      </c>
    </row>
    <row r="26" spans="2:30">
      <c r="B26" s="673">
        <v>45881</v>
      </c>
      <c r="C26" s="642">
        <v>54481</v>
      </c>
      <c r="D26" s="642">
        <v>55477</v>
      </c>
      <c r="E26" s="642">
        <v>13394</v>
      </c>
      <c r="F26" s="642">
        <v>770.74699999999996</v>
      </c>
      <c r="G26" s="642">
        <v>7579</v>
      </c>
      <c r="H26" s="642">
        <v>227771</v>
      </c>
      <c r="I26" s="643">
        <v>4530.3999999999996</v>
      </c>
      <c r="J26" s="643">
        <v>8618.5</v>
      </c>
      <c r="K26" s="643">
        <v>4403.3999999999996</v>
      </c>
      <c r="L26" s="644"/>
      <c r="M26" s="644"/>
      <c r="N26" s="645">
        <v>55</v>
      </c>
      <c r="O26" s="645">
        <v>58</v>
      </c>
      <c r="P26" s="645">
        <v>9</v>
      </c>
      <c r="Q26" s="646">
        <v>3.5999999999999997E-2</v>
      </c>
      <c r="R26" s="645">
        <v>11</v>
      </c>
      <c r="S26" s="645">
        <v>60</v>
      </c>
      <c r="T26" s="643">
        <v>3.4</v>
      </c>
      <c r="U26" s="647">
        <v>13.5</v>
      </c>
      <c r="V26" s="643">
        <v>3.9</v>
      </c>
      <c r="W26" s="648">
        <v>49</v>
      </c>
      <c r="X26" s="649">
        <v>33</v>
      </c>
      <c r="Y26" s="650">
        <v>2025</v>
      </c>
      <c r="Z26" s="651">
        <v>8</v>
      </c>
      <c r="AA26" s="649" t="str">
        <f>+Tabla_query___2026_06_23T082334.128[[#This Row],[AÑO]]&amp;" - "&amp;Tabla_query___2026_06_23T082334.128[[#This Row],[MES]]</f>
        <v>2025 - 8</v>
      </c>
      <c r="AB26" s="6">
        <f t="shared" si="0"/>
        <v>75</v>
      </c>
      <c r="AC26" s="6">
        <f t="shared" si="1"/>
        <v>8000</v>
      </c>
      <c r="AD26" s="6">
        <f t="shared" si="2"/>
        <v>350</v>
      </c>
    </row>
    <row r="27" spans="2:30">
      <c r="B27" s="673">
        <v>45882</v>
      </c>
      <c r="C27" s="642">
        <v>54557</v>
      </c>
      <c r="D27" s="642">
        <v>55555</v>
      </c>
      <c r="E27" s="642">
        <v>13404</v>
      </c>
      <c r="F27" s="642">
        <v>770.79899999999998</v>
      </c>
      <c r="G27" s="642">
        <v>7591</v>
      </c>
      <c r="H27" s="642">
        <v>227850</v>
      </c>
      <c r="I27" s="643">
        <v>4533.7</v>
      </c>
      <c r="J27" s="643">
        <v>8632.6</v>
      </c>
      <c r="K27" s="643">
        <v>4408.1000000000004</v>
      </c>
      <c r="L27" s="644"/>
      <c r="M27" s="644"/>
      <c r="N27" s="645">
        <v>76</v>
      </c>
      <c r="O27" s="645">
        <v>78</v>
      </c>
      <c r="P27" s="645">
        <v>10</v>
      </c>
      <c r="Q27" s="646">
        <v>5.1999999999999998E-2</v>
      </c>
      <c r="R27" s="645">
        <v>12</v>
      </c>
      <c r="S27" s="645">
        <v>79</v>
      </c>
      <c r="T27" s="643">
        <v>3.3</v>
      </c>
      <c r="U27" s="647">
        <v>14.1</v>
      </c>
      <c r="V27" s="643">
        <v>4.7</v>
      </c>
      <c r="W27" s="648">
        <v>45</v>
      </c>
      <c r="X27" s="649">
        <v>33</v>
      </c>
      <c r="Y27" s="650">
        <v>2025</v>
      </c>
      <c r="Z27" s="651">
        <v>8</v>
      </c>
      <c r="AA27" s="649" t="str">
        <f>+Tabla_query___2026_06_23T082334.128[[#This Row],[AÑO]]&amp;" - "&amp;Tabla_query___2026_06_23T082334.128[[#This Row],[MES]]</f>
        <v>2025 - 8</v>
      </c>
      <c r="AB27" s="6">
        <f t="shared" si="0"/>
        <v>75</v>
      </c>
      <c r="AC27" s="6">
        <f t="shared" si="1"/>
        <v>8000</v>
      </c>
      <c r="AD27" s="6">
        <f t="shared" si="2"/>
        <v>350</v>
      </c>
    </row>
    <row r="28" spans="2:30">
      <c r="B28" s="673">
        <v>45883</v>
      </c>
      <c r="C28" s="642">
        <v>54610</v>
      </c>
      <c r="D28" s="642">
        <v>55610</v>
      </c>
      <c r="E28" s="642">
        <v>13413</v>
      </c>
      <c r="F28" s="642">
        <v>770.79899999999998</v>
      </c>
      <c r="G28" s="642">
        <v>7603</v>
      </c>
      <c r="H28" s="642">
        <v>227905</v>
      </c>
      <c r="I28" s="643">
        <v>4537.2</v>
      </c>
      <c r="J28" s="643">
        <v>8647.2000000000007</v>
      </c>
      <c r="K28" s="643">
        <v>4412.7</v>
      </c>
      <c r="L28" s="644"/>
      <c r="M28" s="644"/>
      <c r="N28" s="645">
        <v>53</v>
      </c>
      <c r="O28" s="645">
        <v>55</v>
      </c>
      <c r="P28" s="645">
        <v>9</v>
      </c>
      <c r="Q28" s="646">
        <v>0</v>
      </c>
      <c r="R28" s="645">
        <v>12</v>
      </c>
      <c r="S28" s="645">
        <v>55</v>
      </c>
      <c r="T28" s="643">
        <v>3.5</v>
      </c>
      <c r="U28" s="647">
        <v>14.6</v>
      </c>
      <c r="V28" s="643">
        <v>4.5999999999999996</v>
      </c>
      <c r="W28" s="648">
        <v>40</v>
      </c>
      <c r="X28" s="649">
        <v>33</v>
      </c>
      <c r="Y28" s="650">
        <v>2025</v>
      </c>
      <c r="Z28" s="651">
        <v>8</v>
      </c>
      <c r="AA28" s="649" t="str">
        <f>+Tabla_query___2026_06_23T082334.128[[#This Row],[AÑO]]&amp;" - "&amp;Tabla_query___2026_06_23T082334.128[[#This Row],[MES]]</f>
        <v>2025 - 8</v>
      </c>
      <c r="AB28" s="6">
        <f t="shared" si="0"/>
        <v>75</v>
      </c>
      <c r="AC28" s="6">
        <f t="shared" si="1"/>
        <v>8000</v>
      </c>
      <c r="AD28" s="6">
        <f t="shared" si="2"/>
        <v>350</v>
      </c>
    </row>
    <row r="29" spans="2:30">
      <c r="B29" s="673">
        <v>45885</v>
      </c>
      <c r="C29" s="642">
        <v>54664</v>
      </c>
      <c r="D29" s="642">
        <v>55665</v>
      </c>
      <c r="E29" s="642">
        <v>13423</v>
      </c>
      <c r="F29" s="642">
        <v>772.125</v>
      </c>
      <c r="G29" s="642">
        <v>7611</v>
      </c>
      <c r="H29" s="642">
        <v>227963</v>
      </c>
      <c r="I29" s="643">
        <v>4541.1000000000004</v>
      </c>
      <c r="J29" s="643">
        <v>8663.4</v>
      </c>
      <c r="K29" s="643">
        <v>4417.1000000000004</v>
      </c>
      <c r="L29" s="644"/>
      <c r="M29" s="644"/>
      <c r="N29" s="645">
        <v>54</v>
      </c>
      <c r="O29" s="645">
        <v>55</v>
      </c>
      <c r="P29" s="645">
        <v>10</v>
      </c>
      <c r="Q29" s="646">
        <v>1.3260000000000001</v>
      </c>
      <c r="R29" s="645">
        <v>8</v>
      </c>
      <c r="S29" s="645">
        <v>58</v>
      </c>
      <c r="T29" s="643">
        <v>3.9</v>
      </c>
      <c r="U29" s="647">
        <v>16.2</v>
      </c>
      <c r="V29" s="643">
        <v>4.4000000000000004</v>
      </c>
      <c r="W29" s="648">
        <v>38</v>
      </c>
      <c r="X29" s="649">
        <v>33</v>
      </c>
      <c r="Y29" s="650">
        <v>2025</v>
      </c>
      <c r="Z29" s="651">
        <v>8</v>
      </c>
      <c r="AA29" s="649" t="str">
        <f>+Tabla_query___2026_06_23T082334.128[[#This Row],[AÑO]]&amp;" - "&amp;Tabla_query___2026_06_23T082334.128[[#This Row],[MES]]</f>
        <v>2025 - 8</v>
      </c>
      <c r="AB29" s="6">
        <f t="shared" si="0"/>
        <v>75</v>
      </c>
      <c r="AC29" s="6">
        <f t="shared" si="1"/>
        <v>8000</v>
      </c>
      <c r="AD29" s="6">
        <f t="shared" si="2"/>
        <v>350</v>
      </c>
    </row>
    <row r="30" spans="2:30">
      <c r="B30" s="673">
        <v>45887</v>
      </c>
      <c r="C30" s="642">
        <v>54728</v>
      </c>
      <c r="D30" s="642">
        <v>55730</v>
      </c>
      <c r="E30" s="642">
        <v>13432</v>
      </c>
      <c r="F30" s="642">
        <v>772.71600000000001</v>
      </c>
      <c r="G30" s="642">
        <v>7617</v>
      </c>
      <c r="H30" s="642">
        <v>228030</v>
      </c>
      <c r="I30" s="643">
        <v>4544.6000000000004</v>
      </c>
      <c r="J30" s="643">
        <v>8679.9</v>
      </c>
      <c r="K30" s="643">
        <v>4420.8</v>
      </c>
      <c r="L30" s="644"/>
      <c r="M30" s="644"/>
      <c r="N30" s="645">
        <v>64</v>
      </c>
      <c r="O30" s="645">
        <v>65</v>
      </c>
      <c r="P30" s="645">
        <v>9</v>
      </c>
      <c r="Q30" s="646">
        <v>0.59099999999999997</v>
      </c>
      <c r="R30" s="645">
        <v>6</v>
      </c>
      <c r="S30" s="645">
        <v>67</v>
      </c>
      <c r="T30" s="643">
        <v>3.5</v>
      </c>
      <c r="U30" s="647">
        <v>16.5</v>
      </c>
      <c r="V30" s="643">
        <v>3.7</v>
      </c>
      <c r="W30" s="648">
        <v>35</v>
      </c>
      <c r="X30" s="649">
        <v>34</v>
      </c>
      <c r="Y30" s="650">
        <v>2025</v>
      </c>
      <c r="Z30" s="651">
        <v>8</v>
      </c>
      <c r="AA30" s="649" t="str">
        <f>+Tabla_query___2026_06_23T082334.128[[#This Row],[AÑO]]&amp;" - "&amp;Tabla_query___2026_06_23T082334.128[[#This Row],[MES]]</f>
        <v>2025 - 8</v>
      </c>
      <c r="AB30" s="6">
        <f t="shared" si="0"/>
        <v>75</v>
      </c>
      <c r="AC30" s="6">
        <f t="shared" si="1"/>
        <v>8000</v>
      </c>
      <c r="AD30" s="6">
        <f t="shared" si="2"/>
        <v>350</v>
      </c>
    </row>
    <row r="31" spans="2:30">
      <c r="B31" s="673">
        <v>45888</v>
      </c>
      <c r="C31" s="642">
        <v>54784</v>
      </c>
      <c r="D31" s="642">
        <v>55788</v>
      </c>
      <c r="E31" s="642">
        <v>13440</v>
      </c>
      <c r="F31" s="642">
        <v>772.71600000000001</v>
      </c>
      <c r="G31" s="642">
        <v>7629</v>
      </c>
      <c r="H31" s="642">
        <v>228089</v>
      </c>
      <c r="I31" s="643">
        <v>5448</v>
      </c>
      <c r="J31" s="643">
        <v>8693.2999999999993</v>
      </c>
      <c r="K31" s="643">
        <v>4425.7</v>
      </c>
      <c r="L31" s="644"/>
      <c r="M31" s="644"/>
      <c r="N31" s="645">
        <v>56</v>
      </c>
      <c r="O31" s="645">
        <v>58</v>
      </c>
      <c r="P31" s="645">
        <v>8</v>
      </c>
      <c r="Q31" s="646">
        <v>0</v>
      </c>
      <c r="R31" s="645">
        <v>12</v>
      </c>
      <c r="S31" s="645">
        <v>59</v>
      </c>
      <c r="T31" s="643">
        <v>3.4</v>
      </c>
      <c r="U31" s="647">
        <v>13.4</v>
      </c>
      <c r="V31" s="643">
        <v>4.9000000000000004</v>
      </c>
      <c r="W31" s="648">
        <v>30</v>
      </c>
      <c r="X31" s="649">
        <v>34</v>
      </c>
      <c r="Y31" s="650">
        <v>2025</v>
      </c>
      <c r="Z31" s="651">
        <v>8</v>
      </c>
      <c r="AA31" s="649" t="str">
        <f>+Tabla_query___2026_06_23T082334.128[[#This Row],[AÑO]]&amp;" - "&amp;Tabla_query___2026_06_23T082334.128[[#This Row],[MES]]</f>
        <v>2025 - 8</v>
      </c>
      <c r="AB31" s="6">
        <f t="shared" si="0"/>
        <v>75</v>
      </c>
      <c r="AC31" s="6">
        <f t="shared" si="1"/>
        <v>8000</v>
      </c>
      <c r="AD31" s="6">
        <f t="shared" si="2"/>
        <v>350</v>
      </c>
    </row>
    <row r="32" spans="2:30">
      <c r="B32" s="673">
        <v>45889</v>
      </c>
      <c r="C32" s="642">
        <v>54850</v>
      </c>
      <c r="D32" s="642">
        <v>55855</v>
      </c>
      <c r="E32" s="642">
        <v>13450</v>
      </c>
      <c r="F32" s="642">
        <v>772.721</v>
      </c>
      <c r="G32" s="642">
        <v>7640</v>
      </c>
      <c r="H32" s="642">
        <v>228150</v>
      </c>
      <c r="I32" s="643">
        <v>4551.7</v>
      </c>
      <c r="J32" s="643">
        <v>8709</v>
      </c>
      <c r="K32" s="643">
        <v>4431.2</v>
      </c>
      <c r="L32" s="644"/>
      <c r="M32" s="644"/>
      <c r="N32" s="645">
        <v>66</v>
      </c>
      <c r="O32" s="645">
        <v>67</v>
      </c>
      <c r="P32" s="645">
        <v>10</v>
      </c>
      <c r="Q32" s="646">
        <v>5.0000000000000001E-3</v>
      </c>
      <c r="R32" s="645">
        <v>11</v>
      </c>
      <c r="S32" s="645">
        <v>61</v>
      </c>
      <c r="T32" s="643">
        <v>3.7</v>
      </c>
      <c r="U32" s="647">
        <v>15.7</v>
      </c>
      <c r="V32" s="643">
        <v>5.5</v>
      </c>
      <c r="W32" s="648">
        <v>76</v>
      </c>
      <c r="X32" s="649">
        <v>34</v>
      </c>
      <c r="Y32" s="650">
        <v>2025</v>
      </c>
      <c r="Z32" s="651">
        <v>8</v>
      </c>
      <c r="AA32" s="649" t="str">
        <f>+Tabla_query___2026_06_23T082334.128[[#This Row],[AÑO]]&amp;" - "&amp;Tabla_query___2026_06_23T082334.128[[#This Row],[MES]]</f>
        <v>2025 - 8</v>
      </c>
      <c r="AB32" s="6">
        <f t="shared" si="0"/>
        <v>75</v>
      </c>
      <c r="AC32" s="6">
        <f t="shared" si="1"/>
        <v>8000</v>
      </c>
      <c r="AD32" s="6">
        <f t="shared" si="2"/>
        <v>350</v>
      </c>
    </row>
    <row r="33" spans="2:30">
      <c r="B33" s="673">
        <v>45890</v>
      </c>
      <c r="C33" s="642">
        <v>54890</v>
      </c>
      <c r="D33" s="642">
        <v>55897</v>
      </c>
      <c r="E33" s="642">
        <v>13459</v>
      </c>
      <c r="F33" s="642">
        <v>773.13</v>
      </c>
      <c r="G33" s="642">
        <v>7647</v>
      </c>
      <c r="H33" s="642">
        <v>228201</v>
      </c>
      <c r="I33" s="643">
        <v>4554.8999999999996</v>
      </c>
      <c r="J33" s="643">
        <v>8722.2000000000007</v>
      </c>
      <c r="K33" s="643">
        <v>4436.3</v>
      </c>
      <c r="L33" s="644"/>
      <c r="M33" s="644"/>
      <c r="N33" s="645">
        <v>40</v>
      </c>
      <c r="O33" s="645">
        <v>42</v>
      </c>
      <c r="P33" s="645">
        <v>9</v>
      </c>
      <c r="Q33" s="646">
        <v>0.40899999999999997</v>
      </c>
      <c r="R33" s="645">
        <v>7</v>
      </c>
      <c r="S33" s="645">
        <v>51</v>
      </c>
      <c r="T33" s="643">
        <v>3.2</v>
      </c>
      <c r="U33" s="647">
        <v>13.2</v>
      </c>
      <c r="V33" s="643">
        <v>5.0999999999999996</v>
      </c>
      <c r="W33" s="648">
        <v>74</v>
      </c>
      <c r="X33" s="649">
        <v>34</v>
      </c>
      <c r="Y33" s="650">
        <v>2025</v>
      </c>
      <c r="Z33" s="651">
        <v>8</v>
      </c>
      <c r="AA33" s="649" t="str">
        <f>+Tabla_query___2026_06_23T082334.128[[#This Row],[AÑO]]&amp;" - "&amp;Tabla_query___2026_06_23T082334.128[[#This Row],[MES]]</f>
        <v>2025 - 8</v>
      </c>
      <c r="AB33" s="6">
        <f t="shared" si="0"/>
        <v>75</v>
      </c>
      <c r="AC33" s="6">
        <f t="shared" si="1"/>
        <v>8000</v>
      </c>
      <c r="AD33" s="6">
        <f t="shared" si="2"/>
        <v>350</v>
      </c>
    </row>
    <row r="34" spans="2:30">
      <c r="B34" s="673">
        <v>45891</v>
      </c>
      <c r="C34" s="642">
        <v>54942</v>
      </c>
      <c r="D34" s="642">
        <v>55951</v>
      </c>
      <c r="E34" s="642">
        <v>13473</v>
      </c>
      <c r="F34" s="642">
        <v>776.98400000000004</v>
      </c>
      <c r="G34" s="642">
        <v>7655</v>
      </c>
      <c r="H34" s="642">
        <v>228256</v>
      </c>
      <c r="I34" s="643">
        <v>4559.7</v>
      </c>
      <c r="J34" s="643">
        <v>8737.2000000000007</v>
      </c>
      <c r="K34" s="643">
        <v>4441.8</v>
      </c>
      <c r="L34" s="644"/>
      <c r="M34" s="644"/>
      <c r="N34" s="645">
        <v>11</v>
      </c>
      <c r="O34" s="645">
        <v>95</v>
      </c>
      <c r="P34" s="645">
        <v>22</v>
      </c>
      <c r="Q34" s="646">
        <v>4.194</v>
      </c>
      <c r="R34" s="645">
        <v>5</v>
      </c>
      <c r="S34" s="645">
        <v>96</v>
      </c>
      <c r="T34" s="643">
        <v>7.7</v>
      </c>
      <c r="U34" s="647">
        <v>-52.8</v>
      </c>
      <c r="V34" s="643">
        <v>2.8</v>
      </c>
      <c r="W34" s="648">
        <v>70</v>
      </c>
      <c r="X34" s="649">
        <v>34</v>
      </c>
      <c r="Y34" s="650">
        <v>2025</v>
      </c>
      <c r="Z34" s="651">
        <v>8</v>
      </c>
      <c r="AA34" s="649" t="str">
        <f>+Tabla_query___2026_06_23T082334.128[[#This Row],[AÑO]]&amp;" - "&amp;Tabla_query___2026_06_23T082334.128[[#This Row],[MES]]</f>
        <v>2025 - 8</v>
      </c>
      <c r="AB34" s="6">
        <f t="shared" si="0"/>
        <v>75</v>
      </c>
      <c r="AC34" s="6">
        <f t="shared" si="1"/>
        <v>8000</v>
      </c>
      <c r="AD34" s="6">
        <f t="shared" si="2"/>
        <v>350</v>
      </c>
    </row>
    <row r="35" spans="2:30">
      <c r="B35" s="673">
        <v>45892</v>
      </c>
      <c r="C35" s="642">
        <v>54985</v>
      </c>
      <c r="D35" s="642">
        <v>55996</v>
      </c>
      <c r="E35" s="642">
        <v>13482</v>
      </c>
      <c r="F35" s="642">
        <v>777.20299999999997</v>
      </c>
      <c r="G35" s="642">
        <v>7662</v>
      </c>
      <c r="H35" s="642">
        <v>228302</v>
      </c>
      <c r="I35" s="643">
        <v>4562.8999999999996</v>
      </c>
      <c r="J35" s="643">
        <v>8750.2999999999993</v>
      </c>
      <c r="K35" s="643">
        <v>4446.6000000000004</v>
      </c>
      <c r="L35" s="644"/>
      <c r="M35" s="644"/>
      <c r="N35" s="645">
        <v>43</v>
      </c>
      <c r="O35" s="645">
        <v>45</v>
      </c>
      <c r="P35" s="645">
        <v>9</v>
      </c>
      <c r="Q35" s="646">
        <v>0.219</v>
      </c>
      <c r="R35" s="645">
        <v>7</v>
      </c>
      <c r="S35" s="645">
        <v>46</v>
      </c>
      <c r="T35" s="643">
        <v>3.2</v>
      </c>
      <c r="U35" s="647">
        <v>13.1</v>
      </c>
      <c r="V35" s="643">
        <v>4.8</v>
      </c>
      <c r="W35" s="648">
        <v>64</v>
      </c>
      <c r="X35" s="649">
        <v>34</v>
      </c>
      <c r="Y35" s="650">
        <v>2025</v>
      </c>
      <c r="Z35" s="651">
        <v>8</v>
      </c>
      <c r="AA35" s="649" t="str">
        <f>+Tabla_query___2026_06_23T082334.128[[#This Row],[AÑO]]&amp;" - "&amp;Tabla_query___2026_06_23T082334.128[[#This Row],[MES]]</f>
        <v>2025 - 8</v>
      </c>
      <c r="AB35" s="6">
        <f t="shared" si="0"/>
        <v>75</v>
      </c>
      <c r="AC35" s="6">
        <f t="shared" si="1"/>
        <v>8000</v>
      </c>
      <c r="AD35" s="6">
        <f t="shared" si="2"/>
        <v>350</v>
      </c>
    </row>
    <row r="36" spans="2:30">
      <c r="B36" s="673">
        <v>45894</v>
      </c>
      <c r="C36" s="642">
        <v>55047</v>
      </c>
      <c r="D36" s="642">
        <v>56060</v>
      </c>
      <c r="E36" s="642">
        <v>13494</v>
      </c>
      <c r="F36" s="642">
        <v>777.81299999999999</v>
      </c>
      <c r="G36" s="642">
        <v>7668</v>
      </c>
      <c r="H36" s="642">
        <v>228369</v>
      </c>
      <c r="I36" s="643">
        <v>4566.1000000000004</v>
      </c>
      <c r="J36" s="643">
        <v>8771</v>
      </c>
      <c r="K36" s="643">
        <v>4452.6000000000004</v>
      </c>
      <c r="L36" s="644"/>
      <c r="M36" s="644"/>
      <c r="N36" s="645">
        <v>62</v>
      </c>
      <c r="O36" s="645">
        <v>64</v>
      </c>
      <c r="P36" s="645">
        <v>12</v>
      </c>
      <c r="Q36" s="646">
        <v>0.61</v>
      </c>
      <c r="R36" s="645">
        <v>6</v>
      </c>
      <c r="S36" s="645">
        <v>67</v>
      </c>
      <c r="T36" s="643">
        <v>3.2</v>
      </c>
      <c r="U36" s="647">
        <v>20.7</v>
      </c>
      <c r="V36" s="643">
        <v>6</v>
      </c>
      <c r="W36" s="648">
        <v>61</v>
      </c>
      <c r="X36" s="649">
        <v>35</v>
      </c>
      <c r="Y36" s="650">
        <v>2025</v>
      </c>
      <c r="Z36" s="651">
        <v>8</v>
      </c>
      <c r="AA36" s="649" t="str">
        <f>+Tabla_query___2026_06_23T082334.128[[#This Row],[AÑO]]&amp;" - "&amp;Tabla_query___2026_06_23T082334.128[[#This Row],[MES]]</f>
        <v>2025 - 8</v>
      </c>
      <c r="AB36" s="6">
        <f t="shared" si="0"/>
        <v>75</v>
      </c>
      <c r="AC36" s="6">
        <f t="shared" si="1"/>
        <v>8000</v>
      </c>
      <c r="AD36" s="6">
        <f t="shared" si="2"/>
        <v>350</v>
      </c>
    </row>
    <row r="37" spans="2:30">
      <c r="B37" s="673">
        <v>45895</v>
      </c>
      <c r="C37" s="642">
        <v>55093</v>
      </c>
      <c r="D37" s="642">
        <v>56107</v>
      </c>
      <c r="E37" s="642">
        <v>13502</v>
      </c>
      <c r="F37" s="642">
        <v>778.14599999999996</v>
      </c>
      <c r="G37" s="642">
        <v>7684</v>
      </c>
      <c r="H37" s="642">
        <v>228418</v>
      </c>
      <c r="I37" s="643">
        <v>4569.8999999999996</v>
      </c>
      <c r="J37" s="643">
        <v>8783.7999999999993</v>
      </c>
      <c r="K37" s="643">
        <v>4456.8</v>
      </c>
      <c r="L37" s="644"/>
      <c r="M37" s="644"/>
      <c r="N37" s="645">
        <v>46</v>
      </c>
      <c r="O37" s="645">
        <v>47</v>
      </c>
      <c r="P37" s="645">
        <v>8</v>
      </c>
      <c r="Q37" s="646">
        <v>0.33300000000000002</v>
      </c>
      <c r="R37" s="645">
        <v>16</v>
      </c>
      <c r="S37" s="645">
        <v>49</v>
      </c>
      <c r="T37" s="643">
        <v>3.8</v>
      </c>
      <c r="U37" s="647">
        <v>12.8</v>
      </c>
      <c r="V37" s="643">
        <v>4.2</v>
      </c>
      <c r="W37" s="648">
        <v>58</v>
      </c>
      <c r="X37" s="649">
        <v>35</v>
      </c>
      <c r="Y37" s="650">
        <v>2025</v>
      </c>
      <c r="Z37" s="651">
        <v>8</v>
      </c>
      <c r="AA37" s="649" t="str">
        <f>+Tabla_query___2026_06_23T082334.128[[#This Row],[AÑO]]&amp;" - "&amp;Tabla_query___2026_06_23T082334.128[[#This Row],[MES]]</f>
        <v>2025 - 8</v>
      </c>
      <c r="AB37" s="6">
        <f t="shared" si="0"/>
        <v>75</v>
      </c>
      <c r="AC37" s="6">
        <f t="shared" si="1"/>
        <v>8000</v>
      </c>
      <c r="AD37" s="6">
        <f t="shared" si="2"/>
        <v>350</v>
      </c>
    </row>
    <row r="38" spans="2:30">
      <c r="B38" s="673">
        <v>45896</v>
      </c>
      <c r="C38" s="642">
        <v>55203</v>
      </c>
      <c r="D38" s="642">
        <v>56220</v>
      </c>
      <c r="E38" s="642">
        <v>13511</v>
      </c>
      <c r="F38" s="642">
        <v>778.48299999999995</v>
      </c>
      <c r="G38" s="642">
        <v>7697</v>
      </c>
      <c r="H38" s="642">
        <v>228533</v>
      </c>
      <c r="I38" s="643">
        <v>4573.2</v>
      </c>
      <c r="J38" s="643">
        <v>8796.9</v>
      </c>
      <c r="K38" s="643">
        <v>4460.6000000000004</v>
      </c>
      <c r="L38" s="644"/>
      <c r="M38" s="644"/>
      <c r="N38" s="645">
        <v>110</v>
      </c>
      <c r="O38" s="645">
        <v>113</v>
      </c>
      <c r="P38" s="645">
        <v>9</v>
      </c>
      <c r="Q38" s="646">
        <v>0.33700000000000002</v>
      </c>
      <c r="R38" s="645">
        <v>13</v>
      </c>
      <c r="S38" s="645">
        <v>115</v>
      </c>
      <c r="T38" s="643">
        <v>3.3</v>
      </c>
      <c r="U38" s="647">
        <v>13.1</v>
      </c>
      <c r="V38" s="643">
        <v>3.8</v>
      </c>
      <c r="W38" s="648">
        <v>53</v>
      </c>
      <c r="X38" s="649">
        <v>35</v>
      </c>
      <c r="Y38" s="650">
        <v>2025</v>
      </c>
      <c r="Z38" s="651">
        <v>8</v>
      </c>
      <c r="AA38" s="649" t="str">
        <f>+Tabla_query___2026_06_23T082334.128[[#This Row],[AÑO]]&amp;" - "&amp;Tabla_query___2026_06_23T082334.128[[#This Row],[MES]]</f>
        <v>2025 - 8</v>
      </c>
      <c r="AB38" s="6">
        <f t="shared" si="0"/>
        <v>75</v>
      </c>
      <c r="AC38" s="6">
        <f t="shared" si="1"/>
        <v>8000</v>
      </c>
      <c r="AD38" s="6">
        <f t="shared" si="2"/>
        <v>350</v>
      </c>
    </row>
    <row r="39" spans="2:30">
      <c r="B39" s="673">
        <v>45897</v>
      </c>
      <c r="C39" s="642">
        <v>55266</v>
      </c>
      <c r="D39" s="642">
        <v>56285</v>
      </c>
      <c r="E39" s="642">
        <v>13520</v>
      </c>
      <c r="F39" s="642">
        <v>778.91399999999999</v>
      </c>
      <c r="G39" s="642">
        <v>7708</v>
      </c>
      <c r="H39" s="642">
        <v>228600</v>
      </c>
      <c r="I39" s="643">
        <v>4576.5</v>
      </c>
      <c r="J39" s="643">
        <v>8807.5</v>
      </c>
      <c r="K39" s="643">
        <v>4464.3999999999996</v>
      </c>
      <c r="L39" s="644"/>
      <c r="M39" s="644"/>
      <c r="N39" s="645">
        <v>63</v>
      </c>
      <c r="O39" s="645">
        <v>65</v>
      </c>
      <c r="P39" s="645">
        <v>9</v>
      </c>
      <c r="Q39" s="646">
        <v>0.43099999999999999</v>
      </c>
      <c r="R39" s="645">
        <v>11</v>
      </c>
      <c r="S39" s="645">
        <v>67</v>
      </c>
      <c r="T39" s="643">
        <v>3.3</v>
      </c>
      <c r="U39" s="647">
        <v>10.6</v>
      </c>
      <c r="V39" s="643">
        <v>3.8</v>
      </c>
      <c r="W39" s="648">
        <v>50</v>
      </c>
      <c r="X39" s="649">
        <v>35</v>
      </c>
      <c r="Y39" s="650">
        <v>2025</v>
      </c>
      <c r="Z39" s="651">
        <v>8</v>
      </c>
      <c r="AA39" s="649" t="str">
        <f>+Tabla_query___2026_06_23T082334.128[[#This Row],[AÑO]]&amp;" - "&amp;Tabla_query___2026_06_23T082334.128[[#This Row],[MES]]</f>
        <v>2025 - 8</v>
      </c>
      <c r="AB39" s="6">
        <f t="shared" si="0"/>
        <v>75</v>
      </c>
      <c r="AC39" s="6">
        <f t="shared" si="1"/>
        <v>8000</v>
      </c>
      <c r="AD39" s="6">
        <f t="shared" si="2"/>
        <v>350</v>
      </c>
    </row>
    <row r="40" spans="2:30">
      <c r="B40" s="673">
        <v>45898</v>
      </c>
      <c r="C40" s="642">
        <v>55322</v>
      </c>
      <c r="D40" s="642">
        <v>56343</v>
      </c>
      <c r="E40" s="642">
        <v>13529</v>
      </c>
      <c r="F40" s="642">
        <v>778.91399999999999</v>
      </c>
      <c r="G40" s="642">
        <v>7719</v>
      </c>
      <c r="H40" s="642">
        <v>228656</v>
      </c>
      <c r="I40" s="643">
        <v>4580.5</v>
      </c>
      <c r="J40" s="643">
        <v>8821.7999999999993</v>
      </c>
      <c r="K40" s="643">
        <v>4469.3</v>
      </c>
      <c r="L40" s="644"/>
      <c r="M40" s="644"/>
      <c r="N40" s="645">
        <v>56</v>
      </c>
      <c r="O40" s="645">
        <v>58</v>
      </c>
      <c r="P40" s="645">
        <v>9</v>
      </c>
      <c r="Q40" s="646">
        <v>0</v>
      </c>
      <c r="R40" s="645">
        <v>11</v>
      </c>
      <c r="S40" s="645">
        <v>56</v>
      </c>
      <c r="T40" s="643">
        <v>4</v>
      </c>
      <c r="U40" s="647">
        <v>14.3</v>
      </c>
      <c r="V40" s="643">
        <v>4.9000000000000004</v>
      </c>
      <c r="W40" s="648">
        <v>45</v>
      </c>
      <c r="X40" s="649">
        <v>35</v>
      </c>
      <c r="Y40" s="650">
        <v>2025</v>
      </c>
      <c r="Z40" s="651">
        <v>8</v>
      </c>
      <c r="AA40" s="649" t="str">
        <f>+Tabla_query___2026_06_23T082334.128[[#This Row],[AÑO]]&amp;" - "&amp;Tabla_query___2026_06_23T082334.128[[#This Row],[MES]]</f>
        <v>2025 - 8</v>
      </c>
      <c r="AB40" s="6">
        <f t="shared" si="0"/>
        <v>75</v>
      </c>
      <c r="AC40" s="6">
        <f t="shared" si="1"/>
        <v>8000</v>
      </c>
      <c r="AD40" s="6">
        <f t="shared" si="2"/>
        <v>350</v>
      </c>
    </row>
    <row r="41" spans="2:30">
      <c r="B41" s="673">
        <v>45901</v>
      </c>
      <c r="C41" s="642">
        <v>55367</v>
      </c>
      <c r="D41" s="642">
        <v>56388</v>
      </c>
      <c r="E41" s="642">
        <v>13540</v>
      </c>
      <c r="F41" s="642">
        <v>780.84799999999996</v>
      </c>
      <c r="G41" s="642">
        <v>7726</v>
      </c>
      <c r="H41" s="642">
        <v>228707</v>
      </c>
      <c r="I41" s="643">
        <v>4584.3999999999996</v>
      </c>
      <c r="J41" s="643">
        <v>8844.4</v>
      </c>
      <c r="K41" s="643">
        <v>4474.2</v>
      </c>
      <c r="L41" s="644"/>
      <c r="M41" s="644"/>
      <c r="N41" s="645">
        <v>45</v>
      </c>
      <c r="O41" s="645">
        <v>45</v>
      </c>
      <c r="P41" s="645">
        <v>11</v>
      </c>
      <c r="Q41" s="646">
        <v>1.9339999999999999</v>
      </c>
      <c r="R41" s="645">
        <v>7</v>
      </c>
      <c r="S41" s="645">
        <v>51</v>
      </c>
      <c r="T41" s="643">
        <v>3.9</v>
      </c>
      <c r="U41" s="647">
        <v>22.6</v>
      </c>
      <c r="V41" s="643">
        <v>4.9000000000000004</v>
      </c>
      <c r="W41" s="648">
        <v>40</v>
      </c>
      <c r="X41" s="649">
        <v>36</v>
      </c>
      <c r="Y41" s="650">
        <v>2025</v>
      </c>
      <c r="Z41" s="651">
        <v>9</v>
      </c>
      <c r="AA41" s="649" t="str">
        <f>+Tabla_query___2026_06_23T082334.128[[#This Row],[AÑO]]&amp;" - "&amp;Tabla_query___2026_06_23T082334.128[[#This Row],[MES]]</f>
        <v>2025 - 9</v>
      </c>
      <c r="AB41" s="6">
        <f t="shared" si="0"/>
        <v>75</v>
      </c>
      <c r="AC41" s="6">
        <f t="shared" si="1"/>
        <v>8000</v>
      </c>
      <c r="AD41" s="6">
        <f t="shared" si="2"/>
        <v>350</v>
      </c>
    </row>
    <row r="42" spans="2:30">
      <c r="B42" s="673">
        <v>45902</v>
      </c>
      <c r="C42" s="642">
        <v>55424</v>
      </c>
      <c r="D42" s="642">
        <v>56446</v>
      </c>
      <c r="E42" s="642">
        <v>13558</v>
      </c>
      <c r="F42" s="642">
        <v>787.30899999999997</v>
      </c>
      <c r="G42" s="642">
        <v>7737</v>
      </c>
      <c r="H42" s="642">
        <v>228766</v>
      </c>
      <c r="I42" s="643">
        <v>4588.3</v>
      </c>
      <c r="J42" s="643">
        <v>8857.7999999999993</v>
      </c>
      <c r="K42" s="643">
        <v>4479.2</v>
      </c>
      <c r="L42" s="644"/>
      <c r="M42" s="644"/>
      <c r="N42" s="645">
        <v>57</v>
      </c>
      <c r="O42" s="645">
        <v>58</v>
      </c>
      <c r="P42" s="645">
        <v>18</v>
      </c>
      <c r="Q42" s="646">
        <v>6.4610000000000003</v>
      </c>
      <c r="R42" s="645">
        <v>11</v>
      </c>
      <c r="S42" s="645">
        <v>59</v>
      </c>
      <c r="T42" s="643">
        <v>3.9</v>
      </c>
      <c r="U42" s="647">
        <v>13.4</v>
      </c>
      <c r="V42" s="643">
        <v>5</v>
      </c>
      <c r="W42" s="648">
        <v>40</v>
      </c>
      <c r="X42" s="649">
        <v>36</v>
      </c>
      <c r="Y42" s="650">
        <v>2025</v>
      </c>
      <c r="Z42" s="651">
        <v>9</v>
      </c>
      <c r="AA42" s="649" t="str">
        <f>+Tabla_query___2026_06_23T082334.128[[#This Row],[AÑO]]&amp;" - "&amp;Tabla_query___2026_06_23T082334.128[[#This Row],[MES]]</f>
        <v>2025 - 9</v>
      </c>
      <c r="AB42" s="6">
        <f t="shared" si="0"/>
        <v>75</v>
      </c>
      <c r="AC42" s="6">
        <f t="shared" si="1"/>
        <v>8000</v>
      </c>
      <c r="AD42" s="6">
        <f t="shared" si="2"/>
        <v>350</v>
      </c>
    </row>
    <row r="43" spans="2:30">
      <c r="B43" s="673">
        <v>45903</v>
      </c>
      <c r="C43" s="642">
        <v>55500</v>
      </c>
      <c r="D43" s="642">
        <v>56525</v>
      </c>
      <c r="E43" s="642">
        <v>13566</v>
      </c>
      <c r="F43" s="642">
        <v>787.68499999999995</v>
      </c>
      <c r="G43" s="642">
        <v>7748</v>
      </c>
      <c r="H43" s="642">
        <v>228846</v>
      </c>
      <c r="I43" s="643">
        <v>4592.7</v>
      </c>
      <c r="J43" s="643">
        <v>8873.2000000000007</v>
      </c>
      <c r="K43" s="643">
        <v>4484.8</v>
      </c>
      <c r="L43" s="644"/>
      <c r="M43" s="644"/>
      <c r="N43" s="645">
        <v>76</v>
      </c>
      <c r="O43" s="645">
        <v>79</v>
      </c>
      <c r="P43" s="645">
        <v>8</v>
      </c>
      <c r="Q43" s="646">
        <v>0.376</v>
      </c>
      <c r="R43" s="645">
        <v>11</v>
      </c>
      <c r="S43" s="645">
        <v>80</v>
      </c>
      <c r="T43" s="643">
        <v>4.4000000000000004</v>
      </c>
      <c r="U43" s="647">
        <v>15.4</v>
      </c>
      <c r="V43" s="643">
        <v>5.6</v>
      </c>
      <c r="W43" s="648">
        <v>35</v>
      </c>
      <c r="X43" s="649">
        <v>36</v>
      </c>
      <c r="Y43" s="650">
        <v>2025</v>
      </c>
      <c r="Z43" s="651">
        <v>9</v>
      </c>
      <c r="AA43" s="649" t="str">
        <f>+Tabla_query___2026_06_23T082334.128[[#This Row],[AÑO]]&amp;" - "&amp;Tabla_query___2026_06_23T082334.128[[#This Row],[MES]]</f>
        <v>2025 - 9</v>
      </c>
      <c r="AB43" s="6">
        <f t="shared" si="0"/>
        <v>75</v>
      </c>
      <c r="AC43" s="6">
        <f t="shared" si="1"/>
        <v>8000</v>
      </c>
      <c r="AD43" s="6">
        <f t="shared" si="2"/>
        <v>350</v>
      </c>
    </row>
    <row r="44" spans="2:30">
      <c r="B44" s="673">
        <v>45904</v>
      </c>
      <c r="C44" s="642">
        <v>55547</v>
      </c>
      <c r="D44" s="642">
        <v>56573</v>
      </c>
      <c r="E44" s="642">
        <v>13576</v>
      </c>
      <c r="F44" s="642">
        <v>788.923</v>
      </c>
      <c r="G44" s="642">
        <v>7757</v>
      </c>
      <c r="H44" s="642">
        <v>228895</v>
      </c>
      <c r="I44" s="643">
        <v>4597.3999999999996</v>
      </c>
      <c r="J44" s="643">
        <v>8890</v>
      </c>
      <c r="K44" s="643">
        <v>4490.6000000000004</v>
      </c>
      <c r="L44" s="644"/>
      <c r="M44" s="644"/>
      <c r="N44" s="645">
        <v>47</v>
      </c>
      <c r="O44" s="645">
        <v>48</v>
      </c>
      <c r="P44" s="645">
        <v>10</v>
      </c>
      <c r="Q44" s="646">
        <v>1.238</v>
      </c>
      <c r="R44" s="645">
        <v>9</v>
      </c>
      <c r="S44" s="645">
        <v>49</v>
      </c>
      <c r="T44" s="643">
        <v>4.7</v>
      </c>
      <c r="U44" s="647">
        <v>16.8</v>
      </c>
      <c r="V44" s="643">
        <v>5.8</v>
      </c>
      <c r="W44" s="648">
        <v>79</v>
      </c>
      <c r="X44" s="649">
        <v>36</v>
      </c>
      <c r="Y44" s="650">
        <v>2025</v>
      </c>
      <c r="Z44" s="651">
        <v>9</v>
      </c>
      <c r="AA44" s="649" t="str">
        <f>+Tabla_query___2026_06_23T082334.128[[#This Row],[AÑO]]&amp;" - "&amp;Tabla_query___2026_06_23T082334.128[[#This Row],[MES]]</f>
        <v>2025 - 9</v>
      </c>
      <c r="AB44" s="6">
        <f t="shared" si="0"/>
        <v>75</v>
      </c>
      <c r="AC44" s="6">
        <f t="shared" si="1"/>
        <v>8000</v>
      </c>
      <c r="AD44" s="6">
        <f t="shared" si="2"/>
        <v>350</v>
      </c>
    </row>
    <row r="45" spans="2:30">
      <c r="B45" s="673">
        <v>45905</v>
      </c>
      <c r="C45" s="642">
        <v>55584</v>
      </c>
      <c r="D45" s="642">
        <v>56611</v>
      </c>
      <c r="E45" s="642">
        <v>13586</v>
      </c>
      <c r="F45" s="642">
        <v>788.923</v>
      </c>
      <c r="G45" s="642">
        <v>7761</v>
      </c>
      <c r="H45" s="642">
        <v>228934</v>
      </c>
      <c r="I45" s="643">
        <v>4600.8999999999996</v>
      </c>
      <c r="J45" s="643">
        <v>8906.2000000000007</v>
      </c>
      <c r="K45" s="643">
        <v>4495.8</v>
      </c>
      <c r="L45" s="644"/>
      <c r="M45" s="644"/>
      <c r="N45" s="645">
        <v>37</v>
      </c>
      <c r="O45" s="645">
        <v>38</v>
      </c>
      <c r="P45" s="645">
        <v>10</v>
      </c>
      <c r="Q45" s="646">
        <v>0</v>
      </c>
      <c r="R45" s="645">
        <v>4</v>
      </c>
      <c r="S45" s="645">
        <v>39</v>
      </c>
      <c r="T45" s="643">
        <v>3.5</v>
      </c>
      <c r="U45" s="647">
        <v>16.2</v>
      </c>
      <c r="V45" s="643">
        <v>5.2</v>
      </c>
      <c r="W45" s="648">
        <v>75</v>
      </c>
      <c r="X45" s="649">
        <v>36</v>
      </c>
      <c r="Y45" s="650">
        <v>2025</v>
      </c>
      <c r="Z45" s="651">
        <v>9</v>
      </c>
      <c r="AA45" s="649" t="str">
        <f>+Tabla_query___2026_06_23T082334.128[[#This Row],[AÑO]]&amp;" - "&amp;Tabla_query___2026_06_23T082334.128[[#This Row],[MES]]</f>
        <v>2025 - 9</v>
      </c>
      <c r="AB45" s="6">
        <f t="shared" si="0"/>
        <v>75</v>
      </c>
      <c r="AC45" s="6">
        <f t="shared" si="1"/>
        <v>8000</v>
      </c>
      <c r="AD45" s="6">
        <f t="shared" si="2"/>
        <v>350</v>
      </c>
    </row>
    <row r="46" spans="2:30">
      <c r="B46" s="673">
        <v>45906</v>
      </c>
      <c r="C46" s="642">
        <v>55627</v>
      </c>
      <c r="D46" s="642">
        <v>56656</v>
      </c>
      <c r="E46" s="642">
        <v>13596</v>
      </c>
      <c r="F46" s="642">
        <v>789.31399999999996</v>
      </c>
      <c r="G46" s="642">
        <v>7766</v>
      </c>
      <c r="H46" s="642">
        <v>228981</v>
      </c>
      <c r="I46" s="643">
        <v>4604.3</v>
      </c>
      <c r="J46" s="643">
        <v>8920.1</v>
      </c>
      <c r="K46" s="643">
        <v>4500.7</v>
      </c>
      <c r="L46" s="644"/>
      <c r="M46" s="644"/>
      <c r="N46" s="645">
        <v>80</v>
      </c>
      <c r="O46" s="645">
        <v>83</v>
      </c>
      <c r="P46" s="645">
        <v>20</v>
      </c>
      <c r="Q46" s="646">
        <v>0.39100000000000001</v>
      </c>
      <c r="R46" s="645">
        <v>9</v>
      </c>
      <c r="S46" s="645">
        <v>86</v>
      </c>
      <c r="T46" s="643">
        <v>6.9</v>
      </c>
      <c r="U46" s="647">
        <v>30.1</v>
      </c>
      <c r="V46" s="643">
        <v>10.1</v>
      </c>
      <c r="W46" s="648">
        <v>70</v>
      </c>
      <c r="X46" s="649">
        <v>36</v>
      </c>
      <c r="Y46" s="650">
        <v>2025</v>
      </c>
      <c r="Z46" s="651">
        <v>9</v>
      </c>
      <c r="AA46" s="649" t="str">
        <f>+Tabla_query___2026_06_23T082334.128[[#This Row],[AÑO]]&amp;" - "&amp;Tabla_query___2026_06_23T082334.128[[#This Row],[MES]]</f>
        <v>2025 - 9</v>
      </c>
      <c r="AB46" s="6">
        <f t="shared" si="0"/>
        <v>75</v>
      </c>
      <c r="AC46" s="6">
        <f t="shared" si="1"/>
        <v>8000</v>
      </c>
      <c r="AD46" s="6">
        <f t="shared" si="2"/>
        <v>350</v>
      </c>
    </row>
    <row r="47" spans="2:30">
      <c r="B47" s="673">
        <v>45908</v>
      </c>
      <c r="C47" s="642">
        <v>55687</v>
      </c>
      <c r="D47" s="642">
        <v>56718</v>
      </c>
      <c r="E47" s="642">
        <v>13606</v>
      </c>
      <c r="F47" s="642">
        <v>789.31399999999996</v>
      </c>
      <c r="G47" s="642">
        <v>7768</v>
      </c>
      <c r="H47" s="642">
        <v>229044</v>
      </c>
      <c r="I47" s="643">
        <v>4607.2</v>
      </c>
      <c r="J47" s="643">
        <v>8936.6</v>
      </c>
      <c r="K47" s="643">
        <v>4505.3999999999996</v>
      </c>
      <c r="L47" s="644"/>
      <c r="M47" s="644"/>
      <c r="N47" s="645">
        <v>60</v>
      </c>
      <c r="O47" s="645">
        <v>62</v>
      </c>
      <c r="P47" s="645">
        <v>10</v>
      </c>
      <c r="Q47" s="646">
        <v>0</v>
      </c>
      <c r="R47" s="645">
        <v>2</v>
      </c>
      <c r="S47" s="645">
        <v>63</v>
      </c>
      <c r="T47" s="643">
        <v>2.9</v>
      </c>
      <c r="U47" s="647">
        <v>16.5</v>
      </c>
      <c r="V47" s="643">
        <v>4.7</v>
      </c>
      <c r="W47" s="648">
        <v>69</v>
      </c>
      <c r="X47" s="649">
        <v>37</v>
      </c>
      <c r="Y47" s="650">
        <v>2025</v>
      </c>
      <c r="Z47" s="651">
        <v>9</v>
      </c>
      <c r="AA47" s="649" t="str">
        <f>+Tabla_query___2026_06_23T082334.128[[#This Row],[AÑO]]&amp;" - "&amp;Tabla_query___2026_06_23T082334.128[[#This Row],[MES]]</f>
        <v>2025 - 9</v>
      </c>
      <c r="AB47" s="6">
        <f t="shared" si="0"/>
        <v>75</v>
      </c>
      <c r="AC47" s="6">
        <f t="shared" si="1"/>
        <v>8000</v>
      </c>
      <c r="AD47" s="6">
        <f t="shared" si="2"/>
        <v>350</v>
      </c>
    </row>
    <row r="48" spans="2:30">
      <c r="B48" s="673">
        <v>45909</v>
      </c>
      <c r="C48" s="642">
        <v>55734</v>
      </c>
      <c r="D48" s="642">
        <v>56767</v>
      </c>
      <c r="E48" s="642">
        <v>13616</v>
      </c>
      <c r="F48" s="642">
        <v>790.44299999999998</v>
      </c>
      <c r="G48" s="642">
        <v>7776</v>
      </c>
      <c r="H48" s="642">
        <v>229093</v>
      </c>
      <c r="I48" s="643">
        <v>4610</v>
      </c>
      <c r="J48" s="643">
        <v>8947.2000000000007</v>
      </c>
      <c r="K48" s="643">
        <v>4509.5</v>
      </c>
      <c r="L48" s="644"/>
      <c r="M48" s="644"/>
      <c r="N48" s="645">
        <v>47</v>
      </c>
      <c r="O48" s="645">
        <v>49</v>
      </c>
      <c r="P48" s="645">
        <v>10</v>
      </c>
      <c r="Q48" s="646">
        <v>1.129</v>
      </c>
      <c r="R48" s="645">
        <v>8</v>
      </c>
      <c r="S48" s="645">
        <v>49</v>
      </c>
      <c r="T48" s="643">
        <v>2.8</v>
      </c>
      <c r="U48" s="647">
        <v>10.6</v>
      </c>
      <c r="V48" s="643">
        <v>4.0999999999999996</v>
      </c>
      <c r="W48" s="648">
        <v>66</v>
      </c>
      <c r="X48" s="649">
        <v>37</v>
      </c>
      <c r="Y48" s="650">
        <v>2025</v>
      </c>
      <c r="Z48" s="651">
        <v>9</v>
      </c>
      <c r="AA48" s="649" t="str">
        <f>+Tabla_query___2026_06_23T082334.128[[#This Row],[AÑO]]&amp;" - "&amp;Tabla_query___2026_06_23T082334.128[[#This Row],[MES]]</f>
        <v>2025 - 9</v>
      </c>
      <c r="AB48" s="6">
        <f t="shared" si="0"/>
        <v>75</v>
      </c>
      <c r="AC48" s="6">
        <f t="shared" si="1"/>
        <v>8000</v>
      </c>
      <c r="AD48" s="6">
        <f t="shared" si="2"/>
        <v>350</v>
      </c>
    </row>
    <row r="49" spans="2:30">
      <c r="B49" s="673">
        <v>45910</v>
      </c>
      <c r="C49" s="642">
        <v>55742</v>
      </c>
      <c r="D49" s="642">
        <v>56781</v>
      </c>
      <c r="E49" s="642">
        <v>13627</v>
      </c>
      <c r="F49" s="642">
        <v>790.44299999999998</v>
      </c>
      <c r="G49" s="642">
        <v>7786</v>
      </c>
      <c r="H49" s="642">
        <v>229101</v>
      </c>
      <c r="I49" s="643">
        <v>4613.6000000000004</v>
      </c>
      <c r="J49" s="643">
        <v>8961.7000000000007</v>
      </c>
      <c r="K49" s="643">
        <v>4514.7</v>
      </c>
      <c r="L49" s="644"/>
      <c r="M49" s="644"/>
      <c r="N49" s="645">
        <v>8</v>
      </c>
      <c r="O49" s="645">
        <v>14</v>
      </c>
      <c r="P49" s="645">
        <v>11</v>
      </c>
      <c r="Q49" s="646">
        <v>0</v>
      </c>
      <c r="R49" s="645">
        <v>10</v>
      </c>
      <c r="S49" s="645">
        <v>8</v>
      </c>
      <c r="T49" s="643">
        <v>3.6</v>
      </c>
      <c r="U49" s="647">
        <v>14.5</v>
      </c>
      <c r="V49" s="643">
        <v>5.2</v>
      </c>
      <c r="W49" s="648">
        <v>61</v>
      </c>
      <c r="X49" s="649">
        <v>37</v>
      </c>
      <c r="Y49" s="650">
        <v>2025</v>
      </c>
      <c r="Z49" s="651">
        <v>9</v>
      </c>
      <c r="AA49" s="649" t="str">
        <f>+Tabla_query___2026_06_23T082334.128[[#This Row],[AÑO]]&amp;" - "&amp;Tabla_query___2026_06_23T082334.128[[#This Row],[MES]]</f>
        <v>2025 - 9</v>
      </c>
      <c r="AB49" s="6">
        <f t="shared" si="0"/>
        <v>75</v>
      </c>
      <c r="AC49" s="6">
        <f t="shared" si="1"/>
        <v>8000</v>
      </c>
      <c r="AD49" s="6">
        <f t="shared" si="2"/>
        <v>350</v>
      </c>
    </row>
    <row r="50" spans="2:30">
      <c r="B50" s="673">
        <v>45911</v>
      </c>
      <c r="C50" s="642">
        <v>55807</v>
      </c>
      <c r="D50" s="642">
        <v>56848</v>
      </c>
      <c r="E50" s="642">
        <v>13638</v>
      </c>
      <c r="F50" s="642">
        <v>791.09400000000005</v>
      </c>
      <c r="G50" s="642">
        <v>7798</v>
      </c>
      <c r="H50" s="642">
        <v>229169</v>
      </c>
      <c r="I50" s="643">
        <v>4618</v>
      </c>
      <c r="J50" s="643">
        <v>8977.2999999999993</v>
      </c>
      <c r="K50" s="643">
        <v>4520.5</v>
      </c>
      <c r="L50" s="644"/>
      <c r="M50" s="644"/>
      <c r="N50" s="645">
        <v>65</v>
      </c>
      <c r="O50" s="645">
        <v>67</v>
      </c>
      <c r="P50" s="645">
        <v>11</v>
      </c>
      <c r="Q50" s="646">
        <v>0.65100000000000002</v>
      </c>
      <c r="R50" s="645">
        <v>12</v>
      </c>
      <c r="S50" s="645">
        <v>68</v>
      </c>
      <c r="T50" s="643">
        <v>4.4000000000000004</v>
      </c>
      <c r="U50" s="647">
        <v>15.6</v>
      </c>
      <c r="V50" s="643">
        <v>5.8</v>
      </c>
      <c r="W50" s="648">
        <v>58</v>
      </c>
      <c r="X50" s="649">
        <v>37</v>
      </c>
      <c r="Y50" s="650">
        <v>2025</v>
      </c>
      <c r="Z50" s="651">
        <v>9</v>
      </c>
      <c r="AA50" s="649" t="str">
        <f>+Tabla_query___2026_06_23T082334.128[[#This Row],[AÑO]]&amp;" - "&amp;Tabla_query___2026_06_23T082334.128[[#This Row],[MES]]</f>
        <v>2025 - 9</v>
      </c>
      <c r="AB50" s="6">
        <f t="shared" si="0"/>
        <v>75</v>
      </c>
      <c r="AC50" s="6">
        <f t="shared" si="1"/>
        <v>8000</v>
      </c>
      <c r="AD50" s="6">
        <f t="shared" si="2"/>
        <v>350</v>
      </c>
    </row>
    <row r="51" spans="2:30">
      <c r="B51" s="673">
        <v>45912</v>
      </c>
      <c r="C51" s="642">
        <v>55857</v>
      </c>
      <c r="D51" s="642">
        <v>56900</v>
      </c>
      <c r="E51" s="642">
        <v>13648</v>
      </c>
      <c r="F51" s="642">
        <v>791.09400000000005</v>
      </c>
      <c r="G51" s="642">
        <v>7809</v>
      </c>
      <c r="H51" s="642">
        <v>229221</v>
      </c>
      <c r="I51" s="643">
        <v>4621.7</v>
      </c>
      <c r="J51" s="643">
        <v>8991.4</v>
      </c>
      <c r="K51" s="643">
        <v>4525.8</v>
      </c>
      <c r="L51" s="644"/>
      <c r="M51" s="644"/>
      <c r="N51" s="645">
        <v>50</v>
      </c>
      <c r="O51" s="645">
        <v>52</v>
      </c>
      <c r="P51" s="645">
        <v>10</v>
      </c>
      <c r="Q51" s="646">
        <v>0</v>
      </c>
      <c r="R51" s="645">
        <v>11</v>
      </c>
      <c r="S51" s="645">
        <v>52</v>
      </c>
      <c r="T51" s="643">
        <v>3.7</v>
      </c>
      <c r="U51" s="647">
        <v>14.1</v>
      </c>
      <c r="V51" s="643">
        <v>5.3</v>
      </c>
      <c r="W51" s="648">
        <v>53</v>
      </c>
      <c r="X51" s="649">
        <v>37</v>
      </c>
      <c r="Y51" s="650">
        <v>2025</v>
      </c>
      <c r="Z51" s="651">
        <v>9</v>
      </c>
      <c r="AA51" s="649" t="str">
        <f>+Tabla_query___2026_06_23T082334.128[[#This Row],[AÑO]]&amp;" - "&amp;Tabla_query___2026_06_23T082334.128[[#This Row],[MES]]</f>
        <v>2025 - 9</v>
      </c>
      <c r="AB51" s="6">
        <f t="shared" si="0"/>
        <v>75</v>
      </c>
      <c r="AC51" s="6">
        <f t="shared" si="1"/>
        <v>8000</v>
      </c>
      <c r="AD51" s="6">
        <f t="shared" si="2"/>
        <v>350</v>
      </c>
    </row>
    <row r="52" spans="2:30">
      <c r="B52" s="673">
        <v>45913</v>
      </c>
      <c r="C52" s="642">
        <v>55894</v>
      </c>
      <c r="D52" s="642">
        <v>56938</v>
      </c>
      <c r="E52" s="642">
        <v>13659</v>
      </c>
      <c r="F52" s="642">
        <v>792.18499999999995</v>
      </c>
      <c r="G52" s="642">
        <v>7819</v>
      </c>
      <c r="H52" s="642">
        <v>229261</v>
      </c>
      <c r="I52" s="643">
        <v>4624.8</v>
      </c>
      <c r="J52" s="643">
        <v>9003.9</v>
      </c>
      <c r="K52" s="643">
        <v>4530.5</v>
      </c>
      <c r="L52" s="644"/>
      <c r="M52" s="644"/>
      <c r="N52" s="645">
        <v>37</v>
      </c>
      <c r="O52" s="645">
        <v>38</v>
      </c>
      <c r="P52" s="645">
        <v>11</v>
      </c>
      <c r="Q52" s="646">
        <v>1.091</v>
      </c>
      <c r="R52" s="645">
        <v>10</v>
      </c>
      <c r="S52" s="645">
        <v>40</v>
      </c>
      <c r="T52" s="643">
        <v>3.1</v>
      </c>
      <c r="U52" s="647">
        <v>12.5</v>
      </c>
      <c r="V52" s="643">
        <v>4.7</v>
      </c>
      <c r="W52" s="648">
        <v>50</v>
      </c>
      <c r="X52" s="649">
        <v>37</v>
      </c>
      <c r="Y52" s="650">
        <v>2025</v>
      </c>
      <c r="Z52" s="651">
        <v>9</v>
      </c>
      <c r="AA52" s="649" t="str">
        <f>+Tabla_query___2026_06_23T082334.128[[#This Row],[AÑO]]&amp;" - "&amp;Tabla_query___2026_06_23T082334.128[[#This Row],[MES]]</f>
        <v>2025 - 9</v>
      </c>
      <c r="AB52" s="6">
        <f t="shared" si="0"/>
        <v>75</v>
      </c>
      <c r="AC52" s="6">
        <f t="shared" si="1"/>
        <v>8000</v>
      </c>
      <c r="AD52" s="6">
        <f t="shared" si="2"/>
        <v>350</v>
      </c>
    </row>
    <row r="53" spans="2:30">
      <c r="B53" s="673">
        <v>45915</v>
      </c>
      <c r="C53" s="642">
        <v>55948</v>
      </c>
      <c r="D53" s="642">
        <v>56993</v>
      </c>
      <c r="E53" s="642">
        <v>13669</v>
      </c>
      <c r="F53" s="642">
        <v>792.21100000000001</v>
      </c>
      <c r="G53" s="642">
        <v>7821</v>
      </c>
      <c r="H53" s="642">
        <v>229317</v>
      </c>
      <c r="I53" s="643">
        <v>4627.7</v>
      </c>
      <c r="J53" s="643">
        <v>9020.2999999999993</v>
      </c>
      <c r="K53" s="643">
        <v>4534.8</v>
      </c>
      <c r="L53" s="644"/>
      <c r="M53" s="644"/>
      <c r="N53" s="645">
        <v>54</v>
      </c>
      <c r="O53" s="645">
        <v>55</v>
      </c>
      <c r="P53" s="645">
        <v>10</v>
      </c>
      <c r="Q53" s="646">
        <v>2.5999999999999999E-2</v>
      </c>
      <c r="R53" s="645">
        <v>2</v>
      </c>
      <c r="S53" s="645">
        <v>56</v>
      </c>
      <c r="T53" s="643">
        <v>2.9</v>
      </c>
      <c r="U53" s="647">
        <v>16.399999999999999</v>
      </c>
      <c r="V53" s="643">
        <v>4.3</v>
      </c>
      <c r="W53" s="648">
        <v>45</v>
      </c>
      <c r="X53" s="649">
        <v>38</v>
      </c>
      <c r="Y53" s="650">
        <v>2025</v>
      </c>
      <c r="Z53" s="651">
        <v>9</v>
      </c>
      <c r="AA53" s="649" t="str">
        <f>+Tabla_query___2026_06_23T082334.128[[#This Row],[AÑO]]&amp;" - "&amp;Tabla_query___2026_06_23T082334.128[[#This Row],[MES]]</f>
        <v>2025 - 9</v>
      </c>
      <c r="AB53" s="6">
        <f t="shared" si="0"/>
        <v>75</v>
      </c>
      <c r="AC53" s="6">
        <f t="shared" si="1"/>
        <v>8000</v>
      </c>
      <c r="AD53" s="6">
        <f t="shared" si="2"/>
        <v>350</v>
      </c>
    </row>
    <row r="54" spans="2:30">
      <c r="B54" s="673">
        <v>45916</v>
      </c>
      <c r="C54" s="642">
        <v>56024</v>
      </c>
      <c r="D54" s="642">
        <v>57086</v>
      </c>
      <c r="E54" s="642">
        <v>13683</v>
      </c>
      <c r="F54" s="642">
        <v>796.505</v>
      </c>
      <c r="G54" s="642">
        <v>7833</v>
      </c>
      <c r="H54" s="642">
        <v>229401</v>
      </c>
      <c r="I54" s="643">
        <v>4631.2</v>
      </c>
      <c r="J54" s="643">
        <v>9036.2000000000007</v>
      </c>
      <c r="K54" s="643">
        <v>4539.5</v>
      </c>
      <c r="L54" s="644"/>
      <c r="M54" s="644"/>
      <c r="N54" s="645">
        <v>76</v>
      </c>
      <c r="O54" s="645">
        <v>93</v>
      </c>
      <c r="P54" s="645">
        <v>14</v>
      </c>
      <c r="Q54" s="646">
        <v>4.2939999999999996</v>
      </c>
      <c r="R54" s="645">
        <v>12</v>
      </c>
      <c r="S54" s="645">
        <v>84</v>
      </c>
      <c r="T54" s="643">
        <v>3.5</v>
      </c>
      <c r="U54" s="647">
        <v>15.9</v>
      </c>
      <c r="V54" s="643">
        <v>4.7</v>
      </c>
      <c r="W54" s="648">
        <v>40</v>
      </c>
      <c r="X54" s="649">
        <v>38</v>
      </c>
      <c r="Y54" s="650">
        <v>2025</v>
      </c>
      <c r="Z54" s="651">
        <v>9</v>
      </c>
      <c r="AA54" s="649" t="str">
        <f>+Tabla_query___2026_06_23T082334.128[[#This Row],[AÑO]]&amp;" - "&amp;Tabla_query___2026_06_23T082334.128[[#This Row],[MES]]</f>
        <v>2025 - 9</v>
      </c>
      <c r="AB54" s="6">
        <f t="shared" si="0"/>
        <v>75</v>
      </c>
      <c r="AC54" s="6">
        <f t="shared" si="1"/>
        <v>8000</v>
      </c>
      <c r="AD54" s="6">
        <f t="shared" si="2"/>
        <v>350</v>
      </c>
    </row>
    <row r="55" spans="2:30">
      <c r="B55" s="673">
        <v>45917</v>
      </c>
      <c r="C55" s="642">
        <v>56045</v>
      </c>
      <c r="D55" s="642">
        <v>57113</v>
      </c>
      <c r="E55" s="642">
        <v>13692</v>
      </c>
      <c r="F55" s="642">
        <v>796.62300000000005</v>
      </c>
      <c r="G55" s="642">
        <v>7845</v>
      </c>
      <c r="H55" s="642">
        <v>229429</v>
      </c>
      <c r="I55" s="643">
        <v>4635.3</v>
      </c>
      <c r="J55" s="643">
        <v>9052.7000000000007</v>
      </c>
      <c r="K55" s="643">
        <v>4544.5</v>
      </c>
      <c r="L55" s="644"/>
      <c r="M55" s="644"/>
      <c r="N55" s="645">
        <v>21</v>
      </c>
      <c r="O55" s="645">
        <v>27</v>
      </c>
      <c r="P55" s="645">
        <v>9</v>
      </c>
      <c r="Q55" s="646">
        <v>0.11799999999999999</v>
      </c>
      <c r="R55" s="645">
        <v>12</v>
      </c>
      <c r="S55" s="645">
        <v>28</v>
      </c>
      <c r="T55" s="643">
        <v>4.0999999999999996</v>
      </c>
      <c r="U55" s="647">
        <v>16.5</v>
      </c>
      <c r="V55" s="643">
        <v>5</v>
      </c>
      <c r="W55" s="648">
        <v>40</v>
      </c>
      <c r="X55" s="649">
        <v>38</v>
      </c>
      <c r="Y55" s="650">
        <v>2025</v>
      </c>
      <c r="Z55" s="651">
        <v>9</v>
      </c>
      <c r="AA55" s="649" t="str">
        <f>+Tabla_query___2026_06_23T082334.128[[#This Row],[AÑO]]&amp;" - "&amp;Tabla_query___2026_06_23T082334.128[[#This Row],[MES]]</f>
        <v>2025 - 9</v>
      </c>
      <c r="AB55" s="6">
        <f t="shared" si="0"/>
        <v>75</v>
      </c>
      <c r="AC55" s="6">
        <f t="shared" si="1"/>
        <v>8000</v>
      </c>
      <c r="AD55" s="6">
        <f t="shared" si="2"/>
        <v>350</v>
      </c>
    </row>
    <row r="56" spans="2:30">
      <c r="B56" s="673">
        <v>45918</v>
      </c>
      <c r="C56" s="642">
        <v>56077</v>
      </c>
      <c r="D56" s="642">
        <v>57145</v>
      </c>
      <c r="E56" s="642">
        <v>13703</v>
      </c>
      <c r="F56" s="642">
        <v>797.423</v>
      </c>
      <c r="G56" s="642">
        <v>7856</v>
      </c>
      <c r="H56" s="642">
        <v>229461</v>
      </c>
      <c r="I56" s="643">
        <v>4639.2</v>
      </c>
      <c r="J56" s="643">
        <v>9069.7999999999993</v>
      </c>
      <c r="K56" s="643">
        <v>4549.3999999999996</v>
      </c>
      <c r="L56" s="644"/>
      <c r="M56" s="644"/>
      <c r="N56" s="645">
        <v>32</v>
      </c>
      <c r="O56" s="645">
        <v>32</v>
      </c>
      <c r="P56" s="645">
        <v>11</v>
      </c>
      <c r="Q56" s="646">
        <v>0.8</v>
      </c>
      <c r="R56" s="645">
        <v>11</v>
      </c>
      <c r="S56" s="645">
        <v>32</v>
      </c>
      <c r="T56" s="643">
        <v>3.9</v>
      </c>
      <c r="U56" s="647">
        <v>17.100000000000001</v>
      </c>
      <c r="V56" s="643">
        <v>4.9000000000000004</v>
      </c>
      <c r="W56" s="648">
        <v>35</v>
      </c>
      <c r="X56" s="649">
        <v>38</v>
      </c>
      <c r="Y56" s="650">
        <v>2025</v>
      </c>
      <c r="Z56" s="651">
        <v>9</v>
      </c>
      <c r="AA56" s="649" t="str">
        <f>+Tabla_query___2026_06_23T082334.128[[#This Row],[AÑO]]&amp;" - "&amp;Tabla_query___2026_06_23T082334.128[[#This Row],[MES]]</f>
        <v>2025 - 9</v>
      </c>
      <c r="AB56" s="6">
        <f t="shared" si="0"/>
        <v>75</v>
      </c>
      <c r="AC56" s="6">
        <f t="shared" si="1"/>
        <v>8000</v>
      </c>
      <c r="AD56" s="6">
        <f t="shared" si="2"/>
        <v>350</v>
      </c>
    </row>
    <row r="57" spans="2:30">
      <c r="B57" s="673">
        <v>45919</v>
      </c>
      <c r="C57" s="642">
        <v>56145</v>
      </c>
      <c r="D57" s="642">
        <v>57215</v>
      </c>
      <c r="E57" s="642">
        <v>13713</v>
      </c>
      <c r="F57" s="642">
        <v>797.83799999999997</v>
      </c>
      <c r="G57" s="642">
        <v>7867</v>
      </c>
      <c r="H57" s="642">
        <v>229532</v>
      </c>
      <c r="I57" s="643">
        <v>4643.3</v>
      </c>
      <c r="J57" s="643">
        <v>9084.9</v>
      </c>
      <c r="K57" s="643">
        <v>4554.2</v>
      </c>
      <c r="L57" s="644"/>
      <c r="M57" s="644"/>
      <c r="N57" s="645">
        <v>68</v>
      </c>
      <c r="O57" s="645">
        <v>70</v>
      </c>
      <c r="P57" s="645">
        <v>10</v>
      </c>
      <c r="Q57" s="646">
        <v>0.41499999999999998</v>
      </c>
      <c r="R57" s="645">
        <v>11</v>
      </c>
      <c r="S57" s="645">
        <v>71</v>
      </c>
      <c r="T57" s="643">
        <v>4.0999999999999996</v>
      </c>
      <c r="U57" s="647">
        <v>15.1</v>
      </c>
      <c r="V57" s="643">
        <v>4.8</v>
      </c>
      <c r="W57" s="648">
        <v>30</v>
      </c>
      <c r="X57" s="649">
        <v>38</v>
      </c>
      <c r="Y57" s="650">
        <v>2025</v>
      </c>
      <c r="Z57" s="651">
        <v>9</v>
      </c>
      <c r="AA57" s="649" t="str">
        <f>+Tabla_query___2026_06_23T082334.128[[#This Row],[AÑO]]&amp;" - "&amp;Tabla_query___2026_06_23T082334.128[[#This Row],[MES]]</f>
        <v>2025 - 9</v>
      </c>
      <c r="AB57" s="6">
        <f t="shared" si="0"/>
        <v>75</v>
      </c>
      <c r="AC57" s="6">
        <f t="shared" si="1"/>
        <v>8000</v>
      </c>
      <c r="AD57" s="6">
        <f t="shared" si="2"/>
        <v>350</v>
      </c>
    </row>
    <row r="58" spans="2:30">
      <c r="B58" s="673">
        <v>45920</v>
      </c>
      <c r="C58" s="642">
        <v>56184</v>
      </c>
      <c r="D58" s="642">
        <v>57262</v>
      </c>
      <c r="E58" s="642">
        <v>13722</v>
      </c>
      <c r="F58" s="642">
        <v>798.24300000000005</v>
      </c>
      <c r="G58" s="642">
        <v>7883</v>
      </c>
      <c r="H58" s="642">
        <v>229574</v>
      </c>
      <c r="I58" s="643">
        <v>4647.8</v>
      </c>
      <c r="J58" s="643">
        <v>9101.4</v>
      </c>
      <c r="K58" s="643">
        <v>4559.2</v>
      </c>
      <c r="L58" s="644"/>
      <c r="M58" s="644"/>
      <c r="N58" s="645">
        <v>39</v>
      </c>
      <c r="O58" s="645">
        <v>47</v>
      </c>
      <c r="P58" s="645">
        <v>9</v>
      </c>
      <c r="Q58" s="646">
        <v>0.40500000000000003</v>
      </c>
      <c r="R58" s="645">
        <v>16</v>
      </c>
      <c r="S58" s="645">
        <v>42</v>
      </c>
      <c r="T58" s="643">
        <v>4.5</v>
      </c>
      <c r="U58" s="647">
        <v>16.5</v>
      </c>
      <c r="V58" s="643">
        <v>5</v>
      </c>
      <c r="W58" s="648">
        <v>29</v>
      </c>
      <c r="X58" s="649">
        <v>38</v>
      </c>
      <c r="Y58" s="650">
        <v>2025</v>
      </c>
      <c r="Z58" s="651">
        <v>9</v>
      </c>
      <c r="AA58" s="649" t="str">
        <f>+Tabla_query___2026_06_23T082334.128[[#This Row],[AÑO]]&amp;" - "&amp;Tabla_query___2026_06_23T082334.128[[#This Row],[MES]]</f>
        <v>2025 - 9</v>
      </c>
      <c r="AB58" s="6">
        <f t="shared" si="0"/>
        <v>75</v>
      </c>
      <c r="AC58" s="6">
        <f t="shared" si="1"/>
        <v>8000</v>
      </c>
      <c r="AD58" s="6">
        <f t="shared" si="2"/>
        <v>350</v>
      </c>
    </row>
    <row r="59" spans="2:30">
      <c r="B59" s="673">
        <v>45922</v>
      </c>
      <c r="C59" s="642">
        <v>56246</v>
      </c>
      <c r="D59" s="642">
        <v>57325</v>
      </c>
      <c r="E59" s="642">
        <v>13733</v>
      </c>
      <c r="F59" s="642">
        <v>798.70699999999999</v>
      </c>
      <c r="G59" s="642">
        <v>7889</v>
      </c>
      <c r="H59" s="642">
        <v>229637</v>
      </c>
      <c r="I59" s="643">
        <v>4650.2</v>
      </c>
      <c r="J59" s="643">
        <v>9116.9</v>
      </c>
      <c r="K59" s="643">
        <v>4562</v>
      </c>
      <c r="L59" s="644"/>
      <c r="M59" s="644"/>
      <c r="N59" s="645">
        <v>62</v>
      </c>
      <c r="O59" s="645">
        <v>63</v>
      </c>
      <c r="P59" s="645">
        <v>11</v>
      </c>
      <c r="Q59" s="646">
        <v>0.46400000000000002</v>
      </c>
      <c r="R59" s="645">
        <v>6</v>
      </c>
      <c r="S59" s="645">
        <v>63</v>
      </c>
      <c r="T59" s="643">
        <v>2.4</v>
      </c>
      <c r="U59" s="647">
        <v>15.5</v>
      </c>
      <c r="V59" s="643">
        <v>2.8</v>
      </c>
      <c r="W59" s="648">
        <v>77</v>
      </c>
      <c r="X59" s="649">
        <v>39</v>
      </c>
      <c r="Y59" s="650">
        <v>2025</v>
      </c>
      <c r="Z59" s="651">
        <v>9</v>
      </c>
      <c r="AA59" s="649" t="str">
        <f>+Tabla_query___2026_06_23T082334.128[[#This Row],[AÑO]]&amp;" - "&amp;Tabla_query___2026_06_23T082334.128[[#This Row],[MES]]</f>
        <v>2025 - 9</v>
      </c>
      <c r="AB59" s="6">
        <f t="shared" si="0"/>
        <v>75</v>
      </c>
      <c r="AC59" s="6">
        <f t="shared" si="1"/>
        <v>8000</v>
      </c>
      <c r="AD59" s="6">
        <f t="shared" si="2"/>
        <v>350</v>
      </c>
    </row>
    <row r="60" spans="2:30">
      <c r="B60" s="673">
        <v>45923</v>
      </c>
      <c r="C60" s="642">
        <v>56276</v>
      </c>
      <c r="D60" s="642">
        <v>57368</v>
      </c>
      <c r="E60" s="642">
        <v>13742</v>
      </c>
      <c r="F60" s="642">
        <v>798.88</v>
      </c>
      <c r="G60" s="642">
        <v>7900</v>
      </c>
      <c r="H60" s="642">
        <v>229677</v>
      </c>
      <c r="I60" s="643">
        <v>4652.8</v>
      </c>
      <c r="J60" s="643">
        <v>9128.2000000000007</v>
      </c>
      <c r="K60" s="643">
        <v>4565</v>
      </c>
      <c r="L60" s="644"/>
      <c r="M60" s="644"/>
      <c r="N60" s="645">
        <v>30</v>
      </c>
      <c r="O60" s="645">
        <v>43</v>
      </c>
      <c r="P60" s="645">
        <v>9</v>
      </c>
      <c r="Q60" s="646">
        <v>0.17299999999999999</v>
      </c>
      <c r="R60" s="645">
        <v>11</v>
      </c>
      <c r="S60" s="645">
        <v>40</v>
      </c>
      <c r="T60" s="643">
        <v>2.6</v>
      </c>
      <c r="U60" s="647">
        <v>11.3</v>
      </c>
      <c r="V60" s="643">
        <v>3</v>
      </c>
      <c r="W60" s="648">
        <v>73</v>
      </c>
      <c r="X60" s="649">
        <v>39</v>
      </c>
      <c r="Y60" s="650">
        <v>2025</v>
      </c>
      <c r="Z60" s="651">
        <v>9</v>
      </c>
      <c r="AA60" s="649" t="str">
        <f>+Tabla_query___2026_06_23T082334.128[[#This Row],[AÑO]]&amp;" - "&amp;Tabla_query___2026_06_23T082334.128[[#This Row],[MES]]</f>
        <v>2025 - 9</v>
      </c>
      <c r="AB60" s="6">
        <f t="shared" si="0"/>
        <v>75</v>
      </c>
      <c r="AC60" s="6">
        <f t="shared" si="1"/>
        <v>8000</v>
      </c>
      <c r="AD60" s="6">
        <f t="shared" si="2"/>
        <v>350</v>
      </c>
    </row>
    <row r="61" spans="2:30">
      <c r="B61" s="673">
        <v>45924</v>
      </c>
      <c r="C61" s="642">
        <v>56337</v>
      </c>
      <c r="D61" s="642">
        <v>57431</v>
      </c>
      <c r="E61" s="642">
        <v>13752</v>
      </c>
      <c r="F61" s="642">
        <v>799.4</v>
      </c>
      <c r="G61" s="642">
        <v>7915</v>
      </c>
      <c r="H61" s="642">
        <v>229736</v>
      </c>
      <c r="I61" s="643">
        <v>4657.3999999999996</v>
      </c>
      <c r="J61" s="643">
        <v>9143.4</v>
      </c>
      <c r="K61" s="643">
        <v>4569.6000000000004</v>
      </c>
      <c r="L61" s="644"/>
      <c r="M61" s="644"/>
      <c r="N61" s="645">
        <v>61</v>
      </c>
      <c r="O61" s="645">
        <v>63</v>
      </c>
      <c r="P61" s="645">
        <v>10</v>
      </c>
      <c r="Q61" s="646">
        <v>0.52</v>
      </c>
      <c r="R61" s="645">
        <v>15</v>
      </c>
      <c r="S61" s="645">
        <v>59</v>
      </c>
      <c r="T61" s="643">
        <v>4.5999999999999996</v>
      </c>
      <c r="U61" s="647">
        <v>15.2</v>
      </c>
      <c r="V61" s="643">
        <v>4.5999999999999996</v>
      </c>
      <c r="W61" s="648">
        <v>71</v>
      </c>
      <c r="X61" s="649">
        <v>39</v>
      </c>
      <c r="Y61" s="650">
        <v>2025</v>
      </c>
      <c r="Z61" s="651">
        <v>9</v>
      </c>
      <c r="AA61" s="649" t="str">
        <f>+Tabla_query___2026_06_23T082334.128[[#This Row],[AÑO]]&amp;" - "&amp;Tabla_query___2026_06_23T082334.128[[#This Row],[MES]]</f>
        <v>2025 - 9</v>
      </c>
      <c r="AB61" s="6">
        <f t="shared" si="0"/>
        <v>75</v>
      </c>
      <c r="AC61" s="6">
        <f t="shared" si="1"/>
        <v>8000</v>
      </c>
      <c r="AD61" s="6">
        <f t="shared" si="2"/>
        <v>350</v>
      </c>
    </row>
    <row r="62" spans="2:30">
      <c r="B62" s="673">
        <v>45925</v>
      </c>
      <c r="C62" s="642">
        <v>56395</v>
      </c>
      <c r="D62" s="642">
        <v>57490</v>
      </c>
      <c r="E62" s="642">
        <v>13761</v>
      </c>
      <c r="F62" s="642">
        <v>799.59500000000003</v>
      </c>
      <c r="G62" s="642">
        <v>7927</v>
      </c>
      <c r="H62" s="642">
        <v>229795</v>
      </c>
      <c r="I62" s="643">
        <v>4661</v>
      </c>
      <c r="J62" s="643">
        <v>9156.9</v>
      </c>
      <c r="K62" s="643">
        <v>4573.7</v>
      </c>
      <c r="L62" s="644"/>
      <c r="M62" s="644"/>
      <c r="N62" s="645">
        <v>58</v>
      </c>
      <c r="O62" s="645">
        <v>59</v>
      </c>
      <c r="P62" s="645">
        <v>9</v>
      </c>
      <c r="Q62" s="646">
        <v>0.19500000000000001</v>
      </c>
      <c r="R62" s="645">
        <v>12</v>
      </c>
      <c r="S62" s="645">
        <v>59</v>
      </c>
      <c r="T62" s="643">
        <v>3.6</v>
      </c>
      <c r="U62" s="647">
        <v>13.5</v>
      </c>
      <c r="V62" s="643">
        <v>4.0999999999999996</v>
      </c>
      <c r="W62" s="648">
        <v>66</v>
      </c>
      <c r="X62" s="649">
        <v>39</v>
      </c>
      <c r="Y62" s="650">
        <v>2025</v>
      </c>
      <c r="Z62" s="651">
        <v>9</v>
      </c>
      <c r="AA62" s="649" t="str">
        <f>+Tabla_query___2026_06_23T082334.128[[#This Row],[AÑO]]&amp;" - "&amp;Tabla_query___2026_06_23T082334.128[[#This Row],[MES]]</f>
        <v>2025 - 9</v>
      </c>
      <c r="AB62" s="6">
        <f t="shared" si="0"/>
        <v>75</v>
      </c>
      <c r="AC62" s="6">
        <f t="shared" si="1"/>
        <v>8000</v>
      </c>
      <c r="AD62" s="6">
        <f t="shared" si="2"/>
        <v>350</v>
      </c>
    </row>
    <row r="63" spans="2:30">
      <c r="B63" s="673">
        <v>45926</v>
      </c>
      <c r="C63" s="642">
        <v>56459</v>
      </c>
      <c r="D63" s="642">
        <v>57556</v>
      </c>
      <c r="E63" s="642">
        <v>13770</v>
      </c>
      <c r="F63" s="642">
        <v>799.90099999999995</v>
      </c>
      <c r="G63" s="642">
        <v>7938</v>
      </c>
      <c r="H63" s="642">
        <v>229862</v>
      </c>
      <c r="I63" s="643">
        <v>4664.5</v>
      </c>
      <c r="J63" s="643">
        <v>9171.5</v>
      </c>
      <c r="K63" s="643">
        <v>4577.6000000000004</v>
      </c>
      <c r="L63" s="644"/>
      <c r="M63" s="644"/>
      <c r="N63" s="645">
        <v>64</v>
      </c>
      <c r="O63" s="645">
        <v>66</v>
      </c>
      <c r="P63" s="645">
        <v>9</v>
      </c>
      <c r="Q63" s="646">
        <v>0.30599999999999999</v>
      </c>
      <c r="R63" s="645">
        <v>11</v>
      </c>
      <c r="S63" s="645">
        <v>67</v>
      </c>
      <c r="T63" s="643">
        <v>3.5</v>
      </c>
      <c r="U63" s="647">
        <v>14.6</v>
      </c>
      <c r="V63" s="643">
        <v>3.9</v>
      </c>
      <c r="W63" s="648">
        <v>62</v>
      </c>
      <c r="X63" s="649">
        <v>39</v>
      </c>
      <c r="Y63" s="650">
        <v>2025</v>
      </c>
      <c r="Z63" s="651">
        <v>9</v>
      </c>
      <c r="AA63" s="649" t="str">
        <f>+Tabla_query___2026_06_23T082334.128[[#This Row],[AÑO]]&amp;" - "&amp;Tabla_query___2026_06_23T082334.128[[#This Row],[MES]]</f>
        <v>2025 - 9</v>
      </c>
      <c r="AB63" s="6">
        <f t="shared" si="0"/>
        <v>75</v>
      </c>
      <c r="AC63" s="6">
        <f t="shared" si="1"/>
        <v>8000</v>
      </c>
      <c r="AD63" s="6">
        <f t="shared" si="2"/>
        <v>350</v>
      </c>
    </row>
    <row r="64" spans="2:30">
      <c r="B64" s="673">
        <v>45927</v>
      </c>
      <c r="C64" s="642">
        <v>56514</v>
      </c>
      <c r="D64" s="642">
        <v>57613</v>
      </c>
      <c r="E64" s="642">
        <v>13779</v>
      </c>
      <c r="F64" s="642">
        <v>800.07799999999997</v>
      </c>
      <c r="G64" s="642">
        <v>7948</v>
      </c>
      <c r="H64" s="642">
        <v>229919</v>
      </c>
      <c r="I64" s="643">
        <v>4668.3999999999996</v>
      </c>
      <c r="J64" s="643">
        <v>9186.7999999999993</v>
      </c>
      <c r="K64" s="643">
        <v>4581.7</v>
      </c>
      <c r="L64" s="644"/>
      <c r="M64" s="644"/>
      <c r="N64" s="645">
        <v>55</v>
      </c>
      <c r="O64" s="645">
        <v>57</v>
      </c>
      <c r="P64" s="645">
        <v>9</v>
      </c>
      <c r="Q64" s="646">
        <v>0.17699999999999999</v>
      </c>
      <c r="R64" s="645">
        <v>10</v>
      </c>
      <c r="S64" s="645">
        <v>57</v>
      </c>
      <c r="T64" s="643">
        <v>3.9</v>
      </c>
      <c r="U64" s="647">
        <v>15.3</v>
      </c>
      <c r="V64" s="643">
        <v>4.0999999999999996</v>
      </c>
      <c r="W64" s="648">
        <v>60</v>
      </c>
      <c r="X64" s="649">
        <v>39</v>
      </c>
      <c r="Y64" s="650">
        <v>2025</v>
      </c>
      <c r="Z64" s="651">
        <v>9</v>
      </c>
      <c r="AA64" s="649" t="str">
        <f>+Tabla_query___2026_06_23T082334.128[[#This Row],[AÑO]]&amp;" - "&amp;Tabla_query___2026_06_23T082334.128[[#This Row],[MES]]</f>
        <v>2025 - 9</v>
      </c>
      <c r="AB64" s="6">
        <f t="shared" si="0"/>
        <v>75</v>
      </c>
      <c r="AC64" s="6">
        <f t="shared" si="1"/>
        <v>8000</v>
      </c>
      <c r="AD64" s="6">
        <f t="shared" si="2"/>
        <v>350</v>
      </c>
    </row>
    <row r="65" spans="2:30">
      <c r="B65" s="673">
        <v>45929</v>
      </c>
      <c r="C65" s="642">
        <v>56584</v>
      </c>
      <c r="D65" s="642">
        <v>57680</v>
      </c>
      <c r="E65" s="642">
        <v>13791</v>
      </c>
      <c r="F65" s="642">
        <v>802.07299999999998</v>
      </c>
      <c r="G65" s="642">
        <v>7953</v>
      </c>
      <c r="H65" s="642">
        <v>229990</v>
      </c>
      <c r="I65" s="643">
        <v>4672.1000000000004</v>
      </c>
      <c r="J65" s="643">
        <v>9202.4</v>
      </c>
      <c r="K65" s="643">
        <v>4585.3999999999996</v>
      </c>
      <c r="L65" s="644"/>
      <c r="M65" s="644"/>
      <c r="N65" s="645">
        <v>70</v>
      </c>
      <c r="O65" s="645">
        <v>67</v>
      </c>
      <c r="P65" s="645">
        <v>12</v>
      </c>
      <c r="Q65" s="646">
        <v>1.9950000000000001</v>
      </c>
      <c r="R65" s="645">
        <v>5</v>
      </c>
      <c r="S65" s="645">
        <v>71</v>
      </c>
      <c r="T65" s="643">
        <v>3.7</v>
      </c>
      <c r="U65" s="647">
        <v>15.6</v>
      </c>
      <c r="V65" s="643">
        <v>3.7</v>
      </c>
      <c r="W65" s="648">
        <v>60</v>
      </c>
      <c r="X65" s="649">
        <v>40</v>
      </c>
      <c r="Y65" s="650">
        <v>2025</v>
      </c>
      <c r="Z65" s="651">
        <v>9</v>
      </c>
      <c r="AA65" s="649" t="str">
        <f>+Tabla_query___2026_06_23T082334.128[[#This Row],[AÑO]]&amp;" - "&amp;Tabla_query___2026_06_23T082334.128[[#This Row],[MES]]</f>
        <v>2025 - 9</v>
      </c>
      <c r="AB65" s="6">
        <f t="shared" si="0"/>
        <v>75</v>
      </c>
      <c r="AC65" s="6">
        <f t="shared" si="1"/>
        <v>8000</v>
      </c>
      <c r="AD65" s="6">
        <f t="shared" si="2"/>
        <v>350</v>
      </c>
    </row>
    <row r="66" spans="2:30">
      <c r="B66" s="673">
        <v>45930</v>
      </c>
      <c r="C66" s="642">
        <v>56637</v>
      </c>
      <c r="D66" s="642">
        <v>57736</v>
      </c>
      <c r="E66" s="642">
        <v>13803</v>
      </c>
      <c r="F66" s="642">
        <v>802.11699999999996</v>
      </c>
      <c r="G66" s="642">
        <v>7963</v>
      </c>
      <c r="H66" s="642">
        <v>230046</v>
      </c>
      <c r="I66" s="643">
        <v>4674.8999999999996</v>
      </c>
      <c r="J66" s="643">
        <v>9215.1</v>
      </c>
      <c r="K66" s="643">
        <v>4588.7</v>
      </c>
      <c r="L66" s="644"/>
      <c r="M66" s="644"/>
      <c r="N66" s="645">
        <v>53</v>
      </c>
      <c r="O66" s="645">
        <v>56</v>
      </c>
      <c r="P66" s="645">
        <v>12</v>
      </c>
      <c r="Q66" s="646">
        <v>4.3999999999999997E-2</v>
      </c>
      <c r="R66" s="645">
        <v>10</v>
      </c>
      <c r="S66" s="645">
        <v>56</v>
      </c>
      <c r="T66" s="643">
        <v>2.8</v>
      </c>
      <c r="U66" s="647">
        <v>12.7</v>
      </c>
      <c r="V66" s="643">
        <v>3.3</v>
      </c>
      <c r="W66" s="648">
        <v>55</v>
      </c>
      <c r="X66" s="649">
        <v>40</v>
      </c>
      <c r="Y66" s="650">
        <v>2025</v>
      </c>
      <c r="Z66" s="651">
        <v>9</v>
      </c>
      <c r="AA66" s="649" t="str">
        <f>+Tabla_query___2026_06_23T082334.128[[#This Row],[AÑO]]&amp;" - "&amp;Tabla_query___2026_06_23T082334.128[[#This Row],[MES]]</f>
        <v>2025 - 9</v>
      </c>
      <c r="AB66" s="6">
        <f t="shared" si="0"/>
        <v>75</v>
      </c>
      <c r="AC66" s="6">
        <f t="shared" si="1"/>
        <v>8000</v>
      </c>
      <c r="AD66" s="6">
        <f t="shared" si="2"/>
        <v>350</v>
      </c>
    </row>
    <row r="67" spans="2:30">
      <c r="B67" s="673">
        <v>45931</v>
      </c>
      <c r="C67" s="642">
        <v>56698</v>
      </c>
      <c r="D67" s="642">
        <v>57798</v>
      </c>
      <c r="E67" s="642">
        <v>13813</v>
      </c>
      <c r="F67" s="642">
        <v>802.11699999999996</v>
      </c>
      <c r="G67" s="642">
        <v>7975</v>
      </c>
      <c r="H67" s="642">
        <v>230109</v>
      </c>
      <c r="I67" s="643">
        <v>4678.3</v>
      </c>
      <c r="J67" s="643">
        <v>9230.1</v>
      </c>
      <c r="K67" s="643">
        <v>4592.8999999999996</v>
      </c>
      <c r="L67" s="644"/>
      <c r="M67" s="644"/>
      <c r="N67" s="645">
        <v>61</v>
      </c>
      <c r="O67" s="645">
        <v>62</v>
      </c>
      <c r="P67" s="645">
        <v>10</v>
      </c>
      <c r="Q67" s="646">
        <v>0</v>
      </c>
      <c r="R67" s="645">
        <v>12</v>
      </c>
      <c r="S67" s="645">
        <v>63</v>
      </c>
      <c r="T67" s="643">
        <v>3.4</v>
      </c>
      <c r="U67" s="647">
        <v>15</v>
      </c>
      <c r="V67" s="643">
        <v>4.2</v>
      </c>
      <c r="W67" s="648">
        <v>50</v>
      </c>
      <c r="X67" s="649">
        <v>40</v>
      </c>
      <c r="Y67" s="650">
        <v>2025</v>
      </c>
      <c r="Z67" s="651">
        <v>10</v>
      </c>
      <c r="AA67" s="649" t="str">
        <f>+Tabla_query___2026_06_23T082334.128[[#This Row],[AÑO]]&amp;" - "&amp;Tabla_query___2026_06_23T082334.128[[#This Row],[MES]]</f>
        <v>2025 - 10</v>
      </c>
      <c r="AB67" s="6">
        <f t="shared" ref="AB67:AB130" si="3">+$AB$1</f>
        <v>75</v>
      </c>
      <c r="AC67" s="6">
        <f t="shared" ref="AC67:AC130" si="4">+$AC$1</f>
        <v>8000</v>
      </c>
      <c r="AD67" s="6">
        <f t="shared" ref="AD67:AD130" si="5">+$AD$1</f>
        <v>350</v>
      </c>
    </row>
    <row r="68" spans="2:30">
      <c r="B68" s="673">
        <v>45932</v>
      </c>
      <c r="C68" s="642">
        <v>56762</v>
      </c>
      <c r="D68" s="642">
        <v>57863</v>
      </c>
      <c r="E68" s="642">
        <v>13825</v>
      </c>
      <c r="F68" s="642">
        <v>804.61900000000003</v>
      </c>
      <c r="G68" s="642">
        <v>7988</v>
      </c>
      <c r="H68" s="642">
        <v>230174</v>
      </c>
      <c r="I68" s="643">
        <v>4682.3</v>
      </c>
      <c r="J68" s="643">
        <v>9245.7999999999993</v>
      </c>
      <c r="K68" s="643">
        <v>4597.6000000000004</v>
      </c>
      <c r="L68" s="644"/>
      <c r="M68" s="644"/>
      <c r="N68" s="645">
        <v>64</v>
      </c>
      <c r="O68" s="645">
        <v>65</v>
      </c>
      <c r="P68" s="645">
        <v>12</v>
      </c>
      <c r="Q68" s="646">
        <v>2.5019999999999998</v>
      </c>
      <c r="R68" s="645">
        <v>13</v>
      </c>
      <c r="S68" s="645">
        <v>65</v>
      </c>
      <c r="T68" s="643">
        <v>4</v>
      </c>
      <c r="U68" s="647">
        <v>15.7</v>
      </c>
      <c r="V68" s="643">
        <v>4.7</v>
      </c>
      <c r="W68" s="648">
        <v>50</v>
      </c>
      <c r="X68" s="649">
        <v>40</v>
      </c>
      <c r="Y68" s="650">
        <v>2025</v>
      </c>
      <c r="Z68" s="651">
        <v>10</v>
      </c>
      <c r="AA68" s="649" t="str">
        <f>+Tabla_query___2026_06_23T082334.128[[#This Row],[AÑO]]&amp;" - "&amp;Tabla_query___2026_06_23T082334.128[[#This Row],[MES]]</f>
        <v>2025 - 10</v>
      </c>
      <c r="AB68" s="6">
        <f t="shared" si="3"/>
        <v>75</v>
      </c>
      <c r="AC68" s="6">
        <f t="shared" si="4"/>
        <v>8000</v>
      </c>
      <c r="AD68" s="6">
        <f t="shared" si="5"/>
        <v>350</v>
      </c>
    </row>
    <row r="69" spans="2:30">
      <c r="B69" s="673">
        <v>45933</v>
      </c>
      <c r="C69" s="642">
        <v>56817</v>
      </c>
      <c r="D69" s="642">
        <v>57920</v>
      </c>
      <c r="E69" s="642">
        <v>13836</v>
      </c>
      <c r="F69" s="642">
        <v>806.61</v>
      </c>
      <c r="G69" s="642">
        <v>8000</v>
      </c>
      <c r="H69" s="642">
        <v>230231</v>
      </c>
      <c r="I69" s="643">
        <v>4686.3999999999996</v>
      </c>
      <c r="J69" s="643">
        <v>9264.4</v>
      </c>
      <c r="K69" s="643">
        <v>4602.8999999999996</v>
      </c>
      <c r="L69" s="644"/>
      <c r="M69" s="644"/>
      <c r="N69" s="645">
        <v>55</v>
      </c>
      <c r="O69" s="645">
        <v>57</v>
      </c>
      <c r="P69" s="645">
        <v>11</v>
      </c>
      <c r="Q69" s="646">
        <v>1.9910000000000001</v>
      </c>
      <c r="R69" s="645">
        <v>12</v>
      </c>
      <c r="S69" s="645">
        <v>57</v>
      </c>
      <c r="T69" s="643">
        <v>4.0999999999999996</v>
      </c>
      <c r="U69" s="647">
        <v>18.600000000000001</v>
      </c>
      <c r="V69" s="643">
        <v>5.3</v>
      </c>
      <c r="W69" s="648">
        <v>45</v>
      </c>
      <c r="X69" s="649">
        <v>40</v>
      </c>
      <c r="Y69" s="650">
        <v>2025</v>
      </c>
      <c r="Z69" s="651">
        <v>10</v>
      </c>
      <c r="AA69" s="649" t="str">
        <f>+Tabla_query___2026_06_23T082334.128[[#This Row],[AÑO]]&amp;" - "&amp;Tabla_query___2026_06_23T082334.128[[#This Row],[MES]]</f>
        <v>2025 - 10</v>
      </c>
      <c r="AB69" s="6">
        <f t="shared" si="3"/>
        <v>75</v>
      </c>
      <c r="AC69" s="6">
        <f t="shared" si="4"/>
        <v>8000</v>
      </c>
      <c r="AD69" s="6">
        <f t="shared" si="5"/>
        <v>350</v>
      </c>
    </row>
    <row r="70" spans="2:30">
      <c r="B70" s="673">
        <v>45934</v>
      </c>
      <c r="C70" s="642">
        <v>56872</v>
      </c>
      <c r="D70" s="642">
        <v>57977</v>
      </c>
      <c r="E70" s="642">
        <v>13846</v>
      </c>
      <c r="F70" s="642">
        <v>806.64499999999998</v>
      </c>
      <c r="G70" s="642">
        <v>8013</v>
      </c>
      <c r="H70" s="642">
        <v>230288</v>
      </c>
      <c r="I70" s="643">
        <v>4690.7</v>
      </c>
      <c r="J70" s="643">
        <v>9279.7000000000007</v>
      </c>
      <c r="K70" s="643">
        <v>4608.3999999999996</v>
      </c>
      <c r="L70" s="644"/>
      <c r="M70" s="644"/>
      <c r="N70" s="645">
        <v>55</v>
      </c>
      <c r="O70" s="645">
        <v>57</v>
      </c>
      <c r="P70" s="645">
        <v>10</v>
      </c>
      <c r="Q70" s="646">
        <v>3.5000000000000003E-2</v>
      </c>
      <c r="R70" s="645">
        <v>13</v>
      </c>
      <c r="S70" s="645">
        <v>57</v>
      </c>
      <c r="T70" s="643">
        <v>4.3</v>
      </c>
      <c r="U70" s="647">
        <v>15.3</v>
      </c>
      <c r="V70" s="643">
        <v>5.5</v>
      </c>
      <c r="W70" s="648">
        <v>40</v>
      </c>
      <c r="X70" s="649">
        <v>40</v>
      </c>
      <c r="Y70" s="650">
        <v>2025</v>
      </c>
      <c r="Z70" s="651">
        <v>10</v>
      </c>
      <c r="AA70" s="649" t="str">
        <f>+Tabla_query___2026_06_23T082334.128[[#This Row],[AÑO]]&amp;" - "&amp;Tabla_query___2026_06_23T082334.128[[#This Row],[MES]]</f>
        <v>2025 - 10</v>
      </c>
      <c r="AB70" s="6">
        <f t="shared" si="3"/>
        <v>75</v>
      </c>
      <c r="AC70" s="6">
        <f t="shared" si="4"/>
        <v>8000</v>
      </c>
      <c r="AD70" s="6">
        <f t="shared" si="5"/>
        <v>350</v>
      </c>
    </row>
    <row r="71" spans="2:30">
      <c r="B71" s="673">
        <v>45936</v>
      </c>
      <c r="C71" s="642">
        <v>56945</v>
      </c>
      <c r="D71" s="642">
        <v>58052</v>
      </c>
      <c r="E71" s="642">
        <v>13856</v>
      </c>
      <c r="F71" s="642">
        <v>807.09699999999998</v>
      </c>
      <c r="G71" s="642">
        <v>8018</v>
      </c>
      <c r="H71" s="642">
        <v>230363</v>
      </c>
      <c r="I71" s="643">
        <v>4694.6000000000004</v>
      </c>
      <c r="J71" s="643">
        <v>9296.5</v>
      </c>
      <c r="K71" s="643">
        <v>4613.6000000000004</v>
      </c>
      <c r="L71" s="644"/>
      <c r="M71" s="644"/>
      <c r="N71" s="645">
        <v>73</v>
      </c>
      <c r="O71" s="645">
        <v>75</v>
      </c>
      <c r="P71" s="645">
        <v>10</v>
      </c>
      <c r="Q71" s="646">
        <v>0.45200000000000001</v>
      </c>
      <c r="R71" s="645">
        <v>5</v>
      </c>
      <c r="S71" s="645">
        <v>75</v>
      </c>
      <c r="T71" s="643">
        <v>3.9</v>
      </c>
      <c r="U71" s="647">
        <v>16.8</v>
      </c>
      <c r="V71" s="643">
        <v>5.2</v>
      </c>
      <c r="W71" s="648">
        <v>39</v>
      </c>
      <c r="X71" s="649">
        <v>41</v>
      </c>
      <c r="Y71" s="650">
        <v>2025</v>
      </c>
      <c r="Z71" s="651">
        <v>10</v>
      </c>
      <c r="AA71" s="649" t="str">
        <f>+Tabla_query___2026_06_23T082334.128[[#This Row],[AÑO]]&amp;" - "&amp;Tabla_query___2026_06_23T082334.128[[#This Row],[MES]]</f>
        <v>2025 - 10</v>
      </c>
      <c r="AB71" s="6">
        <f t="shared" si="3"/>
        <v>75</v>
      </c>
      <c r="AC71" s="6">
        <f t="shared" si="4"/>
        <v>8000</v>
      </c>
      <c r="AD71" s="6">
        <f t="shared" si="5"/>
        <v>350</v>
      </c>
    </row>
    <row r="72" spans="2:30">
      <c r="B72" s="673">
        <v>45937</v>
      </c>
      <c r="C72" s="642">
        <v>57004</v>
      </c>
      <c r="D72" s="642">
        <v>58113</v>
      </c>
      <c r="E72" s="642">
        <v>13866</v>
      </c>
      <c r="F72" s="642">
        <v>807.80700000000002</v>
      </c>
      <c r="G72" s="642">
        <v>8031</v>
      </c>
      <c r="H72" s="642">
        <v>230425</v>
      </c>
      <c r="I72" s="643">
        <v>4698.5</v>
      </c>
      <c r="J72" s="643">
        <v>9312.5</v>
      </c>
      <c r="K72" s="643">
        <v>4619.5</v>
      </c>
      <c r="L72" s="644"/>
      <c r="M72" s="644"/>
      <c r="N72" s="645">
        <v>59</v>
      </c>
      <c r="O72" s="645">
        <v>61</v>
      </c>
      <c r="P72" s="645">
        <v>10</v>
      </c>
      <c r="Q72" s="646">
        <v>0.71</v>
      </c>
      <c r="R72" s="645">
        <v>13</v>
      </c>
      <c r="S72" s="645">
        <v>62</v>
      </c>
      <c r="T72" s="643">
        <v>3.9</v>
      </c>
      <c r="U72" s="647">
        <v>16</v>
      </c>
      <c r="V72" s="643">
        <v>5.9</v>
      </c>
      <c r="W72" s="648">
        <v>33</v>
      </c>
      <c r="X72" s="649">
        <v>41</v>
      </c>
      <c r="Y72" s="650">
        <v>2025</v>
      </c>
      <c r="Z72" s="651">
        <v>10</v>
      </c>
      <c r="AA72" s="649" t="str">
        <f>+Tabla_query___2026_06_23T082334.128[[#This Row],[AÑO]]&amp;" - "&amp;Tabla_query___2026_06_23T082334.128[[#This Row],[MES]]</f>
        <v>2025 - 10</v>
      </c>
      <c r="AB72" s="6">
        <f t="shared" si="3"/>
        <v>75</v>
      </c>
      <c r="AC72" s="6">
        <f t="shared" si="4"/>
        <v>8000</v>
      </c>
      <c r="AD72" s="6">
        <f t="shared" si="5"/>
        <v>350</v>
      </c>
    </row>
    <row r="73" spans="2:30">
      <c r="B73" s="673">
        <v>45939</v>
      </c>
      <c r="C73" s="642">
        <v>57078</v>
      </c>
      <c r="D73" s="642">
        <v>58186</v>
      </c>
      <c r="E73" s="642">
        <v>13875</v>
      </c>
      <c r="F73" s="642">
        <v>808.03800000000001</v>
      </c>
      <c r="G73" s="642">
        <v>8043</v>
      </c>
      <c r="H73" s="642">
        <v>230500</v>
      </c>
      <c r="I73" s="643">
        <v>4702.1000000000004</v>
      </c>
      <c r="J73" s="643">
        <v>9332.2999999999993</v>
      </c>
      <c r="K73" s="643">
        <v>4626.8</v>
      </c>
      <c r="L73" s="644"/>
      <c r="M73" s="644"/>
      <c r="N73" s="645">
        <v>74</v>
      </c>
      <c r="O73" s="645">
        <v>73</v>
      </c>
      <c r="P73" s="645">
        <v>9</v>
      </c>
      <c r="Q73" s="646">
        <v>0.23100000000000001</v>
      </c>
      <c r="R73" s="645">
        <v>12</v>
      </c>
      <c r="S73" s="645">
        <v>75</v>
      </c>
      <c r="T73" s="643">
        <v>3.6</v>
      </c>
      <c r="U73" s="647">
        <v>19.8</v>
      </c>
      <c r="V73" s="643">
        <v>7.3</v>
      </c>
      <c r="W73" s="648">
        <v>30</v>
      </c>
      <c r="X73" s="649">
        <v>41</v>
      </c>
      <c r="Y73" s="650">
        <v>2025</v>
      </c>
      <c r="Z73" s="651">
        <v>10</v>
      </c>
      <c r="AA73" s="649" t="str">
        <f>+Tabla_query___2026_06_23T082334.128[[#This Row],[AÑO]]&amp;" - "&amp;Tabla_query___2026_06_23T082334.128[[#This Row],[MES]]</f>
        <v>2025 - 10</v>
      </c>
      <c r="AB73" s="6">
        <f t="shared" si="3"/>
        <v>75</v>
      </c>
      <c r="AC73" s="6">
        <f t="shared" si="4"/>
        <v>8000</v>
      </c>
      <c r="AD73" s="6">
        <f t="shared" si="5"/>
        <v>350</v>
      </c>
    </row>
    <row r="74" spans="2:30">
      <c r="B74" s="673">
        <v>45940</v>
      </c>
      <c r="C74" s="642">
        <v>57159</v>
      </c>
      <c r="D74" s="642">
        <v>58269</v>
      </c>
      <c r="E74" s="642">
        <v>13885</v>
      </c>
      <c r="F74" s="642">
        <v>808.55600000000004</v>
      </c>
      <c r="G74" s="642">
        <v>8056</v>
      </c>
      <c r="H74" s="642">
        <v>230582</v>
      </c>
      <c r="I74" s="643">
        <v>4706.8</v>
      </c>
      <c r="J74" s="643">
        <v>9349.5</v>
      </c>
      <c r="K74" s="643">
        <v>4632.8</v>
      </c>
      <c r="L74" s="644"/>
      <c r="M74" s="644"/>
      <c r="N74" s="645">
        <v>81</v>
      </c>
      <c r="O74" s="645">
        <v>83</v>
      </c>
      <c r="P74" s="645">
        <v>10</v>
      </c>
      <c r="Q74" s="646">
        <v>0.51800000000000002</v>
      </c>
      <c r="R74" s="645">
        <v>13</v>
      </c>
      <c r="S74" s="645">
        <v>82</v>
      </c>
      <c r="T74" s="643">
        <v>4.7</v>
      </c>
      <c r="U74" s="647">
        <v>17.2</v>
      </c>
      <c r="V74" s="643">
        <v>6</v>
      </c>
      <c r="W74" s="648">
        <v>27</v>
      </c>
      <c r="X74" s="649">
        <v>41</v>
      </c>
      <c r="Y74" s="650">
        <v>2025</v>
      </c>
      <c r="Z74" s="651">
        <v>10</v>
      </c>
      <c r="AA74" s="649" t="str">
        <f>+Tabla_query___2026_06_23T082334.128[[#This Row],[AÑO]]&amp;" - "&amp;Tabla_query___2026_06_23T082334.128[[#This Row],[MES]]</f>
        <v>2025 - 10</v>
      </c>
      <c r="AB74" s="6">
        <f t="shared" si="3"/>
        <v>75</v>
      </c>
      <c r="AC74" s="6">
        <f t="shared" si="4"/>
        <v>8000</v>
      </c>
      <c r="AD74" s="6">
        <f t="shared" si="5"/>
        <v>350</v>
      </c>
    </row>
    <row r="75" spans="2:30">
      <c r="B75" s="673">
        <v>45941</v>
      </c>
      <c r="C75" s="642">
        <v>57212</v>
      </c>
      <c r="D75" s="642">
        <v>58323</v>
      </c>
      <c r="E75" s="642">
        <v>13904</v>
      </c>
      <c r="F75" s="642">
        <v>808.77800000000002</v>
      </c>
      <c r="G75" s="642">
        <v>8071</v>
      </c>
      <c r="H75" s="642">
        <v>230637</v>
      </c>
      <c r="I75" s="643">
        <v>4710.1000000000004</v>
      </c>
      <c r="J75" s="643">
        <v>9363.2000000000007</v>
      </c>
      <c r="K75" s="643">
        <v>4637.8</v>
      </c>
      <c r="L75" s="644"/>
      <c r="M75" s="644"/>
      <c r="N75" s="645">
        <v>53</v>
      </c>
      <c r="O75" s="645">
        <v>54</v>
      </c>
      <c r="P75" s="645">
        <v>19</v>
      </c>
      <c r="Q75" s="646">
        <v>0.222</v>
      </c>
      <c r="R75" s="645">
        <v>15</v>
      </c>
      <c r="S75" s="645">
        <v>55</v>
      </c>
      <c r="T75" s="643">
        <v>3.3</v>
      </c>
      <c r="U75" s="647">
        <v>13.7</v>
      </c>
      <c r="V75" s="643">
        <v>5</v>
      </c>
      <c r="W75" s="648">
        <v>22</v>
      </c>
      <c r="X75" s="649">
        <v>41</v>
      </c>
      <c r="Y75" s="650">
        <v>2025</v>
      </c>
      <c r="Z75" s="651">
        <v>10</v>
      </c>
      <c r="AA75" s="649" t="str">
        <f>+Tabla_query___2026_06_23T082334.128[[#This Row],[AÑO]]&amp;" - "&amp;Tabla_query___2026_06_23T082334.128[[#This Row],[MES]]</f>
        <v>2025 - 10</v>
      </c>
      <c r="AB75" s="6">
        <f t="shared" si="3"/>
        <v>75</v>
      </c>
      <c r="AC75" s="6">
        <f t="shared" si="4"/>
        <v>8000</v>
      </c>
      <c r="AD75" s="6">
        <f t="shared" si="5"/>
        <v>350</v>
      </c>
    </row>
    <row r="76" spans="2:30">
      <c r="B76" s="673">
        <v>45943</v>
      </c>
      <c r="C76" s="642">
        <v>57288</v>
      </c>
      <c r="D76" s="642">
        <v>58401</v>
      </c>
      <c r="E76" s="642">
        <v>13916</v>
      </c>
      <c r="F76" s="642">
        <v>809.37199999999996</v>
      </c>
      <c r="G76" s="642">
        <v>8078</v>
      </c>
      <c r="H76" s="642">
        <v>230715</v>
      </c>
      <c r="I76" s="643">
        <v>4713.6000000000004</v>
      </c>
      <c r="J76" s="643">
        <v>9380.1</v>
      </c>
      <c r="K76" s="643">
        <v>4643.2</v>
      </c>
      <c r="L76" s="644"/>
      <c r="M76" s="644"/>
      <c r="N76" s="645">
        <v>76</v>
      </c>
      <c r="O76" s="645">
        <v>78</v>
      </c>
      <c r="P76" s="645">
        <v>12</v>
      </c>
      <c r="Q76" s="646">
        <v>0.59399999999999997</v>
      </c>
      <c r="R76" s="645">
        <v>7</v>
      </c>
      <c r="S76" s="645">
        <v>78</v>
      </c>
      <c r="T76" s="643">
        <v>3.5</v>
      </c>
      <c r="U76" s="647">
        <v>16.899999999999999</v>
      </c>
      <c r="V76" s="643">
        <v>5.4</v>
      </c>
      <c r="W76" s="648">
        <v>20</v>
      </c>
      <c r="X76" s="649">
        <v>42</v>
      </c>
      <c r="Y76" s="650">
        <v>2025</v>
      </c>
      <c r="Z76" s="651">
        <v>10</v>
      </c>
      <c r="AA76" s="649" t="str">
        <f>+Tabla_query___2026_06_23T082334.128[[#This Row],[AÑO]]&amp;" - "&amp;Tabla_query___2026_06_23T082334.128[[#This Row],[MES]]</f>
        <v>2025 - 10</v>
      </c>
      <c r="AB76" s="6">
        <f t="shared" si="3"/>
        <v>75</v>
      </c>
      <c r="AC76" s="6">
        <f t="shared" si="4"/>
        <v>8000</v>
      </c>
      <c r="AD76" s="6">
        <f t="shared" si="5"/>
        <v>350</v>
      </c>
    </row>
    <row r="77" spans="2:30">
      <c r="B77" s="673">
        <v>45944</v>
      </c>
      <c r="C77" s="642">
        <v>57345</v>
      </c>
      <c r="D77" s="642">
        <v>58459</v>
      </c>
      <c r="E77" s="642">
        <v>13927</v>
      </c>
      <c r="F77" s="642">
        <v>810.76700000000005</v>
      </c>
      <c r="G77" s="642">
        <v>8084</v>
      </c>
      <c r="H77" s="642">
        <v>230774</v>
      </c>
      <c r="I77" s="643">
        <v>4717.8999999999996</v>
      </c>
      <c r="J77" s="643">
        <v>9395.9</v>
      </c>
      <c r="K77" s="643">
        <v>4649</v>
      </c>
      <c r="L77" s="644"/>
      <c r="M77" s="644"/>
      <c r="N77" s="645">
        <v>57</v>
      </c>
      <c r="O77" s="645">
        <v>58</v>
      </c>
      <c r="P77" s="645">
        <v>11</v>
      </c>
      <c r="Q77" s="646">
        <v>1.395</v>
      </c>
      <c r="R77" s="645">
        <v>6</v>
      </c>
      <c r="S77" s="645">
        <v>59</v>
      </c>
      <c r="T77" s="643">
        <v>4.3</v>
      </c>
      <c r="U77" s="647">
        <v>15.8</v>
      </c>
      <c r="V77" s="643">
        <v>5.8</v>
      </c>
      <c r="W77" s="648">
        <v>19</v>
      </c>
      <c r="X77" s="649">
        <v>42</v>
      </c>
      <c r="Y77" s="650">
        <v>2025</v>
      </c>
      <c r="Z77" s="651">
        <v>10</v>
      </c>
      <c r="AA77" s="649" t="str">
        <f>+Tabla_query___2026_06_23T082334.128[[#This Row],[AÑO]]&amp;" - "&amp;Tabla_query___2026_06_23T082334.128[[#This Row],[MES]]</f>
        <v>2025 - 10</v>
      </c>
      <c r="AB77" s="6">
        <f t="shared" si="3"/>
        <v>75</v>
      </c>
      <c r="AC77" s="6">
        <f t="shared" si="4"/>
        <v>8000</v>
      </c>
      <c r="AD77" s="6">
        <f t="shared" si="5"/>
        <v>350</v>
      </c>
    </row>
    <row r="78" spans="2:30">
      <c r="B78" s="673">
        <v>45945</v>
      </c>
      <c r="C78" s="642">
        <v>57418</v>
      </c>
      <c r="D78" s="642">
        <v>58533</v>
      </c>
      <c r="E78" s="642">
        <v>13936</v>
      </c>
      <c r="F78" s="642">
        <v>811.03099999999995</v>
      </c>
      <c r="G78" s="642">
        <v>8092</v>
      </c>
      <c r="H78" s="642">
        <v>230847</v>
      </c>
      <c r="I78" s="643">
        <v>4722.7</v>
      </c>
      <c r="J78" s="643">
        <v>9414.7000000000007</v>
      </c>
      <c r="K78" s="643">
        <v>4655.7</v>
      </c>
      <c r="L78" s="644"/>
      <c r="M78" s="644"/>
      <c r="N78" s="645">
        <v>73</v>
      </c>
      <c r="O78" s="645">
        <v>74</v>
      </c>
      <c r="P78" s="645">
        <v>9</v>
      </c>
      <c r="Q78" s="646">
        <v>0.26400000000000001</v>
      </c>
      <c r="R78" s="645">
        <v>8</v>
      </c>
      <c r="S78" s="645">
        <v>73</v>
      </c>
      <c r="T78" s="643">
        <v>4.8</v>
      </c>
      <c r="U78" s="647">
        <v>18.8</v>
      </c>
      <c r="V78" s="643">
        <v>6.7</v>
      </c>
      <c r="W78" s="648">
        <v>75</v>
      </c>
      <c r="X78" s="649">
        <v>42</v>
      </c>
      <c r="Y78" s="650">
        <v>2025</v>
      </c>
      <c r="Z78" s="651">
        <v>10</v>
      </c>
      <c r="AA78" s="649" t="str">
        <f>+Tabla_query___2026_06_23T082334.128[[#This Row],[AÑO]]&amp;" - "&amp;Tabla_query___2026_06_23T082334.128[[#This Row],[MES]]</f>
        <v>2025 - 10</v>
      </c>
      <c r="AB78" s="6">
        <f t="shared" si="3"/>
        <v>75</v>
      </c>
      <c r="AC78" s="6">
        <f t="shared" si="4"/>
        <v>8000</v>
      </c>
      <c r="AD78" s="6">
        <f t="shared" si="5"/>
        <v>350</v>
      </c>
    </row>
    <row r="79" spans="2:30">
      <c r="B79" s="673">
        <v>45946</v>
      </c>
      <c r="C79" s="642">
        <v>57476</v>
      </c>
      <c r="D79" s="642">
        <v>58592</v>
      </c>
      <c r="E79" s="642">
        <v>13946</v>
      </c>
      <c r="F79" s="642">
        <v>811.73599999999999</v>
      </c>
      <c r="G79" s="642">
        <v>8099</v>
      </c>
      <c r="H79" s="642">
        <v>230906</v>
      </c>
      <c r="I79" s="643">
        <v>4726.8999999999996</v>
      </c>
      <c r="J79" s="643">
        <v>9432.7000000000007</v>
      </c>
      <c r="K79" s="643">
        <v>4662.5</v>
      </c>
      <c r="L79" s="644"/>
      <c r="M79" s="644"/>
      <c r="N79" s="645">
        <v>58</v>
      </c>
      <c r="O79" s="645">
        <v>59</v>
      </c>
      <c r="P79" s="645">
        <v>10</v>
      </c>
      <c r="Q79" s="646">
        <v>0.70499999999999996</v>
      </c>
      <c r="R79" s="645">
        <v>7</v>
      </c>
      <c r="S79" s="645">
        <v>59</v>
      </c>
      <c r="T79" s="643">
        <v>4.2</v>
      </c>
      <c r="U79" s="647">
        <v>18</v>
      </c>
      <c r="V79" s="643">
        <v>6.8</v>
      </c>
      <c r="W79" s="648">
        <v>70</v>
      </c>
      <c r="X79" s="649">
        <v>42</v>
      </c>
      <c r="Y79" s="650">
        <v>2025</v>
      </c>
      <c r="Z79" s="651">
        <v>10</v>
      </c>
      <c r="AA79" s="649" t="str">
        <f>+Tabla_query___2026_06_23T082334.128[[#This Row],[AÑO]]&amp;" - "&amp;Tabla_query___2026_06_23T082334.128[[#This Row],[MES]]</f>
        <v>2025 - 10</v>
      </c>
      <c r="AB79" s="6">
        <f t="shared" si="3"/>
        <v>75</v>
      </c>
      <c r="AC79" s="6">
        <f t="shared" si="4"/>
        <v>8000</v>
      </c>
      <c r="AD79" s="6">
        <f t="shared" si="5"/>
        <v>350</v>
      </c>
    </row>
    <row r="80" spans="2:30">
      <c r="B80" s="673">
        <v>45947</v>
      </c>
      <c r="C80" s="642">
        <v>57540</v>
      </c>
      <c r="D80" s="642">
        <v>58657</v>
      </c>
      <c r="E80" s="642">
        <v>13955</v>
      </c>
      <c r="F80" s="642">
        <v>812.03700000000003</v>
      </c>
      <c r="G80" s="642">
        <v>8108</v>
      </c>
      <c r="H80" s="642">
        <v>230970</v>
      </c>
      <c r="I80" s="643">
        <v>4730.7</v>
      </c>
      <c r="J80" s="643">
        <v>9447.7000000000007</v>
      </c>
      <c r="K80" s="643">
        <v>4668.6000000000004</v>
      </c>
      <c r="L80" s="644"/>
      <c r="M80" s="644"/>
      <c r="N80" s="645">
        <v>64</v>
      </c>
      <c r="O80" s="645">
        <v>65</v>
      </c>
      <c r="P80" s="645">
        <v>9</v>
      </c>
      <c r="Q80" s="646">
        <v>0.30099999999999999</v>
      </c>
      <c r="R80" s="645">
        <v>9</v>
      </c>
      <c r="S80" s="645">
        <v>64</v>
      </c>
      <c r="T80" s="643">
        <v>3.8</v>
      </c>
      <c r="U80" s="647">
        <v>15</v>
      </c>
      <c r="V80" s="643">
        <v>6.1</v>
      </c>
      <c r="W80" s="648">
        <v>69</v>
      </c>
      <c r="X80" s="649">
        <v>42</v>
      </c>
      <c r="Y80" s="650">
        <v>2025</v>
      </c>
      <c r="Z80" s="651">
        <v>10</v>
      </c>
      <c r="AA80" s="649" t="str">
        <f>+Tabla_query___2026_06_23T082334.128[[#This Row],[AÑO]]&amp;" - "&amp;Tabla_query___2026_06_23T082334.128[[#This Row],[MES]]</f>
        <v>2025 - 10</v>
      </c>
      <c r="AB80" s="6">
        <f t="shared" si="3"/>
        <v>75</v>
      </c>
      <c r="AC80" s="6">
        <f t="shared" si="4"/>
        <v>8000</v>
      </c>
      <c r="AD80" s="6">
        <f t="shared" si="5"/>
        <v>350</v>
      </c>
    </row>
    <row r="81" spans="2:30">
      <c r="B81" s="673">
        <v>45948</v>
      </c>
      <c r="C81" s="642">
        <v>57575</v>
      </c>
      <c r="D81" s="642">
        <v>58693</v>
      </c>
      <c r="E81" s="642">
        <v>13969</v>
      </c>
      <c r="F81" s="642">
        <v>812.15099999999995</v>
      </c>
      <c r="G81" s="642">
        <v>8113</v>
      </c>
      <c r="H81" s="642">
        <v>231007</v>
      </c>
      <c r="I81" s="643">
        <v>4733.2</v>
      </c>
      <c r="J81" s="643">
        <v>9458.2000000000007</v>
      </c>
      <c r="K81" s="643">
        <v>4673</v>
      </c>
      <c r="L81" s="644"/>
      <c r="M81" s="644"/>
      <c r="N81" s="645">
        <v>35</v>
      </c>
      <c r="O81" s="645">
        <v>36</v>
      </c>
      <c r="P81" s="645">
        <v>14</v>
      </c>
      <c r="Q81" s="646">
        <v>0.114</v>
      </c>
      <c r="R81" s="645">
        <v>5</v>
      </c>
      <c r="S81" s="645">
        <v>37</v>
      </c>
      <c r="T81" s="643">
        <v>2.5</v>
      </c>
      <c r="U81" s="647">
        <v>10.5</v>
      </c>
      <c r="V81" s="643">
        <v>4.4000000000000004</v>
      </c>
      <c r="W81" s="648">
        <v>60</v>
      </c>
      <c r="X81" s="649">
        <v>42</v>
      </c>
      <c r="Y81" s="650">
        <v>2025</v>
      </c>
      <c r="Z81" s="651">
        <v>10</v>
      </c>
      <c r="AA81" s="649" t="str">
        <f>+Tabla_query___2026_06_23T082334.128[[#This Row],[AÑO]]&amp;" - "&amp;Tabla_query___2026_06_23T082334.128[[#This Row],[MES]]</f>
        <v>2025 - 10</v>
      </c>
      <c r="AB81" s="6">
        <f t="shared" si="3"/>
        <v>75</v>
      </c>
      <c r="AC81" s="6">
        <f t="shared" si="4"/>
        <v>8000</v>
      </c>
      <c r="AD81" s="6">
        <f t="shared" si="5"/>
        <v>350</v>
      </c>
    </row>
    <row r="82" spans="2:30">
      <c r="B82" s="673">
        <v>45950</v>
      </c>
      <c r="C82" s="642">
        <v>57654</v>
      </c>
      <c r="D82" s="642">
        <v>58773</v>
      </c>
      <c r="E82" s="642">
        <v>13986</v>
      </c>
      <c r="F82" s="642">
        <v>812.49800000000005</v>
      </c>
      <c r="G82" s="642">
        <v>8116</v>
      </c>
      <c r="H82" s="642">
        <v>231087</v>
      </c>
      <c r="I82" s="643">
        <v>4736.6000000000004</v>
      </c>
      <c r="J82" s="643">
        <v>9474.2000000000007</v>
      </c>
      <c r="K82" s="643">
        <v>4678.3999999999996</v>
      </c>
      <c r="L82" s="644"/>
      <c r="M82" s="644"/>
      <c r="N82" s="645">
        <v>79</v>
      </c>
      <c r="O82" s="645">
        <v>80</v>
      </c>
      <c r="P82" s="645">
        <v>17</v>
      </c>
      <c r="Q82" s="646">
        <v>0.34699999999999998</v>
      </c>
      <c r="R82" s="645">
        <v>3</v>
      </c>
      <c r="S82" s="645">
        <v>80</v>
      </c>
      <c r="T82" s="643">
        <v>3.4</v>
      </c>
      <c r="U82" s="647">
        <v>16</v>
      </c>
      <c r="V82" s="643">
        <v>5.4</v>
      </c>
      <c r="W82" s="648">
        <v>60</v>
      </c>
      <c r="X82" s="649">
        <v>43</v>
      </c>
      <c r="Y82" s="650">
        <v>2025</v>
      </c>
      <c r="Z82" s="651">
        <v>10</v>
      </c>
      <c r="AA82" s="649" t="str">
        <f>+Tabla_query___2026_06_23T082334.128[[#This Row],[AÑO]]&amp;" - "&amp;Tabla_query___2026_06_23T082334.128[[#This Row],[MES]]</f>
        <v>2025 - 10</v>
      </c>
      <c r="AB82" s="6">
        <f t="shared" si="3"/>
        <v>75</v>
      </c>
      <c r="AC82" s="6">
        <f t="shared" si="4"/>
        <v>8000</v>
      </c>
      <c r="AD82" s="6">
        <f t="shared" si="5"/>
        <v>350</v>
      </c>
    </row>
    <row r="83" spans="2:30">
      <c r="B83" s="673">
        <v>45951</v>
      </c>
      <c r="C83" s="642">
        <v>57716</v>
      </c>
      <c r="D83" s="642">
        <v>58836</v>
      </c>
      <c r="E83" s="642">
        <v>13996</v>
      </c>
      <c r="F83" s="642">
        <v>812.96199999999999</v>
      </c>
      <c r="G83" s="642">
        <v>8129</v>
      </c>
      <c r="H83" s="642">
        <v>231150</v>
      </c>
      <c r="I83" s="643">
        <v>4740.5</v>
      </c>
      <c r="J83" s="643">
        <v>9488.6</v>
      </c>
      <c r="K83" s="643">
        <v>4684</v>
      </c>
      <c r="L83" s="644"/>
      <c r="M83" s="644"/>
      <c r="N83" s="645">
        <v>62</v>
      </c>
      <c r="O83" s="645">
        <v>63</v>
      </c>
      <c r="P83" s="645">
        <v>10</v>
      </c>
      <c r="Q83" s="646">
        <v>0.46400000000000002</v>
      </c>
      <c r="R83" s="645">
        <v>13</v>
      </c>
      <c r="S83" s="645">
        <v>63</v>
      </c>
      <c r="T83" s="643">
        <v>3.9</v>
      </c>
      <c r="U83" s="647">
        <v>14.4</v>
      </c>
      <c r="V83" s="643">
        <v>5.6</v>
      </c>
      <c r="W83" s="648">
        <v>56</v>
      </c>
      <c r="X83" s="649">
        <v>43</v>
      </c>
      <c r="Y83" s="650">
        <v>2025</v>
      </c>
      <c r="Z83" s="651">
        <v>10</v>
      </c>
      <c r="AA83" s="649" t="str">
        <f>+Tabla_query___2026_06_23T082334.128[[#This Row],[AÑO]]&amp;" - "&amp;Tabla_query___2026_06_23T082334.128[[#This Row],[MES]]</f>
        <v>2025 - 10</v>
      </c>
      <c r="AB83" s="6">
        <f t="shared" si="3"/>
        <v>75</v>
      </c>
      <c r="AC83" s="6">
        <f t="shared" si="4"/>
        <v>8000</v>
      </c>
      <c r="AD83" s="6">
        <f t="shared" si="5"/>
        <v>350</v>
      </c>
    </row>
    <row r="84" spans="2:30">
      <c r="B84" s="673">
        <v>45952</v>
      </c>
      <c r="C84" s="642">
        <v>57797</v>
      </c>
      <c r="D84" s="642">
        <v>58918</v>
      </c>
      <c r="E84" s="642">
        <v>14007</v>
      </c>
      <c r="F84" s="642">
        <v>813.27099999999996</v>
      </c>
      <c r="G84" s="642">
        <v>8144</v>
      </c>
      <c r="H84" s="642">
        <v>231231</v>
      </c>
      <c r="I84" s="643">
        <v>4744.5</v>
      </c>
      <c r="J84" s="643">
        <v>9504.7000000000007</v>
      </c>
      <c r="K84" s="643">
        <v>4690.3</v>
      </c>
      <c r="L84" s="644"/>
      <c r="M84" s="644"/>
      <c r="N84" s="645">
        <v>81</v>
      </c>
      <c r="O84" s="645">
        <v>82</v>
      </c>
      <c r="P84" s="645">
        <v>11</v>
      </c>
      <c r="Q84" s="646">
        <v>0.309</v>
      </c>
      <c r="R84" s="645">
        <v>15</v>
      </c>
      <c r="S84" s="645">
        <v>81</v>
      </c>
      <c r="T84" s="643">
        <v>4</v>
      </c>
      <c r="U84" s="647">
        <v>16.100000000000001</v>
      </c>
      <c r="V84" s="643">
        <v>6.3</v>
      </c>
      <c r="W84" s="648">
        <v>50</v>
      </c>
      <c r="X84" s="649">
        <v>43</v>
      </c>
      <c r="Y84" s="650">
        <v>2025</v>
      </c>
      <c r="Z84" s="651">
        <v>10</v>
      </c>
      <c r="AA84" s="649" t="str">
        <f>+Tabla_query___2026_06_23T082334.128[[#This Row],[AÑO]]&amp;" - "&amp;Tabla_query___2026_06_23T082334.128[[#This Row],[MES]]</f>
        <v>2025 - 10</v>
      </c>
      <c r="AB84" s="6">
        <f t="shared" si="3"/>
        <v>75</v>
      </c>
      <c r="AC84" s="6">
        <f t="shared" si="4"/>
        <v>8000</v>
      </c>
      <c r="AD84" s="6">
        <f t="shared" si="5"/>
        <v>350</v>
      </c>
    </row>
    <row r="85" spans="2:30">
      <c r="B85" s="673">
        <v>45953</v>
      </c>
      <c r="C85" s="642">
        <v>57817</v>
      </c>
      <c r="D85" s="642">
        <v>58951</v>
      </c>
      <c r="E85" s="642">
        <v>14017</v>
      </c>
      <c r="F85" s="642">
        <v>813.66399999999999</v>
      </c>
      <c r="G85" s="642">
        <v>8153</v>
      </c>
      <c r="H85" s="642">
        <v>231259</v>
      </c>
      <c r="I85" s="643">
        <v>4748.3999999999996</v>
      </c>
      <c r="J85" s="643">
        <v>9518.7000000000007</v>
      </c>
      <c r="K85" s="643">
        <v>4695.8999999999996</v>
      </c>
      <c r="L85" s="644"/>
      <c r="M85" s="644"/>
      <c r="N85" s="645">
        <v>20</v>
      </c>
      <c r="O85" s="645">
        <v>33</v>
      </c>
      <c r="P85" s="645">
        <v>10</v>
      </c>
      <c r="Q85" s="646">
        <v>0.39300000000000002</v>
      </c>
      <c r="R85" s="645">
        <v>9</v>
      </c>
      <c r="S85" s="645">
        <v>28</v>
      </c>
      <c r="T85" s="643">
        <v>3.9</v>
      </c>
      <c r="U85" s="647">
        <v>14</v>
      </c>
      <c r="V85" s="643">
        <v>5.6</v>
      </c>
      <c r="W85" s="648">
        <v>45</v>
      </c>
      <c r="X85" s="649">
        <v>43</v>
      </c>
      <c r="Y85" s="650">
        <v>2025</v>
      </c>
      <c r="Z85" s="651">
        <v>10</v>
      </c>
      <c r="AA85" s="649" t="str">
        <f>+Tabla_query___2026_06_23T082334.128[[#This Row],[AÑO]]&amp;" - "&amp;Tabla_query___2026_06_23T082334.128[[#This Row],[MES]]</f>
        <v>2025 - 10</v>
      </c>
      <c r="AB85" s="6">
        <f t="shared" si="3"/>
        <v>75</v>
      </c>
      <c r="AC85" s="6">
        <f t="shared" si="4"/>
        <v>8000</v>
      </c>
      <c r="AD85" s="6">
        <f t="shared" si="5"/>
        <v>350</v>
      </c>
    </row>
    <row r="86" spans="2:30">
      <c r="B86" s="673">
        <v>45954</v>
      </c>
      <c r="C86" s="642">
        <v>57887</v>
      </c>
      <c r="D86" s="642">
        <v>59023</v>
      </c>
      <c r="E86" s="642">
        <v>14027</v>
      </c>
      <c r="F86" s="642">
        <v>813.79399999999998</v>
      </c>
      <c r="G86" s="642">
        <v>8166</v>
      </c>
      <c r="H86" s="642">
        <v>231330</v>
      </c>
      <c r="I86" s="643">
        <v>4752.7</v>
      </c>
      <c r="J86" s="643">
        <v>9535.2000000000007</v>
      </c>
      <c r="K86" s="643">
        <v>4702.1000000000004</v>
      </c>
      <c r="L86" s="644"/>
      <c r="M86" s="644"/>
      <c r="N86" s="645">
        <v>70</v>
      </c>
      <c r="O86" s="645">
        <v>72</v>
      </c>
      <c r="P86" s="645">
        <v>10</v>
      </c>
      <c r="Q86" s="646">
        <v>0.13</v>
      </c>
      <c r="R86" s="645">
        <v>13</v>
      </c>
      <c r="S86" s="645">
        <v>71</v>
      </c>
      <c r="T86" s="643">
        <v>4.3</v>
      </c>
      <c r="U86" s="647">
        <v>16.5</v>
      </c>
      <c r="V86" s="643">
        <v>6.2</v>
      </c>
      <c r="W86" s="648">
        <v>41</v>
      </c>
      <c r="X86" s="649">
        <v>43</v>
      </c>
      <c r="Y86" s="650">
        <v>2025</v>
      </c>
      <c r="Z86" s="651">
        <v>10</v>
      </c>
      <c r="AA86" s="649" t="str">
        <f>+Tabla_query___2026_06_23T082334.128[[#This Row],[AÑO]]&amp;" - "&amp;Tabla_query___2026_06_23T082334.128[[#This Row],[MES]]</f>
        <v>2025 - 10</v>
      </c>
      <c r="AB86" s="6">
        <f t="shared" si="3"/>
        <v>75</v>
      </c>
      <c r="AC86" s="6">
        <f t="shared" si="4"/>
        <v>8000</v>
      </c>
      <c r="AD86" s="6">
        <f t="shared" si="5"/>
        <v>350</v>
      </c>
    </row>
    <row r="87" spans="2:30">
      <c r="B87" s="673">
        <v>45955</v>
      </c>
      <c r="C87" s="642">
        <v>57950</v>
      </c>
      <c r="D87" s="642">
        <v>59087</v>
      </c>
      <c r="E87" s="642">
        <v>14039</v>
      </c>
      <c r="F87" s="642">
        <v>814.19</v>
      </c>
      <c r="G87" s="642">
        <v>8178</v>
      </c>
      <c r="H87" s="642">
        <v>231394</v>
      </c>
      <c r="I87" s="643">
        <v>4756.8999999999996</v>
      </c>
      <c r="J87" s="643">
        <v>9552.7999999999993</v>
      </c>
      <c r="K87" s="643">
        <v>4708.5</v>
      </c>
      <c r="L87" s="644"/>
      <c r="M87" s="644"/>
      <c r="N87" s="645">
        <v>63</v>
      </c>
      <c r="O87" s="645">
        <v>64</v>
      </c>
      <c r="P87" s="645">
        <v>12</v>
      </c>
      <c r="Q87" s="646">
        <v>0.39600000000000002</v>
      </c>
      <c r="R87" s="645">
        <v>12</v>
      </c>
      <c r="S87" s="645">
        <v>64</v>
      </c>
      <c r="T87" s="643">
        <v>4.2</v>
      </c>
      <c r="U87" s="647">
        <v>17.600000000000001</v>
      </c>
      <c r="V87" s="643">
        <v>6.4</v>
      </c>
      <c r="W87" s="648">
        <v>38</v>
      </c>
      <c r="X87" s="649">
        <v>43</v>
      </c>
      <c r="Y87" s="650">
        <v>2025</v>
      </c>
      <c r="Z87" s="651">
        <v>10</v>
      </c>
      <c r="AA87" s="649" t="str">
        <f>+Tabla_query___2026_06_23T082334.128[[#This Row],[AÑO]]&amp;" - "&amp;Tabla_query___2026_06_23T082334.128[[#This Row],[MES]]</f>
        <v>2025 - 10</v>
      </c>
      <c r="AB87" s="6">
        <f t="shared" si="3"/>
        <v>75</v>
      </c>
      <c r="AC87" s="6">
        <f t="shared" si="4"/>
        <v>8000</v>
      </c>
      <c r="AD87" s="6">
        <f t="shared" si="5"/>
        <v>350</v>
      </c>
    </row>
    <row r="88" spans="2:30">
      <c r="B88" s="673">
        <v>45957</v>
      </c>
      <c r="C88" s="642">
        <v>58022</v>
      </c>
      <c r="D88" s="642">
        <v>59160</v>
      </c>
      <c r="E88" s="642">
        <v>14050</v>
      </c>
      <c r="F88" s="642">
        <v>814.577</v>
      </c>
      <c r="G88" s="642">
        <v>8181</v>
      </c>
      <c r="H88" s="642">
        <v>231467</v>
      </c>
      <c r="I88" s="643">
        <v>4760.1000000000004</v>
      </c>
      <c r="J88" s="643">
        <v>9570.1</v>
      </c>
      <c r="K88" s="643">
        <v>4714.5</v>
      </c>
      <c r="L88" s="644"/>
      <c r="M88" s="644"/>
      <c r="N88" s="645">
        <v>72</v>
      </c>
      <c r="O88" s="645">
        <v>73</v>
      </c>
      <c r="P88" s="645">
        <v>11</v>
      </c>
      <c r="Q88" s="646">
        <v>0.38700000000000001</v>
      </c>
      <c r="R88" s="645">
        <v>3</v>
      </c>
      <c r="S88" s="645">
        <v>73</v>
      </c>
      <c r="T88" s="643">
        <v>3.2</v>
      </c>
      <c r="U88" s="647">
        <v>17.3</v>
      </c>
      <c r="V88" s="643">
        <v>6</v>
      </c>
      <c r="W88" s="648">
        <v>31</v>
      </c>
      <c r="X88" s="649">
        <v>44</v>
      </c>
      <c r="Y88" s="650">
        <v>2025</v>
      </c>
      <c r="Z88" s="651">
        <v>10</v>
      </c>
      <c r="AA88" s="649" t="str">
        <f>+Tabla_query___2026_06_23T082334.128[[#This Row],[AÑO]]&amp;" - "&amp;Tabla_query___2026_06_23T082334.128[[#This Row],[MES]]</f>
        <v>2025 - 10</v>
      </c>
      <c r="AB88" s="6">
        <f t="shared" si="3"/>
        <v>75</v>
      </c>
      <c r="AC88" s="6">
        <f t="shared" si="4"/>
        <v>8000</v>
      </c>
      <c r="AD88" s="6">
        <f t="shared" si="5"/>
        <v>350</v>
      </c>
    </row>
    <row r="89" spans="2:30">
      <c r="B89" s="673">
        <v>45958</v>
      </c>
      <c r="C89" s="642">
        <v>58078</v>
      </c>
      <c r="D89" s="642">
        <v>59217</v>
      </c>
      <c r="E89" s="642">
        <v>14061</v>
      </c>
      <c r="F89" s="642">
        <v>815.34199999999998</v>
      </c>
      <c r="G89" s="642">
        <v>8192</v>
      </c>
      <c r="H89" s="642">
        <v>231523</v>
      </c>
      <c r="I89" s="643">
        <v>4764.5</v>
      </c>
      <c r="J89" s="643">
        <v>9586.1</v>
      </c>
      <c r="K89" s="643">
        <v>4720.7</v>
      </c>
      <c r="L89" s="644"/>
      <c r="M89" s="644"/>
      <c r="N89" s="645">
        <v>56</v>
      </c>
      <c r="O89" s="645">
        <v>57</v>
      </c>
      <c r="P89" s="645">
        <v>11</v>
      </c>
      <c r="Q89" s="646">
        <v>0.76500000000000001</v>
      </c>
      <c r="R89" s="645">
        <v>11</v>
      </c>
      <c r="S89" s="645">
        <v>56</v>
      </c>
      <c r="T89" s="643">
        <v>4.4000000000000004</v>
      </c>
      <c r="U89" s="647">
        <v>16</v>
      </c>
      <c r="V89" s="643">
        <v>6.2</v>
      </c>
      <c r="W89" s="648">
        <v>30</v>
      </c>
      <c r="X89" s="649">
        <v>44</v>
      </c>
      <c r="Y89" s="650">
        <v>2025</v>
      </c>
      <c r="Z89" s="651">
        <v>10</v>
      </c>
      <c r="AA89" s="649" t="str">
        <f>+Tabla_query___2026_06_23T082334.128[[#This Row],[AÑO]]&amp;" - "&amp;Tabla_query___2026_06_23T082334.128[[#This Row],[MES]]</f>
        <v>2025 - 10</v>
      </c>
      <c r="AB89" s="6">
        <f t="shared" si="3"/>
        <v>75</v>
      </c>
      <c r="AC89" s="6">
        <f t="shared" si="4"/>
        <v>8000</v>
      </c>
      <c r="AD89" s="6">
        <f t="shared" si="5"/>
        <v>350</v>
      </c>
    </row>
    <row r="90" spans="2:30">
      <c r="B90" s="673">
        <v>45959</v>
      </c>
      <c r="C90" s="642">
        <v>58161</v>
      </c>
      <c r="D90" s="642">
        <v>59301</v>
      </c>
      <c r="E90" s="642">
        <v>14073</v>
      </c>
      <c r="F90" s="642">
        <v>817.28399999999999</v>
      </c>
      <c r="G90" s="642">
        <v>8204</v>
      </c>
      <c r="H90" s="642">
        <v>231607</v>
      </c>
      <c r="I90" s="643">
        <v>4768.3999999999996</v>
      </c>
      <c r="J90" s="643">
        <v>9603</v>
      </c>
      <c r="K90" s="643">
        <v>4727.1000000000004</v>
      </c>
      <c r="L90" s="644"/>
      <c r="M90" s="644"/>
      <c r="N90" s="645">
        <v>83</v>
      </c>
      <c r="O90" s="645">
        <v>84</v>
      </c>
      <c r="P90" s="645">
        <v>12</v>
      </c>
      <c r="Q90" s="646">
        <v>1.9419999999999999</v>
      </c>
      <c r="R90" s="645">
        <v>12</v>
      </c>
      <c r="S90" s="645">
        <v>84</v>
      </c>
      <c r="T90" s="643">
        <v>3.9</v>
      </c>
      <c r="U90" s="647">
        <v>16.899999999999999</v>
      </c>
      <c r="V90" s="643">
        <v>6.4</v>
      </c>
      <c r="W90" s="648">
        <v>76</v>
      </c>
      <c r="X90" s="649">
        <v>44</v>
      </c>
      <c r="Y90" s="650">
        <v>2025</v>
      </c>
      <c r="Z90" s="651">
        <v>10</v>
      </c>
      <c r="AA90" s="649" t="str">
        <f>+Tabla_query___2026_06_23T082334.128[[#This Row],[AÑO]]&amp;" - "&amp;Tabla_query___2026_06_23T082334.128[[#This Row],[MES]]</f>
        <v>2025 - 10</v>
      </c>
      <c r="AB90" s="6">
        <f t="shared" si="3"/>
        <v>75</v>
      </c>
      <c r="AC90" s="6">
        <f t="shared" si="4"/>
        <v>8000</v>
      </c>
      <c r="AD90" s="6">
        <f t="shared" si="5"/>
        <v>350</v>
      </c>
    </row>
    <row r="91" spans="2:30">
      <c r="B91" s="673">
        <v>45960</v>
      </c>
      <c r="C91" s="642">
        <v>58189</v>
      </c>
      <c r="D91" s="642">
        <v>59349</v>
      </c>
      <c r="E91" s="642">
        <v>14085</v>
      </c>
      <c r="F91" s="642">
        <v>817.48400000000004</v>
      </c>
      <c r="G91" s="642">
        <v>8216</v>
      </c>
      <c r="H91" s="642">
        <v>231643</v>
      </c>
      <c r="I91" s="643">
        <v>4772.8</v>
      </c>
      <c r="J91" s="643">
        <v>9621.5</v>
      </c>
      <c r="K91" s="643">
        <v>4734.1000000000004</v>
      </c>
      <c r="L91" s="644"/>
      <c r="M91" s="644"/>
      <c r="N91" s="645">
        <v>28</v>
      </c>
      <c r="O91" s="645">
        <v>48</v>
      </c>
      <c r="P91" s="645">
        <v>12</v>
      </c>
      <c r="Q91" s="646">
        <v>0.2</v>
      </c>
      <c r="R91" s="645">
        <v>12</v>
      </c>
      <c r="S91" s="645">
        <v>36</v>
      </c>
      <c r="T91" s="643">
        <v>4.4000000000000004</v>
      </c>
      <c r="U91" s="647">
        <v>18.5</v>
      </c>
      <c r="V91" s="643">
        <v>7</v>
      </c>
      <c r="W91" s="648">
        <v>70</v>
      </c>
      <c r="X91" s="649">
        <v>44</v>
      </c>
      <c r="Y91" s="650">
        <v>2025</v>
      </c>
      <c r="Z91" s="651">
        <v>10</v>
      </c>
      <c r="AA91" s="649" t="str">
        <f>+Tabla_query___2026_06_23T082334.128[[#This Row],[AÑO]]&amp;" - "&amp;Tabla_query___2026_06_23T082334.128[[#This Row],[MES]]</f>
        <v>2025 - 10</v>
      </c>
      <c r="AB91" s="6">
        <f t="shared" si="3"/>
        <v>75</v>
      </c>
      <c r="AC91" s="6">
        <f t="shared" si="4"/>
        <v>8000</v>
      </c>
      <c r="AD91" s="6">
        <f t="shared" si="5"/>
        <v>350</v>
      </c>
    </row>
    <row r="92" spans="2:30">
      <c r="B92" s="673">
        <v>45961</v>
      </c>
      <c r="C92" s="642">
        <v>58277</v>
      </c>
      <c r="D92" s="642">
        <v>59437</v>
      </c>
      <c r="E92" s="642">
        <v>14096</v>
      </c>
      <c r="F92" s="642">
        <v>817.82799999999997</v>
      </c>
      <c r="G92" s="642">
        <v>8228</v>
      </c>
      <c r="H92" s="642">
        <v>231729</v>
      </c>
      <c r="I92" s="643">
        <v>4777.3999999999996</v>
      </c>
      <c r="J92" s="643">
        <v>9638.6</v>
      </c>
      <c r="K92" s="643">
        <v>4740.7</v>
      </c>
      <c r="L92" s="644"/>
      <c r="M92" s="644"/>
      <c r="N92" s="645">
        <v>88</v>
      </c>
      <c r="O92" s="645">
        <v>88</v>
      </c>
      <c r="P92" s="645">
        <v>11</v>
      </c>
      <c r="Q92" s="646">
        <v>0.34399999999999997</v>
      </c>
      <c r="R92" s="645">
        <v>12</v>
      </c>
      <c r="S92" s="645">
        <v>86</v>
      </c>
      <c r="T92" s="643">
        <v>4.5999999999999996</v>
      </c>
      <c r="U92" s="647">
        <v>17.100000000000001</v>
      </c>
      <c r="V92" s="643">
        <v>6.6</v>
      </c>
      <c r="W92" s="648">
        <v>69</v>
      </c>
      <c r="X92" s="649">
        <v>44</v>
      </c>
      <c r="Y92" s="650">
        <v>2025</v>
      </c>
      <c r="Z92" s="651">
        <v>10</v>
      </c>
      <c r="AA92" s="649" t="str">
        <f>+Tabla_query___2026_06_23T082334.128[[#This Row],[AÑO]]&amp;" - "&amp;Tabla_query___2026_06_23T082334.128[[#This Row],[MES]]</f>
        <v>2025 - 10</v>
      </c>
      <c r="AB92" s="6">
        <f t="shared" si="3"/>
        <v>75</v>
      </c>
      <c r="AC92" s="6">
        <f t="shared" si="4"/>
        <v>8000</v>
      </c>
      <c r="AD92" s="6">
        <f t="shared" si="5"/>
        <v>350</v>
      </c>
    </row>
    <row r="93" spans="2:30">
      <c r="B93" s="673">
        <v>45964</v>
      </c>
      <c r="C93" s="642">
        <v>58331</v>
      </c>
      <c r="D93" s="642">
        <v>59486</v>
      </c>
      <c r="E93" s="642">
        <v>14107</v>
      </c>
      <c r="F93" s="642">
        <v>818.904</v>
      </c>
      <c r="G93" s="642">
        <v>8238</v>
      </c>
      <c r="H93" s="642">
        <v>231782</v>
      </c>
      <c r="I93" s="643">
        <v>4780.8</v>
      </c>
      <c r="J93" s="643">
        <v>9659.1</v>
      </c>
      <c r="K93" s="643">
        <v>4745.7</v>
      </c>
      <c r="L93" s="644"/>
      <c r="M93" s="644"/>
      <c r="N93" s="645">
        <v>54</v>
      </c>
      <c r="O93" s="645">
        <v>49</v>
      </c>
      <c r="P93" s="645">
        <v>11</v>
      </c>
      <c r="Q93" s="646">
        <v>1.0760000000000001</v>
      </c>
      <c r="R93" s="645">
        <v>10</v>
      </c>
      <c r="S93" s="645">
        <v>53</v>
      </c>
      <c r="T93" s="643">
        <v>3.4</v>
      </c>
      <c r="U93" s="647">
        <v>20.5</v>
      </c>
      <c r="V93" s="643">
        <v>5</v>
      </c>
      <c r="W93" s="648">
        <v>65</v>
      </c>
      <c r="X93" s="649">
        <v>45</v>
      </c>
      <c r="Y93" s="650">
        <v>2025</v>
      </c>
      <c r="Z93" s="651">
        <v>11</v>
      </c>
      <c r="AA93" s="649" t="str">
        <f>+Tabla_query___2026_06_23T082334.128[[#This Row],[AÑO]]&amp;" - "&amp;Tabla_query___2026_06_23T082334.128[[#This Row],[MES]]</f>
        <v>2025 - 11</v>
      </c>
      <c r="AB93" s="6">
        <f t="shared" si="3"/>
        <v>75</v>
      </c>
      <c r="AC93" s="6">
        <f t="shared" si="4"/>
        <v>8000</v>
      </c>
      <c r="AD93" s="6">
        <f t="shared" si="5"/>
        <v>350</v>
      </c>
    </row>
    <row r="94" spans="2:30">
      <c r="B94" s="673">
        <v>45965</v>
      </c>
      <c r="C94" s="642">
        <v>58392</v>
      </c>
      <c r="D94" s="642">
        <v>59549</v>
      </c>
      <c r="E94" s="642">
        <v>14117</v>
      </c>
      <c r="F94" s="642">
        <v>819.24699999999996</v>
      </c>
      <c r="G94" s="642">
        <v>8250</v>
      </c>
      <c r="H94" s="642">
        <v>231843</v>
      </c>
      <c r="I94" s="643">
        <v>4784.2</v>
      </c>
      <c r="J94" s="643">
        <v>9671.9</v>
      </c>
      <c r="K94" s="643">
        <v>4750.8</v>
      </c>
      <c r="L94" s="644"/>
      <c r="M94" s="644"/>
      <c r="N94" s="645">
        <v>61</v>
      </c>
      <c r="O94" s="645">
        <v>63</v>
      </c>
      <c r="P94" s="645">
        <v>10</v>
      </c>
      <c r="Q94" s="646">
        <v>0.34300000000000003</v>
      </c>
      <c r="R94" s="645">
        <v>12</v>
      </c>
      <c r="S94" s="645">
        <v>61</v>
      </c>
      <c r="T94" s="643">
        <v>3.4</v>
      </c>
      <c r="U94" s="647">
        <v>12.8</v>
      </c>
      <c r="V94" s="643">
        <v>5.0999999999999996</v>
      </c>
      <c r="W94" s="648">
        <v>61</v>
      </c>
      <c r="X94" s="649">
        <v>45</v>
      </c>
      <c r="Y94" s="650">
        <v>2025</v>
      </c>
      <c r="Z94" s="651">
        <v>11</v>
      </c>
      <c r="AA94" s="649" t="str">
        <f>+Tabla_query___2026_06_23T082334.128[[#This Row],[AÑO]]&amp;" - "&amp;Tabla_query___2026_06_23T082334.128[[#This Row],[MES]]</f>
        <v>2025 - 11</v>
      </c>
      <c r="AB94" s="6">
        <f t="shared" si="3"/>
        <v>75</v>
      </c>
      <c r="AC94" s="6">
        <f t="shared" si="4"/>
        <v>8000</v>
      </c>
      <c r="AD94" s="6">
        <f t="shared" si="5"/>
        <v>350</v>
      </c>
    </row>
    <row r="95" spans="2:30">
      <c r="B95" s="673">
        <v>45966</v>
      </c>
      <c r="C95" s="642">
        <v>58453</v>
      </c>
      <c r="D95" s="642">
        <v>59611</v>
      </c>
      <c r="E95" s="642">
        <v>14128</v>
      </c>
      <c r="F95" s="642">
        <v>819.67200000000003</v>
      </c>
      <c r="G95" s="642">
        <v>8258</v>
      </c>
      <c r="H95" s="642">
        <v>231904</v>
      </c>
      <c r="I95" s="643">
        <v>4788.8999999999996</v>
      </c>
      <c r="J95" s="643">
        <v>9688.5</v>
      </c>
      <c r="K95" s="643">
        <v>4756.8999999999996</v>
      </c>
      <c r="L95" s="644"/>
      <c r="M95" s="644"/>
      <c r="N95" s="645">
        <v>61</v>
      </c>
      <c r="O95" s="645">
        <v>62</v>
      </c>
      <c r="P95" s="645">
        <v>11</v>
      </c>
      <c r="Q95" s="646">
        <v>0.42499999999999999</v>
      </c>
      <c r="R95" s="645">
        <v>8</v>
      </c>
      <c r="S95" s="645">
        <v>61</v>
      </c>
      <c r="T95" s="643">
        <v>4.7</v>
      </c>
      <c r="U95" s="647">
        <v>16.600000000000001</v>
      </c>
      <c r="V95" s="643">
        <v>6.1</v>
      </c>
      <c r="W95" s="648">
        <v>57</v>
      </c>
      <c r="X95" s="649">
        <v>45</v>
      </c>
      <c r="Y95" s="650">
        <v>2025</v>
      </c>
      <c r="Z95" s="651">
        <v>11</v>
      </c>
      <c r="AA95" s="649" t="str">
        <f>+Tabla_query___2026_06_23T082334.128[[#This Row],[AÑO]]&amp;" - "&amp;Tabla_query___2026_06_23T082334.128[[#This Row],[MES]]</f>
        <v>2025 - 11</v>
      </c>
      <c r="AB95" s="6">
        <f t="shared" si="3"/>
        <v>75</v>
      </c>
      <c r="AC95" s="6">
        <f t="shared" si="4"/>
        <v>8000</v>
      </c>
      <c r="AD95" s="6">
        <f t="shared" si="5"/>
        <v>350</v>
      </c>
    </row>
    <row r="96" spans="2:30">
      <c r="B96" s="673">
        <v>45967</v>
      </c>
      <c r="C96" s="642">
        <v>58504</v>
      </c>
      <c r="D96" s="642">
        <v>59665</v>
      </c>
      <c r="E96" s="642">
        <v>14139</v>
      </c>
      <c r="F96" s="642">
        <v>820.98400000000004</v>
      </c>
      <c r="G96" s="642">
        <v>8267</v>
      </c>
      <c r="H96" s="642">
        <v>231956</v>
      </c>
      <c r="I96" s="643">
        <v>4792.8</v>
      </c>
      <c r="J96" s="643">
        <v>9705.2999999999993</v>
      </c>
      <c r="K96" s="643">
        <v>4762.2</v>
      </c>
      <c r="L96" s="644"/>
      <c r="M96" s="644"/>
      <c r="N96" s="645">
        <v>51</v>
      </c>
      <c r="O96" s="645">
        <v>54</v>
      </c>
      <c r="P96" s="645">
        <v>11</v>
      </c>
      <c r="Q96" s="646">
        <v>1.3120000000000001</v>
      </c>
      <c r="R96" s="645">
        <v>9</v>
      </c>
      <c r="S96" s="645">
        <v>52</v>
      </c>
      <c r="T96" s="643">
        <v>3.9</v>
      </c>
      <c r="U96" s="647">
        <v>16.8</v>
      </c>
      <c r="V96" s="643">
        <v>5.3</v>
      </c>
      <c r="W96" s="648">
        <v>50</v>
      </c>
      <c r="X96" s="649">
        <v>45</v>
      </c>
      <c r="Y96" s="650">
        <v>2025</v>
      </c>
      <c r="Z96" s="651">
        <v>11</v>
      </c>
      <c r="AA96" s="649" t="str">
        <f>+Tabla_query___2026_06_23T082334.128[[#This Row],[AÑO]]&amp;" - "&amp;Tabla_query___2026_06_23T082334.128[[#This Row],[MES]]</f>
        <v>2025 - 11</v>
      </c>
      <c r="AB96" s="6">
        <f t="shared" si="3"/>
        <v>75</v>
      </c>
      <c r="AC96" s="6">
        <f t="shared" si="4"/>
        <v>8000</v>
      </c>
      <c r="AD96" s="6">
        <f t="shared" si="5"/>
        <v>350</v>
      </c>
    </row>
    <row r="97" spans="2:30">
      <c r="B97" s="673">
        <v>45968</v>
      </c>
      <c r="C97" s="642">
        <v>58592</v>
      </c>
      <c r="D97" s="642">
        <v>59755</v>
      </c>
      <c r="E97" s="642">
        <v>14149</v>
      </c>
      <c r="F97" s="642">
        <v>821.34799999999996</v>
      </c>
      <c r="G97" s="642">
        <v>8277</v>
      </c>
      <c r="H97" s="642">
        <v>232044</v>
      </c>
      <c r="I97" s="643">
        <v>4796.8</v>
      </c>
      <c r="J97" s="643">
        <v>9721.6</v>
      </c>
      <c r="K97" s="643">
        <v>4767.6000000000004</v>
      </c>
      <c r="L97" s="644"/>
      <c r="M97" s="644"/>
      <c r="N97" s="645">
        <v>88</v>
      </c>
      <c r="O97" s="645">
        <v>90</v>
      </c>
      <c r="P97" s="645">
        <v>10</v>
      </c>
      <c r="Q97" s="646">
        <v>0.36399999999999999</v>
      </c>
      <c r="R97" s="645">
        <v>10</v>
      </c>
      <c r="S97" s="645">
        <v>88</v>
      </c>
      <c r="T97" s="643">
        <v>4</v>
      </c>
      <c r="U97" s="647">
        <v>16.3</v>
      </c>
      <c r="V97" s="643">
        <v>5.4</v>
      </c>
      <c r="W97" s="648">
        <v>47</v>
      </c>
      <c r="X97" s="649">
        <v>45</v>
      </c>
      <c r="Y97" s="650">
        <v>2025</v>
      </c>
      <c r="Z97" s="651">
        <v>11</v>
      </c>
      <c r="AA97" s="649" t="str">
        <f>+Tabla_query___2026_06_23T082334.128[[#This Row],[AÑO]]&amp;" - "&amp;Tabla_query___2026_06_23T082334.128[[#This Row],[MES]]</f>
        <v>2025 - 11</v>
      </c>
      <c r="AB97" s="6">
        <f t="shared" si="3"/>
        <v>75</v>
      </c>
      <c r="AC97" s="6">
        <f t="shared" si="4"/>
        <v>8000</v>
      </c>
      <c r="AD97" s="6">
        <f t="shared" si="5"/>
        <v>350</v>
      </c>
    </row>
    <row r="98" spans="2:30">
      <c r="B98" s="673">
        <v>45969</v>
      </c>
      <c r="C98" s="642">
        <v>58654</v>
      </c>
      <c r="D98" s="642">
        <v>59818</v>
      </c>
      <c r="E98" s="642">
        <v>14159</v>
      </c>
      <c r="F98" s="642">
        <v>821.51800000000003</v>
      </c>
      <c r="G98" s="642">
        <v>8288</v>
      </c>
      <c r="H98" s="642">
        <v>232105</v>
      </c>
      <c r="I98" s="643">
        <v>4801.5</v>
      </c>
      <c r="J98" s="643">
        <v>9738.9</v>
      </c>
      <c r="K98" s="643">
        <v>4774</v>
      </c>
      <c r="L98" s="644"/>
      <c r="M98" s="644"/>
      <c r="N98" s="645">
        <v>62</v>
      </c>
      <c r="O98" s="645">
        <v>63</v>
      </c>
      <c r="P98" s="645">
        <v>10</v>
      </c>
      <c r="Q98" s="646">
        <v>0.17</v>
      </c>
      <c r="R98" s="645">
        <v>11</v>
      </c>
      <c r="S98" s="645">
        <v>61</v>
      </c>
      <c r="T98" s="643">
        <v>4.7</v>
      </c>
      <c r="U98" s="647">
        <v>17.3</v>
      </c>
      <c r="V98" s="643">
        <v>6.4</v>
      </c>
      <c r="W98" s="648">
        <v>42</v>
      </c>
      <c r="X98" s="649">
        <v>45</v>
      </c>
      <c r="Y98" s="650">
        <v>2025</v>
      </c>
      <c r="Z98" s="651">
        <v>11</v>
      </c>
      <c r="AA98" s="649" t="str">
        <f>+Tabla_query___2026_06_23T082334.128[[#This Row],[AÑO]]&amp;" - "&amp;Tabla_query___2026_06_23T082334.128[[#This Row],[MES]]</f>
        <v>2025 - 11</v>
      </c>
      <c r="AB98" s="6">
        <f t="shared" si="3"/>
        <v>75</v>
      </c>
      <c r="AC98" s="6">
        <f t="shared" si="4"/>
        <v>8000</v>
      </c>
      <c r="AD98" s="6">
        <f t="shared" si="5"/>
        <v>350</v>
      </c>
    </row>
    <row r="99" spans="2:30">
      <c r="B99" s="673">
        <v>45970</v>
      </c>
      <c r="C99" s="642">
        <v>58703</v>
      </c>
      <c r="D99" s="642">
        <v>59869</v>
      </c>
      <c r="E99" s="642">
        <v>14169</v>
      </c>
      <c r="F99" s="642">
        <v>821.86800000000005</v>
      </c>
      <c r="G99" s="642">
        <v>8295</v>
      </c>
      <c r="H99" s="642">
        <v>232154</v>
      </c>
      <c r="I99" s="643">
        <v>4805.8</v>
      </c>
      <c r="J99" s="643">
        <v>9755.5</v>
      </c>
      <c r="K99" s="643">
        <v>4779.7</v>
      </c>
      <c r="L99" s="644"/>
      <c r="M99" s="644"/>
      <c r="N99" s="645">
        <v>49</v>
      </c>
      <c r="O99" s="645">
        <v>51</v>
      </c>
      <c r="P99" s="645">
        <v>10</v>
      </c>
      <c r="Q99" s="646">
        <v>0.35</v>
      </c>
      <c r="R99" s="645">
        <v>7</v>
      </c>
      <c r="S99" s="645">
        <v>49</v>
      </c>
      <c r="T99" s="643">
        <v>4.3</v>
      </c>
      <c r="U99" s="647">
        <v>16.600000000000001</v>
      </c>
      <c r="V99" s="643">
        <v>5.7</v>
      </c>
      <c r="W99" s="648">
        <v>39</v>
      </c>
      <c r="X99" s="649">
        <v>45</v>
      </c>
      <c r="Y99" s="650">
        <v>2025</v>
      </c>
      <c r="Z99" s="651">
        <v>11</v>
      </c>
      <c r="AA99" s="649" t="str">
        <f>+Tabla_query___2026_06_23T082334.128[[#This Row],[AÑO]]&amp;" - "&amp;Tabla_query___2026_06_23T082334.128[[#This Row],[MES]]</f>
        <v>2025 - 11</v>
      </c>
      <c r="AB99" s="6">
        <f t="shared" si="3"/>
        <v>75</v>
      </c>
      <c r="AC99" s="6">
        <f t="shared" si="4"/>
        <v>8000</v>
      </c>
      <c r="AD99" s="6">
        <f t="shared" si="5"/>
        <v>350</v>
      </c>
    </row>
    <row r="100" spans="2:30">
      <c r="B100" s="673">
        <v>45971</v>
      </c>
      <c r="C100" s="642">
        <v>58731</v>
      </c>
      <c r="D100" s="642">
        <v>59896</v>
      </c>
      <c r="E100" s="642">
        <v>14173</v>
      </c>
      <c r="F100" s="642">
        <v>821.86800000000005</v>
      </c>
      <c r="G100" s="642">
        <v>8296</v>
      </c>
      <c r="H100" s="642">
        <v>232182</v>
      </c>
      <c r="I100" s="643">
        <v>4805.8</v>
      </c>
      <c r="J100" s="643">
        <v>9764.9</v>
      </c>
      <c r="K100" s="643">
        <v>4781.2</v>
      </c>
      <c r="L100" s="644"/>
      <c r="M100" s="644"/>
      <c r="N100" s="645">
        <v>28</v>
      </c>
      <c r="O100" s="645">
        <v>27</v>
      </c>
      <c r="P100" s="645">
        <v>4</v>
      </c>
      <c r="Q100" s="646">
        <v>0</v>
      </c>
      <c r="R100" s="645">
        <v>1</v>
      </c>
      <c r="S100" s="645">
        <v>28</v>
      </c>
      <c r="T100" s="643">
        <v>0</v>
      </c>
      <c r="U100" s="647">
        <v>9.4</v>
      </c>
      <c r="V100" s="643">
        <v>1.5</v>
      </c>
      <c r="W100" s="648">
        <v>39</v>
      </c>
      <c r="X100" s="649">
        <v>46</v>
      </c>
      <c r="Y100" s="650">
        <v>2025</v>
      </c>
      <c r="Z100" s="651">
        <v>11</v>
      </c>
      <c r="AA100" s="649" t="str">
        <f>+Tabla_query___2026_06_23T082334.128[[#This Row],[AÑO]]&amp;" - "&amp;Tabla_query___2026_06_23T082334.128[[#This Row],[MES]]</f>
        <v>2025 - 11</v>
      </c>
      <c r="AB100" s="6">
        <f t="shared" si="3"/>
        <v>75</v>
      </c>
      <c r="AC100" s="6">
        <f t="shared" si="4"/>
        <v>8000</v>
      </c>
      <c r="AD100" s="6">
        <f t="shared" si="5"/>
        <v>350</v>
      </c>
    </row>
    <row r="101" spans="2:30">
      <c r="B101" s="673">
        <v>45972</v>
      </c>
      <c r="C101" s="642">
        <v>58793</v>
      </c>
      <c r="D101" s="642">
        <v>59960</v>
      </c>
      <c r="E101" s="642">
        <v>14185</v>
      </c>
      <c r="F101" s="642">
        <v>823.072</v>
      </c>
      <c r="G101" s="642">
        <v>8306</v>
      </c>
      <c r="H101" s="642">
        <v>232245</v>
      </c>
      <c r="I101" s="643">
        <v>4809.1000000000004</v>
      </c>
      <c r="J101" s="643">
        <v>9779</v>
      </c>
      <c r="K101" s="643">
        <v>4786.1000000000004</v>
      </c>
      <c r="L101" s="644"/>
      <c r="M101" s="644"/>
      <c r="N101" s="645">
        <v>62</v>
      </c>
      <c r="O101" s="645">
        <v>64</v>
      </c>
      <c r="P101" s="645">
        <v>12</v>
      </c>
      <c r="Q101" s="646">
        <v>1.204</v>
      </c>
      <c r="R101" s="645">
        <v>10</v>
      </c>
      <c r="S101" s="645">
        <v>63</v>
      </c>
      <c r="T101" s="643">
        <v>3.3</v>
      </c>
      <c r="U101" s="647">
        <v>14.1</v>
      </c>
      <c r="V101" s="643">
        <v>4.9000000000000004</v>
      </c>
      <c r="W101" s="648">
        <v>35</v>
      </c>
      <c r="X101" s="649">
        <v>46</v>
      </c>
      <c r="Y101" s="650">
        <v>2025</v>
      </c>
      <c r="Z101" s="651">
        <v>11</v>
      </c>
      <c r="AA101" s="649" t="str">
        <f>+Tabla_query___2026_06_23T082334.128[[#This Row],[AÑO]]&amp;" - "&amp;Tabla_query___2026_06_23T082334.128[[#This Row],[MES]]</f>
        <v>2025 - 11</v>
      </c>
      <c r="AB101" s="6">
        <f t="shared" si="3"/>
        <v>75</v>
      </c>
      <c r="AC101" s="6">
        <f t="shared" si="4"/>
        <v>8000</v>
      </c>
      <c r="AD101" s="6">
        <f t="shared" si="5"/>
        <v>350</v>
      </c>
    </row>
    <row r="102" spans="2:30">
      <c r="B102" s="673">
        <v>45973</v>
      </c>
      <c r="C102" s="642">
        <v>58860</v>
      </c>
      <c r="D102" s="642">
        <v>60029</v>
      </c>
      <c r="E102" s="642">
        <v>14196</v>
      </c>
      <c r="F102" s="642">
        <v>823.43899999999996</v>
      </c>
      <c r="G102" s="642">
        <v>8317</v>
      </c>
      <c r="H102" s="642">
        <v>232311</v>
      </c>
      <c r="I102" s="643">
        <v>4813.3999999999996</v>
      </c>
      <c r="J102" s="643">
        <v>9795.6</v>
      </c>
      <c r="K102" s="643">
        <v>4791.8999999999996</v>
      </c>
      <c r="L102" s="644"/>
      <c r="M102" s="644"/>
      <c r="N102" s="645">
        <v>67</v>
      </c>
      <c r="O102" s="645">
        <v>69</v>
      </c>
      <c r="P102" s="645">
        <v>11</v>
      </c>
      <c r="Q102" s="646">
        <v>0.36699999999999999</v>
      </c>
      <c r="R102" s="645">
        <v>11</v>
      </c>
      <c r="S102" s="645">
        <v>66</v>
      </c>
      <c r="T102" s="643">
        <v>4.3</v>
      </c>
      <c r="U102" s="647">
        <v>16.600000000000001</v>
      </c>
      <c r="V102" s="643">
        <v>5.8</v>
      </c>
      <c r="W102" s="648">
        <v>86</v>
      </c>
      <c r="X102" s="649">
        <v>46</v>
      </c>
      <c r="Y102" s="650">
        <v>2025</v>
      </c>
      <c r="Z102" s="651">
        <v>11</v>
      </c>
      <c r="AA102" s="649" t="str">
        <f>+Tabla_query___2026_06_23T082334.128[[#This Row],[AÑO]]&amp;" - "&amp;Tabla_query___2026_06_23T082334.128[[#This Row],[MES]]</f>
        <v>2025 - 11</v>
      </c>
      <c r="AB102" s="6">
        <f t="shared" si="3"/>
        <v>75</v>
      </c>
      <c r="AC102" s="6">
        <f t="shared" si="4"/>
        <v>8000</v>
      </c>
      <c r="AD102" s="6">
        <f t="shared" si="5"/>
        <v>350</v>
      </c>
    </row>
    <row r="103" spans="2:30">
      <c r="B103" s="673">
        <v>45974</v>
      </c>
      <c r="C103" s="642">
        <v>58919</v>
      </c>
      <c r="D103" s="642">
        <v>60090</v>
      </c>
      <c r="E103" s="642">
        <v>14207</v>
      </c>
      <c r="F103" s="642">
        <v>823.77700000000004</v>
      </c>
      <c r="G103" s="642">
        <v>8328</v>
      </c>
      <c r="H103" s="642">
        <v>232371</v>
      </c>
      <c r="I103" s="643">
        <v>4818.6000000000004</v>
      </c>
      <c r="J103" s="643">
        <v>9812</v>
      </c>
      <c r="K103" s="643">
        <v>4798.2</v>
      </c>
      <c r="L103" s="644"/>
      <c r="M103" s="644"/>
      <c r="N103" s="645">
        <v>59</v>
      </c>
      <c r="O103" s="645">
        <v>61</v>
      </c>
      <c r="P103" s="645">
        <v>11</v>
      </c>
      <c r="Q103" s="646">
        <v>0.33800000000000002</v>
      </c>
      <c r="R103" s="645">
        <v>11</v>
      </c>
      <c r="S103" s="645">
        <v>60</v>
      </c>
      <c r="T103" s="643">
        <v>5.2</v>
      </c>
      <c r="U103" s="647">
        <v>16.399999999999999</v>
      </c>
      <c r="V103" s="643">
        <v>6.3</v>
      </c>
      <c r="W103" s="648">
        <v>75</v>
      </c>
      <c r="X103" s="649">
        <v>46</v>
      </c>
      <c r="Y103" s="650">
        <v>2025</v>
      </c>
      <c r="Z103" s="651">
        <v>11</v>
      </c>
      <c r="AA103" s="649" t="str">
        <f>+Tabla_query___2026_06_23T082334.128[[#This Row],[AÑO]]&amp;" - "&amp;Tabla_query___2026_06_23T082334.128[[#This Row],[MES]]</f>
        <v>2025 - 11</v>
      </c>
      <c r="AB103" s="6">
        <f t="shared" si="3"/>
        <v>75</v>
      </c>
      <c r="AC103" s="6">
        <f t="shared" si="4"/>
        <v>8000</v>
      </c>
      <c r="AD103" s="6">
        <f t="shared" si="5"/>
        <v>350</v>
      </c>
    </row>
    <row r="104" spans="2:30">
      <c r="B104" s="673">
        <v>45975</v>
      </c>
      <c r="C104" s="642">
        <v>58979</v>
      </c>
      <c r="D104" s="642">
        <v>60152</v>
      </c>
      <c r="E104" s="642">
        <v>14219</v>
      </c>
      <c r="F104" s="642">
        <v>825.20600000000002</v>
      </c>
      <c r="G104" s="642">
        <v>8337</v>
      </c>
      <c r="H104" s="642">
        <v>232431</v>
      </c>
      <c r="I104" s="643">
        <v>4823.7</v>
      </c>
      <c r="J104" s="643">
        <v>9829.4</v>
      </c>
      <c r="K104" s="643">
        <v>4805.3</v>
      </c>
      <c r="L104" s="644"/>
      <c r="M104" s="644"/>
      <c r="N104" s="645">
        <v>60</v>
      </c>
      <c r="O104" s="645">
        <v>62</v>
      </c>
      <c r="P104" s="645">
        <v>12</v>
      </c>
      <c r="Q104" s="646">
        <v>1.429</v>
      </c>
      <c r="R104" s="645">
        <v>9</v>
      </c>
      <c r="S104" s="645">
        <v>60</v>
      </c>
      <c r="T104" s="643">
        <v>5.0999999999999996</v>
      </c>
      <c r="U104" s="647">
        <v>17.399999999999999</v>
      </c>
      <c r="V104" s="643">
        <v>7.1</v>
      </c>
      <c r="W104" s="648">
        <v>70</v>
      </c>
      <c r="X104" s="649">
        <v>46</v>
      </c>
      <c r="Y104" s="650">
        <v>2025</v>
      </c>
      <c r="Z104" s="651">
        <v>11</v>
      </c>
      <c r="AA104" s="649" t="str">
        <f>+Tabla_query___2026_06_23T082334.128[[#This Row],[AÑO]]&amp;" - "&amp;Tabla_query___2026_06_23T082334.128[[#This Row],[MES]]</f>
        <v>2025 - 11</v>
      </c>
      <c r="AB104" s="6">
        <f t="shared" si="3"/>
        <v>75</v>
      </c>
      <c r="AC104" s="6">
        <f t="shared" si="4"/>
        <v>8000</v>
      </c>
      <c r="AD104" s="6">
        <f t="shared" si="5"/>
        <v>350</v>
      </c>
    </row>
    <row r="105" spans="2:30">
      <c r="B105" s="673">
        <v>45976</v>
      </c>
      <c r="C105" s="642">
        <v>59035</v>
      </c>
      <c r="D105" s="642">
        <v>60209</v>
      </c>
      <c r="E105" s="642">
        <v>14229</v>
      </c>
      <c r="F105" s="642">
        <v>825.58399999999995</v>
      </c>
      <c r="G105" s="642">
        <v>8346</v>
      </c>
      <c r="H105" s="642">
        <v>232486</v>
      </c>
      <c r="I105" s="643">
        <v>4827.1000000000004</v>
      </c>
      <c r="J105" s="643">
        <v>9843</v>
      </c>
      <c r="K105" s="643">
        <v>4810.2</v>
      </c>
      <c r="L105" s="644"/>
      <c r="M105" s="644"/>
      <c r="N105" s="645">
        <v>56</v>
      </c>
      <c r="O105" s="645">
        <v>57</v>
      </c>
      <c r="P105" s="645">
        <v>10</v>
      </c>
      <c r="Q105" s="646">
        <v>0.378</v>
      </c>
      <c r="R105" s="645">
        <v>9</v>
      </c>
      <c r="S105" s="645">
        <v>55</v>
      </c>
      <c r="T105" s="643">
        <v>3.4</v>
      </c>
      <c r="U105" s="647">
        <v>13.6</v>
      </c>
      <c r="V105" s="643">
        <v>4.9000000000000004</v>
      </c>
      <c r="W105" s="648">
        <v>65</v>
      </c>
      <c r="X105" s="649">
        <v>46</v>
      </c>
      <c r="Y105" s="650">
        <v>2025</v>
      </c>
      <c r="Z105" s="651">
        <v>11</v>
      </c>
      <c r="AA105" s="649" t="str">
        <f>+Tabla_query___2026_06_23T082334.128[[#This Row],[AÑO]]&amp;" - "&amp;Tabla_query___2026_06_23T082334.128[[#This Row],[MES]]</f>
        <v>2025 - 11</v>
      </c>
      <c r="AB105" s="6">
        <f t="shared" si="3"/>
        <v>75</v>
      </c>
      <c r="AC105" s="6">
        <f t="shared" si="4"/>
        <v>8000</v>
      </c>
      <c r="AD105" s="6">
        <f t="shared" si="5"/>
        <v>350</v>
      </c>
    </row>
    <row r="106" spans="2:30">
      <c r="B106" s="673">
        <v>45977</v>
      </c>
      <c r="C106" s="642">
        <v>59078</v>
      </c>
      <c r="D106" s="642">
        <v>60254</v>
      </c>
      <c r="E106" s="642">
        <v>14240</v>
      </c>
      <c r="F106" s="642">
        <v>827.09100000000001</v>
      </c>
      <c r="G106" s="642">
        <v>8348</v>
      </c>
      <c r="H106" s="642">
        <v>232530</v>
      </c>
      <c r="I106" s="643">
        <v>4829.5</v>
      </c>
      <c r="J106" s="643">
        <v>9852.1</v>
      </c>
      <c r="K106" s="643">
        <v>4813.3999999999996</v>
      </c>
      <c r="L106" s="644"/>
      <c r="M106" s="644"/>
      <c r="N106" s="645">
        <v>43</v>
      </c>
      <c r="O106" s="645">
        <v>45</v>
      </c>
      <c r="P106" s="645">
        <v>11</v>
      </c>
      <c r="Q106" s="646">
        <v>1.5069999999999999</v>
      </c>
      <c r="R106" s="645">
        <v>2</v>
      </c>
      <c r="S106" s="645">
        <v>44</v>
      </c>
      <c r="T106" s="643">
        <v>2.4</v>
      </c>
      <c r="U106" s="647">
        <v>9.1</v>
      </c>
      <c r="V106" s="643">
        <v>3.2</v>
      </c>
      <c r="W106" s="648">
        <v>60</v>
      </c>
      <c r="X106" s="649">
        <v>46</v>
      </c>
      <c r="Y106" s="650">
        <v>2025</v>
      </c>
      <c r="Z106" s="651">
        <v>11</v>
      </c>
      <c r="AA106" s="649" t="str">
        <f>+Tabla_query___2026_06_23T082334.128[[#This Row],[AÑO]]&amp;" - "&amp;Tabla_query___2026_06_23T082334.128[[#This Row],[MES]]</f>
        <v>2025 - 11</v>
      </c>
      <c r="AB106" s="6">
        <f t="shared" si="3"/>
        <v>75</v>
      </c>
      <c r="AC106" s="6">
        <f t="shared" si="4"/>
        <v>8000</v>
      </c>
      <c r="AD106" s="6">
        <f t="shared" si="5"/>
        <v>350</v>
      </c>
    </row>
    <row r="107" spans="2:30">
      <c r="B107" s="673">
        <v>45978</v>
      </c>
      <c r="C107" s="642">
        <v>59102</v>
      </c>
      <c r="D107" s="642">
        <v>60278</v>
      </c>
      <c r="E107" s="642">
        <v>14243</v>
      </c>
      <c r="F107" s="642">
        <v>827.16200000000003</v>
      </c>
      <c r="G107" s="642">
        <v>8350</v>
      </c>
      <c r="H107" s="642">
        <v>232554</v>
      </c>
      <c r="I107" s="643">
        <v>4829.5</v>
      </c>
      <c r="J107" s="643">
        <v>9857.6</v>
      </c>
      <c r="K107" s="643">
        <v>4814.3</v>
      </c>
      <c r="L107" s="644"/>
      <c r="M107" s="644"/>
      <c r="N107" s="645">
        <v>24</v>
      </c>
      <c r="O107" s="645">
        <v>24</v>
      </c>
      <c r="P107" s="645">
        <v>3</v>
      </c>
      <c r="Q107" s="646">
        <v>7.0999999999999994E-2</v>
      </c>
      <c r="R107" s="645">
        <v>2</v>
      </c>
      <c r="S107" s="645">
        <v>24</v>
      </c>
      <c r="T107" s="643">
        <v>0</v>
      </c>
      <c r="U107" s="647">
        <v>5.5</v>
      </c>
      <c r="V107" s="643">
        <v>0.9</v>
      </c>
      <c r="W107" s="648">
        <v>59</v>
      </c>
      <c r="X107" s="649">
        <v>47</v>
      </c>
      <c r="Y107" s="650">
        <v>2025</v>
      </c>
      <c r="Z107" s="651">
        <v>11</v>
      </c>
      <c r="AA107" s="649" t="str">
        <f>+Tabla_query___2026_06_23T082334.128[[#This Row],[AÑO]]&amp;" - "&amp;Tabla_query___2026_06_23T082334.128[[#This Row],[MES]]</f>
        <v>2025 - 11</v>
      </c>
      <c r="AB107" s="6">
        <f t="shared" si="3"/>
        <v>75</v>
      </c>
      <c r="AC107" s="6">
        <f t="shared" si="4"/>
        <v>8000</v>
      </c>
      <c r="AD107" s="6">
        <f t="shared" si="5"/>
        <v>350</v>
      </c>
    </row>
    <row r="108" spans="2:30">
      <c r="B108" s="673">
        <v>45979</v>
      </c>
      <c r="C108" s="642">
        <v>59166</v>
      </c>
      <c r="D108" s="642">
        <v>60345</v>
      </c>
      <c r="E108" s="642">
        <v>14255</v>
      </c>
      <c r="F108" s="642">
        <v>827.42600000000004</v>
      </c>
      <c r="G108" s="642">
        <v>8363</v>
      </c>
      <c r="H108" s="642">
        <v>232619</v>
      </c>
      <c r="I108" s="643">
        <v>4833.7</v>
      </c>
      <c r="J108" s="643">
        <v>9872.5</v>
      </c>
      <c r="K108" s="643">
        <v>4818.8</v>
      </c>
      <c r="L108" s="644"/>
      <c r="M108" s="644"/>
      <c r="N108" s="645">
        <v>64</v>
      </c>
      <c r="O108" s="645">
        <v>67</v>
      </c>
      <c r="P108" s="645">
        <v>12</v>
      </c>
      <c r="Q108" s="646">
        <v>0.26400000000000001</v>
      </c>
      <c r="R108" s="645">
        <v>13</v>
      </c>
      <c r="S108" s="645">
        <v>65</v>
      </c>
      <c r="T108" s="643">
        <v>4.2</v>
      </c>
      <c r="U108" s="647">
        <v>14.9</v>
      </c>
      <c r="V108" s="643">
        <v>4.5</v>
      </c>
      <c r="W108" s="648">
        <v>55</v>
      </c>
      <c r="X108" s="649">
        <v>47</v>
      </c>
      <c r="Y108" s="650">
        <v>2025</v>
      </c>
      <c r="Z108" s="651">
        <v>11</v>
      </c>
      <c r="AA108" s="649" t="str">
        <f>+Tabla_query___2026_06_23T082334.128[[#This Row],[AÑO]]&amp;" - "&amp;Tabla_query___2026_06_23T082334.128[[#This Row],[MES]]</f>
        <v>2025 - 11</v>
      </c>
      <c r="AB108" s="6">
        <f t="shared" si="3"/>
        <v>75</v>
      </c>
      <c r="AC108" s="6">
        <f t="shared" si="4"/>
        <v>8000</v>
      </c>
      <c r="AD108" s="6">
        <f t="shared" si="5"/>
        <v>350</v>
      </c>
    </row>
    <row r="109" spans="2:30">
      <c r="B109" s="673">
        <v>45980</v>
      </c>
      <c r="C109" s="642">
        <v>59249</v>
      </c>
      <c r="D109" s="642">
        <v>60429</v>
      </c>
      <c r="E109" s="642">
        <v>14266</v>
      </c>
      <c r="F109" s="642">
        <v>827.79700000000003</v>
      </c>
      <c r="G109" s="642">
        <v>8376</v>
      </c>
      <c r="H109" s="642">
        <v>232701</v>
      </c>
      <c r="I109" s="643">
        <v>4838.1000000000004</v>
      </c>
      <c r="J109" s="643">
        <v>9890.5</v>
      </c>
      <c r="K109" s="643">
        <v>4824.8</v>
      </c>
      <c r="L109" s="644"/>
      <c r="M109" s="644"/>
      <c r="N109" s="645">
        <v>83</v>
      </c>
      <c r="O109" s="645">
        <v>84</v>
      </c>
      <c r="P109" s="645">
        <v>11</v>
      </c>
      <c r="Q109" s="646">
        <v>0.371</v>
      </c>
      <c r="R109" s="645">
        <v>13</v>
      </c>
      <c r="S109" s="645">
        <v>82</v>
      </c>
      <c r="T109" s="643">
        <v>4.4000000000000004</v>
      </c>
      <c r="U109" s="647">
        <v>18</v>
      </c>
      <c r="V109" s="643">
        <v>6</v>
      </c>
      <c r="W109" s="648">
        <v>51</v>
      </c>
      <c r="X109" s="649">
        <v>47</v>
      </c>
      <c r="Y109" s="650">
        <v>2025</v>
      </c>
      <c r="Z109" s="651">
        <v>11</v>
      </c>
      <c r="AA109" s="649" t="str">
        <f>+Tabla_query___2026_06_23T082334.128[[#This Row],[AÑO]]&amp;" - "&amp;Tabla_query___2026_06_23T082334.128[[#This Row],[MES]]</f>
        <v>2025 - 11</v>
      </c>
      <c r="AB109" s="6">
        <f t="shared" si="3"/>
        <v>75</v>
      </c>
      <c r="AC109" s="6">
        <f t="shared" si="4"/>
        <v>8000</v>
      </c>
      <c r="AD109" s="6">
        <f t="shared" si="5"/>
        <v>350</v>
      </c>
    </row>
    <row r="110" spans="2:30">
      <c r="B110" s="673">
        <v>45981</v>
      </c>
      <c r="C110" s="642">
        <v>59320</v>
      </c>
      <c r="D110" s="642">
        <v>60503</v>
      </c>
      <c r="E110" s="642">
        <v>14277</v>
      </c>
      <c r="F110" s="642">
        <v>828.74599999999998</v>
      </c>
      <c r="G110" s="642">
        <v>8389</v>
      </c>
      <c r="H110" s="642">
        <v>232773</v>
      </c>
      <c r="I110" s="643">
        <v>4842</v>
      </c>
      <c r="J110" s="643">
        <v>9905.6</v>
      </c>
      <c r="K110" s="643">
        <v>4830</v>
      </c>
      <c r="L110" s="644"/>
      <c r="M110" s="644"/>
      <c r="N110" s="645">
        <v>71</v>
      </c>
      <c r="O110" s="645">
        <v>74</v>
      </c>
      <c r="P110" s="645">
        <v>11</v>
      </c>
      <c r="Q110" s="646">
        <v>0.94899999999999995</v>
      </c>
      <c r="R110" s="645">
        <v>13</v>
      </c>
      <c r="S110" s="645">
        <v>72</v>
      </c>
      <c r="T110" s="643">
        <v>3.9</v>
      </c>
      <c r="U110" s="647">
        <v>15.1</v>
      </c>
      <c r="V110" s="643">
        <v>5.2</v>
      </c>
      <c r="W110" s="648">
        <v>48</v>
      </c>
      <c r="X110" s="649">
        <v>47</v>
      </c>
      <c r="Y110" s="650">
        <v>2025</v>
      </c>
      <c r="Z110" s="651">
        <v>11</v>
      </c>
      <c r="AA110" s="649" t="str">
        <f>+Tabla_query___2026_06_23T082334.128[[#This Row],[AÑO]]&amp;" - "&amp;Tabla_query___2026_06_23T082334.128[[#This Row],[MES]]</f>
        <v>2025 - 11</v>
      </c>
      <c r="AB110" s="6">
        <f t="shared" si="3"/>
        <v>75</v>
      </c>
      <c r="AC110" s="6">
        <f t="shared" si="4"/>
        <v>8000</v>
      </c>
      <c r="AD110" s="6">
        <f t="shared" si="5"/>
        <v>350</v>
      </c>
    </row>
    <row r="111" spans="2:30">
      <c r="B111" s="673">
        <v>45982</v>
      </c>
      <c r="C111" s="642">
        <v>59386</v>
      </c>
      <c r="D111" s="642">
        <v>60570</v>
      </c>
      <c r="E111" s="642">
        <v>14289</v>
      </c>
      <c r="F111" s="642">
        <v>829.16399999999999</v>
      </c>
      <c r="G111" s="642">
        <v>8401</v>
      </c>
      <c r="H111" s="642">
        <v>232838</v>
      </c>
      <c r="I111" s="643">
        <v>4846.6000000000004</v>
      </c>
      <c r="J111" s="643">
        <v>9922.5</v>
      </c>
      <c r="K111" s="643">
        <v>4835.5</v>
      </c>
      <c r="L111" s="644"/>
      <c r="M111" s="644"/>
      <c r="N111" s="645">
        <v>66</v>
      </c>
      <c r="O111" s="645">
        <v>67</v>
      </c>
      <c r="P111" s="645">
        <v>12</v>
      </c>
      <c r="Q111" s="646">
        <v>0.41799999999999998</v>
      </c>
      <c r="R111" s="645">
        <v>12</v>
      </c>
      <c r="S111" s="645">
        <v>65</v>
      </c>
      <c r="T111" s="643">
        <v>4.5999999999999996</v>
      </c>
      <c r="U111" s="647">
        <v>16.899999999999999</v>
      </c>
      <c r="V111" s="643">
        <v>5.5</v>
      </c>
      <c r="W111" s="648">
        <v>42</v>
      </c>
      <c r="X111" s="649">
        <v>47</v>
      </c>
      <c r="Y111" s="650">
        <v>2025</v>
      </c>
      <c r="Z111" s="651">
        <v>11</v>
      </c>
      <c r="AA111" s="649" t="str">
        <f>+Tabla_query___2026_06_23T082334.128[[#This Row],[AÑO]]&amp;" - "&amp;Tabla_query___2026_06_23T082334.128[[#This Row],[MES]]</f>
        <v>2025 - 11</v>
      </c>
      <c r="AB111" s="6">
        <f t="shared" si="3"/>
        <v>75</v>
      </c>
      <c r="AC111" s="6">
        <f t="shared" si="4"/>
        <v>8000</v>
      </c>
      <c r="AD111" s="6">
        <f t="shared" si="5"/>
        <v>350</v>
      </c>
    </row>
    <row r="112" spans="2:30">
      <c r="B112" s="673">
        <v>45983</v>
      </c>
      <c r="C112" s="642">
        <v>59443</v>
      </c>
      <c r="D112" s="642">
        <v>60629</v>
      </c>
      <c r="E112" s="642">
        <v>14302</v>
      </c>
      <c r="F112" s="642">
        <v>830.64700000000005</v>
      </c>
      <c r="G112" s="642">
        <v>8410</v>
      </c>
      <c r="H112" s="642">
        <v>232897</v>
      </c>
      <c r="I112" s="643">
        <v>4850.8</v>
      </c>
      <c r="J112" s="643">
        <v>9936</v>
      </c>
      <c r="K112" s="643">
        <v>4840.7</v>
      </c>
      <c r="L112" s="644"/>
      <c r="M112" s="644"/>
      <c r="N112" s="645">
        <v>57</v>
      </c>
      <c r="O112" s="645">
        <v>59</v>
      </c>
      <c r="P112" s="645">
        <v>13</v>
      </c>
      <c r="Q112" s="646">
        <v>1.4830000000000001</v>
      </c>
      <c r="R112" s="645">
        <v>9</v>
      </c>
      <c r="S112" s="645">
        <v>59</v>
      </c>
      <c r="T112" s="643">
        <v>4.2</v>
      </c>
      <c r="U112" s="647">
        <v>13.5</v>
      </c>
      <c r="V112" s="643">
        <v>5.2</v>
      </c>
      <c r="W112" s="648">
        <v>39</v>
      </c>
      <c r="X112" s="649">
        <v>47</v>
      </c>
      <c r="Y112" s="650">
        <v>2025</v>
      </c>
      <c r="Z112" s="651">
        <v>11</v>
      </c>
      <c r="AA112" s="649" t="str">
        <f>+Tabla_query___2026_06_23T082334.128[[#This Row],[AÑO]]&amp;" - "&amp;Tabla_query___2026_06_23T082334.128[[#This Row],[MES]]</f>
        <v>2025 - 11</v>
      </c>
      <c r="AB112" s="6">
        <f t="shared" si="3"/>
        <v>75</v>
      </c>
      <c r="AC112" s="6">
        <f t="shared" si="4"/>
        <v>8000</v>
      </c>
      <c r="AD112" s="6">
        <f t="shared" si="5"/>
        <v>350</v>
      </c>
    </row>
    <row r="113" spans="2:30">
      <c r="B113" s="673">
        <v>45985</v>
      </c>
      <c r="C113" s="642">
        <v>59502</v>
      </c>
      <c r="D113" s="642">
        <v>60689</v>
      </c>
      <c r="E113" s="642">
        <v>14316</v>
      </c>
      <c r="F113" s="642">
        <v>831.36099999999999</v>
      </c>
      <c r="G113" s="642">
        <v>8412</v>
      </c>
      <c r="H113" s="642">
        <v>232956</v>
      </c>
      <c r="I113" s="643">
        <v>4854.3999999999996</v>
      </c>
      <c r="J113" s="643">
        <v>9956.5</v>
      </c>
      <c r="K113" s="643">
        <v>4846.3</v>
      </c>
      <c r="L113" s="644"/>
      <c r="M113" s="644"/>
      <c r="N113" s="645">
        <v>59</v>
      </c>
      <c r="O113" s="645">
        <v>60</v>
      </c>
      <c r="P113" s="645">
        <v>14</v>
      </c>
      <c r="Q113" s="646">
        <v>0.71399999999999997</v>
      </c>
      <c r="R113" s="645">
        <v>2</v>
      </c>
      <c r="S113" s="645">
        <v>59</v>
      </c>
      <c r="T113" s="643">
        <v>3.6</v>
      </c>
      <c r="U113" s="647">
        <v>20.5</v>
      </c>
      <c r="V113" s="643">
        <v>5.6</v>
      </c>
      <c r="W113" s="648">
        <v>35</v>
      </c>
      <c r="X113" s="649">
        <v>48</v>
      </c>
      <c r="Y113" s="650">
        <v>2025</v>
      </c>
      <c r="Z113" s="651">
        <v>11</v>
      </c>
      <c r="AA113" s="649" t="str">
        <f>+Tabla_query___2026_06_23T082334.128[[#This Row],[AÑO]]&amp;" - "&amp;Tabla_query___2026_06_23T082334.128[[#This Row],[MES]]</f>
        <v>2025 - 11</v>
      </c>
      <c r="AB113" s="6">
        <f t="shared" si="3"/>
        <v>75</v>
      </c>
      <c r="AC113" s="6">
        <f t="shared" si="4"/>
        <v>8000</v>
      </c>
      <c r="AD113" s="6">
        <f t="shared" si="5"/>
        <v>350</v>
      </c>
    </row>
    <row r="114" spans="2:30">
      <c r="B114" s="673">
        <v>45986</v>
      </c>
      <c r="C114" s="642">
        <v>59568</v>
      </c>
      <c r="D114" s="642">
        <v>60756</v>
      </c>
      <c r="E114" s="642">
        <v>14327</v>
      </c>
      <c r="F114" s="642">
        <v>831.36099999999999</v>
      </c>
      <c r="G114" s="642">
        <v>8420</v>
      </c>
      <c r="H114" s="642">
        <v>233023</v>
      </c>
      <c r="I114" s="643">
        <v>4857.6000000000004</v>
      </c>
      <c r="J114" s="643">
        <v>9968.4</v>
      </c>
      <c r="K114" s="643">
        <v>4850.3</v>
      </c>
      <c r="L114" s="644"/>
      <c r="M114" s="644"/>
      <c r="N114" s="645">
        <v>66</v>
      </c>
      <c r="O114" s="645">
        <v>67</v>
      </c>
      <c r="P114" s="645">
        <v>11</v>
      </c>
      <c r="Q114" s="646">
        <v>0</v>
      </c>
      <c r="R114" s="645">
        <v>8</v>
      </c>
      <c r="S114" s="645">
        <v>67</v>
      </c>
      <c r="T114" s="643">
        <v>3.2</v>
      </c>
      <c r="U114" s="647">
        <v>11.9</v>
      </c>
      <c r="V114" s="643">
        <v>4</v>
      </c>
      <c r="W114" s="648">
        <v>33</v>
      </c>
      <c r="X114" s="649">
        <v>48</v>
      </c>
      <c r="Y114" s="650">
        <v>2025</v>
      </c>
      <c r="Z114" s="651">
        <v>11</v>
      </c>
      <c r="AA114" s="649" t="str">
        <f>+Tabla_query___2026_06_23T082334.128[[#This Row],[AÑO]]&amp;" - "&amp;Tabla_query___2026_06_23T082334.128[[#This Row],[MES]]</f>
        <v>2025 - 11</v>
      </c>
      <c r="AB114" s="6">
        <f t="shared" si="3"/>
        <v>75</v>
      </c>
      <c r="AC114" s="6">
        <f t="shared" si="4"/>
        <v>8000</v>
      </c>
      <c r="AD114" s="6">
        <f t="shared" si="5"/>
        <v>350</v>
      </c>
    </row>
    <row r="115" spans="2:30">
      <c r="B115" s="673">
        <v>45987</v>
      </c>
      <c r="C115" s="642">
        <v>59638</v>
      </c>
      <c r="D115" s="642">
        <v>60828</v>
      </c>
      <c r="E115" s="642">
        <v>14338</v>
      </c>
      <c r="F115" s="642">
        <v>831.74</v>
      </c>
      <c r="G115" s="642">
        <v>8424</v>
      </c>
      <c r="H115" s="642">
        <v>233094</v>
      </c>
      <c r="I115" s="643">
        <v>4861.3999999999996</v>
      </c>
      <c r="J115" s="643">
        <v>9983.2000000000007</v>
      </c>
      <c r="K115" s="643">
        <v>4855.3999999999996</v>
      </c>
      <c r="L115" s="644"/>
      <c r="M115" s="644"/>
      <c r="N115" s="645">
        <v>70</v>
      </c>
      <c r="O115" s="645">
        <v>72</v>
      </c>
      <c r="P115" s="645">
        <v>11</v>
      </c>
      <c r="Q115" s="646">
        <v>0.379</v>
      </c>
      <c r="R115" s="645">
        <v>4</v>
      </c>
      <c r="S115" s="645">
        <v>71</v>
      </c>
      <c r="T115" s="643">
        <v>3.8</v>
      </c>
      <c r="U115" s="647">
        <v>14.8</v>
      </c>
      <c r="V115" s="643">
        <v>5.0999999999999996</v>
      </c>
      <c r="W115" s="648">
        <v>78</v>
      </c>
      <c r="X115" s="649">
        <v>48</v>
      </c>
      <c r="Y115" s="650">
        <v>2025</v>
      </c>
      <c r="Z115" s="651">
        <v>11</v>
      </c>
      <c r="AA115" s="649" t="str">
        <f>+Tabla_query___2026_06_23T082334.128[[#This Row],[AÑO]]&amp;" - "&amp;Tabla_query___2026_06_23T082334.128[[#This Row],[MES]]</f>
        <v>2025 - 11</v>
      </c>
      <c r="AB115" s="6">
        <f t="shared" si="3"/>
        <v>75</v>
      </c>
      <c r="AC115" s="6">
        <f t="shared" si="4"/>
        <v>8000</v>
      </c>
      <c r="AD115" s="6">
        <f t="shared" si="5"/>
        <v>350</v>
      </c>
    </row>
    <row r="116" spans="2:30">
      <c r="B116" s="673">
        <v>45988</v>
      </c>
      <c r="C116" s="642">
        <v>59697</v>
      </c>
      <c r="D116" s="642">
        <v>60889</v>
      </c>
      <c r="E116" s="642">
        <v>14349</v>
      </c>
      <c r="F116" s="642">
        <v>832.12300000000005</v>
      </c>
      <c r="G116" s="642">
        <v>8430</v>
      </c>
      <c r="H116" s="642">
        <v>233154</v>
      </c>
      <c r="I116" s="643">
        <v>4865.5</v>
      </c>
      <c r="J116" s="643">
        <v>9998.4</v>
      </c>
      <c r="K116" s="643">
        <v>4860.5</v>
      </c>
      <c r="L116" s="644"/>
      <c r="M116" s="644"/>
      <c r="N116" s="645">
        <v>59</v>
      </c>
      <c r="O116" s="645">
        <v>61</v>
      </c>
      <c r="P116" s="645">
        <v>11</v>
      </c>
      <c r="Q116" s="646">
        <v>0.38300000000000001</v>
      </c>
      <c r="R116" s="645">
        <v>6</v>
      </c>
      <c r="S116" s="645">
        <v>60</v>
      </c>
      <c r="T116" s="643">
        <v>4.0999999999999996</v>
      </c>
      <c r="U116" s="647">
        <v>15.2</v>
      </c>
      <c r="V116" s="643">
        <v>5.0999999999999996</v>
      </c>
      <c r="W116" s="648">
        <v>75</v>
      </c>
      <c r="X116" s="649">
        <v>48</v>
      </c>
      <c r="Y116" s="650">
        <v>2025</v>
      </c>
      <c r="Z116" s="651">
        <v>11</v>
      </c>
      <c r="AA116" s="649" t="str">
        <f>+Tabla_query___2026_06_23T082334.128[[#This Row],[AÑO]]&amp;" - "&amp;Tabla_query___2026_06_23T082334.128[[#This Row],[MES]]</f>
        <v>2025 - 11</v>
      </c>
      <c r="AB116" s="6">
        <f t="shared" si="3"/>
        <v>75</v>
      </c>
      <c r="AC116" s="6">
        <f t="shared" si="4"/>
        <v>8000</v>
      </c>
      <c r="AD116" s="6">
        <f t="shared" si="5"/>
        <v>350</v>
      </c>
    </row>
    <row r="117" spans="2:30">
      <c r="B117" s="673">
        <v>45989</v>
      </c>
      <c r="C117" s="642">
        <v>59754</v>
      </c>
      <c r="D117" s="642">
        <v>60947</v>
      </c>
      <c r="E117" s="642">
        <v>14359</v>
      </c>
      <c r="F117" s="642">
        <v>832.46799999999996</v>
      </c>
      <c r="G117" s="642">
        <v>8439</v>
      </c>
      <c r="H117" s="642">
        <v>233213</v>
      </c>
      <c r="I117" s="643">
        <v>4869.5</v>
      </c>
      <c r="J117" s="643">
        <v>13</v>
      </c>
      <c r="K117" s="643">
        <v>4865.3999999999996</v>
      </c>
      <c r="L117" s="644"/>
      <c r="M117" s="644"/>
      <c r="N117" s="645">
        <v>57</v>
      </c>
      <c r="O117" s="645">
        <v>58</v>
      </c>
      <c r="P117" s="645">
        <v>10</v>
      </c>
      <c r="Q117" s="646">
        <v>0.34499999999999997</v>
      </c>
      <c r="R117" s="645">
        <v>9</v>
      </c>
      <c r="S117" s="645">
        <v>59</v>
      </c>
      <c r="T117" s="643">
        <v>4</v>
      </c>
      <c r="U117" s="647">
        <v>0</v>
      </c>
      <c r="V117" s="643">
        <v>4.9000000000000004</v>
      </c>
      <c r="W117" s="648">
        <v>73</v>
      </c>
      <c r="X117" s="649">
        <v>48</v>
      </c>
      <c r="Y117" s="650">
        <v>2025</v>
      </c>
      <c r="Z117" s="651">
        <v>11</v>
      </c>
      <c r="AA117" s="649" t="str">
        <f>+Tabla_query___2026_06_23T082334.128[[#This Row],[AÑO]]&amp;" - "&amp;Tabla_query___2026_06_23T082334.128[[#This Row],[MES]]</f>
        <v>2025 - 11</v>
      </c>
      <c r="AB117" s="6">
        <f t="shared" si="3"/>
        <v>75</v>
      </c>
      <c r="AC117" s="6">
        <f t="shared" si="4"/>
        <v>8000</v>
      </c>
      <c r="AD117" s="6">
        <f t="shared" si="5"/>
        <v>350</v>
      </c>
    </row>
    <row r="118" spans="2:30">
      <c r="B118" s="673">
        <v>45990</v>
      </c>
      <c r="C118" s="642">
        <v>59816</v>
      </c>
      <c r="D118" s="642">
        <v>61009</v>
      </c>
      <c r="E118" s="642">
        <v>14369</v>
      </c>
      <c r="F118" s="642">
        <v>832.87199999999996</v>
      </c>
      <c r="G118" s="642">
        <v>8447</v>
      </c>
      <c r="H118" s="642">
        <v>233275</v>
      </c>
      <c r="I118" s="643">
        <v>4872.8</v>
      </c>
      <c r="J118" s="643">
        <v>27.7</v>
      </c>
      <c r="K118" s="643">
        <v>4871.2</v>
      </c>
      <c r="L118" s="644"/>
      <c r="M118" s="644"/>
      <c r="N118" s="645">
        <v>62</v>
      </c>
      <c r="O118" s="645">
        <v>62</v>
      </c>
      <c r="P118" s="645">
        <v>10</v>
      </c>
      <c r="Q118" s="646">
        <v>0.40400000000000003</v>
      </c>
      <c r="R118" s="645">
        <v>8</v>
      </c>
      <c r="S118" s="645">
        <v>62</v>
      </c>
      <c r="T118" s="643">
        <v>3.3</v>
      </c>
      <c r="U118" s="647">
        <v>14.7</v>
      </c>
      <c r="V118" s="643">
        <v>5.8</v>
      </c>
      <c r="W118" s="648">
        <v>68</v>
      </c>
      <c r="X118" s="649">
        <v>48</v>
      </c>
      <c r="Y118" s="650">
        <v>2025</v>
      </c>
      <c r="Z118" s="651">
        <v>11</v>
      </c>
      <c r="AA118" s="649" t="str">
        <f>+Tabla_query___2026_06_23T082334.128[[#This Row],[AÑO]]&amp;" - "&amp;Tabla_query___2026_06_23T082334.128[[#This Row],[MES]]</f>
        <v>2025 - 11</v>
      </c>
      <c r="AB118" s="6">
        <f t="shared" si="3"/>
        <v>75</v>
      </c>
      <c r="AC118" s="6">
        <f t="shared" si="4"/>
        <v>8000</v>
      </c>
      <c r="AD118" s="6">
        <f t="shared" si="5"/>
        <v>350</v>
      </c>
    </row>
    <row r="119" spans="2:30">
      <c r="B119" s="673">
        <v>45992</v>
      </c>
      <c r="C119" s="642">
        <v>59866</v>
      </c>
      <c r="D119" s="642">
        <v>61060</v>
      </c>
      <c r="E119" s="642">
        <v>14380</v>
      </c>
      <c r="F119" s="642">
        <v>833.34</v>
      </c>
      <c r="G119" s="642">
        <v>8448</v>
      </c>
      <c r="H119" s="642">
        <v>233326</v>
      </c>
      <c r="I119" s="643">
        <v>4877.3999999999996</v>
      </c>
      <c r="J119" s="643">
        <v>45.93</v>
      </c>
      <c r="K119" s="643">
        <v>4877.1000000000004</v>
      </c>
      <c r="L119" s="644"/>
      <c r="M119" s="644"/>
      <c r="N119" s="645">
        <v>50</v>
      </c>
      <c r="O119" s="645">
        <v>51</v>
      </c>
      <c r="P119" s="645">
        <v>11</v>
      </c>
      <c r="Q119" s="646">
        <v>0.46800000000000003</v>
      </c>
      <c r="R119" s="645">
        <v>1</v>
      </c>
      <c r="S119" s="645">
        <v>51</v>
      </c>
      <c r="T119" s="643">
        <v>4.5999999999999996</v>
      </c>
      <c r="U119" s="647">
        <v>18.23</v>
      </c>
      <c r="V119" s="643">
        <v>5.9</v>
      </c>
      <c r="W119" s="648">
        <v>67</v>
      </c>
      <c r="X119" s="649">
        <v>49</v>
      </c>
      <c r="Y119" s="650">
        <v>2025</v>
      </c>
      <c r="Z119" s="651">
        <v>12</v>
      </c>
      <c r="AA119" s="649" t="str">
        <f>+Tabla_query___2026_06_23T082334.128[[#This Row],[AÑO]]&amp;" - "&amp;Tabla_query___2026_06_23T082334.128[[#This Row],[MES]]</f>
        <v>2025 - 12</v>
      </c>
      <c r="AB119" s="6">
        <f t="shared" si="3"/>
        <v>75</v>
      </c>
      <c r="AC119" s="6">
        <f t="shared" si="4"/>
        <v>8000</v>
      </c>
      <c r="AD119" s="6">
        <f t="shared" si="5"/>
        <v>350</v>
      </c>
    </row>
    <row r="120" spans="2:30">
      <c r="B120" s="673">
        <v>45993</v>
      </c>
      <c r="C120" s="642">
        <v>59927</v>
      </c>
      <c r="D120" s="642">
        <v>61122</v>
      </c>
      <c r="E120" s="642">
        <v>14390</v>
      </c>
      <c r="F120" s="642">
        <v>833.38400000000001</v>
      </c>
      <c r="G120" s="642">
        <v>8456</v>
      </c>
      <c r="H120" s="642">
        <v>233388</v>
      </c>
      <c r="I120" s="643">
        <v>4880.8</v>
      </c>
      <c r="J120" s="643">
        <v>59.4</v>
      </c>
      <c r="K120" s="643">
        <v>4882.2</v>
      </c>
      <c r="L120" s="644"/>
      <c r="M120" s="644"/>
      <c r="N120" s="645">
        <v>61</v>
      </c>
      <c r="O120" s="645">
        <v>62</v>
      </c>
      <c r="P120" s="645">
        <v>10</v>
      </c>
      <c r="Q120" s="646">
        <v>4.3999999999999997E-2</v>
      </c>
      <c r="R120" s="645">
        <v>8</v>
      </c>
      <c r="S120" s="645">
        <v>62</v>
      </c>
      <c r="T120" s="643">
        <v>3.4</v>
      </c>
      <c r="U120" s="647">
        <v>13.47</v>
      </c>
      <c r="V120" s="643">
        <v>5.0999999999999996</v>
      </c>
      <c r="W120" s="648">
        <v>62</v>
      </c>
      <c r="X120" s="649">
        <v>49</v>
      </c>
      <c r="Y120" s="650">
        <v>2025</v>
      </c>
      <c r="Z120" s="651">
        <v>12</v>
      </c>
      <c r="AA120" s="649" t="str">
        <f>+Tabla_query___2026_06_23T082334.128[[#This Row],[AÑO]]&amp;" - "&amp;Tabla_query___2026_06_23T082334.128[[#This Row],[MES]]</f>
        <v>2025 - 12</v>
      </c>
      <c r="AB120" s="6">
        <f t="shared" si="3"/>
        <v>75</v>
      </c>
      <c r="AC120" s="6">
        <f t="shared" si="4"/>
        <v>8000</v>
      </c>
      <c r="AD120" s="6">
        <f t="shared" si="5"/>
        <v>350</v>
      </c>
    </row>
    <row r="121" spans="2:30">
      <c r="B121" s="673">
        <v>45994</v>
      </c>
      <c r="C121" s="642">
        <v>59997</v>
      </c>
      <c r="D121" s="642">
        <v>61194</v>
      </c>
      <c r="E121" s="642">
        <v>14400</v>
      </c>
      <c r="F121" s="642">
        <v>834.17200000000003</v>
      </c>
      <c r="G121" s="642">
        <v>8465</v>
      </c>
      <c r="H121" s="642">
        <v>233460</v>
      </c>
      <c r="I121" s="643">
        <v>4885.2</v>
      </c>
      <c r="J121" s="643">
        <v>76.5</v>
      </c>
      <c r="K121" s="643">
        <v>4888.3999999999996</v>
      </c>
      <c r="L121" s="644"/>
      <c r="M121" s="644"/>
      <c r="N121" s="645">
        <v>70</v>
      </c>
      <c r="O121" s="645">
        <v>72</v>
      </c>
      <c r="P121" s="645">
        <v>10</v>
      </c>
      <c r="Q121" s="646">
        <v>0.78800000000000003</v>
      </c>
      <c r="R121" s="645">
        <v>9</v>
      </c>
      <c r="S121" s="645">
        <v>72</v>
      </c>
      <c r="T121" s="643">
        <v>4.4000000000000004</v>
      </c>
      <c r="U121" s="647">
        <v>17.100000000000001</v>
      </c>
      <c r="V121" s="643">
        <v>6.2</v>
      </c>
      <c r="W121" s="648">
        <v>59</v>
      </c>
      <c r="X121" s="649">
        <v>49</v>
      </c>
      <c r="Y121" s="650">
        <v>2025</v>
      </c>
      <c r="Z121" s="651">
        <v>12</v>
      </c>
      <c r="AA121" s="649" t="str">
        <f>+Tabla_query___2026_06_23T082334.128[[#This Row],[AÑO]]&amp;" - "&amp;Tabla_query___2026_06_23T082334.128[[#This Row],[MES]]</f>
        <v>2025 - 12</v>
      </c>
      <c r="AB121" s="6">
        <f t="shared" si="3"/>
        <v>75</v>
      </c>
      <c r="AC121" s="6">
        <f t="shared" si="4"/>
        <v>8000</v>
      </c>
      <c r="AD121" s="6">
        <f t="shared" si="5"/>
        <v>350</v>
      </c>
    </row>
    <row r="122" spans="2:30">
      <c r="B122" s="673">
        <v>45995</v>
      </c>
      <c r="C122" s="642">
        <v>60062</v>
      </c>
      <c r="D122" s="642">
        <v>61260</v>
      </c>
      <c r="E122" s="642">
        <v>14412</v>
      </c>
      <c r="F122" s="642">
        <v>834.66099999999994</v>
      </c>
      <c r="G122" s="642">
        <v>8476</v>
      </c>
      <c r="H122" s="642">
        <v>233526</v>
      </c>
      <c r="I122" s="643">
        <v>4889.8</v>
      </c>
      <c r="J122" s="643">
        <v>92.4</v>
      </c>
      <c r="K122" s="643">
        <v>4893.5</v>
      </c>
      <c r="L122" s="644"/>
      <c r="M122" s="644"/>
      <c r="N122" s="645">
        <v>65</v>
      </c>
      <c r="O122" s="645">
        <v>66</v>
      </c>
      <c r="P122" s="645">
        <v>12</v>
      </c>
      <c r="Q122" s="646">
        <v>0.48899999999999999</v>
      </c>
      <c r="R122" s="645">
        <v>11</v>
      </c>
      <c r="S122" s="645">
        <v>66</v>
      </c>
      <c r="T122" s="643">
        <v>4.5999999999999996</v>
      </c>
      <c r="U122" s="647">
        <v>15.9</v>
      </c>
      <c r="V122" s="643">
        <v>5.0999999999999996</v>
      </c>
      <c r="W122" s="648">
        <v>55</v>
      </c>
      <c r="X122" s="649">
        <v>49</v>
      </c>
      <c r="Y122" s="650">
        <v>2025</v>
      </c>
      <c r="Z122" s="651">
        <v>12</v>
      </c>
      <c r="AA122" s="649" t="str">
        <f>+Tabla_query___2026_06_23T082334.128[[#This Row],[AÑO]]&amp;" - "&amp;Tabla_query___2026_06_23T082334.128[[#This Row],[MES]]</f>
        <v>2025 - 12</v>
      </c>
      <c r="AB122" s="6">
        <f t="shared" si="3"/>
        <v>75</v>
      </c>
      <c r="AC122" s="6">
        <f t="shared" si="4"/>
        <v>8000</v>
      </c>
      <c r="AD122" s="6">
        <f t="shared" si="5"/>
        <v>350</v>
      </c>
    </row>
    <row r="123" spans="2:30">
      <c r="B123" s="673">
        <v>45996</v>
      </c>
      <c r="C123" s="642">
        <v>60127</v>
      </c>
      <c r="D123" s="642">
        <v>61326</v>
      </c>
      <c r="E123" s="642">
        <v>14421</v>
      </c>
      <c r="F123" s="642">
        <v>834.66099999999994</v>
      </c>
      <c r="G123" s="642">
        <v>8485</v>
      </c>
      <c r="H123" s="642">
        <v>233592</v>
      </c>
      <c r="I123" s="643">
        <v>4894.3</v>
      </c>
      <c r="J123" s="643">
        <v>108.8</v>
      </c>
      <c r="K123" s="643">
        <v>4898.6000000000004</v>
      </c>
      <c r="L123" s="644"/>
      <c r="M123" s="644"/>
      <c r="N123" s="645">
        <v>65</v>
      </c>
      <c r="O123" s="645">
        <v>66</v>
      </c>
      <c r="P123" s="645">
        <v>9</v>
      </c>
      <c r="Q123" s="646">
        <v>0</v>
      </c>
      <c r="R123" s="645">
        <v>9</v>
      </c>
      <c r="S123" s="645">
        <v>66</v>
      </c>
      <c r="T123" s="643">
        <v>4.5</v>
      </c>
      <c r="U123" s="647">
        <v>16.399999999999999</v>
      </c>
      <c r="V123" s="643">
        <v>5.0999999999999996</v>
      </c>
      <c r="W123" s="648">
        <v>50</v>
      </c>
      <c r="X123" s="649">
        <v>49</v>
      </c>
      <c r="Y123" s="650">
        <v>2025</v>
      </c>
      <c r="Z123" s="651">
        <v>12</v>
      </c>
      <c r="AA123" s="649" t="str">
        <f>+Tabla_query___2026_06_23T082334.128[[#This Row],[AÑO]]&amp;" - "&amp;Tabla_query___2026_06_23T082334.128[[#This Row],[MES]]</f>
        <v>2025 - 12</v>
      </c>
      <c r="AB123" s="6">
        <f t="shared" si="3"/>
        <v>75</v>
      </c>
      <c r="AC123" s="6">
        <f t="shared" si="4"/>
        <v>8000</v>
      </c>
      <c r="AD123" s="6">
        <f t="shared" si="5"/>
        <v>350</v>
      </c>
    </row>
    <row r="124" spans="2:30">
      <c r="B124" s="673">
        <v>45997</v>
      </c>
      <c r="C124" s="642">
        <v>60180</v>
      </c>
      <c r="D124" s="642">
        <v>61380</v>
      </c>
      <c r="E124" s="642">
        <v>14431</v>
      </c>
      <c r="F124" s="642">
        <v>834.98</v>
      </c>
      <c r="G124" s="642">
        <v>8495</v>
      </c>
      <c r="H124" s="642">
        <v>233647</v>
      </c>
      <c r="I124" s="643">
        <v>4897.6000000000004</v>
      </c>
      <c r="J124" s="643">
        <v>122.9</v>
      </c>
      <c r="K124" s="643">
        <v>4903.7</v>
      </c>
      <c r="L124" s="644"/>
      <c r="M124" s="644"/>
      <c r="N124" s="645">
        <v>53</v>
      </c>
      <c r="O124" s="645">
        <v>54</v>
      </c>
      <c r="P124" s="645">
        <v>10</v>
      </c>
      <c r="Q124" s="646">
        <v>0.31900000000000001</v>
      </c>
      <c r="R124" s="645">
        <v>10</v>
      </c>
      <c r="S124" s="645">
        <v>55</v>
      </c>
      <c r="T124" s="643">
        <v>3.3</v>
      </c>
      <c r="U124" s="647">
        <v>14.1</v>
      </c>
      <c r="V124" s="643">
        <v>5.0999999999999996</v>
      </c>
      <c r="W124" s="648">
        <v>82</v>
      </c>
      <c r="X124" s="649">
        <v>49</v>
      </c>
      <c r="Y124" s="650">
        <v>2025</v>
      </c>
      <c r="Z124" s="651">
        <v>12</v>
      </c>
      <c r="AA124" s="649" t="str">
        <f>+Tabla_query___2026_06_23T082334.128[[#This Row],[AÑO]]&amp;" - "&amp;Tabla_query___2026_06_23T082334.128[[#This Row],[MES]]</f>
        <v>2025 - 12</v>
      </c>
      <c r="AB124" s="6">
        <f t="shared" si="3"/>
        <v>75</v>
      </c>
      <c r="AC124" s="6">
        <f t="shared" si="4"/>
        <v>8000</v>
      </c>
      <c r="AD124" s="6">
        <f t="shared" si="5"/>
        <v>350</v>
      </c>
    </row>
    <row r="125" spans="2:30">
      <c r="B125" s="673">
        <v>46001</v>
      </c>
      <c r="C125" s="642">
        <v>60229</v>
      </c>
      <c r="D125" s="642">
        <v>61428</v>
      </c>
      <c r="E125" s="642">
        <v>14441</v>
      </c>
      <c r="F125" s="642">
        <v>835.28499999999997</v>
      </c>
      <c r="G125" s="642">
        <v>8497</v>
      </c>
      <c r="H125" s="642">
        <v>233697</v>
      </c>
      <c r="I125" s="643">
        <v>4901.6000000000004</v>
      </c>
      <c r="J125" s="643">
        <v>145.4</v>
      </c>
      <c r="K125" s="643">
        <v>4910.1000000000004</v>
      </c>
      <c r="L125" s="644"/>
      <c r="M125" s="644"/>
      <c r="N125" s="645">
        <v>49</v>
      </c>
      <c r="O125" s="645">
        <v>48</v>
      </c>
      <c r="P125" s="645">
        <v>10</v>
      </c>
      <c r="Q125" s="646">
        <v>0.30499999999999999</v>
      </c>
      <c r="R125" s="645">
        <v>2</v>
      </c>
      <c r="S125" s="645">
        <v>50</v>
      </c>
      <c r="T125" s="643">
        <v>4</v>
      </c>
      <c r="U125" s="647">
        <v>22.5</v>
      </c>
      <c r="V125" s="643">
        <v>6.4</v>
      </c>
      <c r="W125" s="648">
        <v>78</v>
      </c>
      <c r="X125" s="649">
        <v>50</v>
      </c>
      <c r="Y125" s="650">
        <v>2025</v>
      </c>
      <c r="Z125" s="651">
        <v>12</v>
      </c>
      <c r="AA125" s="649" t="str">
        <f>+Tabla_query___2026_06_23T082334.128[[#This Row],[AÑO]]&amp;" - "&amp;Tabla_query___2026_06_23T082334.128[[#This Row],[MES]]</f>
        <v>2025 - 12</v>
      </c>
      <c r="AB125" s="6">
        <f t="shared" si="3"/>
        <v>75</v>
      </c>
      <c r="AC125" s="6">
        <f t="shared" si="4"/>
        <v>8000</v>
      </c>
      <c r="AD125" s="6">
        <f t="shared" si="5"/>
        <v>350</v>
      </c>
    </row>
    <row r="126" spans="2:30">
      <c r="B126" s="673">
        <v>46002</v>
      </c>
      <c r="C126" s="642">
        <v>60279</v>
      </c>
      <c r="D126" s="642">
        <v>61479</v>
      </c>
      <c r="E126" s="642">
        <v>14451</v>
      </c>
      <c r="F126" s="642">
        <v>835.28499999999997</v>
      </c>
      <c r="G126" s="642">
        <v>8506</v>
      </c>
      <c r="H126" s="642">
        <v>233748</v>
      </c>
      <c r="I126" s="643">
        <v>4905.8</v>
      </c>
      <c r="J126" s="643">
        <v>159.6</v>
      </c>
      <c r="K126" s="643">
        <v>4915.3999999999996</v>
      </c>
      <c r="L126" s="644"/>
      <c r="M126" s="644"/>
      <c r="N126" s="645">
        <v>50</v>
      </c>
      <c r="O126" s="645">
        <v>51</v>
      </c>
      <c r="P126" s="645">
        <v>10</v>
      </c>
      <c r="Q126" s="646">
        <v>0</v>
      </c>
      <c r="R126" s="645">
        <v>9</v>
      </c>
      <c r="S126" s="645">
        <v>51</v>
      </c>
      <c r="T126" s="643">
        <v>4.2</v>
      </c>
      <c r="U126" s="647">
        <v>14.2</v>
      </c>
      <c r="V126" s="643">
        <v>5.3</v>
      </c>
      <c r="W126" s="648">
        <v>75</v>
      </c>
      <c r="X126" s="649">
        <v>50</v>
      </c>
      <c r="Y126" s="650">
        <v>2025</v>
      </c>
      <c r="Z126" s="651">
        <v>12</v>
      </c>
      <c r="AA126" s="649" t="str">
        <f>+Tabla_query___2026_06_23T082334.128[[#This Row],[AÑO]]&amp;" - "&amp;Tabla_query___2026_06_23T082334.128[[#This Row],[MES]]</f>
        <v>2025 - 12</v>
      </c>
      <c r="AB126" s="6">
        <f t="shared" si="3"/>
        <v>75</v>
      </c>
      <c r="AC126" s="6">
        <f t="shared" si="4"/>
        <v>8000</v>
      </c>
      <c r="AD126" s="6">
        <f t="shared" si="5"/>
        <v>350</v>
      </c>
    </row>
    <row r="127" spans="2:30">
      <c r="B127" s="673">
        <v>46003</v>
      </c>
      <c r="C127" s="642">
        <v>60355</v>
      </c>
      <c r="D127" s="642">
        <v>61557</v>
      </c>
      <c r="E127" s="642">
        <v>14461</v>
      </c>
      <c r="F127" s="642">
        <v>835.77599999999995</v>
      </c>
      <c r="G127" s="642">
        <v>8515</v>
      </c>
      <c r="H127" s="642">
        <v>233826</v>
      </c>
      <c r="I127" s="643">
        <v>4909.7</v>
      </c>
      <c r="J127" s="643">
        <v>176.8</v>
      </c>
      <c r="K127" s="643">
        <v>4921.5</v>
      </c>
      <c r="L127" s="644"/>
      <c r="M127" s="644"/>
      <c r="N127" s="645">
        <v>76</v>
      </c>
      <c r="O127" s="645">
        <v>78</v>
      </c>
      <c r="P127" s="645">
        <v>10</v>
      </c>
      <c r="Q127" s="646">
        <v>0.49099999999999999</v>
      </c>
      <c r="R127" s="645">
        <v>9</v>
      </c>
      <c r="S127" s="645">
        <v>78</v>
      </c>
      <c r="T127" s="643">
        <v>3.9</v>
      </c>
      <c r="U127" s="647">
        <v>17.2</v>
      </c>
      <c r="V127" s="643">
        <v>6.1</v>
      </c>
      <c r="W127" s="648">
        <v>70</v>
      </c>
      <c r="X127" s="649">
        <v>50</v>
      </c>
      <c r="Y127" s="650">
        <v>2025</v>
      </c>
      <c r="Z127" s="651">
        <v>12</v>
      </c>
      <c r="AA127" s="649" t="str">
        <f>+Tabla_query___2026_06_23T082334.128[[#This Row],[AÑO]]&amp;" - "&amp;Tabla_query___2026_06_23T082334.128[[#This Row],[MES]]</f>
        <v>2025 - 12</v>
      </c>
      <c r="AB127" s="6">
        <f t="shared" si="3"/>
        <v>75</v>
      </c>
      <c r="AC127" s="6">
        <f t="shared" si="4"/>
        <v>8000</v>
      </c>
      <c r="AD127" s="6">
        <f t="shared" si="5"/>
        <v>350</v>
      </c>
    </row>
    <row r="128" spans="2:30">
      <c r="B128" s="673">
        <v>46004</v>
      </c>
      <c r="C128" s="642">
        <v>60401</v>
      </c>
      <c r="D128" s="642">
        <v>61605</v>
      </c>
      <c r="E128" s="642">
        <v>14473</v>
      </c>
      <c r="F128" s="642">
        <v>837.32299999999998</v>
      </c>
      <c r="G128" s="642">
        <v>8526</v>
      </c>
      <c r="H128" s="642">
        <v>233873</v>
      </c>
      <c r="I128" s="643">
        <v>4913.1000000000004</v>
      </c>
      <c r="J128" s="643">
        <v>191.9</v>
      </c>
      <c r="K128" s="643">
        <v>4926.6000000000004</v>
      </c>
      <c r="L128" s="644"/>
      <c r="M128" s="644"/>
      <c r="N128" s="645">
        <v>46</v>
      </c>
      <c r="O128" s="645">
        <v>48</v>
      </c>
      <c r="P128" s="645">
        <v>12</v>
      </c>
      <c r="Q128" s="646">
        <v>1.5469999999999999</v>
      </c>
      <c r="R128" s="645">
        <v>11</v>
      </c>
      <c r="S128" s="645">
        <v>47</v>
      </c>
      <c r="T128" s="643">
        <v>3.4</v>
      </c>
      <c r="U128" s="647">
        <v>15.1</v>
      </c>
      <c r="V128" s="643">
        <v>5.0999999999999996</v>
      </c>
      <c r="W128" s="648">
        <v>65</v>
      </c>
      <c r="X128" s="649">
        <v>50</v>
      </c>
      <c r="Y128" s="650">
        <v>2025</v>
      </c>
      <c r="Z128" s="651">
        <v>12</v>
      </c>
      <c r="AA128" s="649" t="str">
        <f>+Tabla_query___2026_06_23T082334.128[[#This Row],[AÑO]]&amp;" - "&amp;Tabla_query___2026_06_23T082334.128[[#This Row],[MES]]</f>
        <v>2025 - 12</v>
      </c>
      <c r="AB128" s="6">
        <f t="shared" si="3"/>
        <v>75</v>
      </c>
      <c r="AC128" s="6">
        <f t="shared" si="4"/>
        <v>8000</v>
      </c>
      <c r="AD128" s="6">
        <f t="shared" si="5"/>
        <v>350</v>
      </c>
    </row>
    <row r="129" spans="2:30">
      <c r="B129" s="673">
        <v>46006</v>
      </c>
      <c r="C129" s="642">
        <v>60453</v>
      </c>
      <c r="D129" s="642">
        <v>61658</v>
      </c>
      <c r="E129" s="642">
        <v>14485</v>
      </c>
      <c r="F129" s="642">
        <v>837.46299999999997</v>
      </c>
      <c r="G129" s="642">
        <v>8529</v>
      </c>
      <c r="H129" s="642">
        <v>233927</v>
      </c>
      <c r="I129" s="643">
        <v>4915.3999999999996</v>
      </c>
      <c r="J129" s="643">
        <v>207.8</v>
      </c>
      <c r="K129" s="643">
        <v>4930.7</v>
      </c>
      <c r="L129" s="644"/>
      <c r="M129" s="644"/>
      <c r="N129" s="645">
        <v>52</v>
      </c>
      <c r="O129" s="645">
        <v>53</v>
      </c>
      <c r="P129" s="645">
        <v>12</v>
      </c>
      <c r="Q129" s="646">
        <v>0.14000000000000001</v>
      </c>
      <c r="R129" s="645">
        <v>3</v>
      </c>
      <c r="S129" s="645">
        <v>54</v>
      </c>
      <c r="T129" s="643">
        <v>2.2999999999999998</v>
      </c>
      <c r="U129" s="647">
        <v>15.9</v>
      </c>
      <c r="V129" s="643">
        <v>4.0999999999999996</v>
      </c>
      <c r="W129" s="648">
        <v>66</v>
      </c>
      <c r="X129" s="649">
        <v>51</v>
      </c>
      <c r="Y129" s="650">
        <v>2025</v>
      </c>
      <c r="Z129" s="651">
        <v>12</v>
      </c>
      <c r="AA129" s="649" t="str">
        <f>+Tabla_query___2026_06_23T082334.128[[#This Row],[AÑO]]&amp;" - "&amp;Tabla_query___2026_06_23T082334.128[[#This Row],[MES]]</f>
        <v>2025 - 12</v>
      </c>
      <c r="AB129" s="6">
        <f t="shared" si="3"/>
        <v>75</v>
      </c>
      <c r="AC129" s="6">
        <f t="shared" si="4"/>
        <v>8000</v>
      </c>
      <c r="AD129" s="6">
        <f t="shared" si="5"/>
        <v>350</v>
      </c>
    </row>
    <row r="130" spans="2:30">
      <c r="B130" s="673">
        <v>46007</v>
      </c>
      <c r="C130" s="642">
        <v>60506</v>
      </c>
      <c r="D130" s="642">
        <v>61713</v>
      </c>
      <c r="E130" s="642">
        <v>14495</v>
      </c>
      <c r="F130" s="642">
        <v>837.81299999999999</v>
      </c>
      <c r="G130" s="642">
        <v>8539</v>
      </c>
      <c r="H130" s="642">
        <v>233981</v>
      </c>
      <c r="I130" s="643">
        <v>4919.3</v>
      </c>
      <c r="J130" s="643">
        <v>220.2</v>
      </c>
      <c r="K130" s="643">
        <v>4935.1000000000004</v>
      </c>
      <c r="L130" s="644"/>
      <c r="M130" s="644"/>
      <c r="N130" s="645">
        <v>53</v>
      </c>
      <c r="O130" s="645">
        <v>55</v>
      </c>
      <c r="P130" s="645">
        <v>10</v>
      </c>
      <c r="Q130" s="646">
        <v>0.35</v>
      </c>
      <c r="R130" s="645">
        <v>10</v>
      </c>
      <c r="S130" s="645">
        <v>54</v>
      </c>
      <c r="T130" s="643">
        <v>3.9</v>
      </c>
      <c r="U130" s="647">
        <v>12.4</v>
      </c>
      <c r="V130" s="643">
        <v>4.4000000000000004</v>
      </c>
      <c r="W130" s="648">
        <v>62</v>
      </c>
      <c r="X130" s="649">
        <v>51</v>
      </c>
      <c r="Y130" s="650">
        <v>2025</v>
      </c>
      <c r="Z130" s="651">
        <v>12</v>
      </c>
      <c r="AA130" s="649" t="str">
        <f>+Tabla_query___2026_06_23T082334.128[[#This Row],[AÑO]]&amp;" - "&amp;Tabla_query___2026_06_23T082334.128[[#This Row],[MES]]</f>
        <v>2025 - 12</v>
      </c>
      <c r="AB130" s="6">
        <f t="shared" si="3"/>
        <v>75</v>
      </c>
      <c r="AC130" s="6">
        <f t="shared" si="4"/>
        <v>8000</v>
      </c>
      <c r="AD130" s="6">
        <f t="shared" si="5"/>
        <v>350</v>
      </c>
    </row>
    <row r="131" spans="2:30">
      <c r="B131" s="673">
        <v>46008</v>
      </c>
      <c r="C131" s="642">
        <v>60588</v>
      </c>
      <c r="D131" s="642">
        <v>61797</v>
      </c>
      <c r="E131" s="642">
        <v>14509</v>
      </c>
      <c r="F131" s="642">
        <v>840.19200000000001</v>
      </c>
      <c r="G131" s="642">
        <v>8551</v>
      </c>
      <c r="H131" s="642">
        <v>234065</v>
      </c>
      <c r="I131" s="643">
        <v>4923.3</v>
      </c>
      <c r="J131" s="643">
        <v>234.8</v>
      </c>
      <c r="K131" s="643">
        <v>4940.7</v>
      </c>
      <c r="L131" s="644"/>
      <c r="M131" s="644"/>
      <c r="N131" s="645">
        <v>82</v>
      </c>
      <c r="O131" s="645">
        <v>84</v>
      </c>
      <c r="P131" s="645">
        <v>14</v>
      </c>
      <c r="Q131" s="646">
        <v>2.379</v>
      </c>
      <c r="R131" s="645">
        <v>12</v>
      </c>
      <c r="S131" s="645">
        <v>84</v>
      </c>
      <c r="T131" s="643">
        <v>4</v>
      </c>
      <c r="U131" s="647">
        <v>14.6</v>
      </c>
      <c r="V131" s="643">
        <v>5.6</v>
      </c>
      <c r="W131" s="648">
        <v>59</v>
      </c>
      <c r="X131" s="649">
        <v>51</v>
      </c>
      <c r="Y131" s="650">
        <v>2025</v>
      </c>
      <c r="Z131" s="651">
        <v>12</v>
      </c>
      <c r="AA131" s="649" t="str">
        <f>+Tabla_query___2026_06_23T082334.128[[#This Row],[AÑO]]&amp;" - "&amp;Tabla_query___2026_06_23T082334.128[[#This Row],[MES]]</f>
        <v>2025 - 12</v>
      </c>
      <c r="AB131" s="6">
        <f t="shared" ref="AB131:AB194" si="6">+$AB$1</f>
        <v>75</v>
      </c>
      <c r="AC131" s="6">
        <f t="shared" ref="AC131:AC194" si="7">+$AC$1</f>
        <v>8000</v>
      </c>
      <c r="AD131" s="6">
        <f t="shared" ref="AD131:AD194" si="8">+$AD$1</f>
        <v>350</v>
      </c>
    </row>
    <row r="132" spans="2:30">
      <c r="B132" s="673">
        <v>46010</v>
      </c>
      <c r="C132" s="642">
        <v>60731</v>
      </c>
      <c r="D132" s="642">
        <v>61944</v>
      </c>
      <c r="E132" s="642">
        <v>14532</v>
      </c>
      <c r="F132" s="642">
        <v>842.27</v>
      </c>
      <c r="G132" s="642">
        <v>8573</v>
      </c>
      <c r="H132" s="642">
        <v>234212</v>
      </c>
      <c r="I132" s="643">
        <v>4930.2</v>
      </c>
      <c r="J132" s="643">
        <v>260.39999999999998</v>
      </c>
      <c r="K132" s="643">
        <v>4950</v>
      </c>
      <c r="L132" s="644"/>
      <c r="M132" s="644"/>
      <c r="N132" s="645">
        <v>143</v>
      </c>
      <c r="O132" s="645">
        <v>147</v>
      </c>
      <c r="P132" s="645">
        <v>23</v>
      </c>
      <c r="Q132" s="646">
        <v>2.0779999999999998</v>
      </c>
      <c r="R132" s="645">
        <v>22</v>
      </c>
      <c r="S132" s="645">
        <v>147</v>
      </c>
      <c r="T132" s="643">
        <v>6.9</v>
      </c>
      <c r="U132" s="647">
        <v>25.6</v>
      </c>
      <c r="V132" s="643">
        <v>9.3000000000000007</v>
      </c>
      <c r="W132" s="648">
        <v>51</v>
      </c>
      <c r="X132" s="649">
        <v>51</v>
      </c>
      <c r="Y132" s="650">
        <v>2025</v>
      </c>
      <c r="Z132" s="651">
        <v>12</v>
      </c>
      <c r="AA132" s="649" t="str">
        <f>+Tabla_query___2026_06_23T082334.128[[#This Row],[AÑO]]&amp;" - "&amp;Tabla_query___2026_06_23T082334.128[[#This Row],[MES]]</f>
        <v>2025 - 12</v>
      </c>
      <c r="AB132" s="6">
        <f t="shared" si="6"/>
        <v>75</v>
      </c>
      <c r="AC132" s="6">
        <f t="shared" si="7"/>
        <v>8000</v>
      </c>
      <c r="AD132" s="6">
        <f t="shared" si="8"/>
        <v>350</v>
      </c>
    </row>
    <row r="133" spans="2:30">
      <c r="B133" s="673">
        <v>46011</v>
      </c>
      <c r="C133" s="642">
        <v>60796</v>
      </c>
      <c r="D133" s="642">
        <v>62010</v>
      </c>
      <c r="E133" s="642">
        <v>14541</v>
      </c>
      <c r="F133" s="642">
        <v>842.60699999999997</v>
      </c>
      <c r="G133" s="642">
        <v>8584</v>
      </c>
      <c r="H133" s="642">
        <v>234278</v>
      </c>
      <c r="I133" s="643">
        <v>4932.6000000000004</v>
      </c>
      <c r="J133" s="643">
        <v>269.8</v>
      </c>
      <c r="K133" s="643">
        <v>4953.6000000000004</v>
      </c>
      <c r="L133" s="644"/>
      <c r="M133" s="644"/>
      <c r="N133" s="645">
        <v>65</v>
      </c>
      <c r="O133" s="645">
        <v>66</v>
      </c>
      <c r="P133" s="645">
        <v>9</v>
      </c>
      <c r="Q133" s="646">
        <v>0.33700000000000002</v>
      </c>
      <c r="R133" s="645">
        <v>11</v>
      </c>
      <c r="S133" s="645">
        <v>66</v>
      </c>
      <c r="T133" s="643">
        <v>2.4</v>
      </c>
      <c r="U133" s="647">
        <v>9.4</v>
      </c>
      <c r="V133" s="643">
        <v>3.6</v>
      </c>
      <c r="W133" s="648">
        <v>51</v>
      </c>
      <c r="X133" s="649">
        <v>51</v>
      </c>
      <c r="Y133" s="650">
        <v>2025</v>
      </c>
      <c r="Z133" s="651">
        <v>12</v>
      </c>
      <c r="AA133" s="649" t="str">
        <f>+Tabla_query___2026_06_23T082334.128[[#This Row],[AÑO]]&amp;" - "&amp;Tabla_query___2026_06_23T082334.128[[#This Row],[MES]]</f>
        <v>2025 - 12</v>
      </c>
      <c r="AB133" s="6">
        <f t="shared" si="6"/>
        <v>75</v>
      </c>
      <c r="AC133" s="6">
        <f t="shared" si="7"/>
        <v>8000</v>
      </c>
      <c r="AD133" s="6">
        <f t="shared" si="8"/>
        <v>350</v>
      </c>
    </row>
    <row r="134" spans="2:30">
      <c r="B134" s="673">
        <v>46013</v>
      </c>
      <c r="C134" s="642">
        <v>60852</v>
      </c>
      <c r="D134" s="642">
        <v>62067</v>
      </c>
      <c r="E134" s="642">
        <v>14552</v>
      </c>
      <c r="F134" s="642">
        <v>843.20399999999995</v>
      </c>
      <c r="G134" s="642">
        <v>8586</v>
      </c>
      <c r="H134" s="642">
        <v>234336</v>
      </c>
      <c r="I134" s="643">
        <v>4934.6000000000004</v>
      </c>
      <c r="J134" s="643">
        <v>283.5</v>
      </c>
      <c r="K134" s="643">
        <v>4957.3</v>
      </c>
      <c r="L134" s="644"/>
      <c r="M134" s="644"/>
      <c r="N134" s="645">
        <v>56</v>
      </c>
      <c r="O134" s="645">
        <v>57</v>
      </c>
      <c r="P134" s="645">
        <v>11</v>
      </c>
      <c r="Q134" s="646">
        <v>0.59699999999999998</v>
      </c>
      <c r="R134" s="645">
        <v>2</v>
      </c>
      <c r="S134" s="645">
        <v>58</v>
      </c>
      <c r="T134" s="643">
        <v>2</v>
      </c>
      <c r="U134" s="647">
        <v>13.7</v>
      </c>
      <c r="V134" s="643">
        <v>3.7</v>
      </c>
      <c r="W134" s="648">
        <v>50</v>
      </c>
      <c r="X134" s="649">
        <v>52</v>
      </c>
      <c r="Y134" s="650">
        <v>2025</v>
      </c>
      <c r="Z134" s="651">
        <v>12</v>
      </c>
      <c r="AA134" s="649" t="str">
        <f>+Tabla_query___2026_06_23T082334.128[[#This Row],[AÑO]]&amp;" - "&amp;Tabla_query___2026_06_23T082334.128[[#This Row],[MES]]</f>
        <v>2025 - 12</v>
      </c>
      <c r="AB134" s="6">
        <f t="shared" si="6"/>
        <v>75</v>
      </c>
      <c r="AC134" s="6">
        <f t="shared" si="7"/>
        <v>8000</v>
      </c>
      <c r="AD134" s="6">
        <f t="shared" si="8"/>
        <v>350</v>
      </c>
    </row>
    <row r="135" spans="2:30">
      <c r="B135" s="673">
        <v>46014</v>
      </c>
      <c r="C135" s="642">
        <v>60915</v>
      </c>
      <c r="D135" s="642">
        <v>62133</v>
      </c>
      <c r="E135" s="642">
        <v>14563</v>
      </c>
      <c r="F135" s="642">
        <v>843.274</v>
      </c>
      <c r="G135" s="642">
        <v>8594</v>
      </c>
      <c r="H135" s="642">
        <v>234401</v>
      </c>
      <c r="I135" s="643">
        <v>4937.5</v>
      </c>
      <c r="J135" s="643">
        <v>292.8</v>
      </c>
      <c r="K135" s="643">
        <v>4960.7</v>
      </c>
      <c r="L135" s="644"/>
      <c r="M135" s="644"/>
      <c r="N135" s="645">
        <v>63</v>
      </c>
      <c r="O135" s="645">
        <v>66</v>
      </c>
      <c r="P135" s="645">
        <v>11</v>
      </c>
      <c r="Q135" s="646">
        <v>7.0000000000000007E-2</v>
      </c>
      <c r="R135" s="645">
        <v>8</v>
      </c>
      <c r="S135" s="645">
        <v>65</v>
      </c>
      <c r="T135" s="643">
        <v>2.9</v>
      </c>
      <c r="U135" s="647">
        <v>9.3000000000000007</v>
      </c>
      <c r="V135" s="643">
        <v>3.4</v>
      </c>
      <c r="W135" s="648">
        <v>50</v>
      </c>
      <c r="X135" s="649">
        <v>52</v>
      </c>
      <c r="Y135" s="650">
        <v>2025</v>
      </c>
      <c r="Z135" s="651">
        <v>12</v>
      </c>
      <c r="AA135" s="649" t="str">
        <f>+Tabla_query___2026_06_23T082334.128[[#This Row],[AÑO]]&amp;" - "&amp;Tabla_query___2026_06_23T082334.128[[#This Row],[MES]]</f>
        <v>2025 - 12</v>
      </c>
      <c r="AB135" s="6">
        <f t="shared" si="6"/>
        <v>75</v>
      </c>
      <c r="AC135" s="6">
        <f t="shared" si="7"/>
        <v>8000</v>
      </c>
      <c r="AD135" s="6">
        <f t="shared" si="8"/>
        <v>350</v>
      </c>
    </row>
    <row r="136" spans="2:30">
      <c r="B136" s="673">
        <v>46015</v>
      </c>
      <c r="C136" s="642">
        <v>60977</v>
      </c>
      <c r="D136" s="642">
        <v>62197</v>
      </c>
      <c r="E136" s="642">
        <v>14573</v>
      </c>
      <c r="F136" s="642">
        <v>843.34</v>
      </c>
      <c r="G136" s="642">
        <v>8602</v>
      </c>
      <c r="H136" s="642">
        <v>234466</v>
      </c>
      <c r="I136" s="643">
        <v>4940.6000000000004</v>
      </c>
      <c r="J136" s="643">
        <v>303.89999999999998</v>
      </c>
      <c r="K136" s="643">
        <v>4964.3</v>
      </c>
      <c r="L136" s="644"/>
      <c r="M136" s="644"/>
      <c r="N136" s="645">
        <v>62</v>
      </c>
      <c r="O136" s="645">
        <v>64</v>
      </c>
      <c r="P136" s="645">
        <v>10</v>
      </c>
      <c r="Q136" s="646">
        <v>6.6000000000000003E-2</v>
      </c>
      <c r="R136" s="645">
        <v>8</v>
      </c>
      <c r="S136" s="645">
        <v>65</v>
      </c>
      <c r="T136" s="643">
        <v>3.1</v>
      </c>
      <c r="U136" s="647">
        <v>11.1</v>
      </c>
      <c r="V136" s="643">
        <v>3.6</v>
      </c>
      <c r="W136" s="648">
        <v>50</v>
      </c>
      <c r="X136" s="649">
        <v>52</v>
      </c>
      <c r="Y136" s="650">
        <v>2025</v>
      </c>
      <c r="Z136" s="651">
        <v>12</v>
      </c>
      <c r="AA136" s="649" t="str">
        <f>+Tabla_query___2026_06_23T082334.128[[#This Row],[AÑO]]&amp;" - "&amp;Tabla_query___2026_06_23T082334.128[[#This Row],[MES]]</f>
        <v>2025 - 12</v>
      </c>
      <c r="AB136" s="6">
        <f t="shared" si="6"/>
        <v>75</v>
      </c>
      <c r="AC136" s="6">
        <f t="shared" si="7"/>
        <v>8000</v>
      </c>
      <c r="AD136" s="6">
        <f t="shared" si="8"/>
        <v>350</v>
      </c>
    </row>
    <row r="137" spans="2:30">
      <c r="B137" s="673">
        <v>46017</v>
      </c>
      <c r="C137" s="642">
        <v>60991</v>
      </c>
      <c r="D137" s="642">
        <v>62211</v>
      </c>
      <c r="E137" s="642">
        <v>14578</v>
      </c>
      <c r="F137" s="642">
        <v>845.28700000000003</v>
      </c>
      <c r="G137" s="642">
        <v>8605</v>
      </c>
      <c r="H137" s="642">
        <v>234481</v>
      </c>
      <c r="I137" s="643">
        <v>4941.5</v>
      </c>
      <c r="J137" s="643">
        <v>314</v>
      </c>
      <c r="K137" s="643">
        <v>4965.8</v>
      </c>
      <c r="L137" s="644"/>
      <c r="M137" s="644"/>
      <c r="N137" s="645">
        <v>14</v>
      </c>
      <c r="O137" s="645">
        <v>14</v>
      </c>
      <c r="P137" s="645">
        <v>5</v>
      </c>
      <c r="Q137" s="646">
        <v>1.9470000000000001</v>
      </c>
      <c r="R137" s="645">
        <v>3</v>
      </c>
      <c r="S137" s="645">
        <v>15</v>
      </c>
      <c r="T137" s="643">
        <v>0.9</v>
      </c>
      <c r="U137" s="647">
        <v>10.1</v>
      </c>
      <c r="V137" s="643">
        <v>1.5</v>
      </c>
      <c r="W137" s="648">
        <v>50</v>
      </c>
      <c r="X137" s="649">
        <v>52</v>
      </c>
      <c r="Y137" s="650">
        <v>2025</v>
      </c>
      <c r="Z137" s="651">
        <v>12</v>
      </c>
      <c r="AA137" s="649" t="str">
        <f>+Tabla_query___2026_06_23T082334.128[[#This Row],[AÑO]]&amp;" - "&amp;Tabla_query___2026_06_23T082334.128[[#This Row],[MES]]</f>
        <v>2025 - 12</v>
      </c>
      <c r="AB137" s="6">
        <f t="shared" si="6"/>
        <v>75</v>
      </c>
      <c r="AC137" s="6">
        <f t="shared" si="7"/>
        <v>8000</v>
      </c>
      <c r="AD137" s="6">
        <f t="shared" si="8"/>
        <v>350</v>
      </c>
    </row>
    <row r="138" spans="2:30">
      <c r="B138" s="673">
        <v>46018</v>
      </c>
      <c r="C138" s="642">
        <v>61026</v>
      </c>
      <c r="D138" s="642">
        <v>62246</v>
      </c>
      <c r="E138" s="642">
        <v>14590</v>
      </c>
      <c r="F138" s="642">
        <v>846.96</v>
      </c>
      <c r="G138" s="642">
        <v>8612</v>
      </c>
      <c r="H138" s="642">
        <v>234516</v>
      </c>
      <c r="I138" s="643">
        <v>4943.7</v>
      </c>
      <c r="J138" s="643">
        <v>322.39999999999998</v>
      </c>
      <c r="K138" s="643">
        <v>4968.3999999999996</v>
      </c>
      <c r="L138" s="644"/>
      <c r="M138" s="644"/>
      <c r="N138" s="645">
        <v>35</v>
      </c>
      <c r="O138" s="645">
        <v>35</v>
      </c>
      <c r="P138" s="645">
        <v>12</v>
      </c>
      <c r="Q138" s="646">
        <v>1.673</v>
      </c>
      <c r="R138" s="645">
        <v>7</v>
      </c>
      <c r="S138" s="645">
        <v>35</v>
      </c>
      <c r="T138" s="643">
        <v>2.2000000000000002</v>
      </c>
      <c r="U138" s="647">
        <v>8.4</v>
      </c>
      <c r="V138" s="643">
        <v>2.6</v>
      </c>
      <c r="W138" s="648">
        <v>50</v>
      </c>
      <c r="X138" s="649">
        <v>52</v>
      </c>
      <c r="Y138" s="650">
        <v>2025</v>
      </c>
      <c r="Z138" s="651">
        <v>12</v>
      </c>
      <c r="AA138" s="649" t="str">
        <f>+Tabla_query___2026_06_23T082334.128[[#This Row],[AÑO]]&amp;" - "&amp;Tabla_query___2026_06_23T082334.128[[#This Row],[MES]]</f>
        <v>2025 - 12</v>
      </c>
      <c r="AB138" s="6">
        <f t="shared" si="6"/>
        <v>75</v>
      </c>
      <c r="AC138" s="6">
        <f t="shared" si="7"/>
        <v>8000</v>
      </c>
      <c r="AD138" s="6">
        <f t="shared" si="8"/>
        <v>350</v>
      </c>
    </row>
    <row r="139" spans="2:30">
      <c r="B139" s="673">
        <v>46020</v>
      </c>
      <c r="C139" s="642">
        <v>61067</v>
      </c>
      <c r="D139" s="642">
        <v>62289</v>
      </c>
      <c r="E139" s="642">
        <v>14599</v>
      </c>
      <c r="F139" s="642">
        <v>846.96</v>
      </c>
      <c r="G139" s="642">
        <v>8614</v>
      </c>
      <c r="H139" s="642">
        <v>234558</v>
      </c>
      <c r="I139" s="643">
        <v>4945.6000000000004</v>
      </c>
      <c r="J139" s="643">
        <v>333.9</v>
      </c>
      <c r="K139" s="643">
        <v>4971.2</v>
      </c>
      <c r="L139" s="644"/>
      <c r="M139" s="644"/>
      <c r="N139" s="645">
        <v>41</v>
      </c>
      <c r="O139" s="645">
        <v>43</v>
      </c>
      <c r="P139" s="645">
        <v>9</v>
      </c>
      <c r="Q139" s="646">
        <v>0</v>
      </c>
      <c r="R139" s="645">
        <v>2</v>
      </c>
      <c r="S139" s="645">
        <v>42</v>
      </c>
      <c r="T139" s="643">
        <v>1.9</v>
      </c>
      <c r="U139" s="647">
        <v>11.5</v>
      </c>
      <c r="V139" s="643">
        <v>2.8</v>
      </c>
      <c r="W139" s="648">
        <v>50</v>
      </c>
      <c r="X139" s="649">
        <v>53</v>
      </c>
      <c r="Y139" s="650">
        <v>2025</v>
      </c>
      <c r="Z139" s="651">
        <v>12</v>
      </c>
      <c r="AA139" s="649" t="str">
        <f>+Tabla_query___2026_06_23T082334.128[[#This Row],[AÑO]]&amp;" - "&amp;Tabla_query___2026_06_23T082334.128[[#This Row],[MES]]</f>
        <v>2025 - 12</v>
      </c>
      <c r="AB139" s="6">
        <f t="shared" si="6"/>
        <v>75</v>
      </c>
      <c r="AC139" s="6">
        <f t="shared" si="7"/>
        <v>8000</v>
      </c>
      <c r="AD139" s="6">
        <f t="shared" si="8"/>
        <v>350</v>
      </c>
    </row>
    <row r="140" spans="2:30">
      <c r="B140" s="673">
        <v>46021</v>
      </c>
      <c r="C140" s="642">
        <v>61123</v>
      </c>
      <c r="D140" s="642">
        <v>62347</v>
      </c>
      <c r="E140" s="642">
        <v>14610</v>
      </c>
      <c r="F140" s="642">
        <v>847.26900000000001</v>
      </c>
      <c r="G140" s="642">
        <v>8617</v>
      </c>
      <c r="H140" s="642">
        <v>234616</v>
      </c>
      <c r="I140" s="643">
        <v>4947.5</v>
      </c>
      <c r="J140" s="643">
        <v>340.9</v>
      </c>
      <c r="K140" s="643">
        <v>4973.5</v>
      </c>
      <c r="L140" s="644"/>
      <c r="M140" s="644"/>
      <c r="N140" s="645">
        <v>56</v>
      </c>
      <c r="O140" s="645">
        <v>58</v>
      </c>
      <c r="P140" s="645">
        <v>11</v>
      </c>
      <c r="Q140" s="646">
        <v>0.309</v>
      </c>
      <c r="R140" s="645">
        <v>3</v>
      </c>
      <c r="S140" s="645">
        <v>58</v>
      </c>
      <c r="T140" s="643">
        <v>1.9</v>
      </c>
      <c r="U140" s="647">
        <v>7</v>
      </c>
      <c r="V140" s="643">
        <v>2.2999999999999998</v>
      </c>
      <c r="W140" s="648">
        <v>50</v>
      </c>
      <c r="X140" s="649">
        <v>53</v>
      </c>
      <c r="Y140" s="650">
        <v>2025</v>
      </c>
      <c r="Z140" s="651">
        <v>12</v>
      </c>
      <c r="AA140" s="649" t="str">
        <f>+Tabla_query___2026_06_23T082334.128[[#This Row],[AÑO]]&amp;" - "&amp;Tabla_query___2026_06_23T082334.128[[#This Row],[MES]]</f>
        <v>2025 - 12</v>
      </c>
      <c r="AB140" s="6">
        <f t="shared" si="6"/>
        <v>75</v>
      </c>
      <c r="AC140" s="6">
        <f t="shared" si="7"/>
        <v>8000</v>
      </c>
      <c r="AD140" s="6">
        <f t="shared" si="8"/>
        <v>350</v>
      </c>
    </row>
    <row r="141" spans="2:30">
      <c r="B141" s="673">
        <v>46022</v>
      </c>
      <c r="C141" s="642">
        <v>61165</v>
      </c>
      <c r="D141" s="642">
        <v>62390</v>
      </c>
      <c r="E141" s="642">
        <v>14620</v>
      </c>
      <c r="F141" s="642">
        <v>847.50599999999997</v>
      </c>
      <c r="G141" s="642">
        <v>8623</v>
      </c>
      <c r="H141" s="642">
        <v>234660</v>
      </c>
      <c r="I141" s="643">
        <v>4949.3999999999996</v>
      </c>
      <c r="J141" s="643">
        <v>348.3</v>
      </c>
      <c r="K141" s="643">
        <v>4976.1000000000004</v>
      </c>
      <c r="L141" s="644"/>
      <c r="M141" s="644"/>
      <c r="N141" s="645">
        <v>42</v>
      </c>
      <c r="O141" s="645">
        <v>43</v>
      </c>
      <c r="P141" s="645">
        <v>10</v>
      </c>
      <c r="Q141" s="646">
        <v>0.23699999999999999</v>
      </c>
      <c r="R141" s="645">
        <v>6</v>
      </c>
      <c r="S141" s="645">
        <v>44</v>
      </c>
      <c r="T141" s="643">
        <v>1.9</v>
      </c>
      <c r="U141" s="647">
        <v>7.4</v>
      </c>
      <c r="V141" s="643">
        <v>2.6</v>
      </c>
      <c r="W141" s="648">
        <v>50</v>
      </c>
      <c r="X141" s="649">
        <v>53</v>
      </c>
      <c r="Y141" s="650">
        <v>2025</v>
      </c>
      <c r="Z141" s="651">
        <v>12</v>
      </c>
      <c r="AA141" s="649" t="str">
        <f>+Tabla_query___2026_06_23T082334.128[[#This Row],[AÑO]]&amp;" - "&amp;Tabla_query___2026_06_23T082334.128[[#This Row],[MES]]</f>
        <v>2025 - 12</v>
      </c>
      <c r="AB141" s="6">
        <f t="shared" si="6"/>
        <v>75</v>
      </c>
      <c r="AC141" s="6">
        <f t="shared" si="7"/>
        <v>8000</v>
      </c>
      <c r="AD141" s="6">
        <f t="shared" si="8"/>
        <v>350</v>
      </c>
    </row>
    <row r="142" spans="2:30">
      <c r="B142" s="673">
        <v>46024</v>
      </c>
      <c r="C142" s="642">
        <v>61170</v>
      </c>
      <c r="D142" s="642">
        <v>62406</v>
      </c>
      <c r="E142" s="642">
        <v>14624</v>
      </c>
      <c r="F142" s="642">
        <v>847.61099999999999</v>
      </c>
      <c r="G142" s="642">
        <v>8634</v>
      </c>
      <c r="H142" s="642">
        <v>234666</v>
      </c>
      <c r="I142" s="643">
        <v>4950.6000000000004</v>
      </c>
      <c r="J142" s="643">
        <v>359.3</v>
      </c>
      <c r="K142" s="643">
        <v>4978.5</v>
      </c>
      <c r="L142" s="644"/>
      <c r="M142" s="644"/>
      <c r="N142" s="645">
        <v>5</v>
      </c>
      <c r="O142" s="645">
        <v>16</v>
      </c>
      <c r="P142" s="645">
        <v>4</v>
      </c>
      <c r="Q142" s="646">
        <v>0.105</v>
      </c>
      <c r="R142" s="645">
        <v>11</v>
      </c>
      <c r="S142" s="645">
        <v>6</v>
      </c>
      <c r="T142" s="643">
        <v>1.2</v>
      </c>
      <c r="U142" s="647">
        <v>11</v>
      </c>
      <c r="V142" s="643">
        <v>2.4</v>
      </c>
      <c r="W142" s="648">
        <v>50</v>
      </c>
      <c r="X142" s="649">
        <v>1</v>
      </c>
      <c r="Y142" s="650">
        <v>2026</v>
      </c>
      <c r="Z142" s="651">
        <v>1</v>
      </c>
      <c r="AA142" s="649" t="str">
        <f>+Tabla_query___2026_06_23T082334.128[[#This Row],[AÑO]]&amp;" - "&amp;Tabla_query___2026_06_23T082334.128[[#This Row],[MES]]</f>
        <v>2026 - 1</v>
      </c>
      <c r="AB142" s="6">
        <f t="shared" si="6"/>
        <v>75</v>
      </c>
      <c r="AC142" s="6">
        <f t="shared" si="7"/>
        <v>8000</v>
      </c>
      <c r="AD142" s="6">
        <f t="shared" si="8"/>
        <v>350</v>
      </c>
    </row>
    <row r="143" spans="2:30">
      <c r="B143" s="673">
        <v>46025</v>
      </c>
      <c r="C143" s="642">
        <v>61213</v>
      </c>
      <c r="D143" s="642">
        <v>62450</v>
      </c>
      <c r="E143" s="642">
        <v>14632</v>
      </c>
      <c r="F143" s="642">
        <v>847.70500000000004</v>
      </c>
      <c r="G143" s="642">
        <v>8648</v>
      </c>
      <c r="H143" s="642">
        <v>234709</v>
      </c>
      <c r="I143" s="643">
        <v>4953.1000000000004</v>
      </c>
      <c r="J143" s="643">
        <v>371.8</v>
      </c>
      <c r="K143" s="643">
        <v>4982.8</v>
      </c>
      <c r="L143" s="644"/>
      <c r="M143" s="644"/>
      <c r="N143" s="645">
        <v>43</v>
      </c>
      <c r="O143" s="645">
        <v>44</v>
      </c>
      <c r="P143" s="645">
        <v>8</v>
      </c>
      <c r="Q143" s="646">
        <v>9.4E-2</v>
      </c>
      <c r="R143" s="645">
        <v>14</v>
      </c>
      <c r="S143" s="645">
        <v>43</v>
      </c>
      <c r="T143" s="643">
        <v>2.5</v>
      </c>
      <c r="U143" s="647">
        <v>12.5</v>
      </c>
      <c r="V143" s="643">
        <v>4.3</v>
      </c>
      <c r="W143" s="648">
        <v>50</v>
      </c>
      <c r="X143" s="649">
        <v>1</v>
      </c>
      <c r="Y143" s="650">
        <v>2026</v>
      </c>
      <c r="Z143" s="651">
        <v>1</v>
      </c>
      <c r="AA143" s="649" t="str">
        <f>+Tabla_query___2026_06_23T082334.128[[#This Row],[AÑO]]&amp;" - "&amp;Tabla_query___2026_06_23T082334.128[[#This Row],[MES]]</f>
        <v>2026 - 1</v>
      </c>
      <c r="AB143" s="6">
        <f t="shared" si="6"/>
        <v>75</v>
      </c>
      <c r="AC143" s="6">
        <f t="shared" si="7"/>
        <v>8000</v>
      </c>
      <c r="AD143" s="6">
        <f t="shared" si="8"/>
        <v>350</v>
      </c>
    </row>
    <row r="144" spans="2:30">
      <c r="B144" s="673">
        <v>46027</v>
      </c>
      <c r="C144" s="642">
        <v>61316</v>
      </c>
      <c r="D144" s="642">
        <v>62550</v>
      </c>
      <c r="E144" s="642">
        <v>14644</v>
      </c>
      <c r="F144" s="642">
        <v>848.90700000000004</v>
      </c>
      <c r="G144" s="642">
        <v>8658</v>
      </c>
      <c r="H144" s="642">
        <v>234811</v>
      </c>
      <c r="I144" s="643">
        <v>4955.6000000000004</v>
      </c>
      <c r="J144" s="643">
        <v>387.3</v>
      </c>
      <c r="K144" s="643">
        <v>4987.5</v>
      </c>
      <c r="L144" s="644"/>
      <c r="M144" s="644"/>
      <c r="N144" s="645">
        <v>103</v>
      </c>
      <c r="O144" s="645">
        <v>100</v>
      </c>
      <c r="P144" s="645">
        <v>12</v>
      </c>
      <c r="Q144" s="646">
        <v>1.202</v>
      </c>
      <c r="R144" s="645">
        <v>10</v>
      </c>
      <c r="S144" s="645">
        <v>102</v>
      </c>
      <c r="T144" s="643">
        <v>2.5</v>
      </c>
      <c r="U144" s="647">
        <v>15.5</v>
      </c>
      <c r="V144" s="643">
        <v>4.7</v>
      </c>
      <c r="W144" s="648">
        <v>50</v>
      </c>
      <c r="X144" s="649">
        <v>2</v>
      </c>
      <c r="Y144" s="650">
        <v>2026</v>
      </c>
      <c r="Z144" s="651">
        <v>1</v>
      </c>
      <c r="AA144" s="649" t="str">
        <f>+Tabla_query___2026_06_23T082334.128[[#This Row],[AÑO]]&amp;" - "&amp;Tabla_query___2026_06_23T082334.128[[#This Row],[MES]]</f>
        <v>2026 - 1</v>
      </c>
      <c r="AB144" s="6">
        <f t="shared" si="6"/>
        <v>75</v>
      </c>
      <c r="AC144" s="6">
        <f t="shared" si="7"/>
        <v>8000</v>
      </c>
      <c r="AD144" s="6">
        <f t="shared" si="8"/>
        <v>350</v>
      </c>
    </row>
    <row r="145" spans="2:30">
      <c r="B145" s="673">
        <v>46028</v>
      </c>
      <c r="C145" s="642">
        <v>61383</v>
      </c>
      <c r="D145" s="642">
        <v>62619</v>
      </c>
      <c r="E145" s="642">
        <v>14656</v>
      </c>
      <c r="F145" s="642">
        <v>850.68799999999999</v>
      </c>
      <c r="G145" s="642">
        <v>8671</v>
      </c>
      <c r="H145" s="642">
        <v>234878</v>
      </c>
      <c r="I145" s="643">
        <v>4957.8</v>
      </c>
      <c r="J145" s="643">
        <v>396.7</v>
      </c>
      <c r="K145" s="643">
        <v>4990.8999999999996</v>
      </c>
      <c r="L145" s="644"/>
      <c r="M145" s="644"/>
      <c r="N145" s="645">
        <v>67</v>
      </c>
      <c r="O145" s="645">
        <v>69</v>
      </c>
      <c r="P145" s="645">
        <v>12</v>
      </c>
      <c r="Q145" s="646">
        <v>1.7809999999999999</v>
      </c>
      <c r="R145" s="645">
        <v>13</v>
      </c>
      <c r="S145" s="645">
        <v>67</v>
      </c>
      <c r="T145" s="643">
        <v>2.2000000000000002</v>
      </c>
      <c r="U145" s="647">
        <v>9.4</v>
      </c>
      <c r="V145" s="643">
        <v>3.4</v>
      </c>
      <c r="W145" s="648">
        <v>50</v>
      </c>
      <c r="X145" s="649">
        <v>2</v>
      </c>
      <c r="Y145" s="650">
        <v>2026</v>
      </c>
      <c r="Z145" s="651">
        <v>1</v>
      </c>
      <c r="AA145" s="649" t="str">
        <f>+Tabla_query___2026_06_23T082334.128[[#This Row],[AÑO]]&amp;" - "&amp;Tabla_query___2026_06_23T082334.128[[#This Row],[MES]]</f>
        <v>2026 - 1</v>
      </c>
      <c r="AB145" s="6">
        <f t="shared" si="6"/>
        <v>75</v>
      </c>
      <c r="AC145" s="6">
        <f t="shared" si="7"/>
        <v>8000</v>
      </c>
      <c r="AD145" s="6">
        <f t="shared" si="8"/>
        <v>350</v>
      </c>
    </row>
    <row r="146" spans="2:30">
      <c r="B146" s="673">
        <v>46029</v>
      </c>
      <c r="C146" s="642">
        <v>61452</v>
      </c>
      <c r="D146" s="642">
        <v>62690</v>
      </c>
      <c r="E146" s="642">
        <v>14667</v>
      </c>
      <c r="F146" s="642">
        <v>852.97900000000004</v>
      </c>
      <c r="G146" s="642">
        <v>8681</v>
      </c>
      <c r="H146" s="642">
        <v>234948</v>
      </c>
      <c r="I146" s="643">
        <v>4961.2</v>
      </c>
      <c r="J146" s="643">
        <v>409.1</v>
      </c>
      <c r="K146" s="643">
        <v>4995.3999999999996</v>
      </c>
      <c r="L146" s="644"/>
      <c r="M146" s="644"/>
      <c r="N146" s="645">
        <v>69</v>
      </c>
      <c r="O146" s="645">
        <v>71</v>
      </c>
      <c r="P146" s="645">
        <v>11</v>
      </c>
      <c r="Q146" s="646">
        <v>2.2909999999999999</v>
      </c>
      <c r="R146" s="645">
        <v>10</v>
      </c>
      <c r="S146" s="645">
        <v>70</v>
      </c>
      <c r="T146" s="643">
        <v>3.4</v>
      </c>
      <c r="U146" s="647">
        <v>12.4</v>
      </c>
      <c r="V146" s="643">
        <v>4.5</v>
      </c>
      <c r="W146" s="648">
        <v>49</v>
      </c>
      <c r="X146" s="649">
        <v>2</v>
      </c>
      <c r="Y146" s="650">
        <v>2026</v>
      </c>
      <c r="Z146" s="651">
        <v>1</v>
      </c>
      <c r="AA146" s="649" t="str">
        <f>+Tabla_query___2026_06_23T082334.128[[#This Row],[AÑO]]&amp;" - "&amp;Tabla_query___2026_06_23T082334.128[[#This Row],[MES]]</f>
        <v>2026 - 1</v>
      </c>
      <c r="AB146" s="6">
        <f t="shared" si="6"/>
        <v>75</v>
      </c>
      <c r="AC146" s="6">
        <f t="shared" si="7"/>
        <v>8000</v>
      </c>
      <c r="AD146" s="6">
        <f t="shared" si="8"/>
        <v>350</v>
      </c>
    </row>
    <row r="147" spans="2:30">
      <c r="B147" s="673">
        <v>46030</v>
      </c>
      <c r="C147" s="642">
        <v>61494</v>
      </c>
      <c r="D147" s="642">
        <v>62732</v>
      </c>
      <c r="E147" s="642">
        <v>14676</v>
      </c>
      <c r="F147" s="642">
        <v>853.40200000000004</v>
      </c>
      <c r="G147" s="642">
        <v>8691</v>
      </c>
      <c r="H147" s="642">
        <v>234989</v>
      </c>
      <c r="I147" s="643">
        <v>4966.1000000000004</v>
      </c>
      <c r="J147" s="643">
        <v>425</v>
      </c>
      <c r="K147" s="643">
        <v>5000.8</v>
      </c>
      <c r="L147" s="644"/>
      <c r="M147" s="644"/>
      <c r="N147" s="645">
        <v>42</v>
      </c>
      <c r="O147" s="645">
        <v>42</v>
      </c>
      <c r="P147" s="645">
        <v>9</v>
      </c>
      <c r="Q147" s="646">
        <v>0.42299999999999999</v>
      </c>
      <c r="R147" s="645">
        <v>10</v>
      </c>
      <c r="S147" s="645">
        <v>41</v>
      </c>
      <c r="T147" s="643">
        <v>4.9000000000000004</v>
      </c>
      <c r="U147" s="647">
        <v>15.9</v>
      </c>
      <c r="V147" s="643">
        <v>5.4</v>
      </c>
      <c r="W147" s="648">
        <v>44</v>
      </c>
      <c r="X147" s="649">
        <v>2</v>
      </c>
      <c r="Y147" s="650">
        <v>2026</v>
      </c>
      <c r="Z147" s="651">
        <v>1</v>
      </c>
      <c r="AA147" s="649" t="str">
        <f>+Tabla_query___2026_06_23T082334.128[[#This Row],[AÑO]]&amp;" - "&amp;Tabla_query___2026_06_23T082334.128[[#This Row],[MES]]</f>
        <v>2026 - 1</v>
      </c>
      <c r="AB147" s="6">
        <f t="shared" si="6"/>
        <v>75</v>
      </c>
      <c r="AC147" s="6">
        <f t="shared" si="7"/>
        <v>8000</v>
      </c>
      <c r="AD147" s="6">
        <f t="shared" si="8"/>
        <v>350</v>
      </c>
    </row>
    <row r="148" spans="2:30">
      <c r="B148" s="673">
        <v>46031</v>
      </c>
      <c r="C148" s="642">
        <v>61535</v>
      </c>
      <c r="D148" s="642">
        <v>62774</v>
      </c>
      <c r="E148" s="642">
        <v>14686</v>
      </c>
      <c r="F148" s="642">
        <v>853.79399999999998</v>
      </c>
      <c r="G148" s="642">
        <v>8697</v>
      </c>
      <c r="H148" s="642">
        <v>235031</v>
      </c>
      <c r="I148" s="643">
        <v>4970.1000000000004</v>
      </c>
      <c r="J148" s="643">
        <v>439.6</v>
      </c>
      <c r="K148" s="643">
        <v>5006.3</v>
      </c>
      <c r="L148" s="644"/>
      <c r="M148" s="644"/>
      <c r="N148" s="645">
        <v>41</v>
      </c>
      <c r="O148" s="645">
        <v>42</v>
      </c>
      <c r="P148" s="645">
        <v>10</v>
      </c>
      <c r="Q148" s="646">
        <v>0.39200000000000002</v>
      </c>
      <c r="R148" s="645">
        <v>6</v>
      </c>
      <c r="S148" s="645">
        <v>42</v>
      </c>
      <c r="T148" s="643">
        <v>4</v>
      </c>
      <c r="U148" s="647">
        <v>14.6</v>
      </c>
      <c r="V148" s="643">
        <v>5.5</v>
      </c>
      <c r="W148" s="648">
        <v>40</v>
      </c>
      <c r="X148" s="649">
        <v>2</v>
      </c>
      <c r="Y148" s="650">
        <v>2026</v>
      </c>
      <c r="Z148" s="651">
        <v>1</v>
      </c>
      <c r="AA148" s="649" t="str">
        <f>+Tabla_query___2026_06_23T082334.128[[#This Row],[AÑO]]&amp;" - "&amp;Tabla_query___2026_06_23T082334.128[[#This Row],[MES]]</f>
        <v>2026 - 1</v>
      </c>
      <c r="AB148" s="6">
        <f t="shared" si="6"/>
        <v>75</v>
      </c>
      <c r="AC148" s="6">
        <f t="shared" si="7"/>
        <v>8000</v>
      </c>
      <c r="AD148" s="6">
        <f t="shared" si="8"/>
        <v>350</v>
      </c>
    </row>
    <row r="149" spans="2:30">
      <c r="B149" s="673">
        <v>46032</v>
      </c>
      <c r="C149" s="642">
        <v>61565</v>
      </c>
      <c r="D149" s="642">
        <v>62805</v>
      </c>
      <c r="E149" s="642">
        <v>14695</v>
      </c>
      <c r="F149" s="642">
        <v>853.85699999999997</v>
      </c>
      <c r="G149" s="642">
        <v>8703</v>
      </c>
      <c r="H149" s="642">
        <v>235062</v>
      </c>
      <c r="I149" s="643">
        <v>4973.7</v>
      </c>
      <c r="J149" s="643">
        <v>453.4</v>
      </c>
      <c r="K149" s="643">
        <v>5011.3</v>
      </c>
      <c r="L149" s="644"/>
      <c r="M149" s="644"/>
      <c r="N149" s="645">
        <v>30</v>
      </c>
      <c r="O149" s="645">
        <v>31</v>
      </c>
      <c r="P149" s="645">
        <v>9</v>
      </c>
      <c r="Q149" s="646">
        <v>6.3E-2</v>
      </c>
      <c r="R149" s="645">
        <v>6</v>
      </c>
      <c r="S149" s="645">
        <v>31</v>
      </c>
      <c r="T149" s="643">
        <v>3.6</v>
      </c>
      <c r="U149" s="647">
        <v>13.8</v>
      </c>
      <c r="V149" s="643">
        <v>5</v>
      </c>
      <c r="W149" s="648">
        <v>35</v>
      </c>
      <c r="X149" s="649">
        <v>2</v>
      </c>
      <c r="Y149" s="650">
        <v>2026</v>
      </c>
      <c r="Z149" s="651">
        <v>1</v>
      </c>
      <c r="AA149" s="649" t="str">
        <f>+Tabla_query___2026_06_23T082334.128[[#This Row],[AÑO]]&amp;" - "&amp;Tabla_query___2026_06_23T082334.128[[#This Row],[MES]]</f>
        <v>2026 - 1</v>
      </c>
      <c r="AB149" s="6">
        <f t="shared" si="6"/>
        <v>75</v>
      </c>
      <c r="AC149" s="6">
        <f t="shared" si="7"/>
        <v>8000</v>
      </c>
      <c r="AD149" s="6">
        <f t="shared" si="8"/>
        <v>350</v>
      </c>
    </row>
    <row r="150" spans="2:30">
      <c r="B150" s="673">
        <v>46034</v>
      </c>
      <c r="C150" s="642">
        <v>61611</v>
      </c>
      <c r="D150" s="642">
        <v>62852</v>
      </c>
      <c r="E150" s="642">
        <v>14704</v>
      </c>
      <c r="F150" s="642">
        <v>853.85699999999997</v>
      </c>
      <c r="G150" s="642">
        <v>8706</v>
      </c>
      <c r="H150" s="642">
        <v>235107</v>
      </c>
      <c r="I150" s="643">
        <v>4977</v>
      </c>
      <c r="J150" s="643">
        <v>472.6</v>
      </c>
      <c r="K150" s="643">
        <v>5019.7</v>
      </c>
      <c r="L150" s="644"/>
      <c r="M150" s="644"/>
      <c r="N150" s="645">
        <v>46</v>
      </c>
      <c r="O150" s="645">
        <v>47</v>
      </c>
      <c r="P150" s="645">
        <v>9</v>
      </c>
      <c r="Q150" s="646">
        <v>0</v>
      </c>
      <c r="R150" s="645">
        <v>3</v>
      </c>
      <c r="S150" s="645">
        <v>45</v>
      </c>
      <c r="T150" s="643">
        <v>3.3</v>
      </c>
      <c r="U150" s="647">
        <v>19.2</v>
      </c>
      <c r="V150" s="643">
        <v>8.4</v>
      </c>
      <c r="W150" s="648">
        <v>33</v>
      </c>
      <c r="X150" s="649">
        <v>3</v>
      </c>
      <c r="Y150" s="650">
        <v>2026</v>
      </c>
      <c r="Z150" s="651">
        <v>1</v>
      </c>
      <c r="AA150" s="649" t="str">
        <f>+Tabla_query___2026_06_23T082334.128[[#This Row],[AÑO]]&amp;" - "&amp;Tabla_query___2026_06_23T082334.128[[#This Row],[MES]]</f>
        <v>2026 - 1</v>
      </c>
      <c r="AB150" s="6">
        <f t="shared" si="6"/>
        <v>75</v>
      </c>
      <c r="AC150" s="6">
        <f t="shared" si="7"/>
        <v>8000</v>
      </c>
      <c r="AD150" s="6">
        <f t="shared" si="8"/>
        <v>350</v>
      </c>
    </row>
    <row r="151" spans="2:30">
      <c r="B151" s="673">
        <v>46035</v>
      </c>
      <c r="C151" s="642">
        <v>61677</v>
      </c>
      <c r="D151" s="642">
        <v>62920</v>
      </c>
      <c r="E151" s="642">
        <v>14714</v>
      </c>
      <c r="F151" s="642">
        <v>854.62599999999998</v>
      </c>
      <c r="G151" s="642">
        <v>8722</v>
      </c>
      <c r="H151" s="642">
        <v>235173</v>
      </c>
      <c r="I151" s="643">
        <v>4980.8999999999996</v>
      </c>
      <c r="J151" s="643">
        <v>486</v>
      </c>
      <c r="K151" s="643">
        <v>5025.7</v>
      </c>
      <c r="L151" s="644"/>
      <c r="M151" s="644"/>
      <c r="N151" s="645">
        <v>66</v>
      </c>
      <c r="O151" s="645">
        <v>68</v>
      </c>
      <c r="P151" s="645">
        <v>10</v>
      </c>
      <c r="Q151" s="646">
        <v>0.76900000000000002</v>
      </c>
      <c r="R151" s="645">
        <v>16</v>
      </c>
      <c r="S151" s="645">
        <v>66</v>
      </c>
      <c r="T151" s="643">
        <v>3.9</v>
      </c>
      <c r="U151" s="647">
        <v>13.4</v>
      </c>
      <c r="V151" s="643">
        <v>6</v>
      </c>
      <c r="W151" s="648">
        <v>30</v>
      </c>
      <c r="X151" s="649">
        <v>3</v>
      </c>
      <c r="Y151" s="650">
        <v>2026</v>
      </c>
      <c r="Z151" s="651">
        <v>1</v>
      </c>
      <c r="AA151" s="649" t="str">
        <f>+Tabla_query___2026_06_23T082334.128[[#This Row],[AÑO]]&amp;" - "&amp;Tabla_query___2026_06_23T082334.128[[#This Row],[MES]]</f>
        <v>2026 - 1</v>
      </c>
      <c r="AB151" s="6">
        <f t="shared" si="6"/>
        <v>75</v>
      </c>
      <c r="AC151" s="6">
        <f t="shared" si="7"/>
        <v>8000</v>
      </c>
      <c r="AD151" s="6">
        <f t="shared" si="8"/>
        <v>350</v>
      </c>
    </row>
    <row r="152" spans="2:30">
      <c r="B152" s="673">
        <v>46036</v>
      </c>
      <c r="C152" s="642">
        <v>61749</v>
      </c>
      <c r="D152" s="642">
        <v>62993</v>
      </c>
      <c r="E152" s="642">
        <v>14724</v>
      </c>
      <c r="F152" s="642">
        <v>855.03800000000001</v>
      </c>
      <c r="G152" s="642">
        <v>8738</v>
      </c>
      <c r="H152" s="642">
        <v>235244</v>
      </c>
      <c r="I152" s="643">
        <v>4984.3999999999996</v>
      </c>
      <c r="J152" s="643">
        <v>500.5</v>
      </c>
      <c r="K152" s="643">
        <v>5032.7</v>
      </c>
      <c r="L152" s="644"/>
      <c r="M152" s="644"/>
      <c r="N152" s="645">
        <v>72</v>
      </c>
      <c r="O152" s="645">
        <v>73</v>
      </c>
      <c r="P152" s="645">
        <v>10</v>
      </c>
      <c r="Q152" s="646">
        <v>0.41199999999999998</v>
      </c>
      <c r="R152" s="645">
        <v>16</v>
      </c>
      <c r="S152" s="645">
        <v>71</v>
      </c>
      <c r="T152" s="643">
        <v>3.5</v>
      </c>
      <c r="U152" s="647">
        <v>14.5</v>
      </c>
      <c r="V152" s="643">
        <v>7</v>
      </c>
      <c r="W152" s="648">
        <v>78</v>
      </c>
      <c r="X152" s="649">
        <v>3</v>
      </c>
      <c r="Y152" s="650">
        <v>2026</v>
      </c>
      <c r="Z152" s="651">
        <v>1</v>
      </c>
      <c r="AA152" s="649" t="str">
        <f>+Tabla_query___2026_06_23T082334.128[[#This Row],[AÑO]]&amp;" - "&amp;Tabla_query___2026_06_23T082334.128[[#This Row],[MES]]</f>
        <v>2026 - 1</v>
      </c>
      <c r="AB152" s="6">
        <f t="shared" si="6"/>
        <v>75</v>
      </c>
      <c r="AC152" s="6">
        <f t="shared" si="7"/>
        <v>8000</v>
      </c>
      <c r="AD152" s="6">
        <f t="shared" si="8"/>
        <v>350</v>
      </c>
    </row>
    <row r="153" spans="2:30">
      <c r="B153" s="673">
        <v>46037</v>
      </c>
      <c r="C153" s="642">
        <v>61813</v>
      </c>
      <c r="D153" s="642">
        <v>63059</v>
      </c>
      <c r="E153" s="642">
        <v>14733</v>
      </c>
      <c r="F153" s="642">
        <v>855.44899999999996</v>
      </c>
      <c r="G153" s="642">
        <v>8752</v>
      </c>
      <c r="H153" s="642">
        <v>235309</v>
      </c>
      <c r="I153" s="643">
        <v>4987.5</v>
      </c>
      <c r="J153" s="643">
        <v>515.20000000000005</v>
      </c>
      <c r="K153" s="643">
        <v>5040.1000000000004</v>
      </c>
      <c r="L153" s="644"/>
      <c r="M153" s="644"/>
      <c r="N153" s="645">
        <v>64</v>
      </c>
      <c r="O153" s="645">
        <v>66</v>
      </c>
      <c r="P153" s="645">
        <v>9</v>
      </c>
      <c r="Q153" s="646">
        <v>0.41099999999999998</v>
      </c>
      <c r="R153" s="645">
        <v>14</v>
      </c>
      <c r="S153" s="645">
        <v>65</v>
      </c>
      <c r="T153" s="643">
        <v>3.1</v>
      </c>
      <c r="U153" s="647">
        <v>14.7</v>
      </c>
      <c r="V153" s="643">
        <v>7.4</v>
      </c>
      <c r="W153" s="648">
        <v>76</v>
      </c>
      <c r="X153" s="649">
        <v>3</v>
      </c>
      <c r="Y153" s="650">
        <v>2026</v>
      </c>
      <c r="Z153" s="651">
        <v>1</v>
      </c>
      <c r="AA153" s="649" t="str">
        <f>+Tabla_query___2026_06_23T082334.128[[#This Row],[AÑO]]&amp;" - "&amp;Tabla_query___2026_06_23T082334.128[[#This Row],[MES]]</f>
        <v>2026 - 1</v>
      </c>
      <c r="AB153" s="6">
        <f t="shared" si="6"/>
        <v>75</v>
      </c>
      <c r="AC153" s="6">
        <f t="shared" si="7"/>
        <v>8000</v>
      </c>
      <c r="AD153" s="6">
        <f t="shared" si="8"/>
        <v>350</v>
      </c>
    </row>
    <row r="154" spans="2:30">
      <c r="B154" s="673">
        <v>46038</v>
      </c>
      <c r="C154" s="642">
        <v>61869</v>
      </c>
      <c r="D154" s="642">
        <v>63117</v>
      </c>
      <c r="E154" s="642">
        <v>14743</v>
      </c>
      <c r="F154" s="642">
        <v>855.84199999999998</v>
      </c>
      <c r="G154" s="642">
        <v>8763</v>
      </c>
      <c r="H154" s="642">
        <v>235366</v>
      </c>
      <c r="I154" s="643">
        <v>4990.5</v>
      </c>
      <c r="J154" s="643">
        <v>528.5</v>
      </c>
      <c r="K154" s="643">
        <v>5047.3</v>
      </c>
      <c r="L154" s="644"/>
      <c r="M154" s="644"/>
      <c r="N154" s="645">
        <v>56</v>
      </c>
      <c r="O154" s="645">
        <v>58</v>
      </c>
      <c r="P154" s="645">
        <v>10</v>
      </c>
      <c r="Q154" s="646">
        <v>0.39300000000000002</v>
      </c>
      <c r="R154" s="645">
        <v>11</v>
      </c>
      <c r="S154" s="645">
        <v>57</v>
      </c>
      <c r="T154" s="643">
        <v>3</v>
      </c>
      <c r="U154" s="647">
        <v>13.3</v>
      </c>
      <c r="V154" s="643">
        <v>7.2</v>
      </c>
      <c r="W154" s="648">
        <v>72</v>
      </c>
      <c r="X154" s="649">
        <v>3</v>
      </c>
      <c r="Y154" s="650">
        <v>2026</v>
      </c>
      <c r="Z154" s="651">
        <v>1</v>
      </c>
      <c r="AA154" s="649" t="str">
        <f>+Tabla_query___2026_06_23T082334.128[[#This Row],[AÑO]]&amp;" - "&amp;Tabla_query___2026_06_23T082334.128[[#This Row],[MES]]</f>
        <v>2026 - 1</v>
      </c>
      <c r="AB154" s="6">
        <f t="shared" si="6"/>
        <v>75</v>
      </c>
      <c r="AC154" s="6">
        <f t="shared" si="7"/>
        <v>8000</v>
      </c>
      <c r="AD154" s="6">
        <f t="shared" si="8"/>
        <v>350</v>
      </c>
    </row>
    <row r="155" spans="2:30">
      <c r="B155" s="673">
        <v>46039</v>
      </c>
      <c r="C155" s="642">
        <v>61930</v>
      </c>
      <c r="D155" s="642">
        <v>63179</v>
      </c>
      <c r="E155" s="642">
        <v>14753</v>
      </c>
      <c r="F155" s="642">
        <v>856.41399999999999</v>
      </c>
      <c r="G155" s="642">
        <v>8773</v>
      </c>
      <c r="H155" s="642">
        <v>235426</v>
      </c>
      <c r="I155" s="643">
        <v>4994.1000000000004</v>
      </c>
      <c r="J155" s="643">
        <v>541.79999999999995</v>
      </c>
      <c r="K155" s="643">
        <v>5054.1000000000004</v>
      </c>
      <c r="L155" s="644"/>
      <c r="M155" s="644"/>
      <c r="N155" s="645">
        <v>61</v>
      </c>
      <c r="O155" s="645">
        <v>62</v>
      </c>
      <c r="P155" s="645">
        <v>10</v>
      </c>
      <c r="Q155" s="646">
        <v>0.57199999999999995</v>
      </c>
      <c r="R155" s="645">
        <v>10</v>
      </c>
      <c r="S155" s="645">
        <v>60</v>
      </c>
      <c r="T155" s="643">
        <v>3.6</v>
      </c>
      <c r="U155" s="647">
        <v>13.3</v>
      </c>
      <c r="V155" s="643">
        <v>6.8</v>
      </c>
      <c r="W155" s="648">
        <v>69</v>
      </c>
      <c r="X155" s="649">
        <v>3</v>
      </c>
      <c r="Y155" s="650">
        <v>2026</v>
      </c>
      <c r="Z155" s="651">
        <v>1</v>
      </c>
      <c r="AA155" s="649" t="str">
        <f>+Tabla_query___2026_06_23T082334.128[[#This Row],[AÑO]]&amp;" - "&amp;Tabla_query___2026_06_23T082334.128[[#This Row],[MES]]</f>
        <v>2026 - 1</v>
      </c>
      <c r="AB155" s="6">
        <f t="shared" si="6"/>
        <v>75</v>
      </c>
      <c r="AC155" s="6">
        <f t="shared" si="7"/>
        <v>8000</v>
      </c>
      <c r="AD155" s="6">
        <f t="shared" si="8"/>
        <v>350</v>
      </c>
    </row>
    <row r="156" spans="2:30">
      <c r="B156" s="673">
        <v>46041</v>
      </c>
      <c r="C156" s="642">
        <v>61992</v>
      </c>
      <c r="D156" s="642">
        <v>63243</v>
      </c>
      <c r="E156" s="642">
        <v>14765</v>
      </c>
      <c r="F156" s="642">
        <v>857.51300000000003</v>
      </c>
      <c r="G156" s="642">
        <v>8776</v>
      </c>
      <c r="H156" s="642">
        <v>235489</v>
      </c>
      <c r="I156" s="643">
        <v>4997.1000000000004</v>
      </c>
      <c r="J156" s="643">
        <v>559.20000000000005</v>
      </c>
      <c r="K156" s="643">
        <v>5059.1000000000004</v>
      </c>
      <c r="L156" s="644"/>
      <c r="M156" s="644"/>
      <c r="N156" s="645">
        <v>62</v>
      </c>
      <c r="O156" s="645">
        <v>64</v>
      </c>
      <c r="P156" s="645">
        <v>12</v>
      </c>
      <c r="Q156" s="646">
        <v>1.099</v>
      </c>
      <c r="R156" s="645">
        <v>3</v>
      </c>
      <c r="S156" s="645">
        <v>63</v>
      </c>
      <c r="T156" s="643">
        <v>3</v>
      </c>
      <c r="U156" s="647">
        <v>17.399999999999999</v>
      </c>
      <c r="V156" s="643">
        <v>5</v>
      </c>
      <c r="W156" s="648">
        <v>68</v>
      </c>
      <c r="X156" s="649">
        <v>4</v>
      </c>
      <c r="Y156" s="650">
        <v>2026</v>
      </c>
      <c r="Z156" s="651">
        <v>1</v>
      </c>
      <c r="AA156" s="649" t="str">
        <f>+Tabla_query___2026_06_23T082334.128[[#This Row],[AÑO]]&amp;" - "&amp;Tabla_query___2026_06_23T082334.128[[#This Row],[MES]]</f>
        <v>2026 - 1</v>
      </c>
      <c r="AB156" s="6">
        <f t="shared" si="6"/>
        <v>75</v>
      </c>
      <c r="AC156" s="6">
        <f t="shared" si="7"/>
        <v>8000</v>
      </c>
      <c r="AD156" s="6">
        <f t="shared" si="8"/>
        <v>350</v>
      </c>
    </row>
    <row r="157" spans="2:30">
      <c r="B157" s="673">
        <v>46042</v>
      </c>
      <c r="C157" s="642">
        <v>62052</v>
      </c>
      <c r="D157" s="642">
        <v>63304</v>
      </c>
      <c r="E157" s="642">
        <v>14778</v>
      </c>
      <c r="F157" s="642">
        <v>861.33</v>
      </c>
      <c r="G157" s="642">
        <v>8788</v>
      </c>
      <c r="H157" s="642">
        <v>235549</v>
      </c>
      <c r="I157" s="643">
        <v>4999.8</v>
      </c>
      <c r="J157" s="643">
        <v>570.79999999999995</v>
      </c>
      <c r="K157" s="643">
        <v>5064.8</v>
      </c>
      <c r="L157" s="644"/>
      <c r="M157" s="644"/>
      <c r="N157" s="645">
        <v>60</v>
      </c>
      <c r="O157" s="645">
        <v>61</v>
      </c>
      <c r="P157" s="645">
        <v>13</v>
      </c>
      <c r="Q157" s="646">
        <v>3.8170000000000002</v>
      </c>
      <c r="R157" s="645">
        <v>12</v>
      </c>
      <c r="S157" s="645">
        <v>60</v>
      </c>
      <c r="T157" s="643">
        <v>2.7</v>
      </c>
      <c r="U157" s="647">
        <v>11.6</v>
      </c>
      <c r="V157" s="643">
        <v>5.7</v>
      </c>
      <c r="W157" s="648">
        <v>65</v>
      </c>
      <c r="X157" s="649">
        <v>4</v>
      </c>
      <c r="Y157" s="650">
        <v>2026</v>
      </c>
      <c r="Z157" s="651">
        <v>1</v>
      </c>
      <c r="AA157" s="649" t="str">
        <f>+Tabla_query___2026_06_23T082334.128[[#This Row],[AÑO]]&amp;" - "&amp;Tabla_query___2026_06_23T082334.128[[#This Row],[MES]]</f>
        <v>2026 - 1</v>
      </c>
      <c r="AB157" s="6">
        <f t="shared" si="6"/>
        <v>75</v>
      </c>
      <c r="AC157" s="6">
        <f t="shared" si="7"/>
        <v>8000</v>
      </c>
      <c r="AD157" s="6">
        <f t="shared" si="8"/>
        <v>350</v>
      </c>
    </row>
    <row r="158" spans="2:30">
      <c r="B158" s="673">
        <v>46043</v>
      </c>
      <c r="C158" s="642">
        <v>62105</v>
      </c>
      <c r="D158" s="642">
        <v>63359</v>
      </c>
      <c r="E158" s="642">
        <v>14787</v>
      </c>
      <c r="F158" s="642">
        <v>861.51599999999996</v>
      </c>
      <c r="G158" s="642">
        <v>8797</v>
      </c>
      <c r="H158" s="642">
        <v>235603</v>
      </c>
      <c r="I158" s="643">
        <v>5003.3</v>
      </c>
      <c r="J158" s="643">
        <v>584.5</v>
      </c>
      <c r="K158" s="643">
        <v>5071.3</v>
      </c>
      <c r="L158" s="644"/>
      <c r="M158" s="644"/>
      <c r="N158" s="645">
        <v>53</v>
      </c>
      <c r="O158" s="645">
        <v>55</v>
      </c>
      <c r="P158" s="645">
        <v>9</v>
      </c>
      <c r="Q158" s="646">
        <v>0.186</v>
      </c>
      <c r="R158" s="645">
        <v>9</v>
      </c>
      <c r="S158" s="645">
        <v>54</v>
      </c>
      <c r="T158" s="643">
        <v>3.5</v>
      </c>
      <c r="U158" s="647">
        <v>13.7</v>
      </c>
      <c r="V158" s="643">
        <v>6.5</v>
      </c>
      <c r="W158" s="648">
        <v>60</v>
      </c>
      <c r="X158" s="649">
        <v>4</v>
      </c>
      <c r="Y158" s="650">
        <v>2026</v>
      </c>
      <c r="Z158" s="651">
        <v>1</v>
      </c>
      <c r="AA158" s="649" t="str">
        <f>+Tabla_query___2026_06_23T082334.128[[#This Row],[AÑO]]&amp;" - "&amp;Tabla_query___2026_06_23T082334.128[[#This Row],[MES]]</f>
        <v>2026 - 1</v>
      </c>
      <c r="AB158" s="6">
        <f t="shared" si="6"/>
        <v>75</v>
      </c>
      <c r="AC158" s="6">
        <f t="shared" si="7"/>
        <v>8000</v>
      </c>
      <c r="AD158" s="6">
        <f t="shared" si="8"/>
        <v>350</v>
      </c>
    </row>
    <row r="159" spans="2:30">
      <c r="B159" s="673">
        <v>46044</v>
      </c>
      <c r="C159" s="642">
        <v>62160</v>
      </c>
      <c r="D159" s="642">
        <v>63416</v>
      </c>
      <c r="E159" s="642">
        <v>14797</v>
      </c>
      <c r="F159" s="642">
        <v>861.90899999999999</v>
      </c>
      <c r="G159" s="642">
        <v>8798</v>
      </c>
      <c r="H159" s="642">
        <v>235659</v>
      </c>
      <c r="I159" s="643">
        <v>5006.8999999999996</v>
      </c>
      <c r="J159" s="643">
        <v>600.20000000000005</v>
      </c>
      <c r="K159" s="643">
        <v>5076.6000000000004</v>
      </c>
      <c r="L159" s="644"/>
      <c r="M159" s="644"/>
      <c r="N159" s="645">
        <v>55</v>
      </c>
      <c r="O159" s="645">
        <v>57</v>
      </c>
      <c r="P159" s="645">
        <v>10</v>
      </c>
      <c r="Q159" s="646">
        <v>0.39300000000000002</v>
      </c>
      <c r="R159" s="645">
        <v>1</v>
      </c>
      <c r="S159" s="645">
        <v>56</v>
      </c>
      <c r="T159" s="643">
        <v>3.6</v>
      </c>
      <c r="U159" s="647">
        <v>15.7</v>
      </c>
      <c r="V159" s="643">
        <v>5.3</v>
      </c>
      <c r="W159" s="648">
        <v>59</v>
      </c>
      <c r="X159" s="649">
        <v>4</v>
      </c>
      <c r="Y159" s="650">
        <v>2026</v>
      </c>
      <c r="Z159" s="651">
        <v>1</v>
      </c>
      <c r="AA159" s="649" t="str">
        <f>+Tabla_query___2026_06_23T082334.128[[#This Row],[AÑO]]&amp;" - "&amp;Tabla_query___2026_06_23T082334.128[[#This Row],[MES]]</f>
        <v>2026 - 1</v>
      </c>
      <c r="AB159" s="6">
        <f t="shared" si="6"/>
        <v>75</v>
      </c>
      <c r="AC159" s="6">
        <f t="shared" si="7"/>
        <v>8000</v>
      </c>
      <c r="AD159" s="6">
        <f t="shared" si="8"/>
        <v>350</v>
      </c>
    </row>
    <row r="160" spans="2:30">
      <c r="B160" s="673">
        <v>46045</v>
      </c>
      <c r="C160" s="642">
        <v>62196</v>
      </c>
      <c r="D160" s="642">
        <v>63453</v>
      </c>
      <c r="E160" s="642">
        <v>14807</v>
      </c>
      <c r="F160" s="642">
        <v>862.26400000000001</v>
      </c>
      <c r="G160" s="642">
        <v>8807</v>
      </c>
      <c r="H160" s="642">
        <v>235695</v>
      </c>
      <c r="I160" s="643">
        <v>5010.5</v>
      </c>
      <c r="J160" s="643">
        <v>614.9</v>
      </c>
      <c r="K160" s="643">
        <v>5081.3</v>
      </c>
      <c r="L160" s="644"/>
      <c r="M160" s="644"/>
      <c r="N160" s="645">
        <v>36</v>
      </c>
      <c r="O160" s="645">
        <v>37</v>
      </c>
      <c r="P160" s="645">
        <v>10</v>
      </c>
      <c r="Q160" s="646">
        <v>0.35499999999999998</v>
      </c>
      <c r="R160" s="645">
        <v>9</v>
      </c>
      <c r="S160" s="645">
        <v>36</v>
      </c>
      <c r="T160" s="643">
        <v>3.6</v>
      </c>
      <c r="U160" s="647">
        <v>14.7</v>
      </c>
      <c r="V160" s="643">
        <v>4.7</v>
      </c>
      <c r="W160" s="648">
        <v>55</v>
      </c>
      <c r="X160" s="649">
        <v>4</v>
      </c>
      <c r="Y160" s="650">
        <v>2026</v>
      </c>
      <c r="Z160" s="651">
        <v>1</v>
      </c>
      <c r="AA160" s="649" t="str">
        <f>+Tabla_query___2026_06_23T082334.128[[#This Row],[AÑO]]&amp;" - "&amp;Tabla_query___2026_06_23T082334.128[[#This Row],[MES]]</f>
        <v>2026 - 1</v>
      </c>
      <c r="AB160" s="6">
        <f t="shared" si="6"/>
        <v>75</v>
      </c>
      <c r="AC160" s="6">
        <f t="shared" si="7"/>
        <v>8000</v>
      </c>
      <c r="AD160" s="6">
        <f t="shared" si="8"/>
        <v>350</v>
      </c>
    </row>
    <row r="161" spans="2:30">
      <c r="B161" s="673">
        <v>46046</v>
      </c>
      <c r="C161" s="642">
        <v>62226</v>
      </c>
      <c r="D161" s="642">
        <v>63485</v>
      </c>
      <c r="E161" s="642">
        <v>14816</v>
      </c>
      <c r="F161" s="642">
        <v>862.43700000000001</v>
      </c>
      <c r="G161" s="642">
        <v>8815</v>
      </c>
      <c r="H161" s="642">
        <v>235722</v>
      </c>
      <c r="I161" s="643">
        <v>5014.3999999999996</v>
      </c>
      <c r="J161" s="643">
        <v>627.6</v>
      </c>
      <c r="K161" s="643">
        <v>5085.8</v>
      </c>
      <c r="L161" s="644"/>
      <c r="M161" s="644"/>
      <c r="N161" s="645">
        <v>30</v>
      </c>
      <c r="O161" s="645">
        <v>32</v>
      </c>
      <c r="P161" s="645">
        <v>9</v>
      </c>
      <c r="Q161" s="646">
        <v>0.17299999999999999</v>
      </c>
      <c r="R161" s="645">
        <v>8</v>
      </c>
      <c r="S161" s="645">
        <v>27</v>
      </c>
      <c r="T161" s="643">
        <v>3.9</v>
      </c>
      <c r="U161" s="647">
        <v>12.7</v>
      </c>
      <c r="V161" s="643">
        <v>4.5</v>
      </c>
      <c r="W161" s="648">
        <v>50</v>
      </c>
      <c r="X161" s="649">
        <v>4</v>
      </c>
      <c r="Y161" s="650">
        <v>2026</v>
      </c>
      <c r="Z161" s="651">
        <v>1</v>
      </c>
      <c r="AA161" s="649" t="str">
        <f>+Tabla_query___2026_06_23T082334.128[[#This Row],[AÑO]]&amp;" - "&amp;Tabla_query___2026_06_23T082334.128[[#This Row],[MES]]</f>
        <v>2026 - 1</v>
      </c>
      <c r="AB161" s="6">
        <f t="shared" si="6"/>
        <v>75</v>
      </c>
      <c r="AC161" s="6">
        <f t="shared" si="7"/>
        <v>8000</v>
      </c>
      <c r="AD161" s="6">
        <f t="shared" si="8"/>
        <v>350</v>
      </c>
    </row>
    <row r="162" spans="2:30">
      <c r="B162" s="673">
        <v>46048</v>
      </c>
      <c r="C162" s="642">
        <v>62269</v>
      </c>
      <c r="D162" s="642">
        <v>63529</v>
      </c>
      <c r="E162" s="642">
        <v>14826</v>
      </c>
      <c r="F162" s="642">
        <v>863.55700000000002</v>
      </c>
      <c r="G162" s="642">
        <v>8816</v>
      </c>
      <c r="H162" s="642">
        <v>235771</v>
      </c>
      <c r="I162" s="643">
        <v>5016.8</v>
      </c>
      <c r="J162" s="643">
        <v>641.4</v>
      </c>
      <c r="K162" s="643">
        <v>5089.2</v>
      </c>
      <c r="L162" s="644"/>
      <c r="M162" s="644"/>
      <c r="N162" s="645">
        <v>43</v>
      </c>
      <c r="O162" s="645">
        <v>44</v>
      </c>
      <c r="P162" s="645">
        <v>10</v>
      </c>
      <c r="Q162" s="646">
        <v>1.1200000000000001</v>
      </c>
      <c r="R162" s="645">
        <v>1</v>
      </c>
      <c r="S162" s="645">
        <v>49</v>
      </c>
      <c r="T162" s="643">
        <v>2.4</v>
      </c>
      <c r="U162" s="647">
        <v>13.8</v>
      </c>
      <c r="V162" s="643">
        <v>3.4</v>
      </c>
      <c r="W162" s="648">
        <v>50</v>
      </c>
      <c r="X162" s="649">
        <v>5</v>
      </c>
      <c r="Y162" s="650">
        <v>2026</v>
      </c>
      <c r="Z162" s="651">
        <v>1</v>
      </c>
      <c r="AA162" s="649" t="str">
        <f>+Tabla_query___2026_06_23T082334.128[[#This Row],[AÑO]]&amp;" - "&amp;Tabla_query___2026_06_23T082334.128[[#This Row],[MES]]</f>
        <v>2026 - 1</v>
      </c>
      <c r="AB162" s="6">
        <f t="shared" si="6"/>
        <v>75</v>
      </c>
      <c r="AC162" s="6">
        <f t="shared" si="7"/>
        <v>8000</v>
      </c>
      <c r="AD162" s="6">
        <f t="shared" si="8"/>
        <v>350</v>
      </c>
    </row>
    <row r="163" spans="2:30">
      <c r="B163" s="673">
        <v>46049</v>
      </c>
      <c r="C163" s="642">
        <v>62324</v>
      </c>
      <c r="D163" s="642">
        <v>63586</v>
      </c>
      <c r="E163" s="642">
        <v>14836</v>
      </c>
      <c r="F163" s="642">
        <v>863.55700000000002</v>
      </c>
      <c r="G163" s="642">
        <v>8828</v>
      </c>
      <c r="H163" s="642">
        <v>235826</v>
      </c>
      <c r="I163" s="643">
        <v>5019.8</v>
      </c>
      <c r="J163" s="643">
        <v>653.5</v>
      </c>
      <c r="K163" s="643">
        <v>5093.3</v>
      </c>
      <c r="L163" s="644"/>
      <c r="M163" s="644"/>
      <c r="N163" s="645">
        <v>55</v>
      </c>
      <c r="O163" s="645">
        <v>57</v>
      </c>
      <c r="P163" s="645">
        <v>10</v>
      </c>
      <c r="Q163" s="646">
        <v>0</v>
      </c>
      <c r="R163" s="645">
        <v>12</v>
      </c>
      <c r="S163" s="645">
        <v>55</v>
      </c>
      <c r="T163" s="643">
        <v>3</v>
      </c>
      <c r="U163" s="647">
        <v>12.1</v>
      </c>
      <c r="V163" s="643">
        <v>4.0999999999999996</v>
      </c>
      <c r="W163" s="648">
        <v>48</v>
      </c>
      <c r="X163" s="649">
        <v>5</v>
      </c>
      <c r="Y163" s="650">
        <v>2026</v>
      </c>
      <c r="Z163" s="651">
        <v>1</v>
      </c>
      <c r="AA163" s="649" t="str">
        <f>+Tabla_query___2026_06_23T082334.128[[#This Row],[AÑO]]&amp;" - "&amp;Tabla_query___2026_06_23T082334.128[[#This Row],[MES]]</f>
        <v>2026 - 1</v>
      </c>
      <c r="AB163" s="6">
        <f t="shared" si="6"/>
        <v>75</v>
      </c>
      <c r="AC163" s="6">
        <f t="shared" si="7"/>
        <v>8000</v>
      </c>
      <c r="AD163" s="6">
        <f t="shared" si="8"/>
        <v>350</v>
      </c>
    </row>
    <row r="164" spans="2:30">
      <c r="B164" s="673">
        <v>46050</v>
      </c>
      <c r="C164" s="642">
        <v>62378</v>
      </c>
      <c r="D164" s="642">
        <v>63642</v>
      </c>
      <c r="E164" s="642">
        <v>14845</v>
      </c>
      <c r="F164" s="642">
        <v>863.55700000000002</v>
      </c>
      <c r="G164" s="642">
        <v>8841</v>
      </c>
      <c r="H164" s="642">
        <v>235881</v>
      </c>
      <c r="I164" s="643">
        <v>5023.8999999999996</v>
      </c>
      <c r="J164" s="643">
        <v>667.8</v>
      </c>
      <c r="K164" s="643">
        <v>5098.7</v>
      </c>
      <c r="L164" s="644"/>
      <c r="M164" s="644"/>
      <c r="N164" s="645">
        <v>54</v>
      </c>
      <c r="O164" s="645">
        <v>56</v>
      </c>
      <c r="P164" s="645">
        <v>9</v>
      </c>
      <c r="Q164" s="646">
        <v>0</v>
      </c>
      <c r="R164" s="645">
        <v>13</v>
      </c>
      <c r="S164" s="645">
        <v>55</v>
      </c>
      <c r="T164" s="643">
        <v>4.0999999999999996</v>
      </c>
      <c r="U164" s="647">
        <v>14.3</v>
      </c>
      <c r="V164" s="643">
        <v>5.4</v>
      </c>
      <c r="W164" s="648">
        <v>43</v>
      </c>
      <c r="X164" s="649">
        <v>5</v>
      </c>
      <c r="Y164" s="650">
        <v>2026</v>
      </c>
      <c r="Z164" s="651">
        <v>1</v>
      </c>
      <c r="AA164" s="649" t="str">
        <f>+Tabla_query___2026_06_23T082334.128[[#This Row],[AÑO]]&amp;" - "&amp;Tabla_query___2026_06_23T082334.128[[#This Row],[MES]]</f>
        <v>2026 - 1</v>
      </c>
      <c r="AB164" s="6">
        <f t="shared" si="6"/>
        <v>75</v>
      </c>
      <c r="AC164" s="6">
        <f t="shared" si="7"/>
        <v>8000</v>
      </c>
      <c r="AD164" s="6">
        <f t="shared" si="8"/>
        <v>350</v>
      </c>
    </row>
    <row r="165" spans="2:30">
      <c r="B165" s="673">
        <v>46051</v>
      </c>
      <c r="C165" s="642">
        <v>62459</v>
      </c>
      <c r="D165" s="642">
        <v>63724</v>
      </c>
      <c r="E165" s="642">
        <v>14856</v>
      </c>
      <c r="F165" s="642">
        <v>863.94200000000001</v>
      </c>
      <c r="G165" s="642">
        <v>8852</v>
      </c>
      <c r="H165" s="642">
        <v>235962</v>
      </c>
      <c r="I165" s="643">
        <v>5028</v>
      </c>
      <c r="J165" s="643">
        <v>681.4</v>
      </c>
      <c r="K165" s="643">
        <v>5103.2</v>
      </c>
      <c r="L165" s="644"/>
      <c r="M165" s="644"/>
      <c r="N165" s="645">
        <v>81</v>
      </c>
      <c r="O165" s="645">
        <v>82</v>
      </c>
      <c r="P165" s="645">
        <v>11</v>
      </c>
      <c r="Q165" s="646">
        <v>0.38500000000000001</v>
      </c>
      <c r="R165" s="645">
        <v>11</v>
      </c>
      <c r="S165" s="645">
        <v>81</v>
      </c>
      <c r="T165" s="643">
        <v>4.0999999999999996</v>
      </c>
      <c r="U165" s="647">
        <v>13.6</v>
      </c>
      <c r="V165" s="643">
        <v>4.5</v>
      </c>
      <c r="W165" s="648">
        <v>40</v>
      </c>
      <c r="X165" s="649">
        <v>5</v>
      </c>
      <c r="Y165" s="650">
        <v>2026</v>
      </c>
      <c r="Z165" s="651">
        <v>1</v>
      </c>
      <c r="AA165" s="649" t="str">
        <f>+Tabla_query___2026_06_23T082334.128[[#This Row],[AÑO]]&amp;" - "&amp;Tabla_query___2026_06_23T082334.128[[#This Row],[MES]]</f>
        <v>2026 - 1</v>
      </c>
      <c r="AB165" s="6">
        <f t="shared" si="6"/>
        <v>75</v>
      </c>
      <c r="AC165" s="6">
        <f t="shared" si="7"/>
        <v>8000</v>
      </c>
      <c r="AD165" s="6">
        <f t="shared" si="8"/>
        <v>350</v>
      </c>
    </row>
    <row r="166" spans="2:30">
      <c r="B166" s="673">
        <v>46052</v>
      </c>
      <c r="C166" s="642">
        <v>62509</v>
      </c>
      <c r="D166" s="642">
        <v>63776</v>
      </c>
      <c r="E166" s="642">
        <v>14864</v>
      </c>
      <c r="F166" s="642">
        <v>863.94200000000001</v>
      </c>
      <c r="G166" s="642">
        <v>8861</v>
      </c>
      <c r="H166" s="642">
        <v>236012</v>
      </c>
      <c r="I166" s="643">
        <v>5031.8</v>
      </c>
      <c r="J166" s="643">
        <v>694.8</v>
      </c>
      <c r="K166" s="643">
        <v>5107.5</v>
      </c>
      <c r="L166" s="644"/>
      <c r="M166" s="644"/>
      <c r="N166" s="645">
        <v>50</v>
      </c>
      <c r="O166" s="645">
        <v>52</v>
      </c>
      <c r="P166" s="645">
        <v>8</v>
      </c>
      <c r="Q166" s="646">
        <v>0</v>
      </c>
      <c r="R166" s="645">
        <v>9</v>
      </c>
      <c r="S166" s="645">
        <v>50</v>
      </c>
      <c r="T166" s="643">
        <v>3.8</v>
      </c>
      <c r="U166" s="647">
        <v>13.4</v>
      </c>
      <c r="V166" s="643">
        <v>4.3</v>
      </c>
      <c r="W166" s="648">
        <v>46</v>
      </c>
      <c r="X166" s="649">
        <v>5</v>
      </c>
      <c r="Y166" s="650">
        <v>2026</v>
      </c>
      <c r="Z166" s="651">
        <v>1</v>
      </c>
      <c r="AA166" s="649" t="str">
        <f>+Tabla_query___2026_06_23T082334.128[[#This Row],[AÑO]]&amp;" - "&amp;Tabla_query___2026_06_23T082334.128[[#This Row],[MES]]</f>
        <v>2026 - 1</v>
      </c>
      <c r="AB166" s="6">
        <f t="shared" si="6"/>
        <v>75</v>
      </c>
      <c r="AC166" s="6">
        <f t="shared" si="7"/>
        <v>8000</v>
      </c>
      <c r="AD166" s="6">
        <f t="shared" si="8"/>
        <v>350</v>
      </c>
    </row>
    <row r="167" spans="2:30">
      <c r="B167" s="673">
        <v>46053</v>
      </c>
      <c r="C167" s="642">
        <v>62551</v>
      </c>
      <c r="D167" s="642">
        <v>63819</v>
      </c>
      <c r="E167" s="642">
        <v>14873</v>
      </c>
      <c r="F167" s="642">
        <v>864.24</v>
      </c>
      <c r="G167" s="642">
        <v>8868</v>
      </c>
      <c r="H167" s="642">
        <v>236055</v>
      </c>
      <c r="I167" s="643">
        <v>5035.3999999999996</v>
      </c>
      <c r="J167" s="643">
        <v>707.3</v>
      </c>
      <c r="K167" s="643">
        <v>5111.8999999999996</v>
      </c>
      <c r="L167" s="644"/>
      <c r="M167" s="644"/>
      <c r="N167" s="645">
        <v>42</v>
      </c>
      <c r="O167" s="645">
        <v>43</v>
      </c>
      <c r="P167" s="645">
        <v>9</v>
      </c>
      <c r="Q167" s="646">
        <v>0.29799999999999999</v>
      </c>
      <c r="R167" s="645">
        <v>7</v>
      </c>
      <c r="S167" s="645">
        <v>43</v>
      </c>
      <c r="T167" s="643">
        <v>3.6</v>
      </c>
      <c r="U167" s="647">
        <v>12.5</v>
      </c>
      <c r="V167" s="643">
        <v>4.4000000000000004</v>
      </c>
      <c r="W167" s="648">
        <v>34</v>
      </c>
      <c r="X167" s="649">
        <v>5</v>
      </c>
      <c r="Y167" s="650">
        <v>2026</v>
      </c>
      <c r="Z167" s="651">
        <v>1</v>
      </c>
      <c r="AA167" s="649" t="str">
        <f>+Tabla_query___2026_06_23T082334.128[[#This Row],[AÑO]]&amp;" - "&amp;Tabla_query___2026_06_23T082334.128[[#This Row],[MES]]</f>
        <v>2026 - 1</v>
      </c>
      <c r="AB167" s="6">
        <f t="shared" si="6"/>
        <v>75</v>
      </c>
      <c r="AC167" s="6">
        <f t="shared" si="7"/>
        <v>8000</v>
      </c>
      <c r="AD167" s="6">
        <f t="shared" si="8"/>
        <v>350</v>
      </c>
    </row>
    <row r="168" spans="2:30">
      <c r="B168" s="673">
        <v>46055</v>
      </c>
      <c r="C168" s="642">
        <v>62617</v>
      </c>
      <c r="D168" s="642">
        <v>63885</v>
      </c>
      <c r="E168" s="642">
        <v>14884</v>
      </c>
      <c r="F168" s="642">
        <v>864.65899999999999</v>
      </c>
      <c r="G168" s="642">
        <v>8871</v>
      </c>
      <c r="H168" s="642">
        <v>236121</v>
      </c>
      <c r="I168" s="643">
        <v>5037.8999999999996</v>
      </c>
      <c r="J168" s="643">
        <v>723.5</v>
      </c>
      <c r="K168" s="643">
        <v>5116.3999999999996</v>
      </c>
      <c r="L168" s="644"/>
      <c r="M168" s="644"/>
      <c r="N168" s="645">
        <v>66</v>
      </c>
      <c r="O168" s="645">
        <v>66</v>
      </c>
      <c r="P168" s="645">
        <v>11</v>
      </c>
      <c r="Q168" s="646">
        <v>0.41899999999999998</v>
      </c>
      <c r="R168" s="645">
        <v>3</v>
      </c>
      <c r="S168" s="645">
        <v>66</v>
      </c>
      <c r="T168" s="643">
        <v>2.5</v>
      </c>
      <c r="U168" s="647">
        <v>16.2</v>
      </c>
      <c r="V168" s="643">
        <v>4.5</v>
      </c>
      <c r="W168" s="648">
        <v>31</v>
      </c>
      <c r="X168" s="649">
        <v>6</v>
      </c>
      <c r="Y168" s="650">
        <v>2026</v>
      </c>
      <c r="Z168" s="651">
        <v>2</v>
      </c>
      <c r="AA168" s="649" t="str">
        <f>+Tabla_query___2026_06_23T082334.128[[#This Row],[AÑO]]&amp;" - "&amp;Tabla_query___2026_06_23T082334.128[[#This Row],[MES]]</f>
        <v>2026 - 2</v>
      </c>
      <c r="AB168" s="6">
        <f t="shared" si="6"/>
        <v>75</v>
      </c>
      <c r="AC168" s="6">
        <f t="shared" si="7"/>
        <v>8000</v>
      </c>
      <c r="AD168" s="6">
        <f t="shared" si="8"/>
        <v>350</v>
      </c>
    </row>
    <row r="169" spans="2:30">
      <c r="B169" s="673">
        <v>46056</v>
      </c>
      <c r="C169" s="642">
        <v>62682</v>
      </c>
      <c r="D169" s="642">
        <v>63952</v>
      </c>
      <c r="E169" s="642">
        <v>14894</v>
      </c>
      <c r="F169" s="642">
        <v>865.76099999999997</v>
      </c>
      <c r="G169" s="642">
        <v>8884</v>
      </c>
      <c r="H169" s="642">
        <v>236187</v>
      </c>
      <c r="I169" s="643">
        <v>5040.5</v>
      </c>
      <c r="J169" s="643">
        <v>734.4</v>
      </c>
      <c r="K169" s="643">
        <v>5119.3999999999996</v>
      </c>
      <c r="L169" s="644"/>
      <c r="M169" s="644"/>
      <c r="N169" s="645">
        <v>65</v>
      </c>
      <c r="O169" s="645">
        <v>67</v>
      </c>
      <c r="P169" s="645">
        <v>10</v>
      </c>
      <c r="Q169" s="646">
        <v>1.1020000000000001</v>
      </c>
      <c r="R169" s="645">
        <v>13</v>
      </c>
      <c r="S169" s="645">
        <v>66</v>
      </c>
      <c r="T169" s="643">
        <v>2.6</v>
      </c>
      <c r="U169" s="647">
        <v>10.9</v>
      </c>
      <c r="V169" s="643">
        <v>3</v>
      </c>
      <c r="W169" s="648">
        <v>30</v>
      </c>
      <c r="X169" s="649">
        <v>6</v>
      </c>
      <c r="Y169" s="650">
        <v>2026</v>
      </c>
      <c r="Z169" s="651">
        <v>2</v>
      </c>
      <c r="AA169" s="649" t="str">
        <f>+Tabla_query___2026_06_23T082334.128[[#This Row],[AÑO]]&amp;" - "&amp;Tabla_query___2026_06_23T082334.128[[#This Row],[MES]]</f>
        <v>2026 - 2</v>
      </c>
      <c r="AB169" s="6">
        <f t="shared" si="6"/>
        <v>75</v>
      </c>
      <c r="AC169" s="6">
        <f t="shared" si="7"/>
        <v>8000</v>
      </c>
      <c r="AD169" s="6">
        <f t="shared" si="8"/>
        <v>350</v>
      </c>
    </row>
    <row r="170" spans="2:30">
      <c r="B170" s="673">
        <v>46057</v>
      </c>
      <c r="C170" s="642">
        <v>62747</v>
      </c>
      <c r="D170" s="642">
        <v>64018</v>
      </c>
      <c r="E170" s="642">
        <v>14906</v>
      </c>
      <c r="F170" s="642">
        <v>868.17200000000003</v>
      </c>
      <c r="G170" s="642">
        <v>8898</v>
      </c>
      <c r="H170" s="642">
        <v>236252</v>
      </c>
      <c r="I170" s="643">
        <v>5043.7</v>
      </c>
      <c r="J170" s="643">
        <v>749.1</v>
      </c>
      <c r="K170" s="643">
        <v>5124.2</v>
      </c>
      <c r="L170" s="644"/>
      <c r="M170" s="644"/>
      <c r="N170" s="645">
        <v>65</v>
      </c>
      <c r="O170" s="645">
        <v>66</v>
      </c>
      <c r="P170" s="645">
        <v>12</v>
      </c>
      <c r="Q170" s="646">
        <v>2.411</v>
      </c>
      <c r="R170" s="645">
        <v>14</v>
      </c>
      <c r="S170" s="645">
        <v>65</v>
      </c>
      <c r="T170" s="643">
        <v>3.2</v>
      </c>
      <c r="U170" s="647">
        <v>14.7</v>
      </c>
      <c r="V170" s="643">
        <v>4.8</v>
      </c>
      <c r="W170" s="648">
        <v>79</v>
      </c>
      <c r="X170" s="649">
        <v>6</v>
      </c>
      <c r="Y170" s="650">
        <v>2026</v>
      </c>
      <c r="Z170" s="651">
        <v>2</v>
      </c>
      <c r="AA170" s="649" t="str">
        <f>+Tabla_query___2026_06_23T082334.128[[#This Row],[AÑO]]&amp;" - "&amp;Tabla_query___2026_06_23T082334.128[[#This Row],[MES]]</f>
        <v>2026 - 2</v>
      </c>
      <c r="AB170" s="6">
        <f t="shared" si="6"/>
        <v>75</v>
      </c>
      <c r="AC170" s="6">
        <f t="shared" si="7"/>
        <v>8000</v>
      </c>
      <c r="AD170" s="6">
        <f t="shared" si="8"/>
        <v>350</v>
      </c>
    </row>
    <row r="171" spans="2:30">
      <c r="B171" s="673">
        <v>46058</v>
      </c>
      <c r="C171" s="642">
        <v>62812</v>
      </c>
      <c r="D171" s="642">
        <v>64085</v>
      </c>
      <c r="E171" s="642">
        <v>14916</v>
      </c>
      <c r="F171" s="642">
        <v>868.17200000000003</v>
      </c>
      <c r="G171" s="642">
        <v>8905</v>
      </c>
      <c r="H171" s="642">
        <v>236318</v>
      </c>
      <c r="I171" s="643">
        <v>5047</v>
      </c>
      <c r="J171" s="643">
        <v>763.4</v>
      </c>
      <c r="K171" s="643">
        <v>5129.2</v>
      </c>
      <c r="L171" s="644"/>
      <c r="M171" s="644"/>
      <c r="N171" s="645">
        <v>65</v>
      </c>
      <c r="O171" s="645">
        <v>67</v>
      </c>
      <c r="P171" s="645">
        <v>10</v>
      </c>
      <c r="Q171" s="646">
        <v>0</v>
      </c>
      <c r="R171" s="645">
        <v>7</v>
      </c>
      <c r="S171" s="645">
        <v>66</v>
      </c>
      <c r="T171" s="643">
        <v>3.3</v>
      </c>
      <c r="U171" s="647">
        <v>14.3</v>
      </c>
      <c r="V171" s="643">
        <v>5</v>
      </c>
      <c r="W171" s="648">
        <v>75</v>
      </c>
      <c r="X171" s="649">
        <v>6</v>
      </c>
      <c r="Y171" s="650">
        <v>2026</v>
      </c>
      <c r="Z171" s="651">
        <v>2</v>
      </c>
      <c r="AA171" s="649" t="str">
        <f>+Tabla_query___2026_06_23T082334.128[[#This Row],[AÑO]]&amp;" - "&amp;Tabla_query___2026_06_23T082334.128[[#This Row],[MES]]</f>
        <v>2026 - 2</v>
      </c>
      <c r="AB171" s="6">
        <f t="shared" si="6"/>
        <v>75</v>
      </c>
      <c r="AC171" s="6">
        <f t="shared" si="7"/>
        <v>8000</v>
      </c>
      <c r="AD171" s="6">
        <f t="shared" si="8"/>
        <v>350</v>
      </c>
    </row>
    <row r="172" spans="2:30">
      <c r="B172" s="673">
        <v>46059</v>
      </c>
      <c r="C172" s="642">
        <v>62890</v>
      </c>
      <c r="D172" s="642">
        <v>64164</v>
      </c>
      <c r="E172" s="642">
        <v>14927</v>
      </c>
      <c r="F172" s="642">
        <v>868.17200000000003</v>
      </c>
      <c r="G172" s="642">
        <v>8912</v>
      </c>
      <c r="H172" s="642">
        <v>236396</v>
      </c>
      <c r="I172" s="643">
        <v>5050.2</v>
      </c>
      <c r="J172" s="643">
        <v>777.2</v>
      </c>
      <c r="K172" s="643">
        <v>5134.5</v>
      </c>
      <c r="L172" s="644"/>
      <c r="M172" s="644"/>
      <c r="N172" s="645">
        <v>78</v>
      </c>
      <c r="O172" s="645">
        <v>79</v>
      </c>
      <c r="P172" s="645">
        <v>11</v>
      </c>
      <c r="Q172" s="646">
        <v>0</v>
      </c>
      <c r="R172" s="645">
        <v>7</v>
      </c>
      <c r="S172" s="645">
        <v>78</v>
      </c>
      <c r="T172" s="643">
        <v>3.2</v>
      </c>
      <c r="U172" s="647">
        <v>13.8</v>
      </c>
      <c r="V172" s="643">
        <v>5.3</v>
      </c>
      <c r="W172" s="648">
        <v>73</v>
      </c>
      <c r="X172" s="649">
        <v>6</v>
      </c>
      <c r="Y172" s="650">
        <v>2026</v>
      </c>
      <c r="Z172" s="651">
        <v>2</v>
      </c>
      <c r="AA172" s="649" t="str">
        <f>+Tabla_query___2026_06_23T082334.128[[#This Row],[AÑO]]&amp;" - "&amp;Tabla_query___2026_06_23T082334.128[[#This Row],[MES]]</f>
        <v>2026 - 2</v>
      </c>
      <c r="AB172" s="6">
        <f t="shared" si="6"/>
        <v>75</v>
      </c>
      <c r="AC172" s="6">
        <f t="shared" si="7"/>
        <v>8000</v>
      </c>
      <c r="AD172" s="6">
        <f t="shared" si="8"/>
        <v>350</v>
      </c>
    </row>
    <row r="173" spans="2:30">
      <c r="B173" s="673">
        <v>46060</v>
      </c>
      <c r="C173" s="642">
        <v>62936</v>
      </c>
      <c r="D173" s="642">
        <v>64211</v>
      </c>
      <c r="E173" s="642">
        <v>14945</v>
      </c>
      <c r="F173" s="642">
        <v>869.10199999999998</v>
      </c>
      <c r="G173" s="642">
        <v>8918</v>
      </c>
      <c r="H173" s="642">
        <v>236442</v>
      </c>
      <c r="I173" s="643">
        <v>5054</v>
      </c>
      <c r="J173" s="643">
        <v>790</v>
      </c>
      <c r="K173" s="643">
        <v>5139.3999999999996</v>
      </c>
      <c r="L173" s="644"/>
      <c r="M173" s="644"/>
      <c r="N173" s="645">
        <v>46</v>
      </c>
      <c r="O173" s="645">
        <v>47</v>
      </c>
      <c r="P173" s="645">
        <v>18</v>
      </c>
      <c r="Q173" s="646">
        <v>0.93</v>
      </c>
      <c r="R173" s="645">
        <v>6</v>
      </c>
      <c r="S173" s="645">
        <v>46</v>
      </c>
      <c r="T173" s="643">
        <v>3.8</v>
      </c>
      <c r="U173" s="647">
        <v>12.8</v>
      </c>
      <c r="V173" s="643">
        <v>4.9000000000000004</v>
      </c>
      <c r="W173" s="648">
        <v>70</v>
      </c>
      <c r="X173" s="649">
        <v>6</v>
      </c>
      <c r="Y173" s="650">
        <v>2026</v>
      </c>
      <c r="Z173" s="651">
        <v>2</v>
      </c>
      <c r="AA173" s="649" t="str">
        <f>+Tabla_query___2026_06_23T082334.128[[#This Row],[AÑO]]&amp;" - "&amp;Tabla_query___2026_06_23T082334.128[[#This Row],[MES]]</f>
        <v>2026 - 2</v>
      </c>
      <c r="AB173" s="6">
        <f t="shared" si="6"/>
        <v>75</v>
      </c>
      <c r="AC173" s="6">
        <f t="shared" si="7"/>
        <v>8000</v>
      </c>
      <c r="AD173" s="6">
        <f t="shared" si="8"/>
        <v>350</v>
      </c>
    </row>
    <row r="174" spans="2:30">
      <c r="B174" s="673">
        <v>46062</v>
      </c>
      <c r="C174" s="642">
        <v>62982</v>
      </c>
      <c r="D174" s="642">
        <v>64260</v>
      </c>
      <c r="E174" s="642">
        <v>14963</v>
      </c>
      <c r="F174" s="642">
        <v>869.10199999999998</v>
      </c>
      <c r="G174" s="642">
        <v>8919</v>
      </c>
      <c r="H174" s="642">
        <v>236490</v>
      </c>
      <c r="I174" s="643">
        <v>5056.2</v>
      </c>
      <c r="J174" s="643">
        <v>805.5</v>
      </c>
      <c r="K174" s="643">
        <v>5144.5</v>
      </c>
      <c r="L174" s="644"/>
      <c r="M174" s="644"/>
      <c r="N174" s="645">
        <v>46</v>
      </c>
      <c r="O174" s="645">
        <v>49</v>
      </c>
      <c r="P174" s="645">
        <v>18</v>
      </c>
      <c r="Q174" s="646">
        <v>0</v>
      </c>
      <c r="R174" s="645">
        <v>1</v>
      </c>
      <c r="S174" s="645">
        <v>48</v>
      </c>
      <c r="T174" s="643">
        <v>2.2000000000000002</v>
      </c>
      <c r="U174" s="647">
        <v>15.5</v>
      </c>
      <c r="V174" s="643">
        <v>5.0999999999999996</v>
      </c>
      <c r="W174" s="648">
        <v>66</v>
      </c>
      <c r="X174" s="649">
        <v>7</v>
      </c>
      <c r="Y174" s="650">
        <v>2026</v>
      </c>
      <c r="Z174" s="651">
        <v>2</v>
      </c>
      <c r="AA174" s="649" t="str">
        <f>+Tabla_query___2026_06_23T082334.128[[#This Row],[AÑO]]&amp;" - "&amp;Tabla_query___2026_06_23T082334.128[[#This Row],[MES]]</f>
        <v>2026 - 2</v>
      </c>
      <c r="AB174" s="6">
        <f t="shared" si="6"/>
        <v>75</v>
      </c>
      <c r="AC174" s="6">
        <f t="shared" si="7"/>
        <v>8000</v>
      </c>
      <c r="AD174" s="6">
        <f t="shared" si="8"/>
        <v>350</v>
      </c>
    </row>
    <row r="175" spans="2:30">
      <c r="B175" s="673">
        <v>46063</v>
      </c>
      <c r="C175" s="642">
        <v>63058</v>
      </c>
      <c r="D175" s="642">
        <v>64336</v>
      </c>
      <c r="E175" s="642">
        <v>14980</v>
      </c>
      <c r="F175" s="642">
        <v>869.36800000000005</v>
      </c>
      <c r="G175" s="642">
        <v>8933</v>
      </c>
      <c r="H175" s="642">
        <v>236565</v>
      </c>
      <c r="I175" s="643">
        <v>5059.8999999999996</v>
      </c>
      <c r="J175" s="643">
        <v>817.7</v>
      </c>
      <c r="K175" s="643">
        <v>5149.1000000000004</v>
      </c>
      <c r="L175" s="644"/>
      <c r="M175" s="644"/>
      <c r="N175" s="645">
        <v>76</v>
      </c>
      <c r="O175" s="645">
        <v>76</v>
      </c>
      <c r="P175" s="645">
        <v>17</v>
      </c>
      <c r="Q175" s="646">
        <v>0.26600000000000001</v>
      </c>
      <c r="R175" s="645">
        <v>14</v>
      </c>
      <c r="S175" s="645">
        <v>75</v>
      </c>
      <c r="T175" s="643">
        <v>3.7</v>
      </c>
      <c r="U175" s="647">
        <v>12.2</v>
      </c>
      <c r="V175" s="643">
        <v>4.5999999999999996</v>
      </c>
      <c r="W175" s="648">
        <v>62</v>
      </c>
      <c r="X175" s="649">
        <v>7</v>
      </c>
      <c r="Y175" s="650">
        <v>2026</v>
      </c>
      <c r="Z175" s="651">
        <v>2</v>
      </c>
      <c r="AA175" s="649" t="str">
        <f>+Tabla_query___2026_06_23T082334.128[[#This Row],[AÑO]]&amp;" - "&amp;Tabla_query___2026_06_23T082334.128[[#This Row],[MES]]</f>
        <v>2026 - 2</v>
      </c>
      <c r="AB175" s="6">
        <f t="shared" si="6"/>
        <v>75</v>
      </c>
      <c r="AC175" s="6">
        <f t="shared" si="7"/>
        <v>8000</v>
      </c>
      <c r="AD175" s="6">
        <f t="shared" si="8"/>
        <v>350</v>
      </c>
    </row>
    <row r="176" spans="2:30">
      <c r="B176" s="673">
        <v>46064</v>
      </c>
      <c r="C176" s="642">
        <v>63128</v>
      </c>
      <c r="D176" s="642">
        <v>64408</v>
      </c>
      <c r="E176" s="642">
        <v>14996</v>
      </c>
      <c r="F176" s="642">
        <v>869.60500000000002</v>
      </c>
      <c r="G176" s="642">
        <v>8944</v>
      </c>
      <c r="H176" s="642">
        <v>236636</v>
      </c>
      <c r="I176" s="643">
        <v>5063.3999999999996</v>
      </c>
      <c r="J176" s="643">
        <v>833.9</v>
      </c>
      <c r="K176" s="643">
        <v>5154.7</v>
      </c>
      <c r="L176" s="644"/>
      <c r="M176" s="644"/>
      <c r="N176" s="645">
        <v>70</v>
      </c>
      <c r="O176" s="645">
        <v>72</v>
      </c>
      <c r="P176" s="645">
        <v>16</v>
      </c>
      <c r="Q176" s="646">
        <v>0.23699999999999999</v>
      </c>
      <c r="R176" s="645">
        <v>11</v>
      </c>
      <c r="S176" s="645">
        <v>71</v>
      </c>
      <c r="T176" s="643">
        <v>3.5</v>
      </c>
      <c r="U176" s="647">
        <v>16.2</v>
      </c>
      <c r="V176" s="643">
        <v>5.6</v>
      </c>
      <c r="W176" s="648">
        <v>58</v>
      </c>
      <c r="X176" s="649">
        <v>7</v>
      </c>
      <c r="Y176" s="650">
        <v>2026</v>
      </c>
      <c r="Z176" s="651">
        <v>2</v>
      </c>
      <c r="AA176" s="649" t="str">
        <f>+Tabla_query___2026_06_23T082334.128[[#This Row],[AÑO]]&amp;" - "&amp;Tabla_query___2026_06_23T082334.128[[#This Row],[MES]]</f>
        <v>2026 - 2</v>
      </c>
      <c r="AB176" s="6">
        <f t="shared" si="6"/>
        <v>75</v>
      </c>
      <c r="AC176" s="6">
        <f t="shared" si="7"/>
        <v>8000</v>
      </c>
      <c r="AD176" s="6">
        <f t="shared" si="8"/>
        <v>350</v>
      </c>
    </row>
    <row r="177" spans="2:30">
      <c r="B177" s="673">
        <v>46065</v>
      </c>
      <c r="C177" s="642">
        <v>63194</v>
      </c>
      <c r="D177" s="642">
        <v>64475</v>
      </c>
      <c r="E177" s="642">
        <v>15014</v>
      </c>
      <c r="F177" s="642">
        <v>871.29499999999996</v>
      </c>
      <c r="G177" s="642">
        <v>8954</v>
      </c>
      <c r="H177" s="642">
        <v>236702</v>
      </c>
      <c r="I177" s="643">
        <v>5066.7</v>
      </c>
      <c r="J177" s="643">
        <v>848</v>
      </c>
      <c r="K177" s="643">
        <v>5159.8999999999996</v>
      </c>
      <c r="L177" s="644"/>
      <c r="M177" s="644"/>
      <c r="N177" s="645">
        <v>66</v>
      </c>
      <c r="O177" s="645">
        <v>67</v>
      </c>
      <c r="P177" s="645">
        <v>18</v>
      </c>
      <c r="Q177" s="646">
        <v>1.69</v>
      </c>
      <c r="R177" s="645">
        <v>10</v>
      </c>
      <c r="S177" s="645">
        <v>66</v>
      </c>
      <c r="T177" s="643">
        <v>3.3</v>
      </c>
      <c r="U177" s="647">
        <v>14.1</v>
      </c>
      <c r="V177" s="643">
        <v>5.2</v>
      </c>
      <c r="W177" s="648">
        <v>55</v>
      </c>
      <c r="X177" s="649">
        <v>7</v>
      </c>
      <c r="Y177" s="650">
        <v>2026</v>
      </c>
      <c r="Z177" s="651">
        <v>2</v>
      </c>
      <c r="AA177" s="649" t="str">
        <f>+Tabla_query___2026_06_23T082334.128[[#This Row],[AÑO]]&amp;" - "&amp;Tabla_query___2026_06_23T082334.128[[#This Row],[MES]]</f>
        <v>2026 - 2</v>
      </c>
      <c r="AB177" s="6">
        <f t="shared" si="6"/>
        <v>75</v>
      </c>
      <c r="AC177" s="6">
        <f t="shared" si="7"/>
        <v>8000</v>
      </c>
      <c r="AD177" s="6">
        <f t="shared" si="8"/>
        <v>350</v>
      </c>
    </row>
    <row r="178" spans="2:30">
      <c r="B178" s="673">
        <v>46066</v>
      </c>
      <c r="C178" s="642">
        <v>63270</v>
      </c>
      <c r="D178" s="642">
        <v>64553</v>
      </c>
      <c r="E178" s="642">
        <v>15035</v>
      </c>
      <c r="F178" s="642">
        <v>871.47299999999996</v>
      </c>
      <c r="G178" s="642">
        <v>8961</v>
      </c>
      <c r="H178" s="642">
        <v>236779</v>
      </c>
      <c r="I178" s="643">
        <v>5070.2</v>
      </c>
      <c r="J178" s="643">
        <v>861.5</v>
      </c>
      <c r="K178" s="643">
        <v>5164.8</v>
      </c>
      <c r="L178" s="644"/>
      <c r="M178" s="644"/>
      <c r="N178" s="645">
        <v>76</v>
      </c>
      <c r="O178" s="645">
        <v>78</v>
      </c>
      <c r="P178" s="645">
        <v>21</v>
      </c>
      <c r="Q178" s="646">
        <v>0.17799999999999999</v>
      </c>
      <c r="R178" s="645">
        <v>7</v>
      </c>
      <c r="S178" s="645">
        <v>77</v>
      </c>
      <c r="T178" s="643">
        <v>3.5</v>
      </c>
      <c r="U178" s="647">
        <v>13.5</v>
      </c>
      <c r="V178" s="643">
        <v>4.9000000000000004</v>
      </c>
      <c r="W178" s="648">
        <v>51</v>
      </c>
      <c r="X178" s="649">
        <v>7</v>
      </c>
      <c r="Y178" s="650">
        <v>2026</v>
      </c>
      <c r="Z178" s="651">
        <v>2</v>
      </c>
      <c r="AA178" s="649" t="str">
        <f>+Tabla_query___2026_06_23T082334.128[[#This Row],[AÑO]]&amp;" - "&amp;Tabla_query___2026_06_23T082334.128[[#This Row],[MES]]</f>
        <v>2026 - 2</v>
      </c>
      <c r="AB178" s="6">
        <f t="shared" si="6"/>
        <v>75</v>
      </c>
      <c r="AC178" s="6">
        <f t="shared" si="7"/>
        <v>8000</v>
      </c>
      <c r="AD178" s="6">
        <f t="shared" si="8"/>
        <v>350</v>
      </c>
    </row>
    <row r="179" spans="2:30">
      <c r="B179" s="673">
        <v>46067</v>
      </c>
      <c r="C179" s="642">
        <v>63326</v>
      </c>
      <c r="D179" s="642">
        <v>64611</v>
      </c>
      <c r="E179" s="642">
        <v>15056</v>
      </c>
      <c r="F179" s="642">
        <v>871.72199999999998</v>
      </c>
      <c r="G179" s="642">
        <v>8969</v>
      </c>
      <c r="H179" s="642">
        <v>236836</v>
      </c>
      <c r="I179" s="643">
        <v>5072.8999999999996</v>
      </c>
      <c r="J179" s="643">
        <v>875.4</v>
      </c>
      <c r="K179" s="643">
        <v>5169.5</v>
      </c>
      <c r="L179" s="644"/>
      <c r="M179" s="644"/>
      <c r="N179" s="645">
        <v>56</v>
      </c>
      <c r="O179" s="645">
        <v>58</v>
      </c>
      <c r="P179" s="645">
        <v>21</v>
      </c>
      <c r="Q179" s="646">
        <v>0.249</v>
      </c>
      <c r="R179" s="645">
        <v>8</v>
      </c>
      <c r="S179" s="645">
        <v>57</v>
      </c>
      <c r="T179" s="643">
        <v>2.7</v>
      </c>
      <c r="U179" s="647">
        <v>13.9</v>
      </c>
      <c r="V179" s="643">
        <v>4.7</v>
      </c>
      <c r="W179" s="648">
        <v>49</v>
      </c>
      <c r="X179" s="649">
        <v>7</v>
      </c>
      <c r="Y179" s="650">
        <v>2026</v>
      </c>
      <c r="Z179" s="651">
        <v>2</v>
      </c>
      <c r="AA179" s="649" t="str">
        <f>+Tabla_query___2026_06_23T082334.128[[#This Row],[AÑO]]&amp;" - "&amp;Tabla_query___2026_06_23T082334.128[[#This Row],[MES]]</f>
        <v>2026 - 2</v>
      </c>
      <c r="AB179" s="6">
        <f t="shared" si="6"/>
        <v>75</v>
      </c>
      <c r="AC179" s="6">
        <f t="shared" si="7"/>
        <v>8000</v>
      </c>
      <c r="AD179" s="6">
        <f t="shared" si="8"/>
        <v>350</v>
      </c>
    </row>
    <row r="180" spans="2:30">
      <c r="B180" s="673">
        <v>46069</v>
      </c>
      <c r="C180" s="642">
        <v>63427</v>
      </c>
      <c r="D180" s="642">
        <v>64711</v>
      </c>
      <c r="E180" s="642">
        <v>15087</v>
      </c>
      <c r="F180" s="642">
        <v>871.93700000000001</v>
      </c>
      <c r="G180" s="642">
        <v>8972</v>
      </c>
      <c r="H180" s="642">
        <v>236937</v>
      </c>
      <c r="I180" s="643">
        <v>5076.2</v>
      </c>
      <c r="J180" s="643">
        <v>894.4</v>
      </c>
      <c r="K180" s="643">
        <v>5174.6000000000004</v>
      </c>
      <c r="L180" s="644"/>
      <c r="M180" s="644"/>
      <c r="N180" s="645">
        <v>101</v>
      </c>
      <c r="O180" s="645">
        <v>100</v>
      </c>
      <c r="P180" s="645">
        <v>31</v>
      </c>
      <c r="Q180" s="646">
        <v>0.215</v>
      </c>
      <c r="R180" s="645">
        <v>3</v>
      </c>
      <c r="S180" s="645">
        <v>101</v>
      </c>
      <c r="T180" s="643">
        <v>3.3</v>
      </c>
      <c r="U180" s="647">
        <v>19</v>
      </c>
      <c r="V180" s="643">
        <v>5.0999999999999996</v>
      </c>
      <c r="W180" s="648">
        <v>45</v>
      </c>
      <c r="X180" s="649">
        <v>8</v>
      </c>
      <c r="Y180" s="650">
        <v>2026</v>
      </c>
      <c r="Z180" s="651">
        <v>2</v>
      </c>
      <c r="AA180" s="649" t="str">
        <f>+Tabla_query___2026_06_23T082334.128[[#This Row],[AÑO]]&amp;" - "&amp;Tabla_query___2026_06_23T082334.128[[#This Row],[MES]]</f>
        <v>2026 - 2</v>
      </c>
      <c r="AB180" s="6">
        <f t="shared" si="6"/>
        <v>75</v>
      </c>
      <c r="AC180" s="6">
        <f t="shared" si="7"/>
        <v>8000</v>
      </c>
      <c r="AD180" s="6">
        <f t="shared" si="8"/>
        <v>350</v>
      </c>
    </row>
    <row r="181" spans="2:30">
      <c r="B181" s="673">
        <v>46070</v>
      </c>
      <c r="C181" s="642">
        <v>63496</v>
      </c>
      <c r="D181" s="642">
        <v>64782</v>
      </c>
      <c r="E181" s="642">
        <v>15106</v>
      </c>
      <c r="F181" s="642">
        <v>871.93700000000001</v>
      </c>
      <c r="G181" s="642">
        <v>8981</v>
      </c>
      <c r="H181" s="642">
        <v>237007</v>
      </c>
      <c r="I181" s="643">
        <v>5078.8999999999996</v>
      </c>
      <c r="J181" s="643">
        <v>904.9</v>
      </c>
      <c r="K181" s="643">
        <v>5177.5</v>
      </c>
      <c r="L181" s="644"/>
      <c r="M181" s="644"/>
      <c r="N181" s="645">
        <v>69</v>
      </c>
      <c r="O181" s="645">
        <v>71</v>
      </c>
      <c r="P181" s="645">
        <v>19</v>
      </c>
      <c r="Q181" s="646">
        <v>0</v>
      </c>
      <c r="R181" s="645">
        <v>9</v>
      </c>
      <c r="S181" s="645">
        <v>70</v>
      </c>
      <c r="T181" s="643">
        <v>2.7</v>
      </c>
      <c r="U181" s="647">
        <v>10.5</v>
      </c>
      <c r="V181" s="643">
        <v>2.9</v>
      </c>
      <c r="W181" s="648">
        <v>41</v>
      </c>
      <c r="X181" s="649">
        <v>8</v>
      </c>
      <c r="Y181" s="650">
        <v>2026</v>
      </c>
      <c r="Z181" s="651">
        <v>2</v>
      </c>
      <c r="AA181" s="649" t="str">
        <f>+Tabla_query___2026_06_23T082334.128[[#This Row],[AÑO]]&amp;" - "&amp;Tabla_query___2026_06_23T082334.128[[#This Row],[MES]]</f>
        <v>2026 - 2</v>
      </c>
      <c r="AB181" s="6">
        <f t="shared" si="6"/>
        <v>75</v>
      </c>
      <c r="AC181" s="6">
        <f t="shared" si="7"/>
        <v>8000</v>
      </c>
      <c r="AD181" s="6">
        <f t="shared" si="8"/>
        <v>350</v>
      </c>
    </row>
    <row r="182" spans="2:30">
      <c r="B182" s="673">
        <v>46071</v>
      </c>
      <c r="C182" s="642">
        <v>63558</v>
      </c>
      <c r="D182" s="642">
        <v>64845</v>
      </c>
      <c r="E182" s="642">
        <v>15127</v>
      </c>
      <c r="F182" s="642">
        <v>872.21699999999998</v>
      </c>
      <c r="G182" s="642">
        <v>8987</v>
      </c>
      <c r="H182" s="642">
        <v>237069</v>
      </c>
      <c r="I182" s="643">
        <v>5083.8</v>
      </c>
      <c r="J182" s="643">
        <v>920.6</v>
      </c>
      <c r="K182" s="643">
        <v>5182.8999999999996</v>
      </c>
      <c r="L182" s="644"/>
      <c r="M182" s="644"/>
      <c r="N182" s="645">
        <v>62</v>
      </c>
      <c r="O182" s="645">
        <v>63</v>
      </c>
      <c r="P182" s="645">
        <v>21</v>
      </c>
      <c r="Q182" s="646">
        <v>0.28000000000000003</v>
      </c>
      <c r="R182" s="645">
        <v>6</v>
      </c>
      <c r="S182" s="645">
        <v>62</v>
      </c>
      <c r="T182" s="643">
        <v>4.9000000000000004</v>
      </c>
      <c r="U182" s="647">
        <v>15.7</v>
      </c>
      <c r="V182" s="643">
        <v>5.4</v>
      </c>
      <c r="W182" s="648">
        <v>40</v>
      </c>
      <c r="X182" s="649">
        <v>8</v>
      </c>
      <c r="Y182" s="650">
        <v>2026</v>
      </c>
      <c r="Z182" s="651">
        <v>2</v>
      </c>
      <c r="AA182" s="649" t="str">
        <f>+Tabla_query___2026_06_23T082334.128[[#This Row],[AÑO]]&amp;" - "&amp;Tabla_query___2026_06_23T082334.128[[#This Row],[MES]]</f>
        <v>2026 - 2</v>
      </c>
      <c r="AB182" s="6">
        <f t="shared" si="6"/>
        <v>75</v>
      </c>
      <c r="AC182" s="6">
        <f t="shared" si="7"/>
        <v>8000</v>
      </c>
      <c r="AD182" s="6">
        <f t="shared" si="8"/>
        <v>350</v>
      </c>
    </row>
    <row r="183" spans="2:30">
      <c r="B183" s="673">
        <v>46072</v>
      </c>
      <c r="C183" s="642">
        <v>63618</v>
      </c>
      <c r="D183" s="642">
        <v>64906</v>
      </c>
      <c r="E183" s="642">
        <v>15145</v>
      </c>
      <c r="F183" s="642">
        <v>872.46600000000001</v>
      </c>
      <c r="G183" s="642">
        <v>8992</v>
      </c>
      <c r="H183" s="642">
        <v>237130</v>
      </c>
      <c r="I183" s="643">
        <v>5087.8</v>
      </c>
      <c r="J183" s="643">
        <v>937.4</v>
      </c>
      <c r="K183" s="643">
        <v>5188.2</v>
      </c>
      <c r="L183" s="644"/>
      <c r="M183" s="644"/>
      <c r="N183" s="645">
        <v>60</v>
      </c>
      <c r="O183" s="645">
        <v>61</v>
      </c>
      <c r="P183" s="645">
        <v>18</v>
      </c>
      <c r="Q183" s="646">
        <v>0.249</v>
      </c>
      <c r="R183" s="645">
        <v>5</v>
      </c>
      <c r="S183" s="645">
        <v>61</v>
      </c>
      <c r="T183" s="643">
        <v>4</v>
      </c>
      <c r="U183" s="647">
        <v>16.8</v>
      </c>
      <c r="V183" s="643">
        <v>5.3</v>
      </c>
      <c r="W183" s="648">
        <v>48</v>
      </c>
      <c r="X183" s="649">
        <v>8</v>
      </c>
      <c r="Y183" s="650">
        <v>2026</v>
      </c>
      <c r="Z183" s="651">
        <v>2</v>
      </c>
      <c r="AA183" s="649" t="str">
        <f>+Tabla_query___2026_06_23T082334.128[[#This Row],[AÑO]]&amp;" - "&amp;Tabla_query___2026_06_23T082334.128[[#This Row],[MES]]</f>
        <v>2026 - 2</v>
      </c>
      <c r="AB183" s="6">
        <f t="shared" si="6"/>
        <v>75</v>
      </c>
      <c r="AC183" s="6">
        <f t="shared" si="7"/>
        <v>8000</v>
      </c>
      <c r="AD183" s="6">
        <f t="shared" si="8"/>
        <v>350</v>
      </c>
    </row>
    <row r="184" spans="2:30">
      <c r="B184" s="673">
        <v>46073</v>
      </c>
      <c r="C184" s="642">
        <v>63689</v>
      </c>
      <c r="D184" s="642">
        <v>64978</v>
      </c>
      <c r="E184" s="642">
        <v>15162</v>
      </c>
      <c r="F184" s="642">
        <v>872.846</v>
      </c>
      <c r="G184" s="642">
        <v>8998</v>
      </c>
      <c r="H184" s="642">
        <v>237201</v>
      </c>
      <c r="I184" s="643">
        <v>5091.8</v>
      </c>
      <c r="J184" s="643">
        <v>954.9</v>
      </c>
      <c r="K184" s="643">
        <v>5194</v>
      </c>
      <c r="L184" s="644"/>
      <c r="M184" s="644"/>
      <c r="N184" s="645">
        <v>71</v>
      </c>
      <c r="O184" s="645">
        <v>72</v>
      </c>
      <c r="P184" s="645">
        <v>17</v>
      </c>
      <c r="Q184" s="646">
        <v>0.38</v>
      </c>
      <c r="R184" s="645">
        <v>6</v>
      </c>
      <c r="S184" s="645">
        <v>71</v>
      </c>
      <c r="T184" s="643">
        <v>4</v>
      </c>
      <c r="U184" s="647">
        <v>17.5</v>
      </c>
      <c r="V184" s="643">
        <v>5.8</v>
      </c>
      <c r="W184" s="648">
        <v>80</v>
      </c>
      <c r="X184" s="649">
        <v>8</v>
      </c>
      <c r="Y184" s="650">
        <v>2026</v>
      </c>
      <c r="Z184" s="651">
        <v>2</v>
      </c>
      <c r="AA184" s="649" t="str">
        <f>+Tabla_query___2026_06_23T082334.128[[#This Row],[AÑO]]&amp;" - "&amp;Tabla_query___2026_06_23T082334.128[[#This Row],[MES]]</f>
        <v>2026 - 2</v>
      </c>
      <c r="AB184" s="6">
        <f t="shared" si="6"/>
        <v>75</v>
      </c>
      <c r="AC184" s="6">
        <f t="shared" si="7"/>
        <v>8000</v>
      </c>
      <c r="AD184" s="6">
        <f t="shared" si="8"/>
        <v>350</v>
      </c>
    </row>
    <row r="185" spans="2:30">
      <c r="B185" s="673">
        <v>46074</v>
      </c>
      <c r="C185" s="642">
        <v>63747</v>
      </c>
      <c r="D185" s="642">
        <v>65038</v>
      </c>
      <c r="E185" s="642">
        <v>15184</v>
      </c>
      <c r="F185" s="642">
        <v>873.75300000000004</v>
      </c>
      <c r="G185" s="642">
        <v>9009</v>
      </c>
      <c r="H185" s="642">
        <v>237261</v>
      </c>
      <c r="I185" s="643">
        <v>5095.8</v>
      </c>
      <c r="J185" s="643">
        <v>971.9</v>
      </c>
      <c r="K185" s="643">
        <v>5199.6000000000004</v>
      </c>
      <c r="L185" s="644"/>
      <c r="M185" s="644"/>
      <c r="N185" s="645">
        <v>58</v>
      </c>
      <c r="O185" s="645">
        <v>60</v>
      </c>
      <c r="P185" s="645">
        <v>22</v>
      </c>
      <c r="Q185" s="646">
        <v>0.90700000000000003</v>
      </c>
      <c r="R185" s="645">
        <v>11</v>
      </c>
      <c r="S185" s="645">
        <v>60</v>
      </c>
      <c r="T185" s="643">
        <v>4</v>
      </c>
      <c r="U185" s="647">
        <v>17</v>
      </c>
      <c r="V185" s="643">
        <v>5.6</v>
      </c>
      <c r="W185" s="648">
        <v>88</v>
      </c>
      <c r="X185" s="649">
        <v>8</v>
      </c>
      <c r="Y185" s="650">
        <v>2026</v>
      </c>
      <c r="Z185" s="651">
        <v>2</v>
      </c>
      <c r="AA185" s="649" t="str">
        <f>+Tabla_query___2026_06_23T082334.128[[#This Row],[AÑO]]&amp;" - "&amp;Tabla_query___2026_06_23T082334.128[[#This Row],[MES]]</f>
        <v>2026 - 2</v>
      </c>
      <c r="AB185" s="6">
        <f t="shared" si="6"/>
        <v>75</v>
      </c>
      <c r="AC185" s="6">
        <f t="shared" si="7"/>
        <v>8000</v>
      </c>
      <c r="AD185" s="6">
        <f t="shared" si="8"/>
        <v>350</v>
      </c>
    </row>
    <row r="186" spans="2:30">
      <c r="B186" s="673">
        <v>46076</v>
      </c>
      <c r="C186" s="642">
        <v>63813</v>
      </c>
      <c r="D186" s="642">
        <v>65098</v>
      </c>
      <c r="E186" s="642">
        <v>15207</v>
      </c>
      <c r="F186" s="642">
        <v>873.96</v>
      </c>
      <c r="G186" s="642">
        <v>9013</v>
      </c>
      <c r="H186" s="642">
        <v>237329</v>
      </c>
      <c r="I186" s="643">
        <v>5099</v>
      </c>
      <c r="J186" s="643">
        <v>992.9</v>
      </c>
      <c r="K186" s="643">
        <v>5204.5</v>
      </c>
      <c r="L186" s="644"/>
      <c r="M186" s="644"/>
      <c r="N186" s="645">
        <v>66</v>
      </c>
      <c r="O186" s="645">
        <v>60</v>
      </c>
      <c r="P186" s="645">
        <v>23</v>
      </c>
      <c r="Q186" s="646">
        <v>0.20699999999999999</v>
      </c>
      <c r="R186" s="645">
        <v>4</v>
      </c>
      <c r="S186" s="645">
        <v>68</v>
      </c>
      <c r="T186" s="643">
        <v>3.2</v>
      </c>
      <c r="U186" s="647">
        <v>21</v>
      </c>
      <c r="V186" s="643">
        <v>4.9000000000000004</v>
      </c>
      <c r="W186" s="648">
        <v>77</v>
      </c>
      <c r="X186" s="649">
        <v>9</v>
      </c>
      <c r="Y186" s="650">
        <v>2026</v>
      </c>
      <c r="Z186" s="651">
        <v>2</v>
      </c>
      <c r="AA186" s="649" t="str">
        <f>+Tabla_query___2026_06_23T082334.128[[#This Row],[AÑO]]&amp;" - "&amp;Tabla_query___2026_06_23T082334.128[[#This Row],[MES]]</f>
        <v>2026 - 2</v>
      </c>
      <c r="AB186" s="6">
        <f t="shared" si="6"/>
        <v>75</v>
      </c>
      <c r="AC186" s="6">
        <f t="shared" si="7"/>
        <v>8000</v>
      </c>
      <c r="AD186" s="6">
        <f t="shared" si="8"/>
        <v>350</v>
      </c>
    </row>
    <row r="187" spans="2:30">
      <c r="B187" s="673">
        <v>46077</v>
      </c>
      <c r="C187" s="642">
        <v>63870</v>
      </c>
      <c r="D187" s="642">
        <v>65156</v>
      </c>
      <c r="E187" s="642">
        <v>15222</v>
      </c>
      <c r="F187" s="642">
        <v>874.09</v>
      </c>
      <c r="G187" s="642">
        <v>9023</v>
      </c>
      <c r="H187" s="642">
        <v>237387</v>
      </c>
      <c r="I187" s="643">
        <v>5102.1000000000004</v>
      </c>
      <c r="J187" s="643">
        <v>1005.4</v>
      </c>
      <c r="K187" s="643">
        <v>5208.8</v>
      </c>
      <c r="L187" s="644"/>
      <c r="M187" s="644"/>
      <c r="N187" s="645">
        <v>57</v>
      </c>
      <c r="O187" s="645">
        <v>58</v>
      </c>
      <c r="P187" s="645">
        <v>15</v>
      </c>
      <c r="Q187" s="646">
        <v>0.13</v>
      </c>
      <c r="R187" s="645">
        <v>10</v>
      </c>
      <c r="S187" s="645">
        <v>58</v>
      </c>
      <c r="T187" s="643">
        <v>3.1</v>
      </c>
      <c r="U187" s="647">
        <v>12.5</v>
      </c>
      <c r="V187" s="643">
        <v>4.3</v>
      </c>
      <c r="W187" s="648">
        <v>73</v>
      </c>
      <c r="X187" s="649">
        <v>9</v>
      </c>
      <c r="Y187" s="650">
        <v>2026</v>
      </c>
      <c r="Z187" s="651">
        <v>2</v>
      </c>
      <c r="AA187" s="649" t="str">
        <f>+Tabla_query___2026_06_23T082334.128[[#This Row],[AÑO]]&amp;" - "&amp;Tabla_query___2026_06_23T082334.128[[#This Row],[MES]]</f>
        <v>2026 - 2</v>
      </c>
      <c r="AB187" s="6">
        <f t="shared" si="6"/>
        <v>75</v>
      </c>
      <c r="AC187" s="6">
        <f t="shared" si="7"/>
        <v>8000</v>
      </c>
      <c r="AD187" s="6">
        <f t="shared" si="8"/>
        <v>350</v>
      </c>
    </row>
    <row r="188" spans="2:30">
      <c r="B188" s="673">
        <v>46078</v>
      </c>
      <c r="C188" s="642">
        <v>63953</v>
      </c>
      <c r="D188" s="642">
        <v>65240</v>
      </c>
      <c r="E188" s="642">
        <v>15232</v>
      </c>
      <c r="F188" s="642">
        <v>874.37</v>
      </c>
      <c r="G188" s="642">
        <v>9034</v>
      </c>
      <c r="H188" s="642">
        <v>237470</v>
      </c>
      <c r="I188" s="643">
        <v>5106.2</v>
      </c>
      <c r="J188" s="643">
        <v>1021.5</v>
      </c>
      <c r="K188" s="643">
        <v>5214</v>
      </c>
      <c r="L188" s="644"/>
      <c r="M188" s="644"/>
      <c r="N188" s="645">
        <v>83</v>
      </c>
      <c r="O188" s="645">
        <v>84</v>
      </c>
      <c r="P188" s="645">
        <v>10</v>
      </c>
      <c r="Q188" s="646">
        <v>0.28000000000000003</v>
      </c>
      <c r="R188" s="645">
        <v>11</v>
      </c>
      <c r="S188" s="645">
        <v>83</v>
      </c>
      <c r="T188" s="643">
        <v>4.0999999999999996</v>
      </c>
      <c r="U188" s="647">
        <v>16.100000000000001</v>
      </c>
      <c r="V188" s="643">
        <v>5.2</v>
      </c>
      <c r="W188" s="648">
        <v>74</v>
      </c>
      <c r="X188" s="649">
        <v>9</v>
      </c>
      <c r="Y188" s="650">
        <v>2026</v>
      </c>
      <c r="Z188" s="651">
        <v>2</v>
      </c>
      <c r="AA188" s="649" t="str">
        <f>+Tabla_query___2026_06_23T082334.128[[#This Row],[AÑO]]&amp;" - "&amp;Tabla_query___2026_06_23T082334.128[[#This Row],[MES]]</f>
        <v>2026 - 2</v>
      </c>
      <c r="AB188" s="6">
        <f t="shared" si="6"/>
        <v>75</v>
      </c>
      <c r="AC188" s="6">
        <f t="shared" si="7"/>
        <v>8000</v>
      </c>
      <c r="AD188" s="6">
        <f t="shared" si="8"/>
        <v>350</v>
      </c>
    </row>
    <row r="189" spans="2:30">
      <c r="B189" s="673">
        <v>46079</v>
      </c>
      <c r="C189" s="642">
        <v>64018</v>
      </c>
      <c r="D189" s="642">
        <v>65306</v>
      </c>
      <c r="E189" s="642">
        <v>15245</v>
      </c>
      <c r="F189" s="642">
        <v>874.44500000000005</v>
      </c>
      <c r="G189" s="642">
        <v>9045</v>
      </c>
      <c r="H189" s="642">
        <v>237535</v>
      </c>
      <c r="I189" s="643">
        <v>5110.7</v>
      </c>
      <c r="J189" s="643">
        <v>1037.8</v>
      </c>
      <c r="K189" s="643">
        <v>5219.5</v>
      </c>
      <c r="L189" s="644"/>
      <c r="M189" s="644"/>
      <c r="N189" s="645">
        <v>65</v>
      </c>
      <c r="O189" s="645">
        <v>66</v>
      </c>
      <c r="P189" s="645">
        <v>13</v>
      </c>
      <c r="Q189" s="646">
        <v>7.4999999999999997E-2</v>
      </c>
      <c r="R189" s="645">
        <v>11</v>
      </c>
      <c r="S189" s="645">
        <v>65</v>
      </c>
      <c r="T189" s="643">
        <v>4.5</v>
      </c>
      <c r="U189" s="647">
        <v>16.3</v>
      </c>
      <c r="V189" s="643">
        <v>5.5</v>
      </c>
      <c r="W189" s="648">
        <v>76</v>
      </c>
      <c r="X189" s="649">
        <v>9</v>
      </c>
      <c r="Y189" s="650">
        <v>2026</v>
      </c>
      <c r="Z189" s="651">
        <v>2</v>
      </c>
      <c r="AA189" s="649" t="str">
        <f>+Tabla_query___2026_06_23T082334.128[[#This Row],[AÑO]]&amp;" - "&amp;Tabla_query___2026_06_23T082334.128[[#This Row],[MES]]</f>
        <v>2026 - 2</v>
      </c>
      <c r="AB189" s="6">
        <f t="shared" si="6"/>
        <v>75</v>
      </c>
      <c r="AC189" s="6">
        <f t="shared" si="7"/>
        <v>8000</v>
      </c>
      <c r="AD189" s="6">
        <f t="shared" si="8"/>
        <v>350</v>
      </c>
    </row>
    <row r="190" spans="2:30">
      <c r="B190" s="673">
        <v>46080</v>
      </c>
      <c r="C190" s="642">
        <v>64090</v>
      </c>
      <c r="D190" s="642">
        <v>65380</v>
      </c>
      <c r="E190" s="642">
        <v>15255</v>
      </c>
      <c r="F190" s="642">
        <v>874.83699999999999</v>
      </c>
      <c r="G190" s="642">
        <v>9053</v>
      </c>
      <c r="H190" s="642">
        <v>237608</v>
      </c>
      <c r="I190" s="643">
        <v>5114.6000000000004</v>
      </c>
      <c r="J190" s="643">
        <v>1053.8</v>
      </c>
      <c r="K190" s="643">
        <v>5225.3</v>
      </c>
      <c r="L190" s="644"/>
      <c r="M190" s="644"/>
      <c r="N190" s="645">
        <v>72</v>
      </c>
      <c r="O190" s="645">
        <v>74</v>
      </c>
      <c r="P190" s="645">
        <v>10</v>
      </c>
      <c r="Q190" s="646">
        <v>0.39200000000000002</v>
      </c>
      <c r="R190" s="645">
        <v>8</v>
      </c>
      <c r="S190" s="645">
        <v>73</v>
      </c>
      <c r="T190" s="643">
        <v>3.9</v>
      </c>
      <c r="U190" s="647">
        <v>16</v>
      </c>
      <c r="V190" s="643">
        <v>5.8</v>
      </c>
      <c r="W190" s="648">
        <v>72</v>
      </c>
      <c r="X190" s="649">
        <v>9</v>
      </c>
      <c r="Y190" s="650">
        <v>2026</v>
      </c>
      <c r="Z190" s="651">
        <v>2</v>
      </c>
      <c r="AA190" s="649" t="str">
        <f>+Tabla_query___2026_06_23T082334.128[[#This Row],[AÑO]]&amp;" - "&amp;Tabla_query___2026_06_23T082334.128[[#This Row],[MES]]</f>
        <v>2026 - 2</v>
      </c>
      <c r="AB190" s="6">
        <f t="shared" si="6"/>
        <v>75</v>
      </c>
      <c r="AC190" s="6">
        <f t="shared" si="7"/>
        <v>8000</v>
      </c>
      <c r="AD190" s="6">
        <f t="shared" si="8"/>
        <v>350</v>
      </c>
    </row>
    <row r="191" spans="2:30">
      <c r="B191" s="673">
        <v>46081</v>
      </c>
      <c r="C191" s="642">
        <v>64165</v>
      </c>
      <c r="D191" s="642">
        <v>65455</v>
      </c>
      <c r="E191" s="642">
        <v>15295</v>
      </c>
      <c r="F191" s="642">
        <v>902.65499999999997</v>
      </c>
      <c r="G191" s="642">
        <v>9062</v>
      </c>
      <c r="H191" s="642">
        <v>237683</v>
      </c>
      <c r="I191" s="643">
        <v>5118.7</v>
      </c>
      <c r="J191" s="643">
        <v>1070.7</v>
      </c>
      <c r="K191" s="643">
        <v>5231.2</v>
      </c>
      <c r="L191" s="644"/>
      <c r="M191" s="644"/>
      <c r="N191" s="645">
        <v>75</v>
      </c>
      <c r="O191" s="645">
        <v>75</v>
      </c>
      <c r="P191" s="645">
        <v>40</v>
      </c>
      <c r="Q191" s="646">
        <v>27.818000000000001</v>
      </c>
      <c r="R191" s="645">
        <v>9</v>
      </c>
      <c r="S191" s="645">
        <v>75</v>
      </c>
      <c r="T191" s="643">
        <v>4.0999999999999996</v>
      </c>
      <c r="U191" s="647">
        <v>16.899999999999999</v>
      </c>
      <c r="V191" s="643">
        <v>5.9</v>
      </c>
      <c r="W191" s="648">
        <v>69</v>
      </c>
      <c r="X191" s="649">
        <v>9</v>
      </c>
      <c r="Y191" s="650">
        <v>2026</v>
      </c>
      <c r="Z191" s="651">
        <v>2</v>
      </c>
      <c r="AA191" s="649" t="str">
        <f>+Tabla_query___2026_06_23T082334.128[[#This Row],[AÑO]]&amp;" - "&amp;Tabla_query___2026_06_23T082334.128[[#This Row],[MES]]</f>
        <v>2026 - 2</v>
      </c>
      <c r="AB191" s="6">
        <f t="shared" si="6"/>
        <v>75</v>
      </c>
      <c r="AC191" s="6">
        <f t="shared" si="7"/>
        <v>8000</v>
      </c>
      <c r="AD191" s="6">
        <f t="shared" si="8"/>
        <v>350</v>
      </c>
    </row>
    <row r="192" spans="2:30">
      <c r="B192" s="673">
        <v>46083</v>
      </c>
      <c r="C192" s="642">
        <v>64251</v>
      </c>
      <c r="D192" s="642">
        <v>65538</v>
      </c>
      <c r="E192" s="642">
        <v>15319</v>
      </c>
      <c r="F192" s="642">
        <v>902.81</v>
      </c>
      <c r="G192" s="642">
        <v>9064</v>
      </c>
      <c r="H192" s="642">
        <v>237771</v>
      </c>
      <c r="I192" s="643">
        <v>5121.9799999999996</v>
      </c>
      <c r="J192" s="643">
        <v>1092.8900000000001</v>
      </c>
      <c r="K192" s="643">
        <v>5237.8599999999997</v>
      </c>
      <c r="L192" s="644"/>
      <c r="M192" s="644"/>
      <c r="N192" s="645">
        <v>86</v>
      </c>
      <c r="O192" s="645">
        <v>83</v>
      </c>
      <c r="P192" s="645">
        <v>24</v>
      </c>
      <c r="Q192" s="646">
        <v>0.155</v>
      </c>
      <c r="R192" s="645">
        <v>2</v>
      </c>
      <c r="S192" s="645">
        <v>88</v>
      </c>
      <c r="T192" s="643">
        <v>3.28</v>
      </c>
      <c r="U192" s="647">
        <v>22.19</v>
      </c>
      <c r="V192" s="643">
        <v>6.66</v>
      </c>
      <c r="W192" s="648">
        <v>65</v>
      </c>
      <c r="X192" s="649">
        <v>10</v>
      </c>
      <c r="Y192" s="650">
        <v>2026</v>
      </c>
      <c r="Z192" s="651">
        <v>3</v>
      </c>
      <c r="AA192" s="649" t="str">
        <f>+Tabla_query___2026_06_23T082334.128[[#This Row],[AÑO]]&amp;" - "&amp;Tabla_query___2026_06_23T082334.128[[#This Row],[MES]]</f>
        <v>2026 - 3</v>
      </c>
      <c r="AB192" s="6">
        <f t="shared" si="6"/>
        <v>75</v>
      </c>
      <c r="AC192" s="6">
        <f t="shared" si="7"/>
        <v>8000</v>
      </c>
      <c r="AD192" s="6">
        <f t="shared" si="8"/>
        <v>350</v>
      </c>
    </row>
    <row r="193" spans="2:30">
      <c r="B193" s="673">
        <v>46084</v>
      </c>
      <c r="C193" s="642">
        <v>64312</v>
      </c>
      <c r="D193" s="642">
        <v>65600</v>
      </c>
      <c r="E193" s="642">
        <v>15329</v>
      </c>
      <c r="F193" s="642">
        <v>903.02</v>
      </c>
      <c r="G193" s="642">
        <v>9065</v>
      </c>
      <c r="H193" s="642">
        <v>237832</v>
      </c>
      <c r="I193" s="643">
        <v>5124.2</v>
      </c>
      <c r="J193" s="643">
        <v>1102.8</v>
      </c>
      <c r="K193" s="643">
        <v>5243.6</v>
      </c>
      <c r="L193" s="644"/>
      <c r="M193" s="644"/>
      <c r="N193" s="645">
        <v>61</v>
      </c>
      <c r="O193" s="645">
        <v>62</v>
      </c>
      <c r="P193" s="645">
        <v>10</v>
      </c>
      <c r="Q193" s="646">
        <v>0.21</v>
      </c>
      <c r="R193" s="645">
        <v>1</v>
      </c>
      <c r="S193" s="645">
        <v>61</v>
      </c>
      <c r="T193" s="643">
        <v>2.2200000000000002</v>
      </c>
      <c r="U193" s="647">
        <v>9.91</v>
      </c>
      <c r="V193" s="643">
        <v>5.74</v>
      </c>
      <c r="W193" s="648">
        <v>60</v>
      </c>
      <c r="X193" s="649">
        <v>10</v>
      </c>
      <c r="Y193" s="650">
        <v>2026</v>
      </c>
      <c r="Z193" s="651">
        <v>3</v>
      </c>
      <c r="AA193" s="649" t="str">
        <f>+Tabla_query___2026_06_23T082334.128[[#This Row],[AÑO]]&amp;" - "&amp;Tabla_query___2026_06_23T082334.128[[#This Row],[MES]]</f>
        <v>2026 - 3</v>
      </c>
      <c r="AB193" s="6">
        <f t="shared" si="6"/>
        <v>75</v>
      </c>
      <c r="AC193" s="6">
        <f t="shared" si="7"/>
        <v>8000</v>
      </c>
      <c r="AD193" s="6">
        <f t="shared" si="8"/>
        <v>350</v>
      </c>
    </row>
    <row r="194" spans="2:30">
      <c r="B194" s="673">
        <v>46085</v>
      </c>
      <c r="C194" s="642">
        <v>64369</v>
      </c>
      <c r="D194" s="642">
        <v>65658</v>
      </c>
      <c r="E194" s="642">
        <v>15339</v>
      </c>
      <c r="F194" s="642">
        <v>903.476</v>
      </c>
      <c r="G194" s="642">
        <v>9070</v>
      </c>
      <c r="H194" s="642">
        <v>237890</v>
      </c>
      <c r="I194" s="643">
        <v>5127.8999999999996</v>
      </c>
      <c r="J194" s="643">
        <v>1116.5</v>
      </c>
      <c r="K194" s="643">
        <v>5251.5</v>
      </c>
      <c r="L194" s="644"/>
      <c r="M194" s="644"/>
      <c r="N194" s="645">
        <v>57</v>
      </c>
      <c r="O194" s="645">
        <v>58</v>
      </c>
      <c r="P194" s="645">
        <v>10</v>
      </c>
      <c r="Q194" s="646">
        <v>0.45600000000000002</v>
      </c>
      <c r="R194" s="645">
        <v>5</v>
      </c>
      <c r="S194" s="645">
        <v>58</v>
      </c>
      <c r="T194" s="643">
        <v>3.7</v>
      </c>
      <c r="U194" s="647">
        <v>13.7</v>
      </c>
      <c r="V194" s="643">
        <v>7.9</v>
      </c>
      <c r="W194" s="648">
        <v>59</v>
      </c>
      <c r="X194" s="649">
        <v>10</v>
      </c>
      <c r="Y194" s="650">
        <v>2026</v>
      </c>
      <c r="Z194" s="651">
        <v>3</v>
      </c>
      <c r="AA194" s="649" t="str">
        <f>+Tabla_query___2026_06_23T082334.128[[#This Row],[AÑO]]&amp;" - "&amp;Tabla_query___2026_06_23T082334.128[[#This Row],[MES]]</f>
        <v>2026 - 3</v>
      </c>
      <c r="AB194" s="6">
        <f t="shared" si="6"/>
        <v>75</v>
      </c>
      <c r="AC194" s="6">
        <f t="shared" si="7"/>
        <v>8000</v>
      </c>
      <c r="AD194" s="6">
        <f t="shared" si="8"/>
        <v>350</v>
      </c>
    </row>
    <row r="195" spans="2:30">
      <c r="B195" s="673">
        <v>46086</v>
      </c>
      <c r="C195" s="642">
        <v>64423</v>
      </c>
      <c r="D195" s="642">
        <v>65713</v>
      </c>
      <c r="E195" s="642">
        <v>15350</v>
      </c>
      <c r="F195" s="642">
        <v>903.70299999999997</v>
      </c>
      <c r="G195" s="642">
        <v>9080</v>
      </c>
      <c r="H195" s="642">
        <v>237945</v>
      </c>
      <c r="I195" s="643">
        <v>5132.3</v>
      </c>
      <c r="J195" s="643">
        <v>1133.5</v>
      </c>
      <c r="K195" s="643">
        <v>5259.1</v>
      </c>
      <c r="L195" s="644"/>
      <c r="M195" s="644"/>
      <c r="N195" s="645">
        <v>54</v>
      </c>
      <c r="O195" s="645">
        <v>55</v>
      </c>
      <c r="P195" s="645">
        <v>11</v>
      </c>
      <c r="Q195" s="646">
        <v>0.22700000000000001</v>
      </c>
      <c r="R195" s="645">
        <v>10</v>
      </c>
      <c r="S195" s="645">
        <v>55</v>
      </c>
      <c r="T195" s="643">
        <v>4.4000000000000004</v>
      </c>
      <c r="U195" s="647">
        <v>17</v>
      </c>
      <c r="V195" s="643">
        <v>7.6</v>
      </c>
      <c r="W195" s="648">
        <v>75</v>
      </c>
      <c r="X195" s="649">
        <v>10</v>
      </c>
      <c r="Y195" s="650">
        <v>2026</v>
      </c>
      <c r="Z195" s="651">
        <v>3</v>
      </c>
      <c r="AA195" s="649" t="str">
        <f>+Tabla_query___2026_06_23T082334.128[[#This Row],[AÑO]]&amp;" - "&amp;Tabla_query___2026_06_23T082334.128[[#This Row],[MES]]</f>
        <v>2026 - 3</v>
      </c>
      <c r="AB195" s="6">
        <f t="shared" ref="AB195:AB258" si="9">+$AB$1</f>
        <v>75</v>
      </c>
      <c r="AC195" s="6">
        <f t="shared" ref="AC195:AC258" si="10">+$AC$1</f>
        <v>8000</v>
      </c>
      <c r="AD195" s="6">
        <f t="shared" ref="AD195:AD258" si="11">+$AD$1</f>
        <v>350</v>
      </c>
    </row>
    <row r="196" spans="2:30">
      <c r="B196" s="673">
        <v>46087</v>
      </c>
      <c r="C196" s="642">
        <v>64484</v>
      </c>
      <c r="D196" s="642">
        <v>65776</v>
      </c>
      <c r="E196" s="642">
        <v>15360</v>
      </c>
      <c r="F196" s="642">
        <v>903.81799999999998</v>
      </c>
      <c r="G196" s="642">
        <v>9086</v>
      </c>
      <c r="H196" s="642">
        <v>238007</v>
      </c>
      <c r="I196" s="643">
        <v>5135.7</v>
      </c>
      <c r="J196" s="643">
        <v>1147</v>
      </c>
      <c r="K196" s="643">
        <v>5266.4</v>
      </c>
      <c r="L196" s="644"/>
      <c r="M196" s="644"/>
      <c r="N196" s="645">
        <v>61</v>
      </c>
      <c r="O196" s="645">
        <v>63</v>
      </c>
      <c r="P196" s="645">
        <v>10</v>
      </c>
      <c r="Q196" s="646">
        <v>0.115</v>
      </c>
      <c r="R196" s="645">
        <v>6</v>
      </c>
      <c r="S196" s="645">
        <v>62</v>
      </c>
      <c r="T196" s="643">
        <v>3.4</v>
      </c>
      <c r="U196" s="647">
        <v>13.5</v>
      </c>
      <c r="V196" s="643">
        <v>7.3</v>
      </c>
      <c r="W196" s="648">
        <v>70</v>
      </c>
      <c r="X196" s="649">
        <v>10</v>
      </c>
      <c r="Y196" s="650">
        <v>2026</v>
      </c>
      <c r="Z196" s="651">
        <v>3</v>
      </c>
      <c r="AA196" s="649" t="str">
        <f>+Tabla_query___2026_06_23T082334.128[[#This Row],[AÑO]]&amp;" - "&amp;Tabla_query___2026_06_23T082334.128[[#This Row],[MES]]</f>
        <v>2026 - 3</v>
      </c>
      <c r="AB196" s="6">
        <f t="shared" si="9"/>
        <v>75</v>
      </c>
      <c r="AC196" s="6">
        <f t="shared" si="10"/>
        <v>8000</v>
      </c>
      <c r="AD196" s="6">
        <f t="shared" si="11"/>
        <v>350</v>
      </c>
    </row>
    <row r="197" spans="2:30">
      <c r="B197" s="673">
        <v>46088</v>
      </c>
      <c r="C197" s="642">
        <v>64547</v>
      </c>
      <c r="D197" s="642">
        <v>65841</v>
      </c>
      <c r="E197" s="642">
        <v>15371</v>
      </c>
      <c r="F197" s="642">
        <v>904.19500000000005</v>
      </c>
      <c r="G197" s="642">
        <v>9092</v>
      </c>
      <c r="H197" s="642">
        <v>238072</v>
      </c>
      <c r="I197" s="643">
        <v>5138.8999999999996</v>
      </c>
      <c r="J197" s="643">
        <v>1159</v>
      </c>
      <c r="K197" s="643">
        <v>5274</v>
      </c>
      <c r="L197" s="644"/>
      <c r="M197" s="644"/>
      <c r="N197" s="645">
        <v>63</v>
      </c>
      <c r="O197" s="645">
        <v>65</v>
      </c>
      <c r="P197" s="645">
        <v>11</v>
      </c>
      <c r="Q197" s="646">
        <v>0.377</v>
      </c>
      <c r="R197" s="645">
        <v>6</v>
      </c>
      <c r="S197" s="645">
        <v>65</v>
      </c>
      <c r="T197" s="643">
        <v>3.2</v>
      </c>
      <c r="U197" s="647">
        <v>12</v>
      </c>
      <c r="V197" s="643">
        <v>7.6</v>
      </c>
      <c r="W197" s="648">
        <v>68</v>
      </c>
      <c r="X197" s="649">
        <v>10</v>
      </c>
      <c r="Y197" s="650">
        <v>2026</v>
      </c>
      <c r="Z197" s="651">
        <v>3</v>
      </c>
      <c r="AA197" s="649" t="str">
        <f>+Tabla_query___2026_06_23T082334.128[[#This Row],[AÑO]]&amp;" - "&amp;Tabla_query___2026_06_23T082334.128[[#This Row],[MES]]</f>
        <v>2026 - 3</v>
      </c>
      <c r="AB197" s="6">
        <f t="shared" si="9"/>
        <v>75</v>
      </c>
      <c r="AC197" s="6">
        <f t="shared" si="10"/>
        <v>8000</v>
      </c>
      <c r="AD197" s="6">
        <f t="shared" si="11"/>
        <v>350</v>
      </c>
    </row>
    <row r="198" spans="2:30">
      <c r="B198" s="673">
        <v>46090</v>
      </c>
      <c r="C198" s="642">
        <v>64615</v>
      </c>
      <c r="D198" s="642">
        <v>65910</v>
      </c>
      <c r="E198" s="642">
        <v>15382</v>
      </c>
      <c r="F198" s="642">
        <v>904.35599999999999</v>
      </c>
      <c r="G198" s="642">
        <v>9099</v>
      </c>
      <c r="H198" s="642">
        <v>238143</v>
      </c>
      <c r="I198" s="643">
        <v>5140.8999999999996</v>
      </c>
      <c r="J198" s="643">
        <v>1170.8</v>
      </c>
      <c r="K198" s="643">
        <v>5278.2</v>
      </c>
      <c r="L198" s="644"/>
      <c r="M198" s="644"/>
      <c r="N198" s="645">
        <v>68</v>
      </c>
      <c r="O198" s="645">
        <v>69</v>
      </c>
      <c r="P198" s="645">
        <v>11</v>
      </c>
      <c r="Q198" s="646">
        <v>0.161</v>
      </c>
      <c r="R198" s="645">
        <v>7</v>
      </c>
      <c r="S198" s="645">
        <v>71</v>
      </c>
      <c r="T198" s="643">
        <v>2</v>
      </c>
      <c r="U198" s="647">
        <v>11.8</v>
      </c>
      <c r="V198" s="643">
        <v>4.2</v>
      </c>
      <c r="W198" s="648">
        <v>65</v>
      </c>
      <c r="X198" s="649">
        <v>11</v>
      </c>
      <c r="Y198" s="650">
        <v>2026</v>
      </c>
      <c r="Z198" s="651">
        <v>3</v>
      </c>
      <c r="AA198" s="649" t="str">
        <f>+Tabla_query___2026_06_23T082334.128[[#This Row],[AÑO]]&amp;" - "&amp;Tabla_query___2026_06_23T082334.128[[#This Row],[MES]]</f>
        <v>2026 - 3</v>
      </c>
      <c r="AB198" s="6">
        <f t="shared" si="9"/>
        <v>75</v>
      </c>
      <c r="AC198" s="6">
        <f t="shared" si="10"/>
        <v>8000</v>
      </c>
      <c r="AD198" s="6">
        <f t="shared" si="11"/>
        <v>350</v>
      </c>
    </row>
    <row r="199" spans="2:30">
      <c r="B199" s="673">
        <v>46091</v>
      </c>
      <c r="C199" s="642">
        <v>64682</v>
      </c>
      <c r="D199" s="642">
        <v>65979</v>
      </c>
      <c r="E199" s="642">
        <v>15396</v>
      </c>
      <c r="F199" s="642">
        <v>904.47500000000002</v>
      </c>
      <c r="G199" s="642">
        <v>9112</v>
      </c>
      <c r="H199" s="642">
        <v>238212</v>
      </c>
      <c r="I199" s="643">
        <v>5143.8999999999996</v>
      </c>
      <c r="J199" s="643">
        <v>1182.5999999999999</v>
      </c>
      <c r="K199" s="643">
        <v>5282.6</v>
      </c>
      <c r="L199" s="644"/>
      <c r="M199" s="644"/>
      <c r="N199" s="645">
        <v>67</v>
      </c>
      <c r="O199" s="645">
        <v>69</v>
      </c>
      <c r="P199" s="645">
        <v>14</v>
      </c>
      <c r="Q199" s="646">
        <v>0.11899999999999999</v>
      </c>
      <c r="R199" s="645">
        <v>13</v>
      </c>
      <c r="S199" s="645">
        <v>69</v>
      </c>
      <c r="T199" s="643">
        <v>3</v>
      </c>
      <c r="U199" s="647">
        <v>11.8</v>
      </c>
      <c r="V199" s="643">
        <v>4.4000000000000004</v>
      </c>
      <c r="W199" s="648">
        <v>61</v>
      </c>
      <c r="X199" s="649">
        <v>11</v>
      </c>
      <c r="Y199" s="650">
        <v>2026</v>
      </c>
      <c r="Z199" s="651">
        <v>3</v>
      </c>
      <c r="AA199" s="649" t="str">
        <f>+Tabla_query___2026_06_23T082334.128[[#This Row],[AÑO]]&amp;" - "&amp;Tabla_query___2026_06_23T082334.128[[#This Row],[MES]]</f>
        <v>2026 - 3</v>
      </c>
      <c r="AB199" s="6">
        <f t="shared" si="9"/>
        <v>75</v>
      </c>
      <c r="AC199" s="6">
        <f t="shared" si="10"/>
        <v>8000</v>
      </c>
      <c r="AD199" s="6">
        <f t="shared" si="11"/>
        <v>350</v>
      </c>
    </row>
    <row r="200" spans="2:30">
      <c r="B200" s="673">
        <v>46092</v>
      </c>
      <c r="C200" s="642">
        <v>64753</v>
      </c>
      <c r="D200" s="642">
        <v>66050</v>
      </c>
      <c r="E200" s="642">
        <v>15416</v>
      </c>
      <c r="F200" s="642">
        <v>905.85</v>
      </c>
      <c r="G200" s="642">
        <v>9125</v>
      </c>
      <c r="H200" s="642">
        <v>238285</v>
      </c>
      <c r="I200" s="643">
        <v>5148</v>
      </c>
      <c r="J200" s="643">
        <v>1199.0999999999999</v>
      </c>
      <c r="K200" s="643">
        <v>5288.6</v>
      </c>
      <c r="L200" s="644"/>
      <c r="M200" s="644"/>
      <c r="N200" s="645">
        <v>71</v>
      </c>
      <c r="O200" s="645">
        <v>71</v>
      </c>
      <c r="P200" s="645">
        <v>20</v>
      </c>
      <c r="Q200" s="646">
        <v>1.375</v>
      </c>
      <c r="R200" s="645">
        <v>13</v>
      </c>
      <c r="S200" s="645">
        <v>73</v>
      </c>
      <c r="T200" s="643">
        <v>4.0999999999999996</v>
      </c>
      <c r="U200" s="647">
        <v>16.5</v>
      </c>
      <c r="V200" s="643">
        <v>6</v>
      </c>
      <c r="W200" s="648">
        <v>58</v>
      </c>
      <c r="X200" s="649">
        <v>11</v>
      </c>
      <c r="Y200" s="650">
        <v>2026</v>
      </c>
      <c r="Z200" s="651">
        <v>3</v>
      </c>
      <c r="AA200" s="649" t="str">
        <f>+Tabla_query___2026_06_23T082334.128[[#This Row],[AÑO]]&amp;" - "&amp;Tabla_query___2026_06_23T082334.128[[#This Row],[MES]]</f>
        <v>2026 - 3</v>
      </c>
      <c r="AB200" s="6">
        <f t="shared" si="9"/>
        <v>75</v>
      </c>
      <c r="AC200" s="6">
        <f t="shared" si="10"/>
        <v>8000</v>
      </c>
      <c r="AD200" s="6">
        <f t="shared" si="11"/>
        <v>350</v>
      </c>
    </row>
    <row r="201" spans="2:30">
      <c r="B201" s="673">
        <v>46093</v>
      </c>
      <c r="C201" s="642">
        <v>64830</v>
      </c>
      <c r="D201" s="642">
        <v>66129</v>
      </c>
      <c r="E201" s="642">
        <v>15440</v>
      </c>
      <c r="F201" s="642">
        <v>910.45</v>
      </c>
      <c r="G201" s="642">
        <v>9135</v>
      </c>
      <c r="H201" s="642">
        <v>238365</v>
      </c>
      <c r="I201" s="643">
        <v>5151.82</v>
      </c>
      <c r="J201" s="643">
        <v>1217.2</v>
      </c>
      <c r="K201" s="643">
        <v>5294.88</v>
      </c>
      <c r="L201" s="644"/>
      <c r="M201" s="644"/>
      <c r="N201" s="645">
        <v>77</v>
      </c>
      <c r="O201" s="645">
        <v>79</v>
      </c>
      <c r="P201" s="645">
        <v>24</v>
      </c>
      <c r="Q201" s="646">
        <v>4.5999999999999996</v>
      </c>
      <c r="R201" s="645">
        <v>10</v>
      </c>
      <c r="S201" s="645">
        <v>80</v>
      </c>
      <c r="T201" s="643">
        <v>3.82</v>
      </c>
      <c r="U201" s="647">
        <v>18.100000000000001</v>
      </c>
      <c r="V201" s="643">
        <v>6.28</v>
      </c>
      <c r="W201" s="648">
        <v>65</v>
      </c>
      <c r="X201" s="649">
        <v>11</v>
      </c>
      <c r="Y201" s="650">
        <v>2026</v>
      </c>
      <c r="Z201" s="651">
        <v>3</v>
      </c>
      <c r="AA201" s="649" t="str">
        <f>+Tabla_query___2026_06_23T082334.128[[#This Row],[AÑO]]&amp;" - "&amp;Tabla_query___2026_06_23T082334.128[[#This Row],[MES]]</f>
        <v>2026 - 3</v>
      </c>
      <c r="AB201" s="6">
        <f t="shared" si="9"/>
        <v>75</v>
      </c>
      <c r="AC201" s="6">
        <f t="shared" si="10"/>
        <v>8000</v>
      </c>
      <c r="AD201" s="6">
        <f t="shared" si="11"/>
        <v>350</v>
      </c>
    </row>
    <row r="202" spans="2:30">
      <c r="B202" s="673">
        <v>46094</v>
      </c>
      <c r="C202" s="642">
        <v>64884</v>
      </c>
      <c r="D202" s="642">
        <v>66184</v>
      </c>
      <c r="E202" s="642">
        <v>15458</v>
      </c>
      <c r="F202" s="642">
        <v>910.65700000000004</v>
      </c>
      <c r="G202" s="642">
        <v>9135</v>
      </c>
      <c r="H202" s="642">
        <v>238421</v>
      </c>
      <c r="I202" s="643">
        <v>5154.6000000000004</v>
      </c>
      <c r="J202" s="643">
        <v>1227.8</v>
      </c>
      <c r="K202" s="643">
        <v>5298.9</v>
      </c>
      <c r="L202" s="644"/>
      <c r="M202" s="644"/>
      <c r="N202" s="645">
        <v>54</v>
      </c>
      <c r="O202" s="645">
        <v>55</v>
      </c>
      <c r="P202" s="645">
        <v>18</v>
      </c>
      <c r="Q202" s="646">
        <v>0.20699999999999999</v>
      </c>
      <c r="R202" s="645">
        <v>0</v>
      </c>
      <c r="S202" s="645">
        <v>56</v>
      </c>
      <c r="T202" s="643">
        <v>2.78</v>
      </c>
      <c r="U202" s="647">
        <v>10.6</v>
      </c>
      <c r="V202" s="643">
        <v>4.0199999999999996</v>
      </c>
      <c r="W202" s="648">
        <v>62</v>
      </c>
      <c r="X202" s="649">
        <v>11</v>
      </c>
      <c r="Y202" s="650">
        <v>2026</v>
      </c>
      <c r="Z202" s="651">
        <v>3</v>
      </c>
      <c r="AA202" s="649" t="str">
        <f>+Tabla_query___2026_06_23T082334.128[[#This Row],[AÑO]]&amp;" - "&amp;Tabla_query___2026_06_23T082334.128[[#This Row],[MES]]</f>
        <v>2026 - 3</v>
      </c>
      <c r="AB202" s="6">
        <f t="shared" si="9"/>
        <v>75</v>
      </c>
      <c r="AC202" s="6">
        <f t="shared" si="10"/>
        <v>8000</v>
      </c>
      <c r="AD202" s="6">
        <f t="shared" si="11"/>
        <v>350</v>
      </c>
    </row>
    <row r="203" spans="2:30">
      <c r="B203" s="673">
        <v>46095</v>
      </c>
      <c r="C203" s="642">
        <v>64949</v>
      </c>
      <c r="D203" s="642">
        <v>66250</v>
      </c>
      <c r="E203" s="642">
        <v>15476</v>
      </c>
      <c r="F203" s="642">
        <v>911.06100000000004</v>
      </c>
      <c r="G203" s="642">
        <v>9143</v>
      </c>
      <c r="H203" s="642">
        <v>238489</v>
      </c>
      <c r="I203" s="643">
        <v>5156.8</v>
      </c>
      <c r="J203" s="643">
        <v>1236.5</v>
      </c>
      <c r="K203" s="643">
        <v>5302.4</v>
      </c>
      <c r="L203" s="644"/>
      <c r="M203" s="644"/>
      <c r="N203" s="645">
        <v>65</v>
      </c>
      <c r="O203" s="645">
        <v>66</v>
      </c>
      <c r="P203" s="645">
        <v>18</v>
      </c>
      <c r="Q203" s="646">
        <v>0.40400000000000003</v>
      </c>
      <c r="R203" s="645">
        <v>8</v>
      </c>
      <c r="S203" s="645">
        <v>68</v>
      </c>
      <c r="T203" s="643">
        <v>2.2000000000000002</v>
      </c>
      <c r="U203" s="647">
        <v>8.6999999999999993</v>
      </c>
      <c r="V203" s="643">
        <v>3.5</v>
      </c>
      <c r="W203" s="648">
        <v>58</v>
      </c>
      <c r="X203" s="649">
        <v>11</v>
      </c>
      <c r="Y203" s="650">
        <v>2026</v>
      </c>
      <c r="Z203" s="651">
        <v>3</v>
      </c>
      <c r="AA203" s="649" t="str">
        <f>+Tabla_query___2026_06_23T082334.128[[#This Row],[AÑO]]&amp;" - "&amp;Tabla_query___2026_06_23T082334.128[[#This Row],[MES]]</f>
        <v>2026 - 3</v>
      </c>
      <c r="AB203" s="6">
        <f t="shared" si="9"/>
        <v>75</v>
      </c>
      <c r="AC203" s="6">
        <f t="shared" si="10"/>
        <v>8000</v>
      </c>
      <c r="AD203" s="6">
        <f t="shared" si="11"/>
        <v>350</v>
      </c>
    </row>
    <row r="204" spans="2:30">
      <c r="B204" s="673">
        <v>46097</v>
      </c>
      <c r="C204" s="642">
        <v>65022</v>
      </c>
      <c r="D204" s="642">
        <v>66323</v>
      </c>
      <c r="E204" s="642">
        <v>15500</v>
      </c>
      <c r="F204" s="642">
        <v>911.30499999999995</v>
      </c>
      <c r="G204" s="642">
        <v>9149</v>
      </c>
      <c r="H204" s="642">
        <v>238565</v>
      </c>
      <c r="I204" s="643">
        <v>5160</v>
      </c>
      <c r="J204" s="643">
        <v>1254</v>
      </c>
      <c r="K204" s="643">
        <v>5306.8</v>
      </c>
      <c r="L204" s="644"/>
      <c r="M204" s="644"/>
      <c r="N204" s="645">
        <v>73</v>
      </c>
      <c r="O204" s="645">
        <v>73</v>
      </c>
      <c r="P204" s="645">
        <v>24</v>
      </c>
      <c r="Q204" s="646">
        <v>0.24399999999999999</v>
      </c>
      <c r="R204" s="645">
        <v>6</v>
      </c>
      <c r="S204" s="645">
        <v>76</v>
      </c>
      <c r="T204" s="643">
        <v>3.2</v>
      </c>
      <c r="U204" s="647">
        <v>17.5</v>
      </c>
      <c r="V204" s="643">
        <v>4.4000000000000004</v>
      </c>
      <c r="W204" s="648">
        <v>78</v>
      </c>
      <c r="X204" s="649">
        <v>12</v>
      </c>
      <c r="Y204" s="650">
        <v>2026</v>
      </c>
      <c r="Z204" s="651">
        <v>3</v>
      </c>
      <c r="AA204" s="649" t="str">
        <f>+Tabla_query___2026_06_23T082334.128[[#This Row],[AÑO]]&amp;" - "&amp;Tabla_query___2026_06_23T082334.128[[#This Row],[MES]]</f>
        <v>2026 - 3</v>
      </c>
      <c r="AB204" s="6">
        <f t="shared" si="9"/>
        <v>75</v>
      </c>
      <c r="AC204" s="6">
        <f t="shared" si="10"/>
        <v>8000</v>
      </c>
      <c r="AD204" s="6">
        <f t="shared" si="11"/>
        <v>350</v>
      </c>
    </row>
    <row r="205" spans="2:30">
      <c r="B205" s="673">
        <v>46098</v>
      </c>
      <c r="C205" s="642">
        <v>65082</v>
      </c>
      <c r="D205" s="642">
        <v>66384</v>
      </c>
      <c r="E205" s="642">
        <v>15518</v>
      </c>
      <c r="F205" s="642">
        <v>911.30499999999995</v>
      </c>
      <c r="G205" s="642">
        <v>9158</v>
      </c>
      <c r="H205" s="642">
        <v>238628</v>
      </c>
      <c r="I205" s="643">
        <v>5163.7</v>
      </c>
      <c r="J205" s="643">
        <v>1265.5</v>
      </c>
      <c r="K205" s="643">
        <v>5311.2</v>
      </c>
      <c r="L205" s="644"/>
      <c r="M205" s="644"/>
      <c r="N205" s="645">
        <v>60</v>
      </c>
      <c r="O205" s="645">
        <v>61</v>
      </c>
      <c r="P205" s="645">
        <v>18</v>
      </c>
      <c r="Q205" s="646">
        <v>0</v>
      </c>
      <c r="R205" s="645">
        <v>9</v>
      </c>
      <c r="S205" s="645">
        <v>63</v>
      </c>
      <c r="T205" s="643">
        <v>3.7</v>
      </c>
      <c r="U205" s="647">
        <v>11.5</v>
      </c>
      <c r="V205" s="643">
        <v>4.4000000000000004</v>
      </c>
      <c r="W205" s="648">
        <v>77</v>
      </c>
      <c r="X205" s="649">
        <v>12</v>
      </c>
      <c r="Y205" s="650">
        <v>2026</v>
      </c>
      <c r="Z205" s="651">
        <v>3</v>
      </c>
      <c r="AA205" s="649" t="str">
        <f>+Tabla_query___2026_06_23T082334.128[[#This Row],[AÑO]]&amp;" - "&amp;Tabla_query___2026_06_23T082334.128[[#This Row],[MES]]</f>
        <v>2026 - 3</v>
      </c>
      <c r="AB205" s="6">
        <f t="shared" si="9"/>
        <v>75</v>
      </c>
      <c r="AC205" s="6">
        <f t="shared" si="10"/>
        <v>8000</v>
      </c>
      <c r="AD205" s="6">
        <f t="shared" si="11"/>
        <v>350</v>
      </c>
    </row>
    <row r="206" spans="2:30">
      <c r="B206" s="673">
        <v>46099</v>
      </c>
      <c r="C206" s="642">
        <v>65175</v>
      </c>
      <c r="D206" s="642">
        <v>66479</v>
      </c>
      <c r="E206" s="642">
        <v>15537</v>
      </c>
      <c r="F206" s="642">
        <v>911.44899999999996</v>
      </c>
      <c r="G206" s="642">
        <v>9167</v>
      </c>
      <c r="H206" s="642">
        <v>238724</v>
      </c>
      <c r="I206" s="643">
        <v>5168.1000000000004</v>
      </c>
      <c r="J206" s="643">
        <v>1280.3</v>
      </c>
      <c r="K206" s="643">
        <v>5316.5</v>
      </c>
      <c r="L206" s="644"/>
      <c r="M206" s="644"/>
      <c r="N206" s="645">
        <v>93</v>
      </c>
      <c r="O206" s="645">
        <v>95</v>
      </c>
      <c r="P206" s="645">
        <v>19</v>
      </c>
      <c r="Q206" s="646">
        <v>0.14399999999999999</v>
      </c>
      <c r="R206" s="645">
        <v>9</v>
      </c>
      <c r="S206" s="645">
        <v>96</v>
      </c>
      <c r="T206" s="643">
        <v>4.4000000000000004</v>
      </c>
      <c r="U206" s="647">
        <v>14.8</v>
      </c>
      <c r="V206" s="643">
        <v>5.3</v>
      </c>
      <c r="W206" s="648">
        <v>75</v>
      </c>
      <c r="X206" s="649">
        <v>12</v>
      </c>
      <c r="Y206" s="650">
        <v>2026</v>
      </c>
      <c r="Z206" s="651">
        <v>3</v>
      </c>
      <c r="AA206" s="649" t="str">
        <f>+Tabla_query___2026_06_23T082334.128[[#This Row],[AÑO]]&amp;" - "&amp;Tabla_query___2026_06_23T082334.128[[#This Row],[MES]]</f>
        <v>2026 - 3</v>
      </c>
      <c r="AB206" s="6">
        <f t="shared" si="9"/>
        <v>75</v>
      </c>
      <c r="AC206" s="6">
        <f t="shared" si="10"/>
        <v>8000</v>
      </c>
      <c r="AD206" s="6">
        <f t="shared" si="11"/>
        <v>350</v>
      </c>
    </row>
    <row r="207" spans="2:30">
      <c r="B207" s="673">
        <v>46100</v>
      </c>
      <c r="C207" s="642">
        <v>65237</v>
      </c>
      <c r="D207" s="642">
        <v>66541</v>
      </c>
      <c r="E207" s="642">
        <v>15554</v>
      </c>
      <c r="F207" s="642">
        <v>911.94</v>
      </c>
      <c r="G207" s="642">
        <v>9177</v>
      </c>
      <c r="H207" s="642">
        <v>238788</v>
      </c>
      <c r="I207" s="643">
        <v>5172.3999999999996</v>
      </c>
      <c r="J207" s="643">
        <v>1296</v>
      </c>
      <c r="K207" s="643">
        <v>5322</v>
      </c>
      <c r="L207" s="644"/>
      <c r="M207" s="644"/>
      <c r="N207" s="645">
        <v>62</v>
      </c>
      <c r="O207" s="645">
        <v>62</v>
      </c>
      <c r="P207" s="645">
        <v>17</v>
      </c>
      <c r="Q207" s="646">
        <v>0.49099999999999999</v>
      </c>
      <c r="R207" s="645">
        <v>10</v>
      </c>
      <c r="S207" s="645">
        <v>64</v>
      </c>
      <c r="T207" s="643">
        <v>4.3</v>
      </c>
      <c r="U207" s="647">
        <v>15.7</v>
      </c>
      <c r="V207" s="643">
        <v>5.5</v>
      </c>
      <c r="W207" s="648">
        <v>71</v>
      </c>
      <c r="X207" s="649">
        <v>12</v>
      </c>
      <c r="Y207" s="650">
        <v>2026</v>
      </c>
      <c r="Z207" s="651">
        <v>3</v>
      </c>
      <c r="AA207" s="649" t="str">
        <f>+Tabla_query___2026_06_23T082334.128[[#This Row],[AÑO]]&amp;" - "&amp;Tabla_query___2026_06_23T082334.128[[#This Row],[MES]]</f>
        <v>2026 - 3</v>
      </c>
      <c r="AB207" s="6">
        <f t="shared" si="9"/>
        <v>75</v>
      </c>
      <c r="AC207" s="6">
        <f t="shared" si="10"/>
        <v>8000</v>
      </c>
      <c r="AD207" s="6">
        <f t="shared" si="11"/>
        <v>350</v>
      </c>
    </row>
    <row r="208" spans="2:30">
      <c r="B208" s="673">
        <v>46101</v>
      </c>
      <c r="C208" s="642">
        <v>65316</v>
      </c>
      <c r="D208" s="642">
        <v>66621</v>
      </c>
      <c r="E208" s="642">
        <v>15569</v>
      </c>
      <c r="F208" s="642">
        <v>912.00099999999998</v>
      </c>
      <c r="G208" s="642">
        <v>9190</v>
      </c>
      <c r="H208" s="642">
        <v>238870</v>
      </c>
      <c r="I208" s="643">
        <v>5175.5</v>
      </c>
      <c r="J208" s="643">
        <v>1309.2</v>
      </c>
      <c r="K208" s="643">
        <v>5326.8</v>
      </c>
      <c r="L208" s="644"/>
      <c r="M208" s="644"/>
      <c r="N208" s="645">
        <v>79</v>
      </c>
      <c r="O208" s="645">
        <v>80</v>
      </c>
      <c r="P208" s="645">
        <v>15</v>
      </c>
      <c r="Q208" s="646">
        <v>6.0999999999999999E-2</v>
      </c>
      <c r="R208" s="645">
        <v>13</v>
      </c>
      <c r="S208" s="645">
        <v>82</v>
      </c>
      <c r="T208" s="643">
        <v>3.1</v>
      </c>
      <c r="U208" s="647">
        <v>13.2</v>
      </c>
      <c r="V208" s="643">
        <v>4.8</v>
      </c>
      <c r="W208" s="648">
        <v>68</v>
      </c>
      <c r="X208" s="649">
        <v>12</v>
      </c>
      <c r="Y208" s="650">
        <v>2026</v>
      </c>
      <c r="Z208" s="651">
        <v>3</v>
      </c>
      <c r="AA208" s="649" t="str">
        <f>+Tabla_query___2026_06_23T082334.128[[#This Row],[AÑO]]&amp;" - "&amp;Tabla_query___2026_06_23T082334.128[[#This Row],[MES]]</f>
        <v>2026 - 3</v>
      </c>
      <c r="AB208" s="6">
        <f t="shared" si="9"/>
        <v>75</v>
      </c>
      <c r="AC208" s="6">
        <f t="shared" si="10"/>
        <v>8000</v>
      </c>
      <c r="AD208" s="6">
        <f t="shared" si="11"/>
        <v>350</v>
      </c>
    </row>
    <row r="209" spans="2:30">
      <c r="B209" s="673">
        <v>46102</v>
      </c>
      <c r="C209" s="642">
        <v>65364</v>
      </c>
      <c r="D209" s="642">
        <v>66670</v>
      </c>
      <c r="E209" s="642">
        <v>15589</v>
      </c>
      <c r="F209" s="642">
        <v>912.22500000000002</v>
      </c>
      <c r="G209" s="642">
        <v>9202</v>
      </c>
      <c r="H209" s="642">
        <v>238920</v>
      </c>
      <c r="I209" s="643">
        <v>5179.8</v>
      </c>
      <c r="J209" s="643">
        <v>1324.4</v>
      </c>
      <c r="K209" s="643">
        <v>5332.4</v>
      </c>
      <c r="L209" s="644"/>
      <c r="M209" s="644"/>
      <c r="N209" s="645">
        <v>48</v>
      </c>
      <c r="O209" s="645">
        <v>49</v>
      </c>
      <c r="P209" s="645">
        <v>20</v>
      </c>
      <c r="Q209" s="646">
        <v>0.224</v>
      </c>
      <c r="R209" s="645">
        <v>12</v>
      </c>
      <c r="S209" s="645">
        <v>50</v>
      </c>
      <c r="T209" s="643">
        <v>4.3</v>
      </c>
      <c r="U209" s="647">
        <v>15.2</v>
      </c>
      <c r="V209" s="643">
        <v>5.6</v>
      </c>
      <c r="W209" s="648">
        <v>66</v>
      </c>
      <c r="X209" s="649">
        <v>12</v>
      </c>
      <c r="Y209" s="650">
        <v>2026</v>
      </c>
      <c r="Z209" s="651">
        <v>3</v>
      </c>
      <c r="AA209" s="649" t="str">
        <f>+Tabla_query___2026_06_23T082334.128[[#This Row],[AÑO]]&amp;" - "&amp;Tabla_query___2026_06_23T082334.128[[#This Row],[MES]]</f>
        <v>2026 - 3</v>
      </c>
      <c r="AB209" s="6">
        <f t="shared" si="9"/>
        <v>75</v>
      </c>
      <c r="AC209" s="6">
        <f t="shared" si="10"/>
        <v>8000</v>
      </c>
      <c r="AD209" s="6">
        <f t="shared" si="11"/>
        <v>350</v>
      </c>
    </row>
    <row r="210" spans="2:30">
      <c r="B210" s="673">
        <v>46104</v>
      </c>
      <c r="C210" s="642">
        <v>65452</v>
      </c>
      <c r="D210" s="642">
        <v>66760</v>
      </c>
      <c r="E210" s="642">
        <v>15618</v>
      </c>
      <c r="F210" s="642">
        <v>912.93200000000002</v>
      </c>
      <c r="G210" s="642">
        <v>9207</v>
      </c>
      <c r="H210" s="642">
        <v>239013</v>
      </c>
      <c r="I210" s="643">
        <v>5183</v>
      </c>
      <c r="J210" s="643">
        <v>1343.2</v>
      </c>
      <c r="K210" s="643">
        <v>5338.1</v>
      </c>
      <c r="L210" s="644"/>
      <c r="M210" s="644"/>
      <c r="N210" s="645">
        <v>88</v>
      </c>
      <c r="O210" s="645">
        <v>90</v>
      </c>
      <c r="P210" s="645">
        <v>29</v>
      </c>
      <c r="Q210" s="646">
        <v>0.70699999999999996</v>
      </c>
      <c r="R210" s="645">
        <v>5</v>
      </c>
      <c r="S210" s="645">
        <v>93</v>
      </c>
      <c r="T210" s="643">
        <v>3.2</v>
      </c>
      <c r="U210" s="647">
        <v>18.8</v>
      </c>
      <c r="V210" s="643">
        <v>5.7</v>
      </c>
      <c r="W210" s="648">
        <v>61</v>
      </c>
      <c r="X210" s="649">
        <v>13</v>
      </c>
      <c r="Y210" s="650">
        <v>2026</v>
      </c>
      <c r="Z210" s="651">
        <v>3</v>
      </c>
      <c r="AA210" s="649" t="str">
        <f>+Tabla_query___2026_06_23T082334.128[[#This Row],[AÑO]]&amp;" - "&amp;Tabla_query___2026_06_23T082334.128[[#This Row],[MES]]</f>
        <v>2026 - 3</v>
      </c>
      <c r="AB210" s="6">
        <f t="shared" si="9"/>
        <v>75</v>
      </c>
      <c r="AC210" s="6">
        <f t="shared" si="10"/>
        <v>8000</v>
      </c>
      <c r="AD210" s="6">
        <f t="shared" si="11"/>
        <v>350</v>
      </c>
    </row>
    <row r="211" spans="2:30">
      <c r="B211" s="673">
        <v>46105</v>
      </c>
      <c r="C211" s="642">
        <v>65497</v>
      </c>
      <c r="D211" s="642">
        <v>66806</v>
      </c>
      <c r="E211" s="642">
        <v>15641</v>
      </c>
      <c r="F211" s="642">
        <v>914.26400000000001</v>
      </c>
      <c r="G211" s="642">
        <v>9221</v>
      </c>
      <c r="H211" s="642">
        <v>239059</v>
      </c>
      <c r="I211" s="643">
        <v>5186.1000000000004</v>
      </c>
      <c r="J211" s="643">
        <v>1354.9</v>
      </c>
      <c r="K211" s="643">
        <v>5342.3</v>
      </c>
      <c r="L211" s="644"/>
      <c r="M211" s="644"/>
      <c r="N211" s="645">
        <v>45</v>
      </c>
      <c r="O211" s="645">
        <v>46</v>
      </c>
      <c r="P211" s="645">
        <v>23</v>
      </c>
      <c r="Q211" s="646">
        <v>1.3320000000000001</v>
      </c>
      <c r="R211" s="645">
        <v>14</v>
      </c>
      <c r="S211" s="645">
        <v>46</v>
      </c>
      <c r="T211" s="643">
        <v>3.1</v>
      </c>
      <c r="U211" s="647">
        <v>11.7</v>
      </c>
      <c r="V211" s="643">
        <v>4.2</v>
      </c>
      <c r="W211" s="648">
        <v>59</v>
      </c>
      <c r="X211" s="649">
        <v>13</v>
      </c>
      <c r="Y211" s="650">
        <v>2026</v>
      </c>
      <c r="Z211" s="651">
        <v>3</v>
      </c>
      <c r="AA211" s="649" t="str">
        <f>+Tabla_query___2026_06_23T082334.128[[#This Row],[AÑO]]&amp;" - "&amp;Tabla_query___2026_06_23T082334.128[[#This Row],[MES]]</f>
        <v>2026 - 3</v>
      </c>
      <c r="AB211" s="6">
        <f t="shared" si="9"/>
        <v>75</v>
      </c>
      <c r="AC211" s="6">
        <f t="shared" si="10"/>
        <v>8000</v>
      </c>
      <c r="AD211" s="6">
        <f t="shared" si="11"/>
        <v>350</v>
      </c>
    </row>
    <row r="212" spans="2:30">
      <c r="B212" s="673">
        <v>46106</v>
      </c>
      <c r="C212" s="642">
        <v>65565</v>
      </c>
      <c r="D212" s="642">
        <v>66875</v>
      </c>
      <c r="E212" s="642">
        <v>15655</v>
      </c>
      <c r="F212" s="642">
        <v>914.68399999999997</v>
      </c>
      <c r="G212" s="642">
        <v>9236</v>
      </c>
      <c r="H212" s="642">
        <v>239127</v>
      </c>
      <c r="I212" s="643">
        <v>5190.2</v>
      </c>
      <c r="J212" s="643">
        <v>1369.8</v>
      </c>
      <c r="K212" s="643">
        <v>5347.8</v>
      </c>
      <c r="L212" s="644"/>
      <c r="M212" s="644"/>
      <c r="N212" s="645">
        <v>68</v>
      </c>
      <c r="O212" s="645">
        <v>69</v>
      </c>
      <c r="P212" s="645">
        <v>14</v>
      </c>
      <c r="Q212" s="646">
        <v>0.42</v>
      </c>
      <c r="R212" s="645">
        <v>15</v>
      </c>
      <c r="S212" s="645">
        <v>68</v>
      </c>
      <c r="T212" s="643">
        <v>4.0999999999999996</v>
      </c>
      <c r="U212" s="647">
        <v>14.9</v>
      </c>
      <c r="V212" s="643">
        <v>5.5</v>
      </c>
      <c r="W212" s="648">
        <v>55</v>
      </c>
      <c r="X212" s="649">
        <v>13</v>
      </c>
      <c r="Y212" s="650">
        <v>2026</v>
      </c>
      <c r="Z212" s="651">
        <v>3</v>
      </c>
      <c r="AA212" s="649" t="str">
        <f>+Tabla_query___2026_06_23T082334.128[[#This Row],[AÑO]]&amp;" - "&amp;Tabla_query___2026_06_23T082334.128[[#This Row],[MES]]</f>
        <v>2026 - 3</v>
      </c>
      <c r="AB212" s="6">
        <f t="shared" si="9"/>
        <v>75</v>
      </c>
      <c r="AC212" s="6">
        <f t="shared" si="10"/>
        <v>8000</v>
      </c>
      <c r="AD212" s="6">
        <f t="shared" si="11"/>
        <v>350</v>
      </c>
    </row>
    <row r="213" spans="2:30">
      <c r="B213" s="673">
        <v>46107</v>
      </c>
      <c r="C213" s="642">
        <v>65648</v>
      </c>
      <c r="D213" s="642">
        <v>66960</v>
      </c>
      <c r="E213" s="642">
        <v>15674</v>
      </c>
      <c r="F213" s="642">
        <v>916.34699999999998</v>
      </c>
      <c r="G213" s="642">
        <v>9247</v>
      </c>
      <c r="H213" s="642">
        <v>239209</v>
      </c>
      <c r="I213" s="643">
        <v>5194.3</v>
      </c>
      <c r="J213" s="643">
        <v>1386.6</v>
      </c>
      <c r="K213" s="643">
        <v>5353.6</v>
      </c>
      <c r="L213" s="644"/>
      <c r="M213" s="644"/>
      <c r="N213" s="645">
        <v>83</v>
      </c>
      <c r="O213" s="645">
        <v>85</v>
      </c>
      <c r="P213" s="645">
        <v>19</v>
      </c>
      <c r="Q213" s="646">
        <v>1.663</v>
      </c>
      <c r="R213" s="645">
        <v>11</v>
      </c>
      <c r="S213" s="645">
        <v>82</v>
      </c>
      <c r="T213" s="643">
        <v>4.0999999999999996</v>
      </c>
      <c r="U213" s="647">
        <v>16.8</v>
      </c>
      <c r="V213" s="643">
        <v>5.8</v>
      </c>
      <c r="W213" s="648">
        <v>51</v>
      </c>
      <c r="X213" s="649">
        <v>13</v>
      </c>
      <c r="Y213" s="650">
        <v>2026</v>
      </c>
      <c r="Z213" s="651">
        <v>3</v>
      </c>
      <c r="AA213" s="649" t="str">
        <f>+Tabla_query___2026_06_23T082334.128[[#This Row],[AÑO]]&amp;" - "&amp;Tabla_query___2026_06_23T082334.128[[#This Row],[MES]]</f>
        <v>2026 - 3</v>
      </c>
      <c r="AB213" s="6">
        <f t="shared" si="9"/>
        <v>75</v>
      </c>
      <c r="AC213" s="6">
        <f t="shared" si="10"/>
        <v>8000</v>
      </c>
      <c r="AD213" s="6">
        <f t="shared" si="11"/>
        <v>350</v>
      </c>
    </row>
    <row r="214" spans="2:30">
      <c r="B214" s="673">
        <v>46108</v>
      </c>
      <c r="C214" s="642">
        <v>65705</v>
      </c>
      <c r="D214" s="642">
        <v>67017</v>
      </c>
      <c r="E214" s="642">
        <v>15691</v>
      </c>
      <c r="F214" s="642">
        <v>918.63400000000001</v>
      </c>
      <c r="G214" s="642">
        <v>9253</v>
      </c>
      <c r="H214" s="642">
        <v>239266</v>
      </c>
      <c r="I214" s="643">
        <v>5198</v>
      </c>
      <c r="J214" s="643">
        <v>1403</v>
      </c>
      <c r="K214" s="643">
        <v>5359.6</v>
      </c>
      <c r="L214" s="644"/>
      <c r="M214" s="644"/>
      <c r="N214" s="645">
        <v>57</v>
      </c>
      <c r="O214" s="645">
        <v>57</v>
      </c>
      <c r="P214" s="645">
        <v>17</v>
      </c>
      <c r="Q214" s="646">
        <v>2.2869999999999999</v>
      </c>
      <c r="R214" s="645">
        <v>6</v>
      </c>
      <c r="S214" s="645">
        <v>57</v>
      </c>
      <c r="T214" s="643">
        <v>3.7</v>
      </c>
      <c r="U214" s="647">
        <v>16.399999999999999</v>
      </c>
      <c r="V214" s="643">
        <v>6</v>
      </c>
      <c r="W214" s="648">
        <v>80</v>
      </c>
      <c r="X214" s="649">
        <v>13</v>
      </c>
      <c r="Y214" s="650">
        <v>2026</v>
      </c>
      <c r="Z214" s="651">
        <v>3</v>
      </c>
      <c r="AA214" s="649" t="str">
        <f>+Tabla_query___2026_06_23T082334.128[[#This Row],[AÑO]]&amp;" - "&amp;Tabla_query___2026_06_23T082334.128[[#This Row],[MES]]</f>
        <v>2026 - 3</v>
      </c>
      <c r="AB214" s="6">
        <f t="shared" si="9"/>
        <v>75</v>
      </c>
      <c r="AC214" s="6">
        <f t="shared" si="10"/>
        <v>8000</v>
      </c>
      <c r="AD214" s="6">
        <f t="shared" si="11"/>
        <v>350</v>
      </c>
    </row>
    <row r="215" spans="2:30">
      <c r="B215" s="673">
        <v>46109</v>
      </c>
      <c r="C215" s="642">
        <v>65764</v>
      </c>
      <c r="D215" s="642">
        <v>67078</v>
      </c>
      <c r="E215" s="642">
        <v>15705</v>
      </c>
      <c r="F215" s="642">
        <v>918.88400000000001</v>
      </c>
      <c r="G215" s="642">
        <v>9267</v>
      </c>
      <c r="H215" s="642">
        <v>239326</v>
      </c>
      <c r="I215" s="643">
        <v>5201.8999999999996</v>
      </c>
      <c r="J215" s="643">
        <v>1419.6</v>
      </c>
      <c r="K215" s="643">
        <v>5365.7</v>
      </c>
      <c r="L215" s="644"/>
      <c r="M215" s="644"/>
      <c r="N215" s="645">
        <v>59</v>
      </c>
      <c r="O215" s="645">
        <v>61</v>
      </c>
      <c r="P215" s="645">
        <v>14</v>
      </c>
      <c r="Q215" s="646">
        <v>0.25</v>
      </c>
      <c r="R215" s="645">
        <v>14</v>
      </c>
      <c r="S215" s="645">
        <v>60</v>
      </c>
      <c r="T215" s="643">
        <v>3.9</v>
      </c>
      <c r="U215" s="647">
        <v>16.600000000000001</v>
      </c>
      <c r="V215" s="643">
        <v>6.1</v>
      </c>
      <c r="W215" s="648">
        <v>77</v>
      </c>
      <c r="X215" s="649">
        <v>13</v>
      </c>
      <c r="Y215" s="650">
        <v>2026</v>
      </c>
      <c r="Z215" s="651">
        <v>3</v>
      </c>
      <c r="AA215" s="649" t="str">
        <f>+Tabla_query___2026_06_23T082334.128[[#This Row],[AÑO]]&amp;" - "&amp;Tabla_query___2026_06_23T082334.128[[#This Row],[MES]]</f>
        <v>2026 - 3</v>
      </c>
      <c r="AB215" s="6">
        <f t="shared" si="9"/>
        <v>75</v>
      </c>
      <c r="AC215" s="6">
        <f t="shared" si="10"/>
        <v>8000</v>
      </c>
      <c r="AD215" s="6">
        <f t="shared" si="11"/>
        <v>350</v>
      </c>
    </row>
    <row r="216" spans="2:30">
      <c r="B216" s="673">
        <v>46111</v>
      </c>
      <c r="C216" s="642">
        <v>65820</v>
      </c>
      <c r="D216" s="642">
        <v>67135</v>
      </c>
      <c r="E216" s="642">
        <v>15715</v>
      </c>
      <c r="F216" s="642">
        <v>919.149</v>
      </c>
      <c r="G216" s="642">
        <v>9270</v>
      </c>
      <c r="H216" s="642">
        <v>239382</v>
      </c>
      <c r="I216" s="643">
        <v>5205</v>
      </c>
      <c r="J216" s="643">
        <v>1437.2</v>
      </c>
      <c r="K216" s="643">
        <v>5370.1</v>
      </c>
      <c r="L216" s="644"/>
      <c r="M216" s="644"/>
      <c r="N216" s="645">
        <v>56</v>
      </c>
      <c r="O216" s="645">
        <v>57</v>
      </c>
      <c r="P216" s="645">
        <v>10</v>
      </c>
      <c r="Q216" s="646">
        <v>0.26500000000000001</v>
      </c>
      <c r="R216" s="645">
        <v>3</v>
      </c>
      <c r="S216" s="645">
        <v>56</v>
      </c>
      <c r="T216" s="643">
        <v>3.1</v>
      </c>
      <c r="U216" s="647">
        <v>17.600000000000001</v>
      </c>
      <c r="V216" s="643">
        <v>4.4000000000000004</v>
      </c>
      <c r="W216" s="648">
        <v>75</v>
      </c>
      <c r="X216" s="649">
        <v>14</v>
      </c>
      <c r="Y216" s="650">
        <v>2026</v>
      </c>
      <c r="Z216" s="651">
        <v>3</v>
      </c>
      <c r="AA216" s="649" t="str">
        <f>+Tabla_query___2026_06_23T082334.128[[#This Row],[AÑO]]&amp;" - "&amp;Tabla_query___2026_06_23T082334.128[[#This Row],[MES]]</f>
        <v>2026 - 3</v>
      </c>
      <c r="AB216" s="6">
        <f t="shared" si="9"/>
        <v>75</v>
      </c>
      <c r="AC216" s="6">
        <f t="shared" si="10"/>
        <v>8000</v>
      </c>
      <c r="AD216" s="6">
        <f t="shared" si="11"/>
        <v>350</v>
      </c>
    </row>
    <row r="217" spans="2:30">
      <c r="B217" s="673">
        <v>46112</v>
      </c>
      <c r="C217" s="642">
        <v>65871</v>
      </c>
      <c r="D217" s="642">
        <v>67187</v>
      </c>
      <c r="E217" s="642">
        <v>15726</v>
      </c>
      <c r="F217" s="642">
        <v>919.47400000000005</v>
      </c>
      <c r="G217" s="642">
        <v>9283</v>
      </c>
      <c r="H217" s="642">
        <v>239434</v>
      </c>
      <c r="I217" s="643">
        <v>5207.8999999999996</v>
      </c>
      <c r="J217" s="643">
        <v>1448.2</v>
      </c>
      <c r="K217" s="643">
        <v>5374.5</v>
      </c>
      <c r="L217" s="644"/>
      <c r="M217" s="644"/>
      <c r="N217" s="645">
        <v>51</v>
      </c>
      <c r="O217" s="645">
        <v>52</v>
      </c>
      <c r="P217" s="645">
        <v>11</v>
      </c>
      <c r="Q217" s="646">
        <v>0.32500000000000001</v>
      </c>
      <c r="R217" s="645">
        <v>13</v>
      </c>
      <c r="S217" s="645">
        <v>52</v>
      </c>
      <c r="T217" s="643">
        <v>2.9</v>
      </c>
      <c r="U217" s="647">
        <v>11</v>
      </c>
      <c r="V217" s="643">
        <v>4.4000000000000004</v>
      </c>
      <c r="W217" s="648">
        <v>70</v>
      </c>
      <c r="X217" s="649">
        <v>14</v>
      </c>
      <c r="Y217" s="650">
        <v>2026</v>
      </c>
      <c r="Z217" s="651">
        <v>3</v>
      </c>
      <c r="AA217" s="649" t="str">
        <f>+Tabla_query___2026_06_23T082334.128[[#This Row],[AÑO]]&amp;" - "&amp;Tabla_query___2026_06_23T082334.128[[#This Row],[MES]]</f>
        <v>2026 - 3</v>
      </c>
      <c r="AB217" s="6">
        <f t="shared" si="9"/>
        <v>75</v>
      </c>
      <c r="AC217" s="6">
        <f t="shared" si="10"/>
        <v>8000</v>
      </c>
      <c r="AD217" s="6">
        <f t="shared" si="11"/>
        <v>350</v>
      </c>
    </row>
    <row r="218" spans="2:30">
      <c r="B218" s="673">
        <v>46113</v>
      </c>
      <c r="C218" s="642">
        <v>65918</v>
      </c>
      <c r="D218" s="642">
        <v>67235</v>
      </c>
      <c r="E218" s="642">
        <v>15736</v>
      </c>
      <c r="F218" s="642">
        <v>919.64200000000005</v>
      </c>
      <c r="G218" s="642">
        <v>9294</v>
      </c>
      <c r="H218" s="642">
        <v>239482</v>
      </c>
      <c r="I218" s="643">
        <v>5210.5</v>
      </c>
      <c r="J218" s="643">
        <v>1457.6</v>
      </c>
      <c r="K218" s="643">
        <v>5377.7</v>
      </c>
      <c r="L218" s="644"/>
      <c r="M218" s="644"/>
      <c r="N218" s="645">
        <v>47</v>
      </c>
      <c r="O218" s="645">
        <v>48</v>
      </c>
      <c r="P218" s="645">
        <v>10</v>
      </c>
      <c r="Q218" s="646">
        <v>0.16800000000000001</v>
      </c>
      <c r="R218" s="645">
        <v>11</v>
      </c>
      <c r="S218" s="645">
        <v>48</v>
      </c>
      <c r="T218" s="643">
        <v>2.6</v>
      </c>
      <c r="U218" s="647">
        <v>9.4</v>
      </c>
      <c r="V218" s="643">
        <v>3.2</v>
      </c>
      <c r="W218" s="648">
        <v>70</v>
      </c>
      <c r="X218" s="649">
        <v>14</v>
      </c>
      <c r="Y218" s="650">
        <v>2026</v>
      </c>
      <c r="Z218" s="651">
        <v>4</v>
      </c>
      <c r="AA218" s="649" t="str">
        <f>+Tabla_query___2026_06_23T082334.128[[#This Row],[AÑO]]&amp;" - "&amp;Tabla_query___2026_06_23T082334.128[[#This Row],[MES]]</f>
        <v>2026 - 4</v>
      </c>
      <c r="AB218" s="6">
        <f t="shared" si="9"/>
        <v>75</v>
      </c>
      <c r="AC218" s="6">
        <f t="shared" si="10"/>
        <v>8000</v>
      </c>
      <c r="AD218" s="6">
        <f t="shared" si="11"/>
        <v>350</v>
      </c>
    </row>
    <row r="219" spans="2:30">
      <c r="B219" s="673">
        <v>46114</v>
      </c>
      <c r="C219" s="642">
        <v>65954</v>
      </c>
      <c r="D219" s="642">
        <v>67272</v>
      </c>
      <c r="E219" s="642">
        <v>15755</v>
      </c>
      <c r="F219" s="642">
        <v>919.64200000000005</v>
      </c>
      <c r="G219" s="642">
        <v>9300</v>
      </c>
      <c r="H219" s="642">
        <v>239518</v>
      </c>
      <c r="I219" s="643">
        <v>5213.3</v>
      </c>
      <c r="J219" s="643">
        <v>1467.3</v>
      </c>
      <c r="K219" s="643">
        <v>5379.9</v>
      </c>
      <c r="L219" s="644"/>
      <c r="M219" s="644"/>
      <c r="N219" s="645">
        <v>36</v>
      </c>
      <c r="O219" s="645">
        <v>37</v>
      </c>
      <c r="P219" s="645">
        <v>19</v>
      </c>
      <c r="Q219" s="646">
        <v>0</v>
      </c>
      <c r="R219" s="645">
        <v>6</v>
      </c>
      <c r="S219" s="645">
        <v>36</v>
      </c>
      <c r="T219" s="643">
        <v>2.8</v>
      </c>
      <c r="U219" s="647">
        <v>9.6999999999999993</v>
      </c>
      <c r="V219" s="643">
        <v>2.2000000000000002</v>
      </c>
      <c r="W219" s="648">
        <v>70</v>
      </c>
      <c r="X219" s="649">
        <v>14</v>
      </c>
      <c r="Y219" s="650">
        <v>2026</v>
      </c>
      <c r="Z219" s="651">
        <v>4</v>
      </c>
      <c r="AA219" s="649" t="str">
        <f>+Tabla_query___2026_06_23T082334.128[[#This Row],[AÑO]]&amp;" - "&amp;Tabla_query___2026_06_23T082334.128[[#This Row],[MES]]</f>
        <v>2026 - 4</v>
      </c>
      <c r="AB219" s="6">
        <f t="shared" si="9"/>
        <v>75</v>
      </c>
      <c r="AC219" s="6">
        <f t="shared" si="10"/>
        <v>8000</v>
      </c>
      <c r="AD219" s="6">
        <f t="shared" si="11"/>
        <v>350</v>
      </c>
    </row>
    <row r="220" spans="2:30">
      <c r="B220" s="673">
        <v>46118</v>
      </c>
      <c r="C220" s="642">
        <v>66056</v>
      </c>
      <c r="D220" s="642">
        <v>67335</v>
      </c>
      <c r="E220" s="642">
        <v>15780</v>
      </c>
      <c r="F220" s="642">
        <v>925.94399999999996</v>
      </c>
      <c r="G220" s="642">
        <v>9300</v>
      </c>
      <c r="H220" s="642">
        <v>239620</v>
      </c>
      <c r="I220" s="643">
        <v>5215.8999999999996</v>
      </c>
      <c r="J220" s="643">
        <v>1481.3</v>
      </c>
      <c r="K220" s="643">
        <v>5382.2</v>
      </c>
      <c r="L220" s="644"/>
      <c r="M220" s="644"/>
      <c r="N220" s="645">
        <v>102</v>
      </c>
      <c r="O220" s="645">
        <v>63</v>
      </c>
      <c r="P220" s="645">
        <v>25</v>
      </c>
      <c r="Q220" s="646">
        <v>6.3019999999999996</v>
      </c>
      <c r="R220" s="645">
        <v>0</v>
      </c>
      <c r="S220" s="645">
        <v>102</v>
      </c>
      <c r="T220" s="643">
        <v>2.6</v>
      </c>
      <c r="U220" s="647">
        <v>14</v>
      </c>
      <c r="V220" s="643">
        <v>2.2999999999999998</v>
      </c>
      <c r="W220" s="648">
        <v>69</v>
      </c>
      <c r="X220" s="649">
        <v>15</v>
      </c>
      <c r="Y220" s="650">
        <v>2026</v>
      </c>
      <c r="Z220" s="651">
        <v>4</v>
      </c>
      <c r="AA220" s="649" t="str">
        <f>+Tabla_query___2026_06_23T082334.128[[#This Row],[AÑO]]&amp;" - "&amp;Tabla_query___2026_06_23T082334.128[[#This Row],[MES]]</f>
        <v>2026 - 4</v>
      </c>
      <c r="AB220" s="6">
        <f t="shared" si="9"/>
        <v>75</v>
      </c>
      <c r="AC220" s="6">
        <f t="shared" si="10"/>
        <v>8000</v>
      </c>
      <c r="AD220" s="6">
        <f t="shared" si="11"/>
        <v>350</v>
      </c>
    </row>
    <row r="221" spans="2:30">
      <c r="B221" s="673">
        <v>46119</v>
      </c>
      <c r="C221" s="642">
        <v>66132</v>
      </c>
      <c r="D221" s="642">
        <v>67414</v>
      </c>
      <c r="E221" s="642">
        <v>15797</v>
      </c>
      <c r="F221" s="642">
        <v>926.35</v>
      </c>
      <c r="G221" s="642">
        <v>9312</v>
      </c>
      <c r="H221" s="642">
        <v>239696</v>
      </c>
      <c r="I221" s="643">
        <v>5219.3</v>
      </c>
      <c r="J221" s="643">
        <v>1494.1</v>
      </c>
      <c r="K221" s="643">
        <v>5386.5</v>
      </c>
      <c r="L221" s="644"/>
      <c r="M221" s="644"/>
      <c r="N221" s="645">
        <v>76</v>
      </c>
      <c r="O221" s="645">
        <v>79</v>
      </c>
      <c r="P221" s="645">
        <v>17</v>
      </c>
      <c r="Q221" s="646">
        <v>0.40600000000000003</v>
      </c>
      <c r="R221" s="645">
        <v>12</v>
      </c>
      <c r="S221" s="645">
        <v>76</v>
      </c>
      <c r="T221" s="643">
        <v>3.4</v>
      </c>
      <c r="U221" s="647">
        <v>12.8</v>
      </c>
      <c r="V221" s="643">
        <v>4.3</v>
      </c>
      <c r="W221" s="648">
        <v>69</v>
      </c>
      <c r="X221" s="649">
        <v>15</v>
      </c>
      <c r="Y221" s="650">
        <v>2026</v>
      </c>
      <c r="Z221" s="651">
        <v>4</v>
      </c>
      <c r="AA221" s="649" t="str">
        <f>+Tabla_query___2026_06_23T082334.128[[#This Row],[AÑO]]&amp;" - "&amp;Tabla_query___2026_06_23T082334.128[[#This Row],[MES]]</f>
        <v>2026 - 4</v>
      </c>
      <c r="AB221" s="6">
        <f t="shared" si="9"/>
        <v>75</v>
      </c>
      <c r="AC221" s="6">
        <f t="shared" si="10"/>
        <v>8000</v>
      </c>
      <c r="AD221" s="6">
        <f t="shared" si="11"/>
        <v>350</v>
      </c>
    </row>
    <row r="222" spans="2:30">
      <c r="B222" s="673">
        <v>46120</v>
      </c>
      <c r="C222" s="642">
        <v>66202</v>
      </c>
      <c r="D222" s="642">
        <v>67484</v>
      </c>
      <c r="E222" s="642">
        <v>15809</v>
      </c>
      <c r="F222" s="642">
        <v>926.73199999999997</v>
      </c>
      <c r="G222" s="642">
        <v>9320</v>
      </c>
      <c r="H222" s="642">
        <v>239766</v>
      </c>
      <c r="I222" s="643">
        <v>5222.8</v>
      </c>
      <c r="J222" s="643">
        <v>1509.3</v>
      </c>
      <c r="K222" s="643">
        <v>5391.7</v>
      </c>
      <c r="L222" s="644"/>
      <c r="M222" s="644"/>
      <c r="N222" s="645">
        <v>70</v>
      </c>
      <c r="O222" s="645">
        <v>70</v>
      </c>
      <c r="P222" s="645">
        <v>12</v>
      </c>
      <c r="Q222" s="646">
        <v>0.38200000000000001</v>
      </c>
      <c r="R222" s="645">
        <v>8</v>
      </c>
      <c r="S222" s="645">
        <v>70</v>
      </c>
      <c r="T222" s="643">
        <v>3.5</v>
      </c>
      <c r="U222" s="647">
        <v>15.2</v>
      </c>
      <c r="V222" s="643">
        <v>5.2</v>
      </c>
      <c r="W222" s="648">
        <v>67</v>
      </c>
      <c r="X222" s="649">
        <v>15</v>
      </c>
      <c r="Y222" s="650">
        <v>2026</v>
      </c>
      <c r="Z222" s="651">
        <v>4</v>
      </c>
      <c r="AA222" s="649" t="str">
        <f>+Tabla_query___2026_06_23T082334.128[[#This Row],[AÑO]]&amp;" - "&amp;Tabla_query___2026_06_23T082334.128[[#This Row],[MES]]</f>
        <v>2026 - 4</v>
      </c>
      <c r="AB222" s="6">
        <f t="shared" si="9"/>
        <v>75</v>
      </c>
      <c r="AC222" s="6">
        <f t="shared" si="10"/>
        <v>8000</v>
      </c>
      <c r="AD222" s="6">
        <f t="shared" si="11"/>
        <v>350</v>
      </c>
    </row>
    <row r="223" spans="2:30">
      <c r="B223" s="673">
        <v>46121</v>
      </c>
      <c r="C223" s="642">
        <v>66271</v>
      </c>
      <c r="D223" s="642">
        <v>67554</v>
      </c>
      <c r="E223" s="642">
        <v>15822</v>
      </c>
      <c r="F223" s="642">
        <v>927.03700000000003</v>
      </c>
      <c r="G223" s="642">
        <v>9329</v>
      </c>
      <c r="H223" s="642">
        <v>239835</v>
      </c>
      <c r="I223" s="643">
        <v>5226.3999999999996</v>
      </c>
      <c r="J223" s="643">
        <v>1524.3</v>
      </c>
      <c r="K223" s="643">
        <v>5397.1</v>
      </c>
      <c r="L223" s="644"/>
      <c r="M223" s="644"/>
      <c r="N223" s="645">
        <v>69</v>
      </c>
      <c r="O223" s="645">
        <v>70</v>
      </c>
      <c r="P223" s="645">
        <v>13</v>
      </c>
      <c r="Q223" s="646">
        <v>0.30499999999999999</v>
      </c>
      <c r="R223" s="645">
        <v>9</v>
      </c>
      <c r="S223" s="645">
        <v>69</v>
      </c>
      <c r="T223" s="643">
        <v>3.6</v>
      </c>
      <c r="U223" s="647">
        <v>15</v>
      </c>
      <c r="V223" s="643">
        <v>5.4</v>
      </c>
      <c r="W223" s="648">
        <v>67</v>
      </c>
      <c r="X223" s="649">
        <v>15</v>
      </c>
      <c r="Y223" s="650">
        <v>2026</v>
      </c>
      <c r="Z223" s="651">
        <v>4</v>
      </c>
      <c r="AA223" s="649" t="str">
        <f>+Tabla_query___2026_06_23T082334.128[[#This Row],[AÑO]]&amp;" - "&amp;Tabla_query___2026_06_23T082334.128[[#This Row],[MES]]</f>
        <v>2026 - 4</v>
      </c>
      <c r="AB223" s="6">
        <f t="shared" si="9"/>
        <v>75</v>
      </c>
      <c r="AC223" s="6">
        <f t="shared" si="10"/>
        <v>8000</v>
      </c>
      <c r="AD223" s="6">
        <f t="shared" si="11"/>
        <v>350</v>
      </c>
    </row>
    <row r="224" spans="2:30">
      <c r="B224" s="673">
        <v>46122</v>
      </c>
      <c r="C224" s="642">
        <v>66350</v>
      </c>
      <c r="D224" s="642">
        <v>67633</v>
      </c>
      <c r="E224" s="642">
        <v>15835</v>
      </c>
      <c r="F224" s="642">
        <v>928.37300000000005</v>
      </c>
      <c r="G224" s="642">
        <v>9337</v>
      </c>
      <c r="H224" s="642">
        <v>239913</v>
      </c>
      <c r="I224" s="643">
        <v>5230.1000000000004</v>
      </c>
      <c r="J224" s="643">
        <v>1540.5</v>
      </c>
      <c r="K224" s="643">
        <v>5402.8</v>
      </c>
      <c r="L224" s="644"/>
      <c r="M224" s="644"/>
      <c r="N224" s="645">
        <v>79</v>
      </c>
      <c r="O224" s="645">
        <v>79</v>
      </c>
      <c r="P224" s="645">
        <v>13</v>
      </c>
      <c r="Q224" s="646">
        <v>1.3360000000000001</v>
      </c>
      <c r="R224" s="645">
        <v>8</v>
      </c>
      <c r="S224" s="645">
        <v>78</v>
      </c>
      <c r="T224" s="643">
        <v>3.7</v>
      </c>
      <c r="U224" s="647">
        <v>16.2</v>
      </c>
      <c r="V224" s="643">
        <v>5.7</v>
      </c>
      <c r="W224" s="648">
        <v>67</v>
      </c>
      <c r="X224" s="649">
        <v>15</v>
      </c>
      <c r="Y224" s="650">
        <v>2026</v>
      </c>
      <c r="Z224" s="651">
        <v>4</v>
      </c>
      <c r="AA224" s="649" t="str">
        <f>+Tabla_query___2026_06_23T082334.128[[#This Row],[AÑO]]&amp;" - "&amp;Tabla_query___2026_06_23T082334.128[[#This Row],[MES]]</f>
        <v>2026 - 4</v>
      </c>
      <c r="AB224" s="6">
        <f t="shared" si="9"/>
        <v>75</v>
      </c>
      <c r="AC224" s="6">
        <f t="shared" si="10"/>
        <v>8000</v>
      </c>
      <c r="AD224" s="6">
        <f t="shared" si="11"/>
        <v>350</v>
      </c>
    </row>
    <row r="225" spans="2:30">
      <c r="B225" s="673">
        <v>46123</v>
      </c>
      <c r="C225" s="642">
        <v>66416</v>
      </c>
      <c r="D225" s="642">
        <v>67701</v>
      </c>
      <c r="E225" s="642">
        <v>15846</v>
      </c>
      <c r="F225" s="642">
        <v>928.60900000000004</v>
      </c>
      <c r="G225" s="642">
        <v>9346</v>
      </c>
      <c r="H225" s="642">
        <v>239980</v>
      </c>
      <c r="I225" s="643">
        <v>5234</v>
      </c>
      <c r="J225" s="643">
        <v>1556.8</v>
      </c>
      <c r="K225" s="643">
        <v>5408.4</v>
      </c>
      <c r="L225" s="644"/>
      <c r="M225" s="644"/>
      <c r="N225" s="645">
        <v>66</v>
      </c>
      <c r="O225" s="645">
        <v>68</v>
      </c>
      <c r="P225" s="645">
        <v>11</v>
      </c>
      <c r="Q225" s="646">
        <v>0.23599999999999999</v>
      </c>
      <c r="R225" s="645">
        <v>9</v>
      </c>
      <c r="S225" s="645">
        <v>67</v>
      </c>
      <c r="T225" s="643">
        <v>3.9</v>
      </c>
      <c r="U225" s="647">
        <v>16.3</v>
      </c>
      <c r="V225" s="643">
        <v>5.6</v>
      </c>
      <c r="W225" s="648">
        <v>66</v>
      </c>
      <c r="X225" s="649">
        <v>15</v>
      </c>
      <c r="Y225" s="650">
        <v>2026</v>
      </c>
      <c r="Z225" s="651">
        <v>4</v>
      </c>
      <c r="AA225" s="649" t="str">
        <f>+Tabla_query___2026_06_23T082334.128[[#This Row],[AÑO]]&amp;" - "&amp;Tabla_query___2026_06_23T082334.128[[#This Row],[MES]]</f>
        <v>2026 - 4</v>
      </c>
      <c r="AB225" s="6">
        <f t="shared" si="9"/>
        <v>75</v>
      </c>
      <c r="AC225" s="6">
        <f t="shared" si="10"/>
        <v>8000</v>
      </c>
      <c r="AD225" s="6">
        <f t="shared" si="11"/>
        <v>350</v>
      </c>
    </row>
    <row r="226" spans="2:30">
      <c r="B226" s="673">
        <v>46125</v>
      </c>
      <c r="C226" s="642">
        <v>66487</v>
      </c>
      <c r="D226" s="642">
        <v>67772</v>
      </c>
      <c r="E226" s="642">
        <v>15857</v>
      </c>
      <c r="F226" s="642">
        <v>928.64300000000003</v>
      </c>
      <c r="G226" s="642">
        <v>9354</v>
      </c>
      <c r="H226" s="642">
        <v>240054</v>
      </c>
      <c r="I226" s="643">
        <v>5236</v>
      </c>
      <c r="J226" s="643">
        <v>1573.84</v>
      </c>
      <c r="K226" s="643">
        <v>5412.75</v>
      </c>
      <c r="L226" s="644"/>
      <c r="M226" s="644"/>
      <c r="N226" s="645">
        <v>71</v>
      </c>
      <c r="O226" s="645">
        <v>71</v>
      </c>
      <c r="P226" s="645">
        <v>11</v>
      </c>
      <c r="Q226" s="646">
        <v>3.4000000000000002E-2</v>
      </c>
      <c r="R226" s="645">
        <v>8</v>
      </c>
      <c r="S226" s="645">
        <v>74</v>
      </c>
      <c r="T226" s="643">
        <v>2</v>
      </c>
      <c r="U226" s="647">
        <v>17.04</v>
      </c>
      <c r="V226" s="643">
        <v>4.3499999999999996</v>
      </c>
      <c r="W226" s="648">
        <v>65</v>
      </c>
      <c r="X226" s="649">
        <v>16</v>
      </c>
      <c r="Y226" s="650">
        <v>2026</v>
      </c>
      <c r="Z226" s="651">
        <v>4</v>
      </c>
      <c r="AA226" s="649" t="str">
        <f>+Tabla_query___2026_06_23T082334.128[[#This Row],[AÑO]]&amp;" - "&amp;Tabla_query___2026_06_23T082334.128[[#This Row],[MES]]</f>
        <v>2026 - 4</v>
      </c>
      <c r="AB226" s="6">
        <f t="shared" si="9"/>
        <v>75</v>
      </c>
      <c r="AC226" s="6">
        <f t="shared" si="10"/>
        <v>8000</v>
      </c>
      <c r="AD226" s="6">
        <f t="shared" si="11"/>
        <v>350</v>
      </c>
    </row>
    <row r="227" spans="2:30">
      <c r="B227" s="673">
        <v>46126</v>
      </c>
      <c r="C227" s="642">
        <v>66559</v>
      </c>
      <c r="D227" s="642">
        <v>67843</v>
      </c>
      <c r="E227" s="642">
        <v>15868</v>
      </c>
      <c r="F227" s="642">
        <v>929.17200000000003</v>
      </c>
      <c r="G227" s="642">
        <v>9354</v>
      </c>
      <c r="H227" s="642">
        <v>240121</v>
      </c>
      <c r="I227" s="643">
        <v>5241</v>
      </c>
      <c r="J227" s="643">
        <v>1586.9</v>
      </c>
      <c r="K227" s="643">
        <v>5417.3</v>
      </c>
      <c r="L227" s="644"/>
      <c r="M227" s="644"/>
      <c r="N227" s="645">
        <v>72</v>
      </c>
      <c r="O227" s="645">
        <v>71</v>
      </c>
      <c r="P227" s="645">
        <v>11</v>
      </c>
      <c r="Q227" s="646">
        <v>0.52900000000000003</v>
      </c>
      <c r="R227" s="645">
        <v>0</v>
      </c>
      <c r="S227" s="645">
        <v>67</v>
      </c>
      <c r="T227" s="643">
        <v>5</v>
      </c>
      <c r="U227" s="647">
        <v>13.06</v>
      </c>
      <c r="V227" s="643">
        <v>4.55</v>
      </c>
      <c r="W227" s="648">
        <v>63</v>
      </c>
      <c r="X227" s="649">
        <v>16</v>
      </c>
      <c r="Y227" s="650">
        <v>2026</v>
      </c>
      <c r="Z227" s="651">
        <v>4</v>
      </c>
      <c r="AA227" s="649" t="str">
        <f>+Tabla_query___2026_06_23T082334.128[[#This Row],[AÑO]]&amp;" - "&amp;Tabla_query___2026_06_23T082334.128[[#This Row],[MES]]</f>
        <v>2026 - 4</v>
      </c>
      <c r="AB227" s="6">
        <f t="shared" si="9"/>
        <v>75</v>
      </c>
      <c r="AC227" s="6">
        <f t="shared" si="10"/>
        <v>8000</v>
      </c>
      <c r="AD227" s="6">
        <f t="shared" si="11"/>
        <v>350</v>
      </c>
    </row>
    <row r="228" spans="2:30">
      <c r="B228" s="673">
        <v>46127</v>
      </c>
      <c r="C228" s="642">
        <v>66628</v>
      </c>
      <c r="D228" s="642">
        <v>67917</v>
      </c>
      <c r="E228" s="642">
        <v>15880</v>
      </c>
      <c r="F228" s="642">
        <v>929.42600000000004</v>
      </c>
      <c r="G228" s="642">
        <v>9365</v>
      </c>
      <c r="H228" s="642">
        <v>240193</v>
      </c>
      <c r="I228" s="643">
        <v>5245.9</v>
      </c>
      <c r="J228" s="643">
        <v>1605</v>
      </c>
      <c r="K228" s="643">
        <v>5423.6</v>
      </c>
      <c r="L228" s="644"/>
      <c r="M228" s="644"/>
      <c r="N228" s="645">
        <v>69</v>
      </c>
      <c r="O228" s="645">
        <v>74</v>
      </c>
      <c r="P228" s="645">
        <v>12</v>
      </c>
      <c r="Q228" s="646">
        <v>0.254</v>
      </c>
      <c r="R228" s="645">
        <v>11</v>
      </c>
      <c r="S228" s="645">
        <v>72</v>
      </c>
      <c r="T228" s="643">
        <v>4.9000000000000004</v>
      </c>
      <c r="U228" s="647">
        <v>18.100000000000001</v>
      </c>
      <c r="V228" s="643">
        <v>6.3</v>
      </c>
      <c r="W228" s="648">
        <v>59</v>
      </c>
      <c r="X228" s="649">
        <v>16</v>
      </c>
      <c r="Y228" s="650">
        <v>2026</v>
      </c>
      <c r="Z228" s="651">
        <v>4</v>
      </c>
      <c r="AA228" s="649" t="str">
        <f>+Tabla_query___2026_06_23T082334.128[[#This Row],[AÑO]]&amp;" - "&amp;Tabla_query___2026_06_23T082334.128[[#This Row],[MES]]</f>
        <v>2026 - 4</v>
      </c>
      <c r="AB228" s="6">
        <f t="shared" si="9"/>
        <v>75</v>
      </c>
      <c r="AC228" s="6">
        <f t="shared" si="10"/>
        <v>8000</v>
      </c>
      <c r="AD228" s="6">
        <f t="shared" si="11"/>
        <v>350</v>
      </c>
    </row>
    <row r="229" spans="2:30">
      <c r="B229" s="673">
        <v>46128</v>
      </c>
      <c r="C229" s="642">
        <v>66690</v>
      </c>
      <c r="D229" s="642">
        <v>67980</v>
      </c>
      <c r="E229" s="642">
        <v>15890</v>
      </c>
      <c r="F229" s="642">
        <v>929.72</v>
      </c>
      <c r="G229" s="642">
        <v>9374</v>
      </c>
      <c r="H229" s="642">
        <v>240254</v>
      </c>
      <c r="I229" s="643">
        <v>5249.5</v>
      </c>
      <c r="J229" s="643">
        <v>1620.6</v>
      </c>
      <c r="K229" s="643">
        <v>5428.7</v>
      </c>
      <c r="L229" s="644"/>
      <c r="M229" s="644"/>
      <c r="N229" s="645">
        <v>62</v>
      </c>
      <c r="O229" s="645">
        <v>63</v>
      </c>
      <c r="P229" s="645">
        <v>10</v>
      </c>
      <c r="Q229" s="646">
        <v>0.29399999999999998</v>
      </c>
      <c r="R229" s="645">
        <v>9</v>
      </c>
      <c r="S229" s="645">
        <v>61</v>
      </c>
      <c r="T229" s="643">
        <v>3.6</v>
      </c>
      <c r="U229" s="647">
        <v>15.6</v>
      </c>
      <c r="V229" s="643">
        <v>5.0999999999999996</v>
      </c>
      <c r="W229" s="648">
        <v>55</v>
      </c>
      <c r="X229" s="649">
        <v>16</v>
      </c>
      <c r="Y229" s="650">
        <v>2026</v>
      </c>
      <c r="Z229" s="651">
        <v>4</v>
      </c>
      <c r="AA229" s="649" t="str">
        <f>+Tabla_query___2026_06_23T082334.128[[#This Row],[AÑO]]&amp;" - "&amp;Tabla_query___2026_06_23T082334.128[[#This Row],[MES]]</f>
        <v>2026 - 4</v>
      </c>
      <c r="AB229" s="6">
        <f t="shared" si="9"/>
        <v>75</v>
      </c>
      <c r="AC229" s="6">
        <f t="shared" si="10"/>
        <v>8000</v>
      </c>
      <c r="AD229" s="6">
        <f t="shared" si="11"/>
        <v>350</v>
      </c>
    </row>
    <row r="230" spans="2:30">
      <c r="B230" s="673">
        <v>46129</v>
      </c>
      <c r="C230" s="642">
        <v>66748</v>
      </c>
      <c r="D230" s="642">
        <v>68038</v>
      </c>
      <c r="E230" s="642">
        <v>15900</v>
      </c>
      <c r="F230" s="642">
        <v>929.98900000000003</v>
      </c>
      <c r="G230" s="642">
        <v>9384</v>
      </c>
      <c r="H230" s="642">
        <v>240312</v>
      </c>
      <c r="I230" s="643">
        <v>5253.3</v>
      </c>
      <c r="J230" s="643">
        <v>1635.9</v>
      </c>
      <c r="K230" s="643">
        <v>5434</v>
      </c>
      <c r="L230" s="644"/>
      <c r="M230" s="644"/>
      <c r="N230" s="645">
        <v>58</v>
      </c>
      <c r="O230" s="645">
        <v>58</v>
      </c>
      <c r="P230" s="645">
        <v>10</v>
      </c>
      <c r="Q230" s="646">
        <v>0.26900000000000002</v>
      </c>
      <c r="R230" s="645">
        <v>10</v>
      </c>
      <c r="S230" s="645">
        <v>58</v>
      </c>
      <c r="T230" s="643">
        <v>3.8</v>
      </c>
      <c r="U230" s="647">
        <v>15.3</v>
      </c>
      <c r="V230" s="643">
        <v>5.3</v>
      </c>
      <c r="W230" s="648">
        <v>50</v>
      </c>
      <c r="X230" s="649">
        <v>16</v>
      </c>
      <c r="Y230" s="650">
        <v>2026</v>
      </c>
      <c r="Z230" s="651">
        <v>4</v>
      </c>
      <c r="AA230" s="649" t="str">
        <f>+Tabla_query___2026_06_23T082334.128[[#This Row],[AÑO]]&amp;" - "&amp;Tabla_query___2026_06_23T082334.128[[#This Row],[MES]]</f>
        <v>2026 - 4</v>
      </c>
      <c r="AB230" s="6">
        <f t="shared" si="9"/>
        <v>75</v>
      </c>
      <c r="AC230" s="6">
        <f t="shared" si="10"/>
        <v>8000</v>
      </c>
      <c r="AD230" s="6">
        <f t="shared" si="11"/>
        <v>350</v>
      </c>
    </row>
    <row r="231" spans="2:30">
      <c r="B231" s="673">
        <v>46130</v>
      </c>
      <c r="C231" s="642">
        <v>66792</v>
      </c>
      <c r="D231" s="642">
        <v>68085</v>
      </c>
      <c r="E231" s="642">
        <v>15910</v>
      </c>
      <c r="F231" s="642">
        <v>930.17399999999998</v>
      </c>
      <c r="G231" s="642">
        <v>9391</v>
      </c>
      <c r="H231" s="642">
        <v>240357</v>
      </c>
      <c r="I231" s="643">
        <v>5256.6</v>
      </c>
      <c r="J231" s="643">
        <v>1649</v>
      </c>
      <c r="K231" s="643">
        <v>5438.3</v>
      </c>
      <c r="L231" s="644"/>
      <c r="M231" s="644"/>
      <c r="N231" s="645">
        <v>44</v>
      </c>
      <c r="O231" s="645">
        <v>47</v>
      </c>
      <c r="P231" s="645">
        <v>10</v>
      </c>
      <c r="Q231" s="646">
        <v>0.185</v>
      </c>
      <c r="R231" s="645">
        <v>7</v>
      </c>
      <c r="S231" s="645">
        <v>45</v>
      </c>
      <c r="T231" s="643">
        <v>3.3</v>
      </c>
      <c r="U231" s="647">
        <v>13.1</v>
      </c>
      <c r="V231" s="643">
        <v>4.3</v>
      </c>
      <c r="W231" s="648">
        <v>49</v>
      </c>
      <c r="X231" s="649">
        <v>16</v>
      </c>
      <c r="Y231" s="650">
        <v>2026</v>
      </c>
      <c r="Z231" s="651">
        <v>4</v>
      </c>
      <c r="AA231" s="649" t="str">
        <f>+Tabla_query___2026_06_23T082334.128[[#This Row],[AÑO]]&amp;" - "&amp;Tabla_query___2026_06_23T082334.128[[#This Row],[MES]]</f>
        <v>2026 - 4</v>
      </c>
      <c r="AB231" s="6">
        <f t="shared" si="9"/>
        <v>75</v>
      </c>
      <c r="AC231" s="6">
        <f t="shared" si="10"/>
        <v>8000</v>
      </c>
      <c r="AD231" s="6">
        <f t="shared" si="11"/>
        <v>350</v>
      </c>
    </row>
    <row r="232" spans="2:30">
      <c r="B232" s="673">
        <v>46132</v>
      </c>
      <c r="C232" s="642">
        <v>66848</v>
      </c>
      <c r="D232" s="642">
        <v>68141</v>
      </c>
      <c r="E232" s="642">
        <v>15922</v>
      </c>
      <c r="F232" s="642">
        <v>931.62400000000002</v>
      </c>
      <c r="G232" s="642">
        <v>9395</v>
      </c>
      <c r="H232" s="642">
        <v>240413</v>
      </c>
      <c r="I232" s="643">
        <v>5259.6</v>
      </c>
      <c r="J232" s="643">
        <v>1664</v>
      </c>
      <c r="K232" s="643">
        <v>5442.5</v>
      </c>
      <c r="L232" s="644"/>
      <c r="M232" s="644"/>
      <c r="N232" s="645">
        <v>56</v>
      </c>
      <c r="O232" s="645">
        <v>56</v>
      </c>
      <c r="P232" s="645">
        <v>12</v>
      </c>
      <c r="Q232" s="646">
        <v>1.45</v>
      </c>
      <c r="R232" s="645">
        <v>4</v>
      </c>
      <c r="S232" s="645">
        <v>56</v>
      </c>
      <c r="T232" s="643">
        <v>3</v>
      </c>
      <c r="U232" s="647">
        <v>15</v>
      </c>
      <c r="V232" s="643">
        <v>4.2</v>
      </c>
      <c r="W232" s="648">
        <v>44</v>
      </c>
      <c r="X232" s="649">
        <v>17</v>
      </c>
      <c r="Y232" s="650">
        <v>2026</v>
      </c>
      <c r="Z232" s="651">
        <v>4</v>
      </c>
      <c r="AA232" s="649" t="str">
        <f>+Tabla_query___2026_06_23T082334.128[[#This Row],[AÑO]]&amp;" - "&amp;Tabla_query___2026_06_23T082334.128[[#This Row],[MES]]</f>
        <v>2026 - 4</v>
      </c>
      <c r="AB232" s="6">
        <f t="shared" si="9"/>
        <v>75</v>
      </c>
      <c r="AC232" s="6">
        <f t="shared" si="10"/>
        <v>8000</v>
      </c>
      <c r="AD232" s="6">
        <f t="shared" si="11"/>
        <v>350</v>
      </c>
    </row>
    <row r="233" spans="2:30">
      <c r="B233" s="673">
        <v>46133</v>
      </c>
      <c r="C233" s="642">
        <v>66911</v>
      </c>
      <c r="D233" s="642">
        <v>68206</v>
      </c>
      <c r="E233" s="642">
        <v>15933</v>
      </c>
      <c r="F233" s="642">
        <v>932.50900000000001</v>
      </c>
      <c r="G233" s="642">
        <v>9403</v>
      </c>
      <c r="H233" s="642">
        <v>240476</v>
      </c>
      <c r="I233" s="643">
        <v>5263</v>
      </c>
      <c r="J233" s="643">
        <v>1676.9</v>
      </c>
      <c r="K233" s="643">
        <v>5446.9</v>
      </c>
      <c r="L233" s="644"/>
      <c r="M233" s="644"/>
      <c r="N233" s="645">
        <v>63</v>
      </c>
      <c r="O233" s="645">
        <v>65</v>
      </c>
      <c r="P233" s="645">
        <v>11</v>
      </c>
      <c r="Q233" s="646">
        <v>0.88500000000000001</v>
      </c>
      <c r="R233" s="645">
        <v>8</v>
      </c>
      <c r="S233" s="645">
        <v>63</v>
      </c>
      <c r="T233" s="643">
        <v>3.4</v>
      </c>
      <c r="U233" s="647">
        <v>12.9</v>
      </c>
      <c r="V233" s="643">
        <v>4.4000000000000004</v>
      </c>
      <c r="W233" s="648">
        <v>41</v>
      </c>
      <c r="X233" s="649">
        <v>17</v>
      </c>
      <c r="Y233" s="650">
        <v>2026</v>
      </c>
      <c r="Z233" s="651">
        <v>4</v>
      </c>
      <c r="AA233" s="649" t="str">
        <f>+Tabla_query___2026_06_23T082334.128[[#This Row],[AÑO]]&amp;" - "&amp;Tabla_query___2026_06_23T082334.128[[#This Row],[MES]]</f>
        <v>2026 - 4</v>
      </c>
      <c r="AB233" s="6">
        <f t="shared" si="9"/>
        <v>75</v>
      </c>
      <c r="AC233" s="6">
        <f t="shared" si="10"/>
        <v>8000</v>
      </c>
      <c r="AD233" s="6">
        <f t="shared" si="11"/>
        <v>350</v>
      </c>
    </row>
    <row r="234" spans="2:30">
      <c r="B234" s="673">
        <v>46134</v>
      </c>
      <c r="C234" s="642">
        <v>66988</v>
      </c>
      <c r="D234" s="642">
        <v>68285</v>
      </c>
      <c r="E234" s="642">
        <v>15944</v>
      </c>
      <c r="F234" s="642">
        <v>933.31200000000001</v>
      </c>
      <c r="G234" s="642">
        <v>9416</v>
      </c>
      <c r="H234" s="642">
        <v>240553</v>
      </c>
      <c r="I234" s="643">
        <v>5267</v>
      </c>
      <c r="J234" s="643">
        <v>1693.3</v>
      </c>
      <c r="K234" s="643">
        <v>5453.1</v>
      </c>
      <c r="L234" s="644"/>
      <c r="M234" s="644"/>
      <c r="N234" s="645">
        <v>77</v>
      </c>
      <c r="O234" s="645">
        <v>79</v>
      </c>
      <c r="P234" s="645">
        <v>11</v>
      </c>
      <c r="Q234" s="646">
        <v>0.80300000000000005</v>
      </c>
      <c r="R234" s="645">
        <v>13</v>
      </c>
      <c r="S234" s="645">
        <v>77</v>
      </c>
      <c r="T234" s="643">
        <v>4</v>
      </c>
      <c r="U234" s="647">
        <v>16.399999999999999</v>
      </c>
      <c r="V234" s="643">
        <v>6.2</v>
      </c>
      <c r="W234" s="648">
        <v>37</v>
      </c>
      <c r="X234" s="649">
        <v>17</v>
      </c>
      <c r="Y234" s="650">
        <v>2026</v>
      </c>
      <c r="Z234" s="651">
        <v>4</v>
      </c>
      <c r="AA234" s="649" t="str">
        <f>+Tabla_query___2026_06_23T082334.128[[#This Row],[AÑO]]&amp;" - "&amp;Tabla_query___2026_06_23T082334.128[[#This Row],[MES]]</f>
        <v>2026 - 4</v>
      </c>
      <c r="AB234" s="6">
        <f t="shared" si="9"/>
        <v>75</v>
      </c>
      <c r="AC234" s="6">
        <f t="shared" si="10"/>
        <v>8000</v>
      </c>
      <c r="AD234" s="6">
        <f t="shared" si="11"/>
        <v>350</v>
      </c>
    </row>
    <row r="235" spans="2:30">
      <c r="B235" s="673">
        <v>46135</v>
      </c>
      <c r="C235" s="642">
        <v>67060</v>
      </c>
      <c r="D235" s="642">
        <v>68358</v>
      </c>
      <c r="E235" s="642">
        <v>15956</v>
      </c>
      <c r="F235" s="642">
        <v>934.43700000000001</v>
      </c>
      <c r="G235" s="642">
        <v>9429</v>
      </c>
      <c r="H235" s="642">
        <v>240625</v>
      </c>
      <c r="I235" s="643">
        <v>5270</v>
      </c>
      <c r="J235" s="643">
        <v>1706.7</v>
      </c>
      <c r="K235" s="643">
        <v>5458.5</v>
      </c>
      <c r="L235" s="644"/>
      <c r="M235" s="644"/>
      <c r="N235" s="645">
        <v>72</v>
      </c>
      <c r="O235" s="645">
        <v>73</v>
      </c>
      <c r="P235" s="645">
        <v>12</v>
      </c>
      <c r="Q235" s="646">
        <v>1.125</v>
      </c>
      <c r="R235" s="645">
        <v>13</v>
      </c>
      <c r="S235" s="645">
        <v>72</v>
      </c>
      <c r="T235" s="643">
        <v>3</v>
      </c>
      <c r="U235" s="647">
        <v>13.4</v>
      </c>
      <c r="V235" s="643">
        <v>5.4</v>
      </c>
      <c r="W235" s="648">
        <v>35</v>
      </c>
      <c r="X235" s="649">
        <v>17</v>
      </c>
      <c r="Y235" s="650">
        <v>2026</v>
      </c>
      <c r="Z235" s="651">
        <v>4</v>
      </c>
      <c r="AA235" s="649" t="str">
        <f>+Tabla_query___2026_06_23T082334.128[[#This Row],[AÑO]]&amp;" - "&amp;Tabla_query___2026_06_23T082334.128[[#This Row],[MES]]</f>
        <v>2026 - 4</v>
      </c>
      <c r="AB235" s="6">
        <f t="shared" si="9"/>
        <v>75</v>
      </c>
      <c r="AC235" s="6">
        <f t="shared" si="10"/>
        <v>8000</v>
      </c>
      <c r="AD235" s="6">
        <f t="shared" si="11"/>
        <v>350</v>
      </c>
    </row>
    <row r="236" spans="2:30">
      <c r="B236" s="673">
        <v>46136</v>
      </c>
      <c r="C236" s="642">
        <v>67132</v>
      </c>
      <c r="D236" s="642">
        <v>68431</v>
      </c>
      <c r="E236" s="642">
        <v>15966</v>
      </c>
      <c r="F236" s="642">
        <v>934.82100000000003</v>
      </c>
      <c r="G236" s="642">
        <v>9443</v>
      </c>
      <c r="H236" s="642">
        <v>240696</v>
      </c>
      <c r="I236" s="643">
        <v>5273.6</v>
      </c>
      <c r="J236" s="643">
        <v>1721.4</v>
      </c>
      <c r="K236" s="643">
        <v>5464.1</v>
      </c>
      <c r="L236" s="644"/>
      <c r="M236" s="644"/>
      <c r="N236" s="645">
        <v>72</v>
      </c>
      <c r="O236" s="645">
        <v>73</v>
      </c>
      <c r="P236" s="645">
        <v>10</v>
      </c>
      <c r="Q236" s="646">
        <v>0.38400000000000001</v>
      </c>
      <c r="R236" s="645">
        <v>14</v>
      </c>
      <c r="S236" s="645">
        <v>71</v>
      </c>
      <c r="T236" s="643">
        <v>3.6</v>
      </c>
      <c r="U236" s="647">
        <v>14.7</v>
      </c>
      <c r="V236" s="643">
        <v>5.6</v>
      </c>
      <c r="W236" s="648">
        <v>30</v>
      </c>
      <c r="X236" s="649">
        <v>17</v>
      </c>
      <c r="Y236" s="650">
        <v>2026</v>
      </c>
      <c r="Z236" s="651">
        <v>4</v>
      </c>
      <c r="AA236" s="649" t="str">
        <f>+Tabla_query___2026_06_23T082334.128[[#This Row],[AÑO]]&amp;" - "&amp;Tabla_query___2026_06_23T082334.128[[#This Row],[MES]]</f>
        <v>2026 - 4</v>
      </c>
      <c r="AB236" s="6">
        <f t="shared" si="9"/>
        <v>75</v>
      </c>
      <c r="AC236" s="6">
        <f t="shared" si="10"/>
        <v>8000</v>
      </c>
      <c r="AD236" s="6">
        <f t="shared" si="11"/>
        <v>350</v>
      </c>
    </row>
    <row r="237" spans="2:30">
      <c r="B237" s="673">
        <v>46137</v>
      </c>
      <c r="C237" s="642">
        <v>67189</v>
      </c>
      <c r="D237" s="642">
        <v>68489</v>
      </c>
      <c r="E237" s="642">
        <v>15976</v>
      </c>
      <c r="F237" s="642">
        <v>935.20299999999997</v>
      </c>
      <c r="G237" s="642">
        <v>9458</v>
      </c>
      <c r="H237" s="642">
        <v>240754</v>
      </c>
      <c r="I237" s="643">
        <v>5276.8</v>
      </c>
      <c r="J237" s="643">
        <v>1737.1</v>
      </c>
      <c r="K237" s="643">
        <v>5468.5</v>
      </c>
      <c r="L237" s="644"/>
      <c r="M237" s="644"/>
      <c r="N237" s="645">
        <v>57</v>
      </c>
      <c r="O237" s="645">
        <v>58</v>
      </c>
      <c r="P237" s="645">
        <v>10</v>
      </c>
      <c r="Q237" s="646">
        <v>0.38200000000000001</v>
      </c>
      <c r="R237" s="645">
        <v>15</v>
      </c>
      <c r="S237" s="645">
        <v>58</v>
      </c>
      <c r="T237" s="643">
        <v>3.2</v>
      </c>
      <c r="U237" s="647">
        <v>15.7</v>
      </c>
      <c r="V237" s="643">
        <v>4.4000000000000004</v>
      </c>
      <c r="W237" s="648">
        <v>27</v>
      </c>
      <c r="X237" s="649">
        <v>17</v>
      </c>
      <c r="Y237" s="650">
        <v>2026</v>
      </c>
      <c r="Z237" s="651">
        <v>4</v>
      </c>
      <c r="AA237" s="649" t="str">
        <f>+Tabla_query___2026_06_23T082334.128[[#This Row],[AÑO]]&amp;" - "&amp;Tabla_query___2026_06_23T082334.128[[#This Row],[MES]]</f>
        <v>2026 - 4</v>
      </c>
      <c r="AB237" s="6">
        <f t="shared" si="9"/>
        <v>75</v>
      </c>
      <c r="AC237" s="6">
        <f t="shared" si="10"/>
        <v>8000</v>
      </c>
      <c r="AD237" s="6">
        <f t="shared" si="11"/>
        <v>350</v>
      </c>
    </row>
    <row r="238" spans="2:30">
      <c r="B238" s="673">
        <v>46139</v>
      </c>
      <c r="C238" s="642">
        <v>67262</v>
      </c>
      <c r="D238" s="642">
        <v>68561</v>
      </c>
      <c r="E238" s="642">
        <v>15990</v>
      </c>
      <c r="F238" s="642">
        <v>936.93799999999999</v>
      </c>
      <c r="G238" s="642">
        <v>9461</v>
      </c>
      <c r="H238" s="642">
        <v>240828</v>
      </c>
      <c r="I238" s="643">
        <v>5279.2</v>
      </c>
      <c r="J238" s="643">
        <v>1752.8</v>
      </c>
      <c r="K238" s="643">
        <v>5471.5</v>
      </c>
      <c r="L238" s="644"/>
      <c r="M238" s="644"/>
      <c r="N238" s="645">
        <v>73</v>
      </c>
      <c r="O238" s="645">
        <v>72</v>
      </c>
      <c r="P238" s="645">
        <v>14</v>
      </c>
      <c r="Q238" s="646">
        <v>1.7350000000000001</v>
      </c>
      <c r="R238" s="645">
        <v>3</v>
      </c>
      <c r="S238" s="645">
        <v>74</v>
      </c>
      <c r="T238" s="643">
        <v>2.4</v>
      </c>
      <c r="U238" s="647">
        <v>15.7</v>
      </c>
      <c r="V238" s="643">
        <v>3</v>
      </c>
      <c r="W238" s="648">
        <v>80</v>
      </c>
      <c r="X238" s="649">
        <v>18</v>
      </c>
      <c r="Y238" s="650">
        <v>2026</v>
      </c>
      <c r="Z238" s="651">
        <v>4</v>
      </c>
      <c r="AA238" s="649" t="str">
        <f>+Tabla_query___2026_06_23T082334.128[[#This Row],[AÑO]]&amp;" - "&amp;Tabla_query___2026_06_23T082334.128[[#This Row],[MES]]</f>
        <v>2026 - 4</v>
      </c>
      <c r="AB238" s="6">
        <f t="shared" si="9"/>
        <v>75</v>
      </c>
      <c r="AC238" s="6">
        <f t="shared" si="10"/>
        <v>8000</v>
      </c>
      <c r="AD238" s="6">
        <f t="shared" si="11"/>
        <v>350</v>
      </c>
    </row>
    <row r="239" spans="2:30">
      <c r="B239" s="673">
        <v>46140</v>
      </c>
      <c r="C239" s="642">
        <v>67317</v>
      </c>
      <c r="D239" s="642">
        <v>68627</v>
      </c>
      <c r="E239" s="642">
        <v>16001</v>
      </c>
      <c r="F239" s="642">
        <v>936.93799999999999</v>
      </c>
      <c r="G239" s="642">
        <v>9469</v>
      </c>
      <c r="H239" s="642">
        <v>240863</v>
      </c>
      <c r="I239" s="643">
        <v>5283</v>
      </c>
      <c r="J239" s="643">
        <v>1766.8</v>
      </c>
      <c r="K239" s="643">
        <v>5476.1</v>
      </c>
      <c r="L239" s="644"/>
      <c r="M239" s="644"/>
      <c r="N239" s="645">
        <v>55</v>
      </c>
      <c r="O239" s="645">
        <v>66</v>
      </c>
      <c r="P239" s="645">
        <v>11</v>
      </c>
      <c r="Q239" s="646">
        <v>0</v>
      </c>
      <c r="R239" s="645">
        <v>8</v>
      </c>
      <c r="S239" s="645">
        <v>35</v>
      </c>
      <c r="T239" s="643">
        <v>3.8</v>
      </c>
      <c r="U239" s="647">
        <v>14</v>
      </c>
      <c r="V239" s="643">
        <v>4.5999999999999996</v>
      </c>
      <c r="W239" s="648">
        <v>79</v>
      </c>
      <c r="X239" s="649">
        <v>18</v>
      </c>
      <c r="Y239" s="650">
        <v>2026</v>
      </c>
      <c r="Z239" s="651">
        <v>4</v>
      </c>
      <c r="AA239" s="649" t="str">
        <f>+Tabla_query___2026_06_23T082334.128[[#This Row],[AÑO]]&amp;" - "&amp;Tabla_query___2026_06_23T082334.128[[#This Row],[MES]]</f>
        <v>2026 - 4</v>
      </c>
      <c r="AB239" s="6">
        <f t="shared" si="9"/>
        <v>75</v>
      </c>
      <c r="AC239" s="6">
        <f t="shared" si="10"/>
        <v>8000</v>
      </c>
      <c r="AD239" s="6">
        <f t="shared" si="11"/>
        <v>350</v>
      </c>
    </row>
    <row r="240" spans="2:30">
      <c r="B240" s="673">
        <v>46141</v>
      </c>
      <c r="C240" s="642">
        <v>67324</v>
      </c>
      <c r="D240" s="642">
        <v>68630</v>
      </c>
      <c r="E240" s="642">
        <v>16011</v>
      </c>
      <c r="F240" s="642">
        <v>937.38800000000003</v>
      </c>
      <c r="G240" s="642">
        <v>9481</v>
      </c>
      <c r="H240" s="642">
        <v>240887</v>
      </c>
      <c r="I240" s="643">
        <v>5287.8</v>
      </c>
      <c r="J240" s="643">
        <v>1783.9</v>
      </c>
      <c r="K240" s="643">
        <v>5481.5</v>
      </c>
      <c r="L240" s="644"/>
      <c r="M240" s="644"/>
      <c r="N240" s="645">
        <v>7</v>
      </c>
      <c r="O240" s="645">
        <v>3</v>
      </c>
      <c r="P240" s="645">
        <v>10</v>
      </c>
      <c r="Q240" s="646">
        <v>0.45</v>
      </c>
      <c r="R240" s="645">
        <v>12</v>
      </c>
      <c r="S240" s="645">
        <v>24</v>
      </c>
      <c r="T240" s="643">
        <v>4.8</v>
      </c>
      <c r="U240" s="647">
        <v>17.100000000000001</v>
      </c>
      <c r="V240" s="643">
        <v>5.4</v>
      </c>
      <c r="W240" s="648">
        <v>76</v>
      </c>
      <c r="X240" s="649">
        <v>18</v>
      </c>
      <c r="Y240" s="650">
        <v>2026</v>
      </c>
      <c r="Z240" s="651">
        <v>4</v>
      </c>
      <c r="AA240" s="649" t="str">
        <f>+Tabla_query___2026_06_23T082334.128[[#This Row],[AÑO]]&amp;" - "&amp;Tabla_query___2026_06_23T082334.128[[#This Row],[MES]]</f>
        <v>2026 - 4</v>
      </c>
      <c r="AB240" s="6">
        <f t="shared" si="9"/>
        <v>75</v>
      </c>
      <c r="AC240" s="6">
        <f t="shared" si="10"/>
        <v>8000</v>
      </c>
      <c r="AD240" s="6">
        <f t="shared" si="11"/>
        <v>350</v>
      </c>
    </row>
    <row r="241" spans="2:30">
      <c r="B241" s="673">
        <v>46142</v>
      </c>
      <c r="C241" s="642">
        <v>67384</v>
      </c>
      <c r="D241" s="642">
        <v>68692</v>
      </c>
      <c r="E241" s="642">
        <v>16023</v>
      </c>
      <c r="F241" s="642">
        <v>937.79200000000003</v>
      </c>
      <c r="G241" s="642">
        <v>9489</v>
      </c>
      <c r="H241" s="642">
        <v>240948</v>
      </c>
      <c r="I241" s="643">
        <v>5292.2</v>
      </c>
      <c r="J241" s="643">
        <v>1799</v>
      </c>
      <c r="K241" s="643">
        <v>5486.6</v>
      </c>
      <c r="L241" s="644"/>
      <c r="M241" s="644"/>
      <c r="N241" s="645">
        <v>60</v>
      </c>
      <c r="O241" s="645">
        <v>62</v>
      </c>
      <c r="P241" s="645">
        <v>12</v>
      </c>
      <c r="Q241" s="646">
        <v>0.40400000000000003</v>
      </c>
      <c r="R241" s="645">
        <v>8</v>
      </c>
      <c r="S241" s="645">
        <v>61</v>
      </c>
      <c r="T241" s="643">
        <v>4.4000000000000004</v>
      </c>
      <c r="U241" s="647">
        <v>15.1</v>
      </c>
      <c r="V241" s="643">
        <v>5.0999999999999996</v>
      </c>
      <c r="W241" s="648">
        <v>73</v>
      </c>
      <c r="X241" s="649">
        <v>18</v>
      </c>
      <c r="Y241" s="650">
        <v>2026</v>
      </c>
      <c r="Z241" s="651">
        <v>4</v>
      </c>
      <c r="AA241" s="649" t="str">
        <f>+Tabla_query___2026_06_23T082334.128[[#This Row],[AÑO]]&amp;" - "&amp;Tabla_query___2026_06_23T082334.128[[#This Row],[MES]]</f>
        <v>2026 - 4</v>
      </c>
      <c r="AB241" s="6">
        <f t="shared" si="9"/>
        <v>75</v>
      </c>
      <c r="AC241" s="6">
        <f t="shared" si="10"/>
        <v>8000</v>
      </c>
      <c r="AD241" s="6">
        <f t="shared" si="11"/>
        <v>350</v>
      </c>
    </row>
    <row r="242" spans="2:30">
      <c r="B242" s="673">
        <v>46146</v>
      </c>
      <c r="C242" s="642">
        <v>67520</v>
      </c>
      <c r="D242" s="642">
        <v>68828</v>
      </c>
      <c r="E242" s="642">
        <v>16048</v>
      </c>
      <c r="F242" s="642">
        <v>939.35799999999995</v>
      </c>
      <c r="G242" s="642">
        <v>9500</v>
      </c>
      <c r="H242" s="642">
        <v>241083</v>
      </c>
      <c r="I242" s="643">
        <v>5298.9</v>
      </c>
      <c r="J242" s="643">
        <v>1831.4</v>
      </c>
      <c r="K242" s="643">
        <v>5494.8</v>
      </c>
      <c r="L242" s="644"/>
      <c r="M242" s="644"/>
      <c r="N242" s="645">
        <v>136</v>
      </c>
      <c r="O242" s="645">
        <v>136</v>
      </c>
      <c r="P242" s="645">
        <v>25</v>
      </c>
      <c r="Q242" s="646">
        <v>1.5660000000000001</v>
      </c>
      <c r="R242" s="645">
        <v>11</v>
      </c>
      <c r="S242" s="645">
        <v>135</v>
      </c>
      <c r="T242" s="643">
        <v>6.7</v>
      </c>
      <c r="U242" s="647">
        <v>32.4</v>
      </c>
      <c r="V242" s="643">
        <v>8.1999999999999993</v>
      </c>
      <c r="W242" s="648">
        <v>70</v>
      </c>
      <c r="X242" s="649">
        <v>19</v>
      </c>
      <c r="Y242" s="650">
        <v>2026</v>
      </c>
      <c r="Z242" s="651">
        <v>5</v>
      </c>
      <c r="AA242" s="649" t="str">
        <f>+Tabla_query___2026_06_23T082334.128[[#This Row],[AÑO]]&amp;" - "&amp;Tabla_query___2026_06_23T082334.128[[#This Row],[MES]]</f>
        <v>2026 - 5</v>
      </c>
      <c r="AB242" s="6">
        <f t="shared" si="9"/>
        <v>75</v>
      </c>
      <c r="AC242" s="6">
        <f t="shared" si="10"/>
        <v>8000</v>
      </c>
      <c r="AD242" s="6">
        <f t="shared" si="11"/>
        <v>350</v>
      </c>
    </row>
    <row r="243" spans="2:30">
      <c r="B243" s="673">
        <v>46147</v>
      </c>
      <c r="C243" s="642">
        <v>67595</v>
      </c>
      <c r="D243" s="642">
        <v>68905</v>
      </c>
      <c r="E243" s="642">
        <v>16060</v>
      </c>
      <c r="F243" s="642">
        <v>940.22699999999998</v>
      </c>
      <c r="G243" s="642">
        <v>9512</v>
      </c>
      <c r="H243" s="642">
        <v>241158</v>
      </c>
      <c r="I243" s="643">
        <v>5302.1</v>
      </c>
      <c r="J243" s="643">
        <v>1843</v>
      </c>
      <c r="K243" s="643">
        <v>5499.2</v>
      </c>
      <c r="L243" s="644"/>
      <c r="M243" s="644"/>
      <c r="N243" s="645">
        <v>75</v>
      </c>
      <c r="O243" s="645">
        <v>77</v>
      </c>
      <c r="P243" s="645">
        <v>12</v>
      </c>
      <c r="Q243" s="646">
        <v>0.86899999999999999</v>
      </c>
      <c r="R243" s="645">
        <v>12</v>
      </c>
      <c r="S243" s="645">
        <v>75</v>
      </c>
      <c r="T243" s="643">
        <v>3.2</v>
      </c>
      <c r="U243" s="647">
        <v>11.6</v>
      </c>
      <c r="V243" s="643">
        <v>4.4000000000000004</v>
      </c>
      <c r="W243" s="648">
        <v>66</v>
      </c>
      <c r="X243" s="649">
        <v>19</v>
      </c>
      <c r="Y243" s="650">
        <v>2026</v>
      </c>
      <c r="Z243" s="651">
        <v>5</v>
      </c>
      <c r="AA243" s="649" t="str">
        <f>+Tabla_query___2026_06_23T082334.128[[#This Row],[AÑO]]&amp;" - "&amp;Tabla_query___2026_06_23T082334.128[[#This Row],[MES]]</f>
        <v>2026 - 5</v>
      </c>
      <c r="AB243" s="6">
        <f t="shared" si="9"/>
        <v>75</v>
      </c>
      <c r="AC243" s="6">
        <f t="shared" si="10"/>
        <v>8000</v>
      </c>
      <c r="AD243" s="6">
        <f t="shared" si="11"/>
        <v>350</v>
      </c>
    </row>
    <row r="244" spans="2:30">
      <c r="B244" s="673">
        <v>46148</v>
      </c>
      <c r="C244" s="642">
        <v>67687</v>
      </c>
      <c r="D244" s="642">
        <v>68996</v>
      </c>
      <c r="E244" s="642">
        <v>16071</v>
      </c>
      <c r="F244" s="642">
        <v>940.55899999999997</v>
      </c>
      <c r="G244" s="642">
        <v>9524</v>
      </c>
      <c r="H244" s="642">
        <v>241248</v>
      </c>
      <c r="I244" s="643">
        <v>5306.3</v>
      </c>
      <c r="J244" s="643">
        <v>1858.7</v>
      </c>
      <c r="K244" s="643">
        <v>5504.7</v>
      </c>
      <c r="L244" s="644"/>
      <c r="M244" s="644"/>
      <c r="N244" s="645">
        <v>92</v>
      </c>
      <c r="O244" s="645">
        <v>91</v>
      </c>
      <c r="P244" s="645">
        <v>11</v>
      </c>
      <c r="Q244" s="646">
        <v>0.33200000000000002</v>
      </c>
      <c r="R244" s="645">
        <v>12</v>
      </c>
      <c r="S244" s="645">
        <v>90</v>
      </c>
      <c r="T244" s="643">
        <v>4.2</v>
      </c>
      <c r="U244" s="647">
        <v>15.7</v>
      </c>
      <c r="V244" s="643">
        <v>5.5</v>
      </c>
      <c r="W244" s="648">
        <v>62</v>
      </c>
      <c r="X244" s="649">
        <v>19</v>
      </c>
      <c r="Y244" s="650">
        <v>2026</v>
      </c>
      <c r="Z244" s="651">
        <v>5</v>
      </c>
      <c r="AA244" s="649" t="str">
        <f>+Tabla_query___2026_06_23T082334.128[[#This Row],[AÑO]]&amp;" - "&amp;Tabla_query___2026_06_23T082334.128[[#This Row],[MES]]</f>
        <v>2026 - 5</v>
      </c>
      <c r="AB244" s="6">
        <f t="shared" si="9"/>
        <v>75</v>
      </c>
      <c r="AC244" s="6">
        <f t="shared" si="10"/>
        <v>8000</v>
      </c>
      <c r="AD244" s="6">
        <f t="shared" si="11"/>
        <v>350</v>
      </c>
    </row>
    <row r="245" spans="2:30">
      <c r="B245" s="673">
        <v>46149</v>
      </c>
      <c r="C245" s="642">
        <v>67772</v>
      </c>
      <c r="D245" s="642">
        <v>69085</v>
      </c>
      <c r="E245" s="642">
        <v>16087</v>
      </c>
      <c r="F245" s="642">
        <v>940.84900000000005</v>
      </c>
      <c r="G245" s="642">
        <v>9533</v>
      </c>
      <c r="H245" s="642">
        <v>241334</v>
      </c>
      <c r="I245" s="643">
        <v>5310.5</v>
      </c>
      <c r="J245" s="643">
        <v>1874.9</v>
      </c>
      <c r="K245" s="643">
        <v>5510.4</v>
      </c>
      <c r="L245" s="644"/>
      <c r="M245" s="644"/>
      <c r="N245" s="645">
        <v>85</v>
      </c>
      <c r="O245" s="645">
        <v>89</v>
      </c>
      <c r="P245" s="645">
        <v>16</v>
      </c>
      <c r="Q245" s="646">
        <v>0.28999999999999998</v>
      </c>
      <c r="R245" s="645">
        <v>9</v>
      </c>
      <c r="S245" s="645">
        <v>86</v>
      </c>
      <c r="T245" s="643">
        <v>4.2</v>
      </c>
      <c r="U245" s="647">
        <v>16.2</v>
      </c>
      <c r="V245" s="643">
        <v>5.7</v>
      </c>
      <c r="W245" s="648">
        <v>60</v>
      </c>
      <c r="X245" s="649">
        <v>19</v>
      </c>
      <c r="Y245" s="650">
        <v>2026</v>
      </c>
      <c r="Z245" s="651">
        <v>5</v>
      </c>
      <c r="AA245" s="649" t="str">
        <f>+Tabla_query___2026_06_23T082334.128[[#This Row],[AÑO]]&amp;" - "&amp;Tabla_query___2026_06_23T082334.128[[#This Row],[MES]]</f>
        <v>2026 - 5</v>
      </c>
      <c r="AB245" s="6">
        <f t="shared" si="9"/>
        <v>75</v>
      </c>
      <c r="AC245" s="6">
        <f t="shared" si="10"/>
        <v>8000</v>
      </c>
      <c r="AD245" s="6">
        <f t="shared" si="11"/>
        <v>350</v>
      </c>
    </row>
    <row r="246" spans="2:30">
      <c r="B246" s="673">
        <v>46150</v>
      </c>
      <c r="C246" s="642">
        <v>67853</v>
      </c>
      <c r="D246" s="642">
        <v>69167</v>
      </c>
      <c r="E246" s="642">
        <v>16100</v>
      </c>
      <c r="F246" s="642">
        <v>941.25099999999998</v>
      </c>
      <c r="G246" s="642">
        <v>9541</v>
      </c>
      <c r="H246" s="642">
        <v>241414</v>
      </c>
      <c r="I246" s="643">
        <v>5314.8</v>
      </c>
      <c r="J246" s="643">
        <v>1890.9</v>
      </c>
      <c r="K246" s="643">
        <v>5516</v>
      </c>
      <c r="L246" s="644"/>
      <c r="M246" s="644"/>
      <c r="N246" s="645">
        <v>81</v>
      </c>
      <c r="O246" s="645">
        <v>82</v>
      </c>
      <c r="P246" s="645">
        <v>13</v>
      </c>
      <c r="Q246" s="646">
        <v>0.40200000000000002</v>
      </c>
      <c r="R246" s="645">
        <v>8</v>
      </c>
      <c r="S246" s="645">
        <v>80</v>
      </c>
      <c r="T246" s="643">
        <v>4.3</v>
      </c>
      <c r="U246" s="647">
        <v>16</v>
      </c>
      <c r="V246" s="643">
        <v>5.6</v>
      </c>
      <c r="W246" s="648">
        <v>57</v>
      </c>
      <c r="X246" s="649">
        <v>19</v>
      </c>
      <c r="Y246" s="650">
        <v>2026</v>
      </c>
      <c r="Z246" s="651">
        <v>5</v>
      </c>
      <c r="AA246" s="649" t="str">
        <f>+Tabla_query___2026_06_23T082334.128[[#This Row],[AÑO]]&amp;" - "&amp;Tabla_query___2026_06_23T082334.128[[#This Row],[MES]]</f>
        <v>2026 - 5</v>
      </c>
      <c r="AB246" s="6">
        <f t="shared" si="9"/>
        <v>75</v>
      </c>
      <c r="AC246" s="6">
        <f t="shared" si="10"/>
        <v>8000</v>
      </c>
      <c r="AD246" s="6">
        <f t="shared" si="11"/>
        <v>350</v>
      </c>
    </row>
    <row r="247" spans="2:30">
      <c r="B247" s="673">
        <v>46151</v>
      </c>
      <c r="C247" s="642">
        <v>67916</v>
      </c>
      <c r="D247" s="642">
        <v>69232</v>
      </c>
      <c r="E247" s="642">
        <v>16111</v>
      </c>
      <c r="F247" s="642">
        <v>942.09199999999998</v>
      </c>
      <c r="G247" s="642">
        <v>9554</v>
      </c>
      <c r="H247" s="642">
        <v>241477</v>
      </c>
      <c r="I247" s="643">
        <v>5319</v>
      </c>
      <c r="J247" s="643">
        <v>1905.3</v>
      </c>
      <c r="K247" s="643">
        <v>5520.1</v>
      </c>
      <c r="L247" s="644"/>
      <c r="M247" s="644"/>
      <c r="N247" s="645">
        <v>63</v>
      </c>
      <c r="O247" s="645">
        <v>65</v>
      </c>
      <c r="P247" s="645">
        <v>11</v>
      </c>
      <c r="Q247" s="646">
        <v>0.84099999999999997</v>
      </c>
      <c r="R247" s="645">
        <v>13</v>
      </c>
      <c r="S247" s="645">
        <v>63</v>
      </c>
      <c r="T247" s="643">
        <v>4.2</v>
      </c>
      <c r="U247" s="647">
        <v>14.4</v>
      </c>
      <c r="V247" s="643">
        <v>4.0999999999999996</v>
      </c>
      <c r="W247" s="648">
        <v>56</v>
      </c>
      <c r="X247" s="649">
        <v>19</v>
      </c>
      <c r="Y247" s="650">
        <v>2026</v>
      </c>
      <c r="Z247" s="651">
        <v>5</v>
      </c>
      <c r="AA247" s="649" t="str">
        <f>+Tabla_query___2026_06_23T082334.128[[#This Row],[AÑO]]&amp;" - "&amp;Tabla_query___2026_06_23T082334.128[[#This Row],[MES]]</f>
        <v>2026 - 5</v>
      </c>
      <c r="AB247" s="6">
        <f t="shared" si="9"/>
        <v>75</v>
      </c>
      <c r="AC247" s="6">
        <f t="shared" si="10"/>
        <v>8000</v>
      </c>
      <c r="AD247" s="6">
        <f t="shared" si="11"/>
        <v>350</v>
      </c>
    </row>
    <row r="248" spans="2:30">
      <c r="B248" s="673">
        <v>46153</v>
      </c>
      <c r="C248" s="642">
        <v>67989</v>
      </c>
      <c r="D248" s="642">
        <v>69305</v>
      </c>
      <c r="E248" s="642">
        <v>16123</v>
      </c>
      <c r="F248" s="642">
        <v>943.29</v>
      </c>
      <c r="G248" s="642">
        <v>9560</v>
      </c>
      <c r="H248" s="642">
        <v>241550</v>
      </c>
      <c r="I248" s="643">
        <v>5321.6</v>
      </c>
      <c r="J248" s="643">
        <v>1921.1</v>
      </c>
      <c r="K248" s="643">
        <v>5523.8</v>
      </c>
      <c r="L248" s="644"/>
      <c r="M248" s="644"/>
      <c r="N248" s="645">
        <v>73</v>
      </c>
      <c r="O248" s="645">
        <v>73</v>
      </c>
      <c r="P248" s="645">
        <v>12</v>
      </c>
      <c r="Q248" s="646">
        <v>1.198</v>
      </c>
      <c r="R248" s="645">
        <v>6</v>
      </c>
      <c r="S248" s="645">
        <v>73</v>
      </c>
      <c r="T248" s="643">
        <v>2.6</v>
      </c>
      <c r="U248" s="647">
        <v>15.8</v>
      </c>
      <c r="V248" s="643">
        <v>3.7</v>
      </c>
      <c r="W248" s="648">
        <v>55</v>
      </c>
      <c r="X248" s="649">
        <v>20</v>
      </c>
      <c r="Y248" s="650">
        <v>2026</v>
      </c>
      <c r="Z248" s="651">
        <v>5</v>
      </c>
      <c r="AA248" s="649" t="str">
        <f>+Tabla_query___2026_06_23T082334.128[[#This Row],[AÑO]]&amp;" - "&amp;Tabla_query___2026_06_23T082334.128[[#This Row],[MES]]</f>
        <v>2026 - 5</v>
      </c>
      <c r="AB248" s="6">
        <f t="shared" si="9"/>
        <v>75</v>
      </c>
      <c r="AC248" s="6">
        <f t="shared" si="10"/>
        <v>8000</v>
      </c>
      <c r="AD248" s="6">
        <f t="shared" si="11"/>
        <v>350</v>
      </c>
    </row>
    <row r="249" spans="2:30">
      <c r="B249" s="673">
        <v>46154</v>
      </c>
      <c r="C249" s="642">
        <v>68059</v>
      </c>
      <c r="D249" s="642">
        <v>69377</v>
      </c>
      <c r="E249" s="642">
        <v>16134</v>
      </c>
      <c r="F249" s="642">
        <v>943.65599999999995</v>
      </c>
      <c r="G249" s="642">
        <v>9570</v>
      </c>
      <c r="H249" s="642">
        <v>241621</v>
      </c>
      <c r="I249" s="643">
        <v>5324.8</v>
      </c>
      <c r="J249" s="643">
        <v>1933.5</v>
      </c>
      <c r="K249" s="643">
        <v>5528.4</v>
      </c>
      <c r="L249" s="644"/>
      <c r="M249" s="644"/>
      <c r="N249" s="645">
        <v>70</v>
      </c>
      <c r="O249" s="645">
        <v>72</v>
      </c>
      <c r="P249" s="645">
        <v>11</v>
      </c>
      <c r="Q249" s="646">
        <v>0.36599999999999999</v>
      </c>
      <c r="R249" s="645">
        <v>10</v>
      </c>
      <c r="S249" s="645">
        <v>71</v>
      </c>
      <c r="T249" s="643">
        <v>3.2</v>
      </c>
      <c r="U249" s="647">
        <v>12.4</v>
      </c>
      <c r="V249" s="643">
        <v>4.5999999999999996</v>
      </c>
      <c r="W249" s="648">
        <v>55</v>
      </c>
      <c r="X249" s="649">
        <v>20</v>
      </c>
      <c r="Y249" s="650">
        <v>2026</v>
      </c>
      <c r="Z249" s="651">
        <v>5</v>
      </c>
      <c r="AA249" s="649" t="str">
        <f>+Tabla_query___2026_06_23T082334.128[[#This Row],[AÑO]]&amp;" - "&amp;Tabla_query___2026_06_23T082334.128[[#This Row],[MES]]</f>
        <v>2026 - 5</v>
      </c>
      <c r="AB249" s="6">
        <f t="shared" si="9"/>
        <v>75</v>
      </c>
      <c r="AC249" s="6">
        <f t="shared" si="10"/>
        <v>8000</v>
      </c>
      <c r="AD249" s="6">
        <f t="shared" si="11"/>
        <v>350</v>
      </c>
    </row>
    <row r="250" spans="2:30">
      <c r="B250" s="673">
        <v>46155</v>
      </c>
      <c r="C250" s="642">
        <v>68145</v>
      </c>
      <c r="D250" s="642">
        <v>69465</v>
      </c>
      <c r="E250" s="642">
        <v>16146</v>
      </c>
      <c r="F250" s="642">
        <v>943.93600000000004</v>
      </c>
      <c r="G250" s="642">
        <v>9577</v>
      </c>
      <c r="H250" s="642">
        <v>241709</v>
      </c>
      <c r="I250" s="643">
        <v>5329</v>
      </c>
      <c r="J250" s="643">
        <v>1949.2</v>
      </c>
      <c r="K250" s="643">
        <v>5533.9</v>
      </c>
      <c r="L250" s="644"/>
      <c r="M250" s="644"/>
      <c r="N250" s="645">
        <v>86</v>
      </c>
      <c r="O250" s="645">
        <v>88</v>
      </c>
      <c r="P250" s="645">
        <v>12</v>
      </c>
      <c r="Q250" s="646">
        <v>0.28000000000000003</v>
      </c>
      <c r="R250" s="645">
        <v>7</v>
      </c>
      <c r="S250" s="645">
        <v>88</v>
      </c>
      <c r="T250" s="643">
        <v>4.2</v>
      </c>
      <c r="U250" s="647">
        <v>15.7</v>
      </c>
      <c r="V250" s="643">
        <v>5.5</v>
      </c>
      <c r="W250" s="648">
        <v>53</v>
      </c>
      <c r="X250" s="649">
        <v>20</v>
      </c>
      <c r="Y250" s="650">
        <v>2026</v>
      </c>
      <c r="Z250" s="651">
        <v>5</v>
      </c>
      <c r="AA250" s="649" t="str">
        <f>+Tabla_query___2026_06_23T082334.128[[#This Row],[AÑO]]&amp;" - "&amp;Tabla_query___2026_06_23T082334.128[[#This Row],[MES]]</f>
        <v>2026 - 5</v>
      </c>
      <c r="AB250" s="6">
        <f t="shared" si="9"/>
        <v>75</v>
      </c>
      <c r="AC250" s="6">
        <f t="shared" si="10"/>
        <v>8000</v>
      </c>
      <c r="AD250" s="6">
        <f t="shared" si="11"/>
        <v>350</v>
      </c>
    </row>
    <row r="251" spans="2:30">
      <c r="B251" s="673">
        <v>46156</v>
      </c>
      <c r="C251" s="642">
        <v>68231</v>
      </c>
      <c r="D251" s="642">
        <v>69552</v>
      </c>
      <c r="E251" s="642">
        <v>16172</v>
      </c>
      <c r="F251" s="642">
        <v>944.303</v>
      </c>
      <c r="G251" s="642">
        <v>9582</v>
      </c>
      <c r="H251" s="642">
        <v>241792</v>
      </c>
      <c r="I251" s="643">
        <v>5333.1</v>
      </c>
      <c r="J251" s="643">
        <v>1964.2</v>
      </c>
      <c r="K251" s="643">
        <v>5539.2</v>
      </c>
      <c r="L251" s="644"/>
      <c r="M251" s="644"/>
      <c r="N251" s="645">
        <v>86</v>
      </c>
      <c r="O251" s="645">
        <v>87</v>
      </c>
      <c r="P251" s="645">
        <v>26</v>
      </c>
      <c r="Q251" s="646">
        <v>0.36699999999999999</v>
      </c>
      <c r="R251" s="645">
        <v>5</v>
      </c>
      <c r="S251" s="645">
        <v>83</v>
      </c>
      <c r="T251" s="643">
        <v>4.0999999999999996</v>
      </c>
      <c r="U251" s="647">
        <v>15</v>
      </c>
      <c r="V251" s="643">
        <v>5.3</v>
      </c>
      <c r="W251" s="648">
        <v>51</v>
      </c>
      <c r="X251" s="649">
        <v>20</v>
      </c>
      <c r="Y251" s="650">
        <v>2026</v>
      </c>
      <c r="Z251" s="651">
        <v>5</v>
      </c>
      <c r="AA251" s="649" t="str">
        <f>+Tabla_query___2026_06_23T082334.128[[#This Row],[AÑO]]&amp;" - "&amp;Tabla_query___2026_06_23T082334.128[[#This Row],[MES]]</f>
        <v>2026 - 5</v>
      </c>
      <c r="AB251" s="6">
        <f t="shared" si="9"/>
        <v>75</v>
      </c>
      <c r="AC251" s="6">
        <f t="shared" si="10"/>
        <v>8000</v>
      </c>
      <c r="AD251" s="6">
        <f t="shared" si="11"/>
        <v>350</v>
      </c>
    </row>
    <row r="252" spans="2:30">
      <c r="B252" s="673">
        <v>46157</v>
      </c>
      <c r="C252" s="642">
        <v>68302</v>
      </c>
      <c r="D252" s="642">
        <v>69624</v>
      </c>
      <c r="E252" s="642">
        <v>16186</v>
      </c>
      <c r="F252" s="642">
        <v>944.69200000000001</v>
      </c>
      <c r="G252" s="642">
        <v>9587</v>
      </c>
      <c r="H252" s="642">
        <v>241862</v>
      </c>
      <c r="I252" s="643">
        <v>5336.6</v>
      </c>
      <c r="J252" s="643">
        <v>1979.1</v>
      </c>
      <c r="K252" s="643">
        <v>5544.3</v>
      </c>
      <c r="L252" s="644"/>
      <c r="M252" s="644"/>
      <c r="N252" s="645">
        <v>71</v>
      </c>
      <c r="O252" s="645">
        <v>72</v>
      </c>
      <c r="P252" s="645">
        <v>14</v>
      </c>
      <c r="Q252" s="646">
        <v>0.38900000000000001</v>
      </c>
      <c r="R252" s="645">
        <v>5</v>
      </c>
      <c r="S252" s="645">
        <v>70</v>
      </c>
      <c r="T252" s="643">
        <v>3.5</v>
      </c>
      <c r="U252" s="647">
        <v>14.9</v>
      </c>
      <c r="V252" s="643">
        <v>5.0999999999999996</v>
      </c>
      <c r="W252" s="648">
        <v>52</v>
      </c>
      <c r="X252" s="649">
        <v>20</v>
      </c>
      <c r="Y252" s="650">
        <v>2026</v>
      </c>
      <c r="Z252" s="651">
        <v>5</v>
      </c>
      <c r="AA252" s="649" t="str">
        <f>+Tabla_query___2026_06_23T082334.128[[#This Row],[AÑO]]&amp;" - "&amp;Tabla_query___2026_06_23T082334.128[[#This Row],[MES]]</f>
        <v>2026 - 5</v>
      </c>
      <c r="AB252" s="6">
        <f t="shared" si="9"/>
        <v>75</v>
      </c>
      <c r="AC252" s="6">
        <f t="shared" si="10"/>
        <v>8000</v>
      </c>
      <c r="AD252" s="6">
        <f t="shared" si="11"/>
        <v>350</v>
      </c>
    </row>
    <row r="253" spans="2:30">
      <c r="B253" s="673">
        <v>46158</v>
      </c>
      <c r="C253" s="642">
        <v>68351</v>
      </c>
      <c r="D253" s="642">
        <v>69674</v>
      </c>
      <c r="E253" s="642">
        <v>16198</v>
      </c>
      <c r="F253" s="642">
        <v>944.88800000000003</v>
      </c>
      <c r="G253" s="642">
        <v>9598</v>
      </c>
      <c r="H253" s="642">
        <v>241911</v>
      </c>
      <c r="I253" s="643">
        <v>5340.7</v>
      </c>
      <c r="J253" s="643">
        <v>1994.5</v>
      </c>
      <c r="K253" s="643">
        <v>5549.4</v>
      </c>
      <c r="L253" s="644"/>
      <c r="M253" s="644"/>
      <c r="N253" s="645">
        <v>49</v>
      </c>
      <c r="O253" s="645">
        <v>50</v>
      </c>
      <c r="P253" s="645">
        <v>12</v>
      </c>
      <c r="Q253" s="646">
        <v>0.19600000000000001</v>
      </c>
      <c r="R253" s="645">
        <v>11</v>
      </c>
      <c r="S253" s="645">
        <v>49</v>
      </c>
      <c r="T253" s="643">
        <v>4.0999999999999996</v>
      </c>
      <c r="U253" s="647">
        <v>15.4</v>
      </c>
      <c r="V253" s="643">
        <v>5.0999999999999996</v>
      </c>
      <c r="W253" s="648">
        <v>53</v>
      </c>
      <c r="X253" s="649">
        <v>20</v>
      </c>
      <c r="Y253" s="650">
        <v>2026</v>
      </c>
      <c r="Z253" s="651">
        <v>5</v>
      </c>
      <c r="AA253" s="649" t="str">
        <f>+Tabla_query___2026_06_23T082334.128[[#This Row],[AÑO]]&amp;" - "&amp;Tabla_query___2026_06_23T082334.128[[#This Row],[MES]]</f>
        <v>2026 - 5</v>
      </c>
      <c r="AB253" s="6">
        <f t="shared" si="9"/>
        <v>75</v>
      </c>
      <c r="AC253" s="6">
        <f t="shared" si="10"/>
        <v>8000</v>
      </c>
      <c r="AD253" s="6">
        <f t="shared" si="11"/>
        <v>350</v>
      </c>
    </row>
    <row r="254" spans="2:30">
      <c r="B254" s="673">
        <v>46160</v>
      </c>
      <c r="C254" s="642">
        <v>68442</v>
      </c>
      <c r="D254" s="642">
        <v>69765</v>
      </c>
      <c r="E254" s="642">
        <v>16211</v>
      </c>
      <c r="F254" s="642">
        <v>945.99199999999996</v>
      </c>
      <c r="G254" s="642">
        <v>9604</v>
      </c>
      <c r="H254" s="642">
        <v>242002</v>
      </c>
      <c r="I254" s="643">
        <v>5343.7</v>
      </c>
      <c r="J254" s="643">
        <v>2010.6</v>
      </c>
      <c r="K254" s="643">
        <v>5553.1</v>
      </c>
      <c r="L254" s="644">
        <v>3001</v>
      </c>
      <c r="M254" s="644">
        <v>125</v>
      </c>
      <c r="N254" s="645">
        <v>91</v>
      </c>
      <c r="O254" s="645">
        <v>91</v>
      </c>
      <c r="P254" s="645">
        <v>13</v>
      </c>
      <c r="Q254" s="646">
        <v>1.1040000000000001</v>
      </c>
      <c r="R254" s="645">
        <v>6</v>
      </c>
      <c r="S254" s="645">
        <v>91</v>
      </c>
      <c r="T254" s="643">
        <v>3</v>
      </c>
      <c r="U254" s="647">
        <v>16.100000000000001</v>
      </c>
      <c r="V254" s="643">
        <v>3.7</v>
      </c>
      <c r="W254" s="648">
        <v>52</v>
      </c>
      <c r="X254" s="649">
        <v>21</v>
      </c>
      <c r="Y254" s="650">
        <v>2026</v>
      </c>
      <c r="Z254" s="651">
        <v>5</v>
      </c>
      <c r="AA254" s="649" t="str">
        <f>+Tabla_query___2026_06_23T082334.128[[#This Row],[AÑO]]&amp;" - "&amp;Tabla_query___2026_06_23T082334.128[[#This Row],[MES]]</f>
        <v>2026 - 5</v>
      </c>
      <c r="AB254" s="6">
        <f t="shared" si="9"/>
        <v>75</v>
      </c>
      <c r="AC254" s="6">
        <f t="shared" si="10"/>
        <v>8000</v>
      </c>
      <c r="AD254" s="6">
        <f t="shared" si="11"/>
        <v>350</v>
      </c>
    </row>
    <row r="255" spans="2:30">
      <c r="B255" s="673">
        <v>46161</v>
      </c>
      <c r="C255" s="642">
        <v>68517</v>
      </c>
      <c r="D255" s="642">
        <v>69841</v>
      </c>
      <c r="E255" s="642">
        <v>16223</v>
      </c>
      <c r="F255" s="642">
        <v>946.08699999999999</v>
      </c>
      <c r="G255" s="642">
        <v>9613</v>
      </c>
      <c r="H255" s="642">
        <v>242077</v>
      </c>
      <c r="I255" s="643">
        <v>5347.3</v>
      </c>
      <c r="J255" s="643">
        <v>2022.5</v>
      </c>
      <c r="K255" s="643">
        <v>5556.7</v>
      </c>
      <c r="L255" s="644">
        <v>5179</v>
      </c>
      <c r="M255" s="644">
        <v>216</v>
      </c>
      <c r="N255" s="645">
        <v>75</v>
      </c>
      <c r="O255" s="645">
        <v>76</v>
      </c>
      <c r="P255" s="645">
        <v>12</v>
      </c>
      <c r="Q255" s="646">
        <v>9.5000000000000001E-2</v>
      </c>
      <c r="R255" s="645">
        <v>9</v>
      </c>
      <c r="S255" s="645">
        <v>75</v>
      </c>
      <c r="T255" s="643">
        <v>3.6</v>
      </c>
      <c r="U255" s="647">
        <v>11.9</v>
      </c>
      <c r="V255" s="643">
        <v>3.6</v>
      </c>
      <c r="W255" s="648">
        <v>52</v>
      </c>
      <c r="X255" s="649">
        <v>21</v>
      </c>
      <c r="Y255" s="650">
        <v>2026</v>
      </c>
      <c r="Z255" s="651">
        <v>5</v>
      </c>
      <c r="AA255" s="649" t="str">
        <f>+Tabla_query___2026_06_23T082334.128[[#This Row],[AÑO]]&amp;" - "&amp;Tabla_query___2026_06_23T082334.128[[#This Row],[MES]]</f>
        <v>2026 - 5</v>
      </c>
      <c r="AB255" s="6">
        <f t="shared" si="9"/>
        <v>75</v>
      </c>
      <c r="AC255" s="6">
        <f t="shared" si="10"/>
        <v>8000</v>
      </c>
      <c r="AD255" s="6">
        <f t="shared" si="11"/>
        <v>350</v>
      </c>
    </row>
    <row r="256" spans="2:30">
      <c r="B256" s="673">
        <v>46162</v>
      </c>
      <c r="C256" s="642">
        <v>68614</v>
      </c>
      <c r="D256" s="642">
        <v>69940</v>
      </c>
      <c r="E256" s="642">
        <v>16239</v>
      </c>
      <c r="F256" s="642">
        <v>946.23299999999995</v>
      </c>
      <c r="G256" s="642">
        <v>9620</v>
      </c>
      <c r="H256" s="642">
        <v>242173</v>
      </c>
      <c r="I256" s="643">
        <v>5351.7</v>
      </c>
      <c r="J256" s="643">
        <v>2040.2</v>
      </c>
      <c r="K256" s="643">
        <v>5561.9</v>
      </c>
      <c r="L256" s="644">
        <v>8072</v>
      </c>
      <c r="M256" s="644">
        <v>337</v>
      </c>
      <c r="N256" s="645">
        <v>97</v>
      </c>
      <c r="O256" s="645">
        <v>99</v>
      </c>
      <c r="P256" s="645">
        <v>16</v>
      </c>
      <c r="Q256" s="646">
        <v>0.14599999999999999</v>
      </c>
      <c r="R256" s="645">
        <v>7</v>
      </c>
      <c r="S256" s="645">
        <v>96</v>
      </c>
      <c r="T256" s="643">
        <v>4.4000000000000004</v>
      </c>
      <c r="U256" s="647">
        <v>17.7</v>
      </c>
      <c r="V256" s="643">
        <v>5.2</v>
      </c>
      <c r="W256" s="648">
        <v>52</v>
      </c>
      <c r="X256" s="649">
        <v>21</v>
      </c>
      <c r="Y256" s="650">
        <v>2026</v>
      </c>
      <c r="Z256" s="651">
        <v>5</v>
      </c>
      <c r="AA256" s="649" t="str">
        <f>+Tabla_query___2026_06_23T082334.128[[#This Row],[AÑO]]&amp;" - "&amp;Tabla_query___2026_06_23T082334.128[[#This Row],[MES]]</f>
        <v>2026 - 5</v>
      </c>
      <c r="AB256" s="6">
        <f t="shared" si="9"/>
        <v>75</v>
      </c>
      <c r="AC256" s="6">
        <f t="shared" si="10"/>
        <v>8000</v>
      </c>
      <c r="AD256" s="6">
        <f t="shared" si="11"/>
        <v>350</v>
      </c>
    </row>
    <row r="257" spans="2:30">
      <c r="B257" s="673">
        <v>46163</v>
      </c>
      <c r="C257" s="642">
        <v>68689</v>
      </c>
      <c r="D257" s="642">
        <v>70017</v>
      </c>
      <c r="E257" s="642">
        <v>16251</v>
      </c>
      <c r="F257" s="642">
        <v>946.76499999999999</v>
      </c>
      <c r="G257" s="642">
        <v>9629</v>
      </c>
      <c r="H257" s="642">
        <v>242248</v>
      </c>
      <c r="I257" s="643">
        <v>5355.6</v>
      </c>
      <c r="J257" s="643">
        <v>2055.6</v>
      </c>
      <c r="K257" s="643">
        <v>5566.4</v>
      </c>
      <c r="L257" s="644">
        <v>8263</v>
      </c>
      <c r="M257" s="644">
        <v>344</v>
      </c>
      <c r="N257" s="645">
        <v>75</v>
      </c>
      <c r="O257" s="645">
        <v>77</v>
      </c>
      <c r="P257" s="645">
        <v>12</v>
      </c>
      <c r="Q257" s="646">
        <v>0.53200000000000003</v>
      </c>
      <c r="R257" s="645">
        <v>9</v>
      </c>
      <c r="S257" s="645">
        <v>75</v>
      </c>
      <c r="T257" s="643">
        <v>3.9</v>
      </c>
      <c r="U257" s="647">
        <v>15.4</v>
      </c>
      <c r="V257" s="643">
        <v>4.5</v>
      </c>
      <c r="W257" s="648">
        <v>52</v>
      </c>
      <c r="X257" s="649">
        <v>21</v>
      </c>
      <c r="Y257" s="650">
        <v>2026</v>
      </c>
      <c r="Z257" s="651">
        <v>5</v>
      </c>
      <c r="AA257" s="649" t="str">
        <f>+Tabla_query___2026_06_23T082334.128[[#This Row],[AÑO]]&amp;" - "&amp;Tabla_query___2026_06_23T082334.128[[#This Row],[MES]]</f>
        <v>2026 - 5</v>
      </c>
      <c r="AB257" s="6">
        <f t="shared" si="9"/>
        <v>75</v>
      </c>
      <c r="AC257" s="6">
        <f t="shared" si="10"/>
        <v>8000</v>
      </c>
      <c r="AD257" s="6">
        <f t="shared" si="11"/>
        <v>350</v>
      </c>
    </row>
    <row r="258" spans="2:30">
      <c r="B258" s="673">
        <v>46164</v>
      </c>
      <c r="C258" s="642">
        <v>68776</v>
      </c>
      <c r="D258" s="642">
        <v>70104</v>
      </c>
      <c r="E258" s="642">
        <v>16270</v>
      </c>
      <c r="F258" s="642">
        <v>947.94200000000001</v>
      </c>
      <c r="G258" s="642">
        <v>9641</v>
      </c>
      <c r="H258" s="642">
        <v>242335</v>
      </c>
      <c r="I258" s="643">
        <v>5359.1</v>
      </c>
      <c r="J258" s="643">
        <v>2070.1</v>
      </c>
      <c r="K258" s="643">
        <v>5570.7</v>
      </c>
      <c r="L258" s="644">
        <v>7063</v>
      </c>
      <c r="M258" s="644">
        <v>294</v>
      </c>
      <c r="N258" s="645">
        <v>87</v>
      </c>
      <c r="O258" s="645">
        <v>87</v>
      </c>
      <c r="P258" s="645">
        <v>19</v>
      </c>
      <c r="Q258" s="646">
        <v>1.177</v>
      </c>
      <c r="R258" s="645">
        <v>12</v>
      </c>
      <c r="S258" s="645">
        <v>87</v>
      </c>
      <c r="T258" s="643">
        <v>3.5</v>
      </c>
      <c r="U258" s="647">
        <v>14.5</v>
      </c>
      <c r="V258" s="643">
        <v>4.3</v>
      </c>
      <c r="W258" s="648">
        <v>52</v>
      </c>
      <c r="X258" s="649">
        <v>21</v>
      </c>
      <c r="Y258" s="650">
        <v>2026</v>
      </c>
      <c r="Z258" s="651">
        <v>5</v>
      </c>
      <c r="AA258" s="649" t="str">
        <f>+Tabla_query___2026_06_23T082334.128[[#This Row],[AÑO]]&amp;" - "&amp;Tabla_query___2026_06_23T082334.128[[#This Row],[MES]]</f>
        <v>2026 - 5</v>
      </c>
      <c r="AB258" s="6">
        <f t="shared" si="9"/>
        <v>75</v>
      </c>
      <c r="AC258" s="6">
        <f t="shared" si="10"/>
        <v>8000</v>
      </c>
      <c r="AD258" s="6">
        <f t="shared" si="11"/>
        <v>350</v>
      </c>
    </row>
    <row r="259" spans="2:30">
      <c r="B259" s="673">
        <v>46165</v>
      </c>
      <c r="C259" s="642">
        <v>68850</v>
      </c>
      <c r="D259" s="642">
        <v>70180</v>
      </c>
      <c r="E259" s="642">
        <v>16283</v>
      </c>
      <c r="F259" s="642">
        <v>948.202</v>
      </c>
      <c r="G259" s="642">
        <v>9655</v>
      </c>
      <c r="H259" s="642">
        <v>242409</v>
      </c>
      <c r="I259" s="643">
        <v>5362.5</v>
      </c>
      <c r="J259" s="643">
        <v>2085.3000000000002</v>
      </c>
      <c r="K259" s="643">
        <v>5574.8</v>
      </c>
      <c r="L259" s="644">
        <v>7409</v>
      </c>
      <c r="M259" s="644">
        <v>309</v>
      </c>
      <c r="N259" s="645">
        <v>74</v>
      </c>
      <c r="O259" s="645">
        <v>76</v>
      </c>
      <c r="P259" s="645">
        <v>13</v>
      </c>
      <c r="Q259" s="646">
        <v>0.26</v>
      </c>
      <c r="R259" s="645">
        <v>14</v>
      </c>
      <c r="S259" s="645">
        <v>74</v>
      </c>
      <c r="T259" s="643">
        <v>3.4</v>
      </c>
      <c r="U259" s="647">
        <v>15.2</v>
      </c>
      <c r="V259" s="643">
        <v>4.0999999999999996</v>
      </c>
      <c r="W259" s="648">
        <v>52</v>
      </c>
      <c r="X259" s="649">
        <v>21</v>
      </c>
      <c r="Y259" s="650">
        <v>2026</v>
      </c>
      <c r="Z259" s="651">
        <v>5</v>
      </c>
      <c r="AA259" s="649" t="str">
        <f>+Tabla_query___2026_06_23T082334.128[[#This Row],[AÑO]]&amp;" - "&amp;Tabla_query___2026_06_23T082334.128[[#This Row],[MES]]</f>
        <v>2026 - 5</v>
      </c>
      <c r="AB259" s="6">
        <f t="shared" ref="AB259:AB291" si="12">+$AB$1</f>
        <v>75</v>
      </c>
      <c r="AC259" s="6">
        <f t="shared" ref="AC259:AC291" si="13">+$AC$1</f>
        <v>8000</v>
      </c>
      <c r="AD259" s="6">
        <f t="shared" ref="AD259:AD291" si="14">+$AD$1</f>
        <v>350</v>
      </c>
    </row>
    <row r="260" spans="2:30">
      <c r="B260" s="673">
        <v>46167</v>
      </c>
      <c r="C260" s="642">
        <v>68931</v>
      </c>
      <c r="D260" s="642">
        <v>70261</v>
      </c>
      <c r="E260" s="642">
        <v>16298</v>
      </c>
      <c r="F260" s="642">
        <v>949.005</v>
      </c>
      <c r="G260" s="642">
        <v>9662</v>
      </c>
      <c r="H260" s="642">
        <v>242490</v>
      </c>
      <c r="I260" s="643">
        <v>5365.4</v>
      </c>
      <c r="J260" s="643">
        <v>2102.3000000000002</v>
      </c>
      <c r="K260" s="643">
        <v>5578.6</v>
      </c>
      <c r="L260" s="644">
        <v>6722</v>
      </c>
      <c r="M260" s="644">
        <v>280</v>
      </c>
      <c r="N260" s="645">
        <v>81</v>
      </c>
      <c r="O260" s="645">
        <v>81</v>
      </c>
      <c r="P260" s="645">
        <v>15</v>
      </c>
      <c r="Q260" s="646">
        <v>0.80300000000000005</v>
      </c>
      <c r="R260" s="645">
        <v>7</v>
      </c>
      <c r="S260" s="645">
        <v>81</v>
      </c>
      <c r="T260" s="643">
        <v>2.9</v>
      </c>
      <c r="U260" s="647">
        <v>17</v>
      </c>
      <c r="V260" s="643">
        <v>3.8</v>
      </c>
      <c r="W260" s="648">
        <v>51</v>
      </c>
      <c r="X260" s="649">
        <v>22</v>
      </c>
      <c r="Y260" s="650">
        <v>2026</v>
      </c>
      <c r="Z260" s="651">
        <v>5</v>
      </c>
      <c r="AA260" s="649" t="str">
        <f>+Tabla_query___2026_06_23T082334.128[[#This Row],[AÑO]]&amp;" - "&amp;Tabla_query___2026_06_23T082334.128[[#This Row],[MES]]</f>
        <v>2026 - 5</v>
      </c>
      <c r="AB260" s="6">
        <f t="shared" si="12"/>
        <v>75</v>
      </c>
      <c r="AC260" s="6">
        <f t="shared" si="13"/>
        <v>8000</v>
      </c>
      <c r="AD260" s="6">
        <f t="shared" si="14"/>
        <v>350</v>
      </c>
    </row>
    <row r="261" spans="2:30">
      <c r="B261" s="673">
        <v>46168</v>
      </c>
      <c r="C261" s="642">
        <v>68986</v>
      </c>
      <c r="D261" s="642">
        <v>70317</v>
      </c>
      <c r="E261" s="642">
        <v>16314</v>
      </c>
      <c r="F261" s="642">
        <v>951.46900000000005</v>
      </c>
      <c r="G261" s="642">
        <v>9669</v>
      </c>
      <c r="H261" s="642">
        <v>242545</v>
      </c>
      <c r="I261" s="643">
        <v>5369</v>
      </c>
      <c r="J261" s="643">
        <v>2113.5</v>
      </c>
      <c r="K261" s="643">
        <v>5582.6</v>
      </c>
      <c r="L261" s="644">
        <v>4699</v>
      </c>
      <c r="M261" s="644">
        <v>196</v>
      </c>
      <c r="N261" s="645">
        <v>55</v>
      </c>
      <c r="O261" s="645">
        <v>56</v>
      </c>
      <c r="P261" s="645">
        <v>16</v>
      </c>
      <c r="Q261" s="646">
        <v>2.464</v>
      </c>
      <c r="R261" s="645">
        <v>7</v>
      </c>
      <c r="S261" s="645">
        <v>55</v>
      </c>
      <c r="T261" s="643">
        <v>3.6</v>
      </c>
      <c r="U261" s="647">
        <v>11.2</v>
      </c>
      <c r="V261" s="643">
        <v>4</v>
      </c>
      <c r="W261" s="648">
        <v>51</v>
      </c>
      <c r="X261" s="649">
        <v>22</v>
      </c>
      <c r="Y261" s="650">
        <v>2026</v>
      </c>
      <c r="Z261" s="651">
        <v>5</v>
      </c>
      <c r="AA261" s="649" t="str">
        <f>+Tabla_query___2026_06_23T082334.128[[#This Row],[AÑO]]&amp;" - "&amp;Tabla_query___2026_06_23T082334.128[[#This Row],[MES]]</f>
        <v>2026 - 5</v>
      </c>
      <c r="AB261" s="6">
        <f t="shared" si="12"/>
        <v>75</v>
      </c>
      <c r="AC261" s="6">
        <f t="shared" si="13"/>
        <v>8000</v>
      </c>
      <c r="AD261" s="6">
        <f t="shared" si="14"/>
        <v>350</v>
      </c>
    </row>
    <row r="262" spans="2:30">
      <c r="B262" s="673">
        <v>46169</v>
      </c>
      <c r="C262" s="642">
        <v>69066</v>
      </c>
      <c r="D262" s="642">
        <v>70398</v>
      </c>
      <c r="E262" s="642">
        <v>16328</v>
      </c>
      <c r="F262" s="642">
        <v>951.80399999999997</v>
      </c>
      <c r="G262" s="642">
        <v>9677</v>
      </c>
      <c r="H262" s="642">
        <v>242625</v>
      </c>
      <c r="I262" s="643">
        <v>5371.9</v>
      </c>
      <c r="J262" s="643">
        <v>2126.8000000000002</v>
      </c>
      <c r="K262" s="643">
        <v>5587</v>
      </c>
      <c r="L262" s="644">
        <v>6303</v>
      </c>
      <c r="M262" s="644">
        <v>263</v>
      </c>
      <c r="N262" s="645">
        <v>80</v>
      </c>
      <c r="O262" s="645">
        <v>81</v>
      </c>
      <c r="P262" s="645">
        <v>14</v>
      </c>
      <c r="Q262" s="646">
        <v>0.33500000000000002</v>
      </c>
      <c r="R262" s="645">
        <v>8</v>
      </c>
      <c r="S262" s="645">
        <v>80</v>
      </c>
      <c r="T262" s="643">
        <v>2.9</v>
      </c>
      <c r="U262" s="647">
        <v>13.3</v>
      </c>
      <c r="V262" s="643">
        <v>4.4000000000000004</v>
      </c>
      <c r="W262" s="648">
        <v>50</v>
      </c>
      <c r="X262" s="649">
        <v>22</v>
      </c>
      <c r="Y262" s="650">
        <v>2026</v>
      </c>
      <c r="Z262" s="651">
        <v>5</v>
      </c>
      <c r="AA262" s="649" t="str">
        <f>+Tabla_query___2026_06_23T082334.128[[#This Row],[AÑO]]&amp;" - "&amp;Tabla_query___2026_06_23T082334.128[[#This Row],[MES]]</f>
        <v>2026 - 5</v>
      </c>
      <c r="AB262" s="6">
        <f t="shared" si="12"/>
        <v>75</v>
      </c>
      <c r="AC262" s="6">
        <f t="shared" si="13"/>
        <v>8000</v>
      </c>
      <c r="AD262" s="6">
        <f t="shared" si="14"/>
        <v>350</v>
      </c>
    </row>
    <row r="263" spans="2:30">
      <c r="B263" s="673">
        <v>46170</v>
      </c>
      <c r="C263" s="642">
        <v>69134</v>
      </c>
      <c r="D263" s="642">
        <v>70468</v>
      </c>
      <c r="E263" s="642">
        <v>16341</v>
      </c>
      <c r="F263" s="642">
        <v>952.14200000000005</v>
      </c>
      <c r="G263" s="642">
        <v>9685</v>
      </c>
      <c r="H263" s="642">
        <v>242693</v>
      </c>
      <c r="I263" s="643">
        <v>5375.4</v>
      </c>
      <c r="J263" s="643">
        <v>2141.4</v>
      </c>
      <c r="K263" s="643">
        <v>5592.2</v>
      </c>
      <c r="L263" s="644">
        <v>7279</v>
      </c>
      <c r="M263" s="644">
        <v>303</v>
      </c>
      <c r="N263" s="645">
        <v>68</v>
      </c>
      <c r="O263" s="645">
        <v>70</v>
      </c>
      <c r="P263" s="645">
        <v>13</v>
      </c>
      <c r="Q263" s="646">
        <v>0.33800000000000002</v>
      </c>
      <c r="R263" s="645">
        <v>8</v>
      </c>
      <c r="S263" s="645">
        <v>68</v>
      </c>
      <c r="T263" s="643">
        <v>3.5</v>
      </c>
      <c r="U263" s="647">
        <v>14.6</v>
      </c>
      <c r="V263" s="643">
        <v>5.2</v>
      </c>
      <c r="W263" s="648">
        <v>50</v>
      </c>
      <c r="X263" s="649">
        <v>22</v>
      </c>
      <c r="Y263" s="650">
        <v>2026</v>
      </c>
      <c r="Z263" s="651">
        <v>5</v>
      </c>
      <c r="AA263" s="649" t="str">
        <f>+Tabla_query___2026_06_23T082334.128[[#This Row],[AÑO]]&amp;" - "&amp;Tabla_query___2026_06_23T082334.128[[#This Row],[MES]]</f>
        <v>2026 - 5</v>
      </c>
      <c r="AB263" s="6">
        <f t="shared" si="12"/>
        <v>75</v>
      </c>
      <c r="AC263" s="6">
        <f t="shared" si="13"/>
        <v>8000</v>
      </c>
      <c r="AD263" s="6">
        <f t="shared" si="14"/>
        <v>350</v>
      </c>
    </row>
    <row r="264" spans="2:30">
      <c r="B264" s="673">
        <v>46171</v>
      </c>
      <c r="C264" s="642">
        <v>69196</v>
      </c>
      <c r="D264" s="642">
        <v>70531</v>
      </c>
      <c r="E264" s="642">
        <v>16354</v>
      </c>
      <c r="F264" s="642">
        <v>952.53499999999997</v>
      </c>
      <c r="G264" s="642">
        <v>9695</v>
      </c>
      <c r="H264" s="642">
        <v>242755</v>
      </c>
      <c r="I264" s="643">
        <v>5379.3</v>
      </c>
      <c r="J264" s="643">
        <v>2155.5</v>
      </c>
      <c r="K264" s="643">
        <v>5597.1</v>
      </c>
      <c r="L264" s="644">
        <v>7584</v>
      </c>
      <c r="M264" s="644">
        <v>316</v>
      </c>
      <c r="N264" s="645">
        <v>62</v>
      </c>
      <c r="O264" s="645">
        <v>63</v>
      </c>
      <c r="P264" s="645">
        <v>13</v>
      </c>
      <c r="Q264" s="646">
        <v>0.39300000000000002</v>
      </c>
      <c r="R264" s="645">
        <v>10</v>
      </c>
      <c r="S264" s="645">
        <v>62</v>
      </c>
      <c r="T264" s="643">
        <v>3.9</v>
      </c>
      <c r="U264" s="647">
        <v>14.1</v>
      </c>
      <c r="V264" s="643">
        <v>4.9000000000000004</v>
      </c>
      <c r="W264" s="648">
        <v>50</v>
      </c>
      <c r="X264" s="649">
        <v>22</v>
      </c>
      <c r="Y264" s="650">
        <v>2026</v>
      </c>
      <c r="Z264" s="651">
        <v>5</v>
      </c>
      <c r="AA264" s="649" t="str">
        <f>+Tabla_query___2026_06_23T082334.128[[#This Row],[AÑO]]&amp;" - "&amp;Tabla_query___2026_06_23T082334.128[[#This Row],[MES]]</f>
        <v>2026 - 5</v>
      </c>
      <c r="AB264" s="6">
        <f t="shared" si="12"/>
        <v>75</v>
      </c>
      <c r="AC264" s="6">
        <f t="shared" si="13"/>
        <v>8000</v>
      </c>
      <c r="AD264" s="6">
        <f t="shared" si="14"/>
        <v>350</v>
      </c>
    </row>
    <row r="265" spans="2:30">
      <c r="B265" s="673">
        <v>46172</v>
      </c>
      <c r="C265" s="642">
        <v>69264</v>
      </c>
      <c r="D265" s="642">
        <v>70600</v>
      </c>
      <c r="E265" s="642">
        <v>16367</v>
      </c>
      <c r="F265" s="642">
        <v>952.90800000000002</v>
      </c>
      <c r="G265" s="642">
        <v>9708</v>
      </c>
      <c r="H265" s="642">
        <v>242824</v>
      </c>
      <c r="I265" s="643">
        <v>5382</v>
      </c>
      <c r="J265" s="643">
        <v>2166.4</v>
      </c>
      <c r="K265" s="643">
        <v>5601.1</v>
      </c>
      <c r="L265" s="644">
        <v>5635</v>
      </c>
      <c r="M265" s="644">
        <v>235</v>
      </c>
      <c r="N265" s="645">
        <v>68</v>
      </c>
      <c r="O265" s="645">
        <v>69</v>
      </c>
      <c r="P265" s="645">
        <v>13</v>
      </c>
      <c r="Q265" s="646">
        <v>0.373</v>
      </c>
      <c r="R265" s="645">
        <v>13</v>
      </c>
      <c r="S265" s="645">
        <v>69</v>
      </c>
      <c r="T265" s="643">
        <v>2.7</v>
      </c>
      <c r="U265" s="647">
        <v>10.9</v>
      </c>
      <c r="V265" s="643">
        <v>4</v>
      </c>
      <c r="W265" s="648">
        <v>50</v>
      </c>
      <c r="X265" s="649">
        <v>22</v>
      </c>
      <c r="Y265" s="650">
        <v>2026</v>
      </c>
      <c r="Z265" s="651">
        <v>5</v>
      </c>
      <c r="AA265" s="649" t="str">
        <f>+Tabla_query___2026_06_23T082334.128[[#This Row],[AÑO]]&amp;" - "&amp;Tabla_query___2026_06_23T082334.128[[#This Row],[MES]]</f>
        <v>2026 - 5</v>
      </c>
      <c r="AB265" s="6">
        <f t="shared" si="12"/>
        <v>75</v>
      </c>
      <c r="AC265" s="6">
        <f t="shared" si="13"/>
        <v>8000</v>
      </c>
      <c r="AD265" s="6">
        <f t="shared" si="14"/>
        <v>350</v>
      </c>
    </row>
    <row r="266" spans="2:30">
      <c r="B266" s="673">
        <v>46174</v>
      </c>
      <c r="C266" s="642">
        <v>69321</v>
      </c>
      <c r="D266" s="642">
        <v>70656</v>
      </c>
      <c r="E266" s="642">
        <v>16385</v>
      </c>
      <c r="F266" s="642">
        <v>953.40300000000002</v>
      </c>
      <c r="G266" s="642">
        <v>9713</v>
      </c>
      <c r="H266" s="642">
        <v>242879</v>
      </c>
      <c r="I266" s="643">
        <v>5385.5</v>
      </c>
      <c r="J266" s="643">
        <v>2183.3000000000002</v>
      </c>
      <c r="K266" s="643">
        <v>5604.5</v>
      </c>
      <c r="L266" s="644">
        <v>6552</v>
      </c>
      <c r="M266" s="644">
        <v>273</v>
      </c>
      <c r="N266" s="645">
        <v>57</v>
      </c>
      <c r="O266" s="645">
        <v>56</v>
      </c>
      <c r="P266" s="645">
        <v>18</v>
      </c>
      <c r="Q266" s="646">
        <v>0.495</v>
      </c>
      <c r="R266" s="645">
        <v>5</v>
      </c>
      <c r="S266" s="645">
        <v>55</v>
      </c>
      <c r="T266" s="643">
        <v>3.5</v>
      </c>
      <c r="U266" s="647">
        <v>16.899999999999999</v>
      </c>
      <c r="V266" s="643">
        <v>3.4</v>
      </c>
      <c r="W266" s="648">
        <v>51</v>
      </c>
      <c r="X266" s="649">
        <v>23</v>
      </c>
      <c r="Y266" s="650">
        <v>2026</v>
      </c>
      <c r="Z266" s="651">
        <v>6</v>
      </c>
      <c r="AA266" s="649" t="str">
        <f>+Tabla_query___2026_06_23T082334.128[[#This Row],[AÑO]]&amp;" - "&amp;Tabla_query___2026_06_23T082334.128[[#This Row],[MES]]</f>
        <v>2026 - 6</v>
      </c>
      <c r="AB266" s="6">
        <f t="shared" si="12"/>
        <v>75</v>
      </c>
      <c r="AC266" s="6">
        <f t="shared" si="13"/>
        <v>8000</v>
      </c>
      <c r="AD266" s="6">
        <f t="shared" si="14"/>
        <v>350</v>
      </c>
    </row>
    <row r="267" spans="2:30">
      <c r="B267" s="673">
        <v>46175</v>
      </c>
      <c r="C267" s="642">
        <v>69394</v>
      </c>
      <c r="D267" s="642">
        <v>70731</v>
      </c>
      <c r="E267" s="642">
        <v>16396</v>
      </c>
      <c r="F267" s="642">
        <v>953.67499999999995</v>
      </c>
      <c r="G267" s="642">
        <v>9721</v>
      </c>
      <c r="H267" s="642">
        <v>242953</v>
      </c>
      <c r="I267" s="643">
        <v>5390.2</v>
      </c>
      <c r="J267" s="643">
        <v>2199.6</v>
      </c>
      <c r="K267" s="643">
        <v>5609.5</v>
      </c>
      <c r="L267" s="644">
        <v>6393</v>
      </c>
      <c r="M267" s="644">
        <v>266</v>
      </c>
      <c r="N267" s="645">
        <v>73</v>
      </c>
      <c r="O267" s="645">
        <v>75</v>
      </c>
      <c r="P267" s="645">
        <v>11</v>
      </c>
      <c r="Q267" s="646">
        <v>0.27200000000000002</v>
      </c>
      <c r="R267" s="645">
        <v>8</v>
      </c>
      <c r="S267" s="645">
        <v>74</v>
      </c>
      <c r="T267" s="643">
        <v>4.7</v>
      </c>
      <c r="U267" s="647">
        <v>16.3</v>
      </c>
      <c r="V267" s="643">
        <v>5</v>
      </c>
      <c r="W267" s="648">
        <v>51</v>
      </c>
      <c r="X267" s="649">
        <v>23</v>
      </c>
      <c r="Y267" s="650">
        <v>2026</v>
      </c>
      <c r="Z267" s="651">
        <v>6</v>
      </c>
      <c r="AA267" s="649" t="str">
        <f>+Tabla_query___2026_06_23T082334.128[[#This Row],[AÑO]]&amp;" - "&amp;Tabla_query___2026_06_23T082334.128[[#This Row],[MES]]</f>
        <v>2026 - 6</v>
      </c>
      <c r="AB267" s="6">
        <f t="shared" si="12"/>
        <v>75</v>
      </c>
      <c r="AC267" s="6">
        <f t="shared" si="13"/>
        <v>8000</v>
      </c>
      <c r="AD267" s="6">
        <f t="shared" si="14"/>
        <v>350</v>
      </c>
    </row>
    <row r="268" spans="2:30">
      <c r="B268" s="673">
        <v>46176</v>
      </c>
      <c r="C268" s="642">
        <v>69484</v>
      </c>
      <c r="D268" s="642">
        <v>70822</v>
      </c>
      <c r="E268" s="642">
        <v>16408</v>
      </c>
      <c r="F268" s="642">
        <v>954.20899999999995</v>
      </c>
      <c r="G268" s="642">
        <v>9732</v>
      </c>
      <c r="H268" s="642">
        <v>243042</v>
      </c>
      <c r="I268" s="643">
        <v>5394</v>
      </c>
      <c r="J268" s="643">
        <v>2216</v>
      </c>
      <c r="K268" s="643">
        <v>5615.2</v>
      </c>
      <c r="L268" s="644">
        <v>8506</v>
      </c>
      <c r="M268" s="644">
        <v>354</v>
      </c>
      <c r="N268" s="645">
        <v>90</v>
      </c>
      <c r="O268" s="645">
        <v>91</v>
      </c>
      <c r="P268" s="645">
        <v>12</v>
      </c>
      <c r="Q268" s="646">
        <v>0.53400000000000003</v>
      </c>
      <c r="R268" s="645">
        <v>11</v>
      </c>
      <c r="S268" s="645">
        <v>89</v>
      </c>
      <c r="T268" s="643">
        <v>3.8</v>
      </c>
      <c r="U268" s="647">
        <v>16.399999999999999</v>
      </c>
      <c r="V268" s="643">
        <v>5.7</v>
      </c>
      <c r="W268" s="648">
        <v>51</v>
      </c>
      <c r="X268" s="649">
        <v>23</v>
      </c>
      <c r="Y268" s="650">
        <v>2026</v>
      </c>
      <c r="Z268" s="651">
        <v>6</v>
      </c>
      <c r="AA268" s="649" t="str">
        <f>+Tabla_query___2026_06_23T082334.128[[#This Row],[AÑO]]&amp;" - "&amp;Tabla_query___2026_06_23T082334.128[[#This Row],[MES]]</f>
        <v>2026 - 6</v>
      </c>
      <c r="AB268" s="6">
        <f t="shared" si="12"/>
        <v>75</v>
      </c>
      <c r="AC268" s="6">
        <f t="shared" si="13"/>
        <v>8000</v>
      </c>
      <c r="AD268" s="6">
        <f t="shared" si="14"/>
        <v>350</v>
      </c>
    </row>
    <row r="269" spans="2:30">
      <c r="B269" s="673">
        <v>46177</v>
      </c>
      <c r="C269" s="642">
        <v>69559</v>
      </c>
      <c r="D269" s="642">
        <v>70898</v>
      </c>
      <c r="E269" s="642">
        <v>16420</v>
      </c>
      <c r="F269" s="642">
        <v>954.60799999999995</v>
      </c>
      <c r="G269" s="642">
        <v>9740</v>
      </c>
      <c r="H269" s="642">
        <v>243118</v>
      </c>
      <c r="I269" s="643">
        <v>5398.2</v>
      </c>
      <c r="J269" s="643">
        <v>2232.6</v>
      </c>
      <c r="K269" s="643">
        <v>5621</v>
      </c>
      <c r="L269" s="644">
        <v>8395</v>
      </c>
      <c r="M269" s="644">
        <v>350</v>
      </c>
      <c r="N269" s="645">
        <v>75</v>
      </c>
      <c r="O269" s="645">
        <v>76</v>
      </c>
      <c r="P269" s="645">
        <v>12</v>
      </c>
      <c r="Q269" s="646">
        <v>0.39900000000000002</v>
      </c>
      <c r="R269" s="645">
        <v>8</v>
      </c>
      <c r="S269" s="645">
        <v>76</v>
      </c>
      <c r="T269" s="643">
        <v>4.2</v>
      </c>
      <c r="U269" s="647">
        <v>16.600000000000001</v>
      </c>
      <c r="V269" s="643">
        <v>5.8</v>
      </c>
      <c r="W269" s="648">
        <v>51</v>
      </c>
      <c r="X269" s="649">
        <v>23</v>
      </c>
      <c r="Y269" s="650">
        <v>2026</v>
      </c>
      <c r="Z269" s="651">
        <v>6</v>
      </c>
      <c r="AA269" s="649" t="str">
        <f>+Tabla_query___2026_06_23T082334.128[[#This Row],[AÑO]]&amp;" - "&amp;Tabla_query___2026_06_23T082334.128[[#This Row],[MES]]</f>
        <v>2026 - 6</v>
      </c>
      <c r="AB269" s="6">
        <f t="shared" si="12"/>
        <v>75</v>
      </c>
      <c r="AC269" s="6">
        <f t="shared" si="13"/>
        <v>8000</v>
      </c>
      <c r="AD269" s="6">
        <f t="shared" si="14"/>
        <v>350</v>
      </c>
    </row>
    <row r="270" spans="2:30">
      <c r="B270" s="673">
        <v>46178</v>
      </c>
      <c r="C270" s="642">
        <v>69640</v>
      </c>
      <c r="D270" s="642">
        <v>70981</v>
      </c>
      <c r="E270" s="642">
        <v>16436</v>
      </c>
      <c r="F270" s="642">
        <v>954.60799999999995</v>
      </c>
      <c r="G270" s="642">
        <v>9749</v>
      </c>
      <c r="H270" s="642">
        <v>243198</v>
      </c>
      <c r="I270" s="643">
        <v>5402.7</v>
      </c>
      <c r="J270" s="643">
        <v>2248.8000000000002</v>
      </c>
      <c r="K270" s="643">
        <v>5626.6</v>
      </c>
      <c r="L270" s="644">
        <v>8165</v>
      </c>
      <c r="M270" s="644">
        <v>340</v>
      </c>
      <c r="N270" s="645">
        <v>81</v>
      </c>
      <c r="O270" s="645">
        <v>83</v>
      </c>
      <c r="P270" s="645">
        <v>16</v>
      </c>
      <c r="Q270" s="646">
        <v>0</v>
      </c>
      <c r="R270" s="645">
        <v>9</v>
      </c>
      <c r="S270" s="645">
        <v>80</v>
      </c>
      <c r="T270" s="643">
        <v>4.5</v>
      </c>
      <c r="U270" s="647">
        <v>16.2</v>
      </c>
      <c r="V270" s="643">
        <v>5.6</v>
      </c>
      <c r="W270" s="648">
        <v>51</v>
      </c>
      <c r="X270" s="649">
        <v>23</v>
      </c>
      <c r="Y270" s="650">
        <v>2026</v>
      </c>
      <c r="Z270" s="651">
        <v>6</v>
      </c>
      <c r="AA270" s="649" t="str">
        <f>+Tabla_query___2026_06_23T082334.128[[#This Row],[AÑO]]&amp;" - "&amp;Tabla_query___2026_06_23T082334.128[[#This Row],[MES]]</f>
        <v>2026 - 6</v>
      </c>
      <c r="AB270" s="6">
        <f t="shared" si="12"/>
        <v>75</v>
      </c>
      <c r="AC270" s="6">
        <f t="shared" si="13"/>
        <v>8000</v>
      </c>
      <c r="AD270" s="6">
        <f t="shared" si="14"/>
        <v>350</v>
      </c>
    </row>
    <row r="271" spans="2:30">
      <c r="B271" s="673">
        <v>46179</v>
      </c>
      <c r="C271" s="642">
        <v>69690</v>
      </c>
      <c r="D271" s="642">
        <v>71032</v>
      </c>
      <c r="E271" s="642">
        <v>16452</v>
      </c>
      <c r="F271" s="642">
        <v>954.85199999999998</v>
      </c>
      <c r="G271" s="642">
        <v>9756</v>
      </c>
      <c r="H271" s="642">
        <v>243249</v>
      </c>
      <c r="I271" s="643">
        <v>5406.3</v>
      </c>
      <c r="J271" s="643">
        <v>2263.8000000000002</v>
      </c>
      <c r="K271" s="643">
        <v>5631.3</v>
      </c>
      <c r="L271" s="644">
        <v>7158</v>
      </c>
      <c r="M271" s="644">
        <v>298</v>
      </c>
      <c r="N271" s="645">
        <v>50</v>
      </c>
      <c r="O271" s="645">
        <v>51</v>
      </c>
      <c r="P271" s="645">
        <v>16</v>
      </c>
      <c r="Q271" s="646">
        <v>0.24399999999999999</v>
      </c>
      <c r="R271" s="645">
        <v>7</v>
      </c>
      <c r="S271" s="645">
        <v>51</v>
      </c>
      <c r="T271" s="643">
        <v>3.6</v>
      </c>
      <c r="U271" s="647">
        <v>15</v>
      </c>
      <c r="V271" s="643">
        <v>4.7</v>
      </c>
      <c r="W271" s="648">
        <v>51</v>
      </c>
      <c r="X271" s="649">
        <v>23</v>
      </c>
      <c r="Y271" s="650">
        <v>2026</v>
      </c>
      <c r="Z271" s="651">
        <v>6</v>
      </c>
      <c r="AA271" s="649" t="str">
        <f>+Tabla_query___2026_06_23T082334.128[[#This Row],[AÑO]]&amp;" - "&amp;Tabla_query___2026_06_23T082334.128[[#This Row],[MES]]</f>
        <v>2026 - 6</v>
      </c>
      <c r="AB271" s="6">
        <f t="shared" si="12"/>
        <v>75</v>
      </c>
      <c r="AC271" s="6">
        <f t="shared" si="13"/>
        <v>8000</v>
      </c>
      <c r="AD271" s="6">
        <f t="shared" si="14"/>
        <v>350</v>
      </c>
    </row>
    <row r="272" spans="2:30">
      <c r="B272" s="673">
        <v>46181</v>
      </c>
      <c r="C272" s="642">
        <v>69766</v>
      </c>
      <c r="D272" s="642">
        <v>71097</v>
      </c>
      <c r="E272" s="642">
        <v>16471</v>
      </c>
      <c r="F272" s="642">
        <v>954.92700000000002</v>
      </c>
      <c r="G272" s="642">
        <v>9762</v>
      </c>
      <c r="H272" s="642">
        <v>243327</v>
      </c>
      <c r="I272" s="643">
        <v>5410</v>
      </c>
      <c r="J272" s="643">
        <v>2282.3000000000002</v>
      </c>
      <c r="K272" s="643">
        <v>5635.7</v>
      </c>
      <c r="L272" s="644">
        <v>3073</v>
      </c>
      <c r="M272" s="644">
        <v>128</v>
      </c>
      <c r="N272" s="645">
        <v>76</v>
      </c>
      <c r="O272" s="645">
        <v>65</v>
      </c>
      <c r="P272" s="645">
        <v>19</v>
      </c>
      <c r="Q272" s="646">
        <v>7.4999999999999997E-2</v>
      </c>
      <c r="R272" s="645">
        <v>6</v>
      </c>
      <c r="S272" s="645">
        <v>78</v>
      </c>
      <c r="T272" s="643">
        <v>3.7</v>
      </c>
      <c r="U272" s="647">
        <v>18.5</v>
      </c>
      <c r="V272" s="643">
        <v>4.4000000000000004</v>
      </c>
      <c r="W272" s="648">
        <v>50</v>
      </c>
      <c r="X272" s="649">
        <v>24</v>
      </c>
      <c r="Y272" s="650">
        <v>2026</v>
      </c>
      <c r="Z272" s="651">
        <v>6</v>
      </c>
      <c r="AA272" s="649" t="str">
        <f>+Tabla_query___2026_06_23T082334.128[[#This Row],[AÑO]]&amp;" - "&amp;Tabla_query___2026_06_23T082334.128[[#This Row],[MES]]</f>
        <v>2026 - 6</v>
      </c>
      <c r="AB272" s="6">
        <f t="shared" si="12"/>
        <v>75</v>
      </c>
      <c r="AC272" s="6">
        <f t="shared" si="13"/>
        <v>8000</v>
      </c>
      <c r="AD272" s="6">
        <f t="shared" si="14"/>
        <v>350</v>
      </c>
    </row>
    <row r="273" spans="2:30">
      <c r="B273" s="673">
        <v>46182</v>
      </c>
      <c r="C273" s="642">
        <v>69838</v>
      </c>
      <c r="D273" s="642">
        <v>71172</v>
      </c>
      <c r="E273" s="642">
        <v>16481</v>
      </c>
      <c r="F273" s="642">
        <v>955.30399999999997</v>
      </c>
      <c r="G273" s="642">
        <v>9773</v>
      </c>
      <c r="H273" s="642">
        <v>243399</v>
      </c>
      <c r="I273" s="643">
        <v>5414.1</v>
      </c>
      <c r="J273" s="643">
        <v>2298.5</v>
      </c>
      <c r="K273" s="643">
        <v>5640.7</v>
      </c>
      <c r="L273" s="644">
        <v>5961</v>
      </c>
      <c r="M273" s="644">
        <v>248</v>
      </c>
      <c r="N273" s="645">
        <v>72</v>
      </c>
      <c r="O273" s="645">
        <v>75</v>
      </c>
      <c r="P273" s="645">
        <v>10</v>
      </c>
      <c r="Q273" s="646">
        <v>0.377</v>
      </c>
      <c r="R273" s="645">
        <v>11</v>
      </c>
      <c r="S273" s="645">
        <v>72</v>
      </c>
      <c r="T273" s="643">
        <v>4.0999999999999996</v>
      </c>
      <c r="U273" s="647">
        <v>16.2</v>
      </c>
      <c r="V273" s="643">
        <v>5</v>
      </c>
      <c r="W273" s="648">
        <v>50</v>
      </c>
      <c r="X273" s="649">
        <v>24</v>
      </c>
      <c r="Y273" s="650">
        <v>2026</v>
      </c>
      <c r="Z273" s="651">
        <v>6</v>
      </c>
      <c r="AA273" s="649" t="str">
        <f>+Tabla_query___2026_06_23T082334.128[[#This Row],[AÑO]]&amp;" - "&amp;Tabla_query___2026_06_23T082334.128[[#This Row],[MES]]</f>
        <v>2026 - 6</v>
      </c>
      <c r="AB273" s="6">
        <f t="shared" si="12"/>
        <v>75</v>
      </c>
      <c r="AC273" s="6">
        <f t="shared" si="13"/>
        <v>8000</v>
      </c>
      <c r="AD273" s="6">
        <f t="shared" si="14"/>
        <v>350</v>
      </c>
    </row>
    <row r="274" spans="2:30">
      <c r="B274" s="673">
        <v>46183</v>
      </c>
      <c r="C274" s="642">
        <v>69908</v>
      </c>
      <c r="D274" s="642">
        <v>71244</v>
      </c>
      <c r="E274" s="642">
        <v>16492</v>
      </c>
      <c r="F274" s="642">
        <v>956.18399999999997</v>
      </c>
      <c r="G274" s="642">
        <v>9781</v>
      </c>
      <c r="H274" s="642">
        <v>243469</v>
      </c>
      <c r="I274" s="643">
        <v>5417.7</v>
      </c>
      <c r="J274" s="643">
        <v>2314.6</v>
      </c>
      <c r="K274" s="643">
        <v>5645.5</v>
      </c>
      <c r="L274" s="644">
        <v>8503</v>
      </c>
      <c r="M274" s="644">
        <v>354</v>
      </c>
      <c r="N274" s="645">
        <v>70</v>
      </c>
      <c r="O274" s="645">
        <v>72</v>
      </c>
      <c r="P274" s="645">
        <v>11</v>
      </c>
      <c r="Q274" s="646">
        <v>0.88</v>
      </c>
      <c r="R274" s="645">
        <v>8</v>
      </c>
      <c r="S274" s="645">
        <v>70</v>
      </c>
      <c r="T274" s="643">
        <v>3.6</v>
      </c>
      <c r="U274" s="647">
        <v>16.100000000000001</v>
      </c>
      <c r="V274" s="643">
        <v>4.8</v>
      </c>
      <c r="W274" s="648">
        <v>50</v>
      </c>
      <c r="X274" s="649">
        <v>24</v>
      </c>
      <c r="Y274" s="650">
        <v>2026</v>
      </c>
      <c r="Z274" s="651">
        <v>6</v>
      </c>
      <c r="AA274" s="649" t="str">
        <f>+Tabla_query___2026_06_23T082334.128[[#This Row],[AÑO]]&amp;" - "&amp;Tabla_query___2026_06_23T082334.128[[#This Row],[MES]]</f>
        <v>2026 - 6</v>
      </c>
      <c r="AB274" s="6">
        <f t="shared" si="12"/>
        <v>75</v>
      </c>
      <c r="AC274" s="6">
        <f t="shared" si="13"/>
        <v>8000</v>
      </c>
      <c r="AD274" s="6">
        <f t="shared" si="14"/>
        <v>350</v>
      </c>
    </row>
    <row r="275" spans="2:30">
      <c r="B275" s="673">
        <v>46184</v>
      </c>
      <c r="C275" s="642">
        <v>69965</v>
      </c>
      <c r="D275" s="642">
        <v>71302</v>
      </c>
      <c r="E275" s="642">
        <v>16502</v>
      </c>
      <c r="F275" s="642">
        <v>956.52</v>
      </c>
      <c r="G275" s="642">
        <v>9793</v>
      </c>
      <c r="H275" s="642">
        <v>243526</v>
      </c>
      <c r="I275" s="643">
        <v>5421.7</v>
      </c>
      <c r="J275" s="643">
        <v>2331.8000000000002</v>
      </c>
      <c r="K275" s="643">
        <v>5650.7</v>
      </c>
      <c r="L275" s="644">
        <v>7951</v>
      </c>
      <c r="M275" s="644">
        <v>331</v>
      </c>
      <c r="N275" s="645">
        <v>57</v>
      </c>
      <c r="O275" s="645">
        <v>58</v>
      </c>
      <c r="P275" s="645">
        <v>10</v>
      </c>
      <c r="Q275" s="646">
        <v>0.33600000000000002</v>
      </c>
      <c r="R275" s="645">
        <v>12</v>
      </c>
      <c r="S275" s="645">
        <v>57</v>
      </c>
      <c r="T275" s="643">
        <v>4</v>
      </c>
      <c r="U275" s="647">
        <v>17.2</v>
      </c>
      <c r="V275" s="643">
        <v>5.2</v>
      </c>
      <c r="W275" s="648">
        <v>50</v>
      </c>
      <c r="X275" s="649">
        <v>24</v>
      </c>
      <c r="Y275" s="650">
        <v>2026</v>
      </c>
      <c r="Z275" s="651">
        <v>6</v>
      </c>
      <c r="AA275" s="649" t="str">
        <f>+Tabla_query___2026_06_23T082334.128[[#This Row],[AÑO]]&amp;" - "&amp;Tabla_query___2026_06_23T082334.128[[#This Row],[MES]]</f>
        <v>2026 - 6</v>
      </c>
      <c r="AB275" s="6">
        <f t="shared" si="12"/>
        <v>75</v>
      </c>
      <c r="AC275" s="6">
        <f t="shared" si="13"/>
        <v>8000</v>
      </c>
      <c r="AD275" s="6">
        <f t="shared" si="14"/>
        <v>350</v>
      </c>
    </row>
    <row r="276" spans="2:30">
      <c r="B276" s="673">
        <v>46185</v>
      </c>
      <c r="C276" s="642">
        <v>70027</v>
      </c>
      <c r="D276" s="642">
        <v>71366</v>
      </c>
      <c r="E276" s="642">
        <v>16512</v>
      </c>
      <c r="F276" s="642">
        <v>957.08399999999995</v>
      </c>
      <c r="G276" s="642">
        <v>9799</v>
      </c>
      <c r="H276" s="642">
        <v>243588</v>
      </c>
      <c r="I276" s="643">
        <v>5425.4</v>
      </c>
      <c r="J276" s="643">
        <v>2348.3000000000002</v>
      </c>
      <c r="K276" s="643">
        <v>5656.4</v>
      </c>
      <c r="L276" s="644">
        <v>8388</v>
      </c>
      <c r="M276" s="644">
        <v>350</v>
      </c>
      <c r="N276" s="645">
        <v>62</v>
      </c>
      <c r="O276" s="645">
        <v>64</v>
      </c>
      <c r="P276" s="645">
        <v>10</v>
      </c>
      <c r="Q276" s="646">
        <v>0.56399999999999995</v>
      </c>
      <c r="R276" s="645">
        <v>6</v>
      </c>
      <c r="S276" s="645">
        <v>62</v>
      </c>
      <c r="T276" s="643">
        <v>3.7</v>
      </c>
      <c r="U276" s="647">
        <v>16.5</v>
      </c>
      <c r="V276" s="643">
        <v>5.7</v>
      </c>
      <c r="W276" s="648">
        <v>50</v>
      </c>
      <c r="X276" s="649">
        <v>24</v>
      </c>
      <c r="Y276" s="650">
        <v>2026</v>
      </c>
      <c r="Z276" s="651">
        <v>6</v>
      </c>
      <c r="AA276" s="649" t="str">
        <f>+Tabla_query___2026_06_23T082334.128[[#This Row],[AÑO]]&amp;" - "&amp;Tabla_query___2026_06_23T082334.128[[#This Row],[MES]]</f>
        <v>2026 - 6</v>
      </c>
      <c r="AB276" s="6">
        <f t="shared" si="12"/>
        <v>75</v>
      </c>
      <c r="AC276" s="6">
        <f t="shared" si="13"/>
        <v>8000</v>
      </c>
      <c r="AD276" s="6">
        <f t="shared" si="14"/>
        <v>350</v>
      </c>
    </row>
    <row r="277" spans="2:30">
      <c r="B277" s="673">
        <v>46186</v>
      </c>
      <c r="C277" s="642">
        <v>70078</v>
      </c>
      <c r="D277" s="642">
        <v>71418</v>
      </c>
      <c r="E277" s="642">
        <v>16525</v>
      </c>
      <c r="F277" s="642">
        <v>957.45600000000002</v>
      </c>
      <c r="G277" s="642">
        <v>9805</v>
      </c>
      <c r="H277" s="642">
        <v>243640</v>
      </c>
      <c r="I277" s="643">
        <v>5429.2</v>
      </c>
      <c r="J277" s="643">
        <v>2363.1999999999998</v>
      </c>
      <c r="K277" s="643">
        <v>5661.4</v>
      </c>
      <c r="L277" s="644">
        <v>7963</v>
      </c>
      <c r="M277" s="644">
        <v>332</v>
      </c>
      <c r="N277" s="645">
        <v>51</v>
      </c>
      <c r="O277" s="645">
        <v>52</v>
      </c>
      <c r="P277" s="645">
        <v>13</v>
      </c>
      <c r="Q277" s="646">
        <v>0.372</v>
      </c>
      <c r="R277" s="645">
        <v>6</v>
      </c>
      <c r="S277" s="645">
        <v>52</v>
      </c>
      <c r="T277" s="643">
        <v>3.8</v>
      </c>
      <c r="U277" s="647">
        <v>14.9</v>
      </c>
      <c r="V277" s="643">
        <v>5</v>
      </c>
      <c r="W277" s="648">
        <v>49</v>
      </c>
      <c r="X277" s="649">
        <v>24</v>
      </c>
      <c r="Y277" s="650">
        <v>2026</v>
      </c>
      <c r="Z277" s="651">
        <v>6</v>
      </c>
      <c r="AA277" s="649" t="str">
        <f>+Tabla_query___2026_06_23T082334.128[[#This Row],[AÑO]]&amp;" - "&amp;Tabla_query___2026_06_23T082334.128[[#This Row],[MES]]</f>
        <v>2026 - 6</v>
      </c>
      <c r="AB277" s="6">
        <f t="shared" si="12"/>
        <v>75</v>
      </c>
      <c r="AC277" s="6">
        <f t="shared" si="13"/>
        <v>8000</v>
      </c>
      <c r="AD277" s="6">
        <f t="shared" si="14"/>
        <v>350</v>
      </c>
    </row>
    <row r="278" spans="2:30">
      <c r="B278" s="673">
        <v>46188</v>
      </c>
      <c r="C278" s="642">
        <v>70152</v>
      </c>
      <c r="D278" s="642">
        <v>71489</v>
      </c>
      <c r="E278" s="642">
        <v>16543</v>
      </c>
      <c r="F278" s="642">
        <v>960.33799999999997</v>
      </c>
      <c r="G278" s="642">
        <v>9808</v>
      </c>
      <c r="H278" s="642">
        <v>243711</v>
      </c>
      <c r="I278" s="643">
        <v>5432.5</v>
      </c>
      <c r="J278" s="643">
        <v>2381.3000000000002</v>
      </c>
      <c r="K278" s="643">
        <v>5665.1</v>
      </c>
      <c r="L278" s="644">
        <v>6767</v>
      </c>
      <c r="M278" s="644">
        <v>282</v>
      </c>
      <c r="N278" s="645">
        <v>74</v>
      </c>
      <c r="O278" s="645">
        <v>71</v>
      </c>
      <c r="P278" s="645">
        <v>18</v>
      </c>
      <c r="Q278" s="646">
        <v>2.8820000000000001</v>
      </c>
      <c r="R278" s="645">
        <v>3</v>
      </c>
      <c r="S278" s="645">
        <v>71</v>
      </c>
      <c r="T278" s="643">
        <v>3.3</v>
      </c>
      <c r="U278" s="647">
        <v>18.100000000000001</v>
      </c>
      <c r="V278" s="643">
        <v>3.7</v>
      </c>
      <c r="W278" s="648">
        <v>49</v>
      </c>
      <c r="X278" s="649">
        <v>25</v>
      </c>
      <c r="Y278" s="650">
        <v>2026</v>
      </c>
      <c r="Z278" s="651">
        <v>6</v>
      </c>
      <c r="AA278" s="649" t="str">
        <f>+Tabla_query___2026_06_23T082334.128[[#This Row],[AÑO]]&amp;" - "&amp;Tabla_query___2026_06_23T082334.128[[#This Row],[MES]]</f>
        <v>2026 - 6</v>
      </c>
      <c r="AB278" s="6">
        <f t="shared" si="12"/>
        <v>75</v>
      </c>
      <c r="AC278" s="6">
        <f t="shared" si="13"/>
        <v>8000</v>
      </c>
      <c r="AD278" s="6">
        <f t="shared" si="14"/>
        <v>350</v>
      </c>
    </row>
    <row r="279" spans="2:30">
      <c r="B279" s="673">
        <v>46189</v>
      </c>
      <c r="C279" s="642">
        <v>70226</v>
      </c>
      <c r="D279" s="642">
        <v>71566</v>
      </c>
      <c r="E279" s="642">
        <v>16559</v>
      </c>
      <c r="F279" s="642">
        <v>961.00400000000002</v>
      </c>
      <c r="G279" s="642">
        <v>9817</v>
      </c>
      <c r="H279" s="642">
        <v>243786</v>
      </c>
      <c r="I279" s="643">
        <v>5436.5</v>
      </c>
      <c r="J279" s="643">
        <v>2397</v>
      </c>
      <c r="K279" s="643">
        <v>5670.1</v>
      </c>
      <c r="L279" s="644">
        <v>6460</v>
      </c>
      <c r="M279" s="644">
        <v>269</v>
      </c>
      <c r="N279" s="645">
        <v>74</v>
      </c>
      <c r="O279" s="645">
        <v>77</v>
      </c>
      <c r="P279" s="645">
        <v>16</v>
      </c>
      <c r="Q279" s="646">
        <v>0.66600000000000004</v>
      </c>
      <c r="R279" s="645">
        <v>9</v>
      </c>
      <c r="S279" s="645">
        <v>75</v>
      </c>
      <c r="T279" s="643">
        <v>4</v>
      </c>
      <c r="U279" s="647">
        <v>15.7</v>
      </c>
      <c r="V279" s="643">
        <v>5</v>
      </c>
      <c r="W279" s="648">
        <v>49</v>
      </c>
      <c r="X279" s="649">
        <v>25</v>
      </c>
      <c r="Y279" s="650">
        <v>2026</v>
      </c>
      <c r="Z279" s="651">
        <v>6</v>
      </c>
      <c r="AA279" s="649" t="str">
        <f>+Tabla_query___2026_06_23T082334.128[[#This Row],[AÑO]]&amp;" - "&amp;Tabla_query___2026_06_23T082334.128[[#This Row],[MES]]</f>
        <v>2026 - 6</v>
      </c>
      <c r="AB279" s="6">
        <f t="shared" si="12"/>
        <v>75</v>
      </c>
      <c r="AC279" s="6">
        <f t="shared" si="13"/>
        <v>8000</v>
      </c>
      <c r="AD279" s="6">
        <f t="shared" si="14"/>
        <v>350</v>
      </c>
    </row>
    <row r="280" spans="2:30">
      <c r="B280" s="673">
        <v>46190</v>
      </c>
      <c r="C280" s="642">
        <v>70216</v>
      </c>
      <c r="D280" s="642">
        <v>71581</v>
      </c>
      <c r="E280" s="642">
        <v>16574</v>
      </c>
      <c r="F280" s="642">
        <v>961.62199999999996</v>
      </c>
      <c r="G280" s="642">
        <v>9829</v>
      </c>
      <c r="H280" s="642">
        <v>243788</v>
      </c>
      <c r="I280" s="643">
        <v>5441.5</v>
      </c>
      <c r="J280" s="643">
        <v>2415.1999999999998</v>
      </c>
      <c r="K280" s="643">
        <v>5676.3</v>
      </c>
      <c r="L280" s="644">
        <v>9092</v>
      </c>
      <c r="M280" s="644">
        <v>379</v>
      </c>
      <c r="N280" s="645">
        <v>60</v>
      </c>
      <c r="O280" s="645">
        <v>15</v>
      </c>
      <c r="P280" s="645">
        <v>15</v>
      </c>
      <c r="Q280" s="646">
        <v>0.61799999999999999</v>
      </c>
      <c r="R280" s="645">
        <v>12</v>
      </c>
      <c r="S280" s="645">
        <v>2</v>
      </c>
      <c r="T280" s="643">
        <v>5</v>
      </c>
      <c r="U280" s="647">
        <v>18.2</v>
      </c>
      <c r="V280" s="643">
        <v>6.2</v>
      </c>
      <c r="W280" s="648">
        <v>49</v>
      </c>
      <c r="X280" s="649">
        <v>25</v>
      </c>
      <c r="Y280" s="650">
        <v>2026</v>
      </c>
      <c r="Z280" s="651">
        <v>6</v>
      </c>
      <c r="AA280" s="649" t="str">
        <f>+Tabla_query___2026_06_23T082334.128[[#This Row],[AÑO]]&amp;" - "&amp;Tabla_query___2026_06_23T082334.128[[#This Row],[MES]]</f>
        <v>2026 - 6</v>
      </c>
      <c r="AB280" s="6">
        <f t="shared" si="12"/>
        <v>75</v>
      </c>
      <c r="AC280" s="6">
        <f t="shared" si="13"/>
        <v>8000</v>
      </c>
      <c r="AD280" s="6">
        <f t="shared" si="14"/>
        <v>350</v>
      </c>
    </row>
    <row r="281" spans="2:30">
      <c r="B281" s="673">
        <v>46191</v>
      </c>
      <c r="C281" s="642">
        <v>70300</v>
      </c>
      <c r="D281" s="642">
        <v>71668</v>
      </c>
      <c r="E281" s="642">
        <v>16590</v>
      </c>
      <c r="F281" s="642">
        <v>961.92200000000003</v>
      </c>
      <c r="G281" s="642">
        <v>9838</v>
      </c>
      <c r="H281" s="642">
        <v>243867</v>
      </c>
      <c r="I281" s="643">
        <v>5445.4</v>
      </c>
      <c r="J281" s="643">
        <v>2431.9</v>
      </c>
      <c r="K281" s="643">
        <v>5681.6</v>
      </c>
      <c r="L281" s="644">
        <v>8585</v>
      </c>
      <c r="M281" s="644">
        <v>358</v>
      </c>
      <c r="N281" s="645">
        <v>84</v>
      </c>
      <c r="O281" s="645">
        <v>87</v>
      </c>
      <c r="P281" s="645">
        <v>16</v>
      </c>
      <c r="Q281" s="646">
        <v>0.3</v>
      </c>
      <c r="R281" s="645">
        <v>9</v>
      </c>
      <c r="S281" s="645">
        <v>79</v>
      </c>
      <c r="T281" s="643">
        <v>3.9</v>
      </c>
      <c r="U281" s="647">
        <v>16.7</v>
      </c>
      <c r="V281" s="643">
        <v>5.3</v>
      </c>
      <c r="W281" s="648">
        <v>49</v>
      </c>
      <c r="X281" s="649">
        <v>25</v>
      </c>
      <c r="Y281" s="650">
        <v>2026</v>
      </c>
      <c r="Z281" s="651">
        <v>6</v>
      </c>
      <c r="AA281" s="649" t="str">
        <f>+Tabla_query___2026_06_23T082334.128[[#This Row],[AÑO]]&amp;" - "&amp;Tabla_query___2026_06_23T082334.128[[#This Row],[MES]]</f>
        <v>2026 - 6</v>
      </c>
      <c r="AB281" s="6">
        <f t="shared" si="12"/>
        <v>75</v>
      </c>
      <c r="AC281" s="6">
        <f t="shared" si="13"/>
        <v>8000</v>
      </c>
      <c r="AD281" s="6">
        <f t="shared" si="14"/>
        <v>350</v>
      </c>
    </row>
    <row r="282" spans="2:30">
      <c r="B282" s="673">
        <v>46192</v>
      </c>
      <c r="C282" s="642">
        <v>70379</v>
      </c>
      <c r="D282" s="642">
        <v>71749</v>
      </c>
      <c r="E282" s="642">
        <v>16607</v>
      </c>
      <c r="F282" s="642">
        <v>962.23400000000004</v>
      </c>
      <c r="G282" s="642">
        <v>9844</v>
      </c>
      <c r="H282" s="642">
        <v>243945</v>
      </c>
      <c r="I282" s="643">
        <v>5449.6</v>
      </c>
      <c r="J282" s="643">
        <v>2447.1999999999998</v>
      </c>
      <c r="K282" s="643">
        <v>5686.6</v>
      </c>
      <c r="L282" s="644">
        <v>7753</v>
      </c>
      <c r="M282" s="644">
        <v>323</v>
      </c>
      <c r="N282" s="645">
        <v>79</v>
      </c>
      <c r="O282" s="645">
        <v>81</v>
      </c>
      <c r="P282" s="645">
        <v>17</v>
      </c>
      <c r="Q282" s="646">
        <v>0.312</v>
      </c>
      <c r="R282" s="645">
        <v>6</v>
      </c>
      <c r="S282" s="645">
        <v>78</v>
      </c>
      <c r="T282" s="643">
        <v>4.2</v>
      </c>
      <c r="U282" s="647">
        <v>15.3</v>
      </c>
      <c r="V282" s="643">
        <v>5</v>
      </c>
      <c r="W282" s="648">
        <v>49</v>
      </c>
      <c r="X282" s="649">
        <v>25</v>
      </c>
      <c r="Y282" s="650">
        <v>2026</v>
      </c>
      <c r="Z282" s="651">
        <v>6</v>
      </c>
      <c r="AA282" s="649" t="str">
        <f>+Tabla_query___2026_06_23T082334.128[[#This Row],[AÑO]]&amp;" - "&amp;Tabla_query___2026_06_23T082334.128[[#This Row],[MES]]</f>
        <v>2026 - 6</v>
      </c>
      <c r="AB282" s="6">
        <f t="shared" si="12"/>
        <v>75</v>
      </c>
      <c r="AC282" s="6">
        <f t="shared" si="13"/>
        <v>8000</v>
      </c>
      <c r="AD282" s="6">
        <f t="shared" si="14"/>
        <v>350</v>
      </c>
    </row>
    <row r="283" spans="2:30">
      <c r="B283" s="673">
        <v>46193</v>
      </c>
      <c r="C283" s="642">
        <v>70453</v>
      </c>
      <c r="D283" s="642">
        <v>71825</v>
      </c>
      <c r="E283" s="642">
        <v>16625</v>
      </c>
      <c r="F283" s="642">
        <v>962.45100000000002</v>
      </c>
      <c r="G283" s="642">
        <v>9854</v>
      </c>
      <c r="H283" s="642">
        <v>244019</v>
      </c>
      <c r="I283" s="643">
        <v>5453</v>
      </c>
      <c r="J283" s="643">
        <v>2461.4</v>
      </c>
      <c r="K283" s="643">
        <v>5690.9</v>
      </c>
      <c r="L283" s="644">
        <v>6585</v>
      </c>
      <c r="M283" s="644">
        <v>274</v>
      </c>
      <c r="N283" s="645">
        <v>74</v>
      </c>
      <c r="O283" s="645">
        <v>76</v>
      </c>
      <c r="P283" s="645">
        <v>18</v>
      </c>
      <c r="Q283" s="646">
        <v>0.217</v>
      </c>
      <c r="R283" s="645">
        <v>10</v>
      </c>
      <c r="S283" s="645">
        <v>74</v>
      </c>
      <c r="T283" s="643">
        <v>3.4</v>
      </c>
      <c r="U283" s="647">
        <v>14.2</v>
      </c>
      <c r="V283" s="643">
        <v>4.3</v>
      </c>
      <c r="W283" s="648">
        <v>49</v>
      </c>
      <c r="X283" s="649">
        <v>25</v>
      </c>
      <c r="Y283" s="650">
        <v>2026</v>
      </c>
      <c r="Z283" s="651">
        <v>6</v>
      </c>
      <c r="AA283" s="649" t="str">
        <f>+Tabla_query___2026_06_23T082334.128[[#This Row],[AÑO]]&amp;" - "&amp;Tabla_query___2026_06_23T082334.128[[#This Row],[MES]]</f>
        <v>2026 - 6</v>
      </c>
      <c r="AB283" s="6">
        <f t="shared" si="12"/>
        <v>75</v>
      </c>
      <c r="AC283" s="6">
        <f t="shared" si="13"/>
        <v>8000</v>
      </c>
      <c r="AD283" s="6">
        <f t="shared" si="14"/>
        <v>350</v>
      </c>
    </row>
    <row r="284" spans="2:30">
      <c r="B284" s="673">
        <v>46195</v>
      </c>
      <c r="C284" s="642">
        <v>70536</v>
      </c>
      <c r="D284" s="642">
        <v>71906</v>
      </c>
      <c r="E284" s="642">
        <v>16650</v>
      </c>
      <c r="F284" s="642">
        <v>965.52200000000005</v>
      </c>
      <c r="G284" s="642">
        <v>9858</v>
      </c>
      <c r="H284" s="642">
        <v>244104</v>
      </c>
      <c r="I284" s="643">
        <v>5456.3</v>
      </c>
      <c r="J284" s="643">
        <v>2480.1</v>
      </c>
      <c r="K284" s="643">
        <v>5695.4</v>
      </c>
      <c r="L284" s="644">
        <v>2590</v>
      </c>
      <c r="M284" s="644">
        <v>108</v>
      </c>
      <c r="N284" s="645">
        <v>83</v>
      </c>
      <c r="O284" s="645">
        <v>81</v>
      </c>
      <c r="P284" s="645">
        <v>25</v>
      </c>
      <c r="Q284" s="646">
        <v>3.0710000000000002</v>
      </c>
      <c r="R284" s="645">
        <v>4</v>
      </c>
      <c r="S284" s="645">
        <v>85</v>
      </c>
      <c r="T284" s="643">
        <v>3.3</v>
      </c>
      <c r="U284" s="647">
        <v>18.7</v>
      </c>
      <c r="V284" s="643">
        <v>4.5</v>
      </c>
      <c r="W284" s="648">
        <v>49</v>
      </c>
      <c r="X284" s="649">
        <v>26</v>
      </c>
      <c r="Y284" s="650">
        <v>2026</v>
      </c>
      <c r="Z284" s="651">
        <v>6</v>
      </c>
      <c r="AA284" s="649" t="str">
        <f>+Tabla_query___2026_06_23T082334.128[[#This Row],[AÑO]]&amp;" - "&amp;Tabla_query___2026_06_23T082334.128[[#This Row],[MES]]</f>
        <v>2026 - 6</v>
      </c>
      <c r="AB284" s="6">
        <f t="shared" si="12"/>
        <v>75</v>
      </c>
      <c r="AC284" s="6">
        <f t="shared" si="13"/>
        <v>8000</v>
      </c>
      <c r="AD284" s="6">
        <f t="shared" si="14"/>
        <v>350</v>
      </c>
    </row>
    <row r="285" spans="2:30">
      <c r="B285" s="674">
        <v>46196</v>
      </c>
      <c r="C285" s="652">
        <v>70607</v>
      </c>
      <c r="D285" s="652">
        <v>71978</v>
      </c>
      <c r="E285" s="652">
        <v>16667</v>
      </c>
      <c r="F285" s="652">
        <v>965.52200000000005</v>
      </c>
      <c r="G285" s="652">
        <v>9872</v>
      </c>
      <c r="H285" s="652">
        <v>244174</v>
      </c>
      <c r="I285" s="653">
        <v>5459.8</v>
      </c>
      <c r="J285" s="653">
        <v>2494.3000000000002</v>
      </c>
      <c r="K285" s="653">
        <v>5699.4</v>
      </c>
      <c r="L285" s="654">
        <v>5338</v>
      </c>
      <c r="M285" s="654">
        <v>222</v>
      </c>
      <c r="N285" s="655">
        <v>71</v>
      </c>
      <c r="O285" s="655">
        <v>72</v>
      </c>
      <c r="P285" s="655">
        <v>17</v>
      </c>
      <c r="Q285" s="656">
        <v>0</v>
      </c>
      <c r="R285" s="655">
        <v>14</v>
      </c>
      <c r="S285" s="655">
        <v>70</v>
      </c>
      <c r="T285" s="653">
        <v>3.5</v>
      </c>
      <c r="U285" s="657">
        <v>14.2</v>
      </c>
      <c r="V285" s="653">
        <v>4</v>
      </c>
      <c r="W285" s="658">
        <v>49</v>
      </c>
      <c r="X285" s="659">
        <v>26</v>
      </c>
      <c r="Y285" s="660">
        <v>2026</v>
      </c>
      <c r="Z285" s="661">
        <v>6</v>
      </c>
      <c r="AA285" s="649" t="str">
        <f>+Tabla_query___2026_06_23T082334.128[[#This Row],[AÑO]]&amp;" - "&amp;Tabla_query___2026_06_23T082334.128[[#This Row],[MES]]</f>
        <v>2026 - 6</v>
      </c>
      <c r="AB285" s="6">
        <f t="shared" si="12"/>
        <v>75</v>
      </c>
      <c r="AC285" s="6">
        <f t="shared" si="13"/>
        <v>8000</v>
      </c>
      <c r="AD285" s="6">
        <f t="shared" si="14"/>
        <v>350</v>
      </c>
    </row>
    <row r="286" spans="2:30">
      <c r="B286" s="674">
        <v>46197</v>
      </c>
      <c r="C286" s="652">
        <v>70688</v>
      </c>
      <c r="D286" s="652">
        <v>72063</v>
      </c>
      <c r="E286" s="652">
        <v>16685</v>
      </c>
      <c r="F286" s="652">
        <v>965.95299999999997</v>
      </c>
      <c r="G286" s="652">
        <v>9884</v>
      </c>
      <c r="H286" s="652">
        <v>244256</v>
      </c>
      <c r="I286" s="653">
        <v>5463.1</v>
      </c>
      <c r="J286" s="653">
        <v>2509.9</v>
      </c>
      <c r="K286" s="653">
        <v>5704.4</v>
      </c>
      <c r="L286" s="654">
        <v>8122</v>
      </c>
      <c r="M286" s="654">
        <v>338</v>
      </c>
      <c r="N286" s="655">
        <v>81</v>
      </c>
      <c r="O286" s="655">
        <v>85</v>
      </c>
      <c r="P286" s="655">
        <v>18</v>
      </c>
      <c r="Q286" s="656">
        <v>0.43099999999999999</v>
      </c>
      <c r="R286" s="655">
        <v>12</v>
      </c>
      <c r="S286" s="655">
        <v>82</v>
      </c>
      <c r="T286" s="653">
        <v>3.3</v>
      </c>
      <c r="U286" s="657">
        <v>15.6</v>
      </c>
      <c r="V286" s="653">
        <v>5</v>
      </c>
      <c r="W286" s="658">
        <v>49</v>
      </c>
      <c r="X286" s="659">
        <v>26</v>
      </c>
      <c r="Y286" s="660">
        <v>2026</v>
      </c>
      <c r="Z286" s="661">
        <v>6</v>
      </c>
      <c r="AA286" s="659" t="str">
        <f>+Tabla_query___2026_06_23T082334.128[[#This Row],[AÑO]]&amp;" - "&amp;Tabla_query___2026_06_23T082334.128[[#This Row],[MES]]</f>
        <v>2026 - 6</v>
      </c>
      <c r="AB286" s="6">
        <f t="shared" si="12"/>
        <v>75</v>
      </c>
      <c r="AC286" s="6">
        <f t="shared" si="13"/>
        <v>8000</v>
      </c>
      <c r="AD286" s="6">
        <f t="shared" si="14"/>
        <v>350</v>
      </c>
    </row>
    <row r="287" spans="2:30">
      <c r="B287" s="674">
        <v>46198</v>
      </c>
      <c r="C287" s="652">
        <v>70739</v>
      </c>
      <c r="D287" s="652">
        <v>72113</v>
      </c>
      <c r="E287" s="652">
        <v>16704</v>
      </c>
      <c r="F287" s="652">
        <v>965.97299999999996</v>
      </c>
      <c r="G287" s="652">
        <v>9894</v>
      </c>
      <c r="H287" s="652">
        <v>244307</v>
      </c>
      <c r="I287" s="653">
        <v>5466.8</v>
      </c>
      <c r="J287" s="653">
        <v>2524.3000000000002</v>
      </c>
      <c r="K287" s="653">
        <v>5708.6</v>
      </c>
      <c r="L287" s="654">
        <v>7448</v>
      </c>
      <c r="M287" s="654">
        <v>310</v>
      </c>
      <c r="N287" s="655">
        <v>51</v>
      </c>
      <c r="O287" s="655">
        <v>50</v>
      </c>
      <c r="P287" s="655">
        <v>19</v>
      </c>
      <c r="Q287" s="656">
        <v>0.02</v>
      </c>
      <c r="R287" s="655">
        <v>10</v>
      </c>
      <c r="S287" s="655">
        <v>51</v>
      </c>
      <c r="T287" s="653">
        <v>3.7</v>
      </c>
      <c r="U287" s="657">
        <v>14.4</v>
      </c>
      <c r="V287" s="653">
        <v>4.2</v>
      </c>
      <c r="W287" s="658">
        <v>49</v>
      </c>
      <c r="X287" s="659">
        <v>26</v>
      </c>
      <c r="Y287" s="660">
        <v>2026</v>
      </c>
      <c r="Z287" s="661">
        <v>6</v>
      </c>
      <c r="AA287" s="659" t="str">
        <f>+Tabla_query___2026_06_23T082334.128[[#This Row],[AÑO]]&amp;" - "&amp;Tabla_query___2026_06_23T082334.128[[#This Row],[MES]]</f>
        <v>2026 - 6</v>
      </c>
      <c r="AB287" s="6">
        <f t="shared" si="12"/>
        <v>75</v>
      </c>
      <c r="AC287" s="6">
        <f t="shared" si="13"/>
        <v>8000</v>
      </c>
      <c r="AD287" s="6">
        <f t="shared" si="14"/>
        <v>350</v>
      </c>
    </row>
    <row r="288" spans="2:30">
      <c r="B288" s="674">
        <v>46199</v>
      </c>
      <c r="C288" s="652">
        <v>70793</v>
      </c>
      <c r="D288" s="652">
        <v>72167</v>
      </c>
      <c r="E288" s="652">
        <v>16724</v>
      </c>
      <c r="F288" s="652">
        <v>966.35699999999997</v>
      </c>
      <c r="G288" s="652">
        <v>9902</v>
      </c>
      <c r="H288" s="652">
        <v>244360</v>
      </c>
      <c r="I288" s="653">
        <v>5470.1</v>
      </c>
      <c r="J288" s="653">
        <v>2540.6</v>
      </c>
      <c r="K288" s="653">
        <v>5712.6</v>
      </c>
      <c r="L288" s="654">
        <v>6988</v>
      </c>
      <c r="M288" s="654">
        <v>291</v>
      </c>
      <c r="N288" s="655">
        <v>54</v>
      </c>
      <c r="O288" s="655">
        <v>54</v>
      </c>
      <c r="P288" s="655">
        <v>20</v>
      </c>
      <c r="Q288" s="656">
        <v>0.38400000000000001</v>
      </c>
      <c r="R288" s="655">
        <v>8</v>
      </c>
      <c r="S288" s="655">
        <v>53</v>
      </c>
      <c r="T288" s="653">
        <v>3.3</v>
      </c>
      <c r="U288" s="657">
        <v>16.3</v>
      </c>
      <c r="V288" s="653">
        <v>4</v>
      </c>
      <c r="W288" s="658">
        <v>49</v>
      </c>
      <c r="X288" s="659">
        <v>26</v>
      </c>
      <c r="Y288" s="660">
        <v>2026</v>
      </c>
      <c r="Z288" s="661">
        <v>6</v>
      </c>
      <c r="AA288" s="659" t="str">
        <f>+Tabla_query___2026_06_23T082334.128[[#This Row],[AÑO]]&amp;" - "&amp;Tabla_query___2026_06_23T082334.128[[#This Row],[MES]]</f>
        <v>2026 - 6</v>
      </c>
      <c r="AB288" s="6">
        <f t="shared" si="12"/>
        <v>75</v>
      </c>
      <c r="AC288" s="6">
        <f t="shared" si="13"/>
        <v>8000</v>
      </c>
      <c r="AD288" s="6">
        <f t="shared" si="14"/>
        <v>350</v>
      </c>
    </row>
    <row r="289" spans="2:30">
      <c r="B289" s="674">
        <v>46200</v>
      </c>
      <c r="C289" s="652">
        <v>70841</v>
      </c>
      <c r="D289" s="652">
        <v>72214</v>
      </c>
      <c r="E289" s="652">
        <v>16744</v>
      </c>
      <c r="F289" s="652">
        <v>966.59799999999996</v>
      </c>
      <c r="G289" s="652">
        <v>9909</v>
      </c>
      <c r="H289" s="652">
        <v>244408</v>
      </c>
      <c r="I289" s="653">
        <v>5473.5</v>
      </c>
      <c r="J289" s="653">
        <v>2556.1</v>
      </c>
      <c r="K289" s="653">
        <v>5717.1</v>
      </c>
      <c r="L289" s="654">
        <v>7832</v>
      </c>
      <c r="M289" s="654">
        <v>326</v>
      </c>
      <c r="N289" s="655">
        <v>48</v>
      </c>
      <c r="O289" s="655">
        <v>47</v>
      </c>
      <c r="P289" s="655">
        <v>20</v>
      </c>
      <c r="Q289" s="656">
        <v>0.24099999999999999</v>
      </c>
      <c r="R289" s="655">
        <v>7</v>
      </c>
      <c r="S289" s="655">
        <v>48</v>
      </c>
      <c r="T289" s="653">
        <v>3.4</v>
      </c>
      <c r="U289" s="657">
        <v>15.5</v>
      </c>
      <c r="V289" s="653">
        <v>4.5</v>
      </c>
      <c r="W289" s="658">
        <v>49</v>
      </c>
      <c r="X289" s="659">
        <v>26</v>
      </c>
      <c r="Y289" s="660">
        <v>2026</v>
      </c>
      <c r="Z289" s="661">
        <v>6</v>
      </c>
      <c r="AA289" s="659" t="str">
        <f>+Tabla_query___2026_06_23T082334.128[[#This Row],[AÑO]]&amp;" - "&amp;Tabla_query___2026_06_23T082334.128[[#This Row],[MES]]</f>
        <v>2026 - 6</v>
      </c>
      <c r="AB289" s="6">
        <f t="shared" si="12"/>
        <v>75</v>
      </c>
      <c r="AC289" s="6">
        <f t="shared" si="13"/>
        <v>8000</v>
      </c>
      <c r="AD289" s="6">
        <f t="shared" si="14"/>
        <v>350</v>
      </c>
    </row>
    <row r="290" spans="2:30">
      <c r="B290" s="674">
        <v>46203</v>
      </c>
      <c r="C290" s="652">
        <v>70926</v>
      </c>
      <c r="D290" s="652">
        <v>72289</v>
      </c>
      <c r="E290" s="652">
        <v>16768</v>
      </c>
      <c r="F290" s="652">
        <v>966.86699999999996</v>
      </c>
      <c r="G290" s="652">
        <v>9911</v>
      </c>
      <c r="H290" s="652">
        <v>244497</v>
      </c>
      <c r="I290" s="653">
        <v>5476.9</v>
      </c>
      <c r="J290" s="653">
        <v>2577.8000000000002</v>
      </c>
      <c r="K290" s="653">
        <v>5721.1</v>
      </c>
      <c r="L290" s="654">
        <v>1811</v>
      </c>
      <c r="M290" s="654">
        <v>75</v>
      </c>
      <c r="N290" s="655">
        <v>85</v>
      </c>
      <c r="O290" s="655">
        <v>75</v>
      </c>
      <c r="P290" s="655">
        <v>24</v>
      </c>
      <c r="Q290" s="656">
        <v>0.26900000000000002</v>
      </c>
      <c r="R290" s="655">
        <v>2</v>
      </c>
      <c r="S290" s="655">
        <v>89</v>
      </c>
      <c r="T290" s="653">
        <v>3.4</v>
      </c>
      <c r="U290" s="657">
        <v>21.7</v>
      </c>
      <c r="V290" s="653">
        <v>4</v>
      </c>
      <c r="W290" s="658">
        <v>48</v>
      </c>
      <c r="X290" s="659">
        <v>27</v>
      </c>
      <c r="Y290" s="660">
        <v>2026</v>
      </c>
      <c r="Z290" s="661">
        <v>6</v>
      </c>
      <c r="AA290" s="659" t="str">
        <f>+Tabla_query___2026_06_23T082334.128[[#This Row],[AÑO]]&amp;" - "&amp;Tabla_query___2026_06_23T082334.128[[#This Row],[MES]]</f>
        <v>2026 - 6</v>
      </c>
      <c r="AB290" s="6">
        <f t="shared" si="12"/>
        <v>75</v>
      </c>
      <c r="AC290" s="6">
        <f t="shared" si="13"/>
        <v>8000</v>
      </c>
      <c r="AD290" s="6">
        <f t="shared" si="14"/>
        <v>350</v>
      </c>
    </row>
    <row r="291" spans="2:30">
      <c r="B291" s="674">
        <v>46204</v>
      </c>
      <c r="C291" s="652">
        <v>70996</v>
      </c>
      <c r="D291" s="652">
        <v>72361</v>
      </c>
      <c r="E291" s="652">
        <v>16786</v>
      </c>
      <c r="F291" s="652">
        <v>966.91099999999994</v>
      </c>
      <c r="G291" s="652">
        <v>9924</v>
      </c>
      <c r="H291" s="652">
        <v>244567</v>
      </c>
      <c r="I291" s="653">
        <v>5480.2</v>
      </c>
      <c r="J291" s="653">
        <v>2590.1</v>
      </c>
      <c r="K291" s="653">
        <v>5725.3</v>
      </c>
      <c r="L291" s="654">
        <v>5059</v>
      </c>
      <c r="M291" s="654">
        <v>211</v>
      </c>
      <c r="N291" s="655">
        <v>70</v>
      </c>
      <c r="O291" s="655">
        <v>72</v>
      </c>
      <c r="P291" s="655">
        <v>18</v>
      </c>
      <c r="Q291" s="656">
        <v>4.3999999999999997E-2</v>
      </c>
      <c r="R291" s="655">
        <v>13</v>
      </c>
      <c r="S291" s="655">
        <v>70</v>
      </c>
      <c r="T291" s="653">
        <v>3.3</v>
      </c>
      <c r="U291" s="657">
        <v>12.3</v>
      </c>
      <c r="V291" s="653">
        <v>4.2</v>
      </c>
      <c r="W291" s="658">
        <v>48</v>
      </c>
      <c r="X291" s="659">
        <v>27</v>
      </c>
      <c r="Y291" s="660">
        <v>2026</v>
      </c>
      <c r="Z291" s="661">
        <v>7</v>
      </c>
      <c r="AA291" s="659" t="str">
        <f>+Tabla_query___2026_06_23T082334.128[[#This Row],[AÑO]]&amp;" - "&amp;Tabla_query___2026_06_23T082334.128[[#This Row],[MES]]</f>
        <v>2026 - 7</v>
      </c>
      <c r="AB291" s="6">
        <f t="shared" si="12"/>
        <v>75</v>
      </c>
      <c r="AC291" s="6">
        <f t="shared" si="13"/>
        <v>8000</v>
      </c>
      <c r="AD291" s="6">
        <f t="shared" si="14"/>
        <v>350</v>
      </c>
    </row>
    <row r="292" spans="2:30">
      <c r="B292" s="674">
        <v>46205</v>
      </c>
      <c r="C292" s="652">
        <v>71048</v>
      </c>
      <c r="D292" s="652">
        <v>72414</v>
      </c>
      <c r="E292" s="652">
        <v>16807</v>
      </c>
      <c r="F292" s="652">
        <v>968.04899999999998</v>
      </c>
      <c r="G292" s="652">
        <v>9935</v>
      </c>
      <c r="H292" s="652">
        <v>244616</v>
      </c>
      <c r="I292" s="653">
        <v>5484.1</v>
      </c>
      <c r="J292" s="653">
        <v>2603.9</v>
      </c>
      <c r="K292" s="653">
        <v>5729.6</v>
      </c>
      <c r="L292" s="654">
        <v>6998</v>
      </c>
      <c r="M292" s="654">
        <v>292</v>
      </c>
      <c r="N292" s="655">
        <v>52</v>
      </c>
      <c r="O292" s="655">
        <v>53</v>
      </c>
      <c r="P292" s="655">
        <v>21</v>
      </c>
      <c r="Q292" s="656">
        <v>1.1379999999999999</v>
      </c>
      <c r="R292" s="655">
        <v>11</v>
      </c>
      <c r="S292" s="655">
        <v>49</v>
      </c>
      <c r="T292" s="653">
        <v>3.9</v>
      </c>
      <c r="U292" s="657">
        <v>13.8</v>
      </c>
      <c r="V292" s="653">
        <v>4.3</v>
      </c>
      <c r="W292" s="658">
        <v>48</v>
      </c>
      <c r="X292" s="659">
        <v>27</v>
      </c>
      <c r="Y292" s="660">
        <v>2026</v>
      </c>
      <c r="Z292" s="661">
        <v>7</v>
      </c>
      <c r="AA292" s="659" t="str">
        <f>+Tabla_query___2026_06_23T082334.128[[#This Row],[AÑO]]&amp;" - "&amp;Tabla_query___2026_06_23T082334.128[[#This Row],[MES]]</f>
        <v>2026 - 7</v>
      </c>
      <c r="AB292" s="6">
        <f>+$AB$1</f>
        <v>75</v>
      </c>
      <c r="AC292" s="6">
        <f>+$AC$1</f>
        <v>8000</v>
      </c>
      <c r="AD292" s="6">
        <f>+$AD$1</f>
        <v>350</v>
      </c>
    </row>
    <row r="293" spans="2:30">
      <c r="B293" s="674">
        <v>46206</v>
      </c>
      <c r="C293" s="652">
        <v>71106</v>
      </c>
      <c r="D293" s="652">
        <v>72474</v>
      </c>
      <c r="E293" s="652">
        <v>16827</v>
      </c>
      <c r="F293" s="652">
        <v>968.41</v>
      </c>
      <c r="G293" s="652">
        <v>9942</v>
      </c>
      <c r="H293" s="652">
        <v>244676</v>
      </c>
      <c r="I293" s="653">
        <v>5487.9</v>
      </c>
      <c r="J293" s="653">
        <v>2617.9</v>
      </c>
      <c r="K293" s="653">
        <v>5733.6</v>
      </c>
      <c r="L293" s="654">
        <v>7118</v>
      </c>
      <c r="M293" s="654">
        <v>297</v>
      </c>
      <c r="N293" s="655">
        <v>58</v>
      </c>
      <c r="O293" s="655">
        <v>60</v>
      </c>
      <c r="P293" s="655">
        <v>20</v>
      </c>
      <c r="Q293" s="656">
        <v>0.36299999999999999</v>
      </c>
      <c r="R293" s="655">
        <v>7</v>
      </c>
      <c r="S293" s="655">
        <v>60</v>
      </c>
      <c r="T293" s="653">
        <v>3.8</v>
      </c>
      <c r="U293" s="657">
        <v>14</v>
      </c>
      <c r="V293" s="653">
        <v>4</v>
      </c>
      <c r="W293" s="658">
        <v>48</v>
      </c>
      <c r="X293" s="659">
        <v>27</v>
      </c>
      <c r="Y293" s="660">
        <v>2026</v>
      </c>
      <c r="Z293" s="661">
        <v>7</v>
      </c>
      <c r="AA293" s="659" t="str">
        <f>+Tabla_query___2026_06_23T082334.128[[#This Row],[AÑO]]&amp;" - "&amp;Tabla_query___2026_06_23T082334.128[[#This Row],[MES]]</f>
        <v>2026 - 7</v>
      </c>
      <c r="AB293" s="6">
        <f>+$AB$1</f>
        <v>75</v>
      </c>
      <c r="AC293" s="6">
        <f>+$AC$1</f>
        <v>8000</v>
      </c>
      <c r="AD293" s="6">
        <f>+$AD$1</f>
        <v>350</v>
      </c>
    </row>
    <row r="294" spans="2:30">
      <c r="C294" s="689"/>
    </row>
    <row r="295" spans="2:30">
      <c r="C295" s="690"/>
    </row>
    <row r="296" spans="2:30">
      <c r="C296" s="690"/>
    </row>
    <row r="297" spans="2:30">
      <c r="C297" s="690"/>
    </row>
    <row r="298" spans="2:30">
      <c r="C298" s="691"/>
    </row>
    <row r="299" spans="2:30">
      <c r="C299" s="692"/>
    </row>
    <row r="300" spans="2:30">
      <c r="C300" s="693"/>
    </row>
    <row r="301" spans="2:30">
      <c r="C301" s="693"/>
    </row>
    <row r="302" spans="2:30">
      <c r="C302" s="693"/>
    </row>
    <row r="303" spans="2:30">
      <c r="C303" s="693"/>
    </row>
    <row r="304" spans="2:30">
      <c r="C304" s="693"/>
    </row>
    <row r="305" spans="3:3">
      <c r="C305" s="693"/>
    </row>
    <row r="306" spans="3:3">
      <c r="C306" s="693"/>
    </row>
    <row r="307" spans="3:3">
      <c r="C307" s="693"/>
    </row>
    <row r="308" spans="3:3">
      <c r="C308" s="693"/>
    </row>
    <row r="309" spans="3:3">
      <c r="C309" s="694"/>
    </row>
    <row r="310" spans="3:3">
      <c r="C310" s="693"/>
    </row>
    <row r="311" spans="3:3">
      <c r="C311" s="693"/>
    </row>
    <row r="312" spans="3:3">
      <c r="C312" s="693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4F20F-58ED-4390-B845-960E3989464E}">
  <sheetPr>
    <tabColor theme="5" tint="-0.249977111117893"/>
  </sheetPr>
  <dimension ref="A2:X262"/>
  <sheetViews>
    <sheetView topLeftCell="E47" workbookViewId="0">
      <selection activeCell="N219" sqref="N219"/>
    </sheetView>
  </sheetViews>
  <sheetFormatPr defaultColWidth="9.140625" defaultRowHeight="15" customHeight="1"/>
  <cols>
    <col min="1" max="1" width="0" hidden="1" customWidth="1"/>
    <col min="2" max="2" width="54" hidden="1" customWidth="1"/>
    <col min="3" max="3" width="23.140625" hidden="1" customWidth="1"/>
    <col min="4" max="4" width="27.28515625" hidden="1" customWidth="1"/>
    <col min="5" max="5" width="2.85546875" customWidth="1"/>
    <col min="6" max="6" width="14.42578125" bestFit="1" customWidth="1"/>
    <col min="7" max="7" width="28.28515625" bestFit="1" customWidth="1"/>
    <col min="8" max="8" width="22.5703125" customWidth="1"/>
    <col min="9" max="9" width="10.85546875" customWidth="1"/>
    <col min="10" max="10" width="2.85546875" customWidth="1"/>
    <col min="11" max="11" width="17.85546875" customWidth="1"/>
    <col min="12" max="12" width="2.85546875" customWidth="1"/>
    <col min="13" max="13" width="38.85546875" bestFit="1" customWidth="1"/>
    <col min="14" max="14" width="16.85546875" bestFit="1" customWidth="1"/>
    <col min="15" max="15" width="2.85546875" customWidth="1"/>
    <col min="16" max="16" width="30" customWidth="1"/>
    <col min="17" max="17" width="2.85546875" customWidth="1"/>
    <col min="19" max="19" width="12.140625" bestFit="1" customWidth="1"/>
  </cols>
  <sheetData>
    <row r="2" spans="1:24">
      <c r="F2" s="339" t="s">
        <v>2</v>
      </c>
      <c r="G2" s="52" t="s">
        <v>3776</v>
      </c>
      <c r="I2" s="52" t="s">
        <v>3734</v>
      </c>
      <c r="K2" s="49" t="s">
        <v>3777</v>
      </c>
      <c r="M2" s="8" t="s">
        <v>3778</v>
      </c>
      <c r="N2" s="12" t="s">
        <v>3779</v>
      </c>
      <c r="P2" t="s">
        <v>3780</v>
      </c>
      <c r="R2" s="20" t="s">
        <v>3741</v>
      </c>
      <c r="S2" s="21" t="s">
        <v>3781</v>
      </c>
      <c r="U2" s="281" t="s">
        <v>3770</v>
      </c>
      <c r="V2" s="281" t="s">
        <v>3771</v>
      </c>
      <c r="W2" s="281" t="s">
        <v>3782</v>
      </c>
      <c r="X2" s="281" t="s">
        <v>3612</v>
      </c>
    </row>
    <row r="3" spans="1:24" ht="15.75">
      <c r="A3" s="5" t="s">
        <v>3783</v>
      </c>
      <c r="B3" s="5" t="s">
        <v>3784</v>
      </c>
      <c r="C3" s="5" t="s">
        <v>3785</v>
      </c>
      <c r="D3" s="5" t="s">
        <v>3786</v>
      </c>
      <c r="F3" s="336" t="s">
        <v>88</v>
      </c>
      <c r="G3" s="48" t="s">
        <v>3787</v>
      </c>
      <c r="I3" s="48" t="s">
        <v>36</v>
      </c>
      <c r="K3" s="48" t="s">
        <v>3788</v>
      </c>
      <c r="M3" s="53" t="s">
        <v>91</v>
      </c>
      <c r="N3" s="51" t="s">
        <v>3616</v>
      </c>
      <c r="P3" s="25" t="s">
        <v>54</v>
      </c>
      <c r="R3" s="15">
        <v>1</v>
      </c>
      <c r="S3" s="13" t="s">
        <v>3789</v>
      </c>
      <c r="U3">
        <v>1</v>
      </c>
      <c r="V3">
        <v>2023</v>
      </c>
      <c r="W3" t="str">
        <f t="shared" ref="W3:W66" si="0">CONCATENATE(V3," - ",U3)</f>
        <v>2023 - 1</v>
      </c>
      <c r="X3">
        <v>1</v>
      </c>
    </row>
    <row r="4" spans="1:24" ht="15.75">
      <c r="A4" s="5" t="s">
        <v>3790</v>
      </c>
      <c r="B4" s="5" t="s">
        <v>3791</v>
      </c>
      <c r="C4" s="5" t="s">
        <v>3792</v>
      </c>
      <c r="D4" s="5" t="s">
        <v>3680</v>
      </c>
      <c r="F4" s="335" t="s">
        <v>191</v>
      </c>
      <c r="G4" s="48" t="s">
        <v>35</v>
      </c>
      <c r="I4" s="48" t="s">
        <v>23</v>
      </c>
      <c r="K4" s="48" t="s">
        <v>3614</v>
      </c>
      <c r="M4" s="54" t="s">
        <v>365</v>
      </c>
      <c r="N4" s="12" t="s">
        <v>3616</v>
      </c>
      <c r="P4" s="25" t="s">
        <v>245</v>
      </c>
      <c r="R4" s="15">
        <v>2</v>
      </c>
      <c r="S4" s="13" t="s">
        <v>3793</v>
      </c>
      <c r="U4">
        <f t="shared" ref="U4:U35" si="1">+U3+1</f>
        <v>2</v>
      </c>
      <c r="V4">
        <v>2023</v>
      </c>
      <c r="W4" t="str">
        <f t="shared" si="0"/>
        <v>2023 - 2</v>
      </c>
      <c r="X4">
        <f t="shared" ref="X4:X67" si="2">+X3+1</f>
        <v>2</v>
      </c>
    </row>
    <row r="5" spans="1:24" ht="15.75">
      <c r="A5" s="5" t="s">
        <v>3794</v>
      </c>
      <c r="B5" s="5" t="s">
        <v>3795</v>
      </c>
      <c r="C5" s="5" t="s">
        <v>3792</v>
      </c>
      <c r="D5" s="5" t="s">
        <v>3658</v>
      </c>
      <c r="F5" s="337" t="s">
        <v>131</v>
      </c>
      <c r="G5" s="50" t="s">
        <v>38</v>
      </c>
      <c r="I5" s="50" t="s">
        <v>39</v>
      </c>
      <c r="K5" s="48" t="s">
        <v>3796</v>
      </c>
      <c r="M5" s="54" t="s">
        <v>996</v>
      </c>
      <c r="N5" s="12" t="s">
        <v>3616</v>
      </c>
      <c r="P5" s="25" t="s">
        <v>28</v>
      </c>
      <c r="R5" s="15">
        <v>3</v>
      </c>
      <c r="S5" s="13" t="s">
        <v>3797</v>
      </c>
      <c r="U5">
        <f t="shared" si="1"/>
        <v>3</v>
      </c>
      <c r="V5">
        <v>2023</v>
      </c>
      <c r="W5" t="str">
        <f t="shared" si="0"/>
        <v>2023 - 3</v>
      </c>
      <c r="X5">
        <f t="shared" si="2"/>
        <v>3</v>
      </c>
    </row>
    <row r="6" spans="1:24" ht="15.75">
      <c r="A6" s="5" t="s">
        <v>3798</v>
      </c>
      <c r="B6" s="5" t="s">
        <v>3799</v>
      </c>
      <c r="C6" s="5" t="s">
        <v>3792</v>
      </c>
      <c r="D6" s="5" t="s">
        <v>3646</v>
      </c>
      <c r="F6" s="338" t="s">
        <v>111</v>
      </c>
      <c r="G6" s="50" t="s">
        <v>22</v>
      </c>
      <c r="K6" s="48" t="s">
        <v>3616</v>
      </c>
      <c r="M6" s="54" t="s">
        <v>833</v>
      </c>
      <c r="N6" s="12" t="s">
        <v>3616</v>
      </c>
      <c r="P6" s="25" t="s">
        <v>57</v>
      </c>
      <c r="R6" s="15">
        <v>4</v>
      </c>
      <c r="S6" s="13" t="s">
        <v>3800</v>
      </c>
      <c r="U6">
        <f t="shared" si="1"/>
        <v>4</v>
      </c>
      <c r="V6">
        <v>2023</v>
      </c>
      <c r="W6" t="str">
        <f t="shared" si="0"/>
        <v>2023 - 4</v>
      </c>
      <c r="X6">
        <f t="shared" si="2"/>
        <v>4</v>
      </c>
    </row>
    <row r="7" spans="1:24" ht="15.75">
      <c r="A7" s="5" t="s">
        <v>3801</v>
      </c>
      <c r="B7" s="5" t="s">
        <v>3802</v>
      </c>
      <c r="C7" s="5" t="s">
        <v>3803</v>
      </c>
      <c r="D7" s="5" t="s">
        <v>3804</v>
      </c>
      <c r="F7" s="336" t="s">
        <v>179</v>
      </c>
      <c r="G7" s="50" t="s">
        <v>3805</v>
      </c>
      <c r="K7" s="48" t="s">
        <v>3629</v>
      </c>
      <c r="M7" s="54" t="s">
        <v>49</v>
      </c>
      <c r="N7" s="12" t="s">
        <v>3616</v>
      </c>
      <c r="P7" s="25" t="s">
        <v>61</v>
      </c>
      <c r="R7" s="15">
        <v>5</v>
      </c>
      <c r="S7" s="13" t="s">
        <v>3806</v>
      </c>
      <c r="U7">
        <f t="shared" si="1"/>
        <v>5</v>
      </c>
      <c r="V7">
        <v>2023</v>
      </c>
      <c r="W7" t="str">
        <f t="shared" si="0"/>
        <v>2023 - 5</v>
      </c>
      <c r="X7">
        <f t="shared" si="2"/>
        <v>5</v>
      </c>
    </row>
    <row r="8" spans="1:24" ht="15.75">
      <c r="A8" s="5"/>
      <c r="B8" s="5"/>
      <c r="C8" s="5"/>
      <c r="D8" s="5"/>
      <c r="F8" s="403" t="s">
        <v>3807</v>
      </c>
      <c r="G8" t="s">
        <v>3808</v>
      </c>
      <c r="K8" s="48" t="s">
        <v>3716</v>
      </c>
      <c r="M8" s="54" t="s">
        <v>1575</v>
      </c>
      <c r="N8" s="12" t="s">
        <v>3809</v>
      </c>
      <c r="P8" s="86" t="s">
        <v>390</v>
      </c>
      <c r="R8" s="15">
        <v>6</v>
      </c>
      <c r="S8" s="13" t="s">
        <v>3810</v>
      </c>
      <c r="U8">
        <f t="shared" si="1"/>
        <v>6</v>
      </c>
      <c r="V8">
        <v>2023</v>
      </c>
      <c r="W8" t="str">
        <f t="shared" si="0"/>
        <v>2023 - 6</v>
      </c>
      <c r="X8">
        <f t="shared" si="2"/>
        <v>6</v>
      </c>
    </row>
    <row r="9" spans="1:24" ht="15.75">
      <c r="A9" s="5"/>
      <c r="B9" s="5"/>
      <c r="C9" s="5"/>
      <c r="D9" s="5"/>
      <c r="K9" s="48" t="s">
        <v>3811</v>
      </c>
      <c r="M9" s="54" t="s">
        <v>3812</v>
      </c>
      <c r="N9" s="12" t="s">
        <v>3616</v>
      </c>
      <c r="P9" s="25" t="s">
        <v>43</v>
      </c>
      <c r="R9" s="15">
        <v>7</v>
      </c>
      <c r="S9" s="13" t="s">
        <v>3813</v>
      </c>
      <c r="U9">
        <f t="shared" si="1"/>
        <v>7</v>
      </c>
      <c r="V9">
        <v>2023</v>
      </c>
      <c r="W9" t="str">
        <f t="shared" si="0"/>
        <v>2023 - 7</v>
      </c>
      <c r="X9">
        <f t="shared" si="2"/>
        <v>7</v>
      </c>
    </row>
    <row r="10" spans="1:24" ht="15.75">
      <c r="A10" s="5" t="s">
        <v>3814</v>
      </c>
      <c r="B10" s="5" t="s">
        <v>3815</v>
      </c>
      <c r="C10" s="5" t="s">
        <v>3803</v>
      </c>
      <c r="D10" s="5" t="s">
        <v>3815</v>
      </c>
      <c r="K10" s="48" t="s">
        <v>3816</v>
      </c>
      <c r="M10" s="54" t="s">
        <v>3817</v>
      </c>
      <c r="N10" s="12" t="s">
        <v>3616</v>
      </c>
      <c r="P10" s="25" t="s">
        <v>186</v>
      </c>
      <c r="R10" s="15">
        <v>8</v>
      </c>
      <c r="S10" s="13" t="s">
        <v>3818</v>
      </c>
      <c r="U10">
        <f t="shared" si="1"/>
        <v>8</v>
      </c>
      <c r="V10">
        <v>2023</v>
      </c>
      <c r="W10" t="str">
        <f t="shared" si="0"/>
        <v>2023 - 8</v>
      </c>
      <c r="X10">
        <f t="shared" si="2"/>
        <v>8</v>
      </c>
    </row>
    <row r="11" spans="1:24" ht="15.75">
      <c r="A11" s="5" t="s">
        <v>3819</v>
      </c>
      <c r="B11" s="5" t="s">
        <v>3820</v>
      </c>
      <c r="C11" s="5" t="s">
        <v>3803</v>
      </c>
      <c r="D11" s="5" t="s">
        <v>3821</v>
      </c>
      <c r="K11" s="50" t="s">
        <v>3809</v>
      </c>
      <c r="M11" s="54" t="s">
        <v>1390</v>
      </c>
      <c r="N11" s="12" t="s">
        <v>3811</v>
      </c>
      <c r="P11" s="25" t="s">
        <v>32</v>
      </c>
      <c r="R11" s="15">
        <v>9</v>
      </c>
      <c r="S11" s="13" t="s">
        <v>3822</v>
      </c>
      <c r="U11">
        <f t="shared" si="1"/>
        <v>9</v>
      </c>
      <c r="V11">
        <v>2023</v>
      </c>
      <c r="W11" t="str">
        <f t="shared" si="0"/>
        <v>2023 - 9</v>
      </c>
      <c r="X11">
        <f t="shared" si="2"/>
        <v>9</v>
      </c>
    </row>
    <row r="12" spans="1:24" ht="15.75">
      <c r="A12" s="5" t="s">
        <v>3823</v>
      </c>
      <c r="B12" s="5" t="s">
        <v>3824</v>
      </c>
      <c r="C12" s="5" t="s">
        <v>3803</v>
      </c>
      <c r="D12" s="5" t="s">
        <v>3825</v>
      </c>
      <c r="M12" s="54" t="s">
        <v>3826</v>
      </c>
      <c r="N12" s="12" t="s">
        <v>3629</v>
      </c>
      <c r="P12" s="47"/>
      <c r="R12" s="15">
        <v>10</v>
      </c>
      <c r="S12" s="13" t="s">
        <v>3827</v>
      </c>
      <c r="U12">
        <f t="shared" si="1"/>
        <v>10</v>
      </c>
      <c r="V12">
        <v>2023</v>
      </c>
      <c r="W12" t="str">
        <f t="shared" si="0"/>
        <v>2023 - 10</v>
      </c>
      <c r="X12">
        <f t="shared" si="2"/>
        <v>10</v>
      </c>
    </row>
    <row r="13" spans="1:24" ht="15.75">
      <c r="A13" s="5" t="s">
        <v>3828</v>
      </c>
      <c r="B13" s="5" t="s">
        <v>3829</v>
      </c>
      <c r="C13" s="5" t="s">
        <v>3803</v>
      </c>
      <c r="D13" s="5" t="s">
        <v>3829</v>
      </c>
      <c r="M13" s="54" t="s">
        <v>1247</v>
      </c>
      <c r="N13" s="12" t="s">
        <v>3796</v>
      </c>
      <c r="P13" s="25" t="s">
        <v>1615</v>
      </c>
      <c r="R13" s="15">
        <v>11</v>
      </c>
      <c r="S13" s="13" t="s">
        <v>3830</v>
      </c>
      <c r="U13">
        <f t="shared" si="1"/>
        <v>11</v>
      </c>
      <c r="V13">
        <v>2023</v>
      </c>
      <c r="W13" t="str">
        <f t="shared" si="0"/>
        <v>2023 - 11</v>
      </c>
      <c r="X13">
        <f t="shared" si="2"/>
        <v>11</v>
      </c>
    </row>
    <row r="14" spans="1:24" ht="15.75">
      <c r="A14" s="5" t="s">
        <v>3831</v>
      </c>
      <c r="B14" s="5" t="s">
        <v>3832</v>
      </c>
      <c r="C14" s="5" t="s">
        <v>3803</v>
      </c>
      <c r="D14" s="5" t="s">
        <v>3833</v>
      </c>
      <c r="G14" s="108" t="s">
        <v>3780</v>
      </c>
      <c r="H14" s="9" t="s">
        <v>10</v>
      </c>
      <c r="I14" s="51" t="s">
        <v>11</v>
      </c>
      <c r="M14" s="54" t="s">
        <v>266</v>
      </c>
      <c r="N14" s="12" t="s">
        <v>3614</v>
      </c>
      <c r="P14" s="25" t="s">
        <v>1426</v>
      </c>
      <c r="R14" s="11">
        <v>12</v>
      </c>
      <c r="S14" s="27" t="s">
        <v>3834</v>
      </c>
      <c r="U14">
        <f t="shared" si="1"/>
        <v>12</v>
      </c>
      <c r="V14">
        <v>2023</v>
      </c>
      <c r="W14" t="str">
        <f t="shared" si="0"/>
        <v>2023 - 12</v>
      </c>
      <c r="X14">
        <f t="shared" si="2"/>
        <v>12</v>
      </c>
    </row>
    <row r="15" spans="1:24" ht="15.75">
      <c r="A15" s="5" t="s">
        <v>3835</v>
      </c>
      <c r="B15" s="5" t="s">
        <v>3836</v>
      </c>
      <c r="C15" s="5" t="s">
        <v>3803</v>
      </c>
      <c r="D15" s="5" t="s">
        <v>3837</v>
      </c>
      <c r="G15" s="111" t="s">
        <v>57</v>
      </c>
      <c r="H15" s="5" t="s">
        <v>92</v>
      </c>
      <c r="I15" s="12" t="s">
        <v>93</v>
      </c>
      <c r="M15" s="54" t="s">
        <v>86</v>
      </c>
      <c r="N15" s="12" t="s">
        <v>3614</v>
      </c>
      <c r="P15" s="25" t="s">
        <v>348</v>
      </c>
      <c r="U15">
        <f t="shared" si="1"/>
        <v>13</v>
      </c>
      <c r="V15">
        <v>2023</v>
      </c>
      <c r="W15" t="str">
        <f t="shared" si="0"/>
        <v>2023 - 13</v>
      </c>
      <c r="X15">
        <f t="shared" si="2"/>
        <v>13</v>
      </c>
    </row>
    <row r="16" spans="1:24" ht="15.75">
      <c r="A16" s="5" t="s">
        <v>3838</v>
      </c>
      <c r="B16" s="5" t="s">
        <v>3839</v>
      </c>
      <c r="C16" s="5" t="s">
        <v>3803</v>
      </c>
      <c r="D16" s="5" t="s">
        <v>1643</v>
      </c>
      <c r="G16" s="18" t="s">
        <v>1426</v>
      </c>
      <c r="H16" s="5" t="s">
        <v>157</v>
      </c>
      <c r="I16" s="12"/>
      <c r="M16" s="54" t="s">
        <v>98</v>
      </c>
      <c r="N16" s="12" t="s">
        <v>3614</v>
      </c>
      <c r="P16" s="47" t="s">
        <v>405</v>
      </c>
      <c r="U16">
        <f t="shared" si="1"/>
        <v>14</v>
      </c>
      <c r="V16">
        <v>2023</v>
      </c>
      <c r="W16" t="str">
        <f t="shared" si="0"/>
        <v>2023 - 14</v>
      </c>
      <c r="X16">
        <f t="shared" si="2"/>
        <v>14</v>
      </c>
    </row>
    <row r="17" spans="1:24" ht="15.75">
      <c r="A17" s="5" t="s">
        <v>3840</v>
      </c>
      <c r="B17" s="5" t="s">
        <v>3841</v>
      </c>
      <c r="C17" s="5" t="s">
        <v>3803</v>
      </c>
      <c r="D17" s="5" t="s">
        <v>70</v>
      </c>
      <c r="G17" s="109" t="s">
        <v>348</v>
      </c>
      <c r="H17" s="5" t="s">
        <v>157</v>
      </c>
      <c r="I17" s="12"/>
      <c r="M17" s="54" t="s">
        <v>3620</v>
      </c>
      <c r="N17" s="12" t="s">
        <v>3614</v>
      </c>
      <c r="P17" s="55" t="s">
        <v>25</v>
      </c>
      <c r="U17">
        <f t="shared" si="1"/>
        <v>15</v>
      </c>
      <c r="V17">
        <v>2023</v>
      </c>
      <c r="W17" t="str">
        <f t="shared" si="0"/>
        <v>2023 - 15</v>
      </c>
      <c r="X17">
        <f t="shared" si="2"/>
        <v>15</v>
      </c>
    </row>
    <row r="18" spans="1:24" ht="15.75">
      <c r="A18" s="5" t="s">
        <v>3842</v>
      </c>
      <c r="B18" s="5" t="s">
        <v>3843</v>
      </c>
      <c r="C18" s="5" t="s">
        <v>3803</v>
      </c>
      <c r="D18" s="5" t="s">
        <v>202</v>
      </c>
      <c r="G18" s="109" t="s">
        <v>43</v>
      </c>
      <c r="H18" s="5" t="s">
        <v>157</v>
      </c>
      <c r="I18" s="12"/>
      <c r="M18" s="54" t="s">
        <v>651</v>
      </c>
      <c r="N18" s="12" t="s">
        <v>3614</v>
      </c>
      <c r="U18">
        <f t="shared" si="1"/>
        <v>16</v>
      </c>
      <c r="V18">
        <v>2023</v>
      </c>
      <c r="W18" t="str">
        <f t="shared" si="0"/>
        <v>2023 - 16</v>
      </c>
      <c r="X18">
        <f t="shared" si="2"/>
        <v>16</v>
      </c>
    </row>
    <row r="19" spans="1:24" ht="15.75">
      <c r="A19" s="5" t="s">
        <v>3844</v>
      </c>
      <c r="B19" s="5" t="s">
        <v>3845</v>
      </c>
      <c r="C19" s="5" t="s">
        <v>3803</v>
      </c>
      <c r="D19" s="5" t="s">
        <v>3846</v>
      </c>
      <c r="G19" s="109" t="s">
        <v>54</v>
      </c>
      <c r="H19" s="5" t="s">
        <v>157</v>
      </c>
      <c r="I19" s="12"/>
      <c r="M19" s="54" t="s">
        <v>651</v>
      </c>
      <c r="N19" s="12" t="s">
        <v>3614</v>
      </c>
      <c r="U19">
        <f t="shared" si="1"/>
        <v>17</v>
      </c>
      <c r="V19">
        <v>2023</v>
      </c>
      <c r="W19" t="str">
        <f t="shared" si="0"/>
        <v>2023 - 17</v>
      </c>
      <c r="X19">
        <f t="shared" si="2"/>
        <v>17</v>
      </c>
    </row>
    <row r="20" spans="1:24" ht="15.75">
      <c r="A20" s="5" t="s">
        <v>3847</v>
      </c>
      <c r="B20" s="5" t="s">
        <v>3848</v>
      </c>
      <c r="C20" s="5" t="s">
        <v>3803</v>
      </c>
      <c r="D20" s="5" t="s">
        <v>3849</v>
      </c>
      <c r="G20" s="109" t="s">
        <v>61</v>
      </c>
      <c r="H20" s="5" t="s">
        <v>157</v>
      </c>
      <c r="I20" s="12"/>
      <c r="M20" s="54" t="s">
        <v>1752</v>
      </c>
      <c r="N20" s="12" t="s">
        <v>3809</v>
      </c>
      <c r="U20">
        <f t="shared" si="1"/>
        <v>18</v>
      </c>
      <c r="V20">
        <v>2023</v>
      </c>
      <c r="W20" t="str">
        <f t="shared" si="0"/>
        <v>2023 - 18</v>
      </c>
      <c r="X20">
        <f t="shared" si="2"/>
        <v>18</v>
      </c>
    </row>
    <row r="21" spans="1:24" ht="15.75">
      <c r="A21" s="5"/>
      <c r="B21" s="5"/>
      <c r="C21" s="5"/>
      <c r="D21" s="5"/>
      <c r="G21" s="18" t="s">
        <v>245</v>
      </c>
      <c r="H21" s="5" t="s">
        <v>157</v>
      </c>
      <c r="I21" s="12"/>
      <c r="M21" s="54" t="s">
        <v>3850</v>
      </c>
      <c r="N21" s="12" t="s">
        <v>3796</v>
      </c>
      <c r="U21">
        <f t="shared" si="1"/>
        <v>19</v>
      </c>
      <c r="V21">
        <v>2023</v>
      </c>
      <c r="W21" t="str">
        <f t="shared" si="0"/>
        <v>2023 - 19</v>
      </c>
      <c r="X21">
        <f t="shared" si="2"/>
        <v>19</v>
      </c>
    </row>
    <row r="22" spans="1:24" ht="15.75">
      <c r="A22" s="5" t="s">
        <v>3851</v>
      </c>
      <c r="B22" s="5" t="s">
        <v>3852</v>
      </c>
      <c r="C22" s="5" t="s">
        <v>3803</v>
      </c>
      <c r="D22" s="5" t="s">
        <v>3677</v>
      </c>
      <c r="G22" s="113" t="s">
        <v>405</v>
      </c>
      <c r="H22" s="36" t="s">
        <v>157</v>
      </c>
      <c r="I22" s="12"/>
      <c r="M22" s="54" t="s">
        <v>3853</v>
      </c>
      <c r="N22" s="12" t="s">
        <v>3816</v>
      </c>
      <c r="U22">
        <f t="shared" si="1"/>
        <v>20</v>
      </c>
      <c r="V22">
        <v>2023</v>
      </c>
      <c r="W22" t="str">
        <f t="shared" si="0"/>
        <v>2023 - 20</v>
      </c>
      <c r="X22">
        <f t="shared" si="2"/>
        <v>20</v>
      </c>
    </row>
    <row r="23" spans="1:24" ht="15.75">
      <c r="A23" s="5" t="s">
        <v>3854</v>
      </c>
      <c r="B23" s="5" t="s">
        <v>3855</v>
      </c>
      <c r="C23" s="5" t="s">
        <v>3803</v>
      </c>
      <c r="D23" s="5" t="s">
        <v>3856</v>
      </c>
      <c r="G23" s="109" t="s">
        <v>1615</v>
      </c>
      <c r="H23" s="5" t="s">
        <v>157</v>
      </c>
      <c r="I23" s="12"/>
      <c r="M23" s="54" t="s">
        <v>215</v>
      </c>
      <c r="N23" s="12" t="s">
        <v>3629</v>
      </c>
      <c r="U23">
        <f t="shared" si="1"/>
        <v>21</v>
      </c>
      <c r="V23">
        <v>2023</v>
      </c>
      <c r="W23" t="str">
        <f t="shared" si="0"/>
        <v>2023 - 21</v>
      </c>
      <c r="X23">
        <f t="shared" si="2"/>
        <v>21</v>
      </c>
    </row>
    <row r="24" spans="1:24" ht="15.75">
      <c r="A24" s="5"/>
      <c r="B24" s="5"/>
      <c r="C24" s="5"/>
      <c r="D24" s="5"/>
      <c r="G24" s="111" t="s">
        <v>186</v>
      </c>
      <c r="H24" s="5" t="s">
        <v>92</v>
      </c>
      <c r="I24" s="12" t="s">
        <v>148</v>
      </c>
      <c r="M24" s="54" t="s">
        <v>286</v>
      </c>
      <c r="N24" s="12" t="s">
        <v>3614</v>
      </c>
      <c r="U24">
        <f t="shared" si="1"/>
        <v>22</v>
      </c>
      <c r="V24">
        <v>2023</v>
      </c>
      <c r="W24" t="str">
        <f t="shared" si="0"/>
        <v>2023 - 22</v>
      </c>
      <c r="X24">
        <f t="shared" si="2"/>
        <v>22</v>
      </c>
    </row>
    <row r="25" spans="1:24" ht="15.75">
      <c r="A25" s="5" t="s">
        <v>3857</v>
      </c>
      <c r="B25" s="5" t="s">
        <v>3858</v>
      </c>
      <c r="C25" s="5" t="s">
        <v>3803</v>
      </c>
      <c r="D25" s="5" t="s">
        <v>3859</v>
      </c>
      <c r="G25" s="112" t="s">
        <v>390</v>
      </c>
      <c r="H25" s="5" t="s">
        <v>157</v>
      </c>
      <c r="I25" s="12"/>
      <c r="M25" s="54" t="s">
        <v>286</v>
      </c>
      <c r="N25" s="12" t="s">
        <v>3629</v>
      </c>
      <c r="U25">
        <f t="shared" si="1"/>
        <v>23</v>
      </c>
      <c r="V25">
        <v>2023</v>
      </c>
      <c r="W25" t="str">
        <f t="shared" si="0"/>
        <v>2023 - 23</v>
      </c>
      <c r="X25">
        <f t="shared" si="2"/>
        <v>23</v>
      </c>
    </row>
    <row r="26" spans="1:24" ht="15.75">
      <c r="A26" s="5" t="s">
        <v>3860</v>
      </c>
      <c r="B26" s="5" t="s">
        <v>3861</v>
      </c>
      <c r="C26" s="5" t="s">
        <v>3803</v>
      </c>
      <c r="D26" s="5" t="s">
        <v>3859</v>
      </c>
      <c r="G26" s="109" t="s">
        <v>32</v>
      </c>
      <c r="H26" s="5" t="s">
        <v>157</v>
      </c>
      <c r="I26" s="12"/>
      <c r="M26" s="54" t="s">
        <v>3862</v>
      </c>
      <c r="N26" s="12" t="s">
        <v>3809</v>
      </c>
      <c r="U26">
        <f t="shared" si="1"/>
        <v>24</v>
      </c>
      <c r="V26">
        <v>2023</v>
      </c>
      <c r="W26" t="str">
        <f t="shared" si="0"/>
        <v>2023 - 24</v>
      </c>
      <c r="X26">
        <f t="shared" si="2"/>
        <v>24</v>
      </c>
    </row>
    <row r="27" spans="1:24" ht="15.75">
      <c r="A27" s="5" t="s">
        <v>3863</v>
      </c>
      <c r="B27" s="5" t="s">
        <v>3864</v>
      </c>
      <c r="C27" s="5" t="s">
        <v>3803</v>
      </c>
      <c r="D27" s="5" t="s">
        <v>3859</v>
      </c>
      <c r="G27" s="110" t="s">
        <v>28</v>
      </c>
      <c r="H27" s="5" t="s">
        <v>92</v>
      </c>
      <c r="I27" s="12" t="s">
        <v>148</v>
      </c>
      <c r="M27" s="54" t="s">
        <v>3622</v>
      </c>
      <c r="N27" s="12" t="s">
        <v>3614</v>
      </c>
      <c r="U27">
        <f t="shared" si="1"/>
        <v>25</v>
      </c>
      <c r="V27">
        <v>2023</v>
      </c>
      <c r="W27" t="str">
        <f t="shared" si="0"/>
        <v>2023 - 25</v>
      </c>
      <c r="X27">
        <f t="shared" si="2"/>
        <v>25</v>
      </c>
    </row>
    <row r="28" spans="1:24" ht="15.75">
      <c r="A28" s="5"/>
      <c r="B28" s="5"/>
      <c r="C28" s="5"/>
      <c r="D28" s="5"/>
      <c r="G28" s="340" t="s">
        <v>25</v>
      </c>
      <c r="H28" s="342" t="s">
        <v>157</v>
      </c>
      <c r="I28" s="12"/>
      <c r="M28" s="54" t="s">
        <v>3865</v>
      </c>
      <c r="N28" s="12" t="s">
        <v>3614</v>
      </c>
      <c r="U28">
        <f t="shared" si="1"/>
        <v>26</v>
      </c>
      <c r="V28">
        <v>2023</v>
      </c>
      <c r="W28" t="str">
        <f t="shared" si="0"/>
        <v>2023 - 26</v>
      </c>
      <c r="X28">
        <f t="shared" si="2"/>
        <v>26</v>
      </c>
    </row>
    <row r="29" spans="1:24" ht="15.75">
      <c r="A29" s="5" t="s">
        <v>3866</v>
      </c>
      <c r="B29" s="5" t="s">
        <v>3867</v>
      </c>
      <c r="C29" s="5" t="s">
        <v>3803</v>
      </c>
      <c r="D29" s="5" t="s">
        <v>3859</v>
      </c>
      <c r="G29" s="341"/>
      <c r="H29" s="5"/>
      <c r="I29" s="85"/>
      <c r="M29" s="54" t="s">
        <v>108</v>
      </c>
      <c r="N29" s="12" t="s">
        <v>3614</v>
      </c>
      <c r="U29">
        <f t="shared" si="1"/>
        <v>27</v>
      </c>
      <c r="V29">
        <v>2023</v>
      </c>
      <c r="W29" t="str">
        <f t="shared" si="0"/>
        <v>2023 - 27</v>
      </c>
      <c r="X29">
        <f t="shared" si="2"/>
        <v>27</v>
      </c>
    </row>
    <row r="30" spans="1:24" ht="15.75">
      <c r="A30" s="5" t="s">
        <v>3868</v>
      </c>
      <c r="B30" s="5" t="s">
        <v>3869</v>
      </c>
      <c r="C30" s="5" t="s">
        <v>3803</v>
      </c>
      <c r="D30" s="5" t="s">
        <v>3859</v>
      </c>
      <c r="M30" s="54" t="s">
        <v>3361</v>
      </c>
      <c r="N30" s="12" t="s">
        <v>3614</v>
      </c>
      <c r="U30">
        <f t="shared" si="1"/>
        <v>28</v>
      </c>
      <c r="V30">
        <v>2023</v>
      </c>
      <c r="W30" t="str">
        <f t="shared" si="0"/>
        <v>2023 - 28</v>
      </c>
      <c r="X30">
        <f t="shared" si="2"/>
        <v>28</v>
      </c>
    </row>
    <row r="31" spans="1:24" ht="15.75">
      <c r="A31" s="5" t="s">
        <v>3870</v>
      </c>
      <c r="B31" s="5" t="s">
        <v>3871</v>
      </c>
      <c r="C31" s="5" t="s">
        <v>3803</v>
      </c>
      <c r="D31" s="5" t="s">
        <v>3859</v>
      </c>
      <c r="M31" s="54" t="s">
        <v>3623</v>
      </c>
      <c r="N31" s="12" t="s">
        <v>3614</v>
      </c>
      <c r="U31">
        <f t="shared" si="1"/>
        <v>29</v>
      </c>
      <c r="V31">
        <v>2023</v>
      </c>
      <c r="W31" t="str">
        <f t="shared" si="0"/>
        <v>2023 - 29</v>
      </c>
      <c r="X31">
        <f t="shared" si="2"/>
        <v>29</v>
      </c>
    </row>
    <row r="32" spans="1:24" ht="15.75">
      <c r="A32" s="5"/>
      <c r="B32" s="5"/>
      <c r="C32" s="5"/>
      <c r="D32" s="5"/>
      <c r="G32" t="s">
        <v>3872</v>
      </c>
      <c r="H32" t="s">
        <v>3873</v>
      </c>
      <c r="M32" s="54" t="s">
        <v>3624</v>
      </c>
      <c r="N32" s="12" t="s">
        <v>3614</v>
      </c>
      <c r="U32">
        <f t="shared" si="1"/>
        <v>30</v>
      </c>
      <c r="V32">
        <v>2023</v>
      </c>
      <c r="W32" t="str">
        <f t="shared" si="0"/>
        <v>2023 - 30</v>
      </c>
      <c r="X32">
        <f t="shared" si="2"/>
        <v>30</v>
      </c>
    </row>
    <row r="33" spans="1:24" ht="15.75">
      <c r="A33" s="5"/>
      <c r="B33" s="5"/>
      <c r="C33" s="5"/>
      <c r="D33" s="5"/>
      <c r="G33" t="s">
        <v>3874</v>
      </c>
      <c r="H33">
        <v>1</v>
      </c>
      <c r="M33" s="54" t="s">
        <v>3625</v>
      </c>
      <c r="N33" s="12" t="s">
        <v>3614</v>
      </c>
      <c r="U33">
        <f t="shared" si="1"/>
        <v>31</v>
      </c>
      <c r="V33">
        <v>2023</v>
      </c>
      <c r="W33" t="str">
        <f t="shared" si="0"/>
        <v>2023 - 31</v>
      </c>
      <c r="X33">
        <f t="shared" si="2"/>
        <v>31</v>
      </c>
    </row>
    <row r="34" spans="1:24" ht="15.75">
      <c r="A34" s="5"/>
      <c r="B34" s="5"/>
      <c r="C34" s="5"/>
      <c r="D34" s="5"/>
      <c r="G34" t="s">
        <v>3875</v>
      </c>
      <c r="H34">
        <v>2</v>
      </c>
      <c r="M34" s="54" t="s">
        <v>748</v>
      </c>
      <c r="N34" s="12" t="s">
        <v>3616</v>
      </c>
      <c r="U34">
        <f t="shared" si="1"/>
        <v>32</v>
      </c>
      <c r="V34">
        <v>2023</v>
      </c>
      <c r="W34" t="str">
        <f t="shared" si="0"/>
        <v>2023 - 32</v>
      </c>
      <c r="X34">
        <f t="shared" si="2"/>
        <v>32</v>
      </c>
    </row>
    <row r="35" spans="1:24" ht="15.75">
      <c r="A35" s="5"/>
      <c r="B35" s="5"/>
      <c r="C35" s="5"/>
      <c r="D35" s="5"/>
      <c r="G35" t="s">
        <v>3876</v>
      </c>
      <c r="H35">
        <v>3</v>
      </c>
      <c r="M35" s="54" t="s">
        <v>3877</v>
      </c>
      <c r="N35" s="12" t="s">
        <v>3629</v>
      </c>
      <c r="U35">
        <f t="shared" si="1"/>
        <v>33</v>
      </c>
      <c r="V35">
        <v>2023</v>
      </c>
      <c r="W35" t="str">
        <f t="shared" si="0"/>
        <v>2023 - 33</v>
      </c>
      <c r="X35">
        <f t="shared" si="2"/>
        <v>33</v>
      </c>
    </row>
    <row r="36" spans="1:24" ht="15.75">
      <c r="A36" s="5"/>
      <c r="B36" s="5"/>
      <c r="C36" s="5"/>
      <c r="D36" s="5"/>
      <c r="G36" t="s">
        <v>3878</v>
      </c>
      <c r="H36">
        <v>4</v>
      </c>
      <c r="M36" s="54" t="s">
        <v>2282</v>
      </c>
      <c r="N36" s="12" t="s">
        <v>3616</v>
      </c>
      <c r="U36">
        <f t="shared" ref="U36:U54" si="3">+U35+1</f>
        <v>34</v>
      </c>
      <c r="V36">
        <v>2023</v>
      </c>
      <c r="W36" t="str">
        <f t="shared" si="0"/>
        <v>2023 - 34</v>
      </c>
      <c r="X36">
        <f t="shared" si="2"/>
        <v>34</v>
      </c>
    </row>
    <row r="37" spans="1:24" ht="15.75">
      <c r="A37" s="5"/>
      <c r="B37" s="5"/>
      <c r="C37" s="5"/>
      <c r="D37" s="5"/>
      <c r="G37" t="s">
        <v>3879</v>
      </c>
      <c r="H37">
        <v>5</v>
      </c>
      <c r="M37" s="54" t="s">
        <v>3880</v>
      </c>
      <c r="N37" s="12" t="s">
        <v>3629</v>
      </c>
      <c r="U37">
        <f t="shared" si="3"/>
        <v>35</v>
      </c>
      <c r="V37">
        <v>2023</v>
      </c>
      <c r="W37" t="str">
        <f t="shared" si="0"/>
        <v>2023 - 35</v>
      </c>
      <c r="X37">
        <f t="shared" si="2"/>
        <v>35</v>
      </c>
    </row>
    <row r="38" spans="1:24" ht="15.75">
      <c r="A38" s="5" t="s">
        <v>3881</v>
      </c>
      <c r="B38" s="5" t="s">
        <v>3882</v>
      </c>
      <c r="C38" s="5" t="s">
        <v>3803</v>
      </c>
      <c r="D38" s="5" t="s">
        <v>3654</v>
      </c>
      <c r="G38" t="s">
        <v>3883</v>
      </c>
      <c r="H38">
        <v>6</v>
      </c>
      <c r="M38" s="54" t="s">
        <v>1197</v>
      </c>
      <c r="N38" s="12" t="s">
        <v>3614</v>
      </c>
      <c r="U38">
        <f t="shared" si="3"/>
        <v>36</v>
      </c>
      <c r="V38">
        <v>2023</v>
      </c>
      <c r="W38" t="str">
        <f t="shared" si="0"/>
        <v>2023 - 36</v>
      </c>
      <c r="X38">
        <f t="shared" si="2"/>
        <v>36</v>
      </c>
    </row>
    <row r="39" spans="1:24" ht="15.75">
      <c r="A39" s="5" t="s">
        <v>3884</v>
      </c>
      <c r="B39" s="5" t="s">
        <v>3885</v>
      </c>
      <c r="C39" s="5" t="s">
        <v>3886</v>
      </c>
      <c r="D39" s="5" t="s">
        <v>3620</v>
      </c>
      <c r="G39" t="s">
        <v>3887</v>
      </c>
      <c r="H39">
        <v>7</v>
      </c>
      <c r="M39" s="54" t="s">
        <v>3626</v>
      </c>
      <c r="N39" s="12" t="s">
        <v>3614</v>
      </c>
      <c r="U39">
        <f t="shared" si="3"/>
        <v>37</v>
      </c>
      <c r="V39">
        <v>2023</v>
      </c>
      <c r="W39" t="str">
        <f t="shared" si="0"/>
        <v>2023 - 37</v>
      </c>
      <c r="X39">
        <f t="shared" si="2"/>
        <v>37</v>
      </c>
    </row>
    <row r="40" spans="1:24" ht="15.75">
      <c r="A40" s="5" t="s">
        <v>3888</v>
      </c>
      <c r="B40" s="5" t="s">
        <v>3889</v>
      </c>
      <c r="C40" s="5" t="s">
        <v>3886</v>
      </c>
      <c r="D40" s="5" t="s">
        <v>3859</v>
      </c>
      <c r="M40" s="54" t="s">
        <v>1643</v>
      </c>
      <c r="N40" s="12" t="s">
        <v>3614</v>
      </c>
      <c r="U40">
        <f t="shared" si="3"/>
        <v>38</v>
      </c>
      <c r="V40">
        <v>2023</v>
      </c>
      <c r="W40" t="str">
        <f t="shared" si="0"/>
        <v>2023 - 38</v>
      </c>
      <c r="X40">
        <f t="shared" si="2"/>
        <v>38</v>
      </c>
    </row>
    <row r="41" spans="1:24" ht="15.75">
      <c r="A41" s="5" t="s">
        <v>3890</v>
      </c>
      <c r="B41" s="5" t="s">
        <v>3891</v>
      </c>
      <c r="C41" s="5" t="s">
        <v>3886</v>
      </c>
      <c r="D41" s="5" t="s">
        <v>3859</v>
      </c>
      <c r="M41" s="54" t="s">
        <v>3892</v>
      </c>
      <c r="N41" s="12" t="s">
        <v>3614</v>
      </c>
      <c r="U41">
        <f t="shared" si="3"/>
        <v>39</v>
      </c>
      <c r="V41">
        <v>2023</v>
      </c>
      <c r="W41" t="str">
        <f t="shared" si="0"/>
        <v>2023 - 39</v>
      </c>
      <c r="X41">
        <f t="shared" si="2"/>
        <v>39</v>
      </c>
    </row>
    <row r="42" spans="1:24" ht="15.75">
      <c r="A42" s="5" t="s">
        <v>3893</v>
      </c>
      <c r="B42" s="5" t="s">
        <v>3894</v>
      </c>
      <c r="C42" s="5" t="s">
        <v>3886</v>
      </c>
      <c r="D42" s="5" t="s">
        <v>3895</v>
      </c>
      <c r="M42" s="54" t="s">
        <v>3627</v>
      </c>
      <c r="N42" s="12" t="s">
        <v>3614</v>
      </c>
      <c r="U42">
        <f t="shared" si="3"/>
        <v>40</v>
      </c>
      <c r="V42">
        <v>2023</v>
      </c>
      <c r="W42" t="str">
        <f t="shared" si="0"/>
        <v>2023 - 40</v>
      </c>
      <c r="X42">
        <f t="shared" si="2"/>
        <v>40</v>
      </c>
    </row>
    <row r="43" spans="1:24" ht="15.75">
      <c r="A43" s="5" t="s">
        <v>3896</v>
      </c>
      <c r="B43" s="5" t="s">
        <v>3897</v>
      </c>
      <c r="C43" s="5" t="s">
        <v>2074</v>
      </c>
      <c r="D43" s="5" t="s">
        <v>3859</v>
      </c>
      <c r="M43" s="54" t="s">
        <v>3628</v>
      </c>
      <c r="N43" s="12" t="s">
        <v>3614</v>
      </c>
      <c r="U43">
        <f t="shared" si="3"/>
        <v>41</v>
      </c>
      <c r="V43">
        <v>2023</v>
      </c>
      <c r="W43" t="str">
        <f t="shared" si="0"/>
        <v>2023 - 41</v>
      </c>
      <c r="X43">
        <f t="shared" si="2"/>
        <v>41</v>
      </c>
    </row>
    <row r="44" spans="1:24" ht="15.75">
      <c r="A44" s="5" t="s">
        <v>3898</v>
      </c>
      <c r="B44" s="5" t="s">
        <v>3899</v>
      </c>
      <c r="C44" s="5" t="s">
        <v>2074</v>
      </c>
      <c r="D44" s="5" t="s">
        <v>3859</v>
      </c>
      <c r="M44" s="54" t="s">
        <v>1764</v>
      </c>
      <c r="N44" s="12" t="s">
        <v>3614</v>
      </c>
      <c r="U44">
        <f t="shared" si="3"/>
        <v>42</v>
      </c>
      <c r="V44">
        <v>2023</v>
      </c>
      <c r="W44" t="str">
        <f t="shared" si="0"/>
        <v>2023 - 42</v>
      </c>
      <c r="X44">
        <f t="shared" si="2"/>
        <v>42</v>
      </c>
    </row>
    <row r="45" spans="1:24" ht="15.75">
      <c r="A45" s="5" t="s">
        <v>3900</v>
      </c>
      <c r="B45" s="5" t="s">
        <v>3901</v>
      </c>
      <c r="C45" s="5" t="s">
        <v>3902</v>
      </c>
      <c r="D45" s="5" t="s">
        <v>3859</v>
      </c>
      <c r="M45" s="54" t="s">
        <v>331</v>
      </c>
      <c r="N45" s="12" t="s">
        <v>3614</v>
      </c>
      <c r="U45">
        <f t="shared" si="3"/>
        <v>43</v>
      </c>
      <c r="V45">
        <v>2023</v>
      </c>
      <c r="W45" t="str">
        <f t="shared" si="0"/>
        <v>2023 - 43</v>
      </c>
      <c r="X45">
        <f t="shared" si="2"/>
        <v>43</v>
      </c>
    </row>
    <row r="46" spans="1:24" ht="15.75">
      <c r="A46" s="5" t="s">
        <v>3903</v>
      </c>
      <c r="B46" s="5" t="s">
        <v>3904</v>
      </c>
      <c r="C46" s="5" t="s">
        <v>2074</v>
      </c>
      <c r="D46" s="5" t="s">
        <v>3859</v>
      </c>
      <c r="M46" s="54" t="s">
        <v>73</v>
      </c>
      <c r="N46" s="12" t="s">
        <v>3614</v>
      </c>
      <c r="U46">
        <f t="shared" si="3"/>
        <v>44</v>
      </c>
      <c r="V46">
        <v>2023</v>
      </c>
      <c r="W46" t="str">
        <f t="shared" si="0"/>
        <v>2023 - 44</v>
      </c>
      <c r="X46">
        <f t="shared" si="2"/>
        <v>44</v>
      </c>
    </row>
    <row r="47" spans="1:24" ht="15.75">
      <c r="A47" s="5"/>
      <c r="B47" s="5"/>
      <c r="C47" s="5"/>
      <c r="D47" s="5"/>
      <c r="M47" s="54" t="s">
        <v>208</v>
      </c>
      <c r="N47" s="12" t="s">
        <v>3614</v>
      </c>
      <c r="U47">
        <f t="shared" si="3"/>
        <v>45</v>
      </c>
      <c r="V47">
        <v>2023</v>
      </c>
      <c r="W47" t="str">
        <f t="shared" si="0"/>
        <v>2023 - 45</v>
      </c>
      <c r="X47">
        <f t="shared" si="2"/>
        <v>45</v>
      </c>
    </row>
    <row r="48" spans="1:24" ht="15.75">
      <c r="A48" s="5" t="s">
        <v>3905</v>
      </c>
      <c r="B48" s="5" t="s">
        <v>3906</v>
      </c>
      <c r="C48" s="5" t="s">
        <v>3902</v>
      </c>
      <c r="D48" s="5" t="s">
        <v>3859</v>
      </c>
      <c r="M48" s="54" t="s">
        <v>3630</v>
      </c>
      <c r="N48" s="12" t="s">
        <v>3614</v>
      </c>
      <c r="U48">
        <f t="shared" si="3"/>
        <v>46</v>
      </c>
      <c r="V48">
        <v>2023</v>
      </c>
      <c r="W48" t="str">
        <f t="shared" si="0"/>
        <v>2023 - 46</v>
      </c>
      <c r="X48">
        <f t="shared" si="2"/>
        <v>46</v>
      </c>
    </row>
    <row r="49" spans="1:24" ht="15.75">
      <c r="A49" s="5" t="s">
        <v>3907</v>
      </c>
      <c r="B49" s="5" t="s">
        <v>3908</v>
      </c>
      <c r="C49" s="5" t="s">
        <v>2074</v>
      </c>
      <c r="D49" s="5" t="s">
        <v>3859</v>
      </c>
      <c r="M49" s="54" t="s">
        <v>942</v>
      </c>
      <c r="N49" s="12" t="s">
        <v>3614</v>
      </c>
      <c r="U49">
        <f t="shared" si="3"/>
        <v>47</v>
      </c>
      <c r="V49">
        <v>2023</v>
      </c>
      <c r="W49" t="str">
        <f t="shared" si="0"/>
        <v>2023 - 47</v>
      </c>
      <c r="X49">
        <f t="shared" si="2"/>
        <v>47</v>
      </c>
    </row>
    <row r="50" spans="1:24" ht="15.75">
      <c r="A50" s="5" t="s">
        <v>3909</v>
      </c>
      <c r="B50" s="5" t="s">
        <v>3910</v>
      </c>
      <c r="C50" s="5" t="s">
        <v>3911</v>
      </c>
      <c r="D50" s="5" t="s">
        <v>3859</v>
      </c>
      <c r="M50" s="54" t="s">
        <v>3912</v>
      </c>
      <c r="N50" s="12" t="s">
        <v>3629</v>
      </c>
      <c r="U50">
        <f t="shared" si="3"/>
        <v>48</v>
      </c>
      <c r="V50">
        <v>2023</v>
      </c>
      <c r="W50" t="str">
        <f t="shared" si="0"/>
        <v>2023 - 48</v>
      </c>
      <c r="X50">
        <f t="shared" si="2"/>
        <v>48</v>
      </c>
    </row>
    <row r="51" spans="1:24" ht="15.75">
      <c r="A51" s="5"/>
      <c r="B51" s="5"/>
      <c r="C51" s="5"/>
      <c r="D51" s="5"/>
      <c r="M51" s="54" t="s">
        <v>198</v>
      </c>
      <c r="N51" s="12" t="s">
        <v>3614</v>
      </c>
      <c r="U51">
        <f t="shared" si="3"/>
        <v>49</v>
      </c>
      <c r="V51">
        <v>2023</v>
      </c>
      <c r="W51" t="str">
        <f t="shared" si="0"/>
        <v>2023 - 49</v>
      </c>
      <c r="X51">
        <f t="shared" si="2"/>
        <v>49</v>
      </c>
    </row>
    <row r="52" spans="1:24" ht="15.75">
      <c r="A52" s="5" t="s">
        <v>3913</v>
      </c>
      <c r="B52" s="5" t="s">
        <v>3914</v>
      </c>
      <c r="C52" s="5" t="s">
        <v>3911</v>
      </c>
      <c r="D52" s="5" t="s">
        <v>3859</v>
      </c>
      <c r="M52" s="54" t="s">
        <v>153</v>
      </c>
      <c r="N52" s="12" t="s">
        <v>3614</v>
      </c>
      <c r="U52">
        <f t="shared" si="3"/>
        <v>50</v>
      </c>
      <c r="V52">
        <v>2023</v>
      </c>
      <c r="W52" t="str">
        <f t="shared" si="0"/>
        <v>2023 - 50</v>
      </c>
      <c r="X52">
        <f t="shared" si="2"/>
        <v>50</v>
      </c>
    </row>
    <row r="53" spans="1:24" ht="15.75">
      <c r="A53" s="5" t="s">
        <v>3915</v>
      </c>
      <c r="B53" s="5" t="s">
        <v>3916</v>
      </c>
      <c r="C53" s="5" t="s">
        <v>3911</v>
      </c>
      <c r="D53" s="5" t="s">
        <v>3859</v>
      </c>
      <c r="M53" s="54" t="s">
        <v>81</v>
      </c>
      <c r="N53" s="12" t="s">
        <v>3614</v>
      </c>
      <c r="U53">
        <f t="shared" si="3"/>
        <v>51</v>
      </c>
      <c r="V53">
        <v>2023</v>
      </c>
      <c r="W53" t="str">
        <f t="shared" si="0"/>
        <v>2023 - 51</v>
      </c>
      <c r="X53">
        <f t="shared" si="2"/>
        <v>51</v>
      </c>
    </row>
    <row r="54" spans="1:24" ht="15.75">
      <c r="A54" s="5" t="s">
        <v>3917</v>
      </c>
      <c r="B54" s="5" t="s">
        <v>3918</v>
      </c>
      <c r="C54" s="5" t="s">
        <v>3911</v>
      </c>
      <c r="D54" s="5" t="s">
        <v>3617</v>
      </c>
      <c r="M54" s="54" t="s">
        <v>438</v>
      </c>
      <c r="N54" s="12" t="s">
        <v>3614</v>
      </c>
      <c r="U54">
        <f t="shared" si="3"/>
        <v>52</v>
      </c>
      <c r="V54">
        <v>2023</v>
      </c>
      <c r="W54" t="str">
        <f t="shared" si="0"/>
        <v>2023 - 52</v>
      </c>
      <c r="X54">
        <f t="shared" si="2"/>
        <v>52</v>
      </c>
    </row>
    <row r="55" spans="1:24" ht="15.75">
      <c r="A55" s="5"/>
      <c r="B55" s="5"/>
      <c r="C55" s="5"/>
      <c r="D55" s="5"/>
      <c r="M55" s="54" t="s">
        <v>31</v>
      </c>
      <c r="N55" s="12" t="s">
        <v>3614</v>
      </c>
      <c r="U55">
        <v>1</v>
      </c>
      <c r="V55">
        <v>2024</v>
      </c>
      <c r="W55" t="str">
        <f t="shared" si="0"/>
        <v>2024 - 1</v>
      </c>
      <c r="X55">
        <f t="shared" si="2"/>
        <v>53</v>
      </c>
    </row>
    <row r="56" spans="1:24" ht="15.75">
      <c r="A56" s="5" t="s">
        <v>3919</v>
      </c>
      <c r="B56" s="5" t="s">
        <v>3920</v>
      </c>
      <c r="C56" s="5" t="s">
        <v>3921</v>
      </c>
      <c r="D56" s="5" t="s">
        <v>3922</v>
      </c>
      <c r="M56" s="54" t="s">
        <v>3923</v>
      </c>
      <c r="N56" s="12" t="s">
        <v>3614</v>
      </c>
      <c r="U56">
        <f t="shared" ref="U56:U87" si="4">+U55+1</f>
        <v>2</v>
      </c>
      <c r="V56">
        <v>2024</v>
      </c>
      <c r="W56" t="str">
        <f t="shared" si="0"/>
        <v>2024 - 2</v>
      </c>
      <c r="X56">
        <f t="shared" si="2"/>
        <v>54</v>
      </c>
    </row>
    <row r="57" spans="1:24" ht="15.75">
      <c r="A57" s="5" t="s">
        <v>3924</v>
      </c>
      <c r="B57" s="5" t="s">
        <v>3925</v>
      </c>
      <c r="C57" s="5" t="s">
        <v>3921</v>
      </c>
      <c r="D57" s="5" t="s">
        <v>3637</v>
      </c>
      <c r="M57" s="54" t="s">
        <v>140</v>
      </c>
      <c r="N57" s="12" t="s">
        <v>3614</v>
      </c>
      <c r="U57">
        <f t="shared" si="4"/>
        <v>3</v>
      </c>
      <c r="V57">
        <v>2024</v>
      </c>
      <c r="W57" t="str">
        <f t="shared" si="0"/>
        <v>2024 - 3</v>
      </c>
      <c r="X57">
        <f t="shared" si="2"/>
        <v>55</v>
      </c>
    </row>
    <row r="58" spans="1:24" ht="15.75">
      <c r="A58" s="5" t="s">
        <v>3926</v>
      </c>
      <c r="B58" s="5" t="s">
        <v>3927</v>
      </c>
      <c r="C58" s="5" t="s">
        <v>3921</v>
      </c>
      <c r="D58" s="5" t="s">
        <v>3673</v>
      </c>
      <c r="M58" s="54" t="s">
        <v>24</v>
      </c>
      <c r="N58" s="12" t="s">
        <v>3614</v>
      </c>
      <c r="U58">
        <f t="shared" si="4"/>
        <v>4</v>
      </c>
      <c r="V58">
        <v>2024</v>
      </c>
      <c r="W58" t="str">
        <f t="shared" si="0"/>
        <v>2024 - 4</v>
      </c>
      <c r="X58">
        <f t="shared" si="2"/>
        <v>56</v>
      </c>
    </row>
    <row r="59" spans="1:24" ht="15.75">
      <c r="A59" s="5" t="s">
        <v>3928</v>
      </c>
      <c r="B59" s="5" t="s">
        <v>3929</v>
      </c>
      <c r="C59" s="5" t="s">
        <v>3921</v>
      </c>
      <c r="D59" s="5" t="s">
        <v>3930</v>
      </c>
      <c r="M59" s="54" t="s">
        <v>192</v>
      </c>
      <c r="N59" s="12" t="s">
        <v>3614</v>
      </c>
      <c r="U59">
        <f t="shared" si="4"/>
        <v>5</v>
      </c>
      <c r="V59">
        <v>2024</v>
      </c>
      <c r="W59" t="str">
        <f t="shared" si="0"/>
        <v>2024 - 5</v>
      </c>
      <c r="X59">
        <f t="shared" si="2"/>
        <v>57</v>
      </c>
    </row>
    <row r="60" spans="1:24" ht="15.75">
      <c r="A60" s="5" t="s">
        <v>3931</v>
      </c>
      <c r="B60" s="5" t="s">
        <v>3932</v>
      </c>
      <c r="C60" s="5" t="s">
        <v>3921</v>
      </c>
      <c r="D60" s="5" t="s">
        <v>3631</v>
      </c>
      <c r="M60" s="54" t="s">
        <v>1028</v>
      </c>
      <c r="N60" s="12" t="s">
        <v>3614</v>
      </c>
      <c r="U60">
        <f t="shared" si="4"/>
        <v>6</v>
      </c>
      <c r="V60">
        <v>2024</v>
      </c>
      <c r="W60" t="str">
        <f t="shared" si="0"/>
        <v>2024 - 6</v>
      </c>
      <c r="X60">
        <f t="shared" si="2"/>
        <v>58</v>
      </c>
    </row>
    <row r="61" spans="1:24" ht="15.75">
      <c r="A61" s="5"/>
      <c r="B61" s="5"/>
      <c r="C61" s="5"/>
      <c r="D61" s="5"/>
      <c r="M61" s="54" t="s">
        <v>3933</v>
      </c>
      <c r="N61" s="12" t="s">
        <v>3796</v>
      </c>
      <c r="U61">
        <f t="shared" si="4"/>
        <v>7</v>
      </c>
      <c r="V61">
        <v>2024</v>
      </c>
      <c r="W61" t="str">
        <f t="shared" si="0"/>
        <v>2024 - 7</v>
      </c>
      <c r="X61">
        <f t="shared" si="2"/>
        <v>59</v>
      </c>
    </row>
    <row r="62" spans="1:24" ht="15.75">
      <c r="A62" s="5" t="s">
        <v>3934</v>
      </c>
      <c r="B62" s="5" t="s">
        <v>3935</v>
      </c>
      <c r="C62" s="5" t="s">
        <v>3936</v>
      </c>
      <c r="D62" s="5" t="s">
        <v>3859</v>
      </c>
      <c r="M62" s="54" t="s">
        <v>690</v>
      </c>
      <c r="N62" s="12" t="s">
        <v>3629</v>
      </c>
      <c r="U62">
        <f t="shared" si="4"/>
        <v>8</v>
      </c>
      <c r="V62">
        <v>2024</v>
      </c>
      <c r="W62" t="str">
        <f t="shared" si="0"/>
        <v>2024 - 8</v>
      </c>
      <c r="X62">
        <f t="shared" si="2"/>
        <v>60</v>
      </c>
    </row>
    <row r="63" spans="1:24" ht="15.75">
      <c r="A63" s="5" t="s">
        <v>3937</v>
      </c>
      <c r="B63" s="5" t="s">
        <v>3938</v>
      </c>
      <c r="C63" s="5" t="s">
        <v>3936</v>
      </c>
      <c r="D63" s="5" t="s">
        <v>3859</v>
      </c>
      <c r="M63" s="54" t="s">
        <v>3494</v>
      </c>
      <c r="N63" s="12" t="s">
        <v>3614</v>
      </c>
      <c r="U63">
        <f t="shared" si="4"/>
        <v>9</v>
      </c>
      <c r="V63">
        <v>2024</v>
      </c>
      <c r="W63" t="str">
        <f t="shared" si="0"/>
        <v>2024 - 9</v>
      </c>
      <c r="X63">
        <f t="shared" si="2"/>
        <v>61</v>
      </c>
    </row>
    <row r="64" spans="1:24" ht="15.75">
      <c r="A64" s="5"/>
      <c r="B64" s="5"/>
      <c r="C64" s="5"/>
      <c r="D64" s="5"/>
      <c r="M64" s="54" t="s">
        <v>458</v>
      </c>
      <c r="N64" s="12" t="s">
        <v>3614</v>
      </c>
      <c r="U64">
        <f t="shared" si="4"/>
        <v>10</v>
      </c>
      <c r="V64">
        <v>2024</v>
      </c>
      <c r="W64" t="str">
        <f t="shared" si="0"/>
        <v>2024 - 10</v>
      </c>
      <c r="X64">
        <f t="shared" si="2"/>
        <v>62</v>
      </c>
    </row>
    <row r="65" spans="1:24" ht="15.75">
      <c r="A65" s="5" t="s">
        <v>3939</v>
      </c>
      <c r="B65" s="5" t="s">
        <v>3940</v>
      </c>
      <c r="C65" s="5" t="s">
        <v>3936</v>
      </c>
      <c r="D65" s="5" t="s">
        <v>3859</v>
      </c>
      <c r="M65" s="54" t="s">
        <v>56</v>
      </c>
      <c r="N65" s="12" t="s">
        <v>3614</v>
      </c>
      <c r="U65">
        <f t="shared" si="4"/>
        <v>11</v>
      </c>
      <c r="V65">
        <v>2024</v>
      </c>
      <c r="W65" t="str">
        <f t="shared" si="0"/>
        <v>2024 - 11</v>
      </c>
      <c r="X65">
        <f t="shared" si="2"/>
        <v>63</v>
      </c>
    </row>
    <row r="66" spans="1:24" ht="15.75">
      <c r="A66" s="5" t="s">
        <v>3941</v>
      </c>
      <c r="B66" s="5" t="s">
        <v>3942</v>
      </c>
      <c r="C66" s="5" t="s">
        <v>3936</v>
      </c>
      <c r="D66" s="5" t="s">
        <v>3859</v>
      </c>
      <c r="M66" s="54" t="s">
        <v>298</v>
      </c>
      <c r="N66" s="12" t="s">
        <v>3616</v>
      </c>
      <c r="U66">
        <f t="shared" si="4"/>
        <v>12</v>
      </c>
      <c r="V66">
        <v>2024</v>
      </c>
      <c r="W66" t="str">
        <f t="shared" si="0"/>
        <v>2024 - 12</v>
      </c>
      <c r="X66">
        <f t="shared" si="2"/>
        <v>64</v>
      </c>
    </row>
    <row r="67" spans="1:24" ht="15.75">
      <c r="A67" s="5" t="s">
        <v>3943</v>
      </c>
      <c r="B67" s="5" t="s">
        <v>3944</v>
      </c>
      <c r="C67" s="5" t="s">
        <v>3936</v>
      </c>
      <c r="D67" s="5" t="s">
        <v>3859</v>
      </c>
      <c r="M67" s="54" t="s">
        <v>972</v>
      </c>
      <c r="N67" s="12" t="s">
        <v>3614</v>
      </c>
      <c r="U67">
        <f t="shared" si="4"/>
        <v>13</v>
      </c>
      <c r="V67">
        <v>2024</v>
      </c>
      <c r="W67" t="str">
        <f t="shared" ref="W67:W130" si="5">CONCATENATE(V67," - ",U67)</f>
        <v>2024 - 13</v>
      </c>
      <c r="X67">
        <f t="shared" si="2"/>
        <v>65</v>
      </c>
    </row>
    <row r="68" spans="1:24" ht="15.75">
      <c r="A68" s="5" t="s">
        <v>3945</v>
      </c>
      <c r="B68" s="5" t="s">
        <v>3946</v>
      </c>
      <c r="C68" s="5" t="s">
        <v>3936</v>
      </c>
      <c r="D68" s="5" t="s">
        <v>3859</v>
      </c>
      <c r="M68" s="54" t="s">
        <v>3642</v>
      </c>
      <c r="N68" s="12" t="s">
        <v>3614</v>
      </c>
      <c r="U68">
        <f t="shared" si="4"/>
        <v>14</v>
      </c>
      <c r="V68">
        <v>2024</v>
      </c>
      <c r="W68" t="str">
        <f t="shared" si="5"/>
        <v>2024 - 14</v>
      </c>
      <c r="X68">
        <f t="shared" ref="X68:X131" si="6">+X67+1</f>
        <v>66</v>
      </c>
    </row>
    <row r="69" spans="1:24" ht="15.75">
      <c r="A69" s="5" t="s">
        <v>3947</v>
      </c>
      <c r="B69" s="5" t="s">
        <v>3948</v>
      </c>
      <c r="C69" s="5" t="s">
        <v>3936</v>
      </c>
      <c r="D69" s="5" t="s">
        <v>972</v>
      </c>
      <c r="M69" s="54" t="s">
        <v>3643</v>
      </c>
      <c r="N69" s="12" t="s">
        <v>3614</v>
      </c>
      <c r="U69">
        <f t="shared" si="4"/>
        <v>15</v>
      </c>
      <c r="V69">
        <v>2024</v>
      </c>
      <c r="W69" t="str">
        <f t="shared" si="5"/>
        <v>2024 - 15</v>
      </c>
      <c r="X69">
        <f t="shared" si="6"/>
        <v>67</v>
      </c>
    </row>
    <row r="70" spans="1:24" ht="15.75">
      <c r="A70" s="5"/>
      <c r="B70" s="5"/>
      <c r="C70" s="5"/>
      <c r="D70" s="5"/>
      <c r="M70" s="54" t="s">
        <v>27</v>
      </c>
      <c r="N70" s="12" t="s">
        <v>3614</v>
      </c>
      <c r="U70">
        <f t="shared" si="4"/>
        <v>16</v>
      </c>
      <c r="V70">
        <v>2024</v>
      </c>
      <c r="W70" t="str">
        <f t="shared" si="5"/>
        <v>2024 - 16</v>
      </c>
      <c r="X70">
        <f t="shared" si="6"/>
        <v>68</v>
      </c>
    </row>
    <row r="71" spans="1:24" ht="15.75">
      <c r="A71" s="5" t="s">
        <v>3949</v>
      </c>
      <c r="B71" s="5" t="s">
        <v>3950</v>
      </c>
      <c r="C71" s="5" t="s">
        <v>3936</v>
      </c>
      <c r="D71" s="5" t="s">
        <v>3859</v>
      </c>
      <c r="M71" s="54" t="s">
        <v>3644</v>
      </c>
      <c r="N71" s="12" t="s">
        <v>3614</v>
      </c>
      <c r="U71">
        <f t="shared" si="4"/>
        <v>17</v>
      </c>
      <c r="V71">
        <v>2024</v>
      </c>
      <c r="W71" t="str">
        <f t="shared" si="5"/>
        <v>2024 - 17</v>
      </c>
      <c r="X71">
        <f t="shared" si="6"/>
        <v>69</v>
      </c>
    </row>
    <row r="72" spans="1:24" ht="15.75">
      <c r="A72" s="5" t="s">
        <v>3951</v>
      </c>
      <c r="B72" s="5" t="s">
        <v>3952</v>
      </c>
      <c r="C72" s="5" t="s">
        <v>3953</v>
      </c>
      <c r="D72" s="5" t="s">
        <v>3954</v>
      </c>
      <c r="M72" s="54" t="s">
        <v>924</v>
      </c>
      <c r="N72" s="12" t="s">
        <v>3614</v>
      </c>
      <c r="U72">
        <f t="shared" si="4"/>
        <v>18</v>
      </c>
      <c r="V72">
        <v>2024</v>
      </c>
      <c r="W72" t="str">
        <f t="shared" si="5"/>
        <v>2024 - 18</v>
      </c>
      <c r="X72">
        <f t="shared" si="6"/>
        <v>70</v>
      </c>
    </row>
    <row r="73" spans="1:24" ht="15.75">
      <c r="A73" s="5" t="s">
        <v>3955</v>
      </c>
      <c r="B73" s="5" t="s">
        <v>3956</v>
      </c>
      <c r="C73" s="5" t="s">
        <v>3957</v>
      </c>
      <c r="D73" s="5" t="s">
        <v>27</v>
      </c>
      <c r="M73" s="54" t="s">
        <v>3645</v>
      </c>
      <c r="N73" s="12" t="s">
        <v>3614</v>
      </c>
      <c r="U73">
        <f t="shared" si="4"/>
        <v>19</v>
      </c>
      <c r="V73">
        <v>2024</v>
      </c>
      <c r="W73" t="str">
        <f t="shared" si="5"/>
        <v>2024 - 19</v>
      </c>
      <c r="X73">
        <f t="shared" si="6"/>
        <v>71</v>
      </c>
    </row>
    <row r="74" spans="1:24" ht="15.75">
      <c r="A74" s="5"/>
      <c r="B74" s="5"/>
      <c r="C74" s="5"/>
      <c r="D74" s="5"/>
      <c r="M74" s="54" t="s">
        <v>1305</v>
      </c>
      <c r="N74" s="12" t="s">
        <v>3616</v>
      </c>
      <c r="U74">
        <f t="shared" si="4"/>
        <v>20</v>
      </c>
      <c r="V74">
        <v>2024</v>
      </c>
      <c r="W74" t="str">
        <f t="shared" si="5"/>
        <v>2024 - 20</v>
      </c>
      <c r="X74">
        <f t="shared" si="6"/>
        <v>72</v>
      </c>
    </row>
    <row r="75" spans="1:24" ht="15.75">
      <c r="A75" s="5"/>
      <c r="B75" s="5"/>
      <c r="C75" s="5"/>
      <c r="D75" s="5"/>
      <c r="M75" s="54" t="s">
        <v>3647</v>
      </c>
      <c r="N75" s="12" t="s">
        <v>3614</v>
      </c>
      <c r="U75">
        <f t="shared" si="4"/>
        <v>21</v>
      </c>
      <c r="V75">
        <v>2024</v>
      </c>
      <c r="W75" t="str">
        <f t="shared" si="5"/>
        <v>2024 - 21</v>
      </c>
      <c r="X75">
        <f t="shared" si="6"/>
        <v>73</v>
      </c>
    </row>
    <row r="76" spans="1:24" ht="15.75">
      <c r="A76" s="5"/>
      <c r="B76" s="5"/>
      <c r="C76" s="5"/>
      <c r="D76" s="5"/>
      <c r="M76" s="54" t="s">
        <v>3242</v>
      </c>
      <c r="N76" s="12" t="s">
        <v>3616</v>
      </c>
      <c r="U76">
        <f t="shared" si="4"/>
        <v>22</v>
      </c>
      <c r="V76">
        <v>2024</v>
      </c>
      <c r="W76" t="str">
        <f t="shared" si="5"/>
        <v>2024 - 22</v>
      </c>
      <c r="X76">
        <f t="shared" si="6"/>
        <v>74</v>
      </c>
    </row>
    <row r="77" spans="1:24" ht="15.75">
      <c r="A77" s="5"/>
      <c r="B77" s="5"/>
      <c r="C77" s="5"/>
      <c r="D77" s="5"/>
      <c r="M77" s="54" t="s">
        <v>3958</v>
      </c>
      <c r="N77" s="12" t="s">
        <v>3809</v>
      </c>
      <c r="U77">
        <f t="shared" si="4"/>
        <v>23</v>
      </c>
      <c r="V77">
        <v>2024</v>
      </c>
      <c r="W77" t="str">
        <f t="shared" si="5"/>
        <v>2024 - 23</v>
      </c>
      <c r="X77">
        <f t="shared" si="6"/>
        <v>75</v>
      </c>
    </row>
    <row r="78" spans="1:24" ht="15.75">
      <c r="A78" s="5" t="s">
        <v>3959</v>
      </c>
      <c r="B78" s="5" t="s">
        <v>3960</v>
      </c>
      <c r="C78" s="5" t="s">
        <v>3957</v>
      </c>
      <c r="D78" s="5" t="s">
        <v>3859</v>
      </c>
      <c r="M78" s="54" t="s">
        <v>3961</v>
      </c>
      <c r="N78" s="12" t="s">
        <v>3809</v>
      </c>
      <c r="U78">
        <f t="shared" si="4"/>
        <v>24</v>
      </c>
      <c r="V78">
        <v>2024</v>
      </c>
      <c r="W78" t="str">
        <f t="shared" si="5"/>
        <v>2024 - 24</v>
      </c>
      <c r="X78">
        <f t="shared" si="6"/>
        <v>76</v>
      </c>
    </row>
    <row r="79" spans="1:24" ht="15.75">
      <c r="A79" s="5"/>
      <c r="B79" s="5"/>
      <c r="C79" s="5"/>
      <c r="D79" s="5"/>
      <c r="M79" s="54" t="s">
        <v>3648</v>
      </c>
      <c r="N79" s="12" t="s">
        <v>3796</v>
      </c>
      <c r="U79">
        <f t="shared" si="4"/>
        <v>25</v>
      </c>
      <c r="V79">
        <v>2024</v>
      </c>
      <c r="W79" t="str">
        <f t="shared" si="5"/>
        <v>2024 - 25</v>
      </c>
      <c r="X79">
        <f t="shared" si="6"/>
        <v>77</v>
      </c>
    </row>
    <row r="80" spans="1:24" ht="15.75">
      <c r="A80" s="5" t="s">
        <v>3962</v>
      </c>
      <c r="B80" s="5" t="s">
        <v>3963</v>
      </c>
      <c r="C80" s="5" t="s">
        <v>3957</v>
      </c>
      <c r="D80" s="5" t="s">
        <v>3859</v>
      </c>
      <c r="M80" s="54" t="s">
        <v>3649</v>
      </c>
      <c r="N80" s="12" t="s">
        <v>3614</v>
      </c>
      <c r="U80">
        <f t="shared" si="4"/>
        <v>26</v>
      </c>
      <c r="V80">
        <v>2024</v>
      </c>
      <c r="W80" t="str">
        <f t="shared" si="5"/>
        <v>2024 - 26</v>
      </c>
      <c r="X80">
        <f t="shared" si="6"/>
        <v>78</v>
      </c>
    </row>
    <row r="81" spans="1:24" ht="15.75">
      <c r="A81" s="5" t="s">
        <v>3964</v>
      </c>
      <c r="B81" s="5" t="s">
        <v>3965</v>
      </c>
      <c r="C81" s="5" t="s">
        <v>3957</v>
      </c>
      <c r="D81" s="5" t="s">
        <v>3648</v>
      </c>
      <c r="M81" s="54" t="s">
        <v>3966</v>
      </c>
      <c r="N81" s="12" t="s">
        <v>3796</v>
      </c>
      <c r="U81">
        <f t="shared" si="4"/>
        <v>27</v>
      </c>
      <c r="V81">
        <v>2024</v>
      </c>
      <c r="W81" t="str">
        <f t="shared" si="5"/>
        <v>2024 - 27</v>
      </c>
      <c r="X81">
        <f t="shared" si="6"/>
        <v>79</v>
      </c>
    </row>
    <row r="82" spans="1:24" ht="15.75">
      <c r="A82" s="5" t="s">
        <v>3967</v>
      </c>
      <c r="B82" s="5" t="s">
        <v>3968</v>
      </c>
      <c r="C82" s="5" t="s">
        <v>3957</v>
      </c>
      <c r="D82" s="5" t="s">
        <v>3859</v>
      </c>
      <c r="M82" s="54" t="s">
        <v>3650</v>
      </c>
      <c r="N82" s="12" t="s">
        <v>3614</v>
      </c>
      <c r="U82">
        <f t="shared" si="4"/>
        <v>28</v>
      </c>
      <c r="V82">
        <v>2024</v>
      </c>
      <c r="W82" t="str">
        <f t="shared" si="5"/>
        <v>2024 - 28</v>
      </c>
      <c r="X82">
        <f t="shared" si="6"/>
        <v>80</v>
      </c>
    </row>
    <row r="83" spans="1:24" ht="15.75">
      <c r="A83" s="5"/>
      <c r="B83" s="5"/>
      <c r="C83" s="5"/>
      <c r="D83" s="5"/>
      <c r="M83" s="54" t="s">
        <v>3651</v>
      </c>
      <c r="N83" s="12" t="s">
        <v>3614</v>
      </c>
      <c r="U83">
        <f t="shared" si="4"/>
        <v>29</v>
      </c>
      <c r="V83">
        <v>2024</v>
      </c>
      <c r="W83" t="str">
        <f t="shared" si="5"/>
        <v>2024 - 29</v>
      </c>
      <c r="X83">
        <f t="shared" si="6"/>
        <v>81</v>
      </c>
    </row>
    <row r="84" spans="1:24" ht="15.75">
      <c r="A84" s="5"/>
      <c r="B84" s="5"/>
      <c r="C84" s="5"/>
      <c r="D84" s="5"/>
      <c r="M84" s="54" t="s">
        <v>3652</v>
      </c>
      <c r="N84" s="12" t="s">
        <v>3614</v>
      </c>
      <c r="U84">
        <f t="shared" si="4"/>
        <v>30</v>
      </c>
      <c r="V84">
        <v>2024</v>
      </c>
      <c r="W84" t="str">
        <f t="shared" si="5"/>
        <v>2024 - 30</v>
      </c>
      <c r="X84">
        <f t="shared" si="6"/>
        <v>82</v>
      </c>
    </row>
    <row r="85" spans="1:24" ht="15.75">
      <c r="A85" s="5" t="s">
        <v>3969</v>
      </c>
      <c r="B85" s="5" t="s">
        <v>3970</v>
      </c>
      <c r="C85" s="5" t="s">
        <v>3957</v>
      </c>
      <c r="D85" s="5" t="s">
        <v>3859</v>
      </c>
      <c r="M85" s="54" t="s">
        <v>67</v>
      </c>
      <c r="N85" s="12" t="s">
        <v>3614</v>
      </c>
      <c r="U85">
        <f t="shared" si="4"/>
        <v>31</v>
      </c>
      <c r="V85">
        <v>2024</v>
      </c>
      <c r="W85" t="str">
        <f t="shared" si="5"/>
        <v>2024 - 31</v>
      </c>
      <c r="X85">
        <f t="shared" si="6"/>
        <v>83</v>
      </c>
    </row>
    <row r="86" spans="1:24" ht="15.75">
      <c r="A86" s="5" t="s">
        <v>3971</v>
      </c>
      <c r="B86" s="5" t="s">
        <v>3972</v>
      </c>
      <c r="C86" s="5" t="s">
        <v>3957</v>
      </c>
      <c r="D86" s="5" t="s">
        <v>3859</v>
      </c>
      <c r="M86" s="54" t="s">
        <v>2074</v>
      </c>
      <c r="N86" s="12" t="s">
        <v>3614</v>
      </c>
      <c r="U86">
        <f t="shared" si="4"/>
        <v>32</v>
      </c>
      <c r="V86">
        <v>2024</v>
      </c>
      <c r="W86" t="str">
        <f t="shared" si="5"/>
        <v>2024 - 32</v>
      </c>
      <c r="X86">
        <f t="shared" si="6"/>
        <v>84</v>
      </c>
    </row>
    <row r="87" spans="1:24" ht="15.75">
      <c r="A87" s="5" t="s">
        <v>3973</v>
      </c>
      <c r="B87" s="5" t="s">
        <v>3974</v>
      </c>
      <c r="C87" s="5" t="s">
        <v>3975</v>
      </c>
      <c r="D87" s="5" t="s">
        <v>3859</v>
      </c>
      <c r="M87" s="54" t="s">
        <v>2074</v>
      </c>
      <c r="N87" s="12" t="s">
        <v>3616</v>
      </c>
      <c r="U87">
        <f t="shared" si="4"/>
        <v>33</v>
      </c>
      <c r="V87">
        <v>2024</v>
      </c>
      <c r="W87" t="str">
        <f t="shared" si="5"/>
        <v>2024 - 33</v>
      </c>
      <c r="X87">
        <f t="shared" si="6"/>
        <v>85</v>
      </c>
    </row>
    <row r="88" spans="1:24" ht="15.75">
      <c r="A88" s="5" t="s">
        <v>3976</v>
      </c>
      <c r="B88" s="5" t="s">
        <v>3977</v>
      </c>
      <c r="C88" s="5" t="s">
        <v>3975</v>
      </c>
      <c r="D88" s="5" t="s">
        <v>3859</v>
      </c>
      <c r="M88" s="54" t="s">
        <v>202</v>
      </c>
      <c r="N88" s="12" t="s">
        <v>3614</v>
      </c>
      <c r="U88">
        <f t="shared" ref="U88:U106" si="7">+U87+1</f>
        <v>34</v>
      </c>
      <c r="V88">
        <v>2024</v>
      </c>
      <c r="W88" t="str">
        <f t="shared" si="5"/>
        <v>2024 - 34</v>
      </c>
      <c r="X88">
        <f t="shared" si="6"/>
        <v>86</v>
      </c>
    </row>
    <row r="89" spans="1:24" ht="15.75">
      <c r="A89" s="5" t="s">
        <v>3978</v>
      </c>
      <c r="B89" s="5" t="s">
        <v>3979</v>
      </c>
      <c r="C89" s="5" t="s">
        <v>3975</v>
      </c>
      <c r="D89" s="5" t="s">
        <v>3859</v>
      </c>
      <c r="M89" s="54" t="s">
        <v>1177</v>
      </c>
      <c r="N89" s="12" t="s">
        <v>3614</v>
      </c>
      <c r="U89">
        <f t="shared" si="7"/>
        <v>35</v>
      </c>
      <c r="V89">
        <v>2024</v>
      </c>
      <c r="W89" t="str">
        <f t="shared" si="5"/>
        <v>2024 - 35</v>
      </c>
      <c r="X89">
        <f t="shared" si="6"/>
        <v>87</v>
      </c>
    </row>
    <row r="90" spans="1:24" ht="15.75">
      <c r="A90" s="5" t="s">
        <v>3980</v>
      </c>
      <c r="B90" s="5" t="s">
        <v>3981</v>
      </c>
      <c r="C90" s="5" t="s">
        <v>3975</v>
      </c>
      <c r="D90" s="5" t="s">
        <v>3859</v>
      </c>
      <c r="M90" s="54" t="s">
        <v>70</v>
      </c>
      <c r="N90" s="12" t="s">
        <v>3614</v>
      </c>
      <c r="U90">
        <f t="shared" si="7"/>
        <v>36</v>
      </c>
      <c r="V90">
        <v>2024</v>
      </c>
      <c r="W90" t="str">
        <f t="shared" si="5"/>
        <v>2024 - 36</v>
      </c>
      <c r="X90">
        <f t="shared" si="6"/>
        <v>88</v>
      </c>
    </row>
    <row r="91" spans="1:24" ht="15.75">
      <c r="A91" s="5" t="s">
        <v>3982</v>
      </c>
      <c r="B91" s="5" t="s">
        <v>3983</v>
      </c>
      <c r="C91" s="5" t="s">
        <v>3975</v>
      </c>
      <c r="D91" s="5" t="s">
        <v>3859</v>
      </c>
      <c r="M91" s="54" t="s">
        <v>60</v>
      </c>
      <c r="N91" s="12" t="s">
        <v>3614</v>
      </c>
      <c r="U91">
        <f t="shared" si="7"/>
        <v>37</v>
      </c>
      <c r="V91">
        <v>2024</v>
      </c>
      <c r="W91" t="str">
        <f t="shared" si="5"/>
        <v>2024 - 37</v>
      </c>
      <c r="X91">
        <f t="shared" si="6"/>
        <v>89</v>
      </c>
    </row>
    <row r="92" spans="1:24" ht="15.75">
      <c r="A92" s="5" t="s">
        <v>3984</v>
      </c>
      <c r="B92" s="5" t="s">
        <v>3985</v>
      </c>
      <c r="C92" s="5" t="s">
        <v>3953</v>
      </c>
      <c r="D92" s="5" t="s">
        <v>3859</v>
      </c>
      <c r="M92" s="54" t="s">
        <v>3986</v>
      </c>
      <c r="N92" s="12" t="s">
        <v>3616</v>
      </c>
      <c r="U92">
        <f t="shared" si="7"/>
        <v>38</v>
      </c>
      <c r="V92">
        <v>2024</v>
      </c>
      <c r="W92" t="str">
        <f t="shared" si="5"/>
        <v>2024 - 38</v>
      </c>
      <c r="X92">
        <f t="shared" si="6"/>
        <v>90</v>
      </c>
    </row>
    <row r="93" spans="1:24" ht="15.75">
      <c r="A93" s="5" t="s">
        <v>3987</v>
      </c>
      <c r="B93" s="5" t="s">
        <v>3988</v>
      </c>
      <c r="C93" s="5" t="s">
        <v>3886</v>
      </c>
      <c r="D93" s="5" t="s">
        <v>3859</v>
      </c>
      <c r="M93" s="54" t="s">
        <v>3657</v>
      </c>
      <c r="N93" s="12" t="s">
        <v>3614</v>
      </c>
      <c r="U93">
        <f t="shared" si="7"/>
        <v>39</v>
      </c>
      <c r="V93">
        <v>2024</v>
      </c>
      <c r="W93" t="str">
        <f t="shared" si="5"/>
        <v>2024 - 39</v>
      </c>
      <c r="X93">
        <f t="shared" si="6"/>
        <v>91</v>
      </c>
    </row>
    <row r="94" spans="1:24" ht="15.75">
      <c r="A94" s="5" t="s">
        <v>3989</v>
      </c>
      <c r="B94" s="5" t="s">
        <v>3990</v>
      </c>
      <c r="C94" s="5" t="s">
        <v>3886</v>
      </c>
      <c r="D94" s="5" t="s">
        <v>3650</v>
      </c>
      <c r="M94" s="54" t="s">
        <v>3991</v>
      </c>
      <c r="N94" s="12" t="s">
        <v>3616</v>
      </c>
      <c r="U94">
        <f t="shared" si="7"/>
        <v>40</v>
      </c>
      <c r="V94">
        <v>2024</v>
      </c>
      <c r="W94" t="str">
        <f t="shared" si="5"/>
        <v>2024 - 40</v>
      </c>
      <c r="X94">
        <f t="shared" si="6"/>
        <v>92</v>
      </c>
    </row>
    <row r="95" spans="1:24" ht="15.75">
      <c r="A95" s="5" t="s">
        <v>3992</v>
      </c>
      <c r="B95" s="5" t="s">
        <v>3993</v>
      </c>
      <c r="C95" s="5" t="s">
        <v>3886</v>
      </c>
      <c r="D95" s="5" t="s">
        <v>3657</v>
      </c>
      <c r="M95" s="54" t="s">
        <v>3659</v>
      </c>
      <c r="N95" s="12" t="s">
        <v>3614</v>
      </c>
      <c r="U95">
        <f t="shared" si="7"/>
        <v>41</v>
      </c>
      <c r="V95">
        <v>2024</v>
      </c>
      <c r="W95" t="str">
        <f t="shared" si="5"/>
        <v>2024 - 41</v>
      </c>
      <c r="X95">
        <f t="shared" si="6"/>
        <v>93</v>
      </c>
    </row>
    <row r="96" spans="1:24" ht="15.75">
      <c r="A96" s="5" t="s">
        <v>3994</v>
      </c>
      <c r="B96" s="5" t="s">
        <v>3995</v>
      </c>
      <c r="C96" s="5" t="s">
        <v>3886</v>
      </c>
      <c r="D96" s="5" t="s">
        <v>3859</v>
      </c>
      <c r="M96" s="54" t="s">
        <v>3660</v>
      </c>
      <c r="N96" s="12" t="s">
        <v>3614</v>
      </c>
      <c r="U96">
        <f t="shared" si="7"/>
        <v>42</v>
      </c>
      <c r="V96">
        <v>2024</v>
      </c>
      <c r="W96" t="str">
        <f t="shared" si="5"/>
        <v>2024 - 42</v>
      </c>
      <c r="X96">
        <f t="shared" si="6"/>
        <v>94</v>
      </c>
    </row>
    <row r="97" spans="1:24" ht="15.75">
      <c r="A97" s="5" t="s">
        <v>3996</v>
      </c>
      <c r="B97" s="5" t="s">
        <v>3997</v>
      </c>
      <c r="C97" s="5" t="s">
        <v>3998</v>
      </c>
      <c r="D97" s="5" t="s">
        <v>3622</v>
      </c>
      <c r="M97" s="54" t="s">
        <v>1243</v>
      </c>
      <c r="N97" s="12" t="s">
        <v>3809</v>
      </c>
      <c r="U97">
        <f t="shared" si="7"/>
        <v>43</v>
      </c>
      <c r="V97">
        <v>2024</v>
      </c>
      <c r="W97" t="str">
        <f t="shared" si="5"/>
        <v>2024 - 43</v>
      </c>
      <c r="X97">
        <f t="shared" si="6"/>
        <v>95</v>
      </c>
    </row>
    <row r="98" spans="1:24" ht="15.75">
      <c r="A98" s="5" t="s">
        <v>3999</v>
      </c>
      <c r="B98" s="5" t="s">
        <v>4000</v>
      </c>
      <c r="C98" s="5" t="s">
        <v>3998</v>
      </c>
      <c r="D98" s="5" t="s">
        <v>3859</v>
      </c>
      <c r="M98" s="54" t="s">
        <v>236</v>
      </c>
      <c r="N98" s="12" t="s">
        <v>3809</v>
      </c>
      <c r="U98">
        <f t="shared" si="7"/>
        <v>44</v>
      </c>
      <c r="V98">
        <v>2024</v>
      </c>
      <c r="W98" t="str">
        <f t="shared" si="5"/>
        <v>2024 - 44</v>
      </c>
      <c r="X98">
        <f t="shared" si="6"/>
        <v>96</v>
      </c>
    </row>
    <row r="99" spans="1:24" ht="15.75">
      <c r="A99" s="5" t="s">
        <v>4001</v>
      </c>
      <c r="B99" s="5" t="s">
        <v>4002</v>
      </c>
      <c r="C99" s="5" t="s">
        <v>3998</v>
      </c>
      <c r="D99" s="5" t="s">
        <v>3634</v>
      </c>
      <c r="M99" s="54" t="s">
        <v>3661</v>
      </c>
      <c r="N99" s="12" t="s">
        <v>3614</v>
      </c>
      <c r="U99">
        <f t="shared" si="7"/>
        <v>45</v>
      </c>
      <c r="V99">
        <v>2024</v>
      </c>
      <c r="W99" t="str">
        <f t="shared" si="5"/>
        <v>2024 - 45</v>
      </c>
      <c r="X99">
        <f t="shared" si="6"/>
        <v>97</v>
      </c>
    </row>
    <row r="100" spans="1:24" ht="15.75">
      <c r="A100" s="5" t="s">
        <v>4003</v>
      </c>
      <c r="B100" s="5" t="s">
        <v>4004</v>
      </c>
      <c r="C100" s="5" t="s">
        <v>3998</v>
      </c>
      <c r="D100" s="5" t="s">
        <v>3859</v>
      </c>
      <c r="M100" s="54" t="s">
        <v>3662</v>
      </c>
      <c r="N100" s="12" t="s">
        <v>3614</v>
      </c>
      <c r="U100">
        <f t="shared" si="7"/>
        <v>46</v>
      </c>
      <c r="V100">
        <v>2024</v>
      </c>
      <c r="W100" t="str">
        <f t="shared" si="5"/>
        <v>2024 - 46</v>
      </c>
      <c r="X100">
        <f t="shared" si="6"/>
        <v>98</v>
      </c>
    </row>
    <row r="101" spans="1:24" ht="15.75">
      <c r="A101" s="5" t="s">
        <v>4005</v>
      </c>
      <c r="B101" s="5" t="s">
        <v>4006</v>
      </c>
      <c r="C101" s="5" t="s">
        <v>3998</v>
      </c>
      <c r="D101" s="5" t="s">
        <v>3859</v>
      </c>
      <c r="M101" s="54" t="s">
        <v>4007</v>
      </c>
      <c r="N101" s="12" t="s">
        <v>3614</v>
      </c>
      <c r="U101">
        <f t="shared" si="7"/>
        <v>47</v>
      </c>
      <c r="V101">
        <v>2024</v>
      </c>
      <c r="W101" t="str">
        <f t="shared" si="5"/>
        <v>2024 - 47</v>
      </c>
      <c r="X101">
        <f t="shared" si="6"/>
        <v>99</v>
      </c>
    </row>
    <row r="102" spans="1:24" ht="15.75">
      <c r="A102" s="5" t="s">
        <v>4008</v>
      </c>
      <c r="B102" s="5" t="s">
        <v>4009</v>
      </c>
      <c r="C102" s="5" t="s">
        <v>3998</v>
      </c>
      <c r="D102" s="5" t="s">
        <v>3859</v>
      </c>
      <c r="M102" s="54" t="s">
        <v>165</v>
      </c>
      <c r="N102" s="12" t="s">
        <v>3614</v>
      </c>
      <c r="U102">
        <f t="shared" si="7"/>
        <v>48</v>
      </c>
      <c r="V102">
        <v>2024</v>
      </c>
      <c r="W102" t="str">
        <f t="shared" si="5"/>
        <v>2024 - 48</v>
      </c>
      <c r="X102">
        <f t="shared" si="6"/>
        <v>100</v>
      </c>
    </row>
    <row r="103" spans="1:24" ht="15.75">
      <c r="A103" s="5"/>
      <c r="B103" s="5"/>
      <c r="C103" s="5"/>
      <c r="D103" s="5"/>
      <c r="M103" s="54" t="s">
        <v>222</v>
      </c>
      <c r="N103" s="12" t="s">
        <v>3614</v>
      </c>
      <c r="U103">
        <f t="shared" si="7"/>
        <v>49</v>
      </c>
      <c r="V103">
        <v>2024</v>
      </c>
      <c r="W103" t="str">
        <f t="shared" si="5"/>
        <v>2024 - 49</v>
      </c>
      <c r="X103">
        <f t="shared" si="6"/>
        <v>101</v>
      </c>
    </row>
    <row r="104" spans="1:24" ht="15.75">
      <c r="A104" s="5" t="s">
        <v>4010</v>
      </c>
      <c r="B104" s="5" t="s">
        <v>4011</v>
      </c>
      <c r="C104" s="5" t="s">
        <v>3998</v>
      </c>
      <c r="D104" s="5" t="s">
        <v>3633</v>
      </c>
      <c r="M104" s="54" t="s">
        <v>3669</v>
      </c>
      <c r="N104" s="12" t="s">
        <v>3614</v>
      </c>
      <c r="U104">
        <f t="shared" si="7"/>
        <v>50</v>
      </c>
      <c r="V104">
        <v>2024</v>
      </c>
      <c r="W104" t="str">
        <f t="shared" si="5"/>
        <v>2024 - 50</v>
      </c>
      <c r="X104">
        <f t="shared" si="6"/>
        <v>102</v>
      </c>
    </row>
    <row r="105" spans="1:24" ht="15.75">
      <c r="A105" s="5" t="s">
        <v>4012</v>
      </c>
      <c r="B105" s="5" t="s">
        <v>4013</v>
      </c>
      <c r="C105" s="5" t="s">
        <v>3998</v>
      </c>
      <c r="D105" s="5" t="s">
        <v>3859</v>
      </c>
      <c r="M105" s="54" t="s">
        <v>3670</v>
      </c>
      <c r="N105" s="12" t="s">
        <v>3614</v>
      </c>
      <c r="U105">
        <f t="shared" si="7"/>
        <v>51</v>
      </c>
      <c r="V105">
        <v>2024</v>
      </c>
      <c r="W105" t="str">
        <f t="shared" si="5"/>
        <v>2024 - 51</v>
      </c>
      <c r="X105">
        <f t="shared" si="6"/>
        <v>103</v>
      </c>
    </row>
    <row r="106" spans="1:24" ht="15.75">
      <c r="A106" s="5" t="s">
        <v>4014</v>
      </c>
      <c r="B106" s="5" t="s">
        <v>4015</v>
      </c>
      <c r="C106" s="5" t="s">
        <v>3998</v>
      </c>
      <c r="D106" s="5" t="s">
        <v>3859</v>
      </c>
      <c r="M106" s="54" t="s">
        <v>793</v>
      </c>
      <c r="N106" s="12" t="s">
        <v>3614</v>
      </c>
      <c r="U106">
        <f t="shared" si="7"/>
        <v>52</v>
      </c>
      <c r="V106">
        <v>2024</v>
      </c>
      <c r="W106" t="str">
        <f t="shared" si="5"/>
        <v>2024 - 52</v>
      </c>
      <c r="X106">
        <f t="shared" si="6"/>
        <v>104</v>
      </c>
    </row>
    <row r="107" spans="1:24" ht="15.75">
      <c r="A107" s="5" t="s">
        <v>4016</v>
      </c>
      <c r="B107" s="5" t="s">
        <v>4017</v>
      </c>
      <c r="C107" s="5" t="s">
        <v>4018</v>
      </c>
      <c r="D107" s="5" t="s">
        <v>3859</v>
      </c>
      <c r="M107" s="54" t="s">
        <v>4019</v>
      </c>
      <c r="N107" s="12" t="s">
        <v>3629</v>
      </c>
      <c r="U107">
        <v>1</v>
      </c>
      <c r="V107">
        <v>2025</v>
      </c>
      <c r="W107" t="str">
        <f t="shared" si="5"/>
        <v>2025 - 1</v>
      </c>
      <c r="X107">
        <f t="shared" si="6"/>
        <v>105</v>
      </c>
    </row>
    <row r="108" spans="1:24" ht="15.75">
      <c r="A108" s="5" t="s">
        <v>4020</v>
      </c>
      <c r="B108" s="5" t="s">
        <v>4021</v>
      </c>
      <c r="C108" s="5" t="s">
        <v>4018</v>
      </c>
      <c r="D108" s="5" t="s">
        <v>3859</v>
      </c>
      <c r="M108" s="54" t="s">
        <v>4022</v>
      </c>
      <c r="N108" s="12" t="s">
        <v>3629</v>
      </c>
      <c r="U108">
        <f t="shared" ref="U108:U139" si="8">+U107+1</f>
        <v>2</v>
      </c>
      <c r="V108">
        <v>2025</v>
      </c>
      <c r="W108" t="str">
        <f t="shared" si="5"/>
        <v>2025 - 2</v>
      </c>
      <c r="X108">
        <f t="shared" si="6"/>
        <v>106</v>
      </c>
    </row>
    <row r="109" spans="1:24" ht="15.75">
      <c r="A109" s="5"/>
      <c r="B109" s="5"/>
      <c r="C109" s="5"/>
      <c r="D109" s="5"/>
      <c r="M109" s="54" t="s">
        <v>3672</v>
      </c>
      <c r="N109" s="12" t="s">
        <v>3616</v>
      </c>
      <c r="U109">
        <f t="shared" si="8"/>
        <v>3</v>
      </c>
      <c r="V109">
        <v>2025</v>
      </c>
      <c r="W109" t="str">
        <f t="shared" si="5"/>
        <v>2025 - 3</v>
      </c>
      <c r="X109">
        <f t="shared" si="6"/>
        <v>107</v>
      </c>
    </row>
    <row r="110" spans="1:24" ht="15.75">
      <c r="A110" s="5" t="s">
        <v>4023</v>
      </c>
      <c r="B110" s="5" t="s">
        <v>4024</v>
      </c>
      <c r="C110" s="5" t="s">
        <v>4018</v>
      </c>
      <c r="D110" s="5" t="s">
        <v>3675</v>
      </c>
      <c r="M110" s="54" t="s">
        <v>4025</v>
      </c>
      <c r="N110" s="12" t="s">
        <v>3796</v>
      </c>
      <c r="U110">
        <f t="shared" si="8"/>
        <v>4</v>
      </c>
      <c r="V110">
        <v>2025</v>
      </c>
      <c r="W110" t="str">
        <f t="shared" si="5"/>
        <v>2025 - 4</v>
      </c>
      <c r="X110">
        <f t="shared" si="6"/>
        <v>108</v>
      </c>
    </row>
    <row r="111" spans="1:24" ht="15.75">
      <c r="A111" s="5" t="s">
        <v>4026</v>
      </c>
      <c r="B111" s="5" t="s">
        <v>4027</v>
      </c>
      <c r="C111" s="5" t="s">
        <v>4018</v>
      </c>
      <c r="D111" s="5" t="s">
        <v>3859</v>
      </c>
      <c r="M111" s="54" t="s">
        <v>3674</v>
      </c>
      <c r="N111" s="12" t="s">
        <v>3614</v>
      </c>
      <c r="U111">
        <f t="shared" si="8"/>
        <v>5</v>
      </c>
      <c r="V111">
        <v>2025</v>
      </c>
      <c r="W111" t="str">
        <f t="shared" si="5"/>
        <v>2025 - 5</v>
      </c>
      <c r="X111">
        <f t="shared" si="6"/>
        <v>109</v>
      </c>
    </row>
    <row r="112" spans="1:24" ht="15.75">
      <c r="A112" s="5" t="s">
        <v>4028</v>
      </c>
      <c r="B112" s="5" t="s">
        <v>4029</v>
      </c>
      <c r="C112" s="5" t="s">
        <v>4018</v>
      </c>
      <c r="D112" s="5" t="s">
        <v>4030</v>
      </c>
      <c r="M112" s="54" t="s">
        <v>3675</v>
      </c>
      <c r="N112" s="12" t="s">
        <v>3614</v>
      </c>
      <c r="U112">
        <f t="shared" si="8"/>
        <v>6</v>
      </c>
      <c r="V112">
        <v>2025</v>
      </c>
      <c r="W112" t="str">
        <f t="shared" si="5"/>
        <v>2025 - 6</v>
      </c>
      <c r="X112">
        <f t="shared" si="6"/>
        <v>110</v>
      </c>
    </row>
    <row r="113" spans="1:24" ht="15.75">
      <c r="A113" s="5" t="s">
        <v>4031</v>
      </c>
      <c r="B113" s="5" t="s">
        <v>4032</v>
      </c>
      <c r="C113" s="5" t="s">
        <v>4018</v>
      </c>
      <c r="D113" s="5" t="s">
        <v>67</v>
      </c>
      <c r="M113" s="54" t="s">
        <v>4033</v>
      </c>
      <c r="N113" s="12" t="s">
        <v>3809</v>
      </c>
      <c r="U113">
        <f t="shared" si="8"/>
        <v>7</v>
      </c>
      <c r="V113">
        <v>2025</v>
      </c>
      <c r="W113" t="str">
        <f t="shared" si="5"/>
        <v>2025 - 7</v>
      </c>
      <c r="X113">
        <f t="shared" si="6"/>
        <v>111</v>
      </c>
    </row>
    <row r="114" spans="1:24" ht="15.75">
      <c r="A114" s="5" t="s">
        <v>4034</v>
      </c>
      <c r="B114" s="5" t="s">
        <v>4035</v>
      </c>
      <c r="C114" s="5" t="s">
        <v>4036</v>
      </c>
      <c r="D114" s="5" t="s">
        <v>3859</v>
      </c>
      <c r="M114" s="54" t="s">
        <v>328</v>
      </c>
      <c r="N114" s="12" t="s">
        <v>3616</v>
      </c>
      <c r="U114">
        <f t="shared" si="8"/>
        <v>8</v>
      </c>
      <c r="V114">
        <v>2025</v>
      </c>
      <c r="W114" t="str">
        <f t="shared" si="5"/>
        <v>2025 - 8</v>
      </c>
      <c r="X114">
        <f t="shared" si="6"/>
        <v>112</v>
      </c>
    </row>
    <row r="115" spans="1:24" ht="15.75">
      <c r="A115" s="5" t="s">
        <v>4037</v>
      </c>
      <c r="B115" s="5" t="s">
        <v>4038</v>
      </c>
      <c r="C115" s="5" t="s">
        <v>4036</v>
      </c>
      <c r="D115" s="5" t="s">
        <v>3859</v>
      </c>
      <c r="M115" s="54" t="s">
        <v>3676</v>
      </c>
      <c r="N115" s="12" t="s">
        <v>3614</v>
      </c>
      <c r="U115">
        <f t="shared" si="8"/>
        <v>9</v>
      </c>
      <c r="V115">
        <v>2025</v>
      </c>
      <c r="W115" t="str">
        <f t="shared" si="5"/>
        <v>2025 - 9</v>
      </c>
      <c r="X115">
        <f t="shared" si="6"/>
        <v>113</v>
      </c>
    </row>
    <row r="116" spans="1:24" ht="15.75">
      <c r="A116" s="5" t="s">
        <v>4039</v>
      </c>
      <c r="B116" s="5" t="s">
        <v>4040</v>
      </c>
      <c r="C116" s="5" t="s">
        <v>4041</v>
      </c>
      <c r="D116" s="5" t="s">
        <v>165</v>
      </c>
      <c r="M116" s="54" t="s">
        <v>3677</v>
      </c>
      <c r="N116" s="12" t="s">
        <v>3614</v>
      </c>
      <c r="U116">
        <f t="shared" si="8"/>
        <v>10</v>
      </c>
      <c r="V116">
        <v>2025</v>
      </c>
      <c r="W116" t="str">
        <f t="shared" si="5"/>
        <v>2025 - 10</v>
      </c>
      <c r="X116">
        <f t="shared" si="6"/>
        <v>114</v>
      </c>
    </row>
    <row r="117" spans="1:24" ht="15.75">
      <c r="A117" s="5" t="s">
        <v>4042</v>
      </c>
      <c r="B117" s="5" t="s">
        <v>4043</v>
      </c>
      <c r="C117" s="5" t="s">
        <v>3975</v>
      </c>
      <c r="D117" s="5" t="s">
        <v>3859</v>
      </c>
      <c r="M117" s="54" t="s">
        <v>3679</v>
      </c>
      <c r="N117" s="12" t="s">
        <v>3614</v>
      </c>
      <c r="U117">
        <f t="shared" si="8"/>
        <v>11</v>
      </c>
      <c r="V117">
        <v>2025</v>
      </c>
      <c r="W117" t="str">
        <f t="shared" si="5"/>
        <v>2025 - 11</v>
      </c>
      <c r="X117">
        <f t="shared" si="6"/>
        <v>115</v>
      </c>
    </row>
    <row r="118" spans="1:24" ht="15.75">
      <c r="A118" s="5" t="s">
        <v>4044</v>
      </c>
      <c r="B118" s="5" t="s">
        <v>4045</v>
      </c>
      <c r="C118" s="5" t="s">
        <v>3803</v>
      </c>
      <c r="D118" s="5" t="s">
        <v>3859</v>
      </c>
      <c r="M118" s="54" t="s">
        <v>3679</v>
      </c>
      <c r="N118" s="12" t="s">
        <v>3614</v>
      </c>
      <c r="U118">
        <f t="shared" si="8"/>
        <v>12</v>
      </c>
      <c r="V118">
        <v>2025</v>
      </c>
      <c r="W118" t="str">
        <f t="shared" si="5"/>
        <v>2025 - 12</v>
      </c>
      <c r="X118">
        <f t="shared" si="6"/>
        <v>116</v>
      </c>
    </row>
    <row r="119" spans="1:24" ht="15.75">
      <c r="A119" s="5" t="s">
        <v>4046</v>
      </c>
      <c r="B119" s="5" t="s">
        <v>4047</v>
      </c>
      <c r="C119" s="5" t="s">
        <v>3803</v>
      </c>
      <c r="D119" s="5" t="s">
        <v>3859</v>
      </c>
      <c r="M119" s="54" t="s">
        <v>3680</v>
      </c>
      <c r="N119" s="12" t="s">
        <v>3614</v>
      </c>
      <c r="U119">
        <f t="shared" si="8"/>
        <v>13</v>
      </c>
      <c r="V119">
        <v>2025</v>
      </c>
      <c r="W119" t="str">
        <f t="shared" si="5"/>
        <v>2025 - 13</v>
      </c>
      <c r="X119">
        <f t="shared" si="6"/>
        <v>117</v>
      </c>
    </row>
    <row r="120" spans="1:24" ht="15.75">
      <c r="A120" s="5" t="s">
        <v>4048</v>
      </c>
      <c r="B120" s="5" t="s">
        <v>4049</v>
      </c>
      <c r="C120" s="5" t="s">
        <v>4036</v>
      </c>
      <c r="D120" s="5" t="s">
        <v>3859</v>
      </c>
      <c r="M120" s="54" t="s">
        <v>241</v>
      </c>
      <c r="N120" s="12" t="s">
        <v>3614</v>
      </c>
      <c r="U120">
        <f t="shared" si="8"/>
        <v>14</v>
      </c>
      <c r="V120">
        <v>2025</v>
      </c>
      <c r="W120" t="str">
        <f t="shared" si="5"/>
        <v>2025 - 14</v>
      </c>
      <c r="X120">
        <f t="shared" si="6"/>
        <v>118</v>
      </c>
    </row>
    <row r="121" spans="1:24" ht="15.75">
      <c r="A121" s="5"/>
      <c r="B121" s="5"/>
      <c r="C121" s="5"/>
      <c r="D121" s="5"/>
      <c r="M121" s="54" t="s">
        <v>4050</v>
      </c>
      <c r="N121" s="12" t="s">
        <v>3614</v>
      </c>
      <c r="U121">
        <f t="shared" si="8"/>
        <v>15</v>
      </c>
      <c r="V121">
        <v>2025</v>
      </c>
      <c r="W121" t="str">
        <f t="shared" si="5"/>
        <v>2025 - 15</v>
      </c>
      <c r="X121">
        <f t="shared" si="6"/>
        <v>119</v>
      </c>
    </row>
    <row r="122" spans="1:24" ht="15.75">
      <c r="A122" s="5" t="s">
        <v>4051</v>
      </c>
      <c r="B122" s="5" t="s">
        <v>4052</v>
      </c>
      <c r="C122" s="5" t="s">
        <v>4036</v>
      </c>
      <c r="D122" s="5" t="s">
        <v>3859</v>
      </c>
      <c r="M122" s="54" t="s">
        <v>4053</v>
      </c>
      <c r="N122" s="12" t="s">
        <v>3614</v>
      </c>
      <c r="U122">
        <f t="shared" si="8"/>
        <v>16</v>
      </c>
      <c r="V122">
        <v>2025</v>
      </c>
      <c r="W122" t="str">
        <f t="shared" si="5"/>
        <v>2025 - 16</v>
      </c>
      <c r="X122">
        <f t="shared" si="6"/>
        <v>120</v>
      </c>
    </row>
    <row r="123" spans="1:24" ht="15.75">
      <c r="A123" s="5"/>
      <c r="B123" s="5"/>
      <c r="C123" s="5"/>
      <c r="D123" s="5"/>
      <c r="M123" s="54" t="s">
        <v>1921</v>
      </c>
      <c r="N123" s="12" t="s">
        <v>3809</v>
      </c>
      <c r="U123">
        <f t="shared" si="8"/>
        <v>17</v>
      </c>
      <c r="V123">
        <v>2025</v>
      </c>
      <c r="W123" t="str">
        <f t="shared" si="5"/>
        <v>2025 - 17</v>
      </c>
      <c r="X123">
        <f t="shared" si="6"/>
        <v>121</v>
      </c>
    </row>
    <row r="124" spans="1:24" ht="15.75">
      <c r="A124" s="5"/>
      <c r="B124" s="5"/>
      <c r="C124" s="5"/>
      <c r="D124" s="5"/>
      <c r="M124" s="54" t="s">
        <v>4054</v>
      </c>
      <c r="N124" s="12" t="s">
        <v>3614</v>
      </c>
      <c r="U124">
        <f t="shared" si="8"/>
        <v>18</v>
      </c>
      <c r="V124">
        <v>2025</v>
      </c>
      <c r="W124" t="str">
        <f t="shared" si="5"/>
        <v>2025 - 18</v>
      </c>
      <c r="X124">
        <f t="shared" si="6"/>
        <v>122</v>
      </c>
    </row>
    <row r="125" spans="1:24" ht="15.75">
      <c r="A125" s="5"/>
      <c r="B125" s="5"/>
      <c r="C125" s="5"/>
      <c r="D125" s="5"/>
      <c r="M125" s="54" t="s">
        <v>4055</v>
      </c>
      <c r="N125" s="12" t="s">
        <v>3629</v>
      </c>
      <c r="U125">
        <f t="shared" si="8"/>
        <v>19</v>
      </c>
      <c r="V125">
        <v>2025</v>
      </c>
      <c r="W125" t="str">
        <f t="shared" si="5"/>
        <v>2025 - 19</v>
      </c>
      <c r="X125">
        <f t="shared" si="6"/>
        <v>123</v>
      </c>
    </row>
    <row r="126" spans="1:24" ht="15.75">
      <c r="A126" s="5"/>
      <c r="B126" s="5"/>
      <c r="C126" s="5"/>
      <c r="D126" s="5"/>
      <c r="M126" s="54" t="s">
        <v>4056</v>
      </c>
      <c r="N126" s="12" t="s">
        <v>3809</v>
      </c>
      <c r="U126">
        <f t="shared" si="8"/>
        <v>20</v>
      </c>
      <c r="V126">
        <v>2025</v>
      </c>
      <c r="W126" t="str">
        <f t="shared" si="5"/>
        <v>2025 - 20</v>
      </c>
      <c r="X126">
        <f t="shared" si="6"/>
        <v>124</v>
      </c>
    </row>
    <row r="127" spans="1:24" ht="15.75">
      <c r="A127" s="5"/>
      <c r="B127" s="5"/>
      <c r="C127" s="5"/>
      <c r="D127" s="5"/>
      <c r="M127" s="54" t="s">
        <v>4057</v>
      </c>
      <c r="N127" s="12" t="s">
        <v>3614</v>
      </c>
      <c r="U127">
        <f t="shared" si="8"/>
        <v>21</v>
      </c>
      <c r="V127">
        <v>2025</v>
      </c>
      <c r="W127" t="str">
        <f t="shared" si="5"/>
        <v>2025 - 21</v>
      </c>
      <c r="X127">
        <f t="shared" si="6"/>
        <v>125</v>
      </c>
    </row>
    <row r="128" spans="1:24" ht="15.75">
      <c r="A128" s="5"/>
      <c r="B128" s="5"/>
      <c r="C128" s="5"/>
      <c r="D128" s="5"/>
      <c r="M128" s="54" t="s">
        <v>77</v>
      </c>
      <c r="N128" s="12" t="s">
        <v>3614</v>
      </c>
      <c r="U128">
        <f t="shared" si="8"/>
        <v>22</v>
      </c>
      <c r="V128">
        <v>2025</v>
      </c>
      <c r="W128" t="str">
        <f t="shared" si="5"/>
        <v>2025 - 22</v>
      </c>
      <c r="X128">
        <f t="shared" si="6"/>
        <v>126</v>
      </c>
    </row>
    <row r="129" spans="1:24" ht="15.75">
      <c r="A129" s="5"/>
      <c r="B129" s="5"/>
      <c r="C129" s="5"/>
      <c r="D129" s="5"/>
      <c r="M129" s="54" t="s">
        <v>4058</v>
      </c>
      <c r="N129" s="12" t="s">
        <v>3796</v>
      </c>
      <c r="U129">
        <f t="shared" si="8"/>
        <v>23</v>
      </c>
      <c r="V129">
        <v>2025</v>
      </c>
      <c r="W129" t="str">
        <f t="shared" si="5"/>
        <v>2025 - 23</v>
      </c>
      <c r="X129">
        <f t="shared" si="6"/>
        <v>127</v>
      </c>
    </row>
    <row r="130" spans="1:24" ht="15.75">
      <c r="A130" s="5"/>
      <c r="B130" s="5"/>
      <c r="C130" s="5"/>
      <c r="D130" s="5"/>
      <c r="M130" s="54" t="s">
        <v>1083</v>
      </c>
      <c r="N130" s="12" t="s">
        <v>3614</v>
      </c>
      <c r="U130">
        <f t="shared" si="8"/>
        <v>24</v>
      </c>
      <c r="V130">
        <v>2025</v>
      </c>
      <c r="W130" t="str">
        <f t="shared" si="5"/>
        <v>2025 - 24</v>
      </c>
      <c r="X130">
        <f t="shared" si="6"/>
        <v>128</v>
      </c>
    </row>
    <row r="131" spans="1:24" ht="15.75">
      <c r="A131" s="5"/>
      <c r="B131" s="5"/>
      <c r="C131" s="5"/>
      <c r="D131" s="5"/>
      <c r="M131" s="54" t="s">
        <v>4059</v>
      </c>
      <c r="N131" s="12" t="s">
        <v>3616</v>
      </c>
      <c r="U131">
        <f t="shared" si="8"/>
        <v>25</v>
      </c>
      <c r="V131">
        <v>2025</v>
      </c>
      <c r="W131" t="str">
        <f t="shared" ref="W131:W194" si="9">CONCATENATE(V131," - ",U131)</f>
        <v>2025 - 25</v>
      </c>
      <c r="X131">
        <f t="shared" si="6"/>
        <v>129</v>
      </c>
    </row>
    <row r="132" spans="1:24" ht="15.75">
      <c r="A132" s="5"/>
      <c r="B132" s="5"/>
      <c r="C132" s="5"/>
      <c r="D132" s="5"/>
      <c r="M132" s="54" t="s">
        <v>4060</v>
      </c>
      <c r="N132" s="12" t="s">
        <v>3614</v>
      </c>
      <c r="U132">
        <f t="shared" si="8"/>
        <v>26</v>
      </c>
      <c r="V132">
        <v>2025</v>
      </c>
      <c r="W132" t="str">
        <f t="shared" si="9"/>
        <v>2025 - 26</v>
      </c>
      <c r="X132">
        <f t="shared" ref="X132:X195" si="10">+X131+1</f>
        <v>130</v>
      </c>
    </row>
    <row r="133" spans="1:24" ht="15.75">
      <c r="A133" s="5"/>
      <c r="B133" s="5"/>
      <c r="C133" s="5"/>
      <c r="D133" s="5"/>
      <c r="M133" s="54" t="s">
        <v>4061</v>
      </c>
      <c r="N133" s="12" t="s">
        <v>3796</v>
      </c>
      <c r="U133">
        <f t="shared" si="8"/>
        <v>27</v>
      </c>
      <c r="V133">
        <v>2025</v>
      </c>
      <c r="W133" t="str">
        <f t="shared" si="9"/>
        <v>2025 - 27</v>
      </c>
      <c r="X133">
        <f t="shared" si="10"/>
        <v>131</v>
      </c>
    </row>
    <row r="134" spans="1:24" ht="15.75">
      <c r="A134" s="5"/>
      <c r="B134" s="5"/>
      <c r="C134" s="5"/>
      <c r="D134" s="5"/>
      <c r="M134" s="54" t="s">
        <v>4062</v>
      </c>
      <c r="N134" s="12" t="s">
        <v>3616</v>
      </c>
      <c r="U134">
        <f t="shared" si="8"/>
        <v>28</v>
      </c>
      <c r="V134">
        <v>2025</v>
      </c>
      <c r="W134" t="str">
        <f t="shared" si="9"/>
        <v>2025 - 28</v>
      </c>
      <c r="X134">
        <f t="shared" si="10"/>
        <v>132</v>
      </c>
    </row>
    <row r="135" spans="1:24" ht="15.75">
      <c r="A135" s="5"/>
      <c r="B135" s="5"/>
      <c r="C135" s="5"/>
      <c r="D135" s="5"/>
      <c r="M135" s="54" t="s">
        <v>4063</v>
      </c>
      <c r="N135" s="12" t="s">
        <v>3811</v>
      </c>
      <c r="U135">
        <f t="shared" si="8"/>
        <v>29</v>
      </c>
      <c r="V135">
        <v>2025</v>
      </c>
      <c r="W135" t="str">
        <f t="shared" si="9"/>
        <v>2025 - 29</v>
      </c>
      <c r="X135">
        <f t="shared" si="10"/>
        <v>133</v>
      </c>
    </row>
    <row r="136" spans="1:24" ht="15.75">
      <c r="A136" s="5"/>
      <c r="B136" s="5"/>
      <c r="C136" s="5"/>
      <c r="D136" s="5"/>
      <c r="M136" s="54" t="s">
        <v>4064</v>
      </c>
      <c r="N136" s="12" t="s">
        <v>3614</v>
      </c>
      <c r="U136">
        <f t="shared" si="8"/>
        <v>30</v>
      </c>
      <c r="V136">
        <v>2025</v>
      </c>
      <c r="W136" t="str">
        <f t="shared" si="9"/>
        <v>2025 - 30</v>
      </c>
      <c r="X136">
        <f t="shared" si="10"/>
        <v>134</v>
      </c>
    </row>
    <row r="137" spans="1:24" ht="15.75">
      <c r="A137" s="5"/>
      <c r="B137" s="5"/>
      <c r="C137" s="5"/>
      <c r="D137" s="5"/>
      <c r="M137" s="54" t="s">
        <v>4065</v>
      </c>
      <c r="N137" s="12" t="s">
        <v>3796</v>
      </c>
      <c r="U137">
        <f t="shared" si="8"/>
        <v>31</v>
      </c>
      <c r="V137">
        <v>2025</v>
      </c>
      <c r="W137" t="str">
        <f t="shared" si="9"/>
        <v>2025 - 31</v>
      </c>
      <c r="X137">
        <f t="shared" si="10"/>
        <v>135</v>
      </c>
    </row>
    <row r="138" spans="1:24" ht="15.75">
      <c r="A138" s="5" t="s">
        <v>4066</v>
      </c>
      <c r="B138" s="5" t="s">
        <v>4067</v>
      </c>
      <c r="C138" s="5" t="s">
        <v>4036</v>
      </c>
      <c r="D138" s="5" t="s">
        <v>3859</v>
      </c>
      <c r="M138" s="54" t="s">
        <v>4068</v>
      </c>
      <c r="N138" s="12" t="s">
        <v>3616</v>
      </c>
      <c r="U138">
        <f t="shared" si="8"/>
        <v>32</v>
      </c>
      <c r="V138">
        <v>2025</v>
      </c>
      <c r="W138" t="str">
        <f t="shared" si="9"/>
        <v>2025 - 32</v>
      </c>
      <c r="X138">
        <f t="shared" si="10"/>
        <v>136</v>
      </c>
    </row>
    <row r="139" spans="1:24" ht="15.75">
      <c r="A139" s="5"/>
      <c r="B139" s="5"/>
      <c r="C139" s="5"/>
      <c r="D139" s="5"/>
      <c r="M139" s="54" t="s">
        <v>4069</v>
      </c>
      <c r="N139" s="12" t="s">
        <v>3614</v>
      </c>
      <c r="U139">
        <f t="shared" si="8"/>
        <v>33</v>
      </c>
      <c r="V139">
        <v>2025</v>
      </c>
      <c r="W139" t="str">
        <f t="shared" si="9"/>
        <v>2025 - 33</v>
      </c>
      <c r="X139">
        <f t="shared" si="10"/>
        <v>137</v>
      </c>
    </row>
    <row r="140" spans="1:24" ht="15.75">
      <c r="A140" s="5"/>
      <c r="B140" s="5"/>
      <c r="C140" s="5"/>
      <c r="D140" s="5"/>
      <c r="M140" s="54" t="s">
        <v>4070</v>
      </c>
      <c r="N140" s="12" t="s">
        <v>3629</v>
      </c>
      <c r="U140">
        <f t="shared" ref="U140:U158" si="11">+U139+1</f>
        <v>34</v>
      </c>
      <c r="V140">
        <v>2025</v>
      </c>
      <c r="W140" t="str">
        <f t="shared" si="9"/>
        <v>2025 - 34</v>
      </c>
      <c r="X140">
        <f t="shared" si="10"/>
        <v>138</v>
      </c>
    </row>
    <row r="141" spans="1:24" ht="15.75">
      <c r="A141" s="5"/>
      <c r="B141" s="5"/>
      <c r="C141" s="5"/>
      <c r="D141" s="5"/>
      <c r="M141" s="54" t="s">
        <v>4071</v>
      </c>
      <c r="N141" s="12" t="s">
        <v>3796</v>
      </c>
      <c r="U141">
        <f t="shared" si="11"/>
        <v>35</v>
      </c>
      <c r="V141">
        <v>2025</v>
      </c>
      <c r="W141" t="str">
        <f t="shared" si="9"/>
        <v>2025 - 35</v>
      </c>
      <c r="X141">
        <f t="shared" si="10"/>
        <v>139</v>
      </c>
    </row>
    <row r="142" spans="1:24" ht="15.75">
      <c r="A142" s="5"/>
      <c r="B142" s="5"/>
      <c r="C142" s="5"/>
      <c r="D142" s="5"/>
      <c r="M142" s="54" t="s">
        <v>4072</v>
      </c>
      <c r="N142" s="12" t="s">
        <v>3614</v>
      </c>
      <c r="U142">
        <f t="shared" si="11"/>
        <v>36</v>
      </c>
      <c r="V142">
        <v>2025</v>
      </c>
      <c r="W142" t="str">
        <f t="shared" si="9"/>
        <v>2025 - 36</v>
      </c>
      <c r="X142">
        <f t="shared" si="10"/>
        <v>140</v>
      </c>
    </row>
    <row r="143" spans="1:24" ht="15.75">
      <c r="A143" s="5" t="s">
        <v>4073</v>
      </c>
      <c r="B143" s="5" t="s">
        <v>4074</v>
      </c>
      <c r="C143" s="5" t="s">
        <v>3803</v>
      </c>
      <c r="D143" s="5" t="s">
        <v>3859</v>
      </c>
      <c r="M143" s="54" t="s">
        <v>4075</v>
      </c>
      <c r="N143" s="12" t="s">
        <v>3809</v>
      </c>
      <c r="U143">
        <f t="shared" si="11"/>
        <v>37</v>
      </c>
      <c r="V143">
        <v>2025</v>
      </c>
      <c r="W143" t="str">
        <f t="shared" si="9"/>
        <v>2025 - 37</v>
      </c>
      <c r="X143">
        <f t="shared" si="10"/>
        <v>141</v>
      </c>
    </row>
    <row r="144" spans="1:24" ht="15.75">
      <c r="A144" s="5" t="s">
        <v>4076</v>
      </c>
      <c r="B144" s="5" t="s">
        <v>4077</v>
      </c>
      <c r="C144" s="5" t="s">
        <v>3803</v>
      </c>
      <c r="D144" s="5" t="s">
        <v>3859</v>
      </c>
      <c r="M144" s="84" t="s">
        <v>42</v>
      </c>
      <c r="N144" s="85" t="s">
        <v>3614</v>
      </c>
      <c r="U144">
        <f t="shared" si="11"/>
        <v>38</v>
      </c>
      <c r="V144">
        <v>2025</v>
      </c>
      <c r="W144" t="str">
        <f t="shared" si="9"/>
        <v>2025 - 38</v>
      </c>
      <c r="X144">
        <f t="shared" si="10"/>
        <v>142</v>
      </c>
    </row>
    <row r="145" spans="1:24" ht="15.75">
      <c r="A145" s="5" t="s">
        <v>4078</v>
      </c>
      <c r="B145" s="5" t="s">
        <v>4079</v>
      </c>
      <c r="C145" s="5" t="s">
        <v>3803</v>
      </c>
      <c r="D145" s="5" t="s">
        <v>3859</v>
      </c>
      <c r="M145" s="84" t="s">
        <v>1543</v>
      </c>
      <c r="N145" s="85" t="s">
        <v>3629</v>
      </c>
      <c r="U145">
        <f t="shared" si="11"/>
        <v>39</v>
      </c>
      <c r="V145">
        <v>2025</v>
      </c>
      <c r="W145" t="str">
        <f t="shared" si="9"/>
        <v>2025 - 39</v>
      </c>
      <c r="X145">
        <f t="shared" si="10"/>
        <v>143</v>
      </c>
    </row>
    <row r="146" spans="1:24" ht="15.75">
      <c r="A146" s="5" t="s">
        <v>4080</v>
      </c>
      <c r="B146" s="5" t="s">
        <v>4081</v>
      </c>
      <c r="C146" s="5" t="s">
        <v>3803</v>
      </c>
      <c r="D146" s="5" t="s">
        <v>3859</v>
      </c>
      <c r="M146" s="84" t="s">
        <v>4082</v>
      </c>
      <c r="N146" s="85" t="s">
        <v>3616</v>
      </c>
      <c r="U146">
        <f t="shared" si="11"/>
        <v>40</v>
      </c>
      <c r="V146">
        <v>2025</v>
      </c>
      <c r="W146" t="str">
        <f t="shared" si="9"/>
        <v>2025 - 40</v>
      </c>
      <c r="X146">
        <f t="shared" si="10"/>
        <v>144</v>
      </c>
    </row>
    <row r="147" spans="1:24" ht="15.75">
      <c r="A147" s="5"/>
      <c r="B147" s="5"/>
      <c r="C147" s="5"/>
      <c r="D147" s="5"/>
      <c r="M147" s="84" t="s">
        <v>4083</v>
      </c>
      <c r="N147" s="85" t="s">
        <v>3614</v>
      </c>
      <c r="U147">
        <f t="shared" si="11"/>
        <v>41</v>
      </c>
      <c r="V147">
        <v>2025</v>
      </c>
      <c r="W147" t="str">
        <f t="shared" si="9"/>
        <v>2025 - 41</v>
      </c>
      <c r="X147">
        <f t="shared" si="10"/>
        <v>145</v>
      </c>
    </row>
    <row r="148" spans="1:24" ht="15.75">
      <c r="A148" s="5"/>
      <c r="B148" s="5"/>
      <c r="C148" s="5"/>
      <c r="D148" s="5"/>
      <c r="M148" s="84" t="s">
        <v>64</v>
      </c>
      <c r="N148" s="85" t="s">
        <v>3614</v>
      </c>
      <c r="U148">
        <f t="shared" si="11"/>
        <v>42</v>
      </c>
      <c r="V148">
        <v>2025</v>
      </c>
      <c r="W148" t="str">
        <f t="shared" si="9"/>
        <v>2025 - 42</v>
      </c>
      <c r="X148">
        <f t="shared" si="10"/>
        <v>146</v>
      </c>
    </row>
    <row r="149" spans="1:24" ht="15.75">
      <c r="A149" s="5" t="s">
        <v>4084</v>
      </c>
      <c r="B149" s="5" t="s">
        <v>4085</v>
      </c>
      <c r="C149" s="5" t="s">
        <v>4086</v>
      </c>
      <c r="D149" s="5" t="s">
        <v>3859</v>
      </c>
      <c r="M149" s="84" t="s">
        <v>1410</v>
      </c>
      <c r="N149" s="85" t="s">
        <v>3614</v>
      </c>
      <c r="U149">
        <f t="shared" si="11"/>
        <v>43</v>
      </c>
      <c r="V149">
        <v>2025</v>
      </c>
      <c r="W149" t="str">
        <f t="shared" si="9"/>
        <v>2025 - 43</v>
      </c>
      <c r="X149">
        <f t="shared" si="10"/>
        <v>147</v>
      </c>
    </row>
    <row r="150" spans="1:24" ht="15.75">
      <c r="A150" s="5" t="s">
        <v>4087</v>
      </c>
      <c r="B150" s="5" t="s">
        <v>4088</v>
      </c>
      <c r="C150" s="5" t="s">
        <v>3975</v>
      </c>
      <c r="D150" s="5" t="s">
        <v>3859</v>
      </c>
      <c r="M150" s="84" t="s">
        <v>4089</v>
      </c>
      <c r="N150" s="85" t="s">
        <v>3616</v>
      </c>
      <c r="U150">
        <f t="shared" si="11"/>
        <v>44</v>
      </c>
      <c r="V150">
        <v>2025</v>
      </c>
      <c r="W150" t="str">
        <f t="shared" si="9"/>
        <v>2025 - 44</v>
      </c>
      <c r="X150">
        <f t="shared" si="10"/>
        <v>148</v>
      </c>
    </row>
    <row r="151" spans="1:24" ht="15.75">
      <c r="A151" s="5" t="s">
        <v>4090</v>
      </c>
      <c r="B151" s="5" t="s">
        <v>4091</v>
      </c>
      <c r="C151" s="5" t="s">
        <v>3792</v>
      </c>
      <c r="D151" s="5" t="s">
        <v>3859</v>
      </c>
      <c r="M151" s="84" t="s">
        <v>103</v>
      </c>
      <c r="N151" s="85" t="s">
        <v>3616</v>
      </c>
      <c r="U151">
        <f t="shared" si="11"/>
        <v>45</v>
      </c>
      <c r="V151">
        <v>2025</v>
      </c>
      <c r="W151" t="str">
        <f t="shared" si="9"/>
        <v>2025 - 45</v>
      </c>
      <c r="X151">
        <f t="shared" si="10"/>
        <v>149</v>
      </c>
    </row>
    <row r="152" spans="1:24" ht="15.75">
      <c r="A152" s="5" t="s">
        <v>4092</v>
      </c>
      <c r="B152" s="5" t="s">
        <v>4093</v>
      </c>
      <c r="C152" s="5" t="s">
        <v>4094</v>
      </c>
      <c r="D152" s="5" t="s">
        <v>3859</v>
      </c>
      <c r="M152" s="84" t="s">
        <v>1205</v>
      </c>
      <c r="N152" s="85" t="s">
        <v>3614</v>
      </c>
      <c r="U152">
        <f t="shared" si="11"/>
        <v>46</v>
      </c>
      <c r="V152">
        <v>2025</v>
      </c>
      <c r="W152" t="str">
        <f t="shared" si="9"/>
        <v>2025 - 46</v>
      </c>
      <c r="X152">
        <f t="shared" si="10"/>
        <v>150</v>
      </c>
    </row>
    <row r="153" spans="1:24" ht="15.75">
      <c r="A153" s="5" t="s">
        <v>4095</v>
      </c>
      <c r="B153" s="5" t="s">
        <v>4096</v>
      </c>
      <c r="C153" s="5" t="s">
        <v>3660</v>
      </c>
      <c r="D153" s="5" t="s">
        <v>3859</v>
      </c>
      <c r="M153" s="84" t="s">
        <v>4097</v>
      </c>
      <c r="N153" s="85" t="s">
        <v>3629</v>
      </c>
      <c r="U153">
        <f t="shared" si="11"/>
        <v>47</v>
      </c>
      <c r="V153">
        <v>2025</v>
      </c>
      <c r="W153" t="str">
        <f t="shared" si="9"/>
        <v>2025 - 47</v>
      </c>
      <c r="X153">
        <f t="shared" si="10"/>
        <v>151</v>
      </c>
    </row>
    <row r="154" spans="1:24" ht="15.75">
      <c r="A154" s="5" t="s">
        <v>4098</v>
      </c>
      <c r="B154" s="5" t="s">
        <v>4099</v>
      </c>
      <c r="C154" s="5" t="s">
        <v>3660</v>
      </c>
      <c r="D154" s="5" t="s">
        <v>3859</v>
      </c>
      <c r="M154" s="84" t="s">
        <v>4100</v>
      </c>
      <c r="N154" s="85" t="s">
        <v>3614</v>
      </c>
      <c r="U154">
        <f t="shared" si="11"/>
        <v>48</v>
      </c>
      <c r="V154">
        <v>2025</v>
      </c>
      <c r="W154" t="str">
        <f t="shared" si="9"/>
        <v>2025 - 48</v>
      </c>
      <c r="X154">
        <f t="shared" si="10"/>
        <v>152</v>
      </c>
    </row>
    <row r="155" spans="1:24" ht="15.75">
      <c r="A155" s="5"/>
      <c r="B155" s="5"/>
      <c r="C155" s="5"/>
      <c r="D155" s="5"/>
      <c r="M155" s="84" t="s">
        <v>4101</v>
      </c>
      <c r="N155" s="85" t="s">
        <v>3616</v>
      </c>
      <c r="U155">
        <f t="shared" si="11"/>
        <v>49</v>
      </c>
      <c r="V155">
        <v>2025</v>
      </c>
      <c r="W155" t="str">
        <f t="shared" si="9"/>
        <v>2025 - 49</v>
      </c>
      <c r="X155">
        <f t="shared" si="10"/>
        <v>153</v>
      </c>
    </row>
    <row r="156" spans="1:24" ht="15.75">
      <c r="A156" s="5" t="s">
        <v>4102</v>
      </c>
      <c r="B156" s="5" t="s">
        <v>4103</v>
      </c>
      <c r="C156" s="5" t="s">
        <v>3660</v>
      </c>
      <c r="D156" s="5" t="s">
        <v>3859</v>
      </c>
      <c r="M156" s="84" t="s">
        <v>4104</v>
      </c>
      <c r="N156" s="85" t="s">
        <v>3629</v>
      </c>
      <c r="U156">
        <f t="shared" si="11"/>
        <v>50</v>
      </c>
      <c r="V156">
        <v>2025</v>
      </c>
      <c r="W156" t="str">
        <f t="shared" si="9"/>
        <v>2025 - 50</v>
      </c>
      <c r="X156">
        <f t="shared" si="10"/>
        <v>154</v>
      </c>
    </row>
    <row r="157" spans="1:24" ht="15.75">
      <c r="A157" s="5" t="s">
        <v>4105</v>
      </c>
      <c r="B157" s="5" t="s">
        <v>4106</v>
      </c>
      <c r="C157" s="5" t="s">
        <v>4107</v>
      </c>
      <c r="D157" s="5" t="s">
        <v>3859</v>
      </c>
      <c r="M157" s="84" t="s">
        <v>4108</v>
      </c>
      <c r="N157" s="85" t="s">
        <v>3614</v>
      </c>
      <c r="U157">
        <f t="shared" si="11"/>
        <v>51</v>
      </c>
      <c r="V157">
        <v>2025</v>
      </c>
      <c r="W157" t="str">
        <f t="shared" si="9"/>
        <v>2025 - 51</v>
      </c>
      <c r="X157">
        <f t="shared" si="10"/>
        <v>155</v>
      </c>
    </row>
    <row r="158" spans="1:24" ht="15.75">
      <c r="A158" s="5" t="s">
        <v>4109</v>
      </c>
      <c r="B158" s="5" t="s">
        <v>4110</v>
      </c>
      <c r="C158" s="5" t="s">
        <v>4107</v>
      </c>
      <c r="D158" s="5" t="s">
        <v>3859</v>
      </c>
      <c r="M158" s="84" t="s">
        <v>4111</v>
      </c>
      <c r="N158" s="85" t="s">
        <v>3616</v>
      </c>
      <c r="U158">
        <f t="shared" si="11"/>
        <v>52</v>
      </c>
      <c r="V158">
        <v>2025</v>
      </c>
      <c r="W158" t="str">
        <f t="shared" si="9"/>
        <v>2025 - 52</v>
      </c>
      <c r="X158">
        <f t="shared" si="10"/>
        <v>156</v>
      </c>
    </row>
    <row r="159" spans="1:24" ht="15.75">
      <c r="A159" s="5" t="s">
        <v>4112</v>
      </c>
      <c r="B159" s="5" t="s">
        <v>4113</v>
      </c>
      <c r="C159" s="5" t="s">
        <v>4114</v>
      </c>
      <c r="D159" s="5" t="s">
        <v>3644</v>
      </c>
      <c r="M159" s="84" t="s">
        <v>4115</v>
      </c>
      <c r="N159" s="85" t="s">
        <v>3616</v>
      </c>
      <c r="U159">
        <v>1</v>
      </c>
      <c r="V159">
        <v>2026</v>
      </c>
      <c r="W159" t="str">
        <f t="shared" si="9"/>
        <v>2026 - 1</v>
      </c>
      <c r="X159">
        <f t="shared" si="10"/>
        <v>157</v>
      </c>
    </row>
    <row r="160" spans="1:24" ht="15.75">
      <c r="A160" s="5" t="s">
        <v>4116</v>
      </c>
      <c r="B160" s="5" t="s">
        <v>4117</v>
      </c>
      <c r="C160" s="5" t="s">
        <v>4114</v>
      </c>
      <c r="D160" s="5" t="s">
        <v>3859</v>
      </c>
      <c r="M160" s="84" t="s">
        <v>4118</v>
      </c>
      <c r="N160" s="85" t="s">
        <v>3796</v>
      </c>
      <c r="U160">
        <f t="shared" ref="U160:U191" si="12">+U159+1</f>
        <v>2</v>
      </c>
      <c r="V160">
        <v>2026</v>
      </c>
      <c r="W160" t="str">
        <f t="shared" si="9"/>
        <v>2026 - 2</v>
      </c>
      <c r="X160">
        <f t="shared" si="10"/>
        <v>158</v>
      </c>
    </row>
    <row r="161" spans="1:24" ht="15.75">
      <c r="A161" s="5" t="s">
        <v>4119</v>
      </c>
      <c r="B161" s="5" t="s">
        <v>4120</v>
      </c>
      <c r="C161" s="5" t="s">
        <v>4114</v>
      </c>
      <c r="D161" s="5" t="s">
        <v>3859</v>
      </c>
      <c r="M161" s="84" t="s">
        <v>4121</v>
      </c>
      <c r="N161" s="85" t="s">
        <v>3796</v>
      </c>
      <c r="U161">
        <f t="shared" si="12"/>
        <v>3</v>
      </c>
      <c r="V161">
        <v>2026</v>
      </c>
      <c r="W161" t="str">
        <f t="shared" si="9"/>
        <v>2026 - 3</v>
      </c>
      <c r="X161">
        <f t="shared" si="10"/>
        <v>159</v>
      </c>
    </row>
    <row r="162" spans="1:24" ht="15.75">
      <c r="A162" s="5" t="s">
        <v>4122</v>
      </c>
      <c r="B162" s="5" t="s">
        <v>4123</v>
      </c>
      <c r="C162" s="5" t="s">
        <v>4114</v>
      </c>
      <c r="D162" s="5" t="s">
        <v>3859</v>
      </c>
      <c r="M162" s="84" t="s">
        <v>293</v>
      </c>
      <c r="N162" s="85" t="s">
        <v>3629</v>
      </c>
      <c r="U162">
        <f t="shared" si="12"/>
        <v>4</v>
      </c>
      <c r="V162">
        <v>2026</v>
      </c>
      <c r="W162" t="str">
        <f t="shared" si="9"/>
        <v>2026 - 4</v>
      </c>
      <c r="X162">
        <f t="shared" si="10"/>
        <v>160</v>
      </c>
    </row>
    <row r="163" spans="1:24" ht="15.75">
      <c r="A163" s="5"/>
      <c r="B163" s="5"/>
      <c r="C163" s="5"/>
      <c r="D163" s="5"/>
      <c r="M163" s="84" t="s">
        <v>256</v>
      </c>
      <c r="N163" s="85" t="s">
        <v>3614</v>
      </c>
      <c r="U163">
        <f t="shared" si="12"/>
        <v>5</v>
      </c>
      <c r="V163">
        <v>2026</v>
      </c>
      <c r="W163" t="str">
        <f t="shared" si="9"/>
        <v>2026 - 5</v>
      </c>
      <c r="X163">
        <f t="shared" si="10"/>
        <v>161</v>
      </c>
    </row>
    <row r="164" spans="1:24" ht="15.75">
      <c r="A164" s="5"/>
      <c r="B164" s="5"/>
      <c r="C164" s="5"/>
      <c r="D164" s="5"/>
      <c r="M164" s="84" t="s">
        <v>815</v>
      </c>
      <c r="N164" s="85" t="s">
        <v>3614</v>
      </c>
      <c r="U164">
        <f t="shared" si="12"/>
        <v>6</v>
      </c>
      <c r="V164">
        <v>2026</v>
      </c>
      <c r="W164" t="str">
        <f t="shared" si="9"/>
        <v>2026 - 6</v>
      </c>
      <c r="X164">
        <f t="shared" si="10"/>
        <v>162</v>
      </c>
    </row>
    <row r="165" spans="1:24" ht="15.75">
      <c r="A165" s="5"/>
      <c r="B165" s="5"/>
      <c r="C165" s="5"/>
      <c r="D165" s="5"/>
      <c r="M165" s="84" t="s">
        <v>119</v>
      </c>
      <c r="N165" s="85" t="s">
        <v>3614</v>
      </c>
      <c r="U165">
        <f t="shared" si="12"/>
        <v>7</v>
      </c>
      <c r="V165">
        <v>2026</v>
      </c>
      <c r="W165" t="str">
        <f t="shared" si="9"/>
        <v>2026 - 7</v>
      </c>
      <c r="X165">
        <f t="shared" si="10"/>
        <v>163</v>
      </c>
    </row>
    <row r="166" spans="1:24" ht="15.75">
      <c r="A166" s="5" t="s">
        <v>4124</v>
      </c>
      <c r="B166" s="5" t="s">
        <v>4125</v>
      </c>
      <c r="C166" s="5" t="s">
        <v>4114</v>
      </c>
      <c r="D166" s="5" t="s">
        <v>3859</v>
      </c>
      <c r="M166" s="84" t="s">
        <v>205</v>
      </c>
      <c r="N166" s="85" t="s">
        <v>3614</v>
      </c>
      <c r="U166">
        <f t="shared" si="12"/>
        <v>8</v>
      </c>
      <c r="V166">
        <v>2026</v>
      </c>
      <c r="W166" t="str">
        <f t="shared" si="9"/>
        <v>2026 - 8</v>
      </c>
      <c r="X166">
        <f t="shared" si="10"/>
        <v>164</v>
      </c>
    </row>
    <row r="167" spans="1:24" ht="15.75">
      <c r="A167" s="5" t="s">
        <v>4126</v>
      </c>
      <c r="B167" s="5" t="s">
        <v>4127</v>
      </c>
      <c r="C167" s="5" t="s">
        <v>4114</v>
      </c>
      <c r="D167" s="5" t="s">
        <v>3859</v>
      </c>
      <c r="M167" s="84" t="s">
        <v>182</v>
      </c>
      <c r="N167" s="85" t="s">
        <v>3614</v>
      </c>
      <c r="U167">
        <f t="shared" si="12"/>
        <v>9</v>
      </c>
      <c r="V167">
        <v>2026</v>
      </c>
      <c r="W167" t="str">
        <f t="shared" si="9"/>
        <v>2026 - 9</v>
      </c>
      <c r="X167">
        <f t="shared" si="10"/>
        <v>165</v>
      </c>
    </row>
    <row r="168" spans="1:24" ht="15.75">
      <c r="A168" s="5" t="s">
        <v>4128</v>
      </c>
      <c r="B168" s="5" t="s">
        <v>4129</v>
      </c>
      <c r="C168" s="5" t="s">
        <v>4114</v>
      </c>
      <c r="D168" s="5" t="s">
        <v>3859</v>
      </c>
      <c r="M168" s="84" t="s">
        <v>270</v>
      </c>
      <c r="N168" s="85" t="s">
        <v>3614</v>
      </c>
      <c r="U168">
        <f t="shared" si="12"/>
        <v>10</v>
      </c>
      <c r="V168">
        <v>2026</v>
      </c>
      <c r="W168" t="str">
        <f t="shared" si="9"/>
        <v>2026 - 10</v>
      </c>
      <c r="X168">
        <f t="shared" si="10"/>
        <v>166</v>
      </c>
    </row>
    <row r="169" spans="1:24" ht="15.75">
      <c r="A169" s="5" t="s">
        <v>4130</v>
      </c>
      <c r="B169" s="5" t="s">
        <v>4131</v>
      </c>
      <c r="C169" s="5" t="s">
        <v>4114</v>
      </c>
      <c r="D169" s="5" t="s">
        <v>3859</v>
      </c>
      <c r="M169" s="84" t="s">
        <v>169</v>
      </c>
      <c r="N169" s="85" t="s">
        <v>3614</v>
      </c>
      <c r="U169">
        <f t="shared" si="12"/>
        <v>11</v>
      </c>
      <c r="V169">
        <v>2026</v>
      </c>
      <c r="W169" t="str">
        <f t="shared" si="9"/>
        <v>2026 - 11</v>
      </c>
      <c r="X169">
        <f t="shared" si="10"/>
        <v>167</v>
      </c>
    </row>
    <row r="170" spans="1:24" ht="15.75">
      <c r="A170" s="5" t="s">
        <v>4132</v>
      </c>
      <c r="B170" s="5" t="s">
        <v>4133</v>
      </c>
      <c r="C170" s="5" t="s">
        <v>3660</v>
      </c>
      <c r="D170" s="5" t="s">
        <v>3859</v>
      </c>
      <c r="M170" s="84" t="s">
        <v>114</v>
      </c>
      <c r="N170" s="85" t="s">
        <v>3614</v>
      </c>
      <c r="U170">
        <f t="shared" si="12"/>
        <v>12</v>
      </c>
      <c r="V170">
        <v>2026</v>
      </c>
      <c r="W170" t="str">
        <f t="shared" si="9"/>
        <v>2026 - 12</v>
      </c>
      <c r="X170">
        <f t="shared" si="10"/>
        <v>168</v>
      </c>
    </row>
    <row r="171" spans="1:24" ht="15.75">
      <c r="A171" s="5" t="s">
        <v>4134</v>
      </c>
      <c r="B171" s="5" t="s">
        <v>4135</v>
      </c>
      <c r="C171" s="5" t="s">
        <v>3660</v>
      </c>
      <c r="D171" s="5" t="s">
        <v>3859</v>
      </c>
      <c r="M171" s="84" t="s">
        <v>128</v>
      </c>
      <c r="N171" s="85" t="s">
        <v>3614</v>
      </c>
      <c r="U171">
        <f t="shared" si="12"/>
        <v>13</v>
      </c>
      <c r="V171">
        <v>2026</v>
      </c>
      <c r="W171" t="str">
        <f t="shared" si="9"/>
        <v>2026 - 13</v>
      </c>
      <c r="X171">
        <f t="shared" si="10"/>
        <v>169</v>
      </c>
    </row>
    <row r="172" spans="1:24" ht="15.75">
      <c r="A172" s="5" t="s">
        <v>4136</v>
      </c>
      <c r="B172" s="5" t="s">
        <v>4137</v>
      </c>
      <c r="C172" s="5" t="s">
        <v>3886</v>
      </c>
      <c r="D172" s="5" t="s">
        <v>3859</v>
      </c>
      <c r="M172" s="84" t="s">
        <v>312</v>
      </c>
      <c r="N172" s="85" t="s">
        <v>3614</v>
      </c>
      <c r="U172">
        <f t="shared" si="12"/>
        <v>14</v>
      </c>
      <c r="V172">
        <v>2026</v>
      </c>
      <c r="W172" t="str">
        <f t="shared" si="9"/>
        <v>2026 - 14</v>
      </c>
      <c r="X172">
        <f t="shared" si="10"/>
        <v>170</v>
      </c>
    </row>
    <row r="173" spans="1:24" ht="15.75">
      <c r="A173" s="5" t="s">
        <v>4138</v>
      </c>
      <c r="B173" s="5" t="s">
        <v>4139</v>
      </c>
      <c r="C173" s="5" t="s">
        <v>3921</v>
      </c>
      <c r="D173" s="5" t="s">
        <v>3859</v>
      </c>
      <c r="M173" s="84" t="s">
        <v>1912</v>
      </c>
      <c r="N173" s="85" t="s">
        <v>3614</v>
      </c>
      <c r="U173">
        <f t="shared" si="12"/>
        <v>15</v>
      </c>
      <c r="V173">
        <v>2026</v>
      </c>
      <c r="W173" t="str">
        <f t="shared" si="9"/>
        <v>2026 - 15</v>
      </c>
      <c r="X173">
        <f t="shared" si="10"/>
        <v>171</v>
      </c>
    </row>
    <row r="174" spans="1:24" ht="15.75">
      <c r="A174" s="5" t="s">
        <v>4140</v>
      </c>
      <c r="B174" s="5" t="s">
        <v>4141</v>
      </c>
      <c r="C174" s="5" t="s">
        <v>3803</v>
      </c>
      <c r="D174" s="5" t="s">
        <v>3859</v>
      </c>
      <c r="M174" s="84" t="s">
        <v>965</v>
      </c>
      <c r="N174" s="85" t="s">
        <v>3614</v>
      </c>
      <c r="U174">
        <f t="shared" si="12"/>
        <v>16</v>
      </c>
      <c r="V174">
        <v>2026</v>
      </c>
      <c r="W174" t="str">
        <f t="shared" si="9"/>
        <v>2026 - 16</v>
      </c>
      <c r="X174">
        <f t="shared" si="10"/>
        <v>172</v>
      </c>
    </row>
    <row r="175" spans="1:24" ht="15.75">
      <c r="A175" s="5" t="s">
        <v>4142</v>
      </c>
      <c r="B175" s="5" t="s">
        <v>4143</v>
      </c>
      <c r="C175" s="5" t="s">
        <v>4144</v>
      </c>
      <c r="D175" s="5" t="s">
        <v>3859</v>
      </c>
      <c r="M175" s="84" t="s">
        <v>552</v>
      </c>
      <c r="N175" s="85" t="s">
        <v>3614</v>
      </c>
      <c r="U175">
        <f t="shared" si="12"/>
        <v>17</v>
      </c>
      <c r="V175">
        <v>2026</v>
      </c>
      <c r="W175" t="str">
        <f t="shared" si="9"/>
        <v>2026 - 17</v>
      </c>
      <c r="X175">
        <f t="shared" si="10"/>
        <v>173</v>
      </c>
    </row>
    <row r="176" spans="1:24" ht="15.75">
      <c r="A176" s="5" t="s">
        <v>4145</v>
      </c>
      <c r="B176" s="5" t="s">
        <v>4146</v>
      </c>
      <c r="C176" s="5" t="s">
        <v>2074</v>
      </c>
      <c r="D176" s="5" t="s">
        <v>3859</v>
      </c>
      <c r="M176" s="84" t="s">
        <v>136</v>
      </c>
      <c r="N176" s="85" t="s">
        <v>3614</v>
      </c>
      <c r="U176">
        <f t="shared" si="12"/>
        <v>18</v>
      </c>
      <c r="V176">
        <v>2026</v>
      </c>
      <c r="W176" t="str">
        <f t="shared" si="9"/>
        <v>2026 - 18</v>
      </c>
      <c r="X176">
        <f t="shared" si="10"/>
        <v>174</v>
      </c>
    </row>
    <row r="177" spans="1:24" ht="15.75">
      <c r="A177" s="5" t="s">
        <v>4147</v>
      </c>
      <c r="B177" s="5" t="s">
        <v>4148</v>
      </c>
      <c r="C177" s="5" t="s">
        <v>2074</v>
      </c>
      <c r="D177" s="5" t="s">
        <v>3859</v>
      </c>
      <c r="M177" s="84" t="s">
        <v>4149</v>
      </c>
      <c r="N177" s="85" t="s">
        <v>3629</v>
      </c>
      <c r="U177">
        <f t="shared" si="12"/>
        <v>19</v>
      </c>
      <c r="V177">
        <v>2026</v>
      </c>
      <c r="W177" t="str">
        <f t="shared" si="9"/>
        <v>2026 - 19</v>
      </c>
      <c r="X177">
        <f t="shared" si="10"/>
        <v>175</v>
      </c>
    </row>
    <row r="178" spans="1:24" ht="15.75">
      <c r="A178" s="5" t="s">
        <v>4150</v>
      </c>
      <c r="B178" s="5" t="s">
        <v>4151</v>
      </c>
      <c r="C178" s="5" t="s">
        <v>3660</v>
      </c>
      <c r="D178" s="5" t="s">
        <v>3859</v>
      </c>
      <c r="M178" s="84" t="s">
        <v>1379</v>
      </c>
      <c r="N178" s="85" t="s">
        <v>3614</v>
      </c>
      <c r="U178">
        <f t="shared" si="12"/>
        <v>20</v>
      </c>
      <c r="V178">
        <v>2026</v>
      </c>
      <c r="W178" t="str">
        <f t="shared" si="9"/>
        <v>2026 - 20</v>
      </c>
      <c r="X178">
        <f t="shared" si="10"/>
        <v>176</v>
      </c>
    </row>
    <row r="179" spans="1:24" ht="15.75">
      <c r="A179" s="5" t="s">
        <v>4152</v>
      </c>
      <c r="B179" s="5" t="s">
        <v>4153</v>
      </c>
      <c r="C179" s="5" t="s">
        <v>3957</v>
      </c>
      <c r="D179" s="5" t="s">
        <v>3859</v>
      </c>
      <c r="M179" s="84" t="s">
        <v>1915</v>
      </c>
      <c r="N179" s="85" t="s">
        <v>3614</v>
      </c>
      <c r="U179">
        <f t="shared" si="12"/>
        <v>21</v>
      </c>
      <c r="V179">
        <v>2026</v>
      </c>
      <c r="W179" t="str">
        <f t="shared" si="9"/>
        <v>2026 - 21</v>
      </c>
      <c r="X179">
        <f t="shared" si="10"/>
        <v>177</v>
      </c>
    </row>
    <row r="180" spans="1:24" ht="15.75">
      <c r="A180" s="5" t="s">
        <v>4154</v>
      </c>
      <c r="B180" s="5" t="s">
        <v>4155</v>
      </c>
      <c r="C180" s="5" t="s">
        <v>3660</v>
      </c>
      <c r="D180" s="5" t="s">
        <v>3859</v>
      </c>
      <c r="M180" s="84" t="s">
        <v>4156</v>
      </c>
      <c r="N180" s="85" t="s">
        <v>3616</v>
      </c>
      <c r="U180">
        <f t="shared" si="12"/>
        <v>22</v>
      </c>
      <c r="V180">
        <v>2026</v>
      </c>
      <c r="W180" t="str">
        <f t="shared" si="9"/>
        <v>2026 - 22</v>
      </c>
      <c r="X180">
        <f t="shared" si="10"/>
        <v>178</v>
      </c>
    </row>
    <row r="181" spans="1:24" ht="15.75">
      <c r="A181" s="5" t="s">
        <v>4157</v>
      </c>
      <c r="B181" s="5" t="s">
        <v>4158</v>
      </c>
      <c r="C181" s="5" t="s">
        <v>4018</v>
      </c>
      <c r="D181" s="5" t="s">
        <v>4159</v>
      </c>
      <c r="M181" s="84" t="s">
        <v>238</v>
      </c>
      <c r="N181" s="85" t="s">
        <v>3614</v>
      </c>
      <c r="U181">
        <f t="shared" si="12"/>
        <v>23</v>
      </c>
      <c r="V181">
        <v>2026</v>
      </c>
      <c r="W181" t="str">
        <f t="shared" si="9"/>
        <v>2026 - 23</v>
      </c>
      <c r="X181">
        <f t="shared" si="10"/>
        <v>179</v>
      </c>
    </row>
    <row r="182" spans="1:24" ht="15.75">
      <c r="A182" s="5" t="s">
        <v>4160</v>
      </c>
      <c r="B182" s="5" t="s">
        <v>4161</v>
      </c>
      <c r="C182" s="5" t="s">
        <v>4018</v>
      </c>
      <c r="D182" s="5" t="s">
        <v>3859</v>
      </c>
      <c r="M182" s="84" t="s">
        <v>4162</v>
      </c>
      <c r="N182" s="85" t="s">
        <v>3614</v>
      </c>
      <c r="U182">
        <f t="shared" si="12"/>
        <v>24</v>
      </c>
      <c r="V182">
        <v>2026</v>
      </c>
      <c r="W182" t="str">
        <f t="shared" si="9"/>
        <v>2026 - 24</v>
      </c>
      <c r="X182">
        <f t="shared" si="10"/>
        <v>180</v>
      </c>
    </row>
    <row r="183" spans="1:24" ht="15.75">
      <c r="A183" s="5" t="s">
        <v>4163</v>
      </c>
      <c r="B183" s="5" t="s">
        <v>4164</v>
      </c>
      <c r="C183" s="5" t="s">
        <v>4018</v>
      </c>
      <c r="D183" s="5" t="s">
        <v>3859</v>
      </c>
      <c r="M183" s="84" t="s">
        <v>534</v>
      </c>
      <c r="N183" s="85" t="s">
        <v>3614</v>
      </c>
      <c r="U183">
        <f t="shared" si="12"/>
        <v>25</v>
      </c>
      <c r="V183">
        <v>2026</v>
      </c>
      <c r="W183" t="str">
        <f t="shared" si="9"/>
        <v>2026 - 25</v>
      </c>
      <c r="X183">
        <f t="shared" si="10"/>
        <v>181</v>
      </c>
    </row>
    <row r="184" spans="1:24" ht="15.75">
      <c r="A184" s="5" t="s">
        <v>4165</v>
      </c>
      <c r="B184" s="5" t="s">
        <v>4166</v>
      </c>
      <c r="C184" s="5" t="s">
        <v>3886</v>
      </c>
      <c r="D184" s="5" t="s">
        <v>3859</v>
      </c>
      <c r="M184" s="84" t="s">
        <v>1465</v>
      </c>
      <c r="N184" s="85" t="s">
        <v>3614</v>
      </c>
      <c r="U184">
        <f t="shared" si="12"/>
        <v>26</v>
      </c>
      <c r="V184">
        <v>2026</v>
      </c>
      <c r="W184" t="str">
        <f t="shared" si="9"/>
        <v>2026 - 26</v>
      </c>
      <c r="X184">
        <f t="shared" si="10"/>
        <v>182</v>
      </c>
    </row>
    <row r="185" spans="1:24" ht="15.75">
      <c r="A185" s="5" t="s">
        <v>4167</v>
      </c>
      <c r="B185" s="5" t="s">
        <v>4168</v>
      </c>
      <c r="C185" s="5" t="s">
        <v>3886</v>
      </c>
      <c r="D185" s="5" t="s">
        <v>3641</v>
      </c>
      <c r="M185" s="84" t="s">
        <v>1470</v>
      </c>
      <c r="N185" s="85" t="s">
        <v>3614</v>
      </c>
      <c r="U185">
        <f t="shared" si="12"/>
        <v>27</v>
      </c>
      <c r="V185">
        <v>2026</v>
      </c>
      <c r="W185" t="str">
        <f t="shared" si="9"/>
        <v>2026 - 27</v>
      </c>
      <c r="X185">
        <f t="shared" si="10"/>
        <v>183</v>
      </c>
    </row>
    <row r="186" spans="1:24" ht="15.75">
      <c r="A186" s="5" t="s">
        <v>4169</v>
      </c>
      <c r="B186" s="5" t="s">
        <v>4170</v>
      </c>
      <c r="C186" s="5" t="s">
        <v>3998</v>
      </c>
      <c r="D186" s="5" t="s">
        <v>3859</v>
      </c>
      <c r="M186" s="84" t="s">
        <v>554</v>
      </c>
      <c r="N186" s="85" t="s">
        <v>3614</v>
      </c>
      <c r="U186">
        <f t="shared" si="12"/>
        <v>28</v>
      </c>
      <c r="V186">
        <v>2026</v>
      </c>
      <c r="W186" t="str">
        <f t="shared" si="9"/>
        <v>2026 - 28</v>
      </c>
      <c r="X186">
        <f t="shared" si="10"/>
        <v>184</v>
      </c>
    </row>
    <row r="187" spans="1:24" ht="15.75">
      <c r="A187" s="5" t="s">
        <v>4171</v>
      </c>
      <c r="B187" s="5" t="s">
        <v>4172</v>
      </c>
      <c r="C187" s="5" t="s">
        <v>4173</v>
      </c>
      <c r="D187" s="5" t="s">
        <v>3859</v>
      </c>
      <c r="M187" s="84" t="s">
        <v>1892</v>
      </c>
      <c r="N187" s="85" t="s">
        <v>3614</v>
      </c>
      <c r="U187">
        <f t="shared" si="12"/>
        <v>29</v>
      </c>
      <c r="V187">
        <v>2026</v>
      </c>
      <c r="W187" t="str">
        <f t="shared" si="9"/>
        <v>2026 - 29</v>
      </c>
      <c r="X187">
        <f t="shared" si="10"/>
        <v>185</v>
      </c>
    </row>
    <row r="188" spans="1:24" ht="15.75">
      <c r="A188" s="5" t="s">
        <v>4174</v>
      </c>
      <c r="B188" s="5" t="s">
        <v>4175</v>
      </c>
      <c r="C188" s="5" t="s">
        <v>3886</v>
      </c>
      <c r="D188" s="5" t="s">
        <v>3859</v>
      </c>
      <c r="M188" s="84" t="s">
        <v>211</v>
      </c>
      <c r="N188" s="85" t="s">
        <v>3614</v>
      </c>
      <c r="U188">
        <f t="shared" si="12"/>
        <v>30</v>
      </c>
      <c r="V188">
        <v>2026</v>
      </c>
      <c r="W188" t="str">
        <f t="shared" si="9"/>
        <v>2026 - 30</v>
      </c>
      <c r="X188">
        <f t="shared" si="10"/>
        <v>186</v>
      </c>
    </row>
    <row r="189" spans="1:24" ht="15.75">
      <c r="A189" s="5" t="s">
        <v>4176</v>
      </c>
      <c r="B189" s="5" t="s">
        <v>4177</v>
      </c>
      <c r="C189" s="5" t="s">
        <v>3886</v>
      </c>
      <c r="D189" s="5" t="s">
        <v>3859</v>
      </c>
      <c r="M189" s="84" t="s">
        <v>977</v>
      </c>
      <c r="N189" s="85" t="s">
        <v>3614</v>
      </c>
      <c r="U189">
        <f t="shared" si="12"/>
        <v>31</v>
      </c>
      <c r="V189">
        <v>2026</v>
      </c>
      <c r="W189" t="str">
        <f t="shared" si="9"/>
        <v>2026 - 31</v>
      </c>
      <c r="X189">
        <f t="shared" si="10"/>
        <v>187</v>
      </c>
    </row>
    <row r="190" spans="1:24" ht="15.75">
      <c r="A190" s="5" t="s">
        <v>4178</v>
      </c>
      <c r="B190" s="5" t="s">
        <v>4179</v>
      </c>
      <c r="C190" s="5" t="s">
        <v>3803</v>
      </c>
      <c r="D190" s="5" t="s">
        <v>3859</v>
      </c>
      <c r="M190" s="84" t="s">
        <v>4180</v>
      </c>
      <c r="N190" s="85" t="s">
        <v>3614</v>
      </c>
      <c r="U190">
        <f t="shared" si="12"/>
        <v>32</v>
      </c>
      <c r="V190">
        <v>2026</v>
      </c>
      <c r="W190" t="str">
        <f t="shared" si="9"/>
        <v>2026 - 32</v>
      </c>
      <c r="X190">
        <f t="shared" si="10"/>
        <v>188</v>
      </c>
    </row>
    <row r="191" spans="1:24" ht="15.75">
      <c r="A191" s="5" t="s">
        <v>4181</v>
      </c>
      <c r="B191" s="5" t="s">
        <v>4182</v>
      </c>
      <c r="C191" s="5" t="s">
        <v>3803</v>
      </c>
      <c r="D191" s="5" t="s">
        <v>3859</v>
      </c>
      <c r="M191" s="84" t="s">
        <v>4183</v>
      </c>
      <c r="N191" s="85" t="s">
        <v>3614</v>
      </c>
      <c r="U191">
        <f t="shared" si="12"/>
        <v>33</v>
      </c>
      <c r="V191">
        <v>2026</v>
      </c>
      <c r="W191" t="str">
        <f t="shared" si="9"/>
        <v>2026 - 33</v>
      </c>
      <c r="X191">
        <f t="shared" si="10"/>
        <v>189</v>
      </c>
    </row>
    <row r="192" spans="1:24" ht="15.75">
      <c r="A192" s="5" t="s">
        <v>4184</v>
      </c>
      <c r="B192" s="5" t="s">
        <v>4185</v>
      </c>
      <c r="C192" s="5" t="s">
        <v>3998</v>
      </c>
      <c r="D192" s="5" t="s">
        <v>3859</v>
      </c>
      <c r="M192" s="84" t="s">
        <v>244</v>
      </c>
      <c r="N192" s="85" t="s">
        <v>3614</v>
      </c>
      <c r="U192">
        <f t="shared" ref="U192:U210" si="13">+U191+1</f>
        <v>34</v>
      </c>
      <c r="V192">
        <v>2026</v>
      </c>
      <c r="W192" t="str">
        <f t="shared" si="9"/>
        <v>2026 - 34</v>
      </c>
      <c r="X192">
        <f t="shared" si="10"/>
        <v>190</v>
      </c>
    </row>
    <row r="193" spans="1:24" ht="15.75">
      <c r="A193" s="5" t="s">
        <v>4186</v>
      </c>
      <c r="B193" s="5" t="s">
        <v>4187</v>
      </c>
      <c r="C193" s="5" t="s">
        <v>4036</v>
      </c>
      <c r="D193" s="5" t="s">
        <v>3859</v>
      </c>
      <c r="M193" s="84" t="s">
        <v>721</v>
      </c>
      <c r="N193" s="85" t="s">
        <v>3614</v>
      </c>
      <c r="U193">
        <f t="shared" si="13"/>
        <v>35</v>
      </c>
      <c r="V193">
        <v>2026</v>
      </c>
      <c r="W193" t="str">
        <f t="shared" si="9"/>
        <v>2026 - 35</v>
      </c>
      <c r="X193">
        <f t="shared" si="10"/>
        <v>191</v>
      </c>
    </row>
    <row r="194" spans="1:24" ht="15.75">
      <c r="A194" s="5" t="s">
        <v>4188</v>
      </c>
      <c r="B194" s="5" t="s">
        <v>4189</v>
      </c>
      <c r="C194" s="5" t="s">
        <v>3886</v>
      </c>
      <c r="D194" s="5" t="s">
        <v>3859</v>
      </c>
      <c r="M194" s="84" t="s">
        <v>173</v>
      </c>
      <c r="N194" s="85" t="s">
        <v>3614</v>
      </c>
      <c r="U194">
        <f t="shared" si="13"/>
        <v>36</v>
      </c>
      <c r="V194">
        <v>2026</v>
      </c>
      <c r="W194" t="str">
        <f t="shared" si="9"/>
        <v>2026 - 36</v>
      </c>
      <c r="X194">
        <f t="shared" si="10"/>
        <v>192</v>
      </c>
    </row>
    <row r="195" spans="1:24" ht="15.75">
      <c r="A195" s="5" t="s">
        <v>4190</v>
      </c>
      <c r="B195" s="5" t="s">
        <v>4191</v>
      </c>
      <c r="C195" s="5" t="s">
        <v>4192</v>
      </c>
      <c r="D195" s="5" t="s">
        <v>3671</v>
      </c>
      <c r="M195" s="84" t="s">
        <v>2700</v>
      </c>
      <c r="N195" s="85" t="s">
        <v>3614</v>
      </c>
      <c r="U195">
        <f t="shared" si="13"/>
        <v>37</v>
      </c>
      <c r="V195">
        <v>2026</v>
      </c>
      <c r="W195" t="str">
        <f t="shared" ref="W195:W258" si="14">CONCATENATE(V195," - ",U195)</f>
        <v>2026 - 37</v>
      </c>
      <c r="X195">
        <f t="shared" si="10"/>
        <v>193</v>
      </c>
    </row>
    <row r="196" spans="1:24" ht="15.75">
      <c r="A196" s="5" t="s">
        <v>4193</v>
      </c>
      <c r="B196" s="5" t="s">
        <v>4194</v>
      </c>
      <c r="C196" s="5" t="s">
        <v>3886</v>
      </c>
      <c r="D196" s="5" t="s">
        <v>3636</v>
      </c>
      <c r="M196" s="84" t="s">
        <v>4195</v>
      </c>
      <c r="N196" s="85" t="s">
        <v>3816</v>
      </c>
      <c r="U196">
        <f t="shared" si="13"/>
        <v>38</v>
      </c>
      <c r="V196">
        <v>2026</v>
      </c>
      <c r="W196" t="str">
        <f t="shared" si="14"/>
        <v>2026 - 38</v>
      </c>
      <c r="X196">
        <f t="shared" ref="X196:X262" si="15">+X195+1</f>
        <v>194</v>
      </c>
    </row>
    <row r="197" spans="1:24" ht="15.75">
      <c r="A197" s="5" t="s">
        <v>4196</v>
      </c>
      <c r="B197" s="5" t="s">
        <v>4197</v>
      </c>
      <c r="C197" s="5" t="s">
        <v>4192</v>
      </c>
      <c r="D197" s="5" t="s">
        <v>3637</v>
      </c>
      <c r="M197" s="84" t="s">
        <v>4198</v>
      </c>
      <c r="N197" s="85" t="s">
        <v>3614</v>
      </c>
      <c r="U197">
        <f t="shared" si="13"/>
        <v>39</v>
      </c>
      <c r="V197">
        <v>2026</v>
      </c>
      <c r="W197" t="str">
        <f t="shared" si="14"/>
        <v>2026 - 39</v>
      </c>
      <c r="X197">
        <f t="shared" si="15"/>
        <v>195</v>
      </c>
    </row>
    <row r="198" spans="1:24" ht="15.75">
      <c r="A198" s="5" t="s">
        <v>4199</v>
      </c>
      <c r="B198" s="5" t="s">
        <v>4053</v>
      </c>
      <c r="C198" s="5" t="s">
        <v>4200</v>
      </c>
      <c r="D198" s="5" t="s">
        <v>3859</v>
      </c>
      <c r="M198" s="84" t="s">
        <v>4201</v>
      </c>
      <c r="N198" s="85" t="s">
        <v>3614</v>
      </c>
      <c r="U198">
        <f t="shared" si="13"/>
        <v>40</v>
      </c>
      <c r="V198">
        <v>2026</v>
      </c>
      <c r="W198" t="str">
        <f t="shared" si="14"/>
        <v>2026 - 40</v>
      </c>
      <c r="X198">
        <f t="shared" si="15"/>
        <v>196</v>
      </c>
    </row>
    <row r="199" spans="1:24" ht="15.75">
      <c r="A199" t="s">
        <v>3987</v>
      </c>
      <c r="B199" t="s">
        <v>4202</v>
      </c>
      <c r="C199" t="s">
        <v>4203</v>
      </c>
      <c r="D199" t="s">
        <v>3859</v>
      </c>
      <c r="M199" s="84" t="s">
        <v>382</v>
      </c>
      <c r="N199" s="85" t="s">
        <v>3614</v>
      </c>
      <c r="U199">
        <f t="shared" si="13"/>
        <v>41</v>
      </c>
      <c r="V199">
        <v>2026</v>
      </c>
      <c r="W199" t="str">
        <f t="shared" si="14"/>
        <v>2026 - 41</v>
      </c>
      <c r="X199">
        <f t="shared" si="15"/>
        <v>197</v>
      </c>
    </row>
    <row r="200" spans="1:24" ht="15.75">
      <c r="A200" s="5" t="s">
        <v>4204</v>
      </c>
      <c r="B200" s="5" t="s">
        <v>3655</v>
      </c>
      <c r="C200" s="5" t="s">
        <v>3713</v>
      </c>
      <c r="D200" s="5" t="s">
        <v>4205</v>
      </c>
      <c r="M200" s="84" t="s">
        <v>1636</v>
      </c>
      <c r="N200" s="85" t="s">
        <v>3614</v>
      </c>
      <c r="U200">
        <f t="shared" si="13"/>
        <v>42</v>
      </c>
      <c r="V200">
        <v>2026</v>
      </c>
      <c r="W200" t="str">
        <f t="shared" si="14"/>
        <v>2026 - 42</v>
      </c>
      <c r="X200">
        <f t="shared" si="15"/>
        <v>198</v>
      </c>
    </row>
    <row r="201" spans="1:24" ht="15.75">
      <c r="A201" t="s">
        <v>4206</v>
      </c>
      <c r="B201" t="s">
        <v>4207</v>
      </c>
      <c r="M201" s="84" t="s">
        <v>508</v>
      </c>
      <c r="N201" s="85" t="s">
        <v>3614</v>
      </c>
      <c r="U201">
        <f t="shared" si="13"/>
        <v>43</v>
      </c>
      <c r="V201">
        <v>2026</v>
      </c>
      <c r="W201" t="str">
        <f t="shared" si="14"/>
        <v>2026 - 43</v>
      </c>
      <c r="X201">
        <f t="shared" si="15"/>
        <v>199</v>
      </c>
    </row>
    <row r="202" spans="1:24" ht="15" customHeight="1">
      <c r="M202" s="84" t="s">
        <v>4208</v>
      </c>
      <c r="N202" s="85" t="s">
        <v>3614</v>
      </c>
      <c r="U202">
        <f t="shared" si="13"/>
        <v>44</v>
      </c>
      <c r="V202">
        <v>2026</v>
      </c>
      <c r="W202" t="str">
        <f t="shared" si="14"/>
        <v>2026 - 44</v>
      </c>
      <c r="X202">
        <f t="shared" si="15"/>
        <v>200</v>
      </c>
    </row>
    <row r="203" spans="1:24" ht="15" customHeight="1">
      <c r="M203" s="84" t="s">
        <v>4209</v>
      </c>
      <c r="N203" s="85" t="s">
        <v>3614</v>
      </c>
      <c r="U203">
        <f t="shared" si="13"/>
        <v>45</v>
      </c>
      <c r="V203">
        <v>2026</v>
      </c>
      <c r="W203" t="str">
        <f t="shared" si="14"/>
        <v>2026 - 45</v>
      </c>
      <c r="X203">
        <f t="shared" si="15"/>
        <v>201</v>
      </c>
    </row>
    <row r="204" spans="1:24" ht="15" customHeight="1">
      <c r="M204" s="84" t="s">
        <v>1063</v>
      </c>
      <c r="N204" s="85" t="s">
        <v>3614</v>
      </c>
      <c r="U204">
        <f t="shared" si="13"/>
        <v>46</v>
      </c>
      <c r="V204">
        <v>2026</v>
      </c>
      <c r="W204" t="str">
        <f t="shared" si="14"/>
        <v>2026 - 46</v>
      </c>
      <c r="X204">
        <f t="shared" si="15"/>
        <v>202</v>
      </c>
    </row>
    <row r="205" spans="1:24" ht="15" customHeight="1">
      <c r="M205" s="84" t="s">
        <v>1647</v>
      </c>
      <c r="N205" s="85" t="s">
        <v>3629</v>
      </c>
      <c r="U205">
        <f t="shared" si="13"/>
        <v>47</v>
      </c>
      <c r="V205">
        <v>2026</v>
      </c>
      <c r="W205" t="str">
        <f t="shared" si="14"/>
        <v>2026 - 47</v>
      </c>
      <c r="X205">
        <f t="shared" si="15"/>
        <v>203</v>
      </c>
    </row>
    <row r="206" spans="1:24" ht="15" customHeight="1">
      <c r="M206" s="84" t="s">
        <v>4210</v>
      </c>
      <c r="N206" s="85" t="s">
        <v>3614</v>
      </c>
      <c r="U206">
        <f t="shared" si="13"/>
        <v>48</v>
      </c>
      <c r="V206">
        <v>2026</v>
      </c>
      <c r="W206" t="str">
        <f t="shared" si="14"/>
        <v>2026 - 48</v>
      </c>
      <c r="X206">
        <f t="shared" si="15"/>
        <v>204</v>
      </c>
    </row>
    <row r="207" spans="1:24" ht="15" customHeight="1">
      <c r="M207" s="84" t="s">
        <v>1015</v>
      </c>
      <c r="N207" s="85" t="s">
        <v>3614</v>
      </c>
      <c r="U207">
        <f t="shared" si="13"/>
        <v>49</v>
      </c>
      <c r="V207">
        <v>2026</v>
      </c>
      <c r="W207" t="str">
        <f t="shared" si="14"/>
        <v>2026 - 49</v>
      </c>
      <c r="X207">
        <f t="shared" si="15"/>
        <v>205</v>
      </c>
    </row>
    <row r="208" spans="1:24" ht="15" customHeight="1">
      <c r="M208" s="84" t="s">
        <v>4211</v>
      </c>
      <c r="N208" s="85" t="s">
        <v>3614</v>
      </c>
      <c r="U208">
        <f t="shared" si="13"/>
        <v>50</v>
      </c>
      <c r="V208">
        <v>2026</v>
      </c>
      <c r="W208" t="str">
        <f t="shared" si="14"/>
        <v>2026 - 50</v>
      </c>
      <c r="X208">
        <f t="shared" si="15"/>
        <v>206</v>
      </c>
    </row>
    <row r="209" spans="13:24" ht="15" customHeight="1">
      <c r="M209" s="84" t="s">
        <v>4212</v>
      </c>
      <c r="N209" s="85" t="s">
        <v>3614</v>
      </c>
      <c r="U209">
        <f t="shared" si="13"/>
        <v>51</v>
      </c>
      <c r="V209">
        <v>2026</v>
      </c>
      <c r="W209" t="str">
        <f t="shared" si="14"/>
        <v>2026 - 51</v>
      </c>
      <c r="X209">
        <f t="shared" si="15"/>
        <v>207</v>
      </c>
    </row>
    <row r="210" spans="13:24" ht="15" customHeight="1">
      <c r="M210" s="84" t="s">
        <v>147</v>
      </c>
      <c r="N210" s="85" t="s">
        <v>3614</v>
      </c>
      <c r="U210">
        <f t="shared" si="13"/>
        <v>52</v>
      </c>
      <c r="V210">
        <v>2026</v>
      </c>
      <c r="W210" t="str">
        <f t="shared" si="14"/>
        <v>2026 - 52</v>
      </c>
      <c r="X210">
        <f t="shared" si="15"/>
        <v>208</v>
      </c>
    </row>
    <row r="211" spans="13:24" ht="15" customHeight="1">
      <c r="M211" s="84" t="s">
        <v>185</v>
      </c>
      <c r="N211" s="85" t="s">
        <v>3614</v>
      </c>
      <c r="U211">
        <v>1</v>
      </c>
      <c r="V211">
        <v>2027</v>
      </c>
      <c r="W211" t="str">
        <f t="shared" si="14"/>
        <v>2027 - 1</v>
      </c>
      <c r="X211">
        <f t="shared" si="15"/>
        <v>209</v>
      </c>
    </row>
    <row r="212" spans="13:24" ht="15" customHeight="1">
      <c r="M212" s="84" t="s">
        <v>217</v>
      </c>
      <c r="N212" s="85" t="s">
        <v>3614</v>
      </c>
      <c r="U212">
        <f t="shared" ref="U212:U243" si="16">+U211+1</f>
        <v>2</v>
      </c>
      <c r="V212">
        <v>2027</v>
      </c>
      <c r="W212" t="str">
        <f t="shared" si="14"/>
        <v>2027 - 2</v>
      </c>
      <c r="X212">
        <f t="shared" si="15"/>
        <v>210</v>
      </c>
    </row>
    <row r="213" spans="13:24" ht="15" customHeight="1">
      <c r="M213" s="84" t="s">
        <v>609</v>
      </c>
      <c r="N213" s="85" t="s">
        <v>3614</v>
      </c>
      <c r="U213">
        <f t="shared" si="16"/>
        <v>3</v>
      </c>
      <c r="V213">
        <v>2027</v>
      </c>
      <c r="W213" t="str">
        <f t="shared" si="14"/>
        <v>2027 - 3</v>
      </c>
      <c r="X213">
        <f t="shared" si="15"/>
        <v>211</v>
      </c>
    </row>
    <row r="214" spans="13:24" ht="15" customHeight="1">
      <c r="M214" s="84" t="s">
        <v>1550</v>
      </c>
      <c r="N214" s="85" t="s">
        <v>3614</v>
      </c>
      <c r="U214">
        <f t="shared" si="16"/>
        <v>4</v>
      </c>
      <c r="V214">
        <v>2027</v>
      </c>
      <c r="W214" t="str">
        <f t="shared" si="14"/>
        <v>2027 - 4</v>
      </c>
      <c r="X214">
        <f t="shared" si="15"/>
        <v>212</v>
      </c>
    </row>
    <row r="215" spans="13:24" ht="15" customHeight="1">
      <c r="M215" s="84" t="s">
        <v>1778</v>
      </c>
      <c r="N215" s="85" t="s">
        <v>3614</v>
      </c>
      <c r="U215">
        <f t="shared" si="16"/>
        <v>5</v>
      </c>
      <c r="V215">
        <v>2027</v>
      </c>
      <c r="W215" t="str">
        <f t="shared" si="14"/>
        <v>2027 - 5</v>
      </c>
      <c r="X215">
        <f t="shared" si="15"/>
        <v>213</v>
      </c>
    </row>
    <row r="216" spans="13:24" ht="15" customHeight="1">
      <c r="M216" s="84" t="s">
        <v>2100</v>
      </c>
      <c r="N216" s="85" t="s">
        <v>3614</v>
      </c>
      <c r="U216">
        <f t="shared" si="16"/>
        <v>6</v>
      </c>
      <c r="V216">
        <v>2027</v>
      </c>
      <c r="W216" t="str">
        <f t="shared" si="14"/>
        <v>2027 - 6</v>
      </c>
      <c r="X216">
        <f t="shared" si="15"/>
        <v>214</v>
      </c>
    </row>
    <row r="217" spans="13:24" ht="15" customHeight="1">
      <c r="M217" s="84" t="s">
        <v>2256</v>
      </c>
      <c r="N217" s="85" t="s">
        <v>3614</v>
      </c>
      <c r="U217">
        <f t="shared" si="16"/>
        <v>7</v>
      </c>
      <c r="V217">
        <v>2027</v>
      </c>
      <c r="W217" t="str">
        <f t="shared" si="14"/>
        <v>2027 - 7</v>
      </c>
      <c r="X217">
        <f t="shared" si="15"/>
        <v>215</v>
      </c>
    </row>
    <row r="218" spans="13:24" ht="15" customHeight="1">
      <c r="M218" s="84" t="s">
        <v>250</v>
      </c>
      <c r="N218" s="85" t="s">
        <v>3614</v>
      </c>
      <c r="U218">
        <f t="shared" si="16"/>
        <v>8</v>
      </c>
      <c r="V218">
        <v>2027</v>
      </c>
      <c r="W218" t="str">
        <f t="shared" si="14"/>
        <v>2027 - 8</v>
      </c>
      <c r="X218">
        <f t="shared" si="15"/>
        <v>216</v>
      </c>
    </row>
    <row r="219" spans="13:24" ht="15" customHeight="1">
      <c r="M219" s="84" t="s">
        <v>2743</v>
      </c>
      <c r="N219" s="85" t="s">
        <v>3614</v>
      </c>
      <c r="U219">
        <f t="shared" si="16"/>
        <v>9</v>
      </c>
      <c r="V219">
        <v>2027</v>
      </c>
      <c r="W219" t="str">
        <f t="shared" si="14"/>
        <v>2027 - 9</v>
      </c>
      <c r="X219">
        <f t="shared" si="15"/>
        <v>217</v>
      </c>
    </row>
    <row r="220" spans="13:24" ht="15" customHeight="1">
      <c r="U220">
        <f t="shared" si="16"/>
        <v>10</v>
      </c>
      <c r="V220">
        <v>2027</v>
      </c>
      <c r="W220" t="str">
        <f t="shared" si="14"/>
        <v>2027 - 10</v>
      </c>
      <c r="X220">
        <f t="shared" si="15"/>
        <v>218</v>
      </c>
    </row>
    <row r="221" spans="13:24" ht="15" customHeight="1">
      <c r="U221">
        <f t="shared" si="16"/>
        <v>11</v>
      </c>
      <c r="V221">
        <v>2027</v>
      </c>
      <c r="W221" t="str">
        <f t="shared" si="14"/>
        <v>2027 - 11</v>
      </c>
      <c r="X221">
        <f t="shared" si="15"/>
        <v>219</v>
      </c>
    </row>
    <row r="222" spans="13:24" ht="15" customHeight="1">
      <c r="U222">
        <f t="shared" si="16"/>
        <v>12</v>
      </c>
      <c r="V222">
        <v>2027</v>
      </c>
      <c r="W222" t="str">
        <f t="shared" si="14"/>
        <v>2027 - 12</v>
      </c>
      <c r="X222">
        <f t="shared" si="15"/>
        <v>220</v>
      </c>
    </row>
    <row r="223" spans="13:24" ht="15" customHeight="1">
      <c r="U223">
        <f t="shared" si="16"/>
        <v>13</v>
      </c>
      <c r="V223">
        <v>2027</v>
      </c>
      <c r="W223" t="str">
        <f t="shared" si="14"/>
        <v>2027 - 13</v>
      </c>
      <c r="X223">
        <f t="shared" si="15"/>
        <v>221</v>
      </c>
    </row>
    <row r="224" spans="13:24" ht="15" customHeight="1">
      <c r="U224">
        <f t="shared" si="16"/>
        <v>14</v>
      </c>
      <c r="V224">
        <v>2027</v>
      </c>
      <c r="W224" t="str">
        <f t="shared" si="14"/>
        <v>2027 - 14</v>
      </c>
      <c r="X224">
        <f t="shared" si="15"/>
        <v>222</v>
      </c>
    </row>
    <row r="225" spans="21:24" ht="15" customHeight="1">
      <c r="U225">
        <f t="shared" si="16"/>
        <v>15</v>
      </c>
      <c r="V225">
        <v>2027</v>
      </c>
      <c r="W225" t="str">
        <f t="shared" si="14"/>
        <v>2027 - 15</v>
      </c>
      <c r="X225">
        <f t="shared" si="15"/>
        <v>223</v>
      </c>
    </row>
    <row r="226" spans="21:24" ht="15" customHeight="1">
      <c r="U226">
        <f t="shared" si="16"/>
        <v>16</v>
      </c>
      <c r="V226">
        <v>2027</v>
      </c>
      <c r="W226" t="str">
        <f t="shared" si="14"/>
        <v>2027 - 16</v>
      </c>
      <c r="X226">
        <f t="shared" si="15"/>
        <v>224</v>
      </c>
    </row>
    <row r="227" spans="21:24" ht="15" customHeight="1">
      <c r="U227">
        <f t="shared" si="16"/>
        <v>17</v>
      </c>
      <c r="V227">
        <v>2027</v>
      </c>
      <c r="W227" t="str">
        <f t="shared" si="14"/>
        <v>2027 - 17</v>
      </c>
      <c r="X227">
        <f t="shared" si="15"/>
        <v>225</v>
      </c>
    </row>
    <row r="228" spans="21:24" ht="15" customHeight="1">
      <c r="U228">
        <f t="shared" si="16"/>
        <v>18</v>
      </c>
      <c r="V228">
        <v>2027</v>
      </c>
      <c r="W228" t="str">
        <f t="shared" si="14"/>
        <v>2027 - 18</v>
      </c>
      <c r="X228">
        <f t="shared" si="15"/>
        <v>226</v>
      </c>
    </row>
    <row r="229" spans="21:24" ht="15" customHeight="1">
      <c r="U229">
        <f t="shared" si="16"/>
        <v>19</v>
      </c>
      <c r="V229">
        <v>2027</v>
      </c>
      <c r="W229" t="str">
        <f t="shared" si="14"/>
        <v>2027 - 19</v>
      </c>
      <c r="X229">
        <f t="shared" si="15"/>
        <v>227</v>
      </c>
    </row>
    <row r="230" spans="21:24" ht="15" customHeight="1">
      <c r="U230">
        <f t="shared" si="16"/>
        <v>20</v>
      </c>
      <c r="V230">
        <v>2027</v>
      </c>
      <c r="W230" t="str">
        <f t="shared" si="14"/>
        <v>2027 - 20</v>
      </c>
      <c r="X230">
        <f t="shared" si="15"/>
        <v>228</v>
      </c>
    </row>
    <row r="231" spans="21:24" ht="15" customHeight="1">
      <c r="U231">
        <f t="shared" si="16"/>
        <v>21</v>
      </c>
      <c r="V231">
        <v>2027</v>
      </c>
      <c r="W231" t="str">
        <f t="shared" si="14"/>
        <v>2027 - 21</v>
      </c>
      <c r="X231">
        <f t="shared" si="15"/>
        <v>229</v>
      </c>
    </row>
    <row r="232" spans="21:24" ht="15" customHeight="1">
      <c r="U232">
        <f t="shared" si="16"/>
        <v>22</v>
      </c>
      <c r="V232">
        <v>2027</v>
      </c>
      <c r="W232" t="str">
        <f t="shared" si="14"/>
        <v>2027 - 22</v>
      </c>
      <c r="X232">
        <f t="shared" si="15"/>
        <v>230</v>
      </c>
    </row>
    <row r="233" spans="21:24" ht="15" customHeight="1">
      <c r="U233">
        <f t="shared" si="16"/>
        <v>23</v>
      </c>
      <c r="V233">
        <v>2027</v>
      </c>
      <c r="W233" t="str">
        <f t="shared" si="14"/>
        <v>2027 - 23</v>
      </c>
      <c r="X233">
        <f t="shared" si="15"/>
        <v>231</v>
      </c>
    </row>
    <row r="234" spans="21:24" ht="15" customHeight="1">
      <c r="U234">
        <f t="shared" si="16"/>
        <v>24</v>
      </c>
      <c r="V234">
        <v>2027</v>
      </c>
      <c r="W234" t="str">
        <f t="shared" si="14"/>
        <v>2027 - 24</v>
      </c>
      <c r="X234">
        <f t="shared" si="15"/>
        <v>232</v>
      </c>
    </row>
    <row r="235" spans="21:24" ht="15" customHeight="1">
      <c r="U235">
        <f t="shared" si="16"/>
        <v>25</v>
      </c>
      <c r="V235">
        <v>2027</v>
      </c>
      <c r="W235" t="str">
        <f t="shared" si="14"/>
        <v>2027 - 25</v>
      </c>
      <c r="X235">
        <f t="shared" si="15"/>
        <v>233</v>
      </c>
    </row>
    <row r="236" spans="21:24" ht="15" customHeight="1">
      <c r="U236">
        <f t="shared" si="16"/>
        <v>26</v>
      </c>
      <c r="V236">
        <v>2027</v>
      </c>
      <c r="W236" t="str">
        <f t="shared" si="14"/>
        <v>2027 - 26</v>
      </c>
      <c r="X236">
        <f t="shared" si="15"/>
        <v>234</v>
      </c>
    </row>
    <row r="237" spans="21:24" ht="15" customHeight="1">
      <c r="U237">
        <f t="shared" si="16"/>
        <v>27</v>
      </c>
      <c r="V237">
        <v>2027</v>
      </c>
      <c r="W237" t="str">
        <f t="shared" si="14"/>
        <v>2027 - 27</v>
      </c>
      <c r="X237">
        <f t="shared" si="15"/>
        <v>235</v>
      </c>
    </row>
    <row r="238" spans="21:24" ht="15" customHeight="1">
      <c r="U238">
        <f t="shared" si="16"/>
        <v>28</v>
      </c>
      <c r="V238">
        <v>2027</v>
      </c>
      <c r="W238" t="str">
        <f t="shared" si="14"/>
        <v>2027 - 28</v>
      </c>
      <c r="X238">
        <f t="shared" si="15"/>
        <v>236</v>
      </c>
    </row>
    <row r="239" spans="21:24" ht="15" customHeight="1">
      <c r="U239">
        <f t="shared" si="16"/>
        <v>29</v>
      </c>
      <c r="V239">
        <v>2027</v>
      </c>
      <c r="W239" t="str">
        <f t="shared" si="14"/>
        <v>2027 - 29</v>
      </c>
      <c r="X239">
        <f t="shared" si="15"/>
        <v>237</v>
      </c>
    </row>
    <row r="240" spans="21:24" ht="15" customHeight="1">
      <c r="U240">
        <f t="shared" si="16"/>
        <v>30</v>
      </c>
      <c r="V240">
        <v>2027</v>
      </c>
      <c r="W240" t="str">
        <f t="shared" si="14"/>
        <v>2027 - 30</v>
      </c>
      <c r="X240">
        <f t="shared" si="15"/>
        <v>238</v>
      </c>
    </row>
    <row r="241" spans="21:24" ht="15" customHeight="1">
      <c r="U241">
        <f t="shared" si="16"/>
        <v>31</v>
      </c>
      <c r="V241">
        <v>2027</v>
      </c>
      <c r="W241" t="str">
        <f t="shared" si="14"/>
        <v>2027 - 31</v>
      </c>
      <c r="X241">
        <f t="shared" si="15"/>
        <v>239</v>
      </c>
    </row>
    <row r="242" spans="21:24" ht="15" customHeight="1">
      <c r="U242">
        <f t="shared" si="16"/>
        <v>32</v>
      </c>
      <c r="V242">
        <v>2027</v>
      </c>
      <c r="W242" t="str">
        <f t="shared" si="14"/>
        <v>2027 - 32</v>
      </c>
      <c r="X242">
        <f t="shared" si="15"/>
        <v>240</v>
      </c>
    </row>
    <row r="243" spans="21:24" ht="15" customHeight="1">
      <c r="U243">
        <f t="shared" si="16"/>
        <v>33</v>
      </c>
      <c r="V243">
        <v>2027</v>
      </c>
      <c r="W243" t="str">
        <f t="shared" si="14"/>
        <v>2027 - 33</v>
      </c>
      <c r="X243">
        <f t="shared" si="15"/>
        <v>241</v>
      </c>
    </row>
    <row r="244" spans="21:24" ht="15" customHeight="1">
      <c r="U244">
        <f t="shared" ref="U244:U262" si="17">+U243+1</f>
        <v>34</v>
      </c>
      <c r="V244">
        <v>2027</v>
      </c>
      <c r="W244" t="str">
        <f t="shared" si="14"/>
        <v>2027 - 34</v>
      </c>
      <c r="X244">
        <f t="shared" si="15"/>
        <v>242</v>
      </c>
    </row>
    <row r="245" spans="21:24" ht="15" customHeight="1">
      <c r="U245">
        <f t="shared" si="17"/>
        <v>35</v>
      </c>
      <c r="V245">
        <v>2027</v>
      </c>
      <c r="W245" t="str">
        <f t="shared" si="14"/>
        <v>2027 - 35</v>
      </c>
      <c r="X245">
        <f t="shared" si="15"/>
        <v>243</v>
      </c>
    </row>
    <row r="246" spans="21:24" ht="15" customHeight="1">
      <c r="U246">
        <f t="shared" si="17"/>
        <v>36</v>
      </c>
      <c r="V246">
        <v>2027</v>
      </c>
      <c r="W246" t="str">
        <f t="shared" si="14"/>
        <v>2027 - 36</v>
      </c>
      <c r="X246">
        <f t="shared" si="15"/>
        <v>244</v>
      </c>
    </row>
    <row r="247" spans="21:24" ht="15" customHeight="1">
      <c r="U247">
        <f t="shared" si="17"/>
        <v>37</v>
      </c>
      <c r="V247">
        <v>2027</v>
      </c>
      <c r="W247" t="str">
        <f t="shared" si="14"/>
        <v>2027 - 37</v>
      </c>
      <c r="X247">
        <f t="shared" si="15"/>
        <v>245</v>
      </c>
    </row>
    <row r="248" spans="21:24" ht="15" customHeight="1">
      <c r="U248">
        <f t="shared" si="17"/>
        <v>38</v>
      </c>
      <c r="V248">
        <v>2027</v>
      </c>
      <c r="W248" t="str">
        <f t="shared" si="14"/>
        <v>2027 - 38</v>
      </c>
      <c r="X248">
        <f t="shared" si="15"/>
        <v>246</v>
      </c>
    </row>
    <row r="249" spans="21:24" ht="15" customHeight="1">
      <c r="U249">
        <f t="shared" si="17"/>
        <v>39</v>
      </c>
      <c r="V249">
        <v>2027</v>
      </c>
      <c r="W249" t="str">
        <f t="shared" si="14"/>
        <v>2027 - 39</v>
      </c>
      <c r="X249">
        <f t="shared" si="15"/>
        <v>247</v>
      </c>
    </row>
    <row r="250" spans="21:24" ht="15" customHeight="1">
      <c r="U250">
        <f t="shared" si="17"/>
        <v>40</v>
      </c>
      <c r="V250">
        <v>2027</v>
      </c>
      <c r="W250" t="str">
        <f t="shared" si="14"/>
        <v>2027 - 40</v>
      </c>
      <c r="X250">
        <f t="shared" si="15"/>
        <v>248</v>
      </c>
    </row>
    <row r="251" spans="21:24" ht="15" customHeight="1">
      <c r="U251">
        <f t="shared" si="17"/>
        <v>41</v>
      </c>
      <c r="V251">
        <v>2027</v>
      </c>
      <c r="W251" t="str">
        <f t="shared" si="14"/>
        <v>2027 - 41</v>
      </c>
      <c r="X251">
        <f t="shared" si="15"/>
        <v>249</v>
      </c>
    </row>
    <row r="252" spans="21:24" ht="15" customHeight="1">
      <c r="U252">
        <f t="shared" si="17"/>
        <v>42</v>
      </c>
      <c r="V252">
        <v>2027</v>
      </c>
      <c r="W252" t="str">
        <f t="shared" si="14"/>
        <v>2027 - 42</v>
      </c>
      <c r="X252">
        <f t="shared" si="15"/>
        <v>250</v>
      </c>
    </row>
    <row r="253" spans="21:24" ht="15" customHeight="1">
      <c r="U253">
        <f t="shared" si="17"/>
        <v>43</v>
      </c>
      <c r="V253">
        <v>2027</v>
      </c>
      <c r="W253" t="str">
        <f t="shared" si="14"/>
        <v>2027 - 43</v>
      </c>
      <c r="X253">
        <f t="shared" si="15"/>
        <v>251</v>
      </c>
    </row>
    <row r="254" spans="21:24" ht="15" customHeight="1">
      <c r="U254">
        <f t="shared" si="17"/>
        <v>44</v>
      </c>
      <c r="V254">
        <v>2027</v>
      </c>
      <c r="W254" t="str">
        <f t="shared" si="14"/>
        <v>2027 - 44</v>
      </c>
      <c r="X254">
        <f t="shared" si="15"/>
        <v>252</v>
      </c>
    </row>
    <row r="255" spans="21:24" ht="15" customHeight="1">
      <c r="U255">
        <f t="shared" si="17"/>
        <v>45</v>
      </c>
      <c r="V255">
        <v>2027</v>
      </c>
      <c r="W255" t="str">
        <f t="shared" si="14"/>
        <v>2027 - 45</v>
      </c>
      <c r="X255">
        <f t="shared" si="15"/>
        <v>253</v>
      </c>
    </row>
    <row r="256" spans="21:24" ht="15" customHeight="1">
      <c r="U256">
        <f t="shared" si="17"/>
        <v>46</v>
      </c>
      <c r="V256">
        <v>2027</v>
      </c>
      <c r="W256" t="str">
        <f t="shared" si="14"/>
        <v>2027 - 46</v>
      </c>
      <c r="X256">
        <f t="shared" si="15"/>
        <v>254</v>
      </c>
    </row>
    <row r="257" spans="21:24" ht="15" customHeight="1">
      <c r="U257">
        <f t="shared" si="17"/>
        <v>47</v>
      </c>
      <c r="V257">
        <v>2027</v>
      </c>
      <c r="W257" t="str">
        <f t="shared" si="14"/>
        <v>2027 - 47</v>
      </c>
      <c r="X257">
        <f t="shared" si="15"/>
        <v>255</v>
      </c>
    </row>
    <row r="258" spans="21:24" ht="15" customHeight="1">
      <c r="U258">
        <f t="shared" si="17"/>
        <v>48</v>
      </c>
      <c r="V258">
        <v>2027</v>
      </c>
      <c r="W258" t="str">
        <f t="shared" si="14"/>
        <v>2027 - 48</v>
      </c>
      <c r="X258">
        <f t="shared" si="15"/>
        <v>256</v>
      </c>
    </row>
    <row r="259" spans="21:24" ht="15" customHeight="1">
      <c r="U259">
        <f t="shared" si="17"/>
        <v>49</v>
      </c>
      <c r="V259">
        <v>2027</v>
      </c>
      <c r="W259" t="str">
        <f>CONCATENATE(V259," - ",U259)</f>
        <v>2027 - 49</v>
      </c>
      <c r="X259">
        <f t="shared" si="15"/>
        <v>257</v>
      </c>
    </row>
    <row r="260" spans="21:24" ht="15" customHeight="1">
      <c r="U260">
        <f t="shared" si="17"/>
        <v>50</v>
      </c>
      <c r="V260">
        <v>2027</v>
      </c>
      <c r="W260" t="str">
        <f>CONCATENATE(V260," - ",U260)</f>
        <v>2027 - 50</v>
      </c>
      <c r="X260">
        <f t="shared" si="15"/>
        <v>258</v>
      </c>
    </row>
    <row r="261" spans="21:24" ht="15" customHeight="1">
      <c r="U261">
        <f t="shared" si="17"/>
        <v>51</v>
      </c>
      <c r="V261">
        <v>2027</v>
      </c>
      <c r="W261" t="str">
        <f>CONCATENATE(V261," - ",U261)</f>
        <v>2027 - 51</v>
      </c>
      <c r="X261">
        <f t="shared" si="15"/>
        <v>259</v>
      </c>
    </row>
    <row r="262" spans="21:24" ht="15" customHeight="1">
      <c r="U262">
        <f t="shared" si="17"/>
        <v>52</v>
      </c>
      <c r="V262">
        <v>2027</v>
      </c>
      <c r="W262" t="str">
        <f>CONCATENATE(V262," - ",U262)</f>
        <v>2027 - 52</v>
      </c>
      <c r="X262">
        <f t="shared" si="15"/>
        <v>260</v>
      </c>
    </row>
  </sheetData>
  <dataValidations count="2">
    <dataValidation type="list" allowBlank="1" showInputMessage="1" showErrorMessage="1" sqref="N144 N3:N141 N155:N156 N153 N150:N151 N158:N162 N177:N1048576" xr:uid="{8C6DA908-520C-4797-BC4B-246EF25781F6}">
      <formula1>$K$4:$K$11</formula1>
    </dataValidation>
    <dataValidation type="list" allowBlank="1" showInputMessage="1" showErrorMessage="1" sqref="M162:M200 M203:M219" xr:uid="{D183B919-F7E2-4C36-83FF-8E11F985C9F8}">
      <formula1>$M$3:$M$1048576</formula1>
    </dataValidation>
  </dataValidations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4ADD4-9C13-43B9-A613-BB4B1815922F}">
  <sheetPr>
    <tabColor rgb="FF75F61E"/>
    <pageSetUpPr fitToPage="1"/>
  </sheetPr>
  <dimension ref="B3:S506"/>
  <sheetViews>
    <sheetView showGridLines="0" view="pageBreakPreview" topLeftCell="A347" zoomScale="40" zoomScaleNormal="40" zoomScaleSheetLayoutView="40" workbookViewId="0">
      <selection activeCell="K447" sqref="K447"/>
    </sheetView>
  </sheetViews>
  <sheetFormatPr defaultColWidth="11.42578125" defaultRowHeight="15"/>
  <cols>
    <col min="2" max="2" width="36.28515625" customWidth="1"/>
    <col min="3" max="3" width="28.85546875" customWidth="1"/>
    <col min="4" max="10" width="30.140625" customWidth="1"/>
    <col min="11" max="12" width="117.5703125" customWidth="1"/>
    <col min="13" max="14" width="23.140625" customWidth="1"/>
  </cols>
  <sheetData>
    <row r="3" spans="2:12" ht="61.15" customHeight="1">
      <c r="B3" s="754" t="e" vm="1">
        <v>#VALUE!</v>
      </c>
      <c r="C3" s="754"/>
      <c r="D3" s="754"/>
      <c r="E3" s="755" t="s">
        <v>3689</v>
      </c>
      <c r="F3" s="755"/>
      <c r="G3" s="755"/>
      <c r="H3" s="755"/>
      <c r="I3" s="755"/>
      <c r="J3" s="755"/>
      <c r="K3" s="755"/>
      <c r="L3" s="756">
        <f ca="1">+TODAY()-1</f>
        <v>46205</v>
      </c>
    </row>
    <row r="4" spans="2:12" ht="61.15" customHeight="1">
      <c r="B4" s="754"/>
      <c r="C4" s="754"/>
      <c r="D4" s="754"/>
      <c r="E4" s="755"/>
      <c r="F4" s="755"/>
      <c r="G4" s="755"/>
      <c r="H4" s="755"/>
      <c r="I4" s="755"/>
      <c r="J4" s="755"/>
      <c r="K4" s="755"/>
      <c r="L4" s="756"/>
    </row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spans="14:14" hidden="1"/>
    <row r="114" spans="14:14" hidden="1"/>
    <row r="115" spans="14:14" hidden="1"/>
    <row r="116" spans="14:14" hidden="1"/>
    <row r="117" spans="14:14" hidden="1"/>
    <row r="118" spans="14:14" hidden="1"/>
    <row r="119" spans="14:14" hidden="1"/>
    <row r="120" spans="14:14" hidden="1"/>
    <row r="121" spans="14:14" hidden="1"/>
    <row r="122" spans="14:14" hidden="1"/>
    <row r="123" spans="14:14" hidden="1"/>
    <row r="124" spans="14:14" hidden="1"/>
    <row r="125" spans="14:14" hidden="1"/>
    <row r="126" spans="14:14" hidden="1"/>
    <row r="127" spans="14:14" hidden="1">
      <c r="N127" t="str">
        <f ca="1">+CONCATENATE("SEM. - 0",WEEKNUM(TODAY()))</f>
        <v>SEM. - 027</v>
      </c>
    </row>
    <row r="128" spans="14:14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284" spans="2:12">
      <c r="B284" s="451"/>
      <c r="C284" s="451"/>
      <c r="D284" s="451"/>
      <c r="E284" s="451"/>
      <c r="F284" s="451"/>
      <c r="G284" s="451"/>
      <c r="H284" s="451"/>
      <c r="I284" s="451"/>
      <c r="J284" s="451"/>
      <c r="K284" s="451"/>
      <c r="L284" s="451"/>
    </row>
    <row r="285" spans="2:12">
      <c r="B285" s="452"/>
      <c r="C285" s="452"/>
      <c r="D285" s="452"/>
      <c r="E285" s="452"/>
      <c r="F285" s="452"/>
      <c r="G285" s="452"/>
      <c r="H285" s="452"/>
      <c r="I285" s="452"/>
      <c r="J285" s="452"/>
      <c r="K285" s="452"/>
      <c r="L285" s="452"/>
    </row>
    <row r="286" spans="2:12">
      <c r="B286" s="452"/>
      <c r="C286" s="452"/>
      <c r="D286" s="452"/>
      <c r="E286" s="452"/>
      <c r="F286" s="452"/>
      <c r="G286" s="452"/>
      <c r="H286" s="452"/>
      <c r="I286" s="452"/>
      <c r="J286" s="452"/>
      <c r="K286" s="452"/>
      <c r="L286" s="452"/>
    </row>
    <row r="287" spans="2:12">
      <c r="B287" s="452"/>
      <c r="C287" s="452"/>
      <c r="D287" s="452"/>
      <c r="E287" s="452"/>
      <c r="F287" s="452"/>
      <c r="G287" s="452"/>
      <c r="H287" s="452"/>
      <c r="I287" s="452"/>
      <c r="J287" s="452"/>
      <c r="K287" s="452"/>
      <c r="L287" s="452"/>
    </row>
    <row r="288" spans="2:12">
      <c r="B288" s="452"/>
      <c r="C288" s="452"/>
      <c r="D288" s="452"/>
      <c r="E288" s="452"/>
      <c r="F288" s="452"/>
      <c r="G288" s="452"/>
      <c r="H288" s="452"/>
      <c r="I288" s="452"/>
      <c r="J288" s="452"/>
      <c r="K288" s="452"/>
      <c r="L288" s="452"/>
    </row>
    <row r="289" spans="2:12">
      <c r="B289" s="452"/>
      <c r="C289" s="452"/>
      <c r="D289" s="452"/>
      <c r="E289" s="452"/>
      <c r="F289" s="452"/>
      <c r="G289" s="452"/>
      <c r="H289" s="452"/>
      <c r="I289" s="452"/>
      <c r="J289" s="452"/>
      <c r="K289" s="452"/>
      <c r="L289" s="452"/>
    </row>
    <row r="290" spans="2:12">
      <c r="B290" s="452"/>
      <c r="C290" s="452"/>
      <c r="D290" s="452"/>
      <c r="E290" s="452"/>
      <c r="F290" s="452"/>
      <c r="G290" s="452"/>
      <c r="H290" s="452"/>
      <c r="I290" s="452"/>
      <c r="J290" s="452"/>
      <c r="K290" s="452"/>
      <c r="L290" s="452"/>
    </row>
    <row r="291" spans="2:12">
      <c r="B291" s="452"/>
      <c r="C291" s="452"/>
      <c r="D291" s="452"/>
      <c r="E291" s="452"/>
      <c r="F291" s="452"/>
      <c r="G291" s="452"/>
      <c r="H291" s="452"/>
      <c r="I291" s="452"/>
      <c r="J291" s="452"/>
      <c r="K291" s="452"/>
      <c r="L291" s="452"/>
    </row>
    <row r="292" spans="2:12">
      <c r="B292" s="452"/>
      <c r="C292" s="452"/>
      <c r="D292" s="452"/>
      <c r="E292" s="452"/>
      <c r="F292" s="452"/>
      <c r="G292" s="452"/>
      <c r="H292" s="452"/>
      <c r="I292" s="452"/>
      <c r="J292" s="452"/>
      <c r="K292" s="452"/>
      <c r="L292" s="452"/>
    </row>
    <row r="293" spans="2:12">
      <c r="B293" s="452"/>
      <c r="C293" s="452"/>
      <c r="D293" s="452"/>
      <c r="E293" s="452"/>
      <c r="F293" s="452"/>
      <c r="G293" s="452"/>
      <c r="H293" s="452"/>
      <c r="I293" s="452"/>
      <c r="J293" s="452"/>
      <c r="K293" s="452"/>
      <c r="L293" s="452"/>
    </row>
    <row r="294" spans="2:12">
      <c r="B294" s="452"/>
      <c r="C294" s="452"/>
      <c r="D294" s="452"/>
      <c r="E294" s="452"/>
      <c r="F294" s="452"/>
      <c r="G294" s="452"/>
      <c r="H294" s="452"/>
      <c r="I294" s="452"/>
      <c r="J294" s="452"/>
      <c r="K294" s="452"/>
      <c r="L294" s="452"/>
    </row>
    <row r="295" spans="2:12">
      <c r="B295" s="452"/>
      <c r="C295" s="452"/>
      <c r="D295" s="452"/>
      <c r="E295" s="452"/>
      <c r="F295" s="452"/>
      <c r="G295" s="452"/>
      <c r="H295" s="452"/>
      <c r="I295" s="452"/>
      <c r="J295" s="452"/>
      <c r="K295" s="452"/>
      <c r="L295" s="452"/>
    </row>
    <row r="296" spans="2:12">
      <c r="B296" s="452"/>
      <c r="C296" s="452"/>
      <c r="D296" s="452"/>
      <c r="E296" s="452"/>
      <c r="F296" s="452"/>
      <c r="G296" s="452"/>
      <c r="H296" s="452"/>
      <c r="I296" s="452"/>
      <c r="J296" s="452"/>
      <c r="K296" s="452"/>
      <c r="L296" s="452"/>
    </row>
    <row r="297" spans="2:12">
      <c r="B297" s="452"/>
      <c r="C297" s="452"/>
      <c r="D297" s="452"/>
      <c r="E297" s="452"/>
      <c r="F297" s="452"/>
      <c r="G297" s="452"/>
      <c r="H297" s="452"/>
      <c r="I297" s="452"/>
      <c r="J297" s="452"/>
      <c r="K297" s="452"/>
      <c r="L297" s="452"/>
    </row>
    <row r="298" spans="2:12">
      <c r="B298" s="452"/>
      <c r="C298" s="452"/>
      <c r="D298" s="452"/>
      <c r="E298" s="452"/>
      <c r="F298" s="452"/>
      <c r="G298" s="452"/>
      <c r="H298" s="452"/>
      <c r="I298" s="452"/>
      <c r="J298" s="452"/>
      <c r="K298" s="452"/>
      <c r="L298" s="452"/>
    </row>
    <row r="299" spans="2:12">
      <c r="B299" s="452"/>
      <c r="C299" s="452"/>
      <c r="D299" s="452"/>
      <c r="E299" s="452"/>
      <c r="F299" s="452"/>
      <c r="G299" s="452"/>
      <c r="H299" s="452"/>
      <c r="I299" s="452"/>
      <c r="J299" s="452"/>
      <c r="K299" s="452"/>
      <c r="L299" s="452"/>
    </row>
    <row r="300" spans="2:12">
      <c r="B300" s="452"/>
      <c r="C300" s="452"/>
      <c r="D300" s="452"/>
      <c r="E300" s="452"/>
      <c r="F300" s="452"/>
      <c r="G300" s="452"/>
      <c r="H300" s="452"/>
      <c r="I300" s="452"/>
      <c r="J300" s="452"/>
      <c r="K300" s="452"/>
      <c r="L300" s="452"/>
    </row>
    <row r="301" spans="2:12">
      <c r="B301" s="452"/>
      <c r="C301" s="452"/>
      <c r="D301" s="452"/>
      <c r="E301" s="452"/>
      <c r="F301" s="452"/>
      <c r="G301" s="452"/>
      <c r="H301" s="452"/>
      <c r="I301" s="452"/>
      <c r="J301" s="452"/>
      <c r="K301" s="452"/>
      <c r="L301" s="452"/>
    </row>
    <row r="302" spans="2:12">
      <c r="B302" s="452"/>
      <c r="C302" s="452"/>
      <c r="D302" s="452"/>
      <c r="E302" s="452"/>
      <c r="F302" s="452"/>
      <c r="G302" s="452"/>
      <c r="H302" s="452"/>
      <c r="I302" s="452"/>
      <c r="J302" s="452"/>
      <c r="K302" s="452"/>
      <c r="L302" s="452"/>
    </row>
    <row r="303" spans="2:12">
      <c r="B303" s="452"/>
      <c r="C303" s="452"/>
      <c r="D303" s="452"/>
      <c r="E303" s="452"/>
      <c r="F303" s="452"/>
      <c r="G303" s="452"/>
      <c r="H303" s="452"/>
      <c r="I303" s="452"/>
      <c r="J303" s="452"/>
      <c r="K303" s="452"/>
      <c r="L303" s="452"/>
    </row>
    <row r="304" spans="2:12">
      <c r="B304" s="452"/>
      <c r="C304" s="452"/>
      <c r="D304" s="452"/>
      <c r="E304" s="452"/>
      <c r="F304" s="452"/>
      <c r="G304" s="452"/>
      <c r="H304" s="452"/>
      <c r="I304" s="452"/>
      <c r="J304" s="452"/>
      <c r="K304" s="452"/>
      <c r="L304" s="452"/>
    </row>
    <row r="305" spans="2:19">
      <c r="B305" s="452"/>
      <c r="C305" s="452"/>
      <c r="D305" s="452"/>
      <c r="E305" s="452"/>
      <c r="F305" s="452"/>
      <c r="G305" s="452"/>
      <c r="H305" s="452"/>
      <c r="I305" s="452"/>
      <c r="J305" s="452"/>
      <c r="K305" s="452"/>
      <c r="L305" s="452"/>
    </row>
    <row r="306" spans="2:19">
      <c r="B306" s="452"/>
      <c r="C306" s="452"/>
      <c r="D306" s="452"/>
      <c r="E306" s="452"/>
      <c r="F306" s="452"/>
      <c r="G306" s="452"/>
      <c r="H306" s="452"/>
      <c r="I306" s="452"/>
      <c r="J306" s="452"/>
      <c r="K306" s="452"/>
      <c r="L306" s="452"/>
    </row>
    <row r="307" spans="2:19">
      <c r="B307" s="452"/>
      <c r="C307" s="452"/>
      <c r="D307" s="452"/>
      <c r="E307" s="452"/>
      <c r="F307" s="452"/>
      <c r="G307" s="452"/>
      <c r="H307" s="452"/>
      <c r="I307" s="452"/>
      <c r="J307" s="452"/>
      <c r="K307" s="452"/>
      <c r="L307" s="452"/>
    </row>
    <row r="308" spans="2:19">
      <c r="B308" s="452"/>
      <c r="C308" s="452"/>
      <c r="D308" s="452"/>
      <c r="E308" s="452"/>
      <c r="F308" s="452"/>
      <c r="G308" s="452"/>
      <c r="H308" s="452"/>
      <c r="I308" s="452"/>
      <c r="J308" s="452"/>
      <c r="K308" s="452"/>
      <c r="L308" s="452"/>
    </row>
    <row r="309" spans="2:19">
      <c r="B309" s="452"/>
      <c r="C309" s="452"/>
      <c r="D309" s="452"/>
      <c r="E309" s="452"/>
      <c r="F309" s="452"/>
      <c r="G309" s="452"/>
      <c r="H309" s="452"/>
      <c r="I309" s="452"/>
      <c r="J309" s="452"/>
      <c r="K309" s="452"/>
      <c r="L309" s="452"/>
    </row>
    <row r="310" spans="2:19">
      <c r="B310" s="452"/>
      <c r="C310" s="452"/>
      <c r="D310" s="452"/>
      <c r="E310" s="452"/>
      <c r="F310" s="452"/>
      <c r="G310" s="452"/>
      <c r="H310" s="452"/>
      <c r="I310" s="452"/>
      <c r="J310" s="452"/>
      <c r="K310" s="452"/>
      <c r="L310" s="452"/>
    </row>
    <row r="311" spans="2:19">
      <c r="B311" s="452"/>
      <c r="C311" s="452"/>
      <c r="D311" s="452"/>
      <c r="E311" s="452"/>
      <c r="F311" s="452"/>
      <c r="G311" s="452"/>
      <c r="H311" s="452"/>
      <c r="I311" s="452"/>
      <c r="J311" s="452"/>
      <c r="K311" s="452"/>
      <c r="L311" s="452"/>
    </row>
    <row r="312" spans="2:19">
      <c r="B312" s="452"/>
      <c r="C312" s="452"/>
      <c r="D312" s="452"/>
      <c r="E312" s="452"/>
      <c r="F312" s="452"/>
      <c r="G312" s="452"/>
      <c r="H312" s="452"/>
      <c r="I312" s="452"/>
      <c r="J312" s="452"/>
      <c r="K312" s="452"/>
      <c r="L312" s="452"/>
    </row>
    <row r="313" spans="2:19">
      <c r="B313" s="452"/>
      <c r="C313" s="452"/>
      <c r="D313" s="452"/>
      <c r="E313" s="452"/>
      <c r="F313" s="452"/>
      <c r="G313" s="452"/>
      <c r="H313" s="452"/>
      <c r="I313" s="452"/>
      <c r="J313" s="452"/>
      <c r="K313" s="452"/>
      <c r="L313" s="452"/>
    </row>
    <row r="314" spans="2:19">
      <c r="B314" s="452"/>
      <c r="C314" s="452"/>
      <c r="D314" s="452"/>
      <c r="E314" s="452"/>
      <c r="F314" s="452"/>
      <c r="G314" s="452"/>
      <c r="H314" s="452"/>
      <c r="I314" s="452"/>
      <c r="J314" s="452"/>
      <c r="K314" s="452"/>
      <c r="L314" s="452"/>
    </row>
    <row r="315" spans="2:19">
      <c r="B315" s="452"/>
      <c r="C315" s="452"/>
      <c r="D315" s="452"/>
      <c r="E315" s="452"/>
      <c r="F315" s="452"/>
      <c r="G315" s="452"/>
      <c r="H315" s="452"/>
      <c r="I315" s="452"/>
      <c r="J315" s="452"/>
      <c r="K315" s="452"/>
      <c r="L315" s="452"/>
    </row>
    <row r="316" spans="2:19">
      <c r="B316" s="452"/>
      <c r="C316" s="452"/>
      <c r="D316" s="452"/>
      <c r="E316" s="452"/>
      <c r="F316" s="452"/>
      <c r="G316" s="452"/>
      <c r="H316" s="452"/>
      <c r="I316" s="452"/>
      <c r="J316" s="452"/>
      <c r="K316" s="452"/>
      <c r="L316" s="452"/>
    </row>
    <row r="317" spans="2:19" ht="15.75" thickBot="1">
      <c r="B317" s="452"/>
      <c r="C317" s="452"/>
      <c r="D317" s="452"/>
      <c r="E317" s="452"/>
      <c r="F317" s="452"/>
      <c r="G317" s="452"/>
      <c r="H317" s="452"/>
      <c r="I317" s="452"/>
      <c r="J317" s="452"/>
      <c r="K317" s="452"/>
      <c r="L317" s="452"/>
    </row>
    <row r="318" spans="2:19" ht="66.599999999999994" customHeight="1">
      <c r="B318" s="757" t="e" vm="2">
        <v>#VALUE!</v>
      </c>
      <c r="C318" s="758"/>
      <c r="D318" s="759"/>
      <c r="E318" s="763" t="s">
        <v>4213</v>
      </c>
      <c r="F318" s="763"/>
      <c r="G318" s="763"/>
      <c r="H318" s="763"/>
      <c r="I318" s="763"/>
      <c r="J318" s="763"/>
      <c r="K318" s="764"/>
      <c r="L318" s="767">
        <f ca="1">TODAY()-1</f>
        <v>46205</v>
      </c>
      <c r="N318" s="62"/>
    </row>
    <row r="319" spans="2:19" ht="66.599999999999994" customHeight="1" thickBot="1">
      <c r="B319" s="760"/>
      <c r="C319" s="761"/>
      <c r="D319" s="762"/>
      <c r="E319" s="765"/>
      <c r="F319" s="765"/>
      <c r="G319" s="765"/>
      <c r="H319" s="765"/>
      <c r="I319" s="765"/>
      <c r="J319" s="765"/>
      <c r="K319" s="766"/>
      <c r="L319" s="768"/>
      <c r="N319" s="62"/>
    </row>
    <row r="320" spans="2:19" ht="47.25" thickBot="1">
      <c r="B320" s="374"/>
      <c r="C320" s="374"/>
      <c r="D320" s="449" t="s">
        <v>36</v>
      </c>
      <c r="E320" s="374"/>
      <c r="F320" s="374"/>
      <c r="G320" s="378" t="s">
        <v>4214</v>
      </c>
      <c r="H320" s="374"/>
      <c r="I320" s="379" t="s">
        <v>10</v>
      </c>
      <c r="J320" s="379" t="s">
        <v>11</v>
      </c>
      <c r="K320" s="374"/>
      <c r="L320" s="374"/>
      <c r="N320" s="62"/>
      <c r="R320" s="454">
        <v>0</v>
      </c>
      <c r="S320" s="454">
        <v>4.1666666666666664E-2</v>
      </c>
    </row>
    <row r="321" spans="2:19" ht="47.25" thickBot="1">
      <c r="B321" s="374"/>
      <c r="C321" s="374"/>
      <c r="D321" s="450" t="s">
        <v>23</v>
      </c>
      <c r="E321" s="374"/>
      <c r="F321" s="374"/>
      <c r="G321" s="363" t="s">
        <v>4215</v>
      </c>
      <c r="H321" s="374"/>
      <c r="I321" s="447" t="s">
        <v>4216</v>
      </c>
      <c r="J321" s="385" t="s">
        <v>93</v>
      </c>
      <c r="K321" s="374"/>
      <c r="L321" s="374"/>
      <c r="N321" s="62"/>
      <c r="R321" s="454">
        <v>4.2361111111111113E-2</v>
      </c>
      <c r="S321" s="454">
        <v>8.3333333333333329E-2</v>
      </c>
    </row>
    <row r="322" spans="2:19" ht="52.5">
      <c r="B322" s="374"/>
      <c r="C322" s="374"/>
      <c r="D322" s="450" t="s">
        <v>39</v>
      </c>
      <c r="E322" s="374"/>
      <c r="F322" s="374"/>
      <c r="G322" s="455" t="s">
        <v>4217</v>
      </c>
      <c r="H322" s="374"/>
      <c r="I322" s="222" t="s">
        <v>92</v>
      </c>
      <c r="J322" s="385" t="s">
        <v>148</v>
      </c>
      <c r="K322" s="374"/>
      <c r="L322" s="374"/>
      <c r="N322" s="62"/>
      <c r="R322" s="454">
        <v>8.4027777777777785E-2</v>
      </c>
      <c r="S322" s="454">
        <v>0.5</v>
      </c>
    </row>
    <row r="323" spans="2:19" ht="23.25" hidden="1">
      <c r="B323" s="65"/>
      <c r="C323" s="44"/>
      <c r="D323" s="31"/>
      <c r="E323" s="143"/>
      <c r="F323" s="143"/>
      <c r="G323" s="143"/>
      <c r="H323" s="143"/>
      <c r="I323" s="412"/>
      <c r="J323" s="375"/>
      <c r="K323" s="143"/>
      <c r="L323" s="143"/>
      <c r="N323" s="62"/>
    </row>
    <row r="324" spans="2:19" ht="72.75" thickBot="1">
      <c r="B324" s="364" t="s">
        <v>3732</v>
      </c>
      <c r="C324" s="364" t="s">
        <v>3733</v>
      </c>
      <c r="D324" s="365" t="s">
        <v>3734</v>
      </c>
      <c r="E324" s="365" t="s">
        <v>3735</v>
      </c>
      <c r="F324" s="365" t="s">
        <v>3736</v>
      </c>
      <c r="G324" s="365" t="s">
        <v>3737</v>
      </c>
      <c r="H324" s="376" t="s">
        <v>3738</v>
      </c>
      <c r="I324" s="416" t="s">
        <v>10</v>
      </c>
      <c r="J324" s="365" t="s">
        <v>11</v>
      </c>
      <c r="K324" s="377" t="s">
        <v>3739</v>
      </c>
      <c r="L324" s="366" t="s">
        <v>3740</v>
      </c>
      <c r="M324" s="94" t="s">
        <v>3741</v>
      </c>
      <c r="N324" s="99" t="s">
        <v>3742</v>
      </c>
      <c r="O324" s="37"/>
    </row>
    <row r="325" spans="2:19" ht="99" customHeight="1">
      <c r="B325" s="752" t="str">
        <f>+'TABLA-DIA'!B153</f>
        <v>LINEA AUTOMATICA HACOS 2</v>
      </c>
      <c r="C325" s="367" t="str">
        <f>IFERROR(VLOOKUP(N325,'TABLA-DIA'!$B$2:$P$62,9,FALSE),"")</f>
        <v/>
      </c>
      <c r="D325" s="368" t="str">
        <f>IFERROR(VLOOKUP(N325,'TABLA-DIA'!$B$2:$P$62,4,FALSE),"")</f>
        <v/>
      </c>
      <c r="E325" s="369" t="str">
        <f>IFERROR(VLOOKUP(N325,'TABLA-DIA'!$B$2:$P$62,5,FALSE),"")</f>
        <v/>
      </c>
      <c r="F325" s="369" t="str">
        <f>IFERROR(VLOOKUP(N325,'TABLA-DIA'!$B$2:$P$62,6,FALSE),"")</f>
        <v/>
      </c>
      <c r="G325" s="370" t="str">
        <f>IFERROR(VLOOKUP(N325,'TABLA-DIA'!$B$2:$P$62,7,FALSE),"")</f>
        <v/>
      </c>
      <c r="H325" s="371" t="str">
        <f>IFERROR(VLOOKUP(N325,'TABLA-DIA'!$B$2:$P$62,10,FALSE),"")</f>
        <v/>
      </c>
      <c r="I325" s="447" t="str">
        <f>IFERROR(VLOOKUP(N325,'TABLA-DIA'!$B$2:$P$62,11,FALSE),"")</f>
        <v/>
      </c>
      <c r="J325" s="439" t="str">
        <f>IFERROR(VLOOKUP(N325,'TABLA-DIA'!$B$2:$P$62,12,FALSE),"")</f>
        <v/>
      </c>
      <c r="K325" s="372" t="str">
        <f>IFERROR(VLOOKUP(N325,'TABLA-DIA'!$B$2:$P$62,13,FALSE),"")</f>
        <v/>
      </c>
      <c r="L325" s="373" t="str">
        <f>IFERROR(IF(VLOOKUP(N325,'TABLA-DIA'!$B$2:$P$62,14,FALSE)="","",VLOOKUP(N325,'TABLA-DIA'!$B$2:$P$62,14,FALSE)),"")</f>
        <v/>
      </c>
      <c r="M325" s="97">
        <v>1</v>
      </c>
      <c r="N325" s="98" t="str">
        <f t="shared" ref="N325:N336" si="0">CONCATENATE($B$325,"-",M325)</f>
        <v>LINEA AUTOMATICA HACOS 2-1</v>
      </c>
      <c r="O325" s="94">
        <f>COUNTIF(G325:G336,"&lt;&gt;**")</f>
        <v>0</v>
      </c>
    </row>
    <row r="326" spans="2:19" ht="99" customHeight="1" thickBot="1">
      <c r="B326" s="752"/>
      <c r="C326" s="74" t="str">
        <f>IFERROR(VLOOKUP(N326,'TABLA-DIA'!$B$2:$P$62,9,FALSE),"")</f>
        <v/>
      </c>
      <c r="D326" s="116" t="str">
        <f>IFERROR(VLOOKUP(N326,'TABLA-DIA'!$B$2:$P$62,4,FALSE),"")</f>
        <v/>
      </c>
      <c r="E326" s="332" t="str">
        <f>IFERROR(VLOOKUP(N326,'TABLA-DIA'!$B$2:$P$62,5,FALSE),"")</f>
        <v/>
      </c>
      <c r="F326" s="332" t="str">
        <f>IFERROR(VLOOKUP(N326,'TABLA-DIA'!$B$2:$P$62,6,FALSE),"")</f>
        <v/>
      </c>
      <c r="G326" s="360" t="str">
        <f>IFERROR(VLOOKUP(N326,'TABLA-DIA'!$B$2:$P$62,7,FALSE),"")</f>
        <v/>
      </c>
      <c r="H326" s="117" t="str">
        <f>IFERROR(VLOOKUP(N326,'TABLA-DIA'!$B$2:$P$62,10,FALSE),"")</f>
        <v/>
      </c>
      <c r="I326" s="444" t="str">
        <f>IFERROR(VLOOKUP(N326,'TABLA-DIA'!$B$2:$P$62,11,FALSE),"")</f>
        <v/>
      </c>
      <c r="J326" s="440" t="str">
        <f>IFERROR(VLOOKUP(N326,'TABLA-DIA'!$B$2:$P$62,12,FALSE),"")</f>
        <v/>
      </c>
      <c r="K326" s="118" t="str">
        <f>IFERROR(VLOOKUP(N326,'TABLA-DIA'!$B$2:$P$62,13,FALSE),"")</f>
        <v/>
      </c>
      <c r="L326" s="119" t="str">
        <f>IFERROR(IF(VLOOKUP(N326,'TABLA-DIA'!$B$2:$P$62,14,FALSE)="","",VLOOKUP(N326,'TABLA-DIA'!$B$2:$P$62,14,FALSE)),"")</f>
        <v/>
      </c>
      <c r="M326" s="95">
        <v>2</v>
      </c>
      <c r="N326" s="125" t="str">
        <f t="shared" si="0"/>
        <v>LINEA AUTOMATICA HACOS 2-2</v>
      </c>
      <c r="O326" s="2"/>
    </row>
    <row r="327" spans="2:19" ht="160.5" hidden="1" customHeight="1" thickBot="1">
      <c r="B327" s="752"/>
      <c r="C327" s="74" t="str">
        <f>IFERROR(VLOOKUP(N327,'TABLA-DIA'!$B$2:$P$62,9,FALSE),"")</f>
        <v/>
      </c>
      <c r="D327" s="116" t="str">
        <f>IFERROR(VLOOKUP(N327,'TABLA-DIA'!$B$2:$P$62,4,FALSE),"")</f>
        <v/>
      </c>
      <c r="E327" s="332" t="str">
        <f>IFERROR(VLOOKUP(N327,'TABLA-DIA'!$B$2:$P$62,5,FALSE),"")</f>
        <v/>
      </c>
      <c r="F327" s="332" t="str">
        <f>IFERROR(VLOOKUP(N327,'TABLA-DIA'!$B$2:$P$62,6,FALSE),"")</f>
        <v/>
      </c>
      <c r="G327" s="360" t="str">
        <f>IFERROR(VLOOKUP(N327,'TABLA-DIA'!$B$2:$P$62,7,FALSE),"")</f>
        <v/>
      </c>
      <c r="H327" s="117" t="str">
        <f>IFERROR(VLOOKUP(N327,'TABLA-DIA'!$B$2:$P$62,10,FALSE),"")</f>
        <v/>
      </c>
      <c r="I327" s="444" t="str">
        <f>IFERROR(VLOOKUP(N327,'TABLA-DIA'!$B$2:$P$62,11,FALSE),"")</f>
        <v/>
      </c>
      <c r="J327" s="440" t="str">
        <f>IFERROR(VLOOKUP(N327,'TABLA-DIA'!$B$2:$P$62,12,FALSE),"")</f>
        <v/>
      </c>
      <c r="K327" s="118" t="str">
        <f>IFERROR(VLOOKUP(N327,'TABLA-DIA'!$B$2:$P$62,13,FALSE),"")</f>
        <v/>
      </c>
      <c r="L327" s="119" t="str">
        <f>IFERROR(IF(VLOOKUP(N327,'TABLA-DIA'!$B$2:$P$62,14,FALSE)="","",VLOOKUP(N327,'TABLA-DIA'!$B$2:$P$62,14,FALSE)),"")</f>
        <v/>
      </c>
      <c r="M327" s="95">
        <v>3</v>
      </c>
      <c r="N327" s="125" t="str">
        <f t="shared" si="0"/>
        <v>LINEA AUTOMATICA HACOS 2-3</v>
      </c>
      <c r="O327" s="2"/>
    </row>
    <row r="328" spans="2:19" ht="99" hidden="1" customHeight="1">
      <c r="B328" s="752"/>
      <c r="C328" s="74" t="str">
        <f>IFERROR(VLOOKUP(N328,'TABLA-DIA'!$B$2:$P$62,9,FALSE),"")</f>
        <v/>
      </c>
      <c r="D328" s="116" t="str">
        <f>IFERROR(VLOOKUP(N328,'TABLA-DIA'!$B$2:$P$62,4,FALSE),"")</f>
        <v/>
      </c>
      <c r="E328" s="332" t="str">
        <f>IFERROR(VLOOKUP(N328,'TABLA-DIA'!$B$2:$P$62,5,FALSE),"")</f>
        <v/>
      </c>
      <c r="F328" s="332" t="str">
        <f>IFERROR(VLOOKUP(N328,'TABLA-DIA'!$B$2:$P$62,6,FALSE),"")</f>
        <v/>
      </c>
      <c r="G328" s="360" t="str">
        <f>IFERROR(VLOOKUP(N328,'TABLA-DIA'!$B$2:$P$62,7,FALSE),"")</f>
        <v/>
      </c>
      <c r="H328" s="117" t="str">
        <f>IFERROR(VLOOKUP(N328,'TABLA-DIA'!$B$2:$P$62,10,FALSE),"")</f>
        <v/>
      </c>
      <c r="I328" s="444" t="str">
        <f>IFERROR(VLOOKUP(N328,'TABLA-DIA'!$B$2:$P$62,11,FALSE),"")</f>
        <v/>
      </c>
      <c r="J328" s="440" t="str">
        <f>IFERROR(VLOOKUP(N328,'TABLA-DIA'!$B$2:$P$62,12,FALSE),"")</f>
        <v/>
      </c>
      <c r="K328" s="118" t="str">
        <f>IFERROR(VLOOKUP(N328,'TABLA-DIA'!$B$2:$P$62,13,FALSE),"")</f>
        <v/>
      </c>
      <c r="L328" s="119" t="str">
        <f>IFERROR(IF(VLOOKUP(N328,'TABLA-DIA'!$B$2:$P$62,14,FALSE)="","",VLOOKUP(N328,'TABLA-DIA'!$B$2:$P$62,14,FALSE)),"")</f>
        <v/>
      </c>
      <c r="M328" s="95">
        <v>4</v>
      </c>
      <c r="N328" s="125" t="str">
        <f t="shared" si="0"/>
        <v>LINEA AUTOMATICA HACOS 2-4</v>
      </c>
      <c r="O328" s="2"/>
    </row>
    <row r="329" spans="2:19" ht="99" hidden="1" customHeight="1" thickBot="1">
      <c r="B329" s="752"/>
      <c r="C329" s="74" t="str">
        <f>IFERROR(VLOOKUP(N329,'TABLA-DIA'!$B$2:$P$62,9,FALSE),"")</f>
        <v/>
      </c>
      <c r="D329" s="116" t="str">
        <f>IFERROR(VLOOKUP(N329,'TABLA-DIA'!$B$2:$P$62,4,FALSE),"")</f>
        <v/>
      </c>
      <c r="E329" s="332" t="str">
        <f>IFERROR(VLOOKUP(N329,'TABLA-DIA'!$B$2:$P$62,5,FALSE),"")</f>
        <v/>
      </c>
      <c r="F329" s="332" t="str">
        <f>IFERROR(VLOOKUP(N329,'TABLA-DIA'!$B$2:$P$62,6,FALSE),"")</f>
        <v/>
      </c>
      <c r="G329" s="360" t="str">
        <f>IFERROR(VLOOKUP(N329,'TABLA-DIA'!$B$2:$P$62,7,FALSE),"")</f>
        <v/>
      </c>
      <c r="H329" s="117" t="str">
        <f>IFERROR(VLOOKUP(N329,'TABLA-DIA'!$B$2:$P$62,10,FALSE),"")</f>
        <v/>
      </c>
      <c r="I329" s="444" t="str">
        <f>IFERROR(VLOOKUP(N329,'TABLA-DIA'!$B$2:$P$62,11,FALSE),"")</f>
        <v/>
      </c>
      <c r="J329" s="440" t="str">
        <f>IFERROR(VLOOKUP(N329,'TABLA-DIA'!$B$2:$P$62,12,FALSE),"")</f>
        <v/>
      </c>
      <c r="K329" s="118" t="str">
        <f>IFERROR(VLOOKUP(N329,'TABLA-DIA'!$B$2:$P$62,13,FALSE),"")</f>
        <v/>
      </c>
      <c r="L329" s="119" t="str">
        <f>IFERROR(IF(VLOOKUP(N329,'TABLA-DIA'!$B$2:$P$62,14,FALSE)="","",VLOOKUP(N329,'TABLA-DIA'!$B$2:$P$62,14,FALSE)),"")</f>
        <v/>
      </c>
      <c r="M329" s="95">
        <v>5</v>
      </c>
      <c r="N329" s="125" t="str">
        <f t="shared" si="0"/>
        <v>LINEA AUTOMATICA HACOS 2-5</v>
      </c>
      <c r="O329" s="2"/>
    </row>
    <row r="330" spans="2:19" ht="99" hidden="1" customHeight="1" thickBot="1">
      <c r="B330" s="752"/>
      <c r="C330" s="74" t="str">
        <f>IFERROR(VLOOKUP(N330,'TABLA-DIA'!$B$2:$P$62,9,FALSE),"")</f>
        <v/>
      </c>
      <c r="D330" s="116" t="str">
        <f>IFERROR(VLOOKUP(N330,'TABLA-DIA'!$B$2:$P$62,4,FALSE),"")</f>
        <v/>
      </c>
      <c r="E330" s="332" t="str">
        <f>IFERROR(VLOOKUP(N330,'TABLA-DIA'!$B$2:$P$62,5,FALSE),"")</f>
        <v/>
      </c>
      <c r="F330" s="332" t="str">
        <f>IFERROR(VLOOKUP(N330,'TABLA-DIA'!$B$2:$P$62,6,FALSE),"")</f>
        <v/>
      </c>
      <c r="G330" s="360" t="str">
        <f>IFERROR(VLOOKUP(N330,'TABLA-DIA'!$B$2:$P$62,7,FALSE),"")</f>
        <v/>
      </c>
      <c r="H330" s="117" t="str">
        <f>IFERROR(VLOOKUP(N330,'TABLA-DIA'!$B$2:$P$62,10,FALSE),"")</f>
        <v/>
      </c>
      <c r="I330" s="444" t="str">
        <f>IFERROR(VLOOKUP(N330,'TABLA-DIA'!$B$2:$P$62,11,FALSE),"")</f>
        <v/>
      </c>
      <c r="J330" s="440" t="str">
        <f>IFERROR(VLOOKUP(N330,'TABLA-DIA'!$B$2:$P$62,12,FALSE),"")</f>
        <v/>
      </c>
      <c r="K330" s="118" t="str">
        <f>IFERROR(VLOOKUP(N330,'TABLA-DIA'!$B$2:$P$62,13,FALSE),"")</f>
        <v/>
      </c>
      <c r="L330" s="119" t="str">
        <f>IFERROR(IF(VLOOKUP(N330,'TABLA-DIA'!$B$2:$P$62,14,FALSE)="","",VLOOKUP(N330,'TABLA-DIA'!$B$2:$P$62,14,FALSE)),"")</f>
        <v/>
      </c>
      <c r="M330" s="95">
        <v>6</v>
      </c>
      <c r="N330" s="125" t="str">
        <f t="shared" si="0"/>
        <v>LINEA AUTOMATICA HACOS 2-6</v>
      </c>
      <c r="O330" s="2"/>
    </row>
    <row r="331" spans="2:19" ht="99" hidden="1" customHeight="1">
      <c r="B331" s="752"/>
      <c r="C331" s="74" t="str">
        <f>IFERROR(VLOOKUP(N331,'TABLA-DIA'!$B$2:$P$62,9,FALSE),"")</f>
        <v/>
      </c>
      <c r="D331" s="116" t="str">
        <f>IFERROR(VLOOKUP(N331,'TABLA-DIA'!$B$2:$P$62,4,FALSE),"")</f>
        <v/>
      </c>
      <c r="E331" s="332" t="str">
        <f>IFERROR(VLOOKUP(N331,'TABLA-DIA'!$B$2:$P$62,5,FALSE),"")</f>
        <v/>
      </c>
      <c r="F331" s="332" t="str">
        <f>IFERROR(VLOOKUP(N331,'TABLA-DIA'!$B$2:$P$62,6,FALSE),"")</f>
        <v/>
      </c>
      <c r="G331" s="360" t="str">
        <f>IFERROR(VLOOKUP(N331,'TABLA-DIA'!$B$2:$P$62,7,FALSE),"")</f>
        <v/>
      </c>
      <c r="H331" s="117" t="str">
        <f>IFERROR(VLOOKUP(N331,'TABLA-DIA'!$B$2:$P$62,10,FALSE),"")</f>
        <v/>
      </c>
      <c r="I331" s="444" t="str">
        <f>IFERROR(VLOOKUP(N331,'TABLA-DIA'!$B$2:$P$62,11,FALSE),"")</f>
        <v/>
      </c>
      <c r="J331" s="440" t="str">
        <f>IFERROR(VLOOKUP(N331,'TABLA-DIA'!$B$2:$P$62,12,FALSE),"")</f>
        <v/>
      </c>
      <c r="K331" s="118" t="str">
        <f>IFERROR(VLOOKUP(N331,'TABLA-DIA'!$B$2:$P$62,13,FALSE),"")</f>
        <v/>
      </c>
      <c r="L331" s="119" t="str">
        <f>IFERROR(IF(VLOOKUP(N331,'TABLA-DIA'!$B$2:$P$62,14,FALSE)="","",VLOOKUP(N331,'TABLA-DIA'!$B$2:$P$62,14,FALSE)),"")</f>
        <v/>
      </c>
      <c r="M331" s="95">
        <v>7</v>
      </c>
      <c r="N331" s="125" t="str">
        <f t="shared" si="0"/>
        <v>LINEA AUTOMATICA HACOS 2-7</v>
      </c>
      <c r="O331" s="2"/>
    </row>
    <row r="332" spans="2:19" ht="99" hidden="1" customHeight="1">
      <c r="B332" s="752"/>
      <c r="C332" s="74" t="str">
        <f>IFERROR(VLOOKUP(N332,'TABLA-DIA'!$B$2:$P$62,9,FALSE),"")</f>
        <v/>
      </c>
      <c r="D332" s="116" t="str">
        <f>IFERROR(VLOOKUP(N332,'TABLA-DIA'!$B$2:$P$62,4,FALSE),"")</f>
        <v/>
      </c>
      <c r="E332" s="332" t="str">
        <f>IFERROR(VLOOKUP(N332,'TABLA-DIA'!$B$2:$P$62,5,FALSE),"")</f>
        <v/>
      </c>
      <c r="F332" s="332" t="str">
        <f>IFERROR(VLOOKUP(N332,'TABLA-DIA'!$B$2:$P$62,6,FALSE),"")</f>
        <v/>
      </c>
      <c r="G332" s="360" t="str">
        <f>IFERROR(VLOOKUP(N332,'TABLA-DIA'!$B$2:$P$62,7,FALSE),"")</f>
        <v/>
      </c>
      <c r="H332" s="117" t="str">
        <f>IFERROR(VLOOKUP(N332,'TABLA-DIA'!$B$2:$P$62,10,FALSE),"")</f>
        <v/>
      </c>
      <c r="I332" s="444" t="str">
        <f>IFERROR(VLOOKUP(N332,'TABLA-DIA'!$B$2:$P$62,11,FALSE),"")</f>
        <v/>
      </c>
      <c r="J332" s="440" t="str">
        <f>IFERROR(VLOOKUP(N332,'TABLA-DIA'!$B$2:$P$62,12,FALSE),"")</f>
        <v/>
      </c>
      <c r="K332" s="118" t="str">
        <f>IFERROR(VLOOKUP(N332,'TABLA-DIA'!$B$2:$P$62,13,FALSE),"")</f>
        <v/>
      </c>
      <c r="L332" s="119" t="str">
        <f>IFERROR(IF(VLOOKUP(N332,'TABLA-DIA'!$B$2:$P$62,14,FALSE)="","",VLOOKUP(N332,'TABLA-DIA'!$B$2:$P$62,14,FALSE)),"")</f>
        <v/>
      </c>
      <c r="M332" s="95">
        <v>8</v>
      </c>
      <c r="N332" s="125" t="str">
        <f t="shared" si="0"/>
        <v>LINEA AUTOMATICA HACOS 2-8</v>
      </c>
      <c r="O332" s="2"/>
    </row>
    <row r="333" spans="2:19" ht="99" hidden="1" customHeight="1">
      <c r="B333" s="752"/>
      <c r="C333" s="74" t="str">
        <f>IFERROR(VLOOKUP(N333,'TABLA-DIA'!$B$2:$P$62,9,FALSE),"")</f>
        <v/>
      </c>
      <c r="D333" s="116" t="str">
        <f>IFERROR(VLOOKUP(N333,'TABLA-DIA'!$B$2:$P$62,4,FALSE),"")</f>
        <v/>
      </c>
      <c r="E333" s="332" t="str">
        <f>IFERROR(VLOOKUP(N333,'TABLA-DIA'!$B$2:$P$62,5,FALSE),"")</f>
        <v/>
      </c>
      <c r="F333" s="332" t="str">
        <f>IFERROR(VLOOKUP(N333,'TABLA-DIA'!$B$2:$P$62,6,FALSE),"")</f>
        <v/>
      </c>
      <c r="G333" s="360" t="str">
        <f>IFERROR(VLOOKUP(N333,'TABLA-DIA'!$B$2:$P$62,7,FALSE),"")</f>
        <v/>
      </c>
      <c r="H333" s="117" t="str">
        <f>IFERROR(VLOOKUP(N333,'TABLA-DIA'!$B$2:$P$62,10,FALSE),"")</f>
        <v/>
      </c>
      <c r="I333" s="444" t="str">
        <f>IFERROR(VLOOKUP(N333,'TABLA-DIA'!$B$2:$P$62,11,FALSE),"")</f>
        <v/>
      </c>
      <c r="J333" s="440" t="str">
        <f>IFERROR(VLOOKUP(N333,'TABLA-DIA'!$B$2:$P$62,12,FALSE),"")</f>
        <v/>
      </c>
      <c r="K333" s="118" t="str">
        <f>IFERROR(VLOOKUP(N333,'TABLA-DIA'!$B$2:$P$62,13,FALSE),"")</f>
        <v/>
      </c>
      <c r="L333" s="119" t="str">
        <f>IFERROR(IF(VLOOKUP(N333,'TABLA-DIA'!$B$2:$P$62,14,FALSE)="","",VLOOKUP(N333,'TABLA-DIA'!$B$2:$P$62,14,FALSE)),"")</f>
        <v/>
      </c>
      <c r="M333" s="95">
        <v>9</v>
      </c>
      <c r="N333" s="125" t="str">
        <f t="shared" si="0"/>
        <v>LINEA AUTOMATICA HACOS 2-9</v>
      </c>
      <c r="O333" s="2"/>
    </row>
    <row r="334" spans="2:19" ht="99" hidden="1" customHeight="1">
      <c r="B334" s="752"/>
      <c r="C334" s="74" t="str">
        <f>IFERROR(VLOOKUP(N334,'TABLA-DIA'!$B$2:$P$62,9,FALSE),"")</f>
        <v/>
      </c>
      <c r="D334" s="116" t="str">
        <f>IFERROR(VLOOKUP(N334,'TABLA-DIA'!$B$2:$P$62,4,FALSE),"")</f>
        <v/>
      </c>
      <c r="E334" s="332" t="str">
        <f>IFERROR(VLOOKUP(N334,'TABLA-DIA'!$B$2:$P$62,5,FALSE),"")</f>
        <v/>
      </c>
      <c r="F334" s="332" t="str">
        <f>IFERROR(VLOOKUP(N334,'TABLA-DIA'!$B$2:$P$62,6,FALSE),"")</f>
        <v/>
      </c>
      <c r="G334" s="360" t="str">
        <f>IFERROR(VLOOKUP(N334,'TABLA-DIA'!$B$2:$P$62,7,FALSE),"")</f>
        <v/>
      </c>
      <c r="H334" s="117" t="str">
        <f>IFERROR(VLOOKUP(N334,'TABLA-DIA'!$B$2:$P$62,10,FALSE),"")</f>
        <v/>
      </c>
      <c r="I334" s="444" t="str">
        <f>IFERROR(VLOOKUP(N334,'TABLA-DIA'!$B$2:$P$62,11,FALSE),"")</f>
        <v/>
      </c>
      <c r="J334" s="440" t="str">
        <f>IFERROR(VLOOKUP(N334,'TABLA-DIA'!$B$2:$P$62,12,FALSE),"")</f>
        <v/>
      </c>
      <c r="K334" s="118" t="str">
        <f>IFERROR(VLOOKUP(N334,'TABLA-DIA'!$B$2:$P$62,13,FALSE),"")</f>
        <v/>
      </c>
      <c r="L334" s="119" t="str">
        <f>IFERROR(IF(VLOOKUP(N334,'TABLA-DIA'!$B$2:$P$62,14,FALSE)="","",VLOOKUP(N334,'TABLA-DIA'!$B$2:$P$62,14,FALSE)),"")</f>
        <v/>
      </c>
      <c r="M334" s="95">
        <v>10</v>
      </c>
      <c r="N334" s="125" t="str">
        <f t="shared" si="0"/>
        <v>LINEA AUTOMATICA HACOS 2-10</v>
      </c>
      <c r="O334" s="2"/>
    </row>
    <row r="335" spans="2:19" ht="99" hidden="1" customHeight="1">
      <c r="B335" s="752"/>
      <c r="C335" s="74" t="str">
        <f>IFERROR(VLOOKUP(N335,'TABLA-DIA'!$B$2:$P$62,9,FALSE),"")</f>
        <v/>
      </c>
      <c r="D335" s="116" t="str">
        <f>IFERROR(VLOOKUP(N335,'TABLA-DIA'!$B$2:$P$62,4,FALSE),"")</f>
        <v/>
      </c>
      <c r="E335" s="332" t="str">
        <f>IFERROR(VLOOKUP(N335,'TABLA-DIA'!$B$2:$P$62,5,FALSE),"")</f>
        <v/>
      </c>
      <c r="F335" s="332" t="str">
        <f>IFERROR(VLOOKUP(N335,'TABLA-DIA'!$B$2:$P$62,6,FALSE),"")</f>
        <v/>
      </c>
      <c r="G335" s="360" t="str">
        <f>IFERROR(VLOOKUP(N335,'TABLA-DIA'!$B$2:$P$62,7,FALSE),"")</f>
        <v/>
      </c>
      <c r="H335" s="117" t="str">
        <f>IFERROR(VLOOKUP(N335,'TABLA-DIA'!$B$2:$P$62,10,FALSE),"")</f>
        <v/>
      </c>
      <c r="I335" s="444" t="str">
        <f>IFERROR(VLOOKUP(N335,'TABLA-DIA'!$B$2:$P$62,11,FALSE),"")</f>
        <v/>
      </c>
      <c r="J335" s="440" t="str">
        <f>IFERROR(VLOOKUP(N335,'TABLA-DIA'!$B$2:$P$62,12,FALSE),"")</f>
        <v/>
      </c>
      <c r="K335" s="118" t="str">
        <f>IFERROR(VLOOKUP(N335,'TABLA-DIA'!$B$2:$P$62,13,FALSE),"")</f>
        <v/>
      </c>
      <c r="L335" s="119" t="str">
        <f>IFERROR(IF(VLOOKUP(N335,'TABLA-DIA'!$B$2:$P$62,14,FALSE)="","",VLOOKUP(N335,'TABLA-DIA'!$B$2:$P$62,14,FALSE)),"")</f>
        <v/>
      </c>
      <c r="M335" s="95">
        <v>11</v>
      </c>
      <c r="N335" s="125" t="str">
        <f t="shared" si="0"/>
        <v>LINEA AUTOMATICA HACOS 2-11</v>
      </c>
      <c r="O335" s="2"/>
    </row>
    <row r="336" spans="2:19" ht="99" hidden="1" customHeight="1" thickBot="1">
      <c r="B336" s="752"/>
      <c r="C336" s="101" t="str">
        <f>IFERROR(VLOOKUP(N336,'TABLA-DIA'!$B$2:$P$62,9,FALSE),"")</f>
        <v/>
      </c>
      <c r="D336" s="131" t="str">
        <f>IFERROR(VLOOKUP(N336,'TABLA-DIA'!$B$2:$P$62,4,FALSE),"")</f>
        <v/>
      </c>
      <c r="E336" s="333" t="str">
        <f>IFERROR(VLOOKUP(N336,'TABLA-DIA'!$B$2:$P$62,5,FALSE),"")</f>
        <v/>
      </c>
      <c r="F336" s="333" t="str">
        <f>IFERROR(VLOOKUP(N336,'TABLA-DIA'!$B$2:$P$62,6,FALSE),"")</f>
        <v/>
      </c>
      <c r="G336" s="361" t="str">
        <f>IFERROR(VLOOKUP(N336,'TABLA-DIA'!$B$2:$P$62,7,FALSE),"")</f>
        <v/>
      </c>
      <c r="H336" s="132" t="str">
        <f>IFERROR(VLOOKUP(N336,'TABLA-DIA'!$B$2:$P$62,10,FALSE),"")</f>
        <v/>
      </c>
      <c r="I336" s="448" t="str">
        <f>IFERROR(VLOOKUP(N336,'TABLA-DIA'!$B$2:$P$62,11,FALSE),"")</f>
        <v/>
      </c>
      <c r="J336" s="441" t="str">
        <f>IFERROR(VLOOKUP(N336,'TABLA-DIA'!$B$2:$P$62,12,FALSE),"")</f>
        <v/>
      </c>
      <c r="K336" s="133" t="str">
        <f>IFERROR(VLOOKUP(N336,'TABLA-DIA'!$B$2:$P$62,13,FALSE),"")</f>
        <v/>
      </c>
      <c r="L336" s="134" t="str">
        <f>IFERROR(IF(VLOOKUP(N336,'TABLA-DIA'!$B$2:$P$62,14,FALSE)="","",VLOOKUP(N336,'TABLA-DIA'!$B$2:$P$62,14,FALSE)),"")</f>
        <v/>
      </c>
      <c r="M336" s="102">
        <v>12</v>
      </c>
      <c r="N336" s="135" t="str">
        <f t="shared" si="0"/>
        <v>LINEA AUTOMATICA HACOS 2-12</v>
      </c>
      <c r="O336" s="2"/>
    </row>
    <row r="337" spans="2:15" ht="108.75" customHeight="1">
      <c r="B337" s="769" t="str">
        <f>+'TABLA-DIA'!B154</f>
        <v>CORTADORA DE TURRON</v>
      </c>
      <c r="C337" s="96" t="str">
        <f>IFERROR(VLOOKUP(N337,'TABLA-DIA'!$B$2:$P$62,9,FALSE),"")</f>
        <v/>
      </c>
      <c r="D337" s="121" t="str">
        <f>IFERROR(VLOOKUP(N337,'TABLA-DIA'!$B$2:$P$62,4,FALSE),"")</f>
        <v/>
      </c>
      <c r="E337" s="331" t="str">
        <f>IFERROR(VLOOKUP(N337,'TABLA-DIA'!$B$2:$P$62,5,FALSE),"")</f>
        <v/>
      </c>
      <c r="F337" s="331" t="str">
        <f>IFERROR(VLOOKUP(N337,'TABLA-DIA'!$B$2:$P$62,6,FALSE),"")</f>
        <v/>
      </c>
      <c r="G337" s="359" t="str">
        <f>IFERROR(VLOOKUP(N337,'TABLA-DIA'!$B$2:$P$62,7,FALSE),"")</f>
        <v/>
      </c>
      <c r="H337" s="122" t="str">
        <f>IFERROR(VLOOKUP(N337,'TABLA-DIA'!$B$2:$P$62,10,FALSE),"")</f>
        <v/>
      </c>
      <c r="I337" s="446" t="str">
        <f>IFERROR(VLOOKUP(N337,'TABLA-DIA'!$B$2:$P$62,11,FALSE),"")</f>
        <v/>
      </c>
      <c r="J337" s="442" t="str">
        <f>IFERROR(VLOOKUP(N337,'TABLA-DIA'!$B$2:$P$62,12,FALSE),"")</f>
        <v/>
      </c>
      <c r="K337" s="123" t="str">
        <f>IFERROR(VLOOKUP(N337,'TABLA-DIA'!$B$2:$P$62,13,FALSE),"")</f>
        <v/>
      </c>
      <c r="L337" s="124" t="str">
        <f>IFERROR(IF(VLOOKUP(N337,'TABLA-DIA'!$B$2:$P$62,14,FALSE)="","",VLOOKUP(N337,'TABLA-DIA'!$B$2:$P$62,14,FALSE)),"")</f>
        <v/>
      </c>
      <c r="M337" s="100">
        <v>1</v>
      </c>
      <c r="N337" s="98" t="str">
        <f t="shared" ref="N337:N346" si="1">CONCATENATE($B$337,"-",M337)</f>
        <v>CORTADORA DE TURRON-1</v>
      </c>
      <c r="O337" s="91">
        <f>COUNTIF(G337:G346,"&lt;&gt;**")</f>
        <v>0</v>
      </c>
    </row>
    <row r="338" spans="2:15" ht="108.75" customHeight="1" thickBot="1">
      <c r="B338" s="770"/>
      <c r="C338" s="74" t="str">
        <f>IFERROR(VLOOKUP(N338,'TABLA-DIA'!$B$2:$P$62,9,FALSE),"")</f>
        <v/>
      </c>
      <c r="D338" s="116" t="str">
        <f>IFERROR(VLOOKUP(N338,'TABLA-DIA'!$B$2:$P$62,4,FALSE),"")</f>
        <v/>
      </c>
      <c r="E338" s="332" t="str">
        <f>IFERROR(VLOOKUP(N338,'TABLA-DIA'!$B$2:$P$62,5,FALSE),"")</f>
        <v/>
      </c>
      <c r="F338" s="332" t="str">
        <f>IFERROR(VLOOKUP(N338,'TABLA-DIA'!$B$2:$P$62,6,FALSE),"")</f>
        <v/>
      </c>
      <c r="G338" s="360" t="str">
        <f>IFERROR(VLOOKUP(N338,'TABLA-DIA'!$B$2:$P$62,7,FALSE),"")</f>
        <v/>
      </c>
      <c r="H338" s="117" t="str">
        <f>IFERROR(VLOOKUP(N338,'TABLA-DIA'!$B$2:$P$62,10,FALSE),"")</f>
        <v/>
      </c>
      <c r="I338" s="444" t="str">
        <f>IFERROR(VLOOKUP(N338,'TABLA-DIA'!$B$2:$P$62,11,FALSE),"")</f>
        <v/>
      </c>
      <c r="J338" s="440" t="str">
        <f>IFERROR(VLOOKUP(N338,'TABLA-DIA'!$B$2:$P$62,12,FALSE),"")</f>
        <v/>
      </c>
      <c r="K338" s="118" t="str">
        <f>IFERROR(VLOOKUP(N338,'TABLA-DIA'!$B$2:$P$62,13,FALSE),"")</f>
        <v/>
      </c>
      <c r="L338" s="119" t="str">
        <f>IFERROR(IF(VLOOKUP(N338,'TABLA-DIA'!$B$2:$P$62,14,FALSE)="","",VLOOKUP(N338,'TABLA-DIA'!$B$2:$P$62,14,FALSE)),"")</f>
        <v/>
      </c>
      <c r="M338" s="120">
        <f t="shared" ref="M338:M346" si="2">+M337+1</f>
        <v>2</v>
      </c>
      <c r="N338" s="125" t="str">
        <f t="shared" si="1"/>
        <v>CORTADORA DE TURRON-2</v>
      </c>
    </row>
    <row r="339" spans="2:15" ht="108.75" hidden="1" customHeight="1" thickBot="1">
      <c r="B339" s="770"/>
      <c r="C339" s="74" t="str">
        <f>IFERROR(VLOOKUP(N339,'TABLA-DIA'!$B$2:$P$62,9,FALSE),"")</f>
        <v/>
      </c>
      <c r="D339" s="116" t="str">
        <f>IFERROR(VLOOKUP(N339,'TABLA-DIA'!$B$2:$P$62,4,FALSE),"")</f>
        <v/>
      </c>
      <c r="E339" s="332" t="str">
        <f>IFERROR(VLOOKUP(N339,'TABLA-DIA'!$B$2:$P$62,5,FALSE),"")</f>
        <v/>
      </c>
      <c r="F339" s="332" t="str">
        <f>IFERROR(VLOOKUP(N339,'TABLA-DIA'!$B$2:$P$62,6,FALSE),"")</f>
        <v/>
      </c>
      <c r="G339" s="360" t="str">
        <f>IFERROR(VLOOKUP(N339,'TABLA-DIA'!$B$2:$P$62,7,FALSE),"")</f>
        <v/>
      </c>
      <c r="H339" s="117" t="str">
        <f>IFERROR(VLOOKUP(N339,'TABLA-DIA'!$B$2:$P$62,10,FALSE),"")</f>
        <v/>
      </c>
      <c r="I339" s="444" t="str">
        <f>IFERROR(VLOOKUP(N339,'TABLA-DIA'!$B$2:$P$62,11,FALSE),"")</f>
        <v/>
      </c>
      <c r="J339" s="440" t="str">
        <f>IFERROR(VLOOKUP(N339,'TABLA-DIA'!$B$2:$P$62,12,FALSE),"")</f>
        <v/>
      </c>
      <c r="K339" s="118" t="str">
        <f>IFERROR(VLOOKUP(N339,'TABLA-DIA'!$B$2:$P$62,13,FALSE),"")</f>
        <v/>
      </c>
      <c r="L339" s="119" t="str">
        <f>IFERROR(IF(VLOOKUP(N339,'TABLA-DIA'!$B$2:$P$62,14,FALSE)="","",VLOOKUP(N339,'TABLA-DIA'!$B$2:$P$62,14,FALSE)),"")</f>
        <v/>
      </c>
      <c r="M339" s="120">
        <f t="shared" si="2"/>
        <v>3</v>
      </c>
      <c r="N339" s="125" t="str">
        <f t="shared" si="1"/>
        <v>CORTADORA DE TURRON-3</v>
      </c>
    </row>
    <row r="340" spans="2:15" ht="108.75" hidden="1" customHeight="1" thickBot="1">
      <c r="B340" s="770"/>
      <c r="C340" s="74" t="str">
        <f>IFERROR(VLOOKUP(N340,'TABLA-DIA'!$B$2:$P$62,9,FALSE),"")</f>
        <v/>
      </c>
      <c r="D340" s="116" t="str">
        <f>IFERROR(VLOOKUP(N340,'TABLA-DIA'!$B$2:$P$62,4,FALSE),"")</f>
        <v/>
      </c>
      <c r="E340" s="332" t="str">
        <f>IFERROR(VLOOKUP(N340,'TABLA-DIA'!$B$2:$P$62,5,FALSE),"")</f>
        <v/>
      </c>
      <c r="F340" s="332" t="str">
        <f>IFERROR(VLOOKUP(N340,'TABLA-DIA'!$B$2:$P$62,6,FALSE),"")</f>
        <v/>
      </c>
      <c r="G340" s="360" t="str">
        <f>IFERROR(VLOOKUP(N340,'TABLA-DIA'!$B$2:$P$62,7,FALSE),"")</f>
        <v/>
      </c>
      <c r="H340" s="117" t="str">
        <f>IFERROR(VLOOKUP(N340,'TABLA-DIA'!$B$2:$P$62,10,FALSE),"")</f>
        <v/>
      </c>
      <c r="I340" s="444" t="str">
        <f>IFERROR(VLOOKUP(N340,'TABLA-DIA'!$B$2:$P$62,11,FALSE),"")</f>
        <v/>
      </c>
      <c r="J340" s="440" t="str">
        <f>IFERROR(VLOOKUP(N340,'TABLA-DIA'!$B$2:$P$62,12,FALSE),"")</f>
        <v/>
      </c>
      <c r="K340" s="118" t="str">
        <f>IFERROR(VLOOKUP(N340,'TABLA-DIA'!$B$2:$P$62,13,FALSE),"")</f>
        <v/>
      </c>
      <c r="L340" s="119" t="str">
        <f>IFERROR(IF(VLOOKUP(N340,'TABLA-DIA'!$B$2:$P$62,14,FALSE)="","",VLOOKUP(N340,'TABLA-DIA'!$B$2:$P$62,14,FALSE)),"")</f>
        <v/>
      </c>
      <c r="M340" s="120">
        <f t="shared" si="2"/>
        <v>4</v>
      </c>
      <c r="N340" s="125" t="str">
        <f t="shared" si="1"/>
        <v>CORTADORA DE TURRON-4</v>
      </c>
    </row>
    <row r="341" spans="2:15" ht="108.75" hidden="1" customHeight="1">
      <c r="B341" s="770"/>
      <c r="C341" s="74" t="str">
        <f>IFERROR(VLOOKUP(N341,'TABLA-DIA'!$B$2:$P$62,9,FALSE),"")</f>
        <v/>
      </c>
      <c r="D341" s="116" t="str">
        <f>IFERROR(VLOOKUP(N341,'TABLA-DIA'!$B$2:$P$62,4,FALSE),"")</f>
        <v/>
      </c>
      <c r="E341" s="332" t="str">
        <f>IFERROR(VLOOKUP(N341,'TABLA-DIA'!$B$2:$P$62,5,FALSE),"")</f>
        <v/>
      </c>
      <c r="F341" s="332" t="str">
        <f>IFERROR(VLOOKUP(N341,'TABLA-DIA'!$B$2:$P$62,6,FALSE),"")</f>
        <v/>
      </c>
      <c r="G341" s="360" t="str">
        <f>IFERROR(VLOOKUP(N341,'TABLA-DIA'!$B$2:$P$62,7,FALSE),"")</f>
        <v/>
      </c>
      <c r="H341" s="117" t="str">
        <f>IFERROR(VLOOKUP(N341,'TABLA-DIA'!$B$2:$P$62,10,FALSE),"")</f>
        <v/>
      </c>
      <c r="I341" s="444" t="str">
        <f>IFERROR(VLOOKUP(N341,'TABLA-DIA'!$B$2:$P$62,11,FALSE),"")</f>
        <v/>
      </c>
      <c r="J341" s="440" t="str">
        <f>IFERROR(VLOOKUP(N341,'TABLA-DIA'!$B$2:$P$62,12,FALSE),"")</f>
        <v/>
      </c>
      <c r="K341" s="118" t="str">
        <f>IFERROR(VLOOKUP(N341,'TABLA-DIA'!$B$2:$P$62,13,FALSE),"")</f>
        <v/>
      </c>
      <c r="L341" s="119" t="str">
        <f>IFERROR(IF(VLOOKUP(N341,'TABLA-DIA'!$B$2:$P$62,14,FALSE)="","",VLOOKUP(N341,'TABLA-DIA'!$B$2:$P$62,14,FALSE)),"")</f>
        <v/>
      </c>
      <c r="M341" s="120">
        <f t="shared" si="2"/>
        <v>5</v>
      </c>
      <c r="N341" s="125" t="str">
        <f t="shared" si="1"/>
        <v>CORTADORA DE TURRON-5</v>
      </c>
    </row>
    <row r="342" spans="2:15" ht="108.75" hidden="1" customHeight="1">
      <c r="B342" s="770"/>
      <c r="C342" s="74" t="str">
        <f>IFERROR(VLOOKUP(N342,'TABLA-DIA'!$B$2:$P$62,9,FALSE),"")</f>
        <v/>
      </c>
      <c r="D342" s="116" t="str">
        <f>IFERROR(VLOOKUP(N342,'TABLA-DIA'!$B$2:$P$62,4,FALSE),"")</f>
        <v/>
      </c>
      <c r="E342" s="332" t="str">
        <f>IFERROR(VLOOKUP(N342,'TABLA-DIA'!$B$2:$P$62,5,FALSE),"")</f>
        <v/>
      </c>
      <c r="F342" s="332" t="str">
        <f>IFERROR(VLOOKUP(N342,'TABLA-DIA'!$B$2:$P$62,6,FALSE),"")</f>
        <v/>
      </c>
      <c r="G342" s="360" t="str">
        <f>IFERROR(VLOOKUP(N342,'TABLA-DIA'!$B$2:$P$62,7,FALSE),"")</f>
        <v/>
      </c>
      <c r="H342" s="117" t="str">
        <f>IFERROR(VLOOKUP(N342,'TABLA-DIA'!$B$2:$P$62,10,FALSE),"")</f>
        <v/>
      </c>
      <c r="I342" s="444" t="str">
        <f>IFERROR(VLOOKUP(N342,'TABLA-DIA'!$B$2:$P$62,11,FALSE),"")</f>
        <v/>
      </c>
      <c r="J342" s="440" t="str">
        <f>IFERROR(VLOOKUP(N342,'TABLA-DIA'!$B$2:$P$62,12,FALSE),"")</f>
        <v/>
      </c>
      <c r="K342" s="118" t="str">
        <f>IFERROR(VLOOKUP(N342,'TABLA-DIA'!$B$2:$P$62,13,FALSE),"")</f>
        <v/>
      </c>
      <c r="L342" s="119" t="str">
        <f>IFERROR(IF(VLOOKUP(N342,'TABLA-DIA'!$B$2:$P$62,14,FALSE)="","",VLOOKUP(N342,'TABLA-DIA'!$B$2:$P$62,14,FALSE)),"")</f>
        <v/>
      </c>
      <c r="M342" s="120">
        <f t="shared" si="2"/>
        <v>6</v>
      </c>
      <c r="N342" s="125" t="str">
        <f t="shared" si="1"/>
        <v>CORTADORA DE TURRON-6</v>
      </c>
    </row>
    <row r="343" spans="2:15" ht="108.75" hidden="1" customHeight="1">
      <c r="B343" s="770"/>
      <c r="C343" s="74" t="str">
        <f>IFERROR(VLOOKUP(N343,'TABLA-DIA'!$B$2:$P$62,9,FALSE),"")</f>
        <v/>
      </c>
      <c r="D343" s="116" t="str">
        <f>IFERROR(VLOOKUP(N343,'TABLA-DIA'!$B$2:$P$62,4,FALSE),"")</f>
        <v/>
      </c>
      <c r="E343" s="332" t="str">
        <f>IFERROR(VLOOKUP(N343,'TABLA-DIA'!$B$2:$P$62,5,FALSE),"")</f>
        <v/>
      </c>
      <c r="F343" s="332" t="str">
        <f>IFERROR(VLOOKUP(N343,'TABLA-DIA'!$B$2:$P$62,6,FALSE),"")</f>
        <v/>
      </c>
      <c r="G343" s="360" t="str">
        <f>IFERROR(VLOOKUP(N343,'TABLA-DIA'!$B$2:$P$62,7,FALSE),"")</f>
        <v/>
      </c>
      <c r="H343" s="117" t="str">
        <f>IFERROR(VLOOKUP(N343,'TABLA-DIA'!$B$2:$P$62,10,FALSE),"")</f>
        <v/>
      </c>
      <c r="I343" s="444" t="str">
        <f>IFERROR(VLOOKUP(N343,'TABLA-DIA'!$B$2:$P$62,11,FALSE),"")</f>
        <v/>
      </c>
      <c r="J343" s="440" t="str">
        <f>IFERROR(VLOOKUP(N343,'TABLA-DIA'!$B$2:$P$62,12,FALSE),"")</f>
        <v/>
      </c>
      <c r="K343" s="118" t="str">
        <f>IFERROR(VLOOKUP(N343,'TABLA-DIA'!$B$2:$P$62,13,FALSE),"")</f>
        <v/>
      </c>
      <c r="L343" s="119" t="str">
        <f>IFERROR(IF(VLOOKUP(N343,'TABLA-DIA'!$B$2:$P$62,14,FALSE)="","",VLOOKUP(N343,'TABLA-DIA'!$B$2:$P$62,14,FALSE)),"")</f>
        <v/>
      </c>
      <c r="M343" s="120">
        <f t="shared" si="2"/>
        <v>7</v>
      </c>
      <c r="N343" s="125" t="str">
        <f t="shared" si="1"/>
        <v>CORTADORA DE TURRON-7</v>
      </c>
    </row>
    <row r="344" spans="2:15" ht="108.75" hidden="1" customHeight="1">
      <c r="B344" s="770"/>
      <c r="C344" s="74" t="str">
        <f>IFERROR(VLOOKUP(N344,'TABLA-DIA'!$B$2:$P$62,9,FALSE),"")</f>
        <v/>
      </c>
      <c r="D344" s="116" t="str">
        <f>IFERROR(VLOOKUP(N344,'TABLA-DIA'!$B$2:$P$62,4,FALSE),"")</f>
        <v/>
      </c>
      <c r="E344" s="332" t="str">
        <f>IFERROR(VLOOKUP(N344,'TABLA-DIA'!$B$2:$P$62,5,FALSE),"")</f>
        <v/>
      </c>
      <c r="F344" s="332" t="str">
        <f>IFERROR(VLOOKUP(N344,'TABLA-DIA'!$B$2:$P$62,6,FALSE),"")</f>
        <v/>
      </c>
      <c r="G344" s="360" t="str">
        <f>IFERROR(VLOOKUP(N344,'TABLA-DIA'!$B$2:$P$62,7,FALSE),"")</f>
        <v/>
      </c>
      <c r="H344" s="117" t="str">
        <f>IFERROR(VLOOKUP(N344,'TABLA-DIA'!$B$2:$P$62,10,FALSE),"")</f>
        <v/>
      </c>
      <c r="I344" s="444" t="str">
        <f>IFERROR(VLOOKUP(N344,'TABLA-DIA'!$B$2:$P$62,11,FALSE),"")</f>
        <v/>
      </c>
      <c r="J344" s="440" t="str">
        <f>IFERROR(VLOOKUP(N344,'TABLA-DIA'!$B$2:$P$62,12,FALSE),"")</f>
        <v/>
      </c>
      <c r="K344" s="118" t="str">
        <f>IFERROR(VLOOKUP(N344,'TABLA-DIA'!$B$2:$P$62,13,FALSE),"")</f>
        <v/>
      </c>
      <c r="L344" s="119" t="str">
        <f>IFERROR(IF(VLOOKUP(N344,'TABLA-DIA'!$B$2:$P$62,14,FALSE)="","",VLOOKUP(N344,'TABLA-DIA'!$B$2:$P$62,14,FALSE)),"")</f>
        <v/>
      </c>
      <c r="M344" s="120">
        <f t="shared" si="2"/>
        <v>8</v>
      </c>
      <c r="N344" s="125" t="str">
        <f t="shared" si="1"/>
        <v>CORTADORA DE TURRON-8</v>
      </c>
    </row>
    <row r="345" spans="2:15" ht="108.75" hidden="1" customHeight="1">
      <c r="B345" s="770"/>
      <c r="C345" s="74" t="str">
        <f>IFERROR(VLOOKUP(N345,'TABLA-DIA'!$B$2:$P$62,9,FALSE),"")</f>
        <v/>
      </c>
      <c r="D345" s="116" t="str">
        <f>IFERROR(VLOOKUP(N345,'TABLA-DIA'!$B$2:$P$62,4,FALSE),"")</f>
        <v/>
      </c>
      <c r="E345" s="332" t="str">
        <f>IFERROR(VLOOKUP(N345,'TABLA-DIA'!$B$2:$P$62,5,FALSE),"")</f>
        <v/>
      </c>
      <c r="F345" s="332" t="str">
        <f>IFERROR(VLOOKUP(N345,'TABLA-DIA'!$B$2:$P$62,6,FALSE),"")</f>
        <v/>
      </c>
      <c r="G345" s="360" t="str">
        <f>IFERROR(VLOOKUP(N345,'TABLA-DIA'!$B$2:$P$62,7,FALSE),"")</f>
        <v/>
      </c>
      <c r="H345" s="117" t="str">
        <f>IFERROR(VLOOKUP(N345,'TABLA-DIA'!$B$2:$P$62,10,FALSE),"")</f>
        <v/>
      </c>
      <c r="I345" s="444" t="str">
        <f>IFERROR(VLOOKUP(N345,'TABLA-DIA'!$B$2:$P$62,11,FALSE),"")</f>
        <v/>
      </c>
      <c r="J345" s="440" t="str">
        <f>IFERROR(VLOOKUP(N345,'TABLA-DIA'!$B$2:$P$62,12,FALSE),"")</f>
        <v/>
      </c>
      <c r="K345" s="118" t="str">
        <f>IFERROR(VLOOKUP(N345,'TABLA-DIA'!$B$2:$P$62,13,FALSE),"")</f>
        <v/>
      </c>
      <c r="L345" s="119" t="str">
        <f>IFERROR(IF(VLOOKUP(N345,'TABLA-DIA'!$B$2:$P$62,14,FALSE)="","",VLOOKUP(N345,'TABLA-DIA'!$B$2:$P$62,14,FALSE)),"")</f>
        <v/>
      </c>
      <c r="M345" s="120">
        <f t="shared" si="2"/>
        <v>9</v>
      </c>
      <c r="N345" s="125" t="str">
        <f t="shared" si="1"/>
        <v>CORTADORA DE TURRON-9</v>
      </c>
    </row>
    <row r="346" spans="2:15" ht="108.75" hidden="1" customHeight="1" thickBot="1">
      <c r="B346" s="771"/>
      <c r="C346" s="103" t="str">
        <f>IFERROR(VLOOKUP(N346,'TABLA-DIA'!$B$2:$P$62,9,FALSE),"")</f>
        <v/>
      </c>
      <c r="D346" s="131" t="str">
        <f>IFERROR(VLOOKUP(N346,'TABLA-DIA'!$B$2:$P$62,4,FALSE),"")</f>
        <v/>
      </c>
      <c r="E346" s="333" t="str">
        <f>IFERROR(VLOOKUP(N346,'TABLA-DIA'!$B$2:$P$62,5,FALSE),"")</f>
        <v/>
      </c>
      <c r="F346" s="333" t="str">
        <f>IFERROR(VLOOKUP(N346,'TABLA-DIA'!$B$2:$P$62,6,FALSE),"")</f>
        <v/>
      </c>
      <c r="G346" s="361" t="str">
        <f>IFERROR(VLOOKUP(N346,'TABLA-DIA'!$B$2:$P$62,7,FALSE),"")</f>
        <v/>
      </c>
      <c r="H346" s="132" t="str">
        <f>IFERROR(VLOOKUP(N346,'TABLA-DIA'!$B$2:$P$62,10,FALSE),"")</f>
        <v/>
      </c>
      <c r="I346" s="448" t="str">
        <f>IFERROR(VLOOKUP(N346,'TABLA-DIA'!$B$2:$P$62,11,FALSE),"")</f>
        <v/>
      </c>
      <c r="J346" s="441" t="str">
        <f>IFERROR(VLOOKUP(N346,'TABLA-DIA'!$B$2:$P$62,12,FALSE),"")</f>
        <v/>
      </c>
      <c r="K346" s="133" t="str">
        <f>IFERROR(VLOOKUP(N346,'TABLA-DIA'!$B$2:$P$62,13,FALSE),"")</f>
        <v/>
      </c>
      <c r="L346" s="134" t="str">
        <f>IFERROR(IF(VLOOKUP(N346,'TABLA-DIA'!$B$2:$P$62,14,FALSE)="","",VLOOKUP(N346,'TABLA-DIA'!$B$2:$P$62,14,FALSE)),"")</f>
        <v/>
      </c>
      <c r="M346" s="138">
        <f t="shared" si="2"/>
        <v>10</v>
      </c>
      <c r="N346" s="135" t="str">
        <f t="shared" si="1"/>
        <v>CORTADORA DE TURRON-10</v>
      </c>
    </row>
    <row r="347" spans="2:15" ht="108.75" customHeight="1">
      <c r="B347" s="769" t="str">
        <f>+'TABLA-DIA'!B155</f>
        <v>TEMPERADORA CHOCOLATIER</v>
      </c>
      <c r="C347" s="96" t="str">
        <f>IFERROR(VLOOKUP(N347,'TABLA-DIA'!$B$2:$P$62,9,FALSE),"")</f>
        <v/>
      </c>
      <c r="D347" s="121" t="str">
        <f>IFERROR(VLOOKUP(N347,'TABLA-DIA'!$B$2:$P$62,4,FALSE),"")</f>
        <v/>
      </c>
      <c r="E347" s="331" t="str">
        <f>IFERROR(VLOOKUP(N347,'TABLA-DIA'!$B$2:$P$62,5,FALSE),"")</f>
        <v/>
      </c>
      <c r="F347" s="331" t="str">
        <f>IFERROR(VLOOKUP(N347,'TABLA-DIA'!$B$2:$P$62,6,FALSE),"")</f>
        <v/>
      </c>
      <c r="G347" s="359" t="str">
        <f>IFERROR(VLOOKUP(N347,'TABLA-DIA'!$B$2:$P$62,7,FALSE),"")</f>
        <v/>
      </c>
      <c r="H347" s="122" t="str">
        <f>IFERROR(VLOOKUP(N347,'TABLA-DIA'!$B$2:$P$62,10,FALSE),"")</f>
        <v/>
      </c>
      <c r="I347" s="446" t="str">
        <f>IFERROR(VLOOKUP(N347,'TABLA-DIA'!$B$2:$P$62,11,FALSE),"")</f>
        <v/>
      </c>
      <c r="J347" s="442" t="str">
        <f>IFERROR(VLOOKUP(N347,'TABLA-DIA'!$B$2:$P$62,12,FALSE),"")</f>
        <v/>
      </c>
      <c r="K347" s="123" t="str">
        <f>IFERROR(VLOOKUP(N347,'TABLA-DIA'!$B$2:$P$62,13,FALSE),"")</f>
        <v/>
      </c>
      <c r="L347" s="124" t="str">
        <f>IFERROR(IF(VLOOKUP(N347,'TABLA-DIA'!$B$2:$P$62,14,FALSE)="","",VLOOKUP(N347,'TABLA-DIA'!$B$2:$P$62,14,FALSE)),"")</f>
        <v/>
      </c>
      <c r="M347" s="100">
        <v>1</v>
      </c>
      <c r="N347" s="98" t="str">
        <f t="shared" ref="N347:N356" si="3">CONCATENATE($B$347,"-",M347)</f>
        <v>TEMPERADORA CHOCOLATIER-1</v>
      </c>
      <c r="O347" s="91">
        <f>COUNTIF(G347:G355,"&lt;&gt;**")</f>
        <v>0</v>
      </c>
    </row>
    <row r="348" spans="2:15" ht="108.75" customHeight="1" thickBot="1">
      <c r="B348" s="770"/>
      <c r="C348" s="74" t="str">
        <f>IFERROR(VLOOKUP(N348,'TABLA-DIA'!$B$2:$P$62,9,FALSE),"")</f>
        <v/>
      </c>
      <c r="D348" s="116" t="str">
        <f>IFERROR(VLOOKUP(N348,'TABLA-DIA'!$B$2:$P$62,4,FALSE),"")</f>
        <v/>
      </c>
      <c r="E348" s="332" t="str">
        <f>IFERROR(VLOOKUP(N348,'TABLA-DIA'!$B$2:$P$62,5,FALSE),"")</f>
        <v/>
      </c>
      <c r="F348" s="332" t="str">
        <f>IFERROR(VLOOKUP(N348,'TABLA-DIA'!$B$2:$P$62,6,FALSE),"")</f>
        <v/>
      </c>
      <c r="G348" s="360" t="str">
        <f>IFERROR(VLOOKUP(N348,'TABLA-DIA'!$B$2:$P$62,7,FALSE),"")</f>
        <v/>
      </c>
      <c r="H348" s="117" t="str">
        <f>IFERROR(VLOOKUP(N348,'TABLA-DIA'!$B$2:$P$62,10,FALSE),"")</f>
        <v/>
      </c>
      <c r="I348" s="444" t="str">
        <f>IFERROR(VLOOKUP(N348,'TABLA-DIA'!$B$2:$P$62,11,FALSE),"")</f>
        <v/>
      </c>
      <c r="J348" s="440" t="str">
        <f>IFERROR(VLOOKUP(N348,'TABLA-DIA'!$B$2:$P$62,12,FALSE),"")</f>
        <v/>
      </c>
      <c r="K348" s="118" t="str">
        <f>IFERROR(VLOOKUP(N348,'TABLA-DIA'!$B$2:$P$62,13,FALSE),"")</f>
        <v/>
      </c>
      <c r="L348" s="119" t="str">
        <f>IFERROR(IF(VLOOKUP(N348,'TABLA-DIA'!$B$2:$P$62,14,FALSE)="","",VLOOKUP(N348,'TABLA-DIA'!$B$2:$P$62,14,FALSE)),"")</f>
        <v/>
      </c>
      <c r="M348" s="120">
        <f t="shared" ref="M348:M356" si="4">+M347+1</f>
        <v>2</v>
      </c>
      <c r="N348" s="125" t="str">
        <f t="shared" si="3"/>
        <v>TEMPERADORA CHOCOLATIER-2</v>
      </c>
    </row>
    <row r="349" spans="2:15" ht="108.75" hidden="1" customHeight="1">
      <c r="B349" s="770"/>
      <c r="C349" s="74" t="str">
        <f>IFERROR(VLOOKUP(N349,'TABLA-DIA'!$B$2:$P$62,9,FALSE),"")</f>
        <v/>
      </c>
      <c r="D349" s="116" t="str">
        <f>IFERROR(VLOOKUP(N349,'TABLA-DIA'!$B$2:$P$62,4,FALSE),"")</f>
        <v/>
      </c>
      <c r="E349" s="332" t="str">
        <f>IFERROR(VLOOKUP(N349,'TABLA-DIA'!$B$2:$P$62,5,FALSE),"")</f>
        <v/>
      </c>
      <c r="F349" s="332" t="str">
        <f>IFERROR(VLOOKUP(N349,'TABLA-DIA'!$B$2:$P$62,6,FALSE),"")</f>
        <v/>
      </c>
      <c r="G349" s="360" t="str">
        <f>IFERROR(VLOOKUP(N349,'TABLA-DIA'!$B$2:$P$62,7,FALSE),"")</f>
        <v/>
      </c>
      <c r="H349" s="117" t="str">
        <f>IFERROR(VLOOKUP(N349,'TABLA-DIA'!$B$2:$P$62,10,FALSE),"")</f>
        <v/>
      </c>
      <c r="I349" s="444" t="str">
        <f>IFERROR(VLOOKUP(N349,'TABLA-DIA'!$B$2:$P$62,11,FALSE),"")</f>
        <v/>
      </c>
      <c r="J349" s="440" t="str">
        <f>IFERROR(VLOOKUP(N349,'TABLA-DIA'!$B$2:$P$62,12,FALSE),"")</f>
        <v/>
      </c>
      <c r="K349" s="118" t="str">
        <f>IFERROR(VLOOKUP(N349,'TABLA-DIA'!$B$2:$P$62,13,FALSE),"")</f>
        <v/>
      </c>
      <c r="L349" s="119" t="str">
        <f>IFERROR(IF(VLOOKUP(N349,'TABLA-DIA'!$B$2:$P$62,14,FALSE)="","",VLOOKUP(N349,'TABLA-DIA'!$B$2:$P$62,14,FALSE)),"")</f>
        <v/>
      </c>
      <c r="M349" s="120">
        <f t="shared" si="4"/>
        <v>3</v>
      </c>
      <c r="N349" s="125" t="str">
        <f t="shared" si="3"/>
        <v>TEMPERADORA CHOCOLATIER-3</v>
      </c>
    </row>
    <row r="350" spans="2:15" ht="108.75" hidden="1" customHeight="1">
      <c r="B350" s="770"/>
      <c r="C350" s="74" t="str">
        <f>IFERROR(VLOOKUP(N350,'TABLA-DIA'!$B$2:$P$62,9,FALSE),"")</f>
        <v/>
      </c>
      <c r="D350" s="116" t="str">
        <f>IFERROR(VLOOKUP(N350,'TABLA-DIA'!$B$2:$P$62,4,FALSE),"")</f>
        <v/>
      </c>
      <c r="E350" s="332" t="str">
        <f>IFERROR(VLOOKUP(N350,'TABLA-DIA'!$B$2:$P$62,5,FALSE),"")</f>
        <v/>
      </c>
      <c r="F350" s="332" t="str">
        <f>IFERROR(VLOOKUP(N350,'TABLA-DIA'!$B$2:$P$62,6,FALSE),"")</f>
        <v/>
      </c>
      <c r="G350" s="360" t="str">
        <f>IFERROR(VLOOKUP(N350,'TABLA-DIA'!$B$2:$P$62,7,FALSE),"")</f>
        <v/>
      </c>
      <c r="H350" s="117" t="str">
        <f>IFERROR(VLOOKUP(N350,'TABLA-DIA'!$B$2:$P$62,10,FALSE),"")</f>
        <v/>
      </c>
      <c r="I350" s="444" t="str">
        <f>IFERROR(VLOOKUP(N350,'TABLA-DIA'!$B$2:$P$62,11,FALSE),"")</f>
        <v/>
      </c>
      <c r="J350" s="440" t="str">
        <f>IFERROR(VLOOKUP(N350,'TABLA-DIA'!$B$2:$P$62,12,FALSE),"")</f>
        <v/>
      </c>
      <c r="K350" s="118" t="str">
        <f>IFERROR(VLOOKUP(N350,'TABLA-DIA'!$B$2:$P$62,13,FALSE),"")</f>
        <v/>
      </c>
      <c r="L350" s="119" t="str">
        <f>IFERROR(IF(VLOOKUP(N350,'TABLA-DIA'!$B$2:$P$62,14,FALSE)="","",VLOOKUP(N350,'TABLA-DIA'!$B$2:$P$62,14,FALSE)),"")</f>
        <v/>
      </c>
      <c r="M350" s="120">
        <f t="shared" si="4"/>
        <v>4</v>
      </c>
      <c r="N350" s="125" t="str">
        <f t="shared" si="3"/>
        <v>TEMPERADORA CHOCOLATIER-4</v>
      </c>
    </row>
    <row r="351" spans="2:15" ht="108.75" hidden="1" customHeight="1">
      <c r="B351" s="770"/>
      <c r="C351" s="74" t="str">
        <f>IFERROR(VLOOKUP(N351,'TABLA-DIA'!$B$2:$P$62,9,FALSE),"")</f>
        <v/>
      </c>
      <c r="D351" s="116" t="str">
        <f>IFERROR(VLOOKUP(N351,'TABLA-DIA'!$B$2:$P$62,4,FALSE),"")</f>
        <v/>
      </c>
      <c r="E351" s="332" t="str">
        <f>IFERROR(VLOOKUP(N351,'TABLA-DIA'!$B$2:$P$62,5,FALSE),"")</f>
        <v/>
      </c>
      <c r="F351" s="332" t="str">
        <f>IFERROR(VLOOKUP(N351,'TABLA-DIA'!$B$2:$P$62,6,FALSE),"")</f>
        <v/>
      </c>
      <c r="G351" s="360" t="str">
        <f>IFERROR(VLOOKUP(N351,'TABLA-DIA'!$B$2:$P$62,7,FALSE),"")</f>
        <v/>
      </c>
      <c r="H351" s="117" t="str">
        <f>IFERROR(VLOOKUP(N351,'TABLA-DIA'!$B$2:$P$62,10,FALSE),"")</f>
        <v/>
      </c>
      <c r="I351" s="444" t="str">
        <f>IFERROR(VLOOKUP(N351,'TABLA-DIA'!$B$2:$P$62,11,FALSE),"")</f>
        <v/>
      </c>
      <c r="J351" s="440" t="str">
        <f>IFERROR(VLOOKUP(N351,'TABLA-DIA'!$B$2:$P$62,12,FALSE),"")</f>
        <v/>
      </c>
      <c r="K351" s="118" t="str">
        <f>IFERROR(VLOOKUP(N351,'TABLA-DIA'!$B$2:$P$62,13,FALSE),"")</f>
        <v/>
      </c>
      <c r="L351" s="119" t="str">
        <f>IFERROR(IF(VLOOKUP(N351,'TABLA-DIA'!$B$2:$P$62,14,FALSE)="","",VLOOKUP(N351,'TABLA-DIA'!$B$2:$P$62,14,FALSE)),"")</f>
        <v/>
      </c>
      <c r="M351" s="120">
        <f t="shared" si="4"/>
        <v>5</v>
      </c>
      <c r="N351" s="125" t="str">
        <f t="shared" si="3"/>
        <v>TEMPERADORA CHOCOLATIER-5</v>
      </c>
    </row>
    <row r="352" spans="2:15" ht="108.75" hidden="1" customHeight="1">
      <c r="B352" s="770"/>
      <c r="C352" s="74" t="str">
        <f>IFERROR(VLOOKUP(N352,'TABLA-DIA'!$B$2:$P$62,9,FALSE),"")</f>
        <v/>
      </c>
      <c r="D352" s="116" t="str">
        <f>IFERROR(VLOOKUP(N352,'TABLA-DIA'!$B$2:$P$62,4,FALSE),"")</f>
        <v/>
      </c>
      <c r="E352" s="332" t="str">
        <f>IFERROR(VLOOKUP(N352,'TABLA-DIA'!$B$2:$P$62,5,FALSE),"")</f>
        <v/>
      </c>
      <c r="F352" s="332" t="str">
        <f>IFERROR(VLOOKUP(N352,'TABLA-DIA'!$B$2:$P$62,6,FALSE),"")</f>
        <v/>
      </c>
      <c r="G352" s="360" t="str">
        <f>IFERROR(VLOOKUP(N352,'TABLA-DIA'!$B$2:$P$62,7,FALSE),"")</f>
        <v/>
      </c>
      <c r="H352" s="117" t="str">
        <f>IFERROR(VLOOKUP(N352,'TABLA-DIA'!$B$2:$P$62,10,FALSE),"")</f>
        <v/>
      </c>
      <c r="I352" s="444" t="str">
        <f>IFERROR(VLOOKUP(N352,'TABLA-DIA'!$B$2:$P$62,11,FALSE),"")</f>
        <v/>
      </c>
      <c r="J352" s="440" t="str">
        <f>IFERROR(VLOOKUP(N352,'TABLA-DIA'!$B$2:$P$62,12,FALSE),"")</f>
        <v/>
      </c>
      <c r="K352" s="118" t="str">
        <f>IFERROR(VLOOKUP(N352,'TABLA-DIA'!$B$2:$P$62,13,FALSE),"")</f>
        <v/>
      </c>
      <c r="L352" s="119" t="str">
        <f>IFERROR(IF(VLOOKUP(N352,'TABLA-DIA'!$B$2:$P$62,14,FALSE)="","",VLOOKUP(N352,'TABLA-DIA'!$B$2:$P$62,14,FALSE)),"")</f>
        <v/>
      </c>
      <c r="M352" s="120">
        <f t="shared" si="4"/>
        <v>6</v>
      </c>
      <c r="N352" s="125" t="str">
        <f t="shared" si="3"/>
        <v>TEMPERADORA CHOCOLATIER-6</v>
      </c>
    </row>
    <row r="353" spans="2:15" ht="108.75" hidden="1" customHeight="1">
      <c r="B353" s="770"/>
      <c r="C353" s="74" t="str">
        <f>IFERROR(VLOOKUP(N353,'TABLA-DIA'!$B$2:$P$62,9,FALSE),"")</f>
        <v/>
      </c>
      <c r="D353" s="116" t="str">
        <f>IFERROR(VLOOKUP(N353,'TABLA-DIA'!$B$2:$P$62,4,FALSE),"")</f>
        <v/>
      </c>
      <c r="E353" s="332" t="str">
        <f>IFERROR(VLOOKUP(N353,'TABLA-DIA'!$B$2:$P$62,5,FALSE),"")</f>
        <v/>
      </c>
      <c r="F353" s="332" t="str">
        <f>IFERROR(VLOOKUP(N353,'TABLA-DIA'!$B$2:$P$62,6,FALSE),"")</f>
        <v/>
      </c>
      <c r="G353" s="360" t="str">
        <f>IFERROR(VLOOKUP(N353,'TABLA-DIA'!$B$2:$P$62,7,FALSE),"")</f>
        <v/>
      </c>
      <c r="H353" s="117" t="str">
        <f>IFERROR(VLOOKUP(N353,'TABLA-DIA'!$B$2:$P$62,10,FALSE),"")</f>
        <v/>
      </c>
      <c r="I353" s="444" t="str">
        <f>IFERROR(VLOOKUP(N353,'TABLA-DIA'!$B$2:$P$62,11,FALSE),"")</f>
        <v/>
      </c>
      <c r="J353" s="440" t="str">
        <f>IFERROR(VLOOKUP(N353,'TABLA-DIA'!$B$2:$P$62,12,FALSE),"")</f>
        <v/>
      </c>
      <c r="K353" s="118" t="str">
        <f>IFERROR(VLOOKUP(N353,'TABLA-DIA'!$B$2:$P$62,13,FALSE),"")</f>
        <v/>
      </c>
      <c r="L353" s="119" t="str">
        <f>IFERROR(IF(VLOOKUP(N353,'TABLA-DIA'!$B$2:$P$62,14,FALSE)="","",VLOOKUP(N353,'TABLA-DIA'!$B$2:$P$62,14,FALSE)),"")</f>
        <v/>
      </c>
      <c r="M353" s="120">
        <f t="shared" si="4"/>
        <v>7</v>
      </c>
      <c r="N353" s="125" t="str">
        <f t="shared" si="3"/>
        <v>TEMPERADORA CHOCOLATIER-7</v>
      </c>
    </row>
    <row r="354" spans="2:15" ht="108.75" hidden="1" customHeight="1">
      <c r="B354" s="770"/>
      <c r="C354" s="74" t="str">
        <f>IFERROR(VLOOKUP(N354,'TABLA-DIA'!$B$2:$P$62,9,FALSE),"")</f>
        <v/>
      </c>
      <c r="D354" s="116" t="str">
        <f>IFERROR(VLOOKUP(N354,'TABLA-DIA'!$B$2:$P$62,4,FALSE),"")</f>
        <v/>
      </c>
      <c r="E354" s="332" t="str">
        <f>IFERROR(VLOOKUP(N354,'TABLA-DIA'!$B$2:$P$62,5,FALSE),"")</f>
        <v/>
      </c>
      <c r="F354" s="332" t="str">
        <f>IFERROR(VLOOKUP(N354,'TABLA-DIA'!$B$2:$P$62,6,FALSE),"")</f>
        <v/>
      </c>
      <c r="G354" s="360" t="str">
        <f>IFERROR(VLOOKUP(N354,'TABLA-DIA'!$B$2:$P$62,7,FALSE),"")</f>
        <v/>
      </c>
      <c r="H354" s="117" t="str">
        <f>IFERROR(VLOOKUP(N354,'TABLA-DIA'!$B$2:$P$62,10,FALSE),"")</f>
        <v/>
      </c>
      <c r="I354" s="444" t="str">
        <f>IFERROR(VLOOKUP(N354,'TABLA-DIA'!$B$2:$P$62,11,FALSE),"")</f>
        <v/>
      </c>
      <c r="J354" s="440" t="str">
        <f>IFERROR(VLOOKUP(N354,'TABLA-DIA'!$B$2:$P$62,12,FALSE),"")</f>
        <v/>
      </c>
      <c r="K354" s="118" t="str">
        <f>IFERROR(VLOOKUP(N354,'TABLA-DIA'!$B$2:$P$62,13,FALSE),"")</f>
        <v/>
      </c>
      <c r="L354" s="119" t="str">
        <f>IFERROR(IF(VLOOKUP(N354,'TABLA-DIA'!$B$2:$P$62,14,FALSE)="","",VLOOKUP(N354,'TABLA-DIA'!$B$2:$P$62,14,FALSE)),"")</f>
        <v/>
      </c>
      <c r="M354" s="120">
        <f t="shared" si="4"/>
        <v>8</v>
      </c>
      <c r="N354" s="125" t="str">
        <f t="shared" si="3"/>
        <v>TEMPERADORA CHOCOLATIER-8</v>
      </c>
    </row>
    <row r="355" spans="2:15" ht="108.75" hidden="1" customHeight="1">
      <c r="B355" s="770"/>
      <c r="C355" s="74" t="str">
        <f>IFERROR(VLOOKUP(N355,'TABLA-DIA'!$B$2:$P$62,9,FALSE),"")</f>
        <v/>
      </c>
      <c r="D355" s="116" t="str">
        <f>IFERROR(VLOOKUP(N355,'TABLA-DIA'!$B$2:$P$62,4,FALSE),"")</f>
        <v/>
      </c>
      <c r="E355" s="332" t="str">
        <f>IFERROR(VLOOKUP(N355,'TABLA-DIA'!$B$2:$P$62,5,FALSE),"")</f>
        <v/>
      </c>
      <c r="F355" s="332" t="str">
        <f>IFERROR(VLOOKUP(N355,'TABLA-DIA'!$B$2:$P$62,6,FALSE),"")</f>
        <v/>
      </c>
      <c r="G355" s="360" t="str">
        <f>IFERROR(VLOOKUP(N355,'TABLA-DIA'!$B$2:$P$62,7,FALSE),"")</f>
        <v/>
      </c>
      <c r="H355" s="117" t="str">
        <f>IFERROR(VLOOKUP(N355,'TABLA-DIA'!$B$2:$P$62,10,FALSE),"")</f>
        <v/>
      </c>
      <c r="I355" s="444" t="str">
        <f>IFERROR(VLOOKUP(N355,'TABLA-DIA'!$B$2:$P$62,11,FALSE),"")</f>
        <v/>
      </c>
      <c r="J355" s="440" t="str">
        <f>IFERROR(VLOOKUP(N355,'TABLA-DIA'!$B$2:$P$62,12,FALSE),"")</f>
        <v/>
      </c>
      <c r="K355" s="118" t="str">
        <f>IFERROR(VLOOKUP(N355,'TABLA-DIA'!$B$2:$P$62,13,FALSE),"")</f>
        <v/>
      </c>
      <c r="L355" s="119" t="str">
        <f>IFERROR(IF(VLOOKUP(N355,'TABLA-DIA'!$B$2:$P$62,14,FALSE)="","",VLOOKUP(N355,'TABLA-DIA'!$B$2:$P$62,14,FALSE)),"")</f>
        <v/>
      </c>
      <c r="M355" s="120">
        <f t="shared" si="4"/>
        <v>9</v>
      </c>
      <c r="N355" s="125" t="str">
        <f t="shared" si="3"/>
        <v>TEMPERADORA CHOCOLATIER-9</v>
      </c>
    </row>
    <row r="356" spans="2:15" ht="108.75" hidden="1" customHeight="1" thickBot="1">
      <c r="B356" s="771"/>
      <c r="C356" s="103" t="str">
        <f>IFERROR(VLOOKUP(N356,'TABLA-DIA'!$B$2:$P$62,9,FALSE),"")</f>
        <v/>
      </c>
      <c r="D356" s="131" t="str">
        <f>IFERROR(VLOOKUP(N356,'TABLA-DIA'!$B$2:$P$62,4,FALSE),"")</f>
        <v/>
      </c>
      <c r="E356" s="333" t="str">
        <f>IFERROR(VLOOKUP(N356,'TABLA-DIA'!$B$2:$P$62,5,FALSE),"")</f>
        <v/>
      </c>
      <c r="F356" s="333" t="str">
        <f>IFERROR(VLOOKUP(N356,'TABLA-DIA'!$B$2:$P$62,6,FALSE),"")</f>
        <v/>
      </c>
      <c r="G356" s="361" t="str">
        <f>IFERROR(VLOOKUP(N356,'TABLA-DIA'!$B$2:$P$62,7,FALSE),"")</f>
        <v/>
      </c>
      <c r="H356" s="132" t="str">
        <f>IFERROR(VLOOKUP(N356,'TABLA-DIA'!$B$2:$P$62,10,FALSE),"")</f>
        <v/>
      </c>
      <c r="I356" s="448" t="str">
        <f>IFERROR(VLOOKUP(N356,'TABLA-DIA'!$B$2:$P$62,11,FALSE),"")</f>
        <v/>
      </c>
      <c r="J356" s="441" t="str">
        <f>IFERROR(VLOOKUP(N356,'TABLA-DIA'!$B$2:$P$62,12,FALSE),"")</f>
        <v/>
      </c>
      <c r="K356" s="133" t="str">
        <f>IFERROR(VLOOKUP(N356,'TABLA-DIA'!$B$2:$P$62,13,FALSE),"")</f>
        <v/>
      </c>
      <c r="L356" s="134" t="str">
        <f>IFERROR(IF(VLOOKUP(N356,'TABLA-DIA'!$B$2:$P$62,14,FALSE)="","",VLOOKUP(N356,'TABLA-DIA'!$B$2:$P$62,14,FALSE)),"")</f>
        <v/>
      </c>
      <c r="M356" s="138">
        <f t="shared" si="4"/>
        <v>10</v>
      </c>
      <c r="N356" s="135" t="str">
        <f t="shared" si="3"/>
        <v>TEMPERADORA CHOCOLATIER-10</v>
      </c>
    </row>
    <row r="357" spans="2:15" ht="108.75" customHeight="1" thickBot="1">
      <c r="B357" s="751" t="str">
        <f>+'TABLA-DIA'!B156</f>
        <v>EMP. SACMI</v>
      </c>
      <c r="C357" s="96" t="str">
        <f>IFERROR(VLOOKUP(N357,'TABLA-DIA'!$B$2:$P$62,9,FALSE),"")</f>
        <v/>
      </c>
      <c r="D357" s="121" t="str">
        <f>IFERROR(VLOOKUP(N357,'TABLA-DIA'!$B$2:$P$62,4,FALSE),"")</f>
        <v/>
      </c>
      <c r="E357" s="331" t="str">
        <f>IFERROR(VLOOKUP(N357,'TABLA-DIA'!$B$2:$P$62,5,FALSE),"")</f>
        <v/>
      </c>
      <c r="F357" s="331" t="str">
        <f>IFERROR(VLOOKUP(N357,'TABLA-DIA'!$B$2:$P$62,6,FALSE),"")</f>
        <v/>
      </c>
      <c r="G357" s="359" t="str">
        <f>IFERROR(VLOOKUP(N357,'TABLA-DIA'!$B$2:$P$62,7,FALSE),"")</f>
        <v/>
      </c>
      <c r="H357" s="122" t="str">
        <f>IFERROR(VLOOKUP(N357,'TABLA-DIA'!$B$2:$P$62,10,FALSE),"")</f>
        <v/>
      </c>
      <c r="I357" s="446" t="str">
        <f>IFERROR(VLOOKUP(N357,'TABLA-DIA'!$B$2:$P$62,11,FALSE),"")</f>
        <v/>
      </c>
      <c r="J357" s="442" t="str">
        <f>IFERROR(VLOOKUP(N357,'TABLA-DIA'!$B$2:$P$62,12,FALSE),"")</f>
        <v/>
      </c>
      <c r="K357" s="123" t="str">
        <f>IFERROR(VLOOKUP(N357,'TABLA-DIA'!$B$2:$P$62,13,FALSE),"")</f>
        <v/>
      </c>
      <c r="L357" s="124" t="str">
        <f>IFERROR(IF(VLOOKUP(N357,'TABLA-DIA'!$B$2:$P$62,14,FALSE)="","",VLOOKUP(N357,'TABLA-DIA'!$B$2:$P$62,14,FALSE)),"")</f>
        <v/>
      </c>
      <c r="M357" s="100">
        <v>1</v>
      </c>
      <c r="N357" s="98" t="str">
        <f t="shared" ref="N357:N366" si="5">CONCATENATE($B$357,"-",M357)</f>
        <v>EMP. SACMI-1</v>
      </c>
      <c r="O357" s="91">
        <f>COUNTIF(G357:G366,"&lt;&gt;**")</f>
        <v>0</v>
      </c>
    </row>
    <row r="358" spans="2:15" ht="108.75" hidden="1" customHeight="1" thickBot="1">
      <c r="B358" s="752"/>
      <c r="C358" s="74" t="str">
        <f>IFERROR(VLOOKUP(N358,'TABLA-DIA'!$B$2:$P$62,9,FALSE),"")</f>
        <v/>
      </c>
      <c r="D358" s="116" t="str">
        <f>IFERROR(VLOOKUP(N358,'TABLA-DIA'!$B$2:$P$62,4,FALSE),"")</f>
        <v/>
      </c>
      <c r="E358" s="332" t="str">
        <f>IFERROR(VLOOKUP(N358,'TABLA-DIA'!$B$2:$P$62,5,FALSE),"")</f>
        <v/>
      </c>
      <c r="F358" s="332" t="str">
        <f>IFERROR(VLOOKUP(N358,'TABLA-DIA'!$B$2:$P$62,6,FALSE),"")</f>
        <v/>
      </c>
      <c r="G358" s="360" t="str">
        <f>IFERROR(VLOOKUP(N358,'TABLA-DIA'!$B$2:$P$62,7,FALSE),"")</f>
        <v/>
      </c>
      <c r="H358" s="117" t="str">
        <f>IFERROR(VLOOKUP(N358,'TABLA-DIA'!$B$2:$P$62,10,FALSE),"")</f>
        <v/>
      </c>
      <c r="I358" s="444" t="str">
        <f>IFERROR(VLOOKUP(N358,'TABLA-DIA'!$B$2:$P$62,11,FALSE),"")</f>
        <v/>
      </c>
      <c r="J358" s="440" t="str">
        <f>IFERROR(VLOOKUP(N358,'TABLA-DIA'!$B$2:$P$62,12,FALSE),"")</f>
        <v/>
      </c>
      <c r="K358" s="118" t="str">
        <f>IFERROR(VLOOKUP(N358,'TABLA-DIA'!$B$2:$P$62,13,FALSE),"")</f>
        <v/>
      </c>
      <c r="L358" s="119" t="str">
        <f>IFERROR(IF(VLOOKUP(N358,'TABLA-DIA'!$B$2:$P$62,14,FALSE)="","",VLOOKUP(N358,'TABLA-DIA'!$B$2:$P$62,14,FALSE)),"")</f>
        <v/>
      </c>
      <c r="M358" s="120">
        <f t="shared" ref="M358:M366" si="6">+M357+1</f>
        <v>2</v>
      </c>
      <c r="N358" s="125" t="str">
        <f t="shared" si="5"/>
        <v>EMP. SACMI-2</v>
      </c>
    </row>
    <row r="359" spans="2:15" ht="108.75" hidden="1" customHeight="1">
      <c r="B359" s="752"/>
      <c r="C359" s="74" t="str">
        <f>IFERROR(VLOOKUP(N359,'TABLA-DIA'!$B$2:$P$62,9,FALSE),"")</f>
        <v/>
      </c>
      <c r="D359" s="116" t="str">
        <f>IFERROR(VLOOKUP(N359,'TABLA-DIA'!$B$2:$P$62,4,FALSE),"")</f>
        <v/>
      </c>
      <c r="E359" s="332" t="str">
        <f>IFERROR(VLOOKUP(N359,'TABLA-DIA'!$B$2:$P$62,5,FALSE),"")</f>
        <v/>
      </c>
      <c r="F359" s="332" t="str">
        <f>IFERROR(VLOOKUP(N359,'TABLA-DIA'!$B$2:$P$62,6,FALSE),"")</f>
        <v/>
      </c>
      <c r="G359" s="360" t="str">
        <f>IFERROR(VLOOKUP(N359,'TABLA-DIA'!$B$2:$P$62,7,FALSE),"")</f>
        <v/>
      </c>
      <c r="H359" s="117" t="str">
        <f>IFERROR(VLOOKUP(N359,'TABLA-DIA'!$B$2:$P$62,10,FALSE),"")</f>
        <v/>
      </c>
      <c r="I359" s="444" t="str">
        <f>IFERROR(VLOOKUP(N359,'TABLA-DIA'!$B$2:$P$62,11,FALSE),"")</f>
        <v/>
      </c>
      <c r="J359" s="440" t="str">
        <f>IFERROR(VLOOKUP(N359,'TABLA-DIA'!$B$2:$P$62,12,FALSE),"")</f>
        <v/>
      </c>
      <c r="K359" s="118" t="str">
        <f>IFERROR(VLOOKUP(N359,'TABLA-DIA'!$B$2:$P$62,13,FALSE),"")</f>
        <v/>
      </c>
      <c r="L359" s="119" t="str">
        <f>IFERROR(IF(VLOOKUP(N359,'TABLA-DIA'!$B$2:$P$62,14,FALSE)="","",VLOOKUP(N359,'TABLA-DIA'!$B$2:$P$62,14,FALSE)),"")</f>
        <v/>
      </c>
      <c r="M359" s="120">
        <f t="shared" si="6"/>
        <v>3</v>
      </c>
      <c r="N359" s="125" t="str">
        <f t="shared" si="5"/>
        <v>EMP. SACMI-3</v>
      </c>
    </row>
    <row r="360" spans="2:15" ht="108.75" hidden="1" customHeight="1">
      <c r="B360" s="752"/>
      <c r="C360" s="74" t="str">
        <f>IFERROR(VLOOKUP(N360,'TABLA-DIA'!$B$2:$P$62,9,FALSE),"")</f>
        <v/>
      </c>
      <c r="D360" s="116" t="str">
        <f>IFERROR(VLOOKUP(N360,'TABLA-DIA'!$B$2:$P$62,4,FALSE),"")</f>
        <v/>
      </c>
      <c r="E360" s="332" t="str">
        <f>IFERROR(VLOOKUP(N360,'TABLA-DIA'!$B$2:$P$62,5,FALSE),"")</f>
        <v/>
      </c>
      <c r="F360" s="332" t="str">
        <f>IFERROR(VLOOKUP(N360,'TABLA-DIA'!$B$2:$P$62,6,FALSE),"")</f>
        <v/>
      </c>
      <c r="G360" s="360" t="str">
        <f>IFERROR(VLOOKUP(N360,'TABLA-DIA'!$B$2:$P$62,7,FALSE),"")</f>
        <v/>
      </c>
      <c r="H360" s="117" t="str">
        <f>IFERROR(VLOOKUP(N360,'TABLA-DIA'!$B$2:$P$62,10,FALSE),"")</f>
        <v/>
      </c>
      <c r="I360" s="444" t="str">
        <f>IFERROR(VLOOKUP(N360,'TABLA-DIA'!$B$2:$P$62,11,FALSE),"")</f>
        <v/>
      </c>
      <c r="J360" s="440" t="str">
        <f>IFERROR(VLOOKUP(N360,'TABLA-DIA'!$B$2:$P$62,12,FALSE),"")</f>
        <v/>
      </c>
      <c r="K360" s="118" t="str">
        <f>IFERROR(VLOOKUP(N360,'TABLA-DIA'!$B$2:$P$62,13,FALSE),"")</f>
        <v/>
      </c>
      <c r="L360" s="119" t="str">
        <f>IFERROR(IF(VLOOKUP(N360,'TABLA-DIA'!$B$2:$P$62,14,FALSE)="","",VLOOKUP(N360,'TABLA-DIA'!$B$2:$P$62,14,FALSE)),"")</f>
        <v/>
      </c>
      <c r="M360" s="120">
        <f t="shared" si="6"/>
        <v>4</v>
      </c>
      <c r="N360" s="125" t="str">
        <f t="shared" si="5"/>
        <v>EMP. SACMI-4</v>
      </c>
    </row>
    <row r="361" spans="2:15" ht="108.75" hidden="1" customHeight="1">
      <c r="B361" s="752"/>
      <c r="C361" s="74" t="str">
        <f>IFERROR(VLOOKUP(N361,'TABLA-DIA'!$B$2:$P$62,9,FALSE),"")</f>
        <v/>
      </c>
      <c r="D361" s="116" t="str">
        <f>IFERROR(VLOOKUP(N361,'TABLA-DIA'!$B$2:$P$62,4,FALSE),"")</f>
        <v/>
      </c>
      <c r="E361" s="332" t="str">
        <f>IFERROR(VLOOKUP(N361,'TABLA-DIA'!$B$2:$P$62,5,FALSE),"")</f>
        <v/>
      </c>
      <c r="F361" s="332" t="str">
        <f>IFERROR(VLOOKUP(N361,'TABLA-DIA'!$B$2:$P$62,6,FALSE),"")</f>
        <v/>
      </c>
      <c r="G361" s="360" t="str">
        <f>IFERROR(VLOOKUP(N361,'TABLA-DIA'!$B$2:$P$62,7,FALSE),"")</f>
        <v/>
      </c>
      <c r="H361" s="117" t="str">
        <f>IFERROR(VLOOKUP(N361,'TABLA-DIA'!$B$2:$P$62,10,FALSE),"")</f>
        <v/>
      </c>
      <c r="I361" s="444" t="str">
        <f>IFERROR(VLOOKUP(N361,'TABLA-DIA'!$B$2:$P$62,11,FALSE),"")</f>
        <v/>
      </c>
      <c r="J361" s="440" t="str">
        <f>IFERROR(VLOOKUP(N361,'TABLA-DIA'!$B$2:$P$62,12,FALSE),"")</f>
        <v/>
      </c>
      <c r="K361" s="118" t="str">
        <f>IFERROR(VLOOKUP(N361,'TABLA-DIA'!$B$2:$P$62,13,FALSE),"")</f>
        <v/>
      </c>
      <c r="L361" s="119" t="str">
        <f>IFERROR(IF(VLOOKUP(N361,'TABLA-DIA'!$B$2:$P$62,14,FALSE)="","",VLOOKUP(N361,'TABLA-DIA'!$B$2:$P$62,14,FALSE)),"")</f>
        <v/>
      </c>
      <c r="M361" s="120">
        <f t="shared" si="6"/>
        <v>5</v>
      </c>
      <c r="N361" s="125" t="str">
        <f t="shared" si="5"/>
        <v>EMP. SACMI-5</v>
      </c>
    </row>
    <row r="362" spans="2:15" ht="108.75" hidden="1" customHeight="1">
      <c r="B362" s="752"/>
      <c r="C362" s="74" t="str">
        <f>IFERROR(VLOOKUP(N362,'TABLA-DIA'!$B$2:$P$62,9,FALSE),"")</f>
        <v/>
      </c>
      <c r="D362" s="116" t="str">
        <f>IFERROR(VLOOKUP(N362,'TABLA-DIA'!$B$2:$P$62,4,FALSE),"")</f>
        <v/>
      </c>
      <c r="E362" s="332" t="str">
        <f>IFERROR(VLOOKUP(N362,'TABLA-DIA'!$B$2:$P$62,5,FALSE),"")</f>
        <v/>
      </c>
      <c r="F362" s="332" t="str">
        <f>IFERROR(VLOOKUP(N362,'TABLA-DIA'!$B$2:$P$62,6,FALSE),"")</f>
        <v/>
      </c>
      <c r="G362" s="360" t="str">
        <f>IFERROR(VLOOKUP(N362,'TABLA-DIA'!$B$2:$P$62,7,FALSE),"")</f>
        <v/>
      </c>
      <c r="H362" s="117" t="str">
        <f>IFERROR(VLOOKUP(N362,'TABLA-DIA'!$B$2:$P$62,10,FALSE),"")</f>
        <v/>
      </c>
      <c r="I362" s="444" t="str">
        <f>IFERROR(VLOOKUP(N362,'TABLA-DIA'!$B$2:$P$62,11,FALSE),"")</f>
        <v/>
      </c>
      <c r="J362" s="440" t="str">
        <f>IFERROR(VLOOKUP(N362,'TABLA-DIA'!$B$2:$P$62,12,FALSE),"")</f>
        <v/>
      </c>
      <c r="K362" s="118" t="str">
        <f>IFERROR(VLOOKUP(N362,'TABLA-DIA'!$B$2:$P$62,13,FALSE),"")</f>
        <v/>
      </c>
      <c r="L362" s="119" t="str">
        <f>IFERROR(IF(VLOOKUP(N362,'TABLA-DIA'!$B$2:$P$62,14,FALSE)="","",VLOOKUP(N362,'TABLA-DIA'!$B$2:$P$62,14,FALSE)),"")</f>
        <v/>
      </c>
      <c r="M362" s="120">
        <f t="shared" si="6"/>
        <v>6</v>
      </c>
      <c r="N362" s="125" t="str">
        <f t="shared" si="5"/>
        <v>EMP. SACMI-6</v>
      </c>
    </row>
    <row r="363" spans="2:15" ht="108.75" hidden="1" customHeight="1">
      <c r="B363" s="752"/>
      <c r="C363" s="74" t="str">
        <f>IFERROR(VLOOKUP(N363,'TABLA-DIA'!$B$2:$P$62,9,FALSE),"")</f>
        <v/>
      </c>
      <c r="D363" s="116" t="str">
        <f>IFERROR(VLOOKUP(N363,'TABLA-DIA'!$B$2:$P$62,4,FALSE),"")</f>
        <v/>
      </c>
      <c r="E363" s="332" t="str">
        <f>IFERROR(VLOOKUP(N363,'TABLA-DIA'!$B$2:$P$62,5,FALSE),"")</f>
        <v/>
      </c>
      <c r="F363" s="332" t="str">
        <f>IFERROR(VLOOKUP(N363,'TABLA-DIA'!$B$2:$P$62,6,FALSE),"")</f>
        <v/>
      </c>
      <c r="G363" s="360" t="str">
        <f>IFERROR(VLOOKUP(N363,'TABLA-DIA'!$B$2:$P$62,7,FALSE),"")</f>
        <v/>
      </c>
      <c r="H363" s="117" t="str">
        <f>IFERROR(VLOOKUP(N363,'TABLA-DIA'!$B$2:$P$62,10,FALSE),"")</f>
        <v/>
      </c>
      <c r="I363" s="444" t="str">
        <f>IFERROR(VLOOKUP(N363,'TABLA-DIA'!$B$2:$P$62,11,FALSE),"")</f>
        <v/>
      </c>
      <c r="J363" s="440" t="str">
        <f>IFERROR(VLOOKUP(N363,'TABLA-DIA'!$B$2:$P$62,12,FALSE),"")</f>
        <v/>
      </c>
      <c r="K363" s="118" t="str">
        <f>IFERROR(VLOOKUP(N363,'TABLA-DIA'!$B$2:$P$62,13,FALSE),"")</f>
        <v/>
      </c>
      <c r="L363" s="119" t="str">
        <f>IFERROR(IF(VLOOKUP(N363,'TABLA-DIA'!$B$2:$P$62,14,FALSE)="","",VLOOKUP(N363,'TABLA-DIA'!$B$2:$P$62,14,FALSE)),"")</f>
        <v/>
      </c>
      <c r="M363" s="120">
        <f t="shared" si="6"/>
        <v>7</v>
      </c>
      <c r="N363" s="125" t="str">
        <f t="shared" si="5"/>
        <v>EMP. SACMI-7</v>
      </c>
    </row>
    <row r="364" spans="2:15" ht="108.75" hidden="1" customHeight="1">
      <c r="B364" s="752"/>
      <c r="C364" s="74" t="str">
        <f>IFERROR(VLOOKUP(N364,'TABLA-DIA'!$B$2:$P$62,9,FALSE),"")</f>
        <v/>
      </c>
      <c r="D364" s="116" t="str">
        <f>IFERROR(VLOOKUP(N364,'TABLA-DIA'!$B$2:$P$62,4,FALSE),"")</f>
        <v/>
      </c>
      <c r="E364" s="332" t="str">
        <f>IFERROR(VLOOKUP(N364,'TABLA-DIA'!$B$2:$P$62,5,FALSE),"")</f>
        <v/>
      </c>
      <c r="F364" s="332" t="str">
        <f>IFERROR(VLOOKUP(N364,'TABLA-DIA'!$B$2:$P$62,6,FALSE),"")</f>
        <v/>
      </c>
      <c r="G364" s="360" t="str">
        <f>IFERROR(VLOOKUP(N364,'TABLA-DIA'!$B$2:$P$62,7,FALSE),"")</f>
        <v/>
      </c>
      <c r="H364" s="117" t="str">
        <f>IFERROR(VLOOKUP(N364,'TABLA-DIA'!$B$2:$P$62,10,FALSE),"")</f>
        <v/>
      </c>
      <c r="I364" s="444" t="str">
        <f>IFERROR(VLOOKUP(N364,'TABLA-DIA'!$B$2:$P$62,11,FALSE),"")</f>
        <v/>
      </c>
      <c r="J364" s="440" t="str">
        <f>IFERROR(VLOOKUP(N364,'TABLA-DIA'!$B$2:$P$62,12,FALSE),"")</f>
        <v/>
      </c>
      <c r="K364" s="118" t="str">
        <f>IFERROR(VLOOKUP(N364,'TABLA-DIA'!$B$2:$P$62,13,FALSE),"")</f>
        <v/>
      </c>
      <c r="L364" s="119" t="str">
        <f>IFERROR(IF(VLOOKUP(N364,'TABLA-DIA'!$B$2:$P$62,14,FALSE)="","",VLOOKUP(N364,'TABLA-DIA'!$B$2:$P$62,14,FALSE)),"")</f>
        <v/>
      </c>
      <c r="M364" s="120">
        <f t="shared" si="6"/>
        <v>8</v>
      </c>
      <c r="N364" s="125" t="str">
        <f t="shared" si="5"/>
        <v>EMP. SACMI-8</v>
      </c>
    </row>
    <row r="365" spans="2:15" ht="108.75" hidden="1" customHeight="1">
      <c r="B365" s="752"/>
      <c r="C365" s="74" t="str">
        <f>IFERROR(VLOOKUP(N365,'TABLA-DIA'!$B$2:$P$62,9,FALSE),"")</f>
        <v/>
      </c>
      <c r="D365" s="116" t="str">
        <f>IFERROR(VLOOKUP(N365,'TABLA-DIA'!$B$2:$P$62,4,FALSE),"")</f>
        <v/>
      </c>
      <c r="E365" s="332" t="str">
        <f>IFERROR(VLOOKUP(N365,'TABLA-DIA'!$B$2:$P$62,5,FALSE),"")</f>
        <v/>
      </c>
      <c r="F365" s="332" t="str">
        <f>IFERROR(VLOOKUP(N365,'TABLA-DIA'!$B$2:$P$62,6,FALSE),"")</f>
        <v/>
      </c>
      <c r="G365" s="360" t="str">
        <f>IFERROR(VLOOKUP(N365,'TABLA-DIA'!$B$2:$P$62,7,FALSE),"")</f>
        <v/>
      </c>
      <c r="H365" s="117" t="str">
        <f>IFERROR(VLOOKUP(N365,'TABLA-DIA'!$B$2:$P$62,10,FALSE),"")</f>
        <v/>
      </c>
      <c r="I365" s="444" t="str">
        <f>IFERROR(VLOOKUP(N365,'TABLA-DIA'!$B$2:$P$62,11,FALSE),"")</f>
        <v/>
      </c>
      <c r="J365" s="440" t="str">
        <f>IFERROR(VLOOKUP(N365,'TABLA-DIA'!$B$2:$P$62,12,FALSE),"")</f>
        <v/>
      </c>
      <c r="K365" s="118" t="str">
        <f>IFERROR(VLOOKUP(N365,'TABLA-DIA'!$B$2:$P$62,13,FALSE),"")</f>
        <v/>
      </c>
      <c r="L365" s="119" t="str">
        <f>IFERROR(IF(VLOOKUP(N365,'TABLA-DIA'!$B$2:$P$62,14,FALSE)="","",VLOOKUP(N365,'TABLA-DIA'!$B$2:$P$62,14,FALSE)),"")</f>
        <v/>
      </c>
      <c r="M365" s="120">
        <f t="shared" si="6"/>
        <v>9</v>
      </c>
      <c r="N365" s="125" t="str">
        <f t="shared" si="5"/>
        <v>EMP. SACMI-9</v>
      </c>
    </row>
    <row r="366" spans="2:15" ht="108.75" hidden="1" customHeight="1" thickBot="1">
      <c r="B366" s="753"/>
      <c r="C366" s="137" t="str">
        <f>IFERROR(VLOOKUP(N366,'TABLA-DIA'!$B$2:$P$62,9,FALSE),"")</f>
        <v/>
      </c>
      <c r="D366" s="126" t="str">
        <f>IFERROR(VLOOKUP(N366,'TABLA-DIA'!$B$2:$P$62,4,FALSE),"")</f>
        <v/>
      </c>
      <c r="E366" s="334" t="str">
        <f>IFERROR(VLOOKUP(N366,'TABLA-DIA'!$B$2:$P$62,5,FALSE),"")</f>
        <v/>
      </c>
      <c r="F366" s="334" t="str">
        <f>IFERROR(VLOOKUP(N366,'TABLA-DIA'!$B$2:$P$62,6,FALSE),"")</f>
        <v/>
      </c>
      <c r="G366" s="362" t="str">
        <f>IFERROR(VLOOKUP(N366,'TABLA-DIA'!$B$2:$P$62,7,FALSE),"")</f>
        <v/>
      </c>
      <c r="H366" s="127" t="str">
        <f>IFERROR(VLOOKUP(N366,'TABLA-DIA'!$B$2:$P$62,10,FALSE),"")</f>
        <v/>
      </c>
      <c r="I366" s="445" t="str">
        <f>IFERROR(VLOOKUP(N366,'TABLA-DIA'!$B$2:$P$62,11,FALSE),"")</f>
        <v/>
      </c>
      <c r="J366" s="443" t="str">
        <f>IFERROR(VLOOKUP(N366,'TABLA-DIA'!$B$2:$P$62,12,FALSE),"")</f>
        <v/>
      </c>
      <c r="K366" s="128" t="str">
        <f>IFERROR(VLOOKUP(N366,'TABLA-DIA'!$B$2:$P$62,13,FALSE),"")</f>
        <v/>
      </c>
      <c r="L366" s="129" t="str">
        <f>IFERROR(IF(VLOOKUP(N366,'TABLA-DIA'!$B$2:$P$62,14,FALSE)="","",VLOOKUP(N366,'TABLA-DIA'!$B$2:$P$62,14,FALSE)),"")</f>
        <v/>
      </c>
      <c r="M366" s="136">
        <f t="shared" si="6"/>
        <v>10</v>
      </c>
      <c r="N366" s="130" t="str">
        <f t="shared" si="5"/>
        <v>EMP. SACMI-10</v>
      </c>
    </row>
    <row r="367" spans="2:15" ht="108.75" customHeight="1" thickBot="1">
      <c r="B367" s="751" t="str">
        <f>+'TABLA-DIA'!B157</f>
        <v>POZO DE CHILLER</v>
      </c>
      <c r="C367" s="96" t="str">
        <f>IFERROR(VLOOKUP(N367,'TABLA-DIA'!$B$2:$P$62,9,FALSE),"")</f>
        <v/>
      </c>
      <c r="D367" s="121" t="str">
        <f>IFERROR(VLOOKUP(N367,'TABLA-DIA'!$B$2:$P$62,4,FALSE),"")</f>
        <v/>
      </c>
      <c r="E367" s="331" t="str">
        <f>IFERROR(VLOOKUP(N367,'TABLA-DIA'!$B$2:$P$62,5,FALSE),"")</f>
        <v/>
      </c>
      <c r="F367" s="331" t="str">
        <f>IFERROR(VLOOKUP(N367,'TABLA-DIA'!$B$2:$P$62,6,FALSE),"")</f>
        <v/>
      </c>
      <c r="G367" s="359" t="str">
        <f>IFERROR(VLOOKUP(N367,'TABLA-DIA'!$B$2:$P$62,7,FALSE),"")</f>
        <v/>
      </c>
      <c r="H367" s="122" t="str">
        <f>IFERROR(VLOOKUP(N367,'TABLA-DIA'!$B$2:$P$62,10,FALSE),"")</f>
        <v/>
      </c>
      <c r="I367" s="446" t="str">
        <f>IFERROR(VLOOKUP(N367,'TABLA-DIA'!$B$2:$P$62,11,FALSE),"")</f>
        <v/>
      </c>
      <c r="J367" s="442" t="str">
        <f>IFERROR(VLOOKUP(N367,'TABLA-DIA'!$B$2:$P$62,12,FALSE),"")</f>
        <v/>
      </c>
      <c r="K367" s="123" t="str">
        <f>IFERROR(VLOOKUP(N367,'TABLA-DIA'!$B$2:$P$62,13,FALSE),"")</f>
        <v/>
      </c>
      <c r="L367" s="124" t="str">
        <f>IFERROR(IF(VLOOKUP(N367,'TABLA-DIA'!$B$2:$P$62,14,FALSE)="","",VLOOKUP(N367,'TABLA-DIA'!$B$2:$P$62,14,FALSE)),"")</f>
        <v/>
      </c>
      <c r="M367" s="100">
        <v>1</v>
      </c>
      <c r="N367" s="98" t="str">
        <f t="shared" ref="N367:N376" si="7">CONCATENATE($B$367,"-",M367)</f>
        <v>POZO DE CHILLER-1</v>
      </c>
      <c r="O367" s="91">
        <f>COUNTIF(G367:G376,"&lt;&gt;**")</f>
        <v>0</v>
      </c>
    </row>
    <row r="368" spans="2:15" ht="108.75" hidden="1" customHeight="1" thickBot="1">
      <c r="B368" s="752"/>
      <c r="C368" s="74" t="str">
        <f>IFERROR(VLOOKUP(N368,'TABLA-DIA'!$B$2:$P$62,9,FALSE),"")</f>
        <v/>
      </c>
      <c r="D368" s="116" t="str">
        <f>IFERROR(VLOOKUP(N368,'TABLA-DIA'!$B$2:$P$62,4,FALSE),"")</f>
        <v/>
      </c>
      <c r="E368" s="332" t="str">
        <f>IFERROR(VLOOKUP(N368,'TABLA-DIA'!$B$2:$P$62,5,FALSE),"")</f>
        <v/>
      </c>
      <c r="F368" s="332" t="str">
        <f>IFERROR(VLOOKUP(N368,'TABLA-DIA'!$B$2:$P$62,6,FALSE),"")</f>
        <v/>
      </c>
      <c r="G368" s="360" t="str">
        <f>IFERROR(VLOOKUP(N368,'TABLA-DIA'!$B$2:$P$62,7,FALSE),"")</f>
        <v/>
      </c>
      <c r="H368" s="117" t="str">
        <f>IFERROR(VLOOKUP(N368,'TABLA-DIA'!$B$2:$P$62,10,FALSE),"")</f>
        <v/>
      </c>
      <c r="I368" s="444" t="str">
        <f>IFERROR(VLOOKUP(N368,'TABLA-DIA'!$B$2:$P$62,11,FALSE),"")</f>
        <v/>
      </c>
      <c r="J368" s="440" t="str">
        <f>IFERROR(VLOOKUP(N368,'TABLA-DIA'!$B$2:$P$62,12,FALSE),"")</f>
        <v/>
      </c>
      <c r="K368" s="118" t="str">
        <f>IFERROR(VLOOKUP(N368,'TABLA-DIA'!$B$2:$P$62,13,FALSE),"")</f>
        <v/>
      </c>
      <c r="L368" s="119" t="str">
        <f>IFERROR(IF(VLOOKUP(N368,'TABLA-DIA'!$B$2:$P$62,14,FALSE)="","",VLOOKUP(N368,'TABLA-DIA'!$B$2:$P$62,14,FALSE)),"")</f>
        <v/>
      </c>
      <c r="M368" s="120">
        <f t="shared" ref="M368:M376" si="8">+M367+1</f>
        <v>2</v>
      </c>
      <c r="N368" s="125" t="str">
        <f t="shared" si="7"/>
        <v>POZO DE CHILLER-2</v>
      </c>
    </row>
    <row r="369" spans="2:15" ht="108.75" hidden="1" customHeight="1">
      <c r="B369" s="752"/>
      <c r="C369" s="74" t="str">
        <f>IFERROR(VLOOKUP(N369,'TABLA-DIA'!$B$2:$P$62,9,FALSE),"")</f>
        <v/>
      </c>
      <c r="D369" s="116" t="str">
        <f>IFERROR(VLOOKUP(N369,'TABLA-DIA'!$B$2:$P$62,4,FALSE),"")</f>
        <v/>
      </c>
      <c r="E369" s="332" t="str">
        <f>IFERROR(VLOOKUP(N369,'TABLA-DIA'!$B$2:$P$62,5,FALSE),"")</f>
        <v/>
      </c>
      <c r="F369" s="332" t="str">
        <f>IFERROR(VLOOKUP(N369,'TABLA-DIA'!$B$2:$P$62,6,FALSE),"")</f>
        <v/>
      </c>
      <c r="G369" s="360" t="str">
        <f>IFERROR(VLOOKUP(N369,'TABLA-DIA'!$B$2:$P$62,7,FALSE),"")</f>
        <v/>
      </c>
      <c r="H369" s="117" t="str">
        <f>IFERROR(VLOOKUP(N369,'TABLA-DIA'!$B$2:$P$62,10,FALSE),"")</f>
        <v/>
      </c>
      <c r="I369" s="444" t="str">
        <f>IFERROR(VLOOKUP(N369,'TABLA-DIA'!$B$2:$P$62,11,FALSE),"")</f>
        <v/>
      </c>
      <c r="J369" s="440" t="str">
        <f>IFERROR(VLOOKUP(N369,'TABLA-DIA'!$B$2:$P$62,12,FALSE),"")</f>
        <v/>
      </c>
      <c r="K369" s="118" t="str">
        <f>IFERROR(VLOOKUP(N369,'TABLA-DIA'!$B$2:$P$62,13,FALSE),"")</f>
        <v/>
      </c>
      <c r="L369" s="119" t="str">
        <f>IFERROR(IF(VLOOKUP(N369,'TABLA-DIA'!$B$2:$P$62,14,FALSE)="","",VLOOKUP(N369,'TABLA-DIA'!$B$2:$P$62,14,FALSE)),"")</f>
        <v/>
      </c>
      <c r="M369" s="120">
        <f t="shared" si="8"/>
        <v>3</v>
      </c>
      <c r="N369" s="125" t="str">
        <f t="shared" si="7"/>
        <v>POZO DE CHILLER-3</v>
      </c>
    </row>
    <row r="370" spans="2:15" ht="108.75" hidden="1" customHeight="1">
      <c r="B370" s="752"/>
      <c r="C370" s="74" t="str">
        <f>IFERROR(VLOOKUP(N370,'TABLA-DIA'!$B$2:$P$62,9,FALSE),"")</f>
        <v/>
      </c>
      <c r="D370" s="116" t="str">
        <f>IFERROR(VLOOKUP(N370,'TABLA-DIA'!$B$2:$P$62,4,FALSE),"")</f>
        <v/>
      </c>
      <c r="E370" s="332" t="str">
        <f>IFERROR(VLOOKUP(N370,'TABLA-DIA'!$B$2:$P$62,5,FALSE),"")</f>
        <v/>
      </c>
      <c r="F370" s="332" t="str">
        <f>IFERROR(VLOOKUP(N370,'TABLA-DIA'!$B$2:$P$62,6,FALSE),"")</f>
        <v/>
      </c>
      <c r="G370" s="360" t="str">
        <f>IFERROR(VLOOKUP(N370,'TABLA-DIA'!$B$2:$P$62,7,FALSE),"")</f>
        <v/>
      </c>
      <c r="H370" s="117" t="str">
        <f>IFERROR(VLOOKUP(N370,'TABLA-DIA'!$B$2:$P$62,10,FALSE),"")</f>
        <v/>
      </c>
      <c r="I370" s="444" t="str">
        <f>IFERROR(VLOOKUP(N370,'TABLA-DIA'!$B$2:$P$62,11,FALSE),"")</f>
        <v/>
      </c>
      <c r="J370" s="440" t="str">
        <f>IFERROR(VLOOKUP(N370,'TABLA-DIA'!$B$2:$P$62,12,FALSE),"")</f>
        <v/>
      </c>
      <c r="K370" s="118" t="str">
        <f>IFERROR(VLOOKUP(N370,'TABLA-DIA'!$B$2:$P$62,13,FALSE),"")</f>
        <v/>
      </c>
      <c r="L370" s="119" t="str">
        <f>IFERROR(IF(VLOOKUP(N370,'TABLA-DIA'!$B$2:$P$62,14,FALSE)="","",VLOOKUP(N370,'TABLA-DIA'!$B$2:$P$62,14,FALSE)),"")</f>
        <v/>
      </c>
      <c r="M370" s="120">
        <f t="shared" si="8"/>
        <v>4</v>
      </c>
      <c r="N370" s="125" t="str">
        <f t="shared" si="7"/>
        <v>POZO DE CHILLER-4</v>
      </c>
    </row>
    <row r="371" spans="2:15" ht="108.75" hidden="1" customHeight="1">
      <c r="B371" s="752"/>
      <c r="C371" s="74" t="str">
        <f>IFERROR(VLOOKUP(N371,'TABLA-DIA'!$B$2:$P$62,9,FALSE),"")</f>
        <v/>
      </c>
      <c r="D371" s="116" t="str">
        <f>IFERROR(VLOOKUP(N371,'TABLA-DIA'!$B$2:$P$62,4,FALSE),"")</f>
        <v/>
      </c>
      <c r="E371" s="332" t="str">
        <f>IFERROR(VLOOKUP(N371,'TABLA-DIA'!$B$2:$P$62,5,FALSE),"")</f>
        <v/>
      </c>
      <c r="F371" s="332" t="str">
        <f>IFERROR(VLOOKUP(N371,'TABLA-DIA'!$B$2:$P$62,6,FALSE),"")</f>
        <v/>
      </c>
      <c r="G371" s="360" t="str">
        <f>IFERROR(VLOOKUP(N371,'TABLA-DIA'!$B$2:$P$62,7,FALSE),"")</f>
        <v/>
      </c>
      <c r="H371" s="117" t="str">
        <f>IFERROR(VLOOKUP(N371,'TABLA-DIA'!$B$2:$P$62,10,FALSE),"")</f>
        <v/>
      </c>
      <c r="I371" s="444" t="str">
        <f>IFERROR(VLOOKUP(N371,'TABLA-DIA'!$B$2:$P$62,11,FALSE),"")</f>
        <v/>
      </c>
      <c r="J371" s="440" t="str">
        <f>IFERROR(VLOOKUP(N371,'TABLA-DIA'!$B$2:$P$62,12,FALSE),"")</f>
        <v/>
      </c>
      <c r="K371" s="118" t="str">
        <f>IFERROR(VLOOKUP(N371,'TABLA-DIA'!$B$2:$P$62,13,FALSE),"")</f>
        <v/>
      </c>
      <c r="L371" s="119" t="str">
        <f>IFERROR(IF(VLOOKUP(N371,'TABLA-DIA'!$B$2:$P$62,14,FALSE)="","",VLOOKUP(N371,'TABLA-DIA'!$B$2:$P$62,14,FALSE)),"")</f>
        <v/>
      </c>
      <c r="M371" s="120">
        <f t="shared" si="8"/>
        <v>5</v>
      </c>
      <c r="N371" s="125" t="str">
        <f t="shared" si="7"/>
        <v>POZO DE CHILLER-5</v>
      </c>
    </row>
    <row r="372" spans="2:15" ht="108.75" hidden="1" customHeight="1">
      <c r="B372" s="752"/>
      <c r="C372" s="74" t="str">
        <f>IFERROR(VLOOKUP(N372,'TABLA-DIA'!$B$2:$P$62,9,FALSE),"")</f>
        <v/>
      </c>
      <c r="D372" s="116" t="str">
        <f>IFERROR(VLOOKUP(N372,'TABLA-DIA'!$B$2:$P$62,4,FALSE),"")</f>
        <v/>
      </c>
      <c r="E372" s="332" t="str">
        <f>IFERROR(VLOOKUP(N372,'TABLA-DIA'!$B$2:$P$62,5,FALSE),"")</f>
        <v/>
      </c>
      <c r="F372" s="332" t="str">
        <f>IFERROR(VLOOKUP(N372,'TABLA-DIA'!$B$2:$P$62,6,FALSE),"")</f>
        <v/>
      </c>
      <c r="G372" s="360" t="str">
        <f>IFERROR(VLOOKUP(N372,'TABLA-DIA'!$B$2:$P$62,7,FALSE),"")</f>
        <v/>
      </c>
      <c r="H372" s="117" t="str">
        <f>IFERROR(VLOOKUP(N372,'TABLA-DIA'!$B$2:$P$62,10,FALSE),"")</f>
        <v/>
      </c>
      <c r="I372" s="444" t="str">
        <f>IFERROR(VLOOKUP(N372,'TABLA-DIA'!$B$2:$P$62,11,FALSE),"")</f>
        <v/>
      </c>
      <c r="J372" s="440" t="str">
        <f>IFERROR(VLOOKUP(N372,'TABLA-DIA'!$B$2:$P$62,12,FALSE),"")</f>
        <v/>
      </c>
      <c r="K372" s="118" t="str">
        <f>IFERROR(VLOOKUP(N372,'TABLA-DIA'!$B$2:$P$62,13,FALSE),"")</f>
        <v/>
      </c>
      <c r="L372" s="119" t="str">
        <f>IFERROR(IF(VLOOKUP(N372,'TABLA-DIA'!$B$2:$P$62,14,FALSE)="","",VLOOKUP(N372,'TABLA-DIA'!$B$2:$P$62,14,FALSE)),"")</f>
        <v/>
      </c>
      <c r="M372" s="120">
        <f t="shared" si="8"/>
        <v>6</v>
      </c>
      <c r="N372" s="125" t="str">
        <f t="shared" si="7"/>
        <v>POZO DE CHILLER-6</v>
      </c>
    </row>
    <row r="373" spans="2:15" ht="108.75" hidden="1" customHeight="1">
      <c r="B373" s="752"/>
      <c r="C373" s="74" t="str">
        <f>IFERROR(VLOOKUP(N373,'TABLA-DIA'!$B$2:$P$62,9,FALSE),"")</f>
        <v/>
      </c>
      <c r="D373" s="116" t="str">
        <f>IFERROR(VLOOKUP(N373,'TABLA-DIA'!$B$2:$P$62,4,FALSE),"")</f>
        <v/>
      </c>
      <c r="E373" s="332" t="str">
        <f>IFERROR(VLOOKUP(N373,'TABLA-DIA'!$B$2:$P$62,5,FALSE),"")</f>
        <v/>
      </c>
      <c r="F373" s="332" t="str">
        <f>IFERROR(VLOOKUP(N373,'TABLA-DIA'!$B$2:$P$62,6,FALSE),"")</f>
        <v/>
      </c>
      <c r="G373" s="360" t="str">
        <f>IFERROR(VLOOKUP(N373,'TABLA-DIA'!$B$2:$P$62,7,FALSE),"")</f>
        <v/>
      </c>
      <c r="H373" s="117" t="str">
        <f>IFERROR(VLOOKUP(N373,'TABLA-DIA'!$B$2:$P$62,10,FALSE),"")</f>
        <v/>
      </c>
      <c r="I373" s="444" t="str">
        <f>IFERROR(VLOOKUP(N373,'TABLA-DIA'!$B$2:$P$62,11,FALSE),"")</f>
        <v/>
      </c>
      <c r="J373" s="440" t="str">
        <f>IFERROR(VLOOKUP(N373,'TABLA-DIA'!$B$2:$P$62,12,FALSE),"")</f>
        <v/>
      </c>
      <c r="K373" s="118" t="str">
        <f>IFERROR(VLOOKUP(N373,'TABLA-DIA'!$B$2:$P$62,13,FALSE),"")</f>
        <v/>
      </c>
      <c r="L373" s="119" t="str">
        <f>IFERROR(IF(VLOOKUP(N373,'TABLA-DIA'!$B$2:$P$62,14,FALSE)="","",VLOOKUP(N373,'TABLA-DIA'!$B$2:$P$62,14,FALSE)),"")</f>
        <v/>
      </c>
      <c r="M373" s="120">
        <f t="shared" si="8"/>
        <v>7</v>
      </c>
      <c r="N373" s="125" t="str">
        <f t="shared" si="7"/>
        <v>POZO DE CHILLER-7</v>
      </c>
    </row>
    <row r="374" spans="2:15" ht="108.75" hidden="1" customHeight="1">
      <c r="B374" s="752"/>
      <c r="C374" s="74" t="str">
        <f>IFERROR(VLOOKUP(N374,'TABLA-DIA'!$B$2:$P$62,9,FALSE),"")</f>
        <v/>
      </c>
      <c r="D374" s="116" t="str">
        <f>IFERROR(VLOOKUP(N374,'TABLA-DIA'!$B$2:$P$62,4,FALSE),"")</f>
        <v/>
      </c>
      <c r="E374" s="332" t="str">
        <f>IFERROR(VLOOKUP(N374,'TABLA-DIA'!$B$2:$P$62,5,FALSE),"")</f>
        <v/>
      </c>
      <c r="F374" s="332" t="str">
        <f>IFERROR(VLOOKUP(N374,'TABLA-DIA'!$B$2:$P$62,6,FALSE),"")</f>
        <v/>
      </c>
      <c r="G374" s="360" t="str">
        <f>IFERROR(VLOOKUP(N374,'TABLA-DIA'!$B$2:$P$62,7,FALSE),"")</f>
        <v/>
      </c>
      <c r="H374" s="117" t="str">
        <f>IFERROR(VLOOKUP(N374,'TABLA-DIA'!$B$2:$P$62,10,FALSE),"")</f>
        <v/>
      </c>
      <c r="I374" s="444" t="str">
        <f>IFERROR(VLOOKUP(N374,'TABLA-DIA'!$B$2:$P$62,11,FALSE),"")</f>
        <v/>
      </c>
      <c r="J374" s="440" t="str">
        <f>IFERROR(VLOOKUP(N374,'TABLA-DIA'!$B$2:$P$62,12,FALSE),"")</f>
        <v/>
      </c>
      <c r="K374" s="118" t="str">
        <f>IFERROR(VLOOKUP(N374,'TABLA-DIA'!$B$2:$P$62,13,FALSE),"")</f>
        <v/>
      </c>
      <c r="L374" s="119" t="str">
        <f>IFERROR(IF(VLOOKUP(N374,'TABLA-DIA'!$B$2:$P$62,14,FALSE)="","",VLOOKUP(N374,'TABLA-DIA'!$B$2:$P$62,14,FALSE)),"")</f>
        <v/>
      </c>
      <c r="M374" s="120">
        <f t="shared" si="8"/>
        <v>8</v>
      </c>
      <c r="N374" s="125" t="str">
        <f t="shared" si="7"/>
        <v>POZO DE CHILLER-8</v>
      </c>
    </row>
    <row r="375" spans="2:15" ht="108.75" hidden="1" customHeight="1">
      <c r="B375" s="752"/>
      <c r="C375" s="74" t="str">
        <f>IFERROR(VLOOKUP(N375,'TABLA-DIA'!$B$2:$P$62,9,FALSE),"")</f>
        <v/>
      </c>
      <c r="D375" s="116" t="str">
        <f>IFERROR(VLOOKUP(N375,'TABLA-DIA'!$B$2:$P$62,4,FALSE),"")</f>
        <v/>
      </c>
      <c r="E375" s="332" t="str">
        <f>IFERROR(VLOOKUP(N375,'TABLA-DIA'!$B$2:$P$62,5,FALSE),"")</f>
        <v/>
      </c>
      <c r="F375" s="332" t="str">
        <f>IFERROR(VLOOKUP(N375,'TABLA-DIA'!$B$2:$P$62,6,FALSE),"")</f>
        <v/>
      </c>
      <c r="G375" s="360" t="str">
        <f>IFERROR(VLOOKUP(N375,'TABLA-DIA'!$B$2:$P$62,7,FALSE),"")</f>
        <v/>
      </c>
      <c r="H375" s="117" t="str">
        <f>IFERROR(VLOOKUP(N375,'TABLA-DIA'!$B$2:$P$62,10,FALSE),"")</f>
        <v/>
      </c>
      <c r="I375" s="444" t="str">
        <f>IFERROR(VLOOKUP(N375,'TABLA-DIA'!$B$2:$P$62,11,FALSE),"")</f>
        <v/>
      </c>
      <c r="J375" s="440" t="str">
        <f>IFERROR(VLOOKUP(N375,'TABLA-DIA'!$B$2:$P$62,12,FALSE),"")</f>
        <v/>
      </c>
      <c r="K375" s="118" t="str">
        <f>IFERROR(VLOOKUP(N375,'TABLA-DIA'!$B$2:$P$62,13,FALSE),"")</f>
        <v/>
      </c>
      <c r="L375" s="119" t="str">
        <f>IFERROR(IF(VLOOKUP(N375,'TABLA-DIA'!$B$2:$P$62,14,FALSE)="","",VLOOKUP(N375,'TABLA-DIA'!$B$2:$P$62,14,FALSE)),"")</f>
        <v/>
      </c>
      <c r="M375" s="120">
        <f t="shared" si="8"/>
        <v>9</v>
      </c>
      <c r="N375" s="125" t="str">
        <f t="shared" si="7"/>
        <v>POZO DE CHILLER-9</v>
      </c>
    </row>
    <row r="376" spans="2:15" ht="108.75" hidden="1" customHeight="1" thickBot="1">
      <c r="B376" s="753"/>
      <c r="C376" s="137" t="str">
        <f>IFERROR(VLOOKUP(N376,'TABLA-DIA'!$B$2:$P$62,9,FALSE),"")</f>
        <v/>
      </c>
      <c r="D376" s="126" t="str">
        <f>IFERROR(VLOOKUP(N376,'TABLA-DIA'!$B$2:$P$62,4,FALSE),"")</f>
        <v/>
      </c>
      <c r="E376" s="334" t="str">
        <f>IFERROR(VLOOKUP(N376,'TABLA-DIA'!$B$2:$P$62,5,FALSE),"")</f>
        <v/>
      </c>
      <c r="F376" s="334" t="str">
        <f>IFERROR(VLOOKUP(N376,'TABLA-DIA'!$B$2:$P$62,6,FALSE),"")</f>
        <v/>
      </c>
      <c r="G376" s="362" t="str">
        <f>IFERROR(VLOOKUP(N376,'TABLA-DIA'!$B$2:$P$62,7,FALSE),"")</f>
        <v/>
      </c>
      <c r="H376" s="127" t="str">
        <f>IFERROR(VLOOKUP(N376,'TABLA-DIA'!$B$2:$P$62,10,FALSE),"")</f>
        <v/>
      </c>
      <c r="I376" s="445" t="str">
        <f>IFERROR(VLOOKUP(N376,'TABLA-DIA'!$B$2:$P$62,11,FALSE),"")</f>
        <v/>
      </c>
      <c r="J376" s="443" t="str">
        <f>IFERROR(VLOOKUP(N376,'TABLA-DIA'!$B$2:$P$62,12,FALSE),"")</f>
        <v/>
      </c>
      <c r="K376" s="128" t="str">
        <f>IFERROR(VLOOKUP(N376,'TABLA-DIA'!$B$2:$P$62,13,FALSE),"")</f>
        <v/>
      </c>
      <c r="L376" s="129" t="str">
        <f>IFERROR(IF(VLOOKUP(N376,'TABLA-DIA'!$B$2:$P$62,14,FALSE)="","",VLOOKUP(N376,'TABLA-DIA'!$B$2:$P$62,14,FALSE)),"")</f>
        <v/>
      </c>
      <c r="M376" s="136">
        <f t="shared" si="8"/>
        <v>10</v>
      </c>
      <c r="N376" s="130" t="str">
        <f t="shared" si="7"/>
        <v>POZO DE CHILLER-10</v>
      </c>
    </row>
    <row r="377" spans="2:15" ht="108.75" customHeight="1" thickBot="1">
      <c r="B377" s="751" t="str">
        <f>+'TABLA-DIA'!B158</f>
        <v>PROCESADORA DE MASAS - NETZSCH</v>
      </c>
      <c r="C377" s="96" t="str">
        <f>IFERROR(VLOOKUP(N377,'TABLA-DIA'!$B$2:$P$62,9,FALSE),"")</f>
        <v/>
      </c>
      <c r="D377" s="121" t="str">
        <f>IFERROR(VLOOKUP(N377,'TABLA-DIA'!$B$2:$P$62,4,FALSE),"")</f>
        <v/>
      </c>
      <c r="E377" s="331" t="str">
        <f>IFERROR(VLOOKUP(N377,'TABLA-DIA'!$B$2:$P$62,5,FALSE),"")</f>
        <v/>
      </c>
      <c r="F377" s="331" t="str">
        <f>IFERROR(VLOOKUP(N377,'TABLA-DIA'!$B$2:$P$62,6,FALSE),"")</f>
        <v/>
      </c>
      <c r="G377" s="359" t="str">
        <f>IFERROR(VLOOKUP(N377,'TABLA-DIA'!$B$2:$P$62,7,FALSE),"")</f>
        <v/>
      </c>
      <c r="H377" s="122" t="str">
        <f>IFERROR(VLOOKUP(N377,'TABLA-DIA'!$B$2:$P$62,10,FALSE),"")</f>
        <v/>
      </c>
      <c r="I377" s="446" t="str">
        <f>IFERROR(VLOOKUP(N377,'TABLA-DIA'!$B$2:$P$62,11,FALSE),"")</f>
        <v/>
      </c>
      <c r="J377" s="442" t="str">
        <f>IFERROR(VLOOKUP(N377,'TABLA-DIA'!$B$2:$P$62,12,FALSE),"")</f>
        <v/>
      </c>
      <c r="K377" s="123" t="str">
        <f>IFERROR(VLOOKUP(N377,'TABLA-DIA'!$B$2:$P$62,13,FALSE),"")</f>
        <v/>
      </c>
      <c r="L377" s="124" t="str">
        <f>IFERROR(IF(VLOOKUP(N377,'TABLA-DIA'!$B$2:$P$62,14,FALSE)="","",VLOOKUP(N377,'TABLA-DIA'!$B$2:$P$62,14,FALSE)),"")</f>
        <v/>
      </c>
      <c r="M377" s="100">
        <v>1</v>
      </c>
      <c r="N377" s="98" t="str">
        <f t="shared" ref="N377:N386" si="9">CONCATENATE($B$377,"-",M377)</f>
        <v>PROCESADORA DE MASAS - NETZSCH-1</v>
      </c>
      <c r="O377" s="91">
        <f>COUNTIF(G377:G386,"&lt;&gt;**")</f>
        <v>0</v>
      </c>
    </row>
    <row r="378" spans="2:15" ht="108.75" hidden="1" customHeight="1" thickBot="1">
      <c r="B378" s="752"/>
      <c r="C378" s="74" t="str">
        <f>IFERROR(VLOOKUP(N378,'TABLA-DIA'!$B$2:$P$62,9,FALSE),"")</f>
        <v/>
      </c>
      <c r="D378" s="116" t="str">
        <f>IFERROR(VLOOKUP(N378,'TABLA-DIA'!$B$2:$P$62,4,FALSE),"")</f>
        <v/>
      </c>
      <c r="E378" s="332" t="str">
        <f>IFERROR(VLOOKUP(N378,'TABLA-DIA'!$B$2:$P$62,5,FALSE),"")</f>
        <v/>
      </c>
      <c r="F378" s="332" t="str">
        <f>IFERROR(VLOOKUP(N378,'TABLA-DIA'!$B$2:$P$62,6,FALSE),"")</f>
        <v/>
      </c>
      <c r="G378" s="360" t="str">
        <f>IFERROR(VLOOKUP(N378,'TABLA-DIA'!$B$2:$P$62,7,FALSE),"")</f>
        <v/>
      </c>
      <c r="H378" s="117" t="str">
        <f>IFERROR(VLOOKUP(N378,'TABLA-DIA'!$B$2:$P$62,10,FALSE),"")</f>
        <v/>
      </c>
      <c r="I378" s="444" t="str">
        <f>IFERROR(VLOOKUP(N378,'TABLA-DIA'!$B$2:$P$62,11,FALSE),"")</f>
        <v/>
      </c>
      <c r="J378" s="440" t="str">
        <f>IFERROR(VLOOKUP(N378,'TABLA-DIA'!$B$2:$P$62,12,FALSE),"")</f>
        <v/>
      </c>
      <c r="K378" s="118" t="str">
        <f>IFERROR(VLOOKUP(N378,'TABLA-DIA'!$B$2:$P$62,13,FALSE),"")</f>
        <v/>
      </c>
      <c r="L378" s="119" t="str">
        <f>IFERROR(IF(VLOOKUP(N378,'TABLA-DIA'!$B$2:$P$62,14,FALSE)="","",VLOOKUP(N378,'TABLA-DIA'!$B$2:$P$62,14,FALSE)),"")</f>
        <v/>
      </c>
      <c r="M378" s="120">
        <f t="shared" ref="M378:M386" si="10">+M377+1</f>
        <v>2</v>
      </c>
      <c r="N378" s="125" t="str">
        <f t="shared" si="9"/>
        <v>PROCESADORA DE MASAS - NETZSCH-2</v>
      </c>
    </row>
    <row r="379" spans="2:15" ht="108.75" hidden="1" customHeight="1">
      <c r="B379" s="752"/>
      <c r="C379" s="74" t="str">
        <f>IFERROR(VLOOKUP(N379,'TABLA-DIA'!$B$2:$P$62,9,FALSE),"")</f>
        <v/>
      </c>
      <c r="D379" s="116" t="str">
        <f>IFERROR(VLOOKUP(N379,'TABLA-DIA'!$B$2:$P$62,4,FALSE),"")</f>
        <v/>
      </c>
      <c r="E379" s="332" t="str">
        <f>IFERROR(VLOOKUP(N379,'TABLA-DIA'!$B$2:$P$62,5,FALSE),"")</f>
        <v/>
      </c>
      <c r="F379" s="332" t="str">
        <f>IFERROR(VLOOKUP(N379,'TABLA-DIA'!$B$2:$P$62,6,FALSE),"")</f>
        <v/>
      </c>
      <c r="G379" s="360" t="str">
        <f>IFERROR(VLOOKUP(N379,'TABLA-DIA'!$B$2:$P$62,7,FALSE),"")</f>
        <v/>
      </c>
      <c r="H379" s="117" t="str">
        <f>IFERROR(VLOOKUP(N379,'TABLA-DIA'!$B$2:$P$62,10,FALSE),"")</f>
        <v/>
      </c>
      <c r="I379" s="444" t="str">
        <f>IFERROR(VLOOKUP(N379,'TABLA-DIA'!$B$2:$P$62,11,FALSE),"")</f>
        <v/>
      </c>
      <c r="J379" s="440" t="str">
        <f>IFERROR(VLOOKUP(N379,'TABLA-DIA'!$B$2:$P$62,12,FALSE),"")</f>
        <v/>
      </c>
      <c r="K379" s="118" t="str">
        <f>IFERROR(VLOOKUP(N379,'TABLA-DIA'!$B$2:$P$62,13,FALSE),"")</f>
        <v/>
      </c>
      <c r="L379" s="119" t="str">
        <f>IFERROR(IF(VLOOKUP(N379,'TABLA-DIA'!$B$2:$P$62,14,FALSE)="","",VLOOKUP(N379,'TABLA-DIA'!$B$2:$P$62,14,FALSE)),"")</f>
        <v/>
      </c>
      <c r="M379" s="120">
        <f t="shared" si="10"/>
        <v>3</v>
      </c>
      <c r="N379" s="125" t="str">
        <f t="shared" si="9"/>
        <v>PROCESADORA DE MASAS - NETZSCH-3</v>
      </c>
    </row>
    <row r="380" spans="2:15" ht="108.75" hidden="1" customHeight="1">
      <c r="B380" s="752"/>
      <c r="C380" s="74" t="str">
        <f>IFERROR(VLOOKUP(N380,'TABLA-DIA'!$B$2:$P$62,9,FALSE),"")</f>
        <v/>
      </c>
      <c r="D380" s="116" t="str">
        <f>IFERROR(VLOOKUP(N380,'TABLA-DIA'!$B$2:$P$62,4,FALSE),"")</f>
        <v/>
      </c>
      <c r="E380" s="332" t="str">
        <f>IFERROR(VLOOKUP(N380,'TABLA-DIA'!$B$2:$P$62,5,FALSE),"")</f>
        <v/>
      </c>
      <c r="F380" s="332" t="str">
        <f>IFERROR(VLOOKUP(N380,'TABLA-DIA'!$B$2:$P$62,6,FALSE),"")</f>
        <v/>
      </c>
      <c r="G380" s="360" t="str">
        <f>IFERROR(VLOOKUP(N380,'TABLA-DIA'!$B$2:$P$62,7,FALSE),"")</f>
        <v/>
      </c>
      <c r="H380" s="117" t="str">
        <f>IFERROR(VLOOKUP(N380,'TABLA-DIA'!$B$2:$P$62,10,FALSE),"")</f>
        <v/>
      </c>
      <c r="I380" s="444" t="str">
        <f>IFERROR(VLOOKUP(N380,'TABLA-DIA'!$B$2:$P$62,11,FALSE),"")</f>
        <v/>
      </c>
      <c r="J380" s="440" t="str">
        <f>IFERROR(VLOOKUP(N380,'TABLA-DIA'!$B$2:$P$62,12,FALSE),"")</f>
        <v/>
      </c>
      <c r="K380" s="118" t="str">
        <f>IFERROR(VLOOKUP(N380,'TABLA-DIA'!$B$2:$P$62,13,FALSE),"")</f>
        <v/>
      </c>
      <c r="L380" s="119" t="str">
        <f>IFERROR(IF(VLOOKUP(N380,'TABLA-DIA'!$B$2:$P$62,14,FALSE)="","",VLOOKUP(N380,'TABLA-DIA'!$B$2:$P$62,14,FALSE)),"")</f>
        <v/>
      </c>
      <c r="M380" s="120">
        <f t="shared" si="10"/>
        <v>4</v>
      </c>
      <c r="N380" s="125" t="str">
        <f t="shared" si="9"/>
        <v>PROCESADORA DE MASAS - NETZSCH-4</v>
      </c>
    </row>
    <row r="381" spans="2:15" ht="108.75" hidden="1" customHeight="1">
      <c r="B381" s="752"/>
      <c r="C381" s="74" t="str">
        <f>IFERROR(VLOOKUP(N381,'TABLA-DIA'!$B$2:$P$62,9,FALSE),"")</f>
        <v/>
      </c>
      <c r="D381" s="116" t="str">
        <f>IFERROR(VLOOKUP(N381,'TABLA-DIA'!$B$2:$P$62,4,FALSE),"")</f>
        <v/>
      </c>
      <c r="E381" s="332" t="str">
        <f>IFERROR(VLOOKUP(N381,'TABLA-DIA'!$B$2:$P$62,5,FALSE),"")</f>
        <v/>
      </c>
      <c r="F381" s="332" t="str">
        <f>IFERROR(VLOOKUP(N381,'TABLA-DIA'!$B$2:$P$62,6,FALSE),"")</f>
        <v/>
      </c>
      <c r="G381" s="360" t="str">
        <f>IFERROR(VLOOKUP(N381,'TABLA-DIA'!$B$2:$P$62,7,FALSE),"")</f>
        <v/>
      </c>
      <c r="H381" s="117" t="str">
        <f>IFERROR(VLOOKUP(N381,'TABLA-DIA'!$B$2:$P$62,10,FALSE),"")</f>
        <v/>
      </c>
      <c r="I381" s="444" t="str">
        <f>IFERROR(VLOOKUP(N381,'TABLA-DIA'!$B$2:$P$62,11,FALSE),"")</f>
        <v/>
      </c>
      <c r="J381" s="440" t="str">
        <f>IFERROR(VLOOKUP(N381,'TABLA-DIA'!$B$2:$P$62,12,FALSE),"")</f>
        <v/>
      </c>
      <c r="K381" s="118" t="str">
        <f>IFERROR(VLOOKUP(N381,'TABLA-DIA'!$B$2:$P$62,13,FALSE),"")</f>
        <v/>
      </c>
      <c r="L381" s="119" t="str">
        <f>IFERROR(IF(VLOOKUP(N381,'TABLA-DIA'!$B$2:$P$62,14,FALSE)="","",VLOOKUP(N381,'TABLA-DIA'!$B$2:$P$62,14,FALSE)),"")</f>
        <v/>
      </c>
      <c r="M381" s="120">
        <f t="shared" si="10"/>
        <v>5</v>
      </c>
      <c r="N381" s="125" t="str">
        <f t="shared" si="9"/>
        <v>PROCESADORA DE MASAS - NETZSCH-5</v>
      </c>
    </row>
    <row r="382" spans="2:15" ht="108.75" hidden="1" customHeight="1">
      <c r="B382" s="752"/>
      <c r="C382" s="74" t="str">
        <f>IFERROR(VLOOKUP(N382,'TABLA-DIA'!$B$2:$P$62,9,FALSE),"")</f>
        <v/>
      </c>
      <c r="D382" s="116" t="str">
        <f>IFERROR(VLOOKUP(N382,'TABLA-DIA'!$B$2:$P$62,4,FALSE),"")</f>
        <v/>
      </c>
      <c r="E382" s="332" t="str">
        <f>IFERROR(VLOOKUP(N382,'TABLA-DIA'!$B$2:$P$62,5,FALSE),"")</f>
        <v/>
      </c>
      <c r="F382" s="332" t="str">
        <f>IFERROR(VLOOKUP(N382,'TABLA-DIA'!$B$2:$P$62,6,FALSE),"")</f>
        <v/>
      </c>
      <c r="G382" s="360" t="str">
        <f>IFERROR(VLOOKUP(N382,'TABLA-DIA'!$B$2:$P$62,7,FALSE),"")</f>
        <v/>
      </c>
      <c r="H382" s="117" t="str">
        <f>IFERROR(VLOOKUP(N382,'TABLA-DIA'!$B$2:$P$62,10,FALSE),"")</f>
        <v/>
      </c>
      <c r="I382" s="444" t="str">
        <f>IFERROR(VLOOKUP(N382,'TABLA-DIA'!$B$2:$P$62,11,FALSE),"")</f>
        <v/>
      </c>
      <c r="J382" s="440" t="str">
        <f>IFERROR(VLOOKUP(N382,'TABLA-DIA'!$B$2:$P$62,12,FALSE),"")</f>
        <v/>
      </c>
      <c r="K382" s="118" t="str">
        <f>IFERROR(VLOOKUP(N382,'TABLA-DIA'!$B$2:$P$62,13,FALSE),"")</f>
        <v/>
      </c>
      <c r="L382" s="119" t="str">
        <f>IFERROR(IF(VLOOKUP(N382,'TABLA-DIA'!$B$2:$P$62,14,FALSE)="","",VLOOKUP(N382,'TABLA-DIA'!$B$2:$P$62,14,FALSE)),"")</f>
        <v/>
      </c>
      <c r="M382" s="120">
        <f t="shared" si="10"/>
        <v>6</v>
      </c>
      <c r="N382" s="125" t="str">
        <f t="shared" si="9"/>
        <v>PROCESADORA DE MASAS - NETZSCH-6</v>
      </c>
    </row>
    <row r="383" spans="2:15" ht="108.75" hidden="1" customHeight="1">
      <c r="B383" s="752"/>
      <c r="C383" s="74" t="str">
        <f>IFERROR(VLOOKUP(N383,'TABLA-DIA'!$B$2:$P$62,9,FALSE),"")</f>
        <v/>
      </c>
      <c r="D383" s="116" t="str">
        <f>IFERROR(VLOOKUP(N383,'TABLA-DIA'!$B$2:$P$62,4,FALSE),"")</f>
        <v/>
      </c>
      <c r="E383" s="332" t="str">
        <f>IFERROR(VLOOKUP(N383,'TABLA-DIA'!$B$2:$P$62,5,FALSE),"")</f>
        <v/>
      </c>
      <c r="F383" s="332" t="str">
        <f>IFERROR(VLOOKUP(N383,'TABLA-DIA'!$B$2:$P$62,6,FALSE),"")</f>
        <v/>
      </c>
      <c r="G383" s="360" t="str">
        <f>IFERROR(VLOOKUP(N383,'TABLA-DIA'!$B$2:$P$62,7,FALSE),"")</f>
        <v/>
      </c>
      <c r="H383" s="117" t="str">
        <f>IFERROR(VLOOKUP(N383,'TABLA-DIA'!$B$2:$P$62,10,FALSE),"")</f>
        <v/>
      </c>
      <c r="I383" s="444" t="str">
        <f>IFERROR(VLOOKUP(N383,'TABLA-DIA'!$B$2:$P$62,11,FALSE),"")</f>
        <v/>
      </c>
      <c r="J383" s="440" t="str">
        <f>IFERROR(VLOOKUP(N383,'TABLA-DIA'!$B$2:$P$62,12,FALSE),"")</f>
        <v/>
      </c>
      <c r="K383" s="118" t="str">
        <f>IFERROR(VLOOKUP(N383,'TABLA-DIA'!$B$2:$P$62,13,FALSE),"")</f>
        <v/>
      </c>
      <c r="L383" s="119" t="str">
        <f>IFERROR(IF(VLOOKUP(N383,'TABLA-DIA'!$B$2:$P$62,14,FALSE)="","",VLOOKUP(N383,'TABLA-DIA'!$B$2:$P$62,14,FALSE)),"")</f>
        <v/>
      </c>
      <c r="M383" s="120">
        <f t="shared" si="10"/>
        <v>7</v>
      </c>
      <c r="N383" s="125" t="str">
        <f t="shared" si="9"/>
        <v>PROCESADORA DE MASAS - NETZSCH-7</v>
      </c>
    </row>
    <row r="384" spans="2:15" ht="108.75" hidden="1" customHeight="1">
      <c r="B384" s="752"/>
      <c r="C384" s="74" t="str">
        <f>IFERROR(VLOOKUP(N384,'TABLA-DIA'!$B$2:$P$62,9,FALSE),"")</f>
        <v/>
      </c>
      <c r="D384" s="116" t="str">
        <f>IFERROR(VLOOKUP(N384,'TABLA-DIA'!$B$2:$P$62,4,FALSE),"")</f>
        <v/>
      </c>
      <c r="E384" s="332" t="str">
        <f>IFERROR(VLOOKUP(N384,'TABLA-DIA'!$B$2:$P$62,5,FALSE),"")</f>
        <v/>
      </c>
      <c r="F384" s="332" t="str">
        <f>IFERROR(VLOOKUP(N384,'TABLA-DIA'!$B$2:$P$62,6,FALSE),"")</f>
        <v/>
      </c>
      <c r="G384" s="360" t="str">
        <f>IFERROR(VLOOKUP(N384,'TABLA-DIA'!$B$2:$P$62,7,FALSE),"")</f>
        <v/>
      </c>
      <c r="H384" s="117" t="str">
        <f>IFERROR(VLOOKUP(N384,'TABLA-DIA'!$B$2:$P$62,10,FALSE),"")</f>
        <v/>
      </c>
      <c r="I384" s="444" t="str">
        <f>IFERROR(VLOOKUP(N384,'TABLA-DIA'!$B$2:$P$62,11,FALSE),"")</f>
        <v/>
      </c>
      <c r="J384" s="440" t="str">
        <f>IFERROR(VLOOKUP(N384,'TABLA-DIA'!$B$2:$P$62,12,FALSE),"")</f>
        <v/>
      </c>
      <c r="K384" s="118" t="str">
        <f>IFERROR(VLOOKUP(N384,'TABLA-DIA'!$B$2:$P$62,13,FALSE),"")</f>
        <v/>
      </c>
      <c r="L384" s="119" t="str">
        <f>IFERROR(IF(VLOOKUP(N384,'TABLA-DIA'!$B$2:$P$62,14,FALSE)="","",VLOOKUP(N384,'TABLA-DIA'!$B$2:$P$62,14,FALSE)),"")</f>
        <v/>
      </c>
      <c r="M384" s="120">
        <f t="shared" si="10"/>
        <v>8</v>
      </c>
      <c r="N384" s="125" t="str">
        <f t="shared" si="9"/>
        <v>PROCESADORA DE MASAS - NETZSCH-8</v>
      </c>
    </row>
    <row r="385" spans="2:15" ht="108.75" hidden="1" customHeight="1">
      <c r="B385" s="752"/>
      <c r="C385" s="74" t="str">
        <f>IFERROR(VLOOKUP(N385,'TABLA-DIA'!$B$2:$P$62,9,FALSE),"")</f>
        <v/>
      </c>
      <c r="D385" s="116" t="str">
        <f>IFERROR(VLOOKUP(N385,'TABLA-DIA'!$B$2:$P$62,4,FALSE),"")</f>
        <v/>
      </c>
      <c r="E385" s="332" t="str">
        <f>IFERROR(VLOOKUP(N385,'TABLA-DIA'!$B$2:$P$62,5,FALSE),"")</f>
        <v/>
      </c>
      <c r="F385" s="332" t="str">
        <f>IFERROR(VLOOKUP(N385,'TABLA-DIA'!$B$2:$P$62,6,FALSE),"")</f>
        <v/>
      </c>
      <c r="G385" s="360" t="str">
        <f>IFERROR(VLOOKUP(N385,'TABLA-DIA'!$B$2:$P$62,7,FALSE),"")</f>
        <v/>
      </c>
      <c r="H385" s="117" t="str">
        <f>IFERROR(VLOOKUP(N385,'TABLA-DIA'!$B$2:$P$62,10,FALSE),"")</f>
        <v/>
      </c>
      <c r="I385" s="444" t="str">
        <f>IFERROR(VLOOKUP(N385,'TABLA-DIA'!$B$2:$P$62,11,FALSE),"")</f>
        <v/>
      </c>
      <c r="J385" s="440" t="str">
        <f>IFERROR(VLOOKUP(N385,'TABLA-DIA'!$B$2:$P$62,12,FALSE),"")</f>
        <v/>
      </c>
      <c r="K385" s="118" t="str">
        <f>IFERROR(VLOOKUP(N385,'TABLA-DIA'!$B$2:$P$62,13,FALSE),"")</f>
        <v/>
      </c>
      <c r="L385" s="119" t="str">
        <f>IFERROR(IF(VLOOKUP(N385,'TABLA-DIA'!$B$2:$P$62,14,FALSE)="","",VLOOKUP(N385,'TABLA-DIA'!$B$2:$P$62,14,FALSE)),"")</f>
        <v/>
      </c>
      <c r="M385" s="120">
        <f t="shared" si="10"/>
        <v>9</v>
      </c>
      <c r="N385" s="125" t="str">
        <f t="shared" si="9"/>
        <v>PROCESADORA DE MASAS - NETZSCH-9</v>
      </c>
    </row>
    <row r="386" spans="2:15" ht="108.75" hidden="1" customHeight="1" thickBot="1">
      <c r="B386" s="753"/>
      <c r="C386" s="137" t="str">
        <f>IFERROR(VLOOKUP(N386,'TABLA-DIA'!$B$2:$P$62,9,FALSE),"")</f>
        <v/>
      </c>
      <c r="D386" s="126" t="str">
        <f>IFERROR(VLOOKUP(N386,'TABLA-DIA'!$B$2:$P$62,4,FALSE),"")</f>
        <v/>
      </c>
      <c r="E386" s="334" t="str">
        <f>IFERROR(VLOOKUP(N386,'TABLA-DIA'!$B$2:$P$62,5,FALSE),"")</f>
        <v/>
      </c>
      <c r="F386" s="334" t="str">
        <f>IFERROR(VLOOKUP(N386,'TABLA-DIA'!$B$2:$P$62,6,FALSE),"")</f>
        <v/>
      </c>
      <c r="G386" s="362" t="str">
        <f>IFERROR(VLOOKUP(N386,'TABLA-DIA'!$B$2:$P$62,7,FALSE),"")</f>
        <v/>
      </c>
      <c r="H386" s="127" t="str">
        <f>IFERROR(VLOOKUP(N386,'TABLA-DIA'!$B$2:$P$62,10,FALSE),"")</f>
        <v/>
      </c>
      <c r="I386" s="445" t="str">
        <f>IFERROR(VLOOKUP(N386,'TABLA-DIA'!$B$2:$P$62,11,FALSE),"")</f>
        <v/>
      </c>
      <c r="J386" s="443" t="str">
        <f>IFERROR(VLOOKUP(N386,'TABLA-DIA'!$B$2:$P$62,12,FALSE),"")</f>
        <v/>
      </c>
      <c r="K386" s="128" t="str">
        <f>IFERROR(VLOOKUP(N386,'TABLA-DIA'!$B$2:$P$62,13,FALSE),"")</f>
        <v/>
      </c>
      <c r="L386" s="129" t="str">
        <f>IFERROR(IF(VLOOKUP(N386,'TABLA-DIA'!$B$2:$P$62,14,FALSE)="","",VLOOKUP(N386,'TABLA-DIA'!$B$2:$P$62,14,FALSE)),"")</f>
        <v/>
      </c>
      <c r="M386" s="136">
        <f t="shared" si="10"/>
        <v>10</v>
      </c>
      <c r="N386" s="130" t="str">
        <f t="shared" si="9"/>
        <v>PROCESADORA DE MASAS - NETZSCH-10</v>
      </c>
    </row>
    <row r="387" spans="2:15" ht="108.75" customHeight="1" thickBot="1">
      <c r="B387" s="751" t="str">
        <f>+'TABLA-DIA'!B159</f>
        <v>COMEDOR</v>
      </c>
      <c r="C387" s="96" t="str">
        <f>IFERROR(VLOOKUP(N387,'TABLA-DIA'!$B$2:$P$62,9,FALSE),"")</f>
        <v/>
      </c>
      <c r="D387" s="121" t="str">
        <f>IFERROR(VLOOKUP(N387,'TABLA-DIA'!$B$2:$P$62,4,FALSE),"")</f>
        <v/>
      </c>
      <c r="E387" s="331" t="str">
        <f>IFERROR(VLOOKUP(N387,'TABLA-DIA'!$B$2:$P$62,5,FALSE),"")</f>
        <v/>
      </c>
      <c r="F387" s="331" t="str">
        <f>IFERROR(VLOOKUP(N387,'TABLA-DIA'!$B$2:$P$62,6,FALSE),"")</f>
        <v/>
      </c>
      <c r="G387" s="359" t="str">
        <f>IFERROR(VLOOKUP(N387,'TABLA-DIA'!$B$2:$P$62,7,FALSE),"")</f>
        <v/>
      </c>
      <c r="H387" s="122" t="str">
        <f>IFERROR(VLOOKUP(N387,'TABLA-DIA'!$B$2:$P$62,10,FALSE),"")</f>
        <v/>
      </c>
      <c r="I387" s="446" t="str">
        <f>IFERROR(VLOOKUP(N387,'TABLA-DIA'!$B$2:$P$62,11,FALSE),"")</f>
        <v/>
      </c>
      <c r="J387" s="442" t="str">
        <f>IFERROR(VLOOKUP(N387,'TABLA-DIA'!$B$2:$P$62,12,FALSE),"")</f>
        <v/>
      </c>
      <c r="K387" s="123" t="str">
        <f>IFERROR(VLOOKUP(N387,'TABLA-DIA'!$B$2:$P$62,13,FALSE),"")</f>
        <v/>
      </c>
      <c r="L387" s="124" t="str">
        <f>IFERROR(IF(VLOOKUP(N387,'TABLA-DIA'!$B$2:$P$62,14,FALSE)="","",VLOOKUP(N387,'TABLA-DIA'!$B$2:$P$62,14,FALSE)),"")</f>
        <v/>
      </c>
      <c r="M387" s="100">
        <v>1</v>
      </c>
      <c r="N387" s="98" t="str">
        <f t="shared" ref="N387:N396" si="11">CONCATENATE($B$387,"-",M387)</f>
        <v>COMEDOR-1</v>
      </c>
      <c r="O387" s="91">
        <f>COUNTIF(G387:G396,"&lt;&gt;**")</f>
        <v>0</v>
      </c>
    </row>
    <row r="388" spans="2:15" ht="108.75" hidden="1" customHeight="1">
      <c r="B388" s="752"/>
      <c r="C388" s="74" t="str">
        <f>IFERROR(VLOOKUP(N388,'TABLA-DIA'!$B$2:$P$62,9,FALSE),"")</f>
        <v/>
      </c>
      <c r="D388" s="116" t="str">
        <f>IFERROR(VLOOKUP(N388,'TABLA-DIA'!$B$2:$P$62,4,FALSE),"")</f>
        <v/>
      </c>
      <c r="E388" s="332" t="str">
        <f>IFERROR(VLOOKUP(N388,'TABLA-DIA'!$B$2:$P$62,5,FALSE),"")</f>
        <v/>
      </c>
      <c r="F388" s="332" t="str">
        <f>IFERROR(VLOOKUP(N388,'TABLA-DIA'!$B$2:$P$62,6,FALSE),"")</f>
        <v/>
      </c>
      <c r="G388" s="360" t="str">
        <f>IFERROR(VLOOKUP(N388,'TABLA-DIA'!$B$2:$P$62,7,FALSE),"")</f>
        <v/>
      </c>
      <c r="H388" s="117" t="str">
        <f>IFERROR(VLOOKUP(N388,'TABLA-DIA'!$B$2:$P$62,10,FALSE),"")</f>
        <v/>
      </c>
      <c r="I388" s="444" t="str">
        <f>IFERROR(VLOOKUP(N388,'TABLA-DIA'!$B$2:$P$62,11,FALSE),"")</f>
        <v/>
      </c>
      <c r="J388" s="440" t="str">
        <f>IFERROR(VLOOKUP(N388,'TABLA-DIA'!$B$2:$P$62,12,FALSE),"")</f>
        <v/>
      </c>
      <c r="K388" s="118" t="str">
        <f>IFERROR(VLOOKUP(N388,'TABLA-DIA'!$B$2:$P$62,13,FALSE),"")</f>
        <v/>
      </c>
      <c r="L388" s="119" t="str">
        <f>IFERROR(IF(VLOOKUP(N388,'TABLA-DIA'!$B$2:$P$62,14,FALSE)="","",VLOOKUP(N388,'TABLA-DIA'!$B$2:$P$62,14,FALSE)),"")</f>
        <v/>
      </c>
      <c r="M388" s="120">
        <f t="shared" ref="M388:M396" si="12">+M387+1</f>
        <v>2</v>
      </c>
      <c r="N388" s="125" t="str">
        <f t="shared" si="11"/>
        <v>COMEDOR-2</v>
      </c>
    </row>
    <row r="389" spans="2:15" ht="108.75" hidden="1" customHeight="1">
      <c r="B389" s="752"/>
      <c r="C389" s="74" t="str">
        <f>IFERROR(VLOOKUP(N389,'TABLA-DIA'!$B$2:$P$62,9,FALSE),"")</f>
        <v/>
      </c>
      <c r="D389" s="116" t="str">
        <f>IFERROR(VLOOKUP(N389,'TABLA-DIA'!$B$2:$P$62,4,FALSE),"")</f>
        <v/>
      </c>
      <c r="E389" s="332" t="str">
        <f>IFERROR(VLOOKUP(N389,'TABLA-DIA'!$B$2:$P$62,5,FALSE),"")</f>
        <v/>
      </c>
      <c r="F389" s="332" t="str">
        <f>IFERROR(VLOOKUP(N389,'TABLA-DIA'!$B$2:$P$62,6,FALSE),"")</f>
        <v/>
      </c>
      <c r="G389" s="360" t="str">
        <f>IFERROR(VLOOKUP(N389,'TABLA-DIA'!$B$2:$P$62,7,FALSE),"")</f>
        <v/>
      </c>
      <c r="H389" s="117" t="str">
        <f>IFERROR(VLOOKUP(N389,'TABLA-DIA'!$B$2:$P$62,10,FALSE),"")</f>
        <v/>
      </c>
      <c r="I389" s="444" t="str">
        <f>IFERROR(VLOOKUP(N389,'TABLA-DIA'!$B$2:$P$62,11,FALSE),"")</f>
        <v/>
      </c>
      <c r="J389" s="440" t="str">
        <f>IFERROR(VLOOKUP(N389,'TABLA-DIA'!$B$2:$P$62,12,FALSE),"")</f>
        <v/>
      </c>
      <c r="K389" s="118" t="str">
        <f>IFERROR(VLOOKUP(N389,'TABLA-DIA'!$B$2:$P$62,13,FALSE),"")</f>
        <v/>
      </c>
      <c r="L389" s="119" t="str">
        <f>IFERROR(IF(VLOOKUP(N389,'TABLA-DIA'!$B$2:$P$62,14,FALSE)="","",VLOOKUP(N389,'TABLA-DIA'!$B$2:$P$62,14,FALSE)),"")</f>
        <v/>
      </c>
      <c r="M389" s="120">
        <f t="shared" si="12"/>
        <v>3</v>
      </c>
      <c r="N389" s="125" t="str">
        <f t="shared" si="11"/>
        <v>COMEDOR-3</v>
      </c>
    </row>
    <row r="390" spans="2:15" ht="108.75" hidden="1" customHeight="1">
      <c r="B390" s="752"/>
      <c r="C390" s="74" t="str">
        <f>IFERROR(VLOOKUP(N390,'TABLA-DIA'!$B$2:$P$62,9,FALSE),"")</f>
        <v/>
      </c>
      <c r="D390" s="116" t="str">
        <f>IFERROR(VLOOKUP(N390,'TABLA-DIA'!$B$2:$P$62,4,FALSE),"")</f>
        <v/>
      </c>
      <c r="E390" s="332" t="str">
        <f>IFERROR(VLOOKUP(N390,'TABLA-DIA'!$B$2:$P$62,5,FALSE),"")</f>
        <v/>
      </c>
      <c r="F390" s="332" t="str">
        <f>IFERROR(VLOOKUP(N390,'TABLA-DIA'!$B$2:$P$62,6,FALSE),"")</f>
        <v/>
      </c>
      <c r="G390" s="360" t="str">
        <f>IFERROR(VLOOKUP(N390,'TABLA-DIA'!$B$2:$P$62,7,FALSE),"")</f>
        <v/>
      </c>
      <c r="H390" s="117" t="str">
        <f>IFERROR(VLOOKUP(N390,'TABLA-DIA'!$B$2:$P$62,10,FALSE),"")</f>
        <v/>
      </c>
      <c r="I390" s="444" t="str">
        <f>IFERROR(VLOOKUP(N390,'TABLA-DIA'!$B$2:$P$62,11,FALSE),"")</f>
        <v/>
      </c>
      <c r="J390" s="440" t="str">
        <f>IFERROR(VLOOKUP(N390,'TABLA-DIA'!$B$2:$P$62,12,FALSE),"")</f>
        <v/>
      </c>
      <c r="K390" s="118" t="str">
        <f>IFERROR(VLOOKUP(N390,'TABLA-DIA'!$B$2:$P$62,13,FALSE),"")</f>
        <v/>
      </c>
      <c r="L390" s="119" t="str">
        <f>IFERROR(IF(VLOOKUP(N390,'TABLA-DIA'!$B$2:$P$62,14,FALSE)="","",VLOOKUP(N390,'TABLA-DIA'!$B$2:$P$62,14,FALSE)),"")</f>
        <v/>
      </c>
      <c r="M390" s="120">
        <f t="shared" si="12"/>
        <v>4</v>
      </c>
      <c r="N390" s="125" t="str">
        <f t="shared" si="11"/>
        <v>COMEDOR-4</v>
      </c>
    </row>
    <row r="391" spans="2:15" ht="108.75" hidden="1" customHeight="1">
      <c r="B391" s="752"/>
      <c r="C391" s="74" t="str">
        <f>IFERROR(VLOOKUP(N391,'TABLA-DIA'!$B$2:$P$62,9,FALSE),"")</f>
        <v/>
      </c>
      <c r="D391" s="116" t="str">
        <f>IFERROR(VLOOKUP(N391,'TABLA-DIA'!$B$2:$P$62,4,FALSE),"")</f>
        <v/>
      </c>
      <c r="E391" s="332" t="str">
        <f>IFERROR(VLOOKUP(N391,'TABLA-DIA'!$B$2:$P$62,5,FALSE),"")</f>
        <v/>
      </c>
      <c r="F391" s="332" t="str">
        <f>IFERROR(VLOOKUP(N391,'TABLA-DIA'!$B$2:$P$62,6,FALSE),"")</f>
        <v/>
      </c>
      <c r="G391" s="360" t="str">
        <f>IFERROR(VLOOKUP(N391,'TABLA-DIA'!$B$2:$P$62,7,FALSE),"")</f>
        <v/>
      </c>
      <c r="H391" s="117" t="str">
        <f>IFERROR(VLOOKUP(N391,'TABLA-DIA'!$B$2:$P$62,10,FALSE),"")</f>
        <v/>
      </c>
      <c r="I391" s="444" t="str">
        <f>IFERROR(VLOOKUP(N391,'TABLA-DIA'!$B$2:$P$62,11,FALSE),"")</f>
        <v/>
      </c>
      <c r="J391" s="440" t="str">
        <f>IFERROR(VLOOKUP(N391,'TABLA-DIA'!$B$2:$P$62,12,FALSE),"")</f>
        <v/>
      </c>
      <c r="K391" s="118" t="str">
        <f>IFERROR(VLOOKUP(N391,'TABLA-DIA'!$B$2:$P$62,13,FALSE),"")</f>
        <v/>
      </c>
      <c r="L391" s="119" t="str">
        <f>IFERROR(IF(VLOOKUP(N391,'TABLA-DIA'!$B$2:$P$62,14,FALSE)="","",VLOOKUP(N391,'TABLA-DIA'!$B$2:$P$62,14,FALSE)),"")</f>
        <v/>
      </c>
      <c r="M391" s="120">
        <f t="shared" si="12"/>
        <v>5</v>
      </c>
      <c r="N391" s="125" t="str">
        <f t="shared" si="11"/>
        <v>COMEDOR-5</v>
      </c>
    </row>
    <row r="392" spans="2:15" ht="108.75" hidden="1" customHeight="1">
      <c r="B392" s="752"/>
      <c r="C392" s="74" t="str">
        <f>IFERROR(VLOOKUP(N392,'TABLA-DIA'!$B$2:$P$62,9,FALSE),"")</f>
        <v/>
      </c>
      <c r="D392" s="116" t="str">
        <f>IFERROR(VLOOKUP(N392,'TABLA-DIA'!$B$2:$P$62,4,FALSE),"")</f>
        <v/>
      </c>
      <c r="E392" s="332" t="str">
        <f>IFERROR(VLOOKUP(N392,'TABLA-DIA'!$B$2:$P$62,5,FALSE),"")</f>
        <v/>
      </c>
      <c r="F392" s="332" t="str">
        <f>IFERROR(VLOOKUP(N392,'TABLA-DIA'!$B$2:$P$62,6,FALSE),"")</f>
        <v/>
      </c>
      <c r="G392" s="360" t="str">
        <f>IFERROR(VLOOKUP(N392,'TABLA-DIA'!$B$2:$P$62,7,FALSE),"")</f>
        <v/>
      </c>
      <c r="H392" s="117" t="str">
        <f>IFERROR(VLOOKUP(N392,'TABLA-DIA'!$B$2:$P$62,10,FALSE),"")</f>
        <v/>
      </c>
      <c r="I392" s="444" t="str">
        <f>IFERROR(VLOOKUP(N392,'TABLA-DIA'!$B$2:$P$62,11,FALSE),"")</f>
        <v/>
      </c>
      <c r="J392" s="440" t="str">
        <f>IFERROR(VLOOKUP(N392,'TABLA-DIA'!$B$2:$P$62,12,FALSE),"")</f>
        <v/>
      </c>
      <c r="K392" s="118" t="str">
        <f>IFERROR(VLOOKUP(N392,'TABLA-DIA'!$B$2:$P$62,13,FALSE),"")</f>
        <v/>
      </c>
      <c r="L392" s="119" t="str">
        <f>IFERROR(IF(VLOOKUP(N392,'TABLA-DIA'!$B$2:$P$62,14,FALSE)="","",VLOOKUP(N392,'TABLA-DIA'!$B$2:$P$62,14,FALSE)),"")</f>
        <v/>
      </c>
      <c r="M392" s="120">
        <f t="shared" si="12"/>
        <v>6</v>
      </c>
      <c r="N392" s="125" t="str">
        <f t="shared" si="11"/>
        <v>COMEDOR-6</v>
      </c>
    </row>
    <row r="393" spans="2:15" ht="108.75" hidden="1" customHeight="1">
      <c r="B393" s="752"/>
      <c r="C393" s="74" t="str">
        <f>IFERROR(VLOOKUP(N393,'TABLA-DIA'!$B$2:$P$62,9,FALSE),"")</f>
        <v/>
      </c>
      <c r="D393" s="116" t="str">
        <f>IFERROR(VLOOKUP(N393,'TABLA-DIA'!$B$2:$P$62,4,FALSE),"")</f>
        <v/>
      </c>
      <c r="E393" s="332" t="str">
        <f>IFERROR(VLOOKUP(N393,'TABLA-DIA'!$B$2:$P$62,5,FALSE),"")</f>
        <v/>
      </c>
      <c r="F393" s="332" t="str">
        <f>IFERROR(VLOOKUP(N393,'TABLA-DIA'!$B$2:$P$62,6,FALSE),"")</f>
        <v/>
      </c>
      <c r="G393" s="360" t="str">
        <f>IFERROR(VLOOKUP(N393,'TABLA-DIA'!$B$2:$P$62,7,FALSE),"")</f>
        <v/>
      </c>
      <c r="H393" s="117" t="str">
        <f>IFERROR(VLOOKUP(N393,'TABLA-DIA'!$B$2:$P$62,10,FALSE),"")</f>
        <v/>
      </c>
      <c r="I393" s="444" t="str">
        <f>IFERROR(VLOOKUP(N393,'TABLA-DIA'!$B$2:$P$62,11,FALSE),"")</f>
        <v/>
      </c>
      <c r="J393" s="440" t="str">
        <f>IFERROR(VLOOKUP(N393,'TABLA-DIA'!$B$2:$P$62,12,FALSE),"")</f>
        <v/>
      </c>
      <c r="K393" s="118" t="str">
        <f>IFERROR(VLOOKUP(N393,'TABLA-DIA'!$B$2:$P$62,13,FALSE),"")</f>
        <v/>
      </c>
      <c r="L393" s="119" t="str">
        <f>IFERROR(IF(VLOOKUP(N393,'TABLA-DIA'!$B$2:$P$62,14,FALSE)="","",VLOOKUP(N393,'TABLA-DIA'!$B$2:$P$62,14,FALSE)),"")</f>
        <v/>
      </c>
      <c r="M393" s="120">
        <f t="shared" si="12"/>
        <v>7</v>
      </c>
      <c r="N393" s="125" t="str">
        <f t="shared" si="11"/>
        <v>COMEDOR-7</v>
      </c>
    </row>
    <row r="394" spans="2:15" ht="108.75" hidden="1" customHeight="1">
      <c r="B394" s="752"/>
      <c r="C394" s="74" t="str">
        <f>IFERROR(VLOOKUP(N394,'TABLA-DIA'!$B$2:$P$62,9,FALSE),"")</f>
        <v/>
      </c>
      <c r="D394" s="116" t="str">
        <f>IFERROR(VLOOKUP(N394,'TABLA-DIA'!$B$2:$P$62,4,FALSE),"")</f>
        <v/>
      </c>
      <c r="E394" s="332" t="str">
        <f>IFERROR(VLOOKUP(N394,'TABLA-DIA'!$B$2:$P$62,5,FALSE),"")</f>
        <v/>
      </c>
      <c r="F394" s="332" t="str">
        <f>IFERROR(VLOOKUP(N394,'TABLA-DIA'!$B$2:$P$62,6,FALSE),"")</f>
        <v/>
      </c>
      <c r="G394" s="360" t="str">
        <f>IFERROR(VLOOKUP(N394,'TABLA-DIA'!$B$2:$P$62,7,FALSE),"")</f>
        <v/>
      </c>
      <c r="H394" s="117" t="str">
        <f>IFERROR(VLOOKUP(N394,'TABLA-DIA'!$B$2:$P$62,10,FALSE),"")</f>
        <v/>
      </c>
      <c r="I394" s="444" t="str">
        <f>IFERROR(VLOOKUP(N394,'TABLA-DIA'!$B$2:$P$62,11,FALSE),"")</f>
        <v/>
      </c>
      <c r="J394" s="440" t="str">
        <f>IFERROR(VLOOKUP(N394,'TABLA-DIA'!$B$2:$P$62,12,FALSE),"")</f>
        <v/>
      </c>
      <c r="K394" s="118" t="str">
        <f>IFERROR(VLOOKUP(N394,'TABLA-DIA'!$B$2:$P$62,13,FALSE),"")</f>
        <v/>
      </c>
      <c r="L394" s="119" t="str">
        <f>IFERROR(IF(VLOOKUP(N394,'TABLA-DIA'!$B$2:$P$62,14,FALSE)="","",VLOOKUP(N394,'TABLA-DIA'!$B$2:$P$62,14,FALSE)),"")</f>
        <v/>
      </c>
      <c r="M394" s="120">
        <f t="shared" si="12"/>
        <v>8</v>
      </c>
      <c r="N394" s="125" t="str">
        <f t="shared" si="11"/>
        <v>COMEDOR-8</v>
      </c>
    </row>
    <row r="395" spans="2:15" ht="108.75" hidden="1" customHeight="1">
      <c r="B395" s="752"/>
      <c r="C395" s="74" t="str">
        <f>IFERROR(VLOOKUP(N395,'TABLA-DIA'!$B$2:$P$62,9,FALSE),"")</f>
        <v/>
      </c>
      <c r="D395" s="116" t="str">
        <f>IFERROR(VLOOKUP(N395,'TABLA-DIA'!$B$2:$P$62,4,FALSE),"")</f>
        <v/>
      </c>
      <c r="E395" s="332" t="str">
        <f>IFERROR(VLOOKUP(N395,'TABLA-DIA'!$B$2:$P$62,5,FALSE),"")</f>
        <v/>
      </c>
      <c r="F395" s="332" t="str">
        <f>IFERROR(VLOOKUP(N395,'TABLA-DIA'!$B$2:$P$62,6,FALSE),"")</f>
        <v/>
      </c>
      <c r="G395" s="360" t="str">
        <f>IFERROR(VLOOKUP(N395,'TABLA-DIA'!$B$2:$P$62,7,FALSE),"")</f>
        <v/>
      </c>
      <c r="H395" s="117" t="str">
        <f>IFERROR(VLOOKUP(N395,'TABLA-DIA'!$B$2:$P$62,10,FALSE),"")</f>
        <v/>
      </c>
      <c r="I395" s="444" t="str">
        <f>IFERROR(VLOOKUP(N395,'TABLA-DIA'!$B$2:$P$62,11,FALSE),"")</f>
        <v/>
      </c>
      <c r="J395" s="440" t="str">
        <f>IFERROR(VLOOKUP(N395,'TABLA-DIA'!$B$2:$P$62,12,FALSE),"")</f>
        <v/>
      </c>
      <c r="K395" s="118" t="str">
        <f>IFERROR(VLOOKUP(N395,'TABLA-DIA'!$B$2:$P$62,13,FALSE),"")</f>
        <v/>
      </c>
      <c r="L395" s="119" t="str">
        <f>IFERROR(IF(VLOOKUP(N395,'TABLA-DIA'!$B$2:$P$62,14,FALSE)="","",VLOOKUP(N395,'TABLA-DIA'!$B$2:$P$62,14,FALSE)),"")</f>
        <v/>
      </c>
      <c r="M395" s="120">
        <f t="shared" si="12"/>
        <v>9</v>
      </c>
      <c r="N395" s="125" t="str">
        <f t="shared" si="11"/>
        <v>COMEDOR-9</v>
      </c>
    </row>
    <row r="396" spans="2:15" ht="108.75" hidden="1" customHeight="1" thickBot="1">
      <c r="B396" s="753"/>
      <c r="C396" s="137" t="str">
        <f>IFERROR(VLOOKUP(N396,'TABLA-DIA'!$B$2:$P$62,9,FALSE),"")</f>
        <v/>
      </c>
      <c r="D396" s="126" t="str">
        <f>IFERROR(VLOOKUP(N396,'TABLA-DIA'!$B$2:$P$62,4,FALSE),"")</f>
        <v/>
      </c>
      <c r="E396" s="334" t="str">
        <f>IFERROR(VLOOKUP(N396,'TABLA-DIA'!$B$2:$P$62,5,FALSE),"")</f>
        <v/>
      </c>
      <c r="F396" s="334" t="str">
        <f>IFERROR(VLOOKUP(N396,'TABLA-DIA'!$B$2:$P$62,6,FALSE),"")</f>
        <v/>
      </c>
      <c r="G396" s="362" t="str">
        <f>IFERROR(VLOOKUP(N396,'TABLA-DIA'!$B$2:$P$62,7,FALSE),"")</f>
        <v/>
      </c>
      <c r="H396" s="127" t="str">
        <f>IFERROR(VLOOKUP(N396,'TABLA-DIA'!$B$2:$P$62,10,FALSE),"")</f>
        <v/>
      </c>
      <c r="I396" s="445" t="str">
        <f>IFERROR(VLOOKUP(N396,'TABLA-DIA'!$B$2:$P$62,11,FALSE),"")</f>
        <v/>
      </c>
      <c r="J396" s="443" t="str">
        <f>IFERROR(VLOOKUP(N396,'TABLA-DIA'!$B$2:$P$62,12,FALSE),"")</f>
        <v/>
      </c>
      <c r="K396" s="128" t="str">
        <f>IFERROR(VLOOKUP(N396,'TABLA-DIA'!$B$2:$P$62,13,FALSE),"")</f>
        <v/>
      </c>
      <c r="L396" s="129" t="str">
        <f>IFERROR(IF(VLOOKUP(N396,'TABLA-DIA'!$B$2:$P$62,14,FALSE)="","",VLOOKUP(N396,'TABLA-DIA'!$B$2:$P$62,14,FALSE)),"")</f>
        <v/>
      </c>
      <c r="M396" s="136">
        <f t="shared" si="12"/>
        <v>10</v>
      </c>
      <c r="N396" s="130" t="str">
        <f t="shared" si="11"/>
        <v>COMEDOR-10</v>
      </c>
    </row>
    <row r="397" spans="2:15" ht="108.75" customHeight="1" thickBot="1">
      <c r="B397" s="751" t="str">
        <f>+'TABLA-DIA'!B160</f>
        <v>CALDERO, CHRILLER Y COMPRESOR</v>
      </c>
      <c r="C397" s="96" t="str">
        <f>IFERROR(VLOOKUP(N397,'TABLA-DIA'!$B$2:$P$62,9,FALSE),"")</f>
        <v>Equipos auxiliares</v>
      </c>
      <c r="D397" s="121" t="str">
        <f>IFERROR(VLOOKUP(N397,'TABLA-DIA'!$B$2:$P$62,4,FALSE),"")</f>
        <v>TARDE</v>
      </c>
      <c r="E397" s="331" t="str">
        <f>IFERROR(VLOOKUP(N397,'TABLA-DIA'!$B$2:$P$62,5,FALSE),"")</f>
        <v>12:40</v>
      </c>
      <c r="F397" s="331" t="str">
        <f>IFERROR(VLOOKUP(N397,'TABLA-DIA'!$B$2:$P$62,6,FALSE),"")</f>
        <v>13:00</v>
      </c>
      <c r="G397" s="359">
        <f>IFERROR(VLOOKUP(N397,'TABLA-DIA'!$B$2:$P$62,7,FALSE),"")</f>
        <v>1.388888888888884E-2</v>
      </c>
      <c r="H397" s="122" t="str">
        <f>IFERROR(VLOOKUP(N397,'TABLA-DIA'!$B$2:$P$62,10,FALSE),"")</f>
        <v>Inspección</v>
      </c>
      <c r="I397" s="446" t="str">
        <f>IFERROR(VLOOKUP(N397,'TABLA-DIA'!$B$2:$P$62,11,FALSE),"")</f>
        <v>PROGRAMADA</v>
      </c>
      <c r="J397" s="442">
        <f>IFERROR(VLOOKUP(N397,'TABLA-DIA'!$B$2:$P$62,12,FALSE),"")</f>
        <v>0</v>
      </c>
      <c r="K397" s="123" t="str">
        <f>IFERROR(VLOOKUP(N397,'TABLA-DIA'!$B$2:$P$62,13,FALSE),"")</f>
        <v xml:space="preserve">Se realiza inspección de equipos y parámetros </v>
      </c>
      <c r="L397" s="124" t="str">
        <f>IFERROR(IF(VLOOKUP(N397,'TABLA-DIA'!$B$2:$P$62,14,FALSE)="","",VLOOKUP(N397,'TABLA-DIA'!$B$2:$P$62,14,FALSE)),"")</f>
        <v/>
      </c>
      <c r="M397" s="100">
        <v>1</v>
      </c>
      <c r="N397" s="98" t="str">
        <f>CONCATENATE($B$397,"-",M397)</f>
        <v>CALDERO, CHRILLER Y COMPRESOR-1</v>
      </c>
      <c r="O397" s="91">
        <f>COUNTIF(G397:G406,"&lt;&gt;**")</f>
        <v>1</v>
      </c>
    </row>
    <row r="398" spans="2:15" ht="67.150000000000006" hidden="1" customHeight="1">
      <c r="B398" s="752"/>
      <c r="C398" s="74" t="str">
        <f>IFERROR(VLOOKUP(N398,'TABLA-DIA'!$B$2:$P$62,9,FALSE),"")</f>
        <v/>
      </c>
      <c r="D398" s="116" t="str">
        <f>IFERROR(VLOOKUP(N398,'TABLA-DIA'!$B$2:$P$62,4,FALSE),"")</f>
        <v/>
      </c>
      <c r="E398" s="332" t="str">
        <f>IFERROR(VLOOKUP(N398,'TABLA-DIA'!$B$2:$P$62,5,FALSE),"")</f>
        <v/>
      </c>
      <c r="F398" s="332" t="str">
        <f>IFERROR(VLOOKUP(N398,'TABLA-DIA'!$B$2:$P$62,6,FALSE),"")</f>
        <v/>
      </c>
      <c r="G398" s="360" t="str">
        <f>IFERROR(VLOOKUP(N398,'TABLA-DIA'!$B$2:$P$62,7,FALSE),"")</f>
        <v/>
      </c>
      <c r="H398" s="117" t="str">
        <f>IFERROR(VLOOKUP(N398,'TABLA-DIA'!$B$2:$P$62,10,FALSE),"")</f>
        <v/>
      </c>
      <c r="I398" s="444" t="str">
        <f>IFERROR(VLOOKUP(N398,'TABLA-DIA'!$B$2:$P$62,11,FALSE),"")</f>
        <v/>
      </c>
      <c r="J398" s="440" t="str">
        <f>IFERROR(VLOOKUP(N398,'TABLA-DIA'!$B$2:$P$62,12,FALSE),"")</f>
        <v/>
      </c>
      <c r="K398" s="118" t="str">
        <f>IFERROR(VLOOKUP(N398,'TABLA-DIA'!$B$2:$P$62,13,FALSE),"")</f>
        <v/>
      </c>
      <c r="L398" s="119" t="str">
        <f>IFERROR(IF(VLOOKUP(N398,'TABLA-DIA'!$B$2:$P$62,14,FALSE)="","",VLOOKUP(N398,'TABLA-DIA'!$B$2:$P$62,14,FALSE)),"")</f>
        <v/>
      </c>
      <c r="M398" s="120">
        <f t="shared" ref="M398:M406" si="13">+M397+1</f>
        <v>2</v>
      </c>
      <c r="N398" s="125" t="str">
        <f t="shared" ref="N398:N406" si="14">CONCATENATE($B$397,"-",M398)</f>
        <v>CALDERO, CHRILLER Y COMPRESOR-2</v>
      </c>
    </row>
    <row r="399" spans="2:15" ht="67.150000000000006" hidden="1" customHeight="1">
      <c r="B399" s="752"/>
      <c r="C399" s="74" t="str">
        <f>IFERROR(VLOOKUP(N399,'TABLA-DIA'!$B$2:$P$62,9,FALSE),"")</f>
        <v/>
      </c>
      <c r="D399" s="116" t="str">
        <f>IFERROR(VLOOKUP(N399,'TABLA-DIA'!$B$2:$P$62,4,FALSE),"")</f>
        <v/>
      </c>
      <c r="E399" s="332" t="str">
        <f>IFERROR(VLOOKUP(N399,'TABLA-DIA'!$B$2:$P$62,5,FALSE),"")</f>
        <v/>
      </c>
      <c r="F399" s="332" t="str">
        <f>IFERROR(VLOOKUP(N399,'TABLA-DIA'!$B$2:$P$62,6,FALSE),"")</f>
        <v/>
      </c>
      <c r="G399" s="360" t="str">
        <f>IFERROR(VLOOKUP(N399,'TABLA-DIA'!$B$2:$P$62,7,FALSE),"")</f>
        <v/>
      </c>
      <c r="H399" s="117" t="str">
        <f>IFERROR(VLOOKUP(N399,'TABLA-DIA'!$B$2:$P$62,10,FALSE),"")</f>
        <v/>
      </c>
      <c r="I399" s="444" t="str">
        <f>IFERROR(VLOOKUP(N399,'TABLA-DIA'!$B$2:$P$62,11,FALSE),"")</f>
        <v/>
      </c>
      <c r="J399" s="440" t="str">
        <f>IFERROR(VLOOKUP(N399,'TABLA-DIA'!$B$2:$P$62,12,FALSE),"")</f>
        <v/>
      </c>
      <c r="K399" s="118" t="str">
        <f>IFERROR(VLOOKUP(N399,'TABLA-DIA'!$B$2:$P$62,13,FALSE),"")</f>
        <v/>
      </c>
      <c r="L399" s="119" t="str">
        <f>IFERROR(IF(VLOOKUP(N399,'TABLA-DIA'!$B$2:$P$62,14,FALSE)="","",VLOOKUP(N399,'TABLA-DIA'!$B$2:$P$62,14,FALSE)),"")</f>
        <v/>
      </c>
      <c r="M399" s="120">
        <f t="shared" si="13"/>
        <v>3</v>
      </c>
      <c r="N399" s="125" t="str">
        <f t="shared" si="14"/>
        <v>CALDERO, CHRILLER Y COMPRESOR-3</v>
      </c>
    </row>
    <row r="400" spans="2:15" ht="67.150000000000006" hidden="1" customHeight="1">
      <c r="B400" s="752"/>
      <c r="C400" s="74" t="str">
        <f>IFERROR(VLOOKUP(N400,'TABLA-DIA'!$B$2:$P$62,9,FALSE),"")</f>
        <v/>
      </c>
      <c r="D400" s="116" t="str">
        <f>IFERROR(VLOOKUP(N400,'TABLA-DIA'!$B$2:$P$62,4,FALSE),"")</f>
        <v/>
      </c>
      <c r="E400" s="332" t="str">
        <f>IFERROR(VLOOKUP(N400,'TABLA-DIA'!$B$2:$P$62,5,FALSE),"")</f>
        <v/>
      </c>
      <c r="F400" s="332" t="str">
        <f>IFERROR(VLOOKUP(N400,'TABLA-DIA'!$B$2:$P$62,6,FALSE),"")</f>
        <v/>
      </c>
      <c r="G400" s="360" t="str">
        <f>IFERROR(VLOOKUP(N400,'TABLA-DIA'!$B$2:$P$62,7,FALSE),"")</f>
        <v/>
      </c>
      <c r="H400" s="117" t="str">
        <f>IFERROR(VLOOKUP(N400,'TABLA-DIA'!$B$2:$P$62,10,FALSE),"")</f>
        <v/>
      </c>
      <c r="I400" s="444" t="str">
        <f>IFERROR(VLOOKUP(N400,'TABLA-DIA'!$B$2:$P$62,11,FALSE),"")</f>
        <v/>
      </c>
      <c r="J400" s="440" t="str">
        <f>IFERROR(VLOOKUP(N400,'TABLA-DIA'!$B$2:$P$62,12,FALSE),"")</f>
        <v/>
      </c>
      <c r="K400" s="118" t="str">
        <f>IFERROR(VLOOKUP(N400,'TABLA-DIA'!$B$2:$P$62,13,FALSE),"")</f>
        <v/>
      </c>
      <c r="L400" s="119" t="str">
        <f>IFERROR(IF(VLOOKUP(N400,'TABLA-DIA'!$B$2:$P$62,14,FALSE)="","",VLOOKUP(N400,'TABLA-DIA'!$B$2:$P$62,14,FALSE)),"")</f>
        <v/>
      </c>
      <c r="M400" s="120">
        <f t="shared" si="13"/>
        <v>4</v>
      </c>
      <c r="N400" s="125" t="str">
        <f t="shared" si="14"/>
        <v>CALDERO, CHRILLER Y COMPRESOR-4</v>
      </c>
    </row>
    <row r="401" spans="2:15" ht="67.150000000000006" hidden="1" customHeight="1">
      <c r="B401" s="752"/>
      <c r="C401" s="74" t="str">
        <f>IFERROR(VLOOKUP(N401,'TABLA-DIA'!$B$2:$P$62,9,FALSE),"")</f>
        <v/>
      </c>
      <c r="D401" s="116" t="str">
        <f>IFERROR(VLOOKUP(N401,'TABLA-DIA'!$B$2:$P$62,4,FALSE),"")</f>
        <v/>
      </c>
      <c r="E401" s="332" t="str">
        <f>IFERROR(VLOOKUP(N401,'TABLA-DIA'!$B$2:$P$62,5,FALSE),"")</f>
        <v/>
      </c>
      <c r="F401" s="332" t="str">
        <f>IFERROR(VLOOKUP(N401,'TABLA-DIA'!$B$2:$P$62,6,FALSE),"")</f>
        <v/>
      </c>
      <c r="G401" s="360" t="str">
        <f>IFERROR(VLOOKUP(N401,'TABLA-DIA'!$B$2:$P$62,7,FALSE),"")</f>
        <v/>
      </c>
      <c r="H401" s="117" t="str">
        <f>IFERROR(VLOOKUP(N401,'TABLA-DIA'!$B$2:$P$62,10,FALSE),"")</f>
        <v/>
      </c>
      <c r="I401" s="444" t="str">
        <f>IFERROR(VLOOKUP(N401,'TABLA-DIA'!$B$2:$P$62,11,FALSE),"")</f>
        <v/>
      </c>
      <c r="J401" s="440" t="str">
        <f>IFERROR(VLOOKUP(N401,'TABLA-DIA'!$B$2:$P$62,12,FALSE),"")</f>
        <v/>
      </c>
      <c r="K401" s="118" t="str">
        <f>IFERROR(VLOOKUP(N401,'TABLA-DIA'!$B$2:$P$62,13,FALSE),"")</f>
        <v/>
      </c>
      <c r="L401" s="119" t="str">
        <f>IFERROR(IF(VLOOKUP(N401,'TABLA-DIA'!$B$2:$P$62,14,FALSE)="","",VLOOKUP(N401,'TABLA-DIA'!$B$2:$P$62,14,FALSE)),"")</f>
        <v/>
      </c>
      <c r="M401" s="120">
        <f t="shared" si="13"/>
        <v>5</v>
      </c>
      <c r="N401" s="125" t="str">
        <f t="shared" si="14"/>
        <v>CALDERO, CHRILLER Y COMPRESOR-5</v>
      </c>
    </row>
    <row r="402" spans="2:15" ht="67.150000000000006" hidden="1" customHeight="1">
      <c r="B402" s="752"/>
      <c r="C402" s="74" t="str">
        <f>IFERROR(VLOOKUP(N402,'TABLA-DIA'!$B$2:$P$62,9,FALSE),"")</f>
        <v/>
      </c>
      <c r="D402" s="116" t="str">
        <f>IFERROR(VLOOKUP(N402,'TABLA-DIA'!$B$2:$P$62,4,FALSE),"")</f>
        <v/>
      </c>
      <c r="E402" s="332" t="str">
        <f>IFERROR(VLOOKUP(N402,'TABLA-DIA'!$B$2:$P$62,5,FALSE),"")</f>
        <v/>
      </c>
      <c r="F402" s="332" t="str">
        <f>IFERROR(VLOOKUP(N402,'TABLA-DIA'!$B$2:$P$62,6,FALSE),"")</f>
        <v/>
      </c>
      <c r="G402" s="360" t="str">
        <f>IFERROR(VLOOKUP(N402,'TABLA-DIA'!$B$2:$P$62,7,FALSE),"")</f>
        <v/>
      </c>
      <c r="H402" s="117" t="str">
        <f>IFERROR(VLOOKUP(N402,'TABLA-DIA'!$B$2:$P$62,10,FALSE),"")</f>
        <v/>
      </c>
      <c r="I402" s="444" t="str">
        <f>IFERROR(VLOOKUP(N402,'TABLA-DIA'!$B$2:$P$62,11,FALSE),"")</f>
        <v/>
      </c>
      <c r="J402" s="440" t="str">
        <f>IFERROR(VLOOKUP(N402,'TABLA-DIA'!$B$2:$P$62,12,FALSE),"")</f>
        <v/>
      </c>
      <c r="K402" s="118" t="str">
        <f>IFERROR(VLOOKUP(N402,'TABLA-DIA'!$B$2:$P$62,13,FALSE),"")</f>
        <v/>
      </c>
      <c r="L402" s="119" t="str">
        <f>IFERROR(IF(VLOOKUP(N402,'TABLA-DIA'!$B$2:$P$62,14,FALSE)="","",VLOOKUP(N402,'TABLA-DIA'!$B$2:$P$62,14,FALSE)),"")</f>
        <v/>
      </c>
      <c r="M402" s="120">
        <f t="shared" si="13"/>
        <v>6</v>
      </c>
      <c r="N402" s="125" t="str">
        <f t="shared" si="14"/>
        <v>CALDERO, CHRILLER Y COMPRESOR-6</v>
      </c>
    </row>
    <row r="403" spans="2:15" ht="67.150000000000006" hidden="1" customHeight="1">
      <c r="B403" s="752"/>
      <c r="C403" s="74" t="str">
        <f>IFERROR(VLOOKUP(N403,'TABLA-DIA'!$B$2:$P$62,9,FALSE),"")</f>
        <v/>
      </c>
      <c r="D403" s="116" t="str">
        <f>IFERROR(VLOOKUP(N403,'TABLA-DIA'!$B$2:$P$62,4,FALSE),"")</f>
        <v/>
      </c>
      <c r="E403" s="332" t="str">
        <f>IFERROR(VLOOKUP(N403,'TABLA-DIA'!$B$2:$P$62,5,FALSE),"")</f>
        <v/>
      </c>
      <c r="F403" s="332" t="str">
        <f>IFERROR(VLOOKUP(N403,'TABLA-DIA'!$B$2:$P$62,6,FALSE),"")</f>
        <v/>
      </c>
      <c r="G403" s="360" t="str">
        <f>IFERROR(VLOOKUP(N403,'TABLA-DIA'!$B$2:$P$62,7,FALSE),"")</f>
        <v/>
      </c>
      <c r="H403" s="117" t="str">
        <f>IFERROR(VLOOKUP(N403,'TABLA-DIA'!$B$2:$P$62,10,FALSE),"")</f>
        <v/>
      </c>
      <c r="I403" s="444" t="str">
        <f>IFERROR(VLOOKUP(N403,'TABLA-DIA'!$B$2:$P$62,11,FALSE),"")</f>
        <v/>
      </c>
      <c r="J403" s="440" t="str">
        <f>IFERROR(VLOOKUP(N403,'TABLA-DIA'!$B$2:$P$62,12,FALSE),"")</f>
        <v/>
      </c>
      <c r="K403" s="118" t="str">
        <f>IFERROR(VLOOKUP(N403,'TABLA-DIA'!$B$2:$P$62,13,FALSE),"")</f>
        <v/>
      </c>
      <c r="L403" s="119" t="str">
        <f>IFERROR(IF(VLOOKUP(N403,'TABLA-DIA'!$B$2:$P$62,14,FALSE)="","",VLOOKUP(N403,'TABLA-DIA'!$B$2:$P$62,14,FALSE)),"")</f>
        <v/>
      </c>
      <c r="M403" s="120">
        <f t="shared" si="13"/>
        <v>7</v>
      </c>
      <c r="N403" s="125" t="str">
        <f t="shared" si="14"/>
        <v>CALDERO, CHRILLER Y COMPRESOR-7</v>
      </c>
    </row>
    <row r="404" spans="2:15" ht="67.150000000000006" hidden="1" customHeight="1">
      <c r="B404" s="752"/>
      <c r="C404" s="74" t="str">
        <f>IFERROR(VLOOKUP(N404,'TABLA-DIA'!$B$2:$P$62,9,FALSE),"")</f>
        <v/>
      </c>
      <c r="D404" s="116" t="str">
        <f>IFERROR(VLOOKUP(N404,'TABLA-DIA'!$B$2:$P$62,4,FALSE),"")</f>
        <v/>
      </c>
      <c r="E404" s="332" t="str">
        <f>IFERROR(VLOOKUP(N404,'TABLA-DIA'!$B$2:$P$62,5,FALSE),"")</f>
        <v/>
      </c>
      <c r="F404" s="332" t="str">
        <f>IFERROR(VLOOKUP(N404,'TABLA-DIA'!$B$2:$P$62,6,FALSE),"")</f>
        <v/>
      </c>
      <c r="G404" s="360" t="str">
        <f>IFERROR(VLOOKUP(N404,'TABLA-DIA'!$B$2:$P$62,7,FALSE),"")</f>
        <v/>
      </c>
      <c r="H404" s="117" t="str">
        <f>IFERROR(VLOOKUP(N404,'TABLA-DIA'!$B$2:$P$62,10,FALSE),"")</f>
        <v/>
      </c>
      <c r="I404" s="444" t="str">
        <f>IFERROR(VLOOKUP(N404,'TABLA-DIA'!$B$2:$P$62,11,FALSE),"")</f>
        <v/>
      </c>
      <c r="J404" s="440" t="str">
        <f>IFERROR(VLOOKUP(N404,'TABLA-DIA'!$B$2:$P$62,12,FALSE),"")</f>
        <v/>
      </c>
      <c r="K404" s="118" t="str">
        <f>IFERROR(VLOOKUP(N404,'TABLA-DIA'!$B$2:$P$62,13,FALSE),"")</f>
        <v/>
      </c>
      <c r="L404" s="119" t="str">
        <f>IFERROR(IF(VLOOKUP(N404,'TABLA-DIA'!$B$2:$P$62,14,FALSE)="","",VLOOKUP(N404,'TABLA-DIA'!$B$2:$P$62,14,FALSE)),"")</f>
        <v/>
      </c>
      <c r="M404" s="120">
        <f t="shared" si="13"/>
        <v>8</v>
      </c>
      <c r="N404" s="125" t="str">
        <f t="shared" si="14"/>
        <v>CALDERO, CHRILLER Y COMPRESOR-8</v>
      </c>
    </row>
    <row r="405" spans="2:15" ht="67.150000000000006" hidden="1" customHeight="1">
      <c r="B405" s="752"/>
      <c r="C405" s="74" t="str">
        <f>IFERROR(VLOOKUP(N405,'TABLA-DIA'!$B$2:$P$62,9,FALSE),"")</f>
        <v/>
      </c>
      <c r="D405" s="116" t="str">
        <f>IFERROR(VLOOKUP(N405,'TABLA-DIA'!$B$2:$P$62,4,FALSE),"")</f>
        <v/>
      </c>
      <c r="E405" s="332" t="str">
        <f>IFERROR(VLOOKUP(N405,'TABLA-DIA'!$B$2:$P$62,5,FALSE),"")</f>
        <v/>
      </c>
      <c r="F405" s="332" t="str">
        <f>IFERROR(VLOOKUP(N405,'TABLA-DIA'!$B$2:$P$62,6,FALSE),"")</f>
        <v/>
      </c>
      <c r="G405" s="360" t="str">
        <f>IFERROR(VLOOKUP(N405,'TABLA-DIA'!$B$2:$P$62,7,FALSE),"")</f>
        <v/>
      </c>
      <c r="H405" s="117" t="str">
        <f>IFERROR(VLOOKUP(N405,'TABLA-DIA'!$B$2:$P$62,10,FALSE),"")</f>
        <v/>
      </c>
      <c r="I405" s="444" t="str">
        <f>IFERROR(VLOOKUP(N405,'TABLA-DIA'!$B$2:$P$62,11,FALSE),"")</f>
        <v/>
      </c>
      <c r="J405" s="440" t="str">
        <f>IFERROR(VLOOKUP(N405,'TABLA-DIA'!$B$2:$P$62,12,FALSE),"")</f>
        <v/>
      </c>
      <c r="K405" s="118" t="str">
        <f>IFERROR(VLOOKUP(N405,'TABLA-DIA'!$B$2:$P$62,13,FALSE),"")</f>
        <v/>
      </c>
      <c r="L405" s="119" t="str">
        <f>IFERROR(IF(VLOOKUP(N405,'TABLA-DIA'!$B$2:$P$62,14,FALSE)="","",VLOOKUP(N405,'TABLA-DIA'!$B$2:$P$62,14,FALSE)),"")</f>
        <v/>
      </c>
      <c r="M405" s="120">
        <f t="shared" si="13"/>
        <v>9</v>
      </c>
      <c r="N405" s="125" t="str">
        <f t="shared" si="14"/>
        <v>CALDERO, CHRILLER Y COMPRESOR-9</v>
      </c>
    </row>
    <row r="406" spans="2:15" ht="67.150000000000006" hidden="1" customHeight="1">
      <c r="B406" s="753"/>
      <c r="C406" s="137" t="str">
        <f>IFERROR(VLOOKUP(N406,'TABLA-DIA'!$B$2:$P$62,9,FALSE),"")</f>
        <v/>
      </c>
      <c r="D406" s="126" t="str">
        <f>IFERROR(VLOOKUP(N406,'TABLA-DIA'!$B$2:$P$62,4,FALSE),"")</f>
        <v/>
      </c>
      <c r="E406" s="334" t="str">
        <f>IFERROR(VLOOKUP(N406,'TABLA-DIA'!$B$2:$P$62,5,FALSE),"")</f>
        <v/>
      </c>
      <c r="F406" s="334" t="str">
        <f>IFERROR(VLOOKUP(N406,'TABLA-DIA'!$B$2:$P$62,6,FALSE),"")</f>
        <v/>
      </c>
      <c r="G406" s="362" t="str">
        <f>IFERROR(VLOOKUP(N406,'TABLA-DIA'!$B$2:$P$62,7,FALSE),"")</f>
        <v/>
      </c>
      <c r="H406" s="127" t="str">
        <f>IFERROR(VLOOKUP(N406,'TABLA-DIA'!$B$2:$P$62,10,FALSE),"")</f>
        <v/>
      </c>
      <c r="I406" s="445" t="str">
        <f>IFERROR(VLOOKUP(N406,'TABLA-DIA'!$B$2:$P$62,11,FALSE),"")</f>
        <v/>
      </c>
      <c r="J406" s="443" t="str">
        <f>IFERROR(VLOOKUP(N406,'TABLA-DIA'!$B$2:$P$62,12,FALSE),"")</f>
        <v/>
      </c>
      <c r="K406" s="128" t="str">
        <f>IFERROR(VLOOKUP(N406,'TABLA-DIA'!$B$2:$P$62,13,FALSE),"")</f>
        <v/>
      </c>
      <c r="L406" s="129" t="str">
        <f>IFERROR(IF(VLOOKUP(N406,'TABLA-DIA'!$B$2:$P$62,14,FALSE)="","",VLOOKUP(N406,'TABLA-DIA'!$B$2:$P$62,14,FALSE)),"")</f>
        <v/>
      </c>
      <c r="M406" s="136">
        <f t="shared" si="13"/>
        <v>10</v>
      </c>
      <c r="N406" s="130" t="str">
        <f t="shared" si="14"/>
        <v>CALDERO, CHRILLER Y COMPRESOR-10</v>
      </c>
    </row>
    <row r="407" spans="2:15" ht="90.75" customHeight="1" thickBot="1">
      <c r="B407" s="751" t="str">
        <f>+'TABLA-DIA'!B161</f>
        <v>BARQUILLERA FRANZ HAAZ</v>
      </c>
      <c r="C407" s="96" t="str">
        <f>IFERROR(VLOOKUP(N407,'TABLA-DIA'!$B$2:$P$62,9,FALSE),"")</f>
        <v/>
      </c>
      <c r="D407" s="121" t="str">
        <f>IFERROR(VLOOKUP(N407,'TABLA-DIA'!$B$2:$P$62,4,FALSE),"")</f>
        <v/>
      </c>
      <c r="E407" s="331" t="str">
        <f>IFERROR(VLOOKUP(N407,'TABLA-DIA'!$B$2:$P$62,5,FALSE),"")</f>
        <v/>
      </c>
      <c r="F407" s="331" t="str">
        <f>IFERROR(VLOOKUP(N407,'TABLA-DIA'!$B$2:$P$62,6,FALSE),"")</f>
        <v/>
      </c>
      <c r="G407" s="359" t="str">
        <f>IFERROR(VLOOKUP(N407,'TABLA-DIA'!$B$2:$P$62,7,FALSE),"")</f>
        <v/>
      </c>
      <c r="H407" s="122" t="str">
        <f>IFERROR(VLOOKUP(N407,'TABLA-DIA'!$B$2:$P$62,10,FALSE),"")</f>
        <v/>
      </c>
      <c r="I407" s="446" t="str">
        <f>IFERROR(VLOOKUP(N407,'TABLA-DIA'!$B$2:$P$62,11,FALSE),"")</f>
        <v/>
      </c>
      <c r="J407" s="442" t="str">
        <f>IFERROR(VLOOKUP(N407,'TABLA-DIA'!$B$2:$P$62,12,FALSE),"")</f>
        <v/>
      </c>
      <c r="K407" s="123" t="str">
        <f>IFERROR(VLOOKUP(N407,'TABLA-DIA'!$B$2:$P$62,13,FALSE),"")</f>
        <v/>
      </c>
      <c r="L407" s="124" t="str">
        <f>IFERROR(IF(VLOOKUP(N407,'TABLA-DIA'!$B$2:$P$62,14,FALSE)="","",VLOOKUP(N407,'TABLA-DIA'!$B$2:$P$62,14,FALSE)),"")</f>
        <v/>
      </c>
      <c r="M407" s="100">
        <v>1</v>
      </c>
      <c r="N407" s="98" t="str">
        <f t="shared" ref="N407:N416" si="15">CONCATENATE($B$407,"-",M407)</f>
        <v>BARQUILLERA FRANZ HAAZ-1</v>
      </c>
      <c r="O407" s="91">
        <f>COUNTIF(G407:G415,"&lt;&gt;**")</f>
        <v>0</v>
      </c>
    </row>
    <row r="408" spans="2:15" ht="67.150000000000006" hidden="1" customHeight="1">
      <c r="B408" s="752"/>
      <c r="C408" s="74" t="str">
        <f>IFERROR(VLOOKUP(N408,'TABLA-DIA'!$B$2:$P$62,9,FALSE),"")</f>
        <v/>
      </c>
      <c r="D408" s="116" t="str">
        <f>IFERROR(VLOOKUP(N408,'TABLA-DIA'!$B$2:$P$62,4,FALSE),"")</f>
        <v/>
      </c>
      <c r="E408" s="332" t="str">
        <f>IFERROR(VLOOKUP(N408,'TABLA-DIA'!$B$2:$P$62,5,FALSE),"")</f>
        <v/>
      </c>
      <c r="F408" s="332" t="str">
        <f>IFERROR(VLOOKUP(N408,'TABLA-DIA'!$B$2:$P$62,6,FALSE),"")</f>
        <v/>
      </c>
      <c r="G408" s="360" t="str">
        <f>IFERROR(VLOOKUP(N408,'TABLA-DIA'!$B$2:$P$62,7,FALSE),"")</f>
        <v/>
      </c>
      <c r="H408" s="117" t="str">
        <f>IFERROR(VLOOKUP(N408,'TABLA-DIA'!$B$2:$P$62,10,FALSE),"")</f>
        <v/>
      </c>
      <c r="I408" s="444" t="str">
        <f>IFERROR(VLOOKUP(N408,'TABLA-DIA'!$B$2:$P$62,11,FALSE),"")</f>
        <v/>
      </c>
      <c r="J408" s="440" t="str">
        <f>IFERROR(VLOOKUP(N408,'TABLA-DIA'!$B$2:$P$62,12,FALSE),"")</f>
        <v/>
      </c>
      <c r="K408" s="118" t="str">
        <f>IFERROR(VLOOKUP(N408,'TABLA-DIA'!$B$2:$P$62,13,FALSE),"")</f>
        <v/>
      </c>
      <c r="L408" s="119" t="str">
        <f>IFERROR(IF(VLOOKUP(N408,'TABLA-DIA'!$B$2:$P$62,14,FALSE)="","",VLOOKUP(N408,'TABLA-DIA'!$B$2:$P$62,14,FALSE)),"")</f>
        <v/>
      </c>
      <c r="M408" s="120">
        <f t="shared" ref="M408:M416" si="16">+M407+1</f>
        <v>2</v>
      </c>
      <c r="N408" s="125" t="str">
        <f t="shared" si="15"/>
        <v>BARQUILLERA FRANZ HAAZ-2</v>
      </c>
    </row>
    <row r="409" spans="2:15" ht="67.150000000000006" hidden="1" customHeight="1">
      <c r="B409" s="752"/>
      <c r="C409" s="74" t="str">
        <f>IFERROR(VLOOKUP(N409,'TABLA-DIA'!$B$2:$P$62,9,FALSE),"")</f>
        <v/>
      </c>
      <c r="D409" s="116" t="str">
        <f>IFERROR(VLOOKUP(N409,'TABLA-DIA'!$B$2:$P$62,4,FALSE),"")</f>
        <v/>
      </c>
      <c r="E409" s="332" t="str">
        <f>IFERROR(VLOOKUP(N409,'TABLA-DIA'!$B$2:$P$62,5,FALSE),"")</f>
        <v/>
      </c>
      <c r="F409" s="332" t="str">
        <f>IFERROR(VLOOKUP(N409,'TABLA-DIA'!$B$2:$P$62,6,FALSE),"")</f>
        <v/>
      </c>
      <c r="G409" s="360" t="str">
        <f>IFERROR(VLOOKUP(N409,'TABLA-DIA'!$B$2:$P$62,7,FALSE),"")</f>
        <v/>
      </c>
      <c r="H409" s="117" t="str">
        <f>IFERROR(VLOOKUP(N409,'TABLA-DIA'!$B$2:$P$62,10,FALSE),"")</f>
        <v/>
      </c>
      <c r="I409" s="444" t="str">
        <f>IFERROR(VLOOKUP(N409,'TABLA-DIA'!$B$2:$P$62,11,FALSE),"")</f>
        <v/>
      </c>
      <c r="J409" s="440" t="str">
        <f>IFERROR(VLOOKUP(N409,'TABLA-DIA'!$B$2:$P$62,12,FALSE),"")</f>
        <v/>
      </c>
      <c r="K409" s="118" t="str">
        <f>IFERROR(VLOOKUP(N409,'TABLA-DIA'!$B$2:$P$62,13,FALSE),"")</f>
        <v/>
      </c>
      <c r="L409" s="119" t="str">
        <f>IFERROR(IF(VLOOKUP(N409,'TABLA-DIA'!$B$2:$P$62,14,FALSE)="","",VLOOKUP(N409,'TABLA-DIA'!$B$2:$P$62,14,FALSE)),"")</f>
        <v/>
      </c>
      <c r="M409" s="120">
        <f t="shared" si="16"/>
        <v>3</v>
      </c>
      <c r="N409" s="125" t="str">
        <f t="shared" si="15"/>
        <v>BARQUILLERA FRANZ HAAZ-3</v>
      </c>
    </row>
    <row r="410" spans="2:15" ht="67.150000000000006" hidden="1" customHeight="1">
      <c r="B410" s="752"/>
      <c r="C410" s="74" t="str">
        <f>IFERROR(VLOOKUP(N410,'TABLA-DIA'!$B$2:$P$62,9,FALSE),"")</f>
        <v/>
      </c>
      <c r="D410" s="116" t="str">
        <f>IFERROR(VLOOKUP(N410,'TABLA-DIA'!$B$2:$P$62,4,FALSE),"")</f>
        <v/>
      </c>
      <c r="E410" s="332" t="str">
        <f>IFERROR(VLOOKUP(N410,'TABLA-DIA'!$B$2:$P$62,5,FALSE),"")</f>
        <v/>
      </c>
      <c r="F410" s="332" t="str">
        <f>IFERROR(VLOOKUP(N410,'TABLA-DIA'!$B$2:$P$62,6,FALSE),"")</f>
        <v/>
      </c>
      <c r="G410" s="360" t="str">
        <f>IFERROR(VLOOKUP(N410,'TABLA-DIA'!$B$2:$P$62,7,FALSE),"")</f>
        <v/>
      </c>
      <c r="H410" s="117" t="str">
        <f>IFERROR(VLOOKUP(N410,'TABLA-DIA'!$B$2:$P$62,10,FALSE),"")</f>
        <v/>
      </c>
      <c r="I410" s="444" t="str">
        <f>IFERROR(VLOOKUP(N410,'TABLA-DIA'!$B$2:$P$62,11,FALSE),"")</f>
        <v/>
      </c>
      <c r="J410" s="440" t="str">
        <f>IFERROR(VLOOKUP(N410,'TABLA-DIA'!$B$2:$P$62,12,FALSE),"")</f>
        <v/>
      </c>
      <c r="K410" s="118" t="str">
        <f>IFERROR(VLOOKUP(N410,'TABLA-DIA'!$B$2:$P$62,13,FALSE),"")</f>
        <v/>
      </c>
      <c r="L410" s="119" t="str">
        <f>IFERROR(IF(VLOOKUP(N410,'TABLA-DIA'!$B$2:$P$62,14,FALSE)="","",VLOOKUP(N410,'TABLA-DIA'!$B$2:$P$62,14,FALSE)),"")</f>
        <v/>
      </c>
      <c r="M410" s="120">
        <f t="shared" si="16"/>
        <v>4</v>
      </c>
      <c r="N410" s="125" t="str">
        <f t="shared" si="15"/>
        <v>BARQUILLERA FRANZ HAAZ-4</v>
      </c>
    </row>
    <row r="411" spans="2:15" ht="67.150000000000006" hidden="1" customHeight="1">
      <c r="B411" s="752"/>
      <c r="C411" s="74" t="str">
        <f>IFERROR(VLOOKUP(N411,'TABLA-DIA'!$B$2:$P$62,9,FALSE),"")</f>
        <v/>
      </c>
      <c r="D411" s="116" t="str">
        <f>IFERROR(VLOOKUP(N411,'TABLA-DIA'!$B$2:$P$62,4,FALSE),"")</f>
        <v/>
      </c>
      <c r="E411" s="332" t="str">
        <f>IFERROR(VLOOKUP(N411,'TABLA-DIA'!$B$2:$P$62,5,FALSE),"")</f>
        <v/>
      </c>
      <c r="F411" s="332" t="str">
        <f>IFERROR(VLOOKUP(N411,'TABLA-DIA'!$B$2:$P$62,6,FALSE),"")</f>
        <v/>
      </c>
      <c r="G411" s="360" t="str">
        <f>IFERROR(VLOOKUP(N411,'TABLA-DIA'!$B$2:$P$62,7,FALSE),"")</f>
        <v/>
      </c>
      <c r="H411" s="117" t="str">
        <f>IFERROR(VLOOKUP(N411,'TABLA-DIA'!$B$2:$P$62,10,FALSE),"")</f>
        <v/>
      </c>
      <c r="I411" s="444" t="str">
        <f>IFERROR(VLOOKUP(N411,'TABLA-DIA'!$B$2:$P$62,11,FALSE),"")</f>
        <v/>
      </c>
      <c r="J411" s="440" t="str">
        <f>IFERROR(VLOOKUP(N411,'TABLA-DIA'!$B$2:$P$62,12,FALSE),"")</f>
        <v/>
      </c>
      <c r="K411" s="118" t="str">
        <f>IFERROR(VLOOKUP(N411,'TABLA-DIA'!$B$2:$P$62,13,FALSE),"")</f>
        <v/>
      </c>
      <c r="L411" s="119" t="str">
        <f>IFERROR(IF(VLOOKUP(N411,'TABLA-DIA'!$B$2:$P$62,14,FALSE)="","",VLOOKUP(N411,'TABLA-DIA'!$B$2:$P$62,14,FALSE)),"")</f>
        <v/>
      </c>
      <c r="M411" s="120">
        <f t="shared" si="16"/>
        <v>5</v>
      </c>
      <c r="N411" s="125" t="str">
        <f t="shared" si="15"/>
        <v>BARQUILLERA FRANZ HAAZ-5</v>
      </c>
    </row>
    <row r="412" spans="2:15" ht="67.150000000000006" hidden="1" customHeight="1">
      <c r="B412" s="752"/>
      <c r="C412" s="74" t="str">
        <f>IFERROR(VLOOKUP(N412,'TABLA-DIA'!$B$2:$P$62,9,FALSE),"")</f>
        <v/>
      </c>
      <c r="D412" s="116" t="str">
        <f>IFERROR(VLOOKUP(N412,'TABLA-DIA'!$B$2:$P$62,4,FALSE),"")</f>
        <v/>
      </c>
      <c r="E412" s="332" t="str">
        <f>IFERROR(VLOOKUP(N412,'TABLA-DIA'!$B$2:$P$62,5,FALSE),"")</f>
        <v/>
      </c>
      <c r="F412" s="332" t="str">
        <f>IFERROR(VLOOKUP(N412,'TABLA-DIA'!$B$2:$P$62,6,FALSE),"")</f>
        <v/>
      </c>
      <c r="G412" s="360" t="str">
        <f>IFERROR(VLOOKUP(N412,'TABLA-DIA'!$B$2:$P$62,7,FALSE),"")</f>
        <v/>
      </c>
      <c r="H412" s="117" t="str">
        <f>IFERROR(VLOOKUP(N412,'TABLA-DIA'!$B$2:$P$62,10,FALSE),"")</f>
        <v/>
      </c>
      <c r="I412" s="444" t="str">
        <f>IFERROR(VLOOKUP(N412,'TABLA-DIA'!$B$2:$P$62,11,FALSE),"")</f>
        <v/>
      </c>
      <c r="J412" s="440" t="str">
        <f>IFERROR(VLOOKUP(N412,'TABLA-DIA'!$B$2:$P$62,12,FALSE),"")</f>
        <v/>
      </c>
      <c r="K412" s="118" t="str">
        <f>IFERROR(VLOOKUP(N412,'TABLA-DIA'!$B$2:$P$62,13,FALSE),"")</f>
        <v/>
      </c>
      <c r="L412" s="119" t="str">
        <f>IFERROR(IF(VLOOKUP(N412,'TABLA-DIA'!$B$2:$P$62,14,FALSE)="","",VLOOKUP(N412,'TABLA-DIA'!$B$2:$P$62,14,FALSE)),"")</f>
        <v/>
      </c>
      <c r="M412" s="120">
        <f t="shared" si="16"/>
        <v>6</v>
      </c>
      <c r="N412" s="125" t="str">
        <f t="shared" si="15"/>
        <v>BARQUILLERA FRANZ HAAZ-6</v>
      </c>
    </row>
    <row r="413" spans="2:15" ht="67.150000000000006" hidden="1" customHeight="1">
      <c r="B413" s="752"/>
      <c r="C413" s="74" t="str">
        <f>IFERROR(VLOOKUP(N413,'TABLA-DIA'!$B$2:$P$62,9,FALSE),"")</f>
        <v/>
      </c>
      <c r="D413" s="116" t="str">
        <f>IFERROR(VLOOKUP(N413,'TABLA-DIA'!$B$2:$P$62,4,FALSE),"")</f>
        <v/>
      </c>
      <c r="E413" s="332" t="str">
        <f>IFERROR(VLOOKUP(N413,'TABLA-DIA'!$B$2:$P$62,5,FALSE),"")</f>
        <v/>
      </c>
      <c r="F413" s="332" t="str">
        <f>IFERROR(VLOOKUP(N413,'TABLA-DIA'!$B$2:$P$62,6,FALSE),"")</f>
        <v/>
      </c>
      <c r="G413" s="360" t="str">
        <f>IFERROR(VLOOKUP(N413,'TABLA-DIA'!$B$2:$P$62,7,FALSE),"")</f>
        <v/>
      </c>
      <c r="H413" s="117" t="str">
        <f>IFERROR(VLOOKUP(N413,'TABLA-DIA'!$B$2:$P$62,10,FALSE),"")</f>
        <v/>
      </c>
      <c r="I413" s="444" t="str">
        <f>IFERROR(VLOOKUP(N413,'TABLA-DIA'!$B$2:$P$62,11,FALSE),"")</f>
        <v/>
      </c>
      <c r="J413" s="440" t="str">
        <f>IFERROR(VLOOKUP(N413,'TABLA-DIA'!$B$2:$P$62,12,FALSE),"")</f>
        <v/>
      </c>
      <c r="K413" s="118" t="str">
        <f>IFERROR(VLOOKUP(N413,'TABLA-DIA'!$B$2:$P$62,13,FALSE),"")</f>
        <v/>
      </c>
      <c r="L413" s="119" t="str">
        <f>IFERROR(IF(VLOOKUP(N413,'TABLA-DIA'!$B$2:$P$62,14,FALSE)="","",VLOOKUP(N413,'TABLA-DIA'!$B$2:$P$62,14,FALSE)),"")</f>
        <v/>
      </c>
      <c r="M413" s="120">
        <f t="shared" si="16"/>
        <v>7</v>
      </c>
      <c r="N413" s="125" t="str">
        <f t="shared" si="15"/>
        <v>BARQUILLERA FRANZ HAAZ-7</v>
      </c>
    </row>
    <row r="414" spans="2:15" ht="67.150000000000006" hidden="1" customHeight="1">
      <c r="B414" s="752"/>
      <c r="C414" s="74" t="str">
        <f>IFERROR(VLOOKUP(N414,'TABLA-DIA'!$B$2:$P$62,9,FALSE),"")</f>
        <v/>
      </c>
      <c r="D414" s="116" t="str">
        <f>IFERROR(VLOOKUP(N414,'TABLA-DIA'!$B$2:$P$62,4,FALSE),"")</f>
        <v/>
      </c>
      <c r="E414" s="332" t="str">
        <f>IFERROR(VLOOKUP(N414,'TABLA-DIA'!$B$2:$P$62,5,FALSE),"")</f>
        <v/>
      </c>
      <c r="F414" s="332" t="str">
        <f>IFERROR(VLOOKUP(N414,'TABLA-DIA'!$B$2:$P$62,6,FALSE),"")</f>
        <v/>
      </c>
      <c r="G414" s="360" t="str">
        <f>IFERROR(VLOOKUP(N414,'TABLA-DIA'!$B$2:$P$62,7,FALSE),"")</f>
        <v/>
      </c>
      <c r="H414" s="117" t="str">
        <f>IFERROR(VLOOKUP(N414,'TABLA-DIA'!$B$2:$P$62,10,FALSE),"")</f>
        <v/>
      </c>
      <c r="I414" s="444" t="str">
        <f>IFERROR(VLOOKUP(N414,'TABLA-DIA'!$B$2:$P$62,11,FALSE),"")</f>
        <v/>
      </c>
      <c r="J414" s="440" t="str">
        <f>IFERROR(VLOOKUP(N414,'TABLA-DIA'!$B$2:$P$62,12,FALSE),"")</f>
        <v/>
      </c>
      <c r="K414" s="118" t="str">
        <f>IFERROR(VLOOKUP(N414,'TABLA-DIA'!$B$2:$P$62,13,FALSE),"")</f>
        <v/>
      </c>
      <c r="L414" s="119" t="str">
        <f>IFERROR(IF(VLOOKUP(N414,'TABLA-DIA'!$B$2:$P$62,14,FALSE)="","",VLOOKUP(N414,'TABLA-DIA'!$B$2:$P$62,14,FALSE)),"")</f>
        <v/>
      </c>
      <c r="M414" s="120">
        <f t="shared" si="16"/>
        <v>8</v>
      </c>
      <c r="N414" s="125" t="str">
        <f t="shared" si="15"/>
        <v>BARQUILLERA FRANZ HAAZ-8</v>
      </c>
    </row>
    <row r="415" spans="2:15" ht="67.150000000000006" hidden="1" customHeight="1">
      <c r="B415" s="752"/>
      <c r="C415" s="74" t="str">
        <f>IFERROR(VLOOKUP(N415,'TABLA-DIA'!$B$2:$P$62,9,FALSE),"")</f>
        <v/>
      </c>
      <c r="D415" s="116" t="str">
        <f>IFERROR(VLOOKUP(N415,'TABLA-DIA'!$B$2:$P$62,4,FALSE),"")</f>
        <v/>
      </c>
      <c r="E415" s="332" t="str">
        <f>IFERROR(VLOOKUP(N415,'TABLA-DIA'!$B$2:$P$62,5,FALSE),"")</f>
        <v/>
      </c>
      <c r="F415" s="332" t="str">
        <f>IFERROR(VLOOKUP(N415,'TABLA-DIA'!$B$2:$P$62,6,FALSE),"")</f>
        <v/>
      </c>
      <c r="G415" s="360" t="str">
        <f>IFERROR(VLOOKUP(N415,'TABLA-DIA'!$B$2:$P$62,7,FALSE),"")</f>
        <v/>
      </c>
      <c r="H415" s="117" t="str">
        <f>IFERROR(VLOOKUP(N415,'TABLA-DIA'!$B$2:$P$62,10,FALSE),"")</f>
        <v/>
      </c>
      <c r="I415" s="444" t="str">
        <f>IFERROR(VLOOKUP(N415,'TABLA-DIA'!$B$2:$P$62,11,FALSE),"")</f>
        <v/>
      </c>
      <c r="J415" s="440" t="str">
        <f>IFERROR(VLOOKUP(N415,'TABLA-DIA'!$B$2:$P$62,12,FALSE),"")</f>
        <v/>
      </c>
      <c r="K415" s="118" t="str">
        <f>IFERROR(VLOOKUP(N415,'TABLA-DIA'!$B$2:$P$62,13,FALSE),"")</f>
        <v/>
      </c>
      <c r="L415" s="119" t="str">
        <f>IFERROR(IF(VLOOKUP(N415,'TABLA-DIA'!$B$2:$P$62,14,FALSE)="","",VLOOKUP(N415,'TABLA-DIA'!$B$2:$P$62,14,FALSE)),"")</f>
        <v/>
      </c>
      <c r="M415" s="120">
        <f t="shared" si="16"/>
        <v>9</v>
      </c>
      <c r="N415" s="125" t="str">
        <f t="shared" si="15"/>
        <v>BARQUILLERA FRANZ HAAZ-9</v>
      </c>
    </row>
    <row r="416" spans="2:15" ht="67.150000000000006" hidden="1" customHeight="1">
      <c r="B416" s="753"/>
      <c r="C416" s="137" t="str">
        <f>IFERROR(VLOOKUP(N416,'TABLA-DIA'!$B$2:$P$62,9,FALSE),"")</f>
        <v/>
      </c>
      <c r="D416" s="126" t="str">
        <f>IFERROR(VLOOKUP(N416,'TABLA-DIA'!$B$2:$P$62,4,FALSE),"")</f>
        <v/>
      </c>
      <c r="E416" s="334" t="str">
        <f>IFERROR(VLOOKUP(N416,'TABLA-DIA'!$B$2:$P$62,5,FALSE),"")</f>
        <v/>
      </c>
      <c r="F416" s="334" t="str">
        <f>IFERROR(VLOOKUP(N416,'TABLA-DIA'!$B$2:$P$62,6,FALSE),"")</f>
        <v/>
      </c>
      <c r="G416" s="362" t="str">
        <f>IFERROR(VLOOKUP(N416,'TABLA-DIA'!$B$2:$P$62,7,FALSE),"")</f>
        <v/>
      </c>
      <c r="H416" s="127" t="str">
        <f>IFERROR(VLOOKUP(N416,'TABLA-DIA'!$B$2:$P$62,10,FALSE),"")</f>
        <v/>
      </c>
      <c r="I416" s="445" t="str">
        <f>IFERROR(VLOOKUP(N416,'TABLA-DIA'!$B$2:$P$62,11,FALSE),"")</f>
        <v/>
      </c>
      <c r="J416" s="443" t="str">
        <f>IFERROR(VLOOKUP(N416,'TABLA-DIA'!$B$2:$P$62,12,FALSE),"")</f>
        <v/>
      </c>
      <c r="K416" s="128" t="str">
        <f>IFERROR(VLOOKUP(N416,'TABLA-DIA'!$B$2:$P$62,13,FALSE),"")</f>
        <v/>
      </c>
      <c r="L416" s="129" t="str">
        <f>IFERROR(IF(VLOOKUP(N416,'TABLA-DIA'!$B$2:$P$62,14,FALSE)="","",VLOOKUP(N416,'TABLA-DIA'!$B$2:$P$62,14,FALSE)),"")</f>
        <v/>
      </c>
      <c r="M416" s="136">
        <f t="shared" si="16"/>
        <v>10</v>
      </c>
      <c r="N416" s="130" t="str">
        <f t="shared" si="15"/>
        <v>BARQUILLERA FRANZ HAAZ-10</v>
      </c>
    </row>
    <row r="417" spans="2:15" ht="126" customHeight="1" thickBot="1">
      <c r="B417" s="751" t="str">
        <f>+'TABLA-DIA'!B162</f>
        <v>RAYOS X 2</v>
      </c>
      <c r="C417" s="96" t="str">
        <f>IFERROR(VLOOKUP(N417,'TABLA-DIA'!$B$2:$P$62,9,FALSE),"")</f>
        <v/>
      </c>
      <c r="D417" s="121" t="str">
        <f>IFERROR(VLOOKUP(N417,'TABLA-DIA'!$B$2:$P$62,4,FALSE),"")</f>
        <v/>
      </c>
      <c r="E417" s="331" t="str">
        <f>IFERROR(VLOOKUP(N417,'TABLA-DIA'!$B$2:$P$62,5,FALSE),"")</f>
        <v/>
      </c>
      <c r="F417" s="331" t="str">
        <f>IFERROR(VLOOKUP(N417,'TABLA-DIA'!$B$2:$P$62,6,FALSE),"")</f>
        <v/>
      </c>
      <c r="G417" s="359" t="str">
        <f>IFERROR(VLOOKUP(N417,'TABLA-DIA'!$B$2:$P$62,7,FALSE),"")</f>
        <v/>
      </c>
      <c r="H417" s="122" t="str">
        <f>IFERROR(VLOOKUP(N417,'TABLA-DIA'!$B$2:$P$62,10,FALSE),"")</f>
        <v/>
      </c>
      <c r="I417" s="446" t="str">
        <f>IFERROR(VLOOKUP(N417,'TABLA-DIA'!$B$2:$P$62,11,FALSE),"")</f>
        <v/>
      </c>
      <c r="J417" s="442" t="str">
        <f>IFERROR(VLOOKUP(N417,'TABLA-DIA'!$B$2:$P$62,12,FALSE),"")</f>
        <v/>
      </c>
      <c r="K417" s="123" t="str">
        <f>IFERROR(VLOOKUP(N417,'TABLA-DIA'!$B$2:$P$62,13,FALSE),"")</f>
        <v/>
      </c>
      <c r="L417" s="124" t="str">
        <f>IFERROR(IF(VLOOKUP(N417,'TABLA-DIA'!$B$2:$P$62,14,FALSE)="","",VLOOKUP(N417,'TABLA-DIA'!$B$2:$P$62,14,FALSE)),"")</f>
        <v/>
      </c>
      <c r="M417" s="100">
        <v>1</v>
      </c>
      <c r="N417" s="98" t="str">
        <f t="shared" ref="N417:N426" si="17">CONCATENATE($B$417,"-",M417)</f>
        <v>RAYOS X 2-1</v>
      </c>
      <c r="O417" s="91">
        <f>COUNTIF(G417:G426,"&lt;&gt;**")</f>
        <v>0</v>
      </c>
    </row>
    <row r="418" spans="2:15" ht="67.150000000000006" hidden="1" customHeight="1">
      <c r="B418" s="752"/>
      <c r="C418" s="74" t="str">
        <f>IFERROR(VLOOKUP(N418,'TABLA-DIA'!$B$2:$P$62,9,FALSE),"")</f>
        <v/>
      </c>
      <c r="D418" s="116" t="str">
        <f>IFERROR(VLOOKUP(N418,'TABLA-DIA'!$B$2:$P$62,4,FALSE),"")</f>
        <v/>
      </c>
      <c r="E418" s="332" t="str">
        <f>IFERROR(VLOOKUP(N418,'TABLA-DIA'!$B$2:$P$62,5,FALSE),"")</f>
        <v/>
      </c>
      <c r="F418" s="332" t="str">
        <f>IFERROR(VLOOKUP(N418,'TABLA-DIA'!$B$2:$P$62,6,FALSE),"")</f>
        <v/>
      </c>
      <c r="G418" s="360" t="str">
        <f>IFERROR(VLOOKUP(N418,'TABLA-DIA'!$B$2:$P$62,7,FALSE),"")</f>
        <v/>
      </c>
      <c r="H418" s="117" t="str">
        <f>IFERROR(VLOOKUP(N418,'TABLA-DIA'!$B$2:$P$62,10,FALSE),"")</f>
        <v/>
      </c>
      <c r="I418" s="444" t="str">
        <f>IFERROR(VLOOKUP(N418,'TABLA-DIA'!$B$2:$P$62,11,FALSE),"")</f>
        <v/>
      </c>
      <c r="J418" s="440" t="str">
        <f>IFERROR(VLOOKUP(N418,'TABLA-DIA'!$B$2:$P$62,12,FALSE),"")</f>
        <v/>
      </c>
      <c r="K418" s="118" t="str">
        <f>IFERROR(VLOOKUP(N418,'TABLA-DIA'!$B$2:$P$62,13,FALSE),"")</f>
        <v/>
      </c>
      <c r="L418" s="119" t="str">
        <f>IFERROR(IF(VLOOKUP(N418,'TABLA-DIA'!$B$2:$P$62,14,FALSE)="","",VLOOKUP(N418,'TABLA-DIA'!$B$2:$P$62,14,FALSE)),"")</f>
        <v/>
      </c>
      <c r="M418" s="120">
        <f t="shared" ref="M418:M426" si="18">+M417+1</f>
        <v>2</v>
      </c>
      <c r="N418" s="125" t="str">
        <f t="shared" si="17"/>
        <v>RAYOS X 2-2</v>
      </c>
    </row>
    <row r="419" spans="2:15" ht="67.150000000000006" hidden="1" customHeight="1">
      <c r="B419" s="752"/>
      <c r="C419" s="74" t="str">
        <f>IFERROR(VLOOKUP(N419,'TABLA-DIA'!$B$2:$P$62,9,FALSE),"")</f>
        <v/>
      </c>
      <c r="D419" s="116" t="str">
        <f>IFERROR(VLOOKUP(N419,'TABLA-DIA'!$B$2:$P$62,4,FALSE),"")</f>
        <v/>
      </c>
      <c r="E419" s="332" t="str">
        <f>IFERROR(VLOOKUP(N419,'TABLA-DIA'!$B$2:$P$62,5,FALSE),"")</f>
        <v/>
      </c>
      <c r="F419" s="332" t="str">
        <f>IFERROR(VLOOKUP(N419,'TABLA-DIA'!$B$2:$P$62,6,FALSE),"")</f>
        <v/>
      </c>
      <c r="G419" s="360" t="str">
        <f>IFERROR(VLOOKUP(N419,'TABLA-DIA'!$B$2:$P$62,7,FALSE),"")</f>
        <v/>
      </c>
      <c r="H419" s="117" t="str">
        <f>IFERROR(VLOOKUP(N419,'TABLA-DIA'!$B$2:$P$62,10,FALSE),"")</f>
        <v/>
      </c>
      <c r="I419" s="444" t="str">
        <f>IFERROR(VLOOKUP(N419,'TABLA-DIA'!$B$2:$P$62,11,FALSE),"")</f>
        <v/>
      </c>
      <c r="J419" s="440" t="str">
        <f>IFERROR(VLOOKUP(N419,'TABLA-DIA'!$B$2:$P$62,12,FALSE),"")</f>
        <v/>
      </c>
      <c r="K419" s="118" t="str">
        <f>IFERROR(VLOOKUP(N419,'TABLA-DIA'!$B$2:$P$62,13,FALSE),"")</f>
        <v/>
      </c>
      <c r="L419" s="119" t="str">
        <f>IFERROR(IF(VLOOKUP(N419,'TABLA-DIA'!$B$2:$P$62,14,FALSE)="","",VLOOKUP(N419,'TABLA-DIA'!$B$2:$P$62,14,FALSE)),"")</f>
        <v/>
      </c>
      <c r="M419" s="120">
        <f t="shared" si="18"/>
        <v>3</v>
      </c>
      <c r="N419" s="125" t="str">
        <f t="shared" si="17"/>
        <v>RAYOS X 2-3</v>
      </c>
    </row>
    <row r="420" spans="2:15" ht="67.150000000000006" hidden="1" customHeight="1">
      <c r="B420" s="752"/>
      <c r="C420" s="74" t="str">
        <f>IFERROR(VLOOKUP(N420,'TABLA-DIA'!$B$2:$P$62,9,FALSE),"")</f>
        <v/>
      </c>
      <c r="D420" s="116" t="str">
        <f>IFERROR(VLOOKUP(N420,'TABLA-DIA'!$B$2:$P$62,4,FALSE),"")</f>
        <v/>
      </c>
      <c r="E420" s="332" t="str">
        <f>IFERROR(VLOOKUP(N420,'TABLA-DIA'!$B$2:$P$62,5,FALSE),"")</f>
        <v/>
      </c>
      <c r="F420" s="332" t="str">
        <f>IFERROR(VLOOKUP(N420,'TABLA-DIA'!$B$2:$P$62,6,FALSE),"")</f>
        <v/>
      </c>
      <c r="G420" s="360" t="str">
        <f>IFERROR(VLOOKUP(N420,'TABLA-DIA'!$B$2:$P$62,7,FALSE),"")</f>
        <v/>
      </c>
      <c r="H420" s="117" t="str">
        <f>IFERROR(VLOOKUP(N420,'TABLA-DIA'!$B$2:$P$62,10,FALSE),"")</f>
        <v/>
      </c>
      <c r="I420" s="444" t="str">
        <f>IFERROR(VLOOKUP(N420,'TABLA-DIA'!$B$2:$P$62,11,FALSE),"")</f>
        <v/>
      </c>
      <c r="J420" s="440" t="str">
        <f>IFERROR(VLOOKUP(N420,'TABLA-DIA'!$B$2:$P$62,12,FALSE),"")</f>
        <v/>
      </c>
      <c r="K420" s="118" t="str">
        <f>IFERROR(VLOOKUP(N420,'TABLA-DIA'!$B$2:$P$62,13,FALSE),"")</f>
        <v/>
      </c>
      <c r="L420" s="119" t="str">
        <f>IFERROR(IF(VLOOKUP(N420,'TABLA-DIA'!$B$2:$P$62,14,FALSE)="","",VLOOKUP(N420,'TABLA-DIA'!$B$2:$P$62,14,FALSE)),"")</f>
        <v/>
      </c>
      <c r="M420" s="120">
        <f t="shared" si="18"/>
        <v>4</v>
      </c>
      <c r="N420" s="125" t="str">
        <f t="shared" si="17"/>
        <v>RAYOS X 2-4</v>
      </c>
    </row>
    <row r="421" spans="2:15" ht="67.150000000000006" hidden="1" customHeight="1">
      <c r="B421" s="752"/>
      <c r="C421" s="74" t="str">
        <f>IFERROR(VLOOKUP(N421,'TABLA-DIA'!$B$2:$P$62,9,FALSE),"")</f>
        <v/>
      </c>
      <c r="D421" s="116" t="str">
        <f>IFERROR(VLOOKUP(N421,'TABLA-DIA'!$B$2:$P$62,4,FALSE),"")</f>
        <v/>
      </c>
      <c r="E421" s="332" t="str">
        <f>IFERROR(VLOOKUP(N421,'TABLA-DIA'!$B$2:$P$62,5,FALSE),"")</f>
        <v/>
      </c>
      <c r="F421" s="332" t="str">
        <f>IFERROR(VLOOKUP(N421,'TABLA-DIA'!$B$2:$P$62,6,FALSE),"")</f>
        <v/>
      </c>
      <c r="G421" s="360" t="str">
        <f>IFERROR(VLOOKUP(N421,'TABLA-DIA'!$B$2:$P$62,7,FALSE),"")</f>
        <v/>
      </c>
      <c r="H421" s="117" t="str">
        <f>IFERROR(VLOOKUP(N421,'TABLA-DIA'!$B$2:$P$62,10,FALSE),"")</f>
        <v/>
      </c>
      <c r="I421" s="444" t="str">
        <f>IFERROR(VLOOKUP(N421,'TABLA-DIA'!$B$2:$P$62,11,FALSE),"")</f>
        <v/>
      </c>
      <c r="J421" s="440" t="str">
        <f>IFERROR(VLOOKUP(N421,'TABLA-DIA'!$B$2:$P$62,12,FALSE),"")</f>
        <v/>
      </c>
      <c r="K421" s="118" t="str">
        <f>IFERROR(VLOOKUP(N421,'TABLA-DIA'!$B$2:$P$62,13,FALSE),"")</f>
        <v/>
      </c>
      <c r="L421" s="119" t="str">
        <f>IFERROR(IF(VLOOKUP(N421,'TABLA-DIA'!$B$2:$P$62,14,FALSE)="","",VLOOKUP(N421,'TABLA-DIA'!$B$2:$P$62,14,FALSE)),"")</f>
        <v/>
      </c>
      <c r="M421" s="120">
        <f t="shared" si="18"/>
        <v>5</v>
      </c>
      <c r="N421" s="125" t="str">
        <f t="shared" si="17"/>
        <v>RAYOS X 2-5</v>
      </c>
    </row>
    <row r="422" spans="2:15" ht="67.150000000000006" hidden="1" customHeight="1">
      <c r="B422" s="752"/>
      <c r="C422" s="74" t="str">
        <f>IFERROR(VLOOKUP(N422,'TABLA-DIA'!$B$2:$P$62,9,FALSE),"")</f>
        <v/>
      </c>
      <c r="D422" s="116" t="str">
        <f>IFERROR(VLOOKUP(N422,'TABLA-DIA'!$B$2:$P$62,4,FALSE),"")</f>
        <v/>
      </c>
      <c r="E422" s="332" t="str">
        <f>IFERROR(VLOOKUP(N422,'TABLA-DIA'!$B$2:$P$62,5,FALSE),"")</f>
        <v/>
      </c>
      <c r="F422" s="332" t="str">
        <f>IFERROR(VLOOKUP(N422,'TABLA-DIA'!$B$2:$P$62,6,FALSE),"")</f>
        <v/>
      </c>
      <c r="G422" s="360" t="str">
        <f>IFERROR(VLOOKUP(N422,'TABLA-DIA'!$B$2:$P$62,7,FALSE),"")</f>
        <v/>
      </c>
      <c r="H422" s="117" t="str">
        <f>IFERROR(VLOOKUP(N422,'TABLA-DIA'!$B$2:$P$62,10,FALSE),"")</f>
        <v/>
      </c>
      <c r="I422" s="444" t="str">
        <f>IFERROR(VLOOKUP(N422,'TABLA-DIA'!$B$2:$P$62,11,FALSE),"")</f>
        <v/>
      </c>
      <c r="J422" s="440" t="str">
        <f>IFERROR(VLOOKUP(N422,'TABLA-DIA'!$B$2:$P$62,12,FALSE),"")</f>
        <v/>
      </c>
      <c r="K422" s="118" t="str">
        <f>IFERROR(VLOOKUP(N422,'TABLA-DIA'!$B$2:$P$62,13,FALSE),"")</f>
        <v/>
      </c>
      <c r="L422" s="119" t="str">
        <f>IFERROR(IF(VLOOKUP(N422,'TABLA-DIA'!$B$2:$P$62,14,FALSE)="","",VLOOKUP(N422,'TABLA-DIA'!$B$2:$P$62,14,FALSE)),"")</f>
        <v/>
      </c>
      <c r="M422" s="120">
        <f t="shared" si="18"/>
        <v>6</v>
      </c>
      <c r="N422" s="125" t="str">
        <f t="shared" si="17"/>
        <v>RAYOS X 2-6</v>
      </c>
    </row>
    <row r="423" spans="2:15" ht="67.150000000000006" hidden="1" customHeight="1">
      <c r="B423" s="752"/>
      <c r="C423" s="74" t="str">
        <f>IFERROR(VLOOKUP(N423,'TABLA-DIA'!$B$2:$P$62,9,FALSE),"")</f>
        <v/>
      </c>
      <c r="D423" s="116" t="str">
        <f>IFERROR(VLOOKUP(N423,'TABLA-DIA'!$B$2:$P$62,4,FALSE),"")</f>
        <v/>
      </c>
      <c r="E423" s="332" t="str">
        <f>IFERROR(VLOOKUP(N423,'TABLA-DIA'!$B$2:$P$62,5,FALSE),"")</f>
        <v/>
      </c>
      <c r="F423" s="332" t="str">
        <f>IFERROR(VLOOKUP(N423,'TABLA-DIA'!$B$2:$P$62,6,FALSE),"")</f>
        <v/>
      </c>
      <c r="G423" s="360" t="str">
        <f>IFERROR(VLOOKUP(N423,'TABLA-DIA'!$B$2:$P$62,7,FALSE),"")</f>
        <v/>
      </c>
      <c r="H423" s="117" t="str">
        <f>IFERROR(VLOOKUP(N423,'TABLA-DIA'!$B$2:$P$62,10,FALSE),"")</f>
        <v/>
      </c>
      <c r="I423" s="444" t="str">
        <f>IFERROR(VLOOKUP(N423,'TABLA-DIA'!$B$2:$P$62,11,FALSE),"")</f>
        <v/>
      </c>
      <c r="J423" s="440" t="str">
        <f>IFERROR(VLOOKUP(N423,'TABLA-DIA'!$B$2:$P$62,12,FALSE),"")</f>
        <v/>
      </c>
      <c r="K423" s="118" t="str">
        <f>IFERROR(VLOOKUP(N423,'TABLA-DIA'!$B$2:$P$62,13,FALSE),"")</f>
        <v/>
      </c>
      <c r="L423" s="119" t="str">
        <f>IFERROR(IF(VLOOKUP(N423,'TABLA-DIA'!$B$2:$P$62,14,FALSE)="","",VLOOKUP(N423,'TABLA-DIA'!$B$2:$P$62,14,FALSE)),"")</f>
        <v/>
      </c>
      <c r="M423" s="120">
        <f t="shared" si="18"/>
        <v>7</v>
      </c>
      <c r="N423" s="125" t="str">
        <f t="shared" si="17"/>
        <v>RAYOS X 2-7</v>
      </c>
    </row>
    <row r="424" spans="2:15" ht="67.150000000000006" hidden="1" customHeight="1">
      <c r="B424" s="752"/>
      <c r="C424" s="74" t="str">
        <f>IFERROR(VLOOKUP(N424,'TABLA-DIA'!$B$2:$P$62,9,FALSE),"")</f>
        <v/>
      </c>
      <c r="D424" s="116" t="str">
        <f>IFERROR(VLOOKUP(N424,'TABLA-DIA'!$B$2:$P$62,4,FALSE),"")</f>
        <v/>
      </c>
      <c r="E424" s="332" t="str">
        <f>IFERROR(VLOOKUP(N424,'TABLA-DIA'!$B$2:$P$62,5,FALSE),"")</f>
        <v/>
      </c>
      <c r="F424" s="332" t="str">
        <f>IFERROR(VLOOKUP(N424,'TABLA-DIA'!$B$2:$P$62,6,FALSE),"")</f>
        <v/>
      </c>
      <c r="G424" s="360" t="str">
        <f>IFERROR(VLOOKUP(N424,'TABLA-DIA'!$B$2:$P$62,7,FALSE),"")</f>
        <v/>
      </c>
      <c r="H424" s="117" t="str">
        <f>IFERROR(VLOOKUP(N424,'TABLA-DIA'!$B$2:$P$62,10,FALSE),"")</f>
        <v/>
      </c>
      <c r="I424" s="444" t="str">
        <f>IFERROR(VLOOKUP(N424,'TABLA-DIA'!$B$2:$P$62,11,FALSE),"")</f>
        <v/>
      </c>
      <c r="J424" s="440" t="str">
        <f>IFERROR(VLOOKUP(N424,'TABLA-DIA'!$B$2:$P$62,12,FALSE),"")</f>
        <v/>
      </c>
      <c r="K424" s="118" t="str">
        <f>IFERROR(VLOOKUP(N424,'TABLA-DIA'!$B$2:$P$62,13,FALSE),"")</f>
        <v/>
      </c>
      <c r="L424" s="119" t="str">
        <f>IFERROR(IF(VLOOKUP(N424,'TABLA-DIA'!$B$2:$P$62,14,FALSE)="","",VLOOKUP(N424,'TABLA-DIA'!$B$2:$P$62,14,FALSE)),"")</f>
        <v/>
      </c>
      <c r="M424" s="120">
        <f t="shared" si="18"/>
        <v>8</v>
      </c>
      <c r="N424" s="125" t="str">
        <f t="shared" si="17"/>
        <v>RAYOS X 2-8</v>
      </c>
    </row>
    <row r="425" spans="2:15" ht="67.150000000000006" hidden="1" customHeight="1">
      <c r="B425" s="752"/>
      <c r="C425" s="74" t="str">
        <f>IFERROR(VLOOKUP(N425,'TABLA-DIA'!$B$2:$P$62,9,FALSE),"")</f>
        <v/>
      </c>
      <c r="D425" s="116" t="str">
        <f>IFERROR(VLOOKUP(N425,'TABLA-DIA'!$B$2:$P$62,4,FALSE),"")</f>
        <v/>
      </c>
      <c r="E425" s="332" t="str">
        <f>IFERROR(VLOOKUP(N425,'TABLA-DIA'!$B$2:$P$62,5,FALSE),"")</f>
        <v/>
      </c>
      <c r="F425" s="332" t="str">
        <f>IFERROR(VLOOKUP(N425,'TABLA-DIA'!$B$2:$P$62,6,FALSE),"")</f>
        <v/>
      </c>
      <c r="G425" s="360" t="str">
        <f>IFERROR(VLOOKUP(N425,'TABLA-DIA'!$B$2:$P$62,7,FALSE),"")</f>
        <v/>
      </c>
      <c r="H425" s="117" t="str">
        <f>IFERROR(VLOOKUP(N425,'TABLA-DIA'!$B$2:$P$62,10,FALSE),"")</f>
        <v/>
      </c>
      <c r="I425" s="444" t="str">
        <f>IFERROR(VLOOKUP(N425,'TABLA-DIA'!$B$2:$P$62,11,FALSE),"")</f>
        <v/>
      </c>
      <c r="J425" s="440" t="str">
        <f>IFERROR(VLOOKUP(N425,'TABLA-DIA'!$B$2:$P$62,12,FALSE),"")</f>
        <v/>
      </c>
      <c r="K425" s="118" t="str">
        <f>IFERROR(VLOOKUP(N425,'TABLA-DIA'!$B$2:$P$62,13,FALSE),"")</f>
        <v/>
      </c>
      <c r="L425" s="119" t="str">
        <f>IFERROR(IF(VLOOKUP(N425,'TABLA-DIA'!$B$2:$P$62,14,FALSE)="","",VLOOKUP(N425,'TABLA-DIA'!$B$2:$P$62,14,FALSE)),"")</f>
        <v/>
      </c>
      <c r="M425" s="120">
        <f t="shared" si="18"/>
        <v>9</v>
      </c>
      <c r="N425" s="125" t="str">
        <f t="shared" si="17"/>
        <v>RAYOS X 2-9</v>
      </c>
    </row>
    <row r="426" spans="2:15" ht="67.150000000000006" hidden="1" customHeight="1">
      <c r="B426" s="753"/>
      <c r="C426" s="137" t="str">
        <f>IFERROR(VLOOKUP(N426,'TABLA-DIA'!$B$2:$P$62,9,FALSE),"")</f>
        <v/>
      </c>
      <c r="D426" s="126" t="str">
        <f>IFERROR(VLOOKUP(N426,'TABLA-DIA'!$B$2:$P$62,4,FALSE),"")</f>
        <v/>
      </c>
      <c r="E426" s="334" t="str">
        <f>IFERROR(VLOOKUP(N426,'TABLA-DIA'!$B$2:$P$62,5,FALSE),"")</f>
        <v/>
      </c>
      <c r="F426" s="334" t="str">
        <f>IFERROR(VLOOKUP(N426,'TABLA-DIA'!$B$2:$P$62,6,FALSE),"")</f>
        <v/>
      </c>
      <c r="G426" s="362" t="str">
        <f>IFERROR(VLOOKUP(N426,'TABLA-DIA'!$B$2:$P$62,7,FALSE),"")</f>
        <v/>
      </c>
      <c r="H426" s="127" t="str">
        <f>IFERROR(VLOOKUP(N426,'TABLA-DIA'!$B$2:$P$62,10,FALSE),"")</f>
        <v/>
      </c>
      <c r="I426" s="445" t="str">
        <f>IFERROR(VLOOKUP(N426,'TABLA-DIA'!$B$2:$P$62,11,FALSE),"")</f>
        <v/>
      </c>
      <c r="J426" s="443" t="str">
        <f>IFERROR(VLOOKUP(N426,'TABLA-DIA'!$B$2:$P$62,12,FALSE),"")</f>
        <v/>
      </c>
      <c r="K426" s="128" t="str">
        <f>IFERROR(VLOOKUP(N426,'TABLA-DIA'!$B$2:$P$62,13,FALSE),"")</f>
        <v/>
      </c>
      <c r="L426" s="129" t="str">
        <f>IFERROR(IF(VLOOKUP(N426,'TABLA-DIA'!$B$2:$P$62,14,FALSE)="","",VLOOKUP(N426,'TABLA-DIA'!$B$2:$P$62,14,FALSE)),"")</f>
        <v/>
      </c>
      <c r="M426" s="136">
        <f t="shared" si="18"/>
        <v>10</v>
      </c>
      <c r="N426" s="130" t="str">
        <f t="shared" si="17"/>
        <v>RAYOS X 2-10</v>
      </c>
    </row>
    <row r="427" spans="2:15" ht="129" customHeight="1" thickBot="1">
      <c r="B427" s="751" t="str">
        <f>+'TABLA-DIA'!B163</f>
        <v>Total general</v>
      </c>
      <c r="C427" s="96" t="str">
        <f>IFERROR(VLOOKUP(N427,'TABLA-DIA'!$B$2:$P$62,9,FALSE),"")</f>
        <v/>
      </c>
      <c r="D427" s="121" t="str">
        <f>IFERROR(VLOOKUP(N427,'TABLA-DIA'!$B$2:$P$62,4,FALSE),"")</f>
        <v/>
      </c>
      <c r="E427" s="331" t="str">
        <f>IFERROR(VLOOKUP(N427,'TABLA-DIA'!$B$2:$P$62,5,FALSE),"")</f>
        <v/>
      </c>
      <c r="F427" s="331" t="str">
        <f>IFERROR(VLOOKUP(N427,'TABLA-DIA'!$B$2:$P$62,6,FALSE),"")</f>
        <v/>
      </c>
      <c r="G427" s="359" t="str">
        <f>IFERROR(VLOOKUP(N427,'TABLA-DIA'!$B$2:$P$62,7,FALSE),"")</f>
        <v/>
      </c>
      <c r="H427" s="122" t="str">
        <f>IFERROR(VLOOKUP(N427,'TABLA-DIA'!$B$2:$P$62,10,FALSE),"")</f>
        <v/>
      </c>
      <c r="I427" s="446" t="str">
        <f>IFERROR(VLOOKUP(N427,'TABLA-DIA'!$B$2:$P$62,11,FALSE),"")</f>
        <v/>
      </c>
      <c r="J427" s="442" t="str">
        <f>IFERROR(VLOOKUP(N427,'TABLA-DIA'!$B$2:$P$62,12,FALSE),"")</f>
        <v/>
      </c>
      <c r="K427" s="123" t="str">
        <f>IFERROR(VLOOKUP(N427,'TABLA-DIA'!$B$2:$P$62,13,FALSE),"")</f>
        <v/>
      </c>
      <c r="L427" s="124" t="str">
        <f>IFERROR(IF(VLOOKUP(N427,'TABLA-DIA'!$B$2:$P$62,14,FALSE)="","",VLOOKUP(N427,'TABLA-DIA'!$B$2:$P$62,14,FALSE)),"")</f>
        <v/>
      </c>
      <c r="M427" s="100">
        <v>1</v>
      </c>
      <c r="N427" s="98" t="str">
        <f t="shared" ref="N427:N436" si="19">CONCATENATE($B$427,"-",M427)</f>
        <v>Total general-1</v>
      </c>
      <c r="O427" s="91">
        <f>COUNTIF(G427:G436,"&lt;&gt;**")</f>
        <v>0</v>
      </c>
    </row>
    <row r="428" spans="2:15" ht="67.150000000000006" hidden="1" customHeight="1">
      <c r="B428" s="752"/>
      <c r="C428" s="74" t="str">
        <f>IFERROR(VLOOKUP(N428,'TABLA-DIA'!$B$2:$P$62,9,FALSE),"")</f>
        <v/>
      </c>
      <c r="D428" s="116" t="str">
        <f>IFERROR(VLOOKUP(N428,'TABLA-DIA'!$B$2:$P$62,4,FALSE),"")</f>
        <v/>
      </c>
      <c r="E428" s="332" t="str">
        <f>IFERROR(VLOOKUP(N428,'TABLA-DIA'!$B$2:$P$62,5,FALSE),"")</f>
        <v/>
      </c>
      <c r="F428" s="332" t="str">
        <f>IFERROR(VLOOKUP(N428,'TABLA-DIA'!$B$2:$P$62,6,FALSE),"")</f>
        <v/>
      </c>
      <c r="G428" s="360" t="str">
        <f>IFERROR(VLOOKUP(N428,'TABLA-DIA'!$B$2:$P$62,7,FALSE),"")</f>
        <v/>
      </c>
      <c r="H428" s="117" t="str">
        <f>IFERROR(VLOOKUP(N428,'TABLA-DIA'!$B$2:$P$62,10,FALSE),"")</f>
        <v/>
      </c>
      <c r="I428" s="444" t="str">
        <f>IFERROR(VLOOKUP(N428,'TABLA-DIA'!$B$2:$P$62,11,FALSE),"")</f>
        <v/>
      </c>
      <c r="J428" s="440" t="str">
        <f>IFERROR(VLOOKUP(N428,'TABLA-DIA'!$B$2:$P$62,12,FALSE),"")</f>
        <v/>
      </c>
      <c r="K428" s="118" t="str">
        <f>IFERROR(VLOOKUP(N428,'TABLA-DIA'!$B$2:$P$62,13,FALSE),"")</f>
        <v/>
      </c>
      <c r="L428" s="119" t="str">
        <f>IFERROR(IF(VLOOKUP(N428,'TABLA-DIA'!$B$2:$P$62,14,FALSE)="","",VLOOKUP(N428,'TABLA-DIA'!$B$2:$P$62,14,FALSE)),"")</f>
        <v/>
      </c>
      <c r="M428" s="120">
        <f t="shared" ref="M428:M436" si="20">+M427+1</f>
        <v>2</v>
      </c>
      <c r="N428" s="125" t="str">
        <f t="shared" si="19"/>
        <v>Total general-2</v>
      </c>
    </row>
    <row r="429" spans="2:15" ht="67.150000000000006" hidden="1" customHeight="1">
      <c r="B429" s="752"/>
      <c r="C429" s="74" t="str">
        <f>IFERROR(VLOOKUP(N429,'TABLA-DIA'!$B$2:$P$62,9,FALSE),"")</f>
        <v/>
      </c>
      <c r="D429" s="116" t="str">
        <f>IFERROR(VLOOKUP(N429,'TABLA-DIA'!$B$2:$P$62,4,FALSE),"")</f>
        <v/>
      </c>
      <c r="E429" s="332" t="str">
        <f>IFERROR(VLOOKUP(N429,'TABLA-DIA'!$B$2:$P$62,5,FALSE),"")</f>
        <v/>
      </c>
      <c r="F429" s="332" t="str">
        <f>IFERROR(VLOOKUP(N429,'TABLA-DIA'!$B$2:$P$62,6,FALSE),"")</f>
        <v/>
      </c>
      <c r="G429" s="360" t="str">
        <f>IFERROR(VLOOKUP(N429,'TABLA-DIA'!$B$2:$P$62,7,FALSE),"")</f>
        <v/>
      </c>
      <c r="H429" s="117" t="str">
        <f>IFERROR(VLOOKUP(N429,'TABLA-DIA'!$B$2:$P$62,10,FALSE),"")</f>
        <v/>
      </c>
      <c r="I429" s="444" t="str">
        <f>IFERROR(VLOOKUP(N429,'TABLA-DIA'!$B$2:$P$62,11,FALSE),"")</f>
        <v/>
      </c>
      <c r="J429" s="440" t="str">
        <f>IFERROR(VLOOKUP(N429,'TABLA-DIA'!$B$2:$P$62,12,FALSE),"")</f>
        <v/>
      </c>
      <c r="K429" s="118" t="str">
        <f>IFERROR(VLOOKUP(N429,'TABLA-DIA'!$B$2:$P$62,13,FALSE),"")</f>
        <v/>
      </c>
      <c r="L429" s="119" t="str">
        <f>IFERROR(IF(VLOOKUP(N429,'TABLA-DIA'!$B$2:$P$62,14,FALSE)="","",VLOOKUP(N429,'TABLA-DIA'!$B$2:$P$62,14,FALSE)),"")</f>
        <v/>
      </c>
      <c r="M429" s="120">
        <f t="shared" si="20"/>
        <v>3</v>
      </c>
      <c r="N429" s="125" t="str">
        <f t="shared" si="19"/>
        <v>Total general-3</v>
      </c>
    </row>
    <row r="430" spans="2:15" ht="67.150000000000006" hidden="1" customHeight="1">
      <c r="B430" s="752"/>
      <c r="C430" s="74" t="str">
        <f>IFERROR(VLOOKUP(N430,'TABLA-DIA'!$B$2:$P$62,9,FALSE),"")</f>
        <v/>
      </c>
      <c r="D430" s="116" t="str">
        <f>IFERROR(VLOOKUP(N430,'TABLA-DIA'!$B$2:$P$62,4,FALSE),"")</f>
        <v/>
      </c>
      <c r="E430" s="332" t="str">
        <f>IFERROR(VLOOKUP(N430,'TABLA-DIA'!$B$2:$P$62,5,FALSE),"")</f>
        <v/>
      </c>
      <c r="F430" s="332" t="str">
        <f>IFERROR(VLOOKUP(N430,'TABLA-DIA'!$B$2:$P$62,6,FALSE),"")</f>
        <v/>
      </c>
      <c r="G430" s="360" t="str">
        <f>IFERROR(VLOOKUP(N430,'TABLA-DIA'!$B$2:$P$62,7,FALSE),"")</f>
        <v/>
      </c>
      <c r="H430" s="117" t="str">
        <f>IFERROR(VLOOKUP(N430,'TABLA-DIA'!$B$2:$P$62,10,FALSE),"")</f>
        <v/>
      </c>
      <c r="I430" s="444" t="str">
        <f>IFERROR(VLOOKUP(N430,'TABLA-DIA'!$B$2:$P$62,11,FALSE),"")</f>
        <v/>
      </c>
      <c r="J430" s="440" t="str">
        <f>IFERROR(VLOOKUP(N430,'TABLA-DIA'!$B$2:$P$62,12,FALSE),"")</f>
        <v/>
      </c>
      <c r="K430" s="118" t="str">
        <f>IFERROR(VLOOKUP(N430,'TABLA-DIA'!$B$2:$P$62,13,FALSE),"")</f>
        <v/>
      </c>
      <c r="L430" s="119" t="str">
        <f>IFERROR(IF(VLOOKUP(N430,'TABLA-DIA'!$B$2:$P$62,14,FALSE)="","",VLOOKUP(N430,'TABLA-DIA'!$B$2:$P$62,14,FALSE)),"")</f>
        <v/>
      </c>
      <c r="M430" s="120">
        <f t="shared" si="20"/>
        <v>4</v>
      </c>
      <c r="N430" s="125" t="str">
        <f t="shared" si="19"/>
        <v>Total general-4</v>
      </c>
    </row>
    <row r="431" spans="2:15" ht="67.150000000000006" hidden="1" customHeight="1">
      <c r="B431" s="752"/>
      <c r="C431" s="74" t="str">
        <f>IFERROR(VLOOKUP(N431,'TABLA-DIA'!$B$2:$P$62,9,FALSE),"")</f>
        <v/>
      </c>
      <c r="D431" s="116" t="str">
        <f>IFERROR(VLOOKUP(N431,'TABLA-DIA'!$B$2:$P$62,4,FALSE),"")</f>
        <v/>
      </c>
      <c r="E431" s="332" t="str">
        <f>IFERROR(VLOOKUP(N431,'TABLA-DIA'!$B$2:$P$62,5,FALSE),"")</f>
        <v/>
      </c>
      <c r="F431" s="332" t="str">
        <f>IFERROR(VLOOKUP(N431,'TABLA-DIA'!$B$2:$P$62,6,FALSE),"")</f>
        <v/>
      </c>
      <c r="G431" s="360" t="str">
        <f>IFERROR(VLOOKUP(N431,'TABLA-DIA'!$B$2:$P$62,7,FALSE),"")</f>
        <v/>
      </c>
      <c r="H431" s="117" t="str">
        <f>IFERROR(VLOOKUP(N431,'TABLA-DIA'!$B$2:$P$62,10,FALSE),"")</f>
        <v/>
      </c>
      <c r="I431" s="444" t="str">
        <f>IFERROR(VLOOKUP(N431,'TABLA-DIA'!$B$2:$P$62,11,FALSE),"")</f>
        <v/>
      </c>
      <c r="J431" s="440" t="str">
        <f>IFERROR(VLOOKUP(N431,'TABLA-DIA'!$B$2:$P$62,12,FALSE),"")</f>
        <v/>
      </c>
      <c r="K431" s="118" t="str">
        <f>IFERROR(VLOOKUP(N431,'TABLA-DIA'!$B$2:$P$62,13,FALSE),"")</f>
        <v/>
      </c>
      <c r="L431" s="119" t="str">
        <f>IFERROR(IF(VLOOKUP(N431,'TABLA-DIA'!$B$2:$P$62,14,FALSE)="","",VLOOKUP(N431,'TABLA-DIA'!$B$2:$P$62,14,FALSE)),"")</f>
        <v/>
      </c>
      <c r="M431" s="120">
        <f t="shared" si="20"/>
        <v>5</v>
      </c>
      <c r="N431" s="125" t="str">
        <f t="shared" si="19"/>
        <v>Total general-5</v>
      </c>
    </row>
    <row r="432" spans="2:15" ht="67.150000000000006" hidden="1" customHeight="1">
      <c r="B432" s="752"/>
      <c r="C432" s="74" t="str">
        <f>IFERROR(VLOOKUP(N432,'TABLA-DIA'!$B$2:$P$62,9,FALSE),"")</f>
        <v/>
      </c>
      <c r="D432" s="116" t="str">
        <f>IFERROR(VLOOKUP(N432,'TABLA-DIA'!$B$2:$P$62,4,FALSE),"")</f>
        <v/>
      </c>
      <c r="E432" s="332" t="str">
        <f>IFERROR(VLOOKUP(N432,'TABLA-DIA'!$B$2:$P$62,5,FALSE),"")</f>
        <v/>
      </c>
      <c r="F432" s="332" t="str">
        <f>IFERROR(VLOOKUP(N432,'TABLA-DIA'!$B$2:$P$62,6,FALSE),"")</f>
        <v/>
      </c>
      <c r="G432" s="360" t="str">
        <f>IFERROR(VLOOKUP(N432,'TABLA-DIA'!$B$2:$P$62,7,FALSE),"")</f>
        <v/>
      </c>
      <c r="H432" s="117" t="str">
        <f>IFERROR(VLOOKUP(N432,'TABLA-DIA'!$B$2:$P$62,10,FALSE),"")</f>
        <v/>
      </c>
      <c r="I432" s="444" t="str">
        <f>IFERROR(VLOOKUP(N432,'TABLA-DIA'!$B$2:$P$62,11,FALSE),"")</f>
        <v/>
      </c>
      <c r="J432" s="440" t="str">
        <f>IFERROR(VLOOKUP(N432,'TABLA-DIA'!$B$2:$P$62,12,FALSE),"")</f>
        <v/>
      </c>
      <c r="K432" s="118" t="str">
        <f>IFERROR(VLOOKUP(N432,'TABLA-DIA'!$B$2:$P$62,13,FALSE),"")</f>
        <v/>
      </c>
      <c r="L432" s="119" t="str">
        <f>IFERROR(IF(VLOOKUP(N432,'TABLA-DIA'!$B$2:$P$62,14,FALSE)="","",VLOOKUP(N432,'TABLA-DIA'!$B$2:$P$62,14,FALSE)),"")</f>
        <v/>
      </c>
      <c r="M432" s="120">
        <f t="shared" si="20"/>
        <v>6</v>
      </c>
      <c r="N432" s="125" t="str">
        <f t="shared" si="19"/>
        <v>Total general-6</v>
      </c>
    </row>
    <row r="433" spans="2:15" ht="67.150000000000006" hidden="1" customHeight="1">
      <c r="B433" s="752"/>
      <c r="C433" s="74" t="str">
        <f>IFERROR(VLOOKUP(N433,'TABLA-DIA'!$B$2:$P$62,9,FALSE),"")</f>
        <v/>
      </c>
      <c r="D433" s="116" t="str">
        <f>IFERROR(VLOOKUP(N433,'TABLA-DIA'!$B$2:$P$62,4,FALSE),"")</f>
        <v/>
      </c>
      <c r="E433" s="332" t="str">
        <f>IFERROR(VLOOKUP(N433,'TABLA-DIA'!$B$2:$P$62,5,FALSE),"")</f>
        <v/>
      </c>
      <c r="F433" s="332" t="str">
        <f>IFERROR(VLOOKUP(N433,'TABLA-DIA'!$B$2:$P$62,6,FALSE),"")</f>
        <v/>
      </c>
      <c r="G433" s="360" t="str">
        <f>IFERROR(VLOOKUP(N433,'TABLA-DIA'!$B$2:$P$62,7,FALSE),"")</f>
        <v/>
      </c>
      <c r="H433" s="117" t="str">
        <f>IFERROR(VLOOKUP(N433,'TABLA-DIA'!$B$2:$P$62,10,FALSE),"")</f>
        <v/>
      </c>
      <c r="I433" s="444" t="str">
        <f>IFERROR(VLOOKUP(N433,'TABLA-DIA'!$B$2:$P$62,11,FALSE),"")</f>
        <v/>
      </c>
      <c r="J433" s="440" t="str">
        <f>IFERROR(VLOOKUP(N433,'TABLA-DIA'!$B$2:$P$62,12,FALSE),"")</f>
        <v/>
      </c>
      <c r="K433" s="118" t="str">
        <f>IFERROR(VLOOKUP(N433,'TABLA-DIA'!$B$2:$P$62,13,FALSE),"")</f>
        <v/>
      </c>
      <c r="L433" s="119" t="str">
        <f>IFERROR(IF(VLOOKUP(N433,'TABLA-DIA'!$B$2:$P$62,14,FALSE)="","",VLOOKUP(N433,'TABLA-DIA'!$B$2:$P$62,14,FALSE)),"")</f>
        <v/>
      </c>
      <c r="M433" s="120">
        <f t="shared" si="20"/>
        <v>7</v>
      </c>
      <c r="N433" s="125" t="str">
        <f t="shared" si="19"/>
        <v>Total general-7</v>
      </c>
    </row>
    <row r="434" spans="2:15" ht="67.150000000000006" hidden="1" customHeight="1">
      <c r="B434" s="752"/>
      <c r="C434" s="74" t="str">
        <f>IFERROR(VLOOKUP(N434,'TABLA-DIA'!$B$2:$P$62,9,FALSE),"")</f>
        <v/>
      </c>
      <c r="D434" s="116" t="str">
        <f>IFERROR(VLOOKUP(N434,'TABLA-DIA'!$B$2:$P$62,4,FALSE),"")</f>
        <v/>
      </c>
      <c r="E434" s="332" t="str">
        <f>IFERROR(VLOOKUP(N434,'TABLA-DIA'!$B$2:$P$62,5,FALSE),"")</f>
        <v/>
      </c>
      <c r="F434" s="332" t="str">
        <f>IFERROR(VLOOKUP(N434,'TABLA-DIA'!$B$2:$P$62,6,FALSE),"")</f>
        <v/>
      </c>
      <c r="G434" s="360" t="str">
        <f>IFERROR(VLOOKUP(N434,'TABLA-DIA'!$B$2:$P$62,7,FALSE),"")</f>
        <v/>
      </c>
      <c r="H434" s="117" t="str">
        <f>IFERROR(VLOOKUP(N434,'TABLA-DIA'!$B$2:$P$62,10,FALSE),"")</f>
        <v/>
      </c>
      <c r="I434" s="444" t="str">
        <f>IFERROR(VLOOKUP(N434,'TABLA-DIA'!$B$2:$P$62,11,FALSE),"")</f>
        <v/>
      </c>
      <c r="J434" s="440" t="str">
        <f>IFERROR(VLOOKUP(N434,'TABLA-DIA'!$B$2:$P$62,12,FALSE),"")</f>
        <v/>
      </c>
      <c r="K434" s="118" t="str">
        <f>IFERROR(VLOOKUP(N434,'TABLA-DIA'!$B$2:$P$62,13,FALSE),"")</f>
        <v/>
      </c>
      <c r="L434" s="119" t="str">
        <f>IFERROR(IF(VLOOKUP(N434,'TABLA-DIA'!$B$2:$P$62,14,FALSE)="","",VLOOKUP(N434,'TABLA-DIA'!$B$2:$P$62,14,FALSE)),"")</f>
        <v/>
      </c>
      <c r="M434" s="120">
        <f t="shared" si="20"/>
        <v>8</v>
      </c>
      <c r="N434" s="125" t="str">
        <f t="shared" si="19"/>
        <v>Total general-8</v>
      </c>
    </row>
    <row r="435" spans="2:15" ht="67.150000000000006" hidden="1" customHeight="1">
      <c r="B435" s="752"/>
      <c r="C435" s="74" t="str">
        <f>IFERROR(VLOOKUP(N435,'TABLA-DIA'!$B$2:$P$62,9,FALSE),"")</f>
        <v/>
      </c>
      <c r="D435" s="116" t="str">
        <f>IFERROR(VLOOKUP(N435,'TABLA-DIA'!$B$2:$P$62,4,FALSE),"")</f>
        <v/>
      </c>
      <c r="E435" s="332" t="str">
        <f>IFERROR(VLOOKUP(N435,'TABLA-DIA'!$B$2:$P$62,5,FALSE),"")</f>
        <v/>
      </c>
      <c r="F435" s="332" t="str">
        <f>IFERROR(VLOOKUP(N435,'TABLA-DIA'!$B$2:$P$62,6,FALSE),"")</f>
        <v/>
      </c>
      <c r="G435" s="360" t="str">
        <f>IFERROR(VLOOKUP(N435,'TABLA-DIA'!$B$2:$P$62,7,FALSE),"")</f>
        <v/>
      </c>
      <c r="H435" s="117" t="str">
        <f>IFERROR(VLOOKUP(N435,'TABLA-DIA'!$B$2:$P$62,10,FALSE),"")</f>
        <v/>
      </c>
      <c r="I435" s="444" t="str">
        <f>IFERROR(VLOOKUP(N435,'TABLA-DIA'!$B$2:$P$62,11,FALSE),"")</f>
        <v/>
      </c>
      <c r="J435" s="440" t="str">
        <f>IFERROR(VLOOKUP(N435,'TABLA-DIA'!$B$2:$P$62,12,FALSE),"")</f>
        <v/>
      </c>
      <c r="K435" s="118" t="str">
        <f>IFERROR(VLOOKUP(N435,'TABLA-DIA'!$B$2:$P$62,13,FALSE),"")</f>
        <v/>
      </c>
      <c r="L435" s="119" t="str">
        <f>IFERROR(IF(VLOOKUP(N435,'TABLA-DIA'!$B$2:$P$62,14,FALSE)="","",VLOOKUP(N435,'TABLA-DIA'!$B$2:$P$62,14,FALSE)),"")</f>
        <v/>
      </c>
      <c r="M435" s="120">
        <f t="shared" si="20"/>
        <v>9</v>
      </c>
      <c r="N435" s="125" t="str">
        <f t="shared" si="19"/>
        <v>Total general-9</v>
      </c>
    </row>
    <row r="436" spans="2:15" ht="37.15" hidden="1" customHeight="1">
      <c r="B436" s="753"/>
      <c r="C436" s="137" t="str">
        <f>IFERROR(VLOOKUP(N436,'TABLA-DIA'!$B$2:$P$62,9,FALSE),"")</f>
        <v/>
      </c>
      <c r="D436" s="126" t="str">
        <f>IFERROR(VLOOKUP(N436,'TABLA-DIA'!$B$2:$P$62,4,FALSE),"")</f>
        <v/>
      </c>
      <c r="E436" s="334" t="str">
        <f>IFERROR(VLOOKUP(N436,'TABLA-DIA'!$B$2:$P$62,5,FALSE),"")</f>
        <v/>
      </c>
      <c r="F436" s="334" t="str">
        <f>IFERROR(VLOOKUP(N436,'TABLA-DIA'!$B$2:$P$62,6,FALSE),"")</f>
        <v/>
      </c>
      <c r="G436" s="362" t="str">
        <f>IFERROR(VLOOKUP(N436,'TABLA-DIA'!$B$2:$P$62,7,FALSE),"")</f>
        <v/>
      </c>
      <c r="H436" s="127" t="str">
        <f>IFERROR(VLOOKUP(N436,'TABLA-DIA'!$B$2:$P$62,10,FALSE),"")</f>
        <v/>
      </c>
      <c r="I436" s="445" t="str">
        <f>IFERROR(VLOOKUP(N436,'TABLA-DIA'!$B$2:$P$62,11,FALSE),"")</f>
        <v/>
      </c>
      <c r="J436" s="443" t="str">
        <f>IFERROR(VLOOKUP(N436,'TABLA-DIA'!$B$2:$P$62,12,FALSE),"")</f>
        <v/>
      </c>
      <c r="K436" s="128" t="str">
        <f>IFERROR(VLOOKUP(N436,'TABLA-DIA'!$B$2:$P$62,13,FALSE),"")</f>
        <v/>
      </c>
      <c r="L436" s="129" t="str">
        <f>IFERROR(IF(VLOOKUP(N436,'TABLA-DIA'!$B$2:$P$62,14,FALSE)="","",VLOOKUP(N436,'TABLA-DIA'!$B$2:$P$62,14,FALSE)),"")</f>
        <v/>
      </c>
      <c r="M436" s="136">
        <f t="shared" si="20"/>
        <v>10</v>
      </c>
      <c r="N436" s="130" t="str">
        <f t="shared" si="19"/>
        <v>Total general-10</v>
      </c>
    </row>
    <row r="437" spans="2:15" ht="89.45" customHeight="1" thickBot="1">
      <c r="B437" s="751">
        <f>+'TABLA-DIA'!B164</f>
        <v>0</v>
      </c>
      <c r="C437" s="96" t="str">
        <f>IFERROR(VLOOKUP(N437,'TABLA-DIA'!$B$2:$P$62,9,FALSE),"")</f>
        <v/>
      </c>
      <c r="D437" s="121" t="str">
        <f>IFERROR(VLOOKUP(N437,'TABLA-DIA'!$B$2:$P$62,4,FALSE),"")</f>
        <v/>
      </c>
      <c r="E437" s="331" t="str">
        <f>IFERROR(VLOOKUP(N437,'TABLA-DIA'!$B$2:$P$62,5,FALSE),"")</f>
        <v/>
      </c>
      <c r="F437" s="331" t="str">
        <f>IFERROR(VLOOKUP(N437,'TABLA-DIA'!$B$2:$P$62,6,FALSE),"")</f>
        <v/>
      </c>
      <c r="G437" s="359" t="str">
        <f>IFERROR(VLOOKUP(N437,'TABLA-DIA'!$B$2:$P$62,7,FALSE),"")</f>
        <v/>
      </c>
      <c r="H437" s="122" t="str">
        <f>IFERROR(VLOOKUP(N437,'TABLA-DIA'!$B$2:$P$62,10,FALSE),"")</f>
        <v/>
      </c>
      <c r="I437" s="446" t="str">
        <f>IFERROR(VLOOKUP(N437,'TABLA-DIA'!$B$2:$P$62,11,FALSE),"")</f>
        <v/>
      </c>
      <c r="J437" s="442" t="str">
        <f>IFERROR(VLOOKUP(N437,'TABLA-DIA'!$B$2:$P$62,12,FALSE),"")</f>
        <v/>
      </c>
      <c r="K437" s="123" t="str">
        <f>IFERROR(VLOOKUP(N437,'TABLA-DIA'!$B$2:$P$62,13,FALSE),"")</f>
        <v/>
      </c>
      <c r="L437" s="124" t="str">
        <f>IFERROR(IF(VLOOKUP(N437,'TABLA-DIA'!$B$2:$P$62,14,FALSE)="","",VLOOKUP(N437,'TABLA-DIA'!$B$2:$P$62,14,FALSE)),"")</f>
        <v/>
      </c>
      <c r="M437" s="100">
        <v>1</v>
      </c>
      <c r="N437" s="98" t="str">
        <f t="shared" ref="N437:N446" si="21">CONCATENATE($B$437,"-",M437)</f>
        <v>0-1</v>
      </c>
      <c r="O437" s="91">
        <f>COUNTIF(G437:G446,"&lt;&gt;**")</f>
        <v>0</v>
      </c>
    </row>
    <row r="438" spans="2:15" ht="67.150000000000006" hidden="1" customHeight="1">
      <c r="B438" s="752"/>
      <c r="C438" s="74" t="str">
        <f>IFERROR(VLOOKUP(N438,'TABLA-DIA'!$B$2:$P$62,9,FALSE),"")</f>
        <v/>
      </c>
      <c r="D438" s="116" t="str">
        <f>IFERROR(VLOOKUP(N438,'TABLA-DIA'!$B$2:$P$62,4,FALSE),"")</f>
        <v/>
      </c>
      <c r="E438" s="332" t="str">
        <f>IFERROR(VLOOKUP(N438,'TABLA-DIA'!$B$2:$P$62,5,FALSE),"")</f>
        <v/>
      </c>
      <c r="F438" s="332" t="str">
        <f>IFERROR(VLOOKUP(N438,'TABLA-DIA'!$B$2:$P$62,6,FALSE),"")</f>
        <v/>
      </c>
      <c r="G438" s="360" t="str">
        <f>IFERROR(VLOOKUP(N438,'TABLA-DIA'!$B$2:$P$62,7,FALSE),"")</f>
        <v/>
      </c>
      <c r="H438" s="117" t="str">
        <f>IFERROR(VLOOKUP(N438,'TABLA-DIA'!$B$2:$P$62,10,FALSE),"")</f>
        <v/>
      </c>
      <c r="I438" s="444" t="str">
        <f>IFERROR(VLOOKUP(N438,'TABLA-DIA'!$B$2:$P$62,11,FALSE),"")</f>
        <v/>
      </c>
      <c r="J438" s="440" t="str">
        <f>IFERROR(VLOOKUP(N438,'TABLA-DIA'!$B$2:$P$62,12,FALSE),"")</f>
        <v/>
      </c>
      <c r="K438" s="118" t="str">
        <f>IFERROR(VLOOKUP(N438,'TABLA-DIA'!$B$2:$P$62,13,FALSE),"")</f>
        <v/>
      </c>
      <c r="L438" s="119" t="str">
        <f>IFERROR(IF(VLOOKUP(N438,'TABLA-DIA'!$B$2:$P$62,14,FALSE)="","",VLOOKUP(N438,'TABLA-DIA'!$B$2:$P$62,14,FALSE)),"")</f>
        <v/>
      </c>
      <c r="M438" s="120">
        <f t="shared" ref="M438:M446" si="22">+M437+1</f>
        <v>2</v>
      </c>
      <c r="N438" s="125" t="str">
        <f t="shared" si="21"/>
        <v>0-2</v>
      </c>
    </row>
    <row r="439" spans="2:15" ht="67.150000000000006" hidden="1" customHeight="1">
      <c r="B439" s="752"/>
      <c r="C439" s="74" t="str">
        <f>IFERROR(VLOOKUP(N439,'TABLA-DIA'!$B$2:$P$62,9,FALSE),"")</f>
        <v/>
      </c>
      <c r="D439" s="116" t="str">
        <f>IFERROR(VLOOKUP(N439,'TABLA-DIA'!$B$2:$P$62,4,FALSE),"")</f>
        <v/>
      </c>
      <c r="E439" s="332" t="str">
        <f>IFERROR(VLOOKUP(N439,'TABLA-DIA'!$B$2:$P$62,5,FALSE),"")</f>
        <v/>
      </c>
      <c r="F439" s="332" t="str">
        <f>IFERROR(VLOOKUP(N439,'TABLA-DIA'!$B$2:$P$62,6,FALSE),"")</f>
        <v/>
      </c>
      <c r="G439" s="360" t="str">
        <f>IFERROR(VLOOKUP(N439,'TABLA-DIA'!$B$2:$P$62,7,FALSE),"")</f>
        <v/>
      </c>
      <c r="H439" s="117" t="str">
        <f>IFERROR(VLOOKUP(N439,'TABLA-DIA'!$B$2:$P$62,10,FALSE),"")</f>
        <v/>
      </c>
      <c r="I439" s="444" t="str">
        <f>IFERROR(VLOOKUP(N439,'TABLA-DIA'!$B$2:$P$62,11,FALSE),"")</f>
        <v/>
      </c>
      <c r="J439" s="440" t="str">
        <f>IFERROR(VLOOKUP(N439,'TABLA-DIA'!$B$2:$P$62,12,FALSE),"")</f>
        <v/>
      </c>
      <c r="K439" s="118" t="str">
        <f>IFERROR(VLOOKUP(N439,'TABLA-DIA'!$B$2:$P$62,13,FALSE),"")</f>
        <v/>
      </c>
      <c r="L439" s="119" t="str">
        <f>IFERROR(IF(VLOOKUP(N439,'TABLA-DIA'!$B$2:$P$62,14,FALSE)="","",VLOOKUP(N439,'TABLA-DIA'!$B$2:$P$62,14,FALSE)),"")</f>
        <v/>
      </c>
      <c r="M439" s="120">
        <f t="shared" si="22"/>
        <v>3</v>
      </c>
      <c r="N439" s="125" t="str">
        <f t="shared" si="21"/>
        <v>0-3</v>
      </c>
    </row>
    <row r="440" spans="2:15" ht="67.150000000000006" hidden="1" customHeight="1">
      <c r="B440" s="752"/>
      <c r="C440" s="74" t="str">
        <f>IFERROR(VLOOKUP(N440,'TABLA-DIA'!$B$2:$P$62,9,FALSE),"")</f>
        <v/>
      </c>
      <c r="D440" s="116" t="str">
        <f>IFERROR(VLOOKUP(N440,'TABLA-DIA'!$B$2:$P$62,4,FALSE),"")</f>
        <v/>
      </c>
      <c r="E440" s="332" t="str">
        <f>IFERROR(VLOOKUP(N440,'TABLA-DIA'!$B$2:$P$62,5,FALSE),"")</f>
        <v/>
      </c>
      <c r="F440" s="332" t="str">
        <f>IFERROR(VLOOKUP(N440,'TABLA-DIA'!$B$2:$P$62,6,FALSE),"")</f>
        <v/>
      </c>
      <c r="G440" s="360" t="str">
        <f>IFERROR(VLOOKUP(N440,'TABLA-DIA'!$B$2:$P$62,7,FALSE),"")</f>
        <v/>
      </c>
      <c r="H440" s="117" t="str">
        <f>IFERROR(VLOOKUP(N440,'TABLA-DIA'!$B$2:$P$62,10,FALSE),"")</f>
        <v/>
      </c>
      <c r="I440" s="444" t="str">
        <f>IFERROR(VLOOKUP(N440,'TABLA-DIA'!$B$2:$P$62,11,FALSE),"")</f>
        <v/>
      </c>
      <c r="J440" s="440" t="str">
        <f>IFERROR(VLOOKUP(N440,'TABLA-DIA'!$B$2:$P$62,12,FALSE),"")</f>
        <v/>
      </c>
      <c r="K440" s="118" t="str">
        <f>IFERROR(VLOOKUP(N440,'TABLA-DIA'!$B$2:$P$62,13,FALSE),"")</f>
        <v/>
      </c>
      <c r="L440" s="119" t="str">
        <f>IFERROR(IF(VLOOKUP(N440,'TABLA-DIA'!$B$2:$P$62,14,FALSE)="","",VLOOKUP(N440,'TABLA-DIA'!$B$2:$P$62,14,FALSE)),"")</f>
        <v/>
      </c>
      <c r="M440" s="120">
        <f t="shared" si="22"/>
        <v>4</v>
      </c>
      <c r="N440" s="125" t="str">
        <f t="shared" si="21"/>
        <v>0-4</v>
      </c>
    </row>
    <row r="441" spans="2:15" ht="67.150000000000006" hidden="1" customHeight="1">
      <c r="B441" s="752"/>
      <c r="C441" s="74" t="str">
        <f>IFERROR(VLOOKUP(N441,'TABLA-DIA'!$B$2:$P$62,9,FALSE),"")</f>
        <v/>
      </c>
      <c r="D441" s="116" t="str">
        <f>IFERROR(VLOOKUP(N441,'TABLA-DIA'!$B$2:$P$62,4,FALSE),"")</f>
        <v/>
      </c>
      <c r="E441" s="332" t="str">
        <f>IFERROR(VLOOKUP(N441,'TABLA-DIA'!$B$2:$P$62,5,FALSE),"")</f>
        <v/>
      </c>
      <c r="F441" s="332" t="str">
        <f>IFERROR(VLOOKUP(N441,'TABLA-DIA'!$B$2:$P$62,6,FALSE),"")</f>
        <v/>
      </c>
      <c r="G441" s="360" t="str">
        <f>IFERROR(VLOOKUP(N441,'TABLA-DIA'!$B$2:$P$62,7,FALSE),"")</f>
        <v/>
      </c>
      <c r="H441" s="117" t="str">
        <f>IFERROR(VLOOKUP(N441,'TABLA-DIA'!$B$2:$P$62,10,FALSE),"")</f>
        <v/>
      </c>
      <c r="I441" s="444" t="str">
        <f>IFERROR(VLOOKUP(N441,'TABLA-DIA'!$B$2:$P$62,11,FALSE),"")</f>
        <v/>
      </c>
      <c r="J441" s="440" t="str">
        <f>IFERROR(VLOOKUP(N441,'TABLA-DIA'!$B$2:$P$62,12,FALSE),"")</f>
        <v/>
      </c>
      <c r="K441" s="118" t="str">
        <f>IFERROR(VLOOKUP(N441,'TABLA-DIA'!$B$2:$P$62,13,FALSE),"")</f>
        <v/>
      </c>
      <c r="L441" s="119" t="str">
        <f>IFERROR(IF(VLOOKUP(N441,'TABLA-DIA'!$B$2:$P$62,14,FALSE)="","",VLOOKUP(N441,'TABLA-DIA'!$B$2:$P$62,14,FALSE)),"")</f>
        <v/>
      </c>
      <c r="M441" s="120">
        <f t="shared" si="22"/>
        <v>5</v>
      </c>
      <c r="N441" s="125" t="str">
        <f t="shared" si="21"/>
        <v>0-5</v>
      </c>
    </row>
    <row r="442" spans="2:15" ht="67.150000000000006" hidden="1" customHeight="1">
      <c r="B442" s="752"/>
      <c r="C442" s="74" t="str">
        <f>IFERROR(VLOOKUP(N442,'TABLA-DIA'!$B$2:$P$62,9,FALSE),"")</f>
        <v/>
      </c>
      <c r="D442" s="116" t="str">
        <f>IFERROR(VLOOKUP(N442,'TABLA-DIA'!$B$2:$P$62,4,FALSE),"")</f>
        <v/>
      </c>
      <c r="E442" s="332" t="str">
        <f>IFERROR(VLOOKUP(N442,'TABLA-DIA'!$B$2:$P$62,5,FALSE),"")</f>
        <v/>
      </c>
      <c r="F442" s="332" t="str">
        <f>IFERROR(VLOOKUP(N442,'TABLA-DIA'!$B$2:$P$62,6,FALSE),"")</f>
        <v/>
      </c>
      <c r="G442" s="360" t="str">
        <f>IFERROR(VLOOKUP(N442,'TABLA-DIA'!$B$2:$P$62,7,FALSE),"")</f>
        <v/>
      </c>
      <c r="H442" s="117" t="str">
        <f>IFERROR(VLOOKUP(N442,'TABLA-DIA'!$B$2:$P$62,10,FALSE),"")</f>
        <v/>
      </c>
      <c r="I442" s="444" t="str">
        <f>IFERROR(VLOOKUP(N442,'TABLA-DIA'!$B$2:$P$62,11,FALSE),"")</f>
        <v/>
      </c>
      <c r="J442" s="440" t="str">
        <f>IFERROR(VLOOKUP(N442,'TABLA-DIA'!$B$2:$P$62,12,FALSE),"")</f>
        <v/>
      </c>
      <c r="K442" s="118" t="str">
        <f>IFERROR(VLOOKUP(N442,'TABLA-DIA'!$B$2:$P$62,13,FALSE),"")</f>
        <v/>
      </c>
      <c r="L442" s="119" t="str">
        <f>IFERROR(IF(VLOOKUP(N442,'TABLA-DIA'!$B$2:$P$62,14,FALSE)="","",VLOOKUP(N442,'TABLA-DIA'!$B$2:$P$62,14,FALSE)),"")</f>
        <v/>
      </c>
      <c r="M442" s="120">
        <f t="shared" si="22"/>
        <v>6</v>
      </c>
      <c r="N442" s="125" t="str">
        <f t="shared" si="21"/>
        <v>0-6</v>
      </c>
    </row>
    <row r="443" spans="2:15" ht="67.150000000000006" hidden="1" customHeight="1">
      <c r="B443" s="752"/>
      <c r="C443" s="74" t="str">
        <f>IFERROR(VLOOKUP(N443,'TABLA-DIA'!$B$2:$P$62,9,FALSE),"")</f>
        <v/>
      </c>
      <c r="D443" s="116" t="str">
        <f>IFERROR(VLOOKUP(N443,'TABLA-DIA'!$B$2:$P$62,4,FALSE),"")</f>
        <v/>
      </c>
      <c r="E443" s="332" t="str">
        <f>IFERROR(VLOOKUP(N443,'TABLA-DIA'!$B$2:$P$62,5,FALSE),"")</f>
        <v/>
      </c>
      <c r="F443" s="332" t="str">
        <f>IFERROR(VLOOKUP(N443,'TABLA-DIA'!$B$2:$P$62,6,FALSE),"")</f>
        <v/>
      </c>
      <c r="G443" s="360" t="str">
        <f>IFERROR(VLOOKUP(N443,'TABLA-DIA'!$B$2:$P$62,7,FALSE),"")</f>
        <v/>
      </c>
      <c r="H443" s="117" t="str">
        <f>IFERROR(VLOOKUP(N443,'TABLA-DIA'!$B$2:$P$62,10,FALSE),"")</f>
        <v/>
      </c>
      <c r="I443" s="444" t="str">
        <f>IFERROR(VLOOKUP(N443,'TABLA-DIA'!$B$2:$P$62,11,FALSE),"")</f>
        <v/>
      </c>
      <c r="J443" s="440" t="str">
        <f>IFERROR(VLOOKUP(N443,'TABLA-DIA'!$B$2:$P$62,12,FALSE),"")</f>
        <v/>
      </c>
      <c r="K443" s="118" t="str">
        <f>IFERROR(VLOOKUP(N443,'TABLA-DIA'!$B$2:$P$62,13,FALSE),"")</f>
        <v/>
      </c>
      <c r="L443" s="119" t="str">
        <f>IFERROR(IF(VLOOKUP(N443,'TABLA-DIA'!$B$2:$P$62,14,FALSE)="","",VLOOKUP(N443,'TABLA-DIA'!$B$2:$P$62,14,FALSE)),"")</f>
        <v/>
      </c>
      <c r="M443" s="120">
        <f t="shared" si="22"/>
        <v>7</v>
      </c>
      <c r="N443" s="125" t="str">
        <f t="shared" si="21"/>
        <v>0-7</v>
      </c>
    </row>
    <row r="444" spans="2:15" ht="67.150000000000006" hidden="1" customHeight="1">
      <c r="B444" s="752"/>
      <c r="C444" s="74" t="str">
        <f>IFERROR(VLOOKUP(N444,'TABLA-DIA'!$B$2:$P$62,9,FALSE),"")</f>
        <v/>
      </c>
      <c r="D444" s="116" t="str">
        <f>IFERROR(VLOOKUP(N444,'TABLA-DIA'!$B$2:$P$62,4,FALSE),"")</f>
        <v/>
      </c>
      <c r="E444" s="332" t="str">
        <f>IFERROR(VLOOKUP(N444,'TABLA-DIA'!$B$2:$P$62,5,FALSE),"")</f>
        <v/>
      </c>
      <c r="F444" s="332" t="str">
        <f>IFERROR(VLOOKUP(N444,'TABLA-DIA'!$B$2:$P$62,6,FALSE),"")</f>
        <v/>
      </c>
      <c r="G444" s="360" t="str">
        <f>IFERROR(VLOOKUP(N444,'TABLA-DIA'!$B$2:$P$62,7,FALSE),"")</f>
        <v/>
      </c>
      <c r="H444" s="117" t="str">
        <f>IFERROR(VLOOKUP(N444,'TABLA-DIA'!$B$2:$P$62,10,FALSE),"")</f>
        <v/>
      </c>
      <c r="I444" s="444" t="str">
        <f>IFERROR(VLOOKUP(N444,'TABLA-DIA'!$B$2:$P$62,11,FALSE),"")</f>
        <v/>
      </c>
      <c r="J444" s="440" t="str">
        <f>IFERROR(VLOOKUP(N444,'TABLA-DIA'!$B$2:$P$62,12,FALSE),"")</f>
        <v/>
      </c>
      <c r="K444" s="118" t="str">
        <f>IFERROR(VLOOKUP(N444,'TABLA-DIA'!$B$2:$P$62,13,FALSE),"")</f>
        <v/>
      </c>
      <c r="L444" s="119" t="str">
        <f>IFERROR(IF(VLOOKUP(N444,'TABLA-DIA'!$B$2:$P$62,14,FALSE)="","",VLOOKUP(N444,'TABLA-DIA'!$B$2:$P$62,14,FALSE)),"")</f>
        <v/>
      </c>
      <c r="M444" s="120">
        <f t="shared" si="22"/>
        <v>8</v>
      </c>
      <c r="N444" s="125" t="str">
        <f t="shared" si="21"/>
        <v>0-8</v>
      </c>
    </row>
    <row r="445" spans="2:15" ht="67.150000000000006" hidden="1" customHeight="1">
      <c r="B445" s="752"/>
      <c r="C445" s="74" t="str">
        <f>IFERROR(VLOOKUP(N445,'TABLA-DIA'!$B$2:$P$62,9,FALSE),"")</f>
        <v/>
      </c>
      <c r="D445" s="116" t="str">
        <f>IFERROR(VLOOKUP(N445,'TABLA-DIA'!$B$2:$P$62,4,FALSE),"")</f>
        <v/>
      </c>
      <c r="E445" s="332" t="str">
        <f>IFERROR(VLOOKUP(N445,'TABLA-DIA'!$B$2:$P$62,5,FALSE),"")</f>
        <v/>
      </c>
      <c r="F445" s="332" t="str">
        <f>IFERROR(VLOOKUP(N445,'TABLA-DIA'!$B$2:$P$62,6,FALSE),"")</f>
        <v/>
      </c>
      <c r="G445" s="360" t="str">
        <f>IFERROR(VLOOKUP(N445,'TABLA-DIA'!$B$2:$P$62,7,FALSE),"")</f>
        <v/>
      </c>
      <c r="H445" s="117" t="str">
        <f>IFERROR(VLOOKUP(N445,'TABLA-DIA'!$B$2:$P$62,10,FALSE),"")</f>
        <v/>
      </c>
      <c r="I445" s="444" t="str">
        <f>IFERROR(VLOOKUP(N445,'TABLA-DIA'!$B$2:$P$62,11,FALSE),"")</f>
        <v/>
      </c>
      <c r="J445" s="440" t="str">
        <f>IFERROR(VLOOKUP(N445,'TABLA-DIA'!$B$2:$P$62,12,FALSE),"")</f>
        <v/>
      </c>
      <c r="K445" s="118" t="str">
        <f>IFERROR(VLOOKUP(N445,'TABLA-DIA'!$B$2:$P$62,13,FALSE),"")</f>
        <v/>
      </c>
      <c r="L445" s="119" t="str">
        <f>IFERROR(IF(VLOOKUP(N445,'TABLA-DIA'!$B$2:$P$62,14,FALSE)="","",VLOOKUP(N445,'TABLA-DIA'!$B$2:$P$62,14,FALSE)),"")</f>
        <v/>
      </c>
      <c r="M445" s="120">
        <f t="shared" si="22"/>
        <v>9</v>
      </c>
      <c r="N445" s="125" t="str">
        <f t="shared" si="21"/>
        <v>0-9</v>
      </c>
    </row>
    <row r="446" spans="2:15" ht="67.150000000000006" hidden="1" customHeight="1">
      <c r="B446" s="753"/>
      <c r="C446" s="137" t="str">
        <f>IFERROR(VLOOKUP(N446,'TABLA-DIA'!$B$2:$P$62,9,FALSE),"")</f>
        <v/>
      </c>
      <c r="D446" s="126" t="str">
        <f>IFERROR(VLOOKUP(N446,'TABLA-DIA'!$B$2:$P$62,4,FALSE),"")</f>
        <v/>
      </c>
      <c r="E446" s="334" t="str">
        <f>IFERROR(VLOOKUP(N446,'TABLA-DIA'!$B$2:$P$62,5,FALSE),"")</f>
        <v/>
      </c>
      <c r="F446" s="334" t="str">
        <f>IFERROR(VLOOKUP(N446,'TABLA-DIA'!$B$2:$P$62,6,FALSE),"")</f>
        <v/>
      </c>
      <c r="G446" s="362" t="str">
        <f>IFERROR(VLOOKUP(N446,'TABLA-DIA'!$B$2:$P$62,7,FALSE),"")</f>
        <v/>
      </c>
      <c r="H446" s="127" t="str">
        <f>IFERROR(VLOOKUP(N446,'TABLA-DIA'!$B$2:$P$62,10,FALSE),"")</f>
        <v/>
      </c>
      <c r="I446" s="445" t="str">
        <f>IFERROR(VLOOKUP(N446,'TABLA-DIA'!$B$2:$P$62,11,FALSE),"")</f>
        <v/>
      </c>
      <c r="J446" s="443" t="str">
        <f>IFERROR(VLOOKUP(N446,'TABLA-DIA'!$B$2:$P$62,12,FALSE),"")</f>
        <v/>
      </c>
      <c r="K446" s="128" t="str">
        <f>IFERROR(VLOOKUP(N446,'TABLA-DIA'!$B$2:$P$62,13,FALSE),"")</f>
        <v/>
      </c>
      <c r="L446" s="129" t="str">
        <f>IFERROR(IF(VLOOKUP(N446,'TABLA-DIA'!$B$2:$P$62,14,FALSE)="","",VLOOKUP(N446,'TABLA-DIA'!$B$2:$P$62,14,FALSE)),"")</f>
        <v/>
      </c>
      <c r="M446" s="136">
        <f t="shared" si="22"/>
        <v>10</v>
      </c>
      <c r="N446" s="130" t="str">
        <f t="shared" si="21"/>
        <v>0-10</v>
      </c>
    </row>
    <row r="447" spans="2:15" ht="96.75" customHeight="1" thickBot="1">
      <c r="B447" s="751">
        <f>+'TABLA-DIA'!B165</f>
        <v>0</v>
      </c>
      <c r="C447" s="96" t="str">
        <f>IFERROR(VLOOKUP(N447,'TABLA-DIA'!$B$2:$P$62,9,FALSE),"")</f>
        <v/>
      </c>
      <c r="D447" s="121" t="str">
        <f>IFERROR(VLOOKUP(N447,'TABLA-DIA'!$B$2:$P$62,4,FALSE),"")</f>
        <v/>
      </c>
      <c r="E447" s="331" t="str">
        <f>IFERROR(VLOOKUP(N447,'TABLA-DIA'!$B$2:$P$62,5,FALSE),"")</f>
        <v/>
      </c>
      <c r="F447" s="331" t="str">
        <f>IFERROR(VLOOKUP(N447,'TABLA-DIA'!$B$2:$P$62,6,FALSE),"")</f>
        <v/>
      </c>
      <c r="G447" s="359" t="str">
        <f>IFERROR(VLOOKUP(N447,'TABLA-DIA'!$B$2:$P$62,7,FALSE),"")</f>
        <v/>
      </c>
      <c r="H447" s="122" t="str">
        <f>IFERROR(VLOOKUP(N447,'TABLA-DIA'!$B$2:$P$62,10,FALSE),"")</f>
        <v/>
      </c>
      <c r="I447" s="446" t="str">
        <f>IFERROR(VLOOKUP(N447,'TABLA-DIA'!$B$2:$P$62,11,FALSE),"")</f>
        <v/>
      </c>
      <c r="J447" s="442" t="str">
        <f>IFERROR(VLOOKUP(N447,'TABLA-DIA'!$B$2:$P$62,12,FALSE),"")</f>
        <v/>
      </c>
      <c r="K447" s="123" t="str">
        <f>IFERROR(VLOOKUP(N447,'TABLA-DIA'!$B$2:$P$62,13,FALSE),"")</f>
        <v/>
      </c>
      <c r="L447" s="124" t="str">
        <f>IFERROR(IF(VLOOKUP(N447,'TABLA-DIA'!$B$2:$P$62,14,FALSE)="","",VLOOKUP(N447,'TABLA-DIA'!$B$2:$P$62,14,FALSE)),"")</f>
        <v/>
      </c>
      <c r="M447" s="100">
        <v>1</v>
      </c>
      <c r="N447" s="98" t="str">
        <f t="shared" ref="N447:N456" si="23">CONCATENATE($B$447,"-",M447)</f>
        <v>0-1</v>
      </c>
      <c r="O447" s="91">
        <f>COUNTIF(G447:G456,"&lt;&gt;**")</f>
        <v>0</v>
      </c>
    </row>
    <row r="448" spans="2:15" ht="67.150000000000006" hidden="1" customHeight="1">
      <c r="B448" s="752"/>
      <c r="C448" s="74" t="str">
        <f>IFERROR(VLOOKUP(N448,'TABLA-DIA'!$B$2:$P$62,9,FALSE),"")</f>
        <v/>
      </c>
      <c r="D448" s="116" t="str">
        <f>IFERROR(VLOOKUP(N448,'TABLA-DIA'!$B$2:$P$62,4,FALSE),"")</f>
        <v/>
      </c>
      <c r="E448" s="332" t="str">
        <f>IFERROR(VLOOKUP(N448,'TABLA-DIA'!$B$2:$P$62,5,FALSE),"")</f>
        <v/>
      </c>
      <c r="F448" s="332" t="str">
        <f>IFERROR(VLOOKUP(N448,'TABLA-DIA'!$B$2:$P$62,6,FALSE),"")</f>
        <v/>
      </c>
      <c r="G448" s="360" t="str">
        <f>IFERROR(VLOOKUP(N448,'TABLA-DIA'!$B$2:$P$62,7,FALSE),"")</f>
        <v/>
      </c>
      <c r="H448" s="117" t="str">
        <f>IFERROR(VLOOKUP(N448,'TABLA-DIA'!$B$2:$P$62,10,FALSE),"")</f>
        <v/>
      </c>
      <c r="I448" s="444" t="str">
        <f>IFERROR(VLOOKUP(N448,'TABLA-DIA'!$B$2:$P$62,11,FALSE),"")</f>
        <v/>
      </c>
      <c r="J448" s="440" t="str">
        <f>IFERROR(VLOOKUP(N448,'TABLA-DIA'!$B$2:$P$62,12,FALSE),"")</f>
        <v/>
      </c>
      <c r="K448" s="118" t="str">
        <f>IFERROR(VLOOKUP(N448,'TABLA-DIA'!$B$2:$P$62,13,FALSE),"")</f>
        <v/>
      </c>
      <c r="L448" s="119" t="str">
        <f>IFERROR(IF(VLOOKUP(N448,'TABLA-DIA'!$B$2:$P$62,14,FALSE)="","",VLOOKUP(N448,'TABLA-DIA'!$B$2:$P$62,14,FALSE)),"")</f>
        <v/>
      </c>
      <c r="M448" s="120">
        <v>2</v>
      </c>
      <c r="N448" s="125" t="str">
        <f t="shared" si="23"/>
        <v>0-2</v>
      </c>
    </row>
    <row r="449" spans="2:15" ht="67.150000000000006" hidden="1" customHeight="1">
      <c r="B449" s="752"/>
      <c r="C449" s="74" t="str">
        <f>IFERROR(VLOOKUP(N449,'TABLA-DIA'!$B$2:$P$62,9,FALSE),"")</f>
        <v/>
      </c>
      <c r="D449" s="116" t="str">
        <f>IFERROR(VLOOKUP(N449,'TABLA-DIA'!$B$2:$P$62,4,FALSE),"")</f>
        <v/>
      </c>
      <c r="E449" s="332" t="str">
        <f>IFERROR(VLOOKUP(N449,'TABLA-DIA'!$B$2:$P$62,5,FALSE),"")</f>
        <v/>
      </c>
      <c r="F449" s="332" t="str">
        <f>IFERROR(VLOOKUP(N449,'TABLA-DIA'!$B$2:$P$62,6,FALSE),"")</f>
        <v/>
      </c>
      <c r="G449" s="360" t="str">
        <f>IFERROR(VLOOKUP(N449,'TABLA-DIA'!$B$2:$P$62,7,FALSE),"")</f>
        <v/>
      </c>
      <c r="H449" s="117" t="str">
        <f>IFERROR(VLOOKUP(N449,'TABLA-DIA'!$B$2:$P$62,10,FALSE),"")</f>
        <v/>
      </c>
      <c r="I449" s="444" t="str">
        <f>IFERROR(VLOOKUP(N449,'TABLA-DIA'!$B$2:$P$62,11,FALSE),"")</f>
        <v/>
      </c>
      <c r="J449" s="440" t="str">
        <f>IFERROR(VLOOKUP(N449,'TABLA-DIA'!$B$2:$P$62,12,FALSE),"")</f>
        <v/>
      </c>
      <c r="K449" s="118" t="str">
        <f>IFERROR(VLOOKUP(N449,'TABLA-DIA'!$B$2:$P$62,13,FALSE),"")</f>
        <v/>
      </c>
      <c r="L449" s="119" t="str">
        <f>IFERROR(IF(VLOOKUP(N449,'TABLA-DIA'!$B$2:$P$62,14,FALSE)="","",VLOOKUP(N449,'TABLA-DIA'!$B$2:$P$62,14,FALSE)),"")</f>
        <v/>
      </c>
      <c r="M449" s="120">
        <v>3</v>
      </c>
      <c r="N449" s="125" t="str">
        <f t="shared" si="23"/>
        <v>0-3</v>
      </c>
    </row>
    <row r="450" spans="2:15" ht="67.150000000000006" hidden="1" customHeight="1">
      <c r="B450" s="752"/>
      <c r="C450" s="74" t="str">
        <f>IFERROR(VLOOKUP(N450,'TABLA-DIA'!$B$2:$P$62,9,FALSE),"")</f>
        <v/>
      </c>
      <c r="D450" s="116" t="str">
        <f>IFERROR(VLOOKUP(N450,'TABLA-DIA'!$B$2:$P$62,4,FALSE),"")</f>
        <v/>
      </c>
      <c r="E450" s="332" t="str">
        <f>IFERROR(VLOOKUP(N450,'TABLA-DIA'!$B$2:$P$62,5,FALSE),"")</f>
        <v/>
      </c>
      <c r="F450" s="332" t="str">
        <f>IFERROR(VLOOKUP(N450,'TABLA-DIA'!$B$2:$P$62,6,FALSE),"")</f>
        <v/>
      </c>
      <c r="G450" s="360" t="str">
        <f>IFERROR(VLOOKUP(N450,'TABLA-DIA'!$B$2:$P$62,7,FALSE),"")</f>
        <v/>
      </c>
      <c r="H450" s="117" t="str">
        <f>IFERROR(VLOOKUP(N450,'TABLA-DIA'!$B$2:$P$62,10,FALSE),"")</f>
        <v/>
      </c>
      <c r="I450" s="444" t="str">
        <f>IFERROR(VLOOKUP(N450,'TABLA-DIA'!$B$2:$P$62,11,FALSE),"")</f>
        <v/>
      </c>
      <c r="J450" s="440" t="str">
        <f>IFERROR(VLOOKUP(N450,'TABLA-DIA'!$B$2:$P$62,12,FALSE),"")</f>
        <v/>
      </c>
      <c r="K450" s="118" t="str">
        <f>IFERROR(VLOOKUP(N450,'TABLA-DIA'!$B$2:$P$62,13,FALSE),"")</f>
        <v/>
      </c>
      <c r="L450" s="119" t="str">
        <f>IFERROR(IF(VLOOKUP(N450,'TABLA-DIA'!$B$2:$P$62,14,FALSE)="","",VLOOKUP(N450,'TABLA-DIA'!$B$2:$P$62,14,FALSE)),"")</f>
        <v/>
      </c>
      <c r="M450" s="120">
        <v>4</v>
      </c>
      <c r="N450" s="125" t="str">
        <f t="shared" si="23"/>
        <v>0-4</v>
      </c>
    </row>
    <row r="451" spans="2:15" ht="67.150000000000006" hidden="1" customHeight="1">
      <c r="B451" s="752"/>
      <c r="C451" s="74" t="str">
        <f>IFERROR(VLOOKUP(N451,'TABLA-DIA'!$B$2:$P$62,9,FALSE),"")</f>
        <v/>
      </c>
      <c r="D451" s="116" t="str">
        <f>IFERROR(VLOOKUP(N451,'TABLA-DIA'!$B$2:$P$62,4,FALSE),"")</f>
        <v/>
      </c>
      <c r="E451" s="332" t="str">
        <f>IFERROR(VLOOKUP(N451,'TABLA-DIA'!$B$2:$P$62,5,FALSE),"")</f>
        <v/>
      </c>
      <c r="F451" s="332" t="str">
        <f>IFERROR(VLOOKUP(N451,'TABLA-DIA'!$B$2:$P$62,6,FALSE),"")</f>
        <v/>
      </c>
      <c r="G451" s="360" t="str">
        <f>IFERROR(VLOOKUP(N451,'TABLA-DIA'!$B$2:$P$62,7,FALSE),"")</f>
        <v/>
      </c>
      <c r="H451" s="117" t="str">
        <f>IFERROR(VLOOKUP(N451,'TABLA-DIA'!$B$2:$P$62,10,FALSE),"")</f>
        <v/>
      </c>
      <c r="I451" s="444" t="str">
        <f>IFERROR(VLOOKUP(N451,'TABLA-DIA'!$B$2:$P$62,11,FALSE),"")</f>
        <v/>
      </c>
      <c r="J451" s="440" t="str">
        <f>IFERROR(VLOOKUP(N451,'TABLA-DIA'!$B$2:$P$62,12,FALSE),"")</f>
        <v/>
      </c>
      <c r="K451" s="118" t="str">
        <f>IFERROR(VLOOKUP(N451,'TABLA-DIA'!$B$2:$P$62,13,FALSE),"")</f>
        <v/>
      </c>
      <c r="L451" s="119" t="str">
        <f>IFERROR(IF(VLOOKUP(N451,'TABLA-DIA'!$B$2:$P$62,14,FALSE)="","",VLOOKUP(N451,'TABLA-DIA'!$B$2:$P$62,14,FALSE)),"")</f>
        <v/>
      </c>
      <c r="M451" s="120">
        <v>5</v>
      </c>
      <c r="N451" s="125" t="str">
        <f t="shared" si="23"/>
        <v>0-5</v>
      </c>
    </row>
    <row r="452" spans="2:15" ht="67.150000000000006" hidden="1" customHeight="1">
      <c r="B452" s="752"/>
      <c r="C452" s="74" t="str">
        <f>IFERROR(VLOOKUP(N452,'TABLA-DIA'!$B$2:$P$62,9,FALSE),"")</f>
        <v/>
      </c>
      <c r="D452" s="116" t="str">
        <f>IFERROR(VLOOKUP(N452,'TABLA-DIA'!$B$2:$P$62,4,FALSE),"")</f>
        <v/>
      </c>
      <c r="E452" s="332" t="str">
        <f>IFERROR(VLOOKUP(N452,'TABLA-DIA'!$B$2:$P$62,5,FALSE),"")</f>
        <v/>
      </c>
      <c r="F452" s="332" t="str">
        <f>IFERROR(VLOOKUP(N452,'TABLA-DIA'!$B$2:$P$62,6,FALSE),"")</f>
        <v/>
      </c>
      <c r="G452" s="360" t="str">
        <f>IFERROR(VLOOKUP(N452,'TABLA-DIA'!$B$2:$P$62,7,FALSE),"")</f>
        <v/>
      </c>
      <c r="H452" s="117" t="str">
        <f>IFERROR(VLOOKUP(N452,'TABLA-DIA'!$B$2:$P$62,10,FALSE),"")</f>
        <v/>
      </c>
      <c r="I452" s="444" t="str">
        <f>IFERROR(VLOOKUP(N452,'TABLA-DIA'!$B$2:$P$62,11,FALSE),"")</f>
        <v/>
      </c>
      <c r="J452" s="440" t="str">
        <f>IFERROR(VLOOKUP(N452,'TABLA-DIA'!$B$2:$P$62,12,FALSE),"")</f>
        <v/>
      </c>
      <c r="K452" s="118" t="str">
        <f>IFERROR(VLOOKUP(N452,'TABLA-DIA'!$B$2:$P$62,13,FALSE),"")</f>
        <v/>
      </c>
      <c r="L452" s="119" t="str">
        <f>IFERROR(IF(VLOOKUP(N452,'TABLA-DIA'!$B$2:$P$62,14,FALSE)="","",VLOOKUP(N452,'TABLA-DIA'!$B$2:$P$62,14,FALSE)),"")</f>
        <v/>
      </c>
      <c r="M452" s="120">
        <v>6</v>
      </c>
      <c r="N452" s="125" t="str">
        <f t="shared" si="23"/>
        <v>0-6</v>
      </c>
    </row>
    <row r="453" spans="2:15" ht="67.150000000000006" hidden="1" customHeight="1">
      <c r="B453" s="752"/>
      <c r="C453" s="74" t="str">
        <f>IFERROR(VLOOKUP(N453,'TABLA-DIA'!$B$2:$P$62,9,FALSE),"")</f>
        <v/>
      </c>
      <c r="D453" s="116" t="str">
        <f>IFERROR(VLOOKUP(N453,'TABLA-DIA'!$B$2:$P$62,4,FALSE),"")</f>
        <v/>
      </c>
      <c r="E453" s="332" t="str">
        <f>IFERROR(VLOOKUP(N453,'TABLA-DIA'!$B$2:$P$62,5,FALSE),"")</f>
        <v/>
      </c>
      <c r="F453" s="332" t="str">
        <f>IFERROR(VLOOKUP(N453,'TABLA-DIA'!$B$2:$P$62,6,FALSE),"")</f>
        <v/>
      </c>
      <c r="G453" s="360" t="str">
        <f>IFERROR(VLOOKUP(N453,'TABLA-DIA'!$B$2:$P$62,7,FALSE),"")</f>
        <v/>
      </c>
      <c r="H453" s="117" t="str">
        <f>IFERROR(VLOOKUP(N453,'TABLA-DIA'!$B$2:$P$62,10,FALSE),"")</f>
        <v/>
      </c>
      <c r="I453" s="444" t="str">
        <f>IFERROR(VLOOKUP(N453,'TABLA-DIA'!$B$2:$P$62,11,FALSE),"")</f>
        <v/>
      </c>
      <c r="J453" s="440" t="str">
        <f>IFERROR(VLOOKUP(N453,'TABLA-DIA'!$B$2:$P$62,12,FALSE),"")</f>
        <v/>
      </c>
      <c r="K453" s="118" t="str">
        <f>IFERROR(VLOOKUP(N453,'TABLA-DIA'!$B$2:$P$62,13,FALSE),"")</f>
        <v/>
      </c>
      <c r="L453" s="119" t="str">
        <f>IFERROR(IF(VLOOKUP(N453,'TABLA-DIA'!$B$2:$P$62,14,FALSE)="","",VLOOKUP(N453,'TABLA-DIA'!$B$2:$P$62,14,FALSE)),"")</f>
        <v/>
      </c>
      <c r="M453" s="120">
        <v>7</v>
      </c>
      <c r="N453" s="125" t="str">
        <f t="shared" si="23"/>
        <v>0-7</v>
      </c>
    </row>
    <row r="454" spans="2:15" ht="67.150000000000006" hidden="1" customHeight="1">
      <c r="B454" s="752"/>
      <c r="C454" s="74" t="str">
        <f>IFERROR(VLOOKUP(N454,'TABLA-DIA'!$B$2:$P$62,9,FALSE),"")</f>
        <v/>
      </c>
      <c r="D454" s="116" t="str">
        <f>IFERROR(VLOOKUP(N454,'TABLA-DIA'!$B$2:$P$62,4,FALSE),"")</f>
        <v/>
      </c>
      <c r="E454" s="332" t="str">
        <f>IFERROR(VLOOKUP(N454,'TABLA-DIA'!$B$2:$P$62,5,FALSE),"")</f>
        <v/>
      </c>
      <c r="F454" s="332" t="str">
        <f>IFERROR(VLOOKUP(N454,'TABLA-DIA'!$B$2:$P$62,6,FALSE),"")</f>
        <v/>
      </c>
      <c r="G454" s="360" t="str">
        <f>IFERROR(VLOOKUP(N454,'TABLA-DIA'!$B$2:$P$62,7,FALSE),"")</f>
        <v/>
      </c>
      <c r="H454" s="117" t="str">
        <f>IFERROR(VLOOKUP(N454,'TABLA-DIA'!$B$2:$P$62,10,FALSE),"")</f>
        <v/>
      </c>
      <c r="I454" s="444" t="str">
        <f>IFERROR(VLOOKUP(N454,'TABLA-DIA'!$B$2:$P$62,11,FALSE),"")</f>
        <v/>
      </c>
      <c r="J454" s="440" t="str">
        <f>IFERROR(VLOOKUP(N454,'TABLA-DIA'!$B$2:$P$62,12,FALSE),"")</f>
        <v/>
      </c>
      <c r="K454" s="118" t="str">
        <f>IFERROR(VLOOKUP(N454,'TABLA-DIA'!$B$2:$P$62,13,FALSE),"")</f>
        <v/>
      </c>
      <c r="L454" s="119" t="str">
        <f>IFERROR(IF(VLOOKUP(N454,'TABLA-DIA'!$B$2:$P$62,14,FALSE)="","",VLOOKUP(N454,'TABLA-DIA'!$B$2:$P$62,14,FALSE)),"")</f>
        <v/>
      </c>
      <c r="M454" s="120">
        <v>8</v>
      </c>
      <c r="N454" s="125" t="str">
        <f t="shared" si="23"/>
        <v>0-8</v>
      </c>
    </row>
    <row r="455" spans="2:15" ht="67.150000000000006" hidden="1" customHeight="1">
      <c r="B455" s="752"/>
      <c r="C455" s="74" t="str">
        <f>IFERROR(VLOOKUP(N455,'TABLA-DIA'!$B$2:$P$62,9,FALSE),"")</f>
        <v/>
      </c>
      <c r="D455" s="116" t="str">
        <f>IFERROR(VLOOKUP(N455,'TABLA-DIA'!$B$2:$P$62,4,FALSE),"")</f>
        <v/>
      </c>
      <c r="E455" s="332" t="str">
        <f>IFERROR(VLOOKUP(N455,'TABLA-DIA'!$B$2:$P$62,5,FALSE),"")</f>
        <v/>
      </c>
      <c r="F455" s="332" t="str">
        <f>IFERROR(VLOOKUP(N455,'TABLA-DIA'!$B$2:$P$62,6,FALSE),"")</f>
        <v/>
      </c>
      <c r="G455" s="360" t="str">
        <f>IFERROR(VLOOKUP(N455,'TABLA-DIA'!$B$2:$P$62,7,FALSE),"")</f>
        <v/>
      </c>
      <c r="H455" s="117" t="str">
        <f>IFERROR(VLOOKUP(N455,'TABLA-DIA'!$B$2:$P$62,10,FALSE),"")</f>
        <v/>
      </c>
      <c r="I455" s="444" t="str">
        <f>IFERROR(VLOOKUP(N455,'TABLA-DIA'!$B$2:$P$62,11,FALSE),"")</f>
        <v/>
      </c>
      <c r="J455" s="440" t="str">
        <f>IFERROR(VLOOKUP(N455,'TABLA-DIA'!$B$2:$P$62,12,FALSE),"")</f>
        <v/>
      </c>
      <c r="K455" s="118" t="str">
        <f>IFERROR(VLOOKUP(N455,'TABLA-DIA'!$B$2:$P$62,13,FALSE),"")</f>
        <v/>
      </c>
      <c r="L455" s="119" t="str">
        <f>IFERROR(IF(VLOOKUP(N455,'TABLA-DIA'!$B$2:$P$62,14,FALSE)="","",VLOOKUP(N455,'TABLA-DIA'!$B$2:$P$62,14,FALSE)),"")</f>
        <v/>
      </c>
      <c r="M455" s="120">
        <v>9</v>
      </c>
      <c r="N455" s="125" t="str">
        <f t="shared" si="23"/>
        <v>0-9</v>
      </c>
    </row>
    <row r="456" spans="2:15" ht="67.150000000000006" hidden="1" customHeight="1">
      <c r="B456" s="753"/>
      <c r="C456" s="137" t="str">
        <f>IFERROR(VLOOKUP(N456,'TABLA-DIA'!$B$2:$P$62,9,FALSE),"")</f>
        <v/>
      </c>
      <c r="D456" s="126" t="str">
        <f>IFERROR(VLOOKUP(N456,'TABLA-DIA'!$B$2:$P$62,4,FALSE),"")</f>
        <v/>
      </c>
      <c r="E456" s="334" t="str">
        <f>IFERROR(VLOOKUP(N456,'TABLA-DIA'!$B$2:$P$62,5,FALSE),"")</f>
        <v/>
      </c>
      <c r="F456" s="334" t="str">
        <f>IFERROR(VLOOKUP(N456,'TABLA-DIA'!$B$2:$P$62,6,FALSE),"")</f>
        <v/>
      </c>
      <c r="G456" s="362" t="str">
        <f>IFERROR(VLOOKUP(N456,'TABLA-DIA'!$B$2:$P$62,7,FALSE),"")</f>
        <v/>
      </c>
      <c r="H456" s="127" t="str">
        <f>IFERROR(VLOOKUP(N456,'TABLA-DIA'!$B$2:$P$62,10,FALSE),"")</f>
        <v/>
      </c>
      <c r="I456" s="445" t="str">
        <f>IFERROR(VLOOKUP(N456,'TABLA-DIA'!$B$2:$P$62,11,FALSE),"")</f>
        <v/>
      </c>
      <c r="J456" s="443" t="str">
        <f>IFERROR(VLOOKUP(N456,'TABLA-DIA'!$B$2:$P$62,12,FALSE),"")</f>
        <v/>
      </c>
      <c r="K456" s="128" t="str">
        <f>IFERROR(VLOOKUP(N456,'TABLA-DIA'!$B$2:$P$62,13,FALSE),"")</f>
        <v/>
      </c>
      <c r="L456" s="129" t="str">
        <f>IFERROR(IF(VLOOKUP(N456,'TABLA-DIA'!$B$2:$P$62,14,FALSE)="","",VLOOKUP(N456,'TABLA-DIA'!$B$2:$P$62,14,FALSE)),"")</f>
        <v/>
      </c>
      <c r="M456" s="136">
        <v>10</v>
      </c>
      <c r="N456" s="130" t="str">
        <f t="shared" si="23"/>
        <v>0-10</v>
      </c>
    </row>
    <row r="457" spans="2:15" ht="90" customHeight="1" thickBot="1">
      <c r="B457" s="751">
        <f>+'TABLA-DIA'!B166</f>
        <v>0</v>
      </c>
      <c r="C457" s="96" t="str">
        <f>IFERROR(VLOOKUP(N457,'TABLA-DIA'!$B$2:$P$62,9,FALSE),"")</f>
        <v/>
      </c>
      <c r="D457" s="121" t="str">
        <f>IFERROR(VLOOKUP(N457,'TABLA-DIA'!$B$2:$P$62,4,FALSE),"")</f>
        <v/>
      </c>
      <c r="E457" s="331" t="str">
        <f>IFERROR(VLOOKUP(N457,'TABLA-DIA'!$B$2:$P$62,5,FALSE),"")</f>
        <v/>
      </c>
      <c r="F457" s="331" t="str">
        <f>IFERROR(VLOOKUP(N457,'TABLA-DIA'!$B$2:$P$62,6,FALSE),"")</f>
        <v/>
      </c>
      <c r="G457" s="359" t="str">
        <f>IFERROR(VLOOKUP(N457,'TABLA-DIA'!$B$2:$P$62,7,FALSE),"")</f>
        <v/>
      </c>
      <c r="H457" s="122" t="str">
        <f>IFERROR(VLOOKUP(N457,'TABLA-DIA'!$B$2:$P$62,10,FALSE),"")</f>
        <v/>
      </c>
      <c r="I457" s="446" t="str">
        <f>IFERROR(VLOOKUP(N457,'TABLA-DIA'!$B$2:$P$62,11,FALSE),"")</f>
        <v/>
      </c>
      <c r="J457" s="442" t="str">
        <f>IFERROR(VLOOKUP(N457,'TABLA-DIA'!$B$2:$P$62,12,FALSE),"")</f>
        <v/>
      </c>
      <c r="K457" s="123" t="str">
        <f>IFERROR(VLOOKUP(N457,'TABLA-DIA'!$B$2:$P$62,13,FALSE),"")</f>
        <v/>
      </c>
      <c r="L457" s="124" t="str">
        <f>IFERROR(IF(VLOOKUP(N457,'TABLA-DIA'!$B$2:$P$62,14,FALSE)="","",VLOOKUP(N457,'TABLA-DIA'!$B$2:$P$62,14,FALSE)),"")</f>
        <v/>
      </c>
      <c r="M457" s="100">
        <v>1</v>
      </c>
      <c r="N457" s="98" t="str">
        <f t="shared" ref="N457:N466" si="24">CONCATENATE($B$457,"-",M457)</f>
        <v>0-1</v>
      </c>
      <c r="O457" s="91">
        <f>COUNTIF(G457:G466,"&lt;&gt;**")</f>
        <v>0</v>
      </c>
    </row>
    <row r="458" spans="2:15" ht="67.150000000000006" hidden="1" customHeight="1">
      <c r="B458" s="752"/>
      <c r="C458" s="74" t="str">
        <f>IFERROR(VLOOKUP(N458,'TABLA-DIA'!$B$2:$P$62,9,FALSE),"")</f>
        <v/>
      </c>
      <c r="D458" s="116" t="str">
        <f>IFERROR(VLOOKUP(N458,'TABLA-DIA'!$B$2:$P$62,4,FALSE),"")</f>
        <v/>
      </c>
      <c r="E458" s="332" t="str">
        <f>IFERROR(VLOOKUP(N458,'TABLA-DIA'!$B$2:$P$62,5,FALSE),"")</f>
        <v/>
      </c>
      <c r="F458" s="332" t="str">
        <f>IFERROR(VLOOKUP(N458,'TABLA-DIA'!$B$2:$P$62,6,FALSE),"")</f>
        <v/>
      </c>
      <c r="G458" s="360" t="str">
        <f>IFERROR(VLOOKUP(N458,'TABLA-DIA'!$B$2:$P$62,7,FALSE),"")</f>
        <v/>
      </c>
      <c r="H458" s="117" t="str">
        <f>IFERROR(VLOOKUP(N458,'TABLA-DIA'!$B$2:$P$62,10,FALSE),"")</f>
        <v/>
      </c>
      <c r="I458" s="444" t="str">
        <f>IFERROR(VLOOKUP(N458,'TABLA-DIA'!$B$2:$P$62,11,FALSE),"")</f>
        <v/>
      </c>
      <c r="J458" s="440" t="str">
        <f>IFERROR(VLOOKUP(N458,'TABLA-DIA'!$B$2:$P$62,12,FALSE),"")</f>
        <v/>
      </c>
      <c r="K458" s="118" t="str">
        <f>IFERROR(VLOOKUP(N458,'TABLA-DIA'!$B$2:$P$62,13,FALSE),"")</f>
        <v/>
      </c>
      <c r="L458" s="119" t="str">
        <f>IFERROR(IF(VLOOKUP(N458,'TABLA-DIA'!$B$2:$P$62,14,FALSE)="","",VLOOKUP(N458,'TABLA-DIA'!$B$2:$P$62,14,FALSE)),"")</f>
        <v/>
      </c>
      <c r="M458" s="120">
        <v>2</v>
      </c>
      <c r="N458" s="125" t="str">
        <f t="shared" si="24"/>
        <v>0-2</v>
      </c>
    </row>
    <row r="459" spans="2:15" ht="67.150000000000006" hidden="1" customHeight="1">
      <c r="B459" s="752"/>
      <c r="C459" s="74" t="str">
        <f>IFERROR(VLOOKUP(N459,'TABLA-DIA'!$B$2:$P$62,9,FALSE),"")</f>
        <v/>
      </c>
      <c r="D459" s="116" t="str">
        <f>IFERROR(VLOOKUP(N459,'TABLA-DIA'!$B$2:$P$62,4,FALSE),"")</f>
        <v/>
      </c>
      <c r="E459" s="332" t="str">
        <f>IFERROR(VLOOKUP(N459,'TABLA-DIA'!$B$2:$P$62,5,FALSE),"")</f>
        <v/>
      </c>
      <c r="F459" s="332" t="str">
        <f>IFERROR(VLOOKUP(N459,'TABLA-DIA'!$B$2:$P$62,6,FALSE),"")</f>
        <v/>
      </c>
      <c r="G459" s="360" t="str">
        <f>IFERROR(VLOOKUP(N459,'TABLA-DIA'!$B$2:$P$62,7,FALSE),"")</f>
        <v/>
      </c>
      <c r="H459" s="117" t="str">
        <f>IFERROR(VLOOKUP(N459,'TABLA-DIA'!$B$2:$P$62,10,FALSE),"")</f>
        <v/>
      </c>
      <c r="I459" s="444" t="str">
        <f>IFERROR(VLOOKUP(N459,'TABLA-DIA'!$B$2:$P$62,11,FALSE),"")</f>
        <v/>
      </c>
      <c r="J459" s="440" t="str">
        <f>IFERROR(VLOOKUP(N459,'TABLA-DIA'!$B$2:$P$62,12,FALSE),"")</f>
        <v/>
      </c>
      <c r="K459" s="118" t="str">
        <f>IFERROR(VLOOKUP(N459,'TABLA-DIA'!$B$2:$P$62,13,FALSE),"")</f>
        <v/>
      </c>
      <c r="L459" s="119" t="str">
        <f>IFERROR(IF(VLOOKUP(N459,'TABLA-DIA'!$B$2:$P$62,14,FALSE)="","",VLOOKUP(N459,'TABLA-DIA'!$B$2:$P$62,14,FALSE)),"")</f>
        <v/>
      </c>
      <c r="M459" s="120">
        <v>3</v>
      </c>
      <c r="N459" s="125" t="str">
        <f t="shared" si="24"/>
        <v>0-3</v>
      </c>
    </row>
    <row r="460" spans="2:15" ht="67.150000000000006" hidden="1" customHeight="1">
      <c r="B460" s="752"/>
      <c r="C460" s="74" t="str">
        <f>IFERROR(VLOOKUP(N460,'TABLA-DIA'!$B$2:$P$62,9,FALSE),"")</f>
        <v/>
      </c>
      <c r="D460" s="116" t="str">
        <f>IFERROR(VLOOKUP(N460,'TABLA-DIA'!$B$2:$P$62,4,FALSE),"")</f>
        <v/>
      </c>
      <c r="E460" s="332" t="str">
        <f>IFERROR(VLOOKUP(N460,'TABLA-DIA'!$B$2:$P$62,5,FALSE),"")</f>
        <v/>
      </c>
      <c r="F460" s="332" t="str">
        <f>IFERROR(VLOOKUP(N460,'TABLA-DIA'!$B$2:$P$62,6,FALSE),"")</f>
        <v/>
      </c>
      <c r="G460" s="360" t="str">
        <f>IFERROR(VLOOKUP(N460,'TABLA-DIA'!$B$2:$P$62,7,FALSE),"")</f>
        <v/>
      </c>
      <c r="H460" s="117" t="str">
        <f>IFERROR(VLOOKUP(N460,'TABLA-DIA'!$B$2:$P$62,10,FALSE),"")</f>
        <v/>
      </c>
      <c r="I460" s="444" t="str">
        <f>IFERROR(VLOOKUP(N460,'TABLA-DIA'!$B$2:$P$62,11,FALSE),"")</f>
        <v/>
      </c>
      <c r="J460" s="440" t="str">
        <f>IFERROR(VLOOKUP(N460,'TABLA-DIA'!$B$2:$P$62,12,FALSE),"")</f>
        <v/>
      </c>
      <c r="K460" s="118" t="str">
        <f>IFERROR(VLOOKUP(N460,'TABLA-DIA'!$B$2:$P$62,13,FALSE),"")</f>
        <v/>
      </c>
      <c r="L460" s="119" t="str">
        <f>IFERROR(IF(VLOOKUP(N460,'TABLA-DIA'!$B$2:$P$62,14,FALSE)="","",VLOOKUP(N460,'TABLA-DIA'!$B$2:$P$62,14,FALSE)),"")</f>
        <v/>
      </c>
      <c r="M460" s="120">
        <v>4</v>
      </c>
      <c r="N460" s="125" t="str">
        <f t="shared" si="24"/>
        <v>0-4</v>
      </c>
    </row>
    <row r="461" spans="2:15" ht="67.150000000000006" hidden="1" customHeight="1">
      <c r="B461" s="752"/>
      <c r="C461" s="74" t="str">
        <f>IFERROR(VLOOKUP(N461,'TABLA-DIA'!$B$2:$P$62,9,FALSE),"")</f>
        <v/>
      </c>
      <c r="D461" s="116" t="str">
        <f>IFERROR(VLOOKUP(N461,'TABLA-DIA'!$B$2:$P$62,4,FALSE),"")</f>
        <v/>
      </c>
      <c r="E461" s="332" t="str">
        <f>IFERROR(VLOOKUP(N461,'TABLA-DIA'!$B$2:$P$62,5,FALSE),"")</f>
        <v/>
      </c>
      <c r="F461" s="332" t="str">
        <f>IFERROR(VLOOKUP(N461,'TABLA-DIA'!$B$2:$P$62,6,FALSE),"")</f>
        <v/>
      </c>
      <c r="G461" s="360" t="str">
        <f>IFERROR(VLOOKUP(N461,'TABLA-DIA'!$B$2:$P$62,7,FALSE),"")</f>
        <v/>
      </c>
      <c r="H461" s="117" t="str">
        <f>IFERROR(VLOOKUP(N461,'TABLA-DIA'!$B$2:$P$62,10,FALSE),"")</f>
        <v/>
      </c>
      <c r="I461" s="444" t="str">
        <f>IFERROR(VLOOKUP(N461,'TABLA-DIA'!$B$2:$P$62,11,FALSE),"")</f>
        <v/>
      </c>
      <c r="J461" s="440" t="str">
        <f>IFERROR(VLOOKUP(N461,'TABLA-DIA'!$B$2:$P$62,12,FALSE),"")</f>
        <v/>
      </c>
      <c r="K461" s="118" t="str">
        <f>IFERROR(VLOOKUP(N461,'TABLA-DIA'!$B$2:$P$62,13,FALSE),"")</f>
        <v/>
      </c>
      <c r="L461" s="119" t="str">
        <f>IFERROR(IF(VLOOKUP(N461,'TABLA-DIA'!$B$2:$P$62,14,FALSE)="","",VLOOKUP(N461,'TABLA-DIA'!$B$2:$P$62,14,FALSE)),"")</f>
        <v/>
      </c>
      <c r="M461" s="120">
        <v>5</v>
      </c>
      <c r="N461" s="125" t="str">
        <f t="shared" si="24"/>
        <v>0-5</v>
      </c>
    </row>
    <row r="462" spans="2:15" ht="67.150000000000006" hidden="1" customHeight="1">
      <c r="B462" s="752"/>
      <c r="C462" s="74" t="str">
        <f>IFERROR(VLOOKUP(N462,'TABLA-DIA'!$B$2:$P$62,9,FALSE),"")</f>
        <v/>
      </c>
      <c r="D462" s="116" t="str">
        <f>IFERROR(VLOOKUP(N462,'TABLA-DIA'!$B$2:$P$62,4,FALSE),"")</f>
        <v/>
      </c>
      <c r="E462" s="332" t="str">
        <f>IFERROR(VLOOKUP(N462,'TABLA-DIA'!$B$2:$P$62,5,FALSE),"")</f>
        <v/>
      </c>
      <c r="F462" s="332" t="str">
        <f>IFERROR(VLOOKUP(N462,'TABLA-DIA'!$B$2:$P$62,6,FALSE),"")</f>
        <v/>
      </c>
      <c r="G462" s="360" t="str">
        <f>IFERROR(VLOOKUP(N462,'TABLA-DIA'!$B$2:$P$62,7,FALSE),"")</f>
        <v/>
      </c>
      <c r="H462" s="117" t="str">
        <f>IFERROR(VLOOKUP(N462,'TABLA-DIA'!$B$2:$P$62,10,FALSE),"")</f>
        <v/>
      </c>
      <c r="I462" s="444" t="str">
        <f>IFERROR(VLOOKUP(N462,'TABLA-DIA'!$B$2:$P$62,11,FALSE),"")</f>
        <v/>
      </c>
      <c r="J462" s="440" t="str">
        <f>IFERROR(VLOOKUP(N462,'TABLA-DIA'!$B$2:$P$62,12,FALSE),"")</f>
        <v/>
      </c>
      <c r="K462" s="118" t="str">
        <f>IFERROR(VLOOKUP(N462,'TABLA-DIA'!$B$2:$P$62,13,FALSE),"")</f>
        <v/>
      </c>
      <c r="L462" s="119" t="str">
        <f>IFERROR(IF(VLOOKUP(N462,'TABLA-DIA'!$B$2:$P$62,14,FALSE)="","",VLOOKUP(N462,'TABLA-DIA'!$B$2:$P$62,14,FALSE)),"")</f>
        <v/>
      </c>
      <c r="M462" s="120">
        <v>6</v>
      </c>
      <c r="N462" s="125" t="str">
        <f t="shared" si="24"/>
        <v>0-6</v>
      </c>
    </row>
    <row r="463" spans="2:15" ht="67.150000000000006" hidden="1" customHeight="1">
      <c r="B463" s="752"/>
      <c r="C463" s="74" t="str">
        <f>IFERROR(VLOOKUP(N463,'TABLA-DIA'!$B$2:$P$62,9,FALSE),"")</f>
        <v/>
      </c>
      <c r="D463" s="116" t="str">
        <f>IFERROR(VLOOKUP(N463,'TABLA-DIA'!$B$2:$P$62,4,FALSE),"")</f>
        <v/>
      </c>
      <c r="E463" s="332" t="str">
        <f>IFERROR(VLOOKUP(N463,'TABLA-DIA'!$B$2:$P$62,5,FALSE),"")</f>
        <v/>
      </c>
      <c r="F463" s="332" t="str">
        <f>IFERROR(VLOOKUP(N463,'TABLA-DIA'!$B$2:$P$62,6,FALSE),"")</f>
        <v/>
      </c>
      <c r="G463" s="360" t="str">
        <f>IFERROR(VLOOKUP(N463,'TABLA-DIA'!$B$2:$P$62,7,FALSE),"")</f>
        <v/>
      </c>
      <c r="H463" s="117" t="str">
        <f>IFERROR(VLOOKUP(N463,'TABLA-DIA'!$B$2:$P$62,10,FALSE),"")</f>
        <v/>
      </c>
      <c r="I463" s="444" t="str">
        <f>IFERROR(VLOOKUP(N463,'TABLA-DIA'!$B$2:$P$62,11,FALSE),"")</f>
        <v/>
      </c>
      <c r="J463" s="440" t="str">
        <f>IFERROR(VLOOKUP(N463,'TABLA-DIA'!$B$2:$P$62,12,FALSE),"")</f>
        <v/>
      </c>
      <c r="K463" s="118" t="str">
        <f>IFERROR(VLOOKUP(N463,'TABLA-DIA'!$B$2:$P$62,13,FALSE),"")</f>
        <v/>
      </c>
      <c r="L463" s="119" t="str">
        <f>IFERROR(IF(VLOOKUP(N463,'TABLA-DIA'!$B$2:$P$62,14,FALSE)="","",VLOOKUP(N463,'TABLA-DIA'!$B$2:$P$62,14,FALSE)),"")</f>
        <v/>
      </c>
      <c r="M463" s="120">
        <v>7</v>
      </c>
      <c r="N463" s="125" t="str">
        <f t="shared" si="24"/>
        <v>0-7</v>
      </c>
    </row>
    <row r="464" spans="2:15" ht="67.150000000000006" hidden="1" customHeight="1">
      <c r="B464" s="752"/>
      <c r="C464" s="74" t="str">
        <f>IFERROR(VLOOKUP(N464,'TABLA-DIA'!$B$2:$P$62,9,FALSE),"")</f>
        <v/>
      </c>
      <c r="D464" s="116" t="str">
        <f>IFERROR(VLOOKUP(N464,'TABLA-DIA'!$B$2:$P$62,4,FALSE),"")</f>
        <v/>
      </c>
      <c r="E464" s="332" t="str">
        <f>IFERROR(VLOOKUP(N464,'TABLA-DIA'!$B$2:$P$62,5,FALSE),"")</f>
        <v/>
      </c>
      <c r="F464" s="332" t="str">
        <f>IFERROR(VLOOKUP(N464,'TABLA-DIA'!$B$2:$P$62,6,FALSE),"")</f>
        <v/>
      </c>
      <c r="G464" s="360" t="str">
        <f>IFERROR(VLOOKUP(N464,'TABLA-DIA'!$B$2:$P$62,7,FALSE),"")</f>
        <v/>
      </c>
      <c r="H464" s="117" t="str">
        <f>IFERROR(VLOOKUP(N464,'TABLA-DIA'!$B$2:$P$62,10,FALSE),"")</f>
        <v/>
      </c>
      <c r="I464" s="444" t="str">
        <f>IFERROR(VLOOKUP(N464,'TABLA-DIA'!$B$2:$P$62,11,FALSE),"")</f>
        <v/>
      </c>
      <c r="J464" s="440" t="str">
        <f>IFERROR(VLOOKUP(N464,'TABLA-DIA'!$B$2:$P$62,12,FALSE),"")</f>
        <v/>
      </c>
      <c r="K464" s="118" t="str">
        <f>IFERROR(VLOOKUP(N464,'TABLA-DIA'!$B$2:$P$62,13,FALSE),"")</f>
        <v/>
      </c>
      <c r="L464" s="119" t="str">
        <f>IFERROR(IF(VLOOKUP(N464,'TABLA-DIA'!$B$2:$P$62,14,FALSE)="","",VLOOKUP(N464,'TABLA-DIA'!$B$2:$P$62,14,FALSE)),"")</f>
        <v/>
      </c>
      <c r="M464" s="120">
        <v>8</v>
      </c>
      <c r="N464" s="125" t="str">
        <f t="shared" si="24"/>
        <v>0-8</v>
      </c>
    </row>
    <row r="465" spans="2:15" ht="67.150000000000006" hidden="1" customHeight="1">
      <c r="B465" s="752"/>
      <c r="C465" s="74" t="str">
        <f>IFERROR(VLOOKUP(N465,'TABLA-DIA'!$B$2:$P$62,9,FALSE),"")</f>
        <v/>
      </c>
      <c r="D465" s="116" t="str">
        <f>IFERROR(VLOOKUP(N465,'TABLA-DIA'!$B$2:$P$62,4,FALSE),"")</f>
        <v/>
      </c>
      <c r="E465" s="332" t="str">
        <f>IFERROR(VLOOKUP(N465,'TABLA-DIA'!$B$2:$P$62,5,FALSE),"")</f>
        <v/>
      </c>
      <c r="F465" s="332" t="str">
        <f>IFERROR(VLOOKUP(N465,'TABLA-DIA'!$B$2:$P$62,6,FALSE),"")</f>
        <v/>
      </c>
      <c r="G465" s="360" t="str">
        <f>IFERROR(VLOOKUP(N465,'TABLA-DIA'!$B$2:$P$62,7,FALSE),"")</f>
        <v/>
      </c>
      <c r="H465" s="117" t="str">
        <f>IFERROR(VLOOKUP(N465,'TABLA-DIA'!$B$2:$P$62,10,FALSE),"")</f>
        <v/>
      </c>
      <c r="I465" s="444" t="str">
        <f>IFERROR(VLOOKUP(N465,'TABLA-DIA'!$B$2:$P$62,11,FALSE),"")</f>
        <v/>
      </c>
      <c r="J465" s="440" t="str">
        <f>IFERROR(VLOOKUP(N465,'TABLA-DIA'!$B$2:$P$62,12,FALSE),"")</f>
        <v/>
      </c>
      <c r="K465" s="118" t="str">
        <f>IFERROR(VLOOKUP(N465,'TABLA-DIA'!$B$2:$P$62,13,FALSE),"")</f>
        <v/>
      </c>
      <c r="L465" s="119" t="str">
        <f>IFERROR(IF(VLOOKUP(N465,'TABLA-DIA'!$B$2:$P$62,14,FALSE)="","",VLOOKUP(N465,'TABLA-DIA'!$B$2:$P$62,14,FALSE)),"")</f>
        <v/>
      </c>
      <c r="M465" s="120">
        <v>9</v>
      </c>
      <c r="N465" s="125" t="str">
        <f t="shared" si="24"/>
        <v>0-9</v>
      </c>
    </row>
    <row r="466" spans="2:15" ht="67.150000000000006" hidden="1" customHeight="1">
      <c r="B466" s="753"/>
      <c r="C466" s="137" t="str">
        <f>IFERROR(VLOOKUP(N466,'TABLA-DIA'!$B$2:$P$62,9,FALSE),"")</f>
        <v/>
      </c>
      <c r="D466" s="126" t="str">
        <f>IFERROR(VLOOKUP(N466,'TABLA-DIA'!$B$2:$P$62,4,FALSE),"")</f>
        <v/>
      </c>
      <c r="E466" s="334" t="str">
        <f>IFERROR(VLOOKUP(N466,'TABLA-DIA'!$B$2:$P$62,5,FALSE),"")</f>
        <v/>
      </c>
      <c r="F466" s="334" t="str">
        <f>IFERROR(VLOOKUP(N466,'TABLA-DIA'!$B$2:$P$62,6,FALSE),"")</f>
        <v/>
      </c>
      <c r="G466" s="362" t="str">
        <f>IFERROR(VLOOKUP(N466,'TABLA-DIA'!$B$2:$P$62,7,FALSE),"")</f>
        <v/>
      </c>
      <c r="H466" s="127" t="str">
        <f>IFERROR(VLOOKUP(N466,'TABLA-DIA'!$B$2:$P$62,10,FALSE),"")</f>
        <v/>
      </c>
      <c r="I466" s="445" t="str">
        <f>IFERROR(VLOOKUP(N466,'TABLA-DIA'!$B$2:$P$62,11,FALSE),"")</f>
        <v/>
      </c>
      <c r="J466" s="443" t="str">
        <f>IFERROR(VLOOKUP(N466,'TABLA-DIA'!$B$2:$P$62,12,FALSE),"")</f>
        <v/>
      </c>
      <c r="K466" s="128" t="str">
        <f>IFERROR(VLOOKUP(N466,'TABLA-DIA'!$B$2:$P$62,13,FALSE),"")</f>
        <v/>
      </c>
      <c r="L466" s="129" t="str">
        <f>IFERROR(IF(VLOOKUP(N466,'TABLA-DIA'!$B$2:$P$62,14,FALSE)="","",VLOOKUP(N466,'TABLA-DIA'!$B$2:$P$62,14,FALSE)),"")</f>
        <v/>
      </c>
      <c r="M466" s="136">
        <v>10</v>
      </c>
      <c r="N466" s="130" t="str">
        <f t="shared" si="24"/>
        <v>0-10</v>
      </c>
    </row>
    <row r="467" spans="2:15" ht="82.15" customHeight="1" thickBot="1">
      <c r="B467" s="751">
        <f>+'TABLA-DIA'!B167</f>
        <v>0</v>
      </c>
      <c r="C467" s="96" t="str">
        <f>IFERROR(VLOOKUP(N467,'TABLA-DIA'!$B$2:$P$62,9,FALSE),"")</f>
        <v/>
      </c>
      <c r="D467" s="121" t="str">
        <f>IFERROR(VLOOKUP(N467,'TABLA-DIA'!$B$2:$P$62,4,FALSE),"")</f>
        <v/>
      </c>
      <c r="E467" s="331" t="str">
        <f>IFERROR(VLOOKUP(N467,'TABLA-DIA'!$B$2:$P$62,5,FALSE),"")</f>
        <v/>
      </c>
      <c r="F467" s="331" t="str">
        <f>IFERROR(VLOOKUP(N467,'TABLA-DIA'!$B$2:$P$62,6,FALSE),"")</f>
        <v/>
      </c>
      <c r="G467" s="359" t="str">
        <f>IFERROR(VLOOKUP(N467,'TABLA-DIA'!$B$2:$P$62,7,FALSE),"")</f>
        <v/>
      </c>
      <c r="H467" s="122" t="str">
        <f>IFERROR(VLOOKUP(N467,'TABLA-DIA'!$B$2:$P$62,10,FALSE),"")</f>
        <v/>
      </c>
      <c r="I467" s="446" t="str">
        <f>IFERROR(VLOOKUP(N467,'TABLA-DIA'!$B$2:$P$62,11,FALSE),"")</f>
        <v/>
      </c>
      <c r="J467" s="442" t="str">
        <f>IFERROR(VLOOKUP(N467,'TABLA-DIA'!$B$2:$P$62,12,FALSE),"")</f>
        <v/>
      </c>
      <c r="K467" s="123" t="str">
        <f>IFERROR(VLOOKUP(N467,'TABLA-DIA'!$B$2:$P$62,13,FALSE),"")</f>
        <v/>
      </c>
      <c r="L467" s="124" t="str">
        <f>IFERROR(IF(VLOOKUP(N467,'TABLA-DIA'!$B$2:$P$62,14,FALSE)="","",VLOOKUP(N467,'TABLA-DIA'!$B$2:$P$62,14,FALSE)),"")</f>
        <v/>
      </c>
      <c r="M467" s="100">
        <v>1</v>
      </c>
      <c r="N467" s="98" t="str">
        <f t="shared" ref="N467:N476" si="25">CONCATENATE($B$467,"-",M467)</f>
        <v>0-1</v>
      </c>
      <c r="O467" s="91">
        <f>COUNTIF(G467:G476,"&lt;&gt;**")</f>
        <v>0</v>
      </c>
    </row>
    <row r="468" spans="2:15" ht="67.150000000000006" hidden="1" customHeight="1">
      <c r="B468" s="752"/>
      <c r="C468" s="74" t="str">
        <f>IFERROR(VLOOKUP(N468,'TABLA-DIA'!$B$2:$P$62,9,FALSE),"")</f>
        <v/>
      </c>
      <c r="D468" s="116" t="str">
        <f>IFERROR(VLOOKUP(N468,'TABLA-DIA'!$B$2:$P$62,4,FALSE),"")</f>
        <v/>
      </c>
      <c r="E468" s="332" t="str">
        <f>IFERROR(VLOOKUP(N468,'TABLA-DIA'!$B$2:$P$62,5,FALSE),"")</f>
        <v/>
      </c>
      <c r="F468" s="332" t="str">
        <f>IFERROR(VLOOKUP(N468,'TABLA-DIA'!$B$2:$P$62,6,FALSE),"")</f>
        <v/>
      </c>
      <c r="G468" s="360" t="str">
        <f>IFERROR(VLOOKUP(N468,'TABLA-DIA'!$B$2:$P$62,7,FALSE),"")</f>
        <v/>
      </c>
      <c r="H468" s="117" t="str">
        <f>IFERROR(VLOOKUP(N468,'TABLA-DIA'!$B$2:$P$62,10,FALSE),"")</f>
        <v/>
      </c>
      <c r="I468" s="444" t="str">
        <f>IFERROR(VLOOKUP(N468,'TABLA-DIA'!$B$2:$P$62,11,FALSE),"")</f>
        <v/>
      </c>
      <c r="J468" s="444" t="str">
        <f>IFERROR(VLOOKUP(N468,'TABLA-DIA'!$B$2:$P$62,12,FALSE),"")</f>
        <v/>
      </c>
      <c r="K468" s="118" t="str">
        <f>IFERROR(VLOOKUP(N468,'TABLA-DIA'!$B$2:$P$62,13,FALSE),"")</f>
        <v/>
      </c>
      <c r="L468" s="119" t="str">
        <f>IFERROR(IF(VLOOKUP(N468,'TABLA-DIA'!$B$2:$P$62,14,FALSE)="","",VLOOKUP(N468,'TABLA-DIA'!$B$2:$P$62,14,FALSE)),"")</f>
        <v/>
      </c>
      <c r="M468" s="120">
        <v>2</v>
      </c>
      <c r="N468" s="125" t="str">
        <f t="shared" si="25"/>
        <v>0-2</v>
      </c>
    </row>
    <row r="469" spans="2:15" ht="67.150000000000006" hidden="1" customHeight="1">
      <c r="B469" s="752"/>
      <c r="C469" s="74" t="str">
        <f>IFERROR(VLOOKUP(N469,'TABLA-DIA'!$B$2:$P$62,9,FALSE),"")</f>
        <v/>
      </c>
      <c r="D469" s="116" t="str">
        <f>IFERROR(VLOOKUP(N469,'TABLA-DIA'!$B$2:$P$62,4,FALSE),"")</f>
        <v/>
      </c>
      <c r="E469" s="332" t="str">
        <f>IFERROR(VLOOKUP(N469,'TABLA-DIA'!$B$2:$P$62,5,FALSE),"")</f>
        <v/>
      </c>
      <c r="F469" s="332" t="str">
        <f>IFERROR(VLOOKUP(N469,'TABLA-DIA'!$B$2:$P$62,6,FALSE),"")</f>
        <v/>
      </c>
      <c r="G469" s="360" t="str">
        <f>IFERROR(VLOOKUP(N469,'TABLA-DIA'!$B$2:$P$62,7,FALSE),"")</f>
        <v/>
      </c>
      <c r="H469" s="117" t="str">
        <f>IFERROR(VLOOKUP(N469,'TABLA-DIA'!$B$2:$P$62,10,FALSE),"")</f>
        <v/>
      </c>
      <c r="I469" s="444" t="str">
        <f>IFERROR(VLOOKUP(N469,'TABLA-DIA'!$B$2:$P$62,11,FALSE),"")</f>
        <v/>
      </c>
      <c r="J469" s="444" t="str">
        <f>IFERROR(VLOOKUP(N469,'TABLA-DIA'!$B$2:$P$62,12,FALSE),"")</f>
        <v/>
      </c>
      <c r="K469" s="118" t="str">
        <f>IFERROR(VLOOKUP(N469,'TABLA-DIA'!$B$2:$P$62,13,FALSE),"")</f>
        <v/>
      </c>
      <c r="L469" s="119" t="str">
        <f>IFERROR(IF(VLOOKUP(N469,'TABLA-DIA'!$B$2:$P$62,14,FALSE)="","",VLOOKUP(N469,'TABLA-DIA'!$B$2:$P$62,14,FALSE)),"")</f>
        <v/>
      </c>
      <c r="M469" s="120">
        <v>3</v>
      </c>
      <c r="N469" s="125" t="str">
        <f t="shared" si="25"/>
        <v>0-3</v>
      </c>
    </row>
    <row r="470" spans="2:15" ht="67.150000000000006" hidden="1" customHeight="1">
      <c r="B470" s="752"/>
      <c r="C470" s="74" t="str">
        <f>IFERROR(VLOOKUP(N470,'TABLA-DIA'!$B$2:$P$62,9,FALSE),"")</f>
        <v/>
      </c>
      <c r="D470" s="116" t="str">
        <f>IFERROR(VLOOKUP(N470,'TABLA-DIA'!$B$2:$P$62,4,FALSE),"")</f>
        <v/>
      </c>
      <c r="E470" s="332" t="str">
        <f>IFERROR(VLOOKUP(N470,'TABLA-DIA'!$B$2:$P$62,5,FALSE),"")</f>
        <v/>
      </c>
      <c r="F470" s="332" t="str">
        <f>IFERROR(VLOOKUP(N470,'TABLA-DIA'!$B$2:$P$62,6,FALSE),"")</f>
        <v/>
      </c>
      <c r="G470" s="360" t="str">
        <f>IFERROR(VLOOKUP(N470,'TABLA-DIA'!$B$2:$P$62,7,FALSE),"")</f>
        <v/>
      </c>
      <c r="H470" s="117" t="str">
        <f>IFERROR(VLOOKUP(N470,'TABLA-DIA'!$B$2:$P$62,10,FALSE),"")</f>
        <v/>
      </c>
      <c r="I470" s="444" t="str">
        <f>IFERROR(VLOOKUP(N470,'TABLA-DIA'!$B$2:$P$62,11,FALSE),"")</f>
        <v/>
      </c>
      <c r="J470" s="444" t="str">
        <f>IFERROR(VLOOKUP(N470,'TABLA-DIA'!$B$2:$P$62,12,FALSE),"")</f>
        <v/>
      </c>
      <c r="K470" s="118" t="str">
        <f>IFERROR(VLOOKUP(N470,'TABLA-DIA'!$B$2:$P$62,13,FALSE),"")</f>
        <v/>
      </c>
      <c r="L470" s="119" t="str">
        <f>IFERROR(IF(VLOOKUP(N470,'TABLA-DIA'!$B$2:$P$62,14,FALSE)="","",VLOOKUP(N470,'TABLA-DIA'!$B$2:$P$62,14,FALSE)),"")</f>
        <v/>
      </c>
      <c r="M470" s="120">
        <v>4</v>
      </c>
      <c r="N470" s="125" t="str">
        <f t="shared" si="25"/>
        <v>0-4</v>
      </c>
    </row>
    <row r="471" spans="2:15" ht="67.150000000000006" hidden="1" customHeight="1">
      <c r="B471" s="752"/>
      <c r="C471" s="74" t="str">
        <f>IFERROR(VLOOKUP(N471,'TABLA-DIA'!$B$2:$P$62,9,FALSE),"")</f>
        <v/>
      </c>
      <c r="D471" s="116" t="str">
        <f>IFERROR(VLOOKUP(N471,'TABLA-DIA'!$B$2:$P$62,4,FALSE),"")</f>
        <v/>
      </c>
      <c r="E471" s="332" t="str">
        <f>IFERROR(VLOOKUP(N471,'TABLA-DIA'!$B$2:$P$62,5,FALSE),"")</f>
        <v/>
      </c>
      <c r="F471" s="332" t="str">
        <f>IFERROR(VLOOKUP(N471,'TABLA-DIA'!$B$2:$P$62,6,FALSE),"")</f>
        <v/>
      </c>
      <c r="G471" s="360" t="str">
        <f>IFERROR(VLOOKUP(N471,'TABLA-DIA'!$B$2:$P$62,7,FALSE),"")</f>
        <v/>
      </c>
      <c r="H471" s="117" t="str">
        <f>IFERROR(VLOOKUP(N471,'TABLA-DIA'!$B$2:$P$62,10,FALSE),"")</f>
        <v/>
      </c>
      <c r="I471" s="444" t="str">
        <f>IFERROR(VLOOKUP(N471,'TABLA-DIA'!$B$2:$P$62,11,FALSE),"")</f>
        <v/>
      </c>
      <c r="J471" s="444" t="str">
        <f>IFERROR(VLOOKUP(N471,'TABLA-DIA'!$B$2:$P$62,12,FALSE),"")</f>
        <v/>
      </c>
      <c r="K471" s="118" t="str">
        <f>IFERROR(VLOOKUP(N471,'TABLA-DIA'!$B$2:$P$62,13,FALSE),"")</f>
        <v/>
      </c>
      <c r="L471" s="119" t="str">
        <f>IFERROR(IF(VLOOKUP(N471,'TABLA-DIA'!$B$2:$P$62,14,FALSE)="","",VLOOKUP(N471,'TABLA-DIA'!$B$2:$P$62,14,FALSE)),"")</f>
        <v/>
      </c>
      <c r="M471" s="120">
        <v>5</v>
      </c>
      <c r="N471" s="125" t="str">
        <f t="shared" si="25"/>
        <v>0-5</v>
      </c>
    </row>
    <row r="472" spans="2:15" ht="67.150000000000006" hidden="1" customHeight="1">
      <c r="B472" s="752"/>
      <c r="C472" s="74" t="str">
        <f>IFERROR(VLOOKUP(N472,'TABLA-DIA'!$B$2:$P$62,9,FALSE),"")</f>
        <v/>
      </c>
      <c r="D472" s="116" t="str">
        <f>IFERROR(VLOOKUP(N472,'TABLA-DIA'!$B$2:$P$62,4,FALSE),"")</f>
        <v/>
      </c>
      <c r="E472" s="332" t="str">
        <f>IFERROR(VLOOKUP(N472,'TABLA-DIA'!$B$2:$P$62,5,FALSE),"")</f>
        <v/>
      </c>
      <c r="F472" s="332" t="str">
        <f>IFERROR(VLOOKUP(N472,'TABLA-DIA'!$B$2:$P$62,6,FALSE),"")</f>
        <v/>
      </c>
      <c r="G472" s="360" t="str">
        <f>IFERROR(VLOOKUP(N472,'TABLA-DIA'!$B$2:$P$62,7,FALSE),"")</f>
        <v/>
      </c>
      <c r="H472" s="117" t="str">
        <f>IFERROR(VLOOKUP(N472,'TABLA-DIA'!$B$2:$P$62,10,FALSE),"")</f>
        <v/>
      </c>
      <c r="I472" s="444" t="str">
        <f>IFERROR(VLOOKUP(N472,'TABLA-DIA'!$B$2:$P$62,11,FALSE),"")</f>
        <v/>
      </c>
      <c r="J472" s="444" t="str">
        <f>IFERROR(VLOOKUP(N472,'TABLA-DIA'!$B$2:$P$62,12,FALSE),"")</f>
        <v/>
      </c>
      <c r="K472" s="118" t="str">
        <f>IFERROR(VLOOKUP(N472,'TABLA-DIA'!$B$2:$P$62,13,FALSE),"")</f>
        <v/>
      </c>
      <c r="L472" s="119" t="str">
        <f>IFERROR(IF(VLOOKUP(N472,'TABLA-DIA'!$B$2:$P$62,14,FALSE)="","",VLOOKUP(N472,'TABLA-DIA'!$B$2:$P$62,14,FALSE)),"")</f>
        <v/>
      </c>
      <c r="M472" s="120">
        <v>6</v>
      </c>
      <c r="N472" s="125" t="str">
        <f t="shared" si="25"/>
        <v>0-6</v>
      </c>
    </row>
    <row r="473" spans="2:15" ht="67.150000000000006" hidden="1" customHeight="1">
      <c r="B473" s="752"/>
      <c r="C473" s="74" t="str">
        <f>IFERROR(VLOOKUP(N473,'TABLA-DIA'!$B$2:$P$62,9,FALSE),"")</f>
        <v/>
      </c>
      <c r="D473" s="116" t="str">
        <f>IFERROR(VLOOKUP(N473,'TABLA-DIA'!$B$2:$P$62,4,FALSE),"")</f>
        <v/>
      </c>
      <c r="E473" s="332" t="str">
        <f>IFERROR(VLOOKUP(N473,'TABLA-DIA'!$B$2:$P$62,5,FALSE),"")</f>
        <v/>
      </c>
      <c r="F473" s="332" t="str">
        <f>IFERROR(VLOOKUP(N473,'TABLA-DIA'!$B$2:$P$62,6,FALSE),"")</f>
        <v/>
      </c>
      <c r="G473" s="360" t="str">
        <f>IFERROR(VLOOKUP(N473,'TABLA-DIA'!$B$2:$P$62,7,FALSE),"")</f>
        <v/>
      </c>
      <c r="H473" s="117" t="str">
        <f>IFERROR(VLOOKUP(N473,'TABLA-DIA'!$B$2:$P$62,10,FALSE),"")</f>
        <v/>
      </c>
      <c r="I473" s="444" t="str">
        <f>IFERROR(VLOOKUP(N473,'TABLA-DIA'!$B$2:$P$62,11,FALSE),"")</f>
        <v/>
      </c>
      <c r="J473" s="444" t="str">
        <f>IFERROR(VLOOKUP(N473,'TABLA-DIA'!$B$2:$P$62,12,FALSE),"")</f>
        <v/>
      </c>
      <c r="K473" s="118" t="str">
        <f>IFERROR(VLOOKUP(N473,'TABLA-DIA'!$B$2:$P$62,13,FALSE),"")</f>
        <v/>
      </c>
      <c r="L473" s="119" t="str">
        <f>IFERROR(IF(VLOOKUP(N473,'TABLA-DIA'!$B$2:$P$62,14,FALSE)="","",VLOOKUP(N473,'TABLA-DIA'!$B$2:$P$62,14,FALSE)),"")</f>
        <v/>
      </c>
      <c r="M473" s="120">
        <v>7</v>
      </c>
      <c r="N473" s="125" t="str">
        <f t="shared" si="25"/>
        <v>0-7</v>
      </c>
    </row>
    <row r="474" spans="2:15" ht="67.150000000000006" hidden="1" customHeight="1">
      <c r="B474" s="752"/>
      <c r="C474" s="74" t="str">
        <f>IFERROR(VLOOKUP(N474,'TABLA-DIA'!$B$2:$P$62,9,FALSE),"")</f>
        <v/>
      </c>
      <c r="D474" s="116" t="str">
        <f>IFERROR(VLOOKUP(N474,'TABLA-DIA'!$B$2:$P$62,4,FALSE),"")</f>
        <v/>
      </c>
      <c r="E474" s="332" t="str">
        <f>IFERROR(VLOOKUP(N474,'TABLA-DIA'!$B$2:$P$62,5,FALSE),"")</f>
        <v/>
      </c>
      <c r="F474" s="332" t="str">
        <f>IFERROR(VLOOKUP(N474,'TABLA-DIA'!$B$2:$P$62,6,FALSE),"")</f>
        <v/>
      </c>
      <c r="G474" s="360" t="str">
        <f>IFERROR(VLOOKUP(N474,'TABLA-DIA'!$B$2:$P$62,7,FALSE),"")</f>
        <v/>
      </c>
      <c r="H474" s="117" t="str">
        <f>IFERROR(VLOOKUP(N474,'TABLA-DIA'!$B$2:$P$62,10,FALSE),"")</f>
        <v/>
      </c>
      <c r="I474" s="444" t="str">
        <f>IFERROR(VLOOKUP(N474,'TABLA-DIA'!$B$2:$P$62,11,FALSE),"")</f>
        <v/>
      </c>
      <c r="J474" s="444" t="str">
        <f>IFERROR(VLOOKUP(N474,'TABLA-DIA'!$B$2:$P$62,12,FALSE),"")</f>
        <v/>
      </c>
      <c r="K474" s="118" t="str">
        <f>IFERROR(VLOOKUP(N474,'TABLA-DIA'!$B$2:$P$62,13,FALSE),"")</f>
        <v/>
      </c>
      <c r="L474" s="119" t="str">
        <f>IFERROR(IF(VLOOKUP(N474,'TABLA-DIA'!$B$2:$P$62,14,FALSE)="","",VLOOKUP(N474,'TABLA-DIA'!$B$2:$P$62,14,FALSE)),"")</f>
        <v/>
      </c>
      <c r="M474" s="120">
        <v>8</v>
      </c>
      <c r="N474" s="125" t="str">
        <f t="shared" si="25"/>
        <v>0-8</v>
      </c>
    </row>
    <row r="475" spans="2:15" ht="67.150000000000006" hidden="1" customHeight="1">
      <c r="B475" s="752"/>
      <c r="C475" s="74" t="str">
        <f>IFERROR(VLOOKUP(N475,'TABLA-DIA'!$B$2:$P$62,9,FALSE),"")</f>
        <v/>
      </c>
      <c r="D475" s="116" t="str">
        <f>IFERROR(VLOOKUP(N475,'TABLA-DIA'!$B$2:$P$62,4,FALSE),"")</f>
        <v/>
      </c>
      <c r="E475" s="332" t="str">
        <f>IFERROR(VLOOKUP(N475,'TABLA-DIA'!$B$2:$P$62,5,FALSE),"")</f>
        <v/>
      </c>
      <c r="F475" s="332" t="str">
        <f>IFERROR(VLOOKUP(N475,'TABLA-DIA'!$B$2:$P$62,6,FALSE),"")</f>
        <v/>
      </c>
      <c r="G475" s="360" t="str">
        <f>IFERROR(VLOOKUP(N475,'TABLA-DIA'!$B$2:$P$62,7,FALSE),"")</f>
        <v/>
      </c>
      <c r="H475" s="117" t="str">
        <f>IFERROR(VLOOKUP(N475,'TABLA-DIA'!$B$2:$P$62,10,FALSE),"")</f>
        <v/>
      </c>
      <c r="I475" s="444" t="str">
        <f>IFERROR(VLOOKUP(N475,'TABLA-DIA'!$B$2:$P$62,11,FALSE),"")</f>
        <v/>
      </c>
      <c r="J475" s="444" t="str">
        <f>IFERROR(VLOOKUP(N475,'TABLA-DIA'!$B$2:$P$62,12,FALSE),"")</f>
        <v/>
      </c>
      <c r="K475" s="118" t="str">
        <f>IFERROR(VLOOKUP(N475,'TABLA-DIA'!$B$2:$P$62,13,FALSE),"")</f>
        <v/>
      </c>
      <c r="L475" s="119" t="str">
        <f>IFERROR(IF(VLOOKUP(N475,'TABLA-DIA'!$B$2:$P$62,14,FALSE)="","",VLOOKUP(N475,'TABLA-DIA'!$B$2:$P$62,14,FALSE)),"")</f>
        <v/>
      </c>
      <c r="M475" s="120">
        <v>9</v>
      </c>
      <c r="N475" s="125" t="str">
        <f t="shared" si="25"/>
        <v>0-9</v>
      </c>
    </row>
    <row r="476" spans="2:15" ht="67.150000000000006" hidden="1" customHeight="1">
      <c r="B476" s="753"/>
      <c r="C476" s="137" t="str">
        <f>IFERROR(VLOOKUP(N476,'TABLA-DIA'!$B$2:$P$62,9,FALSE),"")</f>
        <v/>
      </c>
      <c r="D476" s="126" t="str">
        <f>IFERROR(VLOOKUP(N476,'TABLA-DIA'!$B$2:$P$62,4,FALSE),"")</f>
        <v/>
      </c>
      <c r="E476" s="334" t="str">
        <f>IFERROR(VLOOKUP(N476,'TABLA-DIA'!$B$2:$P$62,5,FALSE),"")</f>
        <v/>
      </c>
      <c r="F476" s="334" t="str">
        <f>IFERROR(VLOOKUP(N476,'TABLA-DIA'!$B$2:$P$62,6,FALSE),"")</f>
        <v/>
      </c>
      <c r="G476" s="362" t="str">
        <f>IFERROR(VLOOKUP(N476,'TABLA-DIA'!$B$2:$P$62,7,FALSE),"")</f>
        <v/>
      </c>
      <c r="H476" s="127" t="str">
        <f>IFERROR(VLOOKUP(N476,'TABLA-DIA'!$B$2:$P$62,10,FALSE),"")</f>
        <v/>
      </c>
      <c r="I476" s="445" t="str">
        <f>IFERROR(VLOOKUP(N476,'TABLA-DIA'!$B$2:$P$62,11,FALSE),"")</f>
        <v/>
      </c>
      <c r="J476" s="445" t="str">
        <f>IFERROR(VLOOKUP(N476,'TABLA-DIA'!$B$2:$P$62,12,FALSE),"")</f>
        <v/>
      </c>
      <c r="K476" s="128" t="str">
        <f>IFERROR(VLOOKUP(N476,'TABLA-DIA'!$B$2:$P$62,13,FALSE),"")</f>
        <v/>
      </c>
      <c r="L476" s="129" t="str">
        <f>IFERROR(IF(VLOOKUP(N476,'TABLA-DIA'!$B$2:$P$62,14,FALSE)="","",VLOOKUP(N476,'TABLA-DIA'!$B$2:$P$62,14,FALSE)),"")</f>
        <v/>
      </c>
      <c r="M476" s="136">
        <v>10</v>
      </c>
      <c r="N476" s="130" t="str">
        <f t="shared" si="25"/>
        <v>0-10</v>
      </c>
    </row>
    <row r="477" spans="2:15" ht="88.15" customHeight="1" thickBot="1">
      <c r="B477" s="772">
        <f>+'TABLA-DIA'!B168</f>
        <v>0</v>
      </c>
      <c r="C477" s="96" t="str">
        <f>IFERROR(VLOOKUP(N477,'TABLA-DIA'!$B$2:$P$62,9,FALSE),"")</f>
        <v/>
      </c>
      <c r="D477" s="121" t="str">
        <f>IFERROR(VLOOKUP(N477,'TABLA-DIA'!$B$2:$P$62,4,FALSE),"")</f>
        <v/>
      </c>
      <c r="E477" s="331" t="str">
        <f>IFERROR(VLOOKUP(N477,'TABLA-DIA'!$B$2:$P$62,5,FALSE),"")</f>
        <v/>
      </c>
      <c r="F477" s="331" t="str">
        <f>IFERROR(VLOOKUP(N477,'TABLA-DIA'!$B$2:$P$62,6,FALSE),"")</f>
        <v/>
      </c>
      <c r="G477" s="359" t="str">
        <f>IFERROR(VLOOKUP(N477,'TABLA-DIA'!$B$2:$P$62,7,FALSE),"")</f>
        <v/>
      </c>
      <c r="H477" s="122" t="str">
        <f>IFERROR(VLOOKUP(N477,'TABLA-DIA'!$B$2:$P$62,10,FALSE),"")</f>
        <v/>
      </c>
      <c r="I477" s="446" t="str">
        <f>IFERROR(VLOOKUP(N477,'TABLA-DIA'!$B$2:$P$62,11,FALSE),"")</f>
        <v/>
      </c>
      <c r="J477" s="446" t="str">
        <f>IFERROR(VLOOKUP(N477,'TABLA-DIA'!$B$2:$P$62,12,FALSE),"")</f>
        <v/>
      </c>
      <c r="K477" s="123" t="str">
        <f>IFERROR(VLOOKUP(N477,'TABLA-DIA'!$B$2:$P$62,13,FALSE),"")</f>
        <v/>
      </c>
      <c r="L477" s="124" t="str">
        <f>IFERROR(IF(VLOOKUP(N477,'TABLA-DIA'!$B$2:$P$62,14,FALSE)="","",VLOOKUP(N477,'TABLA-DIA'!$B$2:$P$62,14,FALSE)),"")</f>
        <v/>
      </c>
      <c r="M477" s="100">
        <v>1</v>
      </c>
      <c r="N477" s="98" t="str">
        <f>CONCATENATE($B$477,"-",M477)</f>
        <v>0-1</v>
      </c>
      <c r="O477" s="91">
        <f>COUNTIF(G477:G486,"&lt;&gt;**")</f>
        <v>0</v>
      </c>
    </row>
    <row r="478" spans="2:15" ht="67.150000000000006" hidden="1" customHeight="1">
      <c r="B478" s="773"/>
      <c r="C478" s="74" t="str">
        <f>IFERROR(VLOOKUP(N478,'TABLA-DIA'!$B$2:$P$62,9,FALSE),"")</f>
        <v/>
      </c>
      <c r="D478" s="116" t="str">
        <f>IFERROR(VLOOKUP(N478,'TABLA-DIA'!$B$2:$P$62,4,FALSE),"")</f>
        <v/>
      </c>
      <c r="E478" s="332" t="str">
        <f>IFERROR(VLOOKUP(N478,'TABLA-DIA'!$B$2:$P$62,5,FALSE),"")</f>
        <v/>
      </c>
      <c r="F478" s="332" t="str">
        <f>IFERROR(VLOOKUP(N478,'TABLA-DIA'!$B$2:$P$62,6,FALSE),"")</f>
        <v/>
      </c>
      <c r="G478" s="360" t="str">
        <f>IFERROR(VLOOKUP(N478,'TABLA-DIA'!$B$2:$P$62,7,FALSE),"")</f>
        <v/>
      </c>
      <c r="H478" s="117" t="str">
        <f>IFERROR(VLOOKUP(N478,'TABLA-DIA'!$B$2:$P$62,10,FALSE),"")</f>
        <v/>
      </c>
      <c r="I478" s="444" t="str">
        <f>IFERROR(VLOOKUP(N478,'TABLA-DIA'!$B$2:$P$62,11,FALSE),"")</f>
        <v/>
      </c>
      <c r="J478" s="444" t="str">
        <f>IFERROR(VLOOKUP(N478,'TABLA-DIA'!$B$2:$P$62,12,FALSE),"")</f>
        <v/>
      </c>
      <c r="K478" s="118" t="str">
        <f>IFERROR(VLOOKUP(N478,'TABLA-DIA'!$B$2:$P$62,13,FALSE),"")</f>
        <v/>
      </c>
      <c r="L478" s="119" t="str">
        <f>IFERROR(IF(VLOOKUP(N478,'TABLA-DIA'!$B$2:$P$62,14,FALSE)="","",VLOOKUP(N478,'TABLA-DIA'!$B$2:$P$62,14,FALSE)),"")</f>
        <v/>
      </c>
      <c r="M478" s="120">
        <v>2</v>
      </c>
      <c r="N478" s="125" t="str">
        <f t="shared" ref="N478:N486" si="26">CONCATENATE($B$477,"-",M478)</f>
        <v>0-2</v>
      </c>
    </row>
    <row r="479" spans="2:15" ht="67.150000000000006" hidden="1" customHeight="1">
      <c r="B479" s="773"/>
      <c r="C479" s="74" t="str">
        <f>IFERROR(VLOOKUP(N479,'TABLA-DIA'!$B$2:$P$62,9,FALSE),"")</f>
        <v/>
      </c>
      <c r="D479" s="116" t="str">
        <f>IFERROR(VLOOKUP(N479,'TABLA-DIA'!$B$2:$P$62,4,FALSE),"")</f>
        <v/>
      </c>
      <c r="E479" s="332" t="str">
        <f>IFERROR(VLOOKUP(N479,'TABLA-DIA'!$B$2:$P$62,5,FALSE),"")</f>
        <v/>
      </c>
      <c r="F479" s="332" t="str">
        <f>IFERROR(VLOOKUP(N479,'TABLA-DIA'!$B$2:$P$62,6,FALSE),"")</f>
        <v/>
      </c>
      <c r="G479" s="360" t="str">
        <f>IFERROR(VLOOKUP(N479,'TABLA-DIA'!$B$2:$P$62,7,FALSE),"")</f>
        <v/>
      </c>
      <c r="H479" s="117" t="str">
        <f>IFERROR(VLOOKUP(N479,'TABLA-DIA'!$B$2:$P$62,10,FALSE),"")</f>
        <v/>
      </c>
      <c r="I479" s="444" t="str">
        <f>IFERROR(VLOOKUP(N479,'TABLA-DIA'!$B$2:$P$62,11,FALSE),"")</f>
        <v/>
      </c>
      <c r="J479" s="444" t="str">
        <f>IFERROR(VLOOKUP(N479,'TABLA-DIA'!$B$2:$P$62,12,FALSE),"")</f>
        <v/>
      </c>
      <c r="K479" s="118" t="str">
        <f>IFERROR(VLOOKUP(N479,'TABLA-DIA'!$B$2:$P$62,13,FALSE),"")</f>
        <v/>
      </c>
      <c r="L479" s="119" t="str">
        <f>IFERROR(IF(VLOOKUP(N479,'TABLA-DIA'!$B$2:$P$62,14,FALSE)="","",VLOOKUP(N479,'TABLA-DIA'!$B$2:$P$62,14,FALSE)),"")</f>
        <v/>
      </c>
      <c r="M479" s="120">
        <v>3</v>
      </c>
      <c r="N479" s="125" t="str">
        <f t="shared" si="26"/>
        <v>0-3</v>
      </c>
    </row>
    <row r="480" spans="2:15" ht="67.150000000000006" hidden="1" customHeight="1">
      <c r="B480" s="773"/>
      <c r="C480" s="74" t="str">
        <f>IFERROR(VLOOKUP(N480,'TABLA-DIA'!$B$2:$P$62,9,FALSE),"")</f>
        <v/>
      </c>
      <c r="D480" s="116" t="str">
        <f>IFERROR(VLOOKUP(N480,'TABLA-DIA'!$B$2:$P$62,4,FALSE),"")</f>
        <v/>
      </c>
      <c r="E480" s="332" t="str">
        <f>IFERROR(VLOOKUP(N480,'TABLA-DIA'!$B$2:$P$62,5,FALSE),"")</f>
        <v/>
      </c>
      <c r="F480" s="332" t="str">
        <f>IFERROR(VLOOKUP(N480,'TABLA-DIA'!$B$2:$P$62,6,FALSE),"")</f>
        <v/>
      </c>
      <c r="G480" s="360" t="str">
        <f>IFERROR(VLOOKUP(N480,'TABLA-DIA'!$B$2:$P$62,7,FALSE),"")</f>
        <v/>
      </c>
      <c r="H480" s="117" t="str">
        <f>IFERROR(VLOOKUP(N480,'TABLA-DIA'!$B$2:$P$62,10,FALSE),"")</f>
        <v/>
      </c>
      <c r="I480" s="444" t="str">
        <f>IFERROR(VLOOKUP(N480,'TABLA-DIA'!$B$2:$P$62,11,FALSE),"")</f>
        <v/>
      </c>
      <c r="J480" s="444" t="str">
        <f>IFERROR(VLOOKUP(N480,'TABLA-DIA'!$B$2:$P$62,12,FALSE),"")</f>
        <v/>
      </c>
      <c r="K480" s="118" t="str">
        <f>IFERROR(VLOOKUP(N480,'TABLA-DIA'!$B$2:$P$62,13,FALSE),"")</f>
        <v/>
      </c>
      <c r="L480" s="119" t="str">
        <f>IFERROR(IF(VLOOKUP(N480,'TABLA-DIA'!$B$2:$P$62,14,FALSE)="","",VLOOKUP(N480,'TABLA-DIA'!$B$2:$P$62,14,FALSE)),"")</f>
        <v/>
      </c>
      <c r="M480" s="120">
        <v>4</v>
      </c>
      <c r="N480" s="125" t="str">
        <f t="shared" si="26"/>
        <v>0-4</v>
      </c>
    </row>
    <row r="481" spans="2:15" ht="67.150000000000006" hidden="1" customHeight="1">
      <c r="B481" s="773"/>
      <c r="C481" s="74" t="str">
        <f>IFERROR(VLOOKUP(N481,'TABLA-DIA'!$B$2:$P$62,9,FALSE),"")</f>
        <v/>
      </c>
      <c r="D481" s="116" t="str">
        <f>IFERROR(VLOOKUP(N481,'TABLA-DIA'!$B$2:$P$62,4,FALSE),"")</f>
        <v/>
      </c>
      <c r="E481" s="332" t="str">
        <f>IFERROR(VLOOKUP(N481,'TABLA-DIA'!$B$2:$P$62,5,FALSE),"")</f>
        <v/>
      </c>
      <c r="F481" s="332" t="str">
        <f>IFERROR(VLOOKUP(N481,'TABLA-DIA'!$B$2:$P$62,6,FALSE),"")</f>
        <v/>
      </c>
      <c r="G481" s="360" t="str">
        <f>IFERROR(VLOOKUP(N481,'TABLA-DIA'!$B$2:$P$62,7,FALSE),"")</f>
        <v/>
      </c>
      <c r="H481" s="117" t="str">
        <f>IFERROR(VLOOKUP(N481,'TABLA-DIA'!$B$2:$P$62,10,FALSE),"")</f>
        <v/>
      </c>
      <c r="I481" s="444" t="str">
        <f>IFERROR(VLOOKUP(N481,'TABLA-DIA'!$B$2:$P$62,11,FALSE),"")</f>
        <v/>
      </c>
      <c r="J481" s="444" t="str">
        <f>IFERROR(VLOOKUP(N481,'TABLA-DIA'!$B$2:$P$62,12,FALSE),"")</f>
        <v/>
      </c>
      <c r="K481" s="118" t="str">
        <f>IFERROR(VLOOKUP(N481,'TABLA-DIA'!$B$2:$P$62,13,FALSE),"")</f>
        <v/>
      </c>
      <c r="L481" s="119" t="str">
        <f>IFERROR(IF(VLOOKUP(N481,'TABLA-DIA'!$B$2:$P$62,14,FALSE)="","",VLOOKUP(N481,'TABLA-DIA'!$B$2:$P$62,14,FALSE)),"")</f>
        <v/>
      </c>
      <c r="M481" s="120">
        <v>5</v>
      </c>
      <c r="N481" s="125" t="str">
        <f t="shared" si="26"/>
        <v>0-5</v>
      </c>
    </row>
    <row r="482" spans="2:15" ht="67.150000000000006" hidden="1" customHeight="1">
      <c r="B482" s="773"/>
      <c r="C482" s="74" t="str">
        <f>IFERROR(VLOOKUP(N482,'TABLA-DIA'!$B$2:$P$62,9,FALSE),"")</f>
        <v/>
      </c>
      <c r="D482" s="116" t="str">
        <f>IFERROR(VLOOKUP(N482,'TABLA-DIA'!$B$2:$P$62,4,FALSE),"")</f>
        <v/>
      </c>
      <c r="E482" s="332" t="str">
        <f>IFERROR(VLOOKUP(N482,'TABLA-DIA'!$B$2:$P$62,5,FALSE),"")</f>
        <v/>
      </c>
      <c r="F482" s="332" t="str">
        <f>IFERROR(VLOOKUP(N482,'TABLA-DIA'!$B$2:$P$62,6,FALSE),"")</f>
        <v/>
      </c>
      <c r="G482" s="360" t="str">
        <f>IFERROR(VLOOKUP(N482,'TABLA-DIA'!$B$2:$P$62,7,FALSE),"")</f>
        <v/>
      </c>
      <c r="H482" s="117" t="str">
        <f>IFERROR(VLOOKUP(N482,'TABLA-DIA'!$B$2:$P$62,10,FALSE),"")</f>
        <v/>
      </c>
      <c r="I482" s="444" t="str">
        <f>IFERROR(VLOOKUP(N482,'TABLA-DIA'!$B$2:$P$62,11,FALSE),"")</f>
        <v/>
      </c>
      <c r="J482" s="444" t="str">
        <f>IFERROR(VLOOKUP(N482,'TABLA-DIA'!$B$2:$P$62,12,FALSE),"")</f>
        <v/>
      </c>
      <c r="K482" s="118" t="str">
        <f>IFERROR(VLOOKUP(N482,'TABLA-DIA'!$B$2:$P$62,13,FALSE),"")</f>
        <v/>
      </c>
      <c r="L482" s="119" t="str">
        <f>IFERROR(IF(VLOOKUP(N482,'TABLA-DIA'!$B$2:$P$62,14,FALSE)="","",VLOOKUP(N482,'TABLA-DIA'!$B$2:$P$62,14,FALSE)),"")</f>
        <v/>
      </c>
      <c r="M482" s="120">
        <v>6</v>
      </c>
      <c r="N482" s="125" t="str">
        <f t="shared" si="26"/>
        <v>0-6</v>
      </c>
    </row>
    <row r="483" spans="2:15" ht="67.150000000000006" hidden="1" customHeight="1">
      <c r="B483" s="773"/>
      <c r="C483" s="74" t="str">
        <f>IFERROR(VLOOKUP(N483,'TABLA-DIA'!$B$2:$P$62,9,FALSE),"")</f>
        <v/>
      </c>
      <c r="D483" s="116" t="str">
        <f>IFERROR(VLOOKUP(N483,'TABLA-DIA'!$B$2:$P$62,4,FALSE),"")</f>
        <v/>
      </c>
      <c r="E483" s="332" t="str">
        <f>IFERROR(VLOOKUP(N483,'TABLA-DIA'!$B$2:$P$62,5,FALSE),"")</f>
        <v/>
      </c>
      <c r="F483" s="332" t="str">
        <f>IFERROR(VLOOKUP(N483,'TABLA-DIA'!$B$2:$P$62,6,FALSE),"")</f>
        <v/>
      </c>
      <c r="G483" s="360" t="str">
        <f>IFERROR(VLOOKUP(N483,'TABLA-DIA'!$B$2:$P$62,7,FALSE),"")</f>
        <v/>
      </c>
      <c r="H483" s="117" t="str">
        <f>IFERROR(VLOOKUP(N483,'TABLA-DIA'!$B$2:$P$62,10,FALSE),"")</f>
        <v/>
      </c>
      <c r="I483" s="444" t="str">
        <f>IFERROR(VLOOKUP(N483,'TABLA-DIA'!$B$2:$P$62,11,FALSE),"")</f>
        <v/>
      </c>
      <c r="J483" s="444" t="str">
        <f>IFERROR(VLOOKUP(N483,'TABLA-DIA'!$B$2:$P$62,12,FALSE),"")</f>
        <v/>
      </c>
      <c r="K483" s="118" t="str">
        <f>IFERROR(VLOOKUP(N483,'TABLA-DIA'!$B$2:$P$62,13,FALSE),"")</f>
        <v/>
      </c>
      <c r="L483" s="119" t="str">
        <f>IFERROR(IF(VLOOKUP(N483,'TABLA-DIA'!$B$2:$P$62,14,FALSE)="","",VLOOKUP(N483,'TABLA-DIA'!$B$2:$P$62,14,FALSE)),"")</f>
        <v/>
      </c>
      <c r="M483" s="120">
        <v>7</v>
      </c>
      <c r="N483" s="125" t="str">
        <f t="shared" si="26"/>
        <v>0-7</v>
      </c>
    </row>
    <row r="484" spans="2:15" ht="67.150000000000006" hidden="1" customHeight="1">
      <c r="B484" s="773"/>
      <c r="C484" s="74" t="str">
        <f>IFERROR(VLOOKUP(N484,'TABLA-DIA'!$B$2:$P$62,9,FALSE),"")</f>
        <v/>
      </c>
      <c r="D484" s="116" t="str">
        <f>IFERROR(VLOOKUP(N484,'TABLA-DIA'!$B$2:$P$62,4,FALSE),"")</f>
        <v/>
      </c>
      <c r="E484" s="332" t="str">
        <f>IFERROR(VLOOKUP(N484,'TABLA-DIA'!$B$2:$P$62,5,FALSE),"")</f>
        <v/>
      </c>
      <c r="F484" s="332" t="str">
        <f>IFERROR(VLOOKUP(N484,'TABLA-DIA'!$B$2:$P$62,6,FALSE),"")</f>
        <v/>
      </c>
      <c r="G484" s="360" t="str">
        <f>IFERROR(VLOOKUP(N484,'TABLA-DIA'!$B$2:$P$62,7,FALSE),"")</f>
        <v/>
      </c>
      <c r="H484" s="117" t="str">
        <f>IFERROR(VLOOKUP(N484,'TABLA-DIA'!$B$2:$P$62,10,FALSE),"")</f>
        <v/>
      </c>
      <c r="I484" s="444" t="str">
        <f>IFERROR(VLOOKUP(N484,'TABLA-DIA'!$B$2:$P$62,11,FALSE),"")</f>
        <v/>
      </c>
      <c r="J484" s="444" t="str">
        <f>IFERROR(VLOOKUP(N484,'TABLA-DIA'!$B$2:$P$62,12,FALSE),"")</f>
        <v/>
      </c>
      <c r="K484" s="118" t="str">
        <f>IFERROR(VLOOKUP(N484,'TABLA-DIA'!$B$2:$P$62,13,FALSE),"")</f>
        <v/>
      </c>
      <c r="L484" s="119" t="str">
        <f>IFERROR(IF(VLOOKUP(N484,'TABLA-DIA'!$B$2:$P$62,14,FALSE)="","",VLOOKUP(N484,'TABLA-DIA'!$B$2:$P$62,14,FALSE)),"")</f>
        <v/>
      </c>
      <c r="M484" s="120">
        <v>8</v>
      </c>
      <c r="N484" s="125" t="str">
        <f t="shared" si="26"/>
        <v>0-8</v>
      </c>
    </row>
    <row r="485" spans="2:15" ht="67.150000000000006" hidden="1" customHeight="1">
      <c r="B485" s="773"/>
      <c r="C485" s="74" t="str">
        <f>IFERROR(VLOOKUP(N485,'TABLA-DIA'!$B$2:$P$62,9,FALSE),"")</f>
        <v/>
      </c>
      <c r="D485" s="116" t="str">
        <f>IFERROR(VLOOKUP(N485,'TABLA-DIA'!$B$2:$P$62,4,FALSE),"")</f>
        <v/>
      </c>
      <c r="E485" s="332" t="str">
        <f>IFERROR(VLOOKUP(N485,'TABLA-DIA'!$B$2:$P$62,5,FALSE),"")</f>
        <v/>
      </c>
      <c r="F485" s="332" t="str">
        <f>IFERROR(VLOOKUP(N485,'TABLA-DIA'!$B$2:$P$62,6,FALSE),"")</f>
        <v/>
      </c>
      <c r="G485" s="360" t="str">
        <f>IFERROR(VLOOKUP(N485,'TABLA-DIA'!$B$2:$P$62,7,FALSE),"")</f>
        <v/>
      </c>
      <c r="H485" s="117" t="str">
        <f>IFERROR(VLOOKUP(N485,'TABLA-DIA'!$B$2:$P$62,10,FALSE),"")</f>
        <v/>
      </c>
      <c r="I485" s="444" t="str">
        <f>IFERROR(VLOOKUP(N485,'TABLA-DIA'!$B$2:$P$62,11,FALSE),"")</f>
        <v/>
      </c>
      <c r="J485" s="444" t="str">
        <f>IFERROR(VLOOKUP(N485,'TABLA-DIA'!$B$2:$P$62,12,FALSE),"")</f>
        <v/>
      </c>
      <c r="K485" s="118" t="str">
        <f>IFERROR(VLOOKUP(N485,'TABLA-DIA'!$B$2:$P$62,13,FALSE),"")</f>
        <v/>
      </c>
      <c r="L485" s="119" t="str">
        <f>IFERROR(IF(VLOOKUP(N485,'TABLA-DIA'!$B$2:$P$62,14,FALSE)="","",VLOOKUP(N485,'TABLA-DIA'!$B$2:$P$62,14,FALSE)),"")</f>
        <v/>
      </c>
      <c r="M485" s="120">
        <v>9</v>
      </c>
      <c r="N485" s="125" t="str">
        <f t="shared" si="26"/>
        <v>0-9</v>
      </c>
    </row>
    <row r="486" spans="2:15" ht="67.150000000000006" hidden="1" customHeight="1">
      <c r="B486" s="774"/>
      <c r="C486" s="137" t="str">
        <f>IFERROR(VLOOKUP(N486,'TABLA-DIA'!$B$2:$P$62,9,FALSE),"")</f>
        <v/>
      </c>
      <c r="D486" s="126" t="str">
        <f>IFERROR(VLOOKUP(N486,'TABLA-DIA'!$B$2:$P$62,4,FALSE),"")</f>
        <v/>
      </c>
      <c r="E486" s="334" t="str">
        <f>IFERROR(VLOOKUP(N486,'TABLA-DIA'!$B$2:$P$62,5,FALSE),"")</f>
        <v/>
      </c>
      <c r="F486" s="334" t="str">
        <f>IFERROR(VLOOKUP(N486,'TABLA-DIA'!$B$2:$P$62,6,FALSE),"")</f>
        <v/>
      </c>
      <c r="G486" s="362" t="str">
        <f>IFERROR(VLOOKUP(N486,'TABLA-DIA'!$B$2:$P$62,7,FALSE),"")</f>
        <v/>
      </c>
      <c r="H486" s="127" t="str">
        <f>IFERROR(VLOOKUP(N486,'TABLA-DIA'!$B$2:$P$62,10,FALSE),"")</f>
        <v/>
      </c>
      <c r="I486" s="445" t="str">
        <f>IFERROR(VLOOKUP(N486,'TABLA-DIA'!$B$2:$P$62,11,FALSE),"")</f>
        <v/>
      </c>
      <c r="J486" s="445" t="str">
        <f>IFERROR(VLOOKUP(N486,'TABLA-DIA'!$B$2:$P$62,12,FALSE),"")</f>
        <v/>
      </c>
      <c r="K486" s="128" t="str">
        <f>IFERROR(VLOOKUP(N486,'TABLA-DIA'!$B$2:$P$62,13,FALSE),"")</f>
        <v/>
      </c>
      <c r="L486" s="129" t="str">
        <f>IFERROR(IF(VLOOKUP(N486,'TABLA-DIA'!$B$2:$P$62,14,FALSE)="","",VLOOKUP(N486,'TABLA-DIA'!$B$2:$P$62,14,FALSE)),"")</f>
        <v/>
      </c>
      <c r="M486" s="138">
        <v>10</v>
      </c>
      <c r="N486" s="135" t="str">
        <f t="shared" si="26"/>
        <v>0-10</v>
      </c>
    </row>
    <row r="487" spans="2:15" ht="101.45" customHeight="1" thickBot="1">
      <c r="B487" s="772">
        <f>+'TABLA-DIA'!B169</f>
        <v>0</v>
      </c>
      <c r="C487" s="96" t="str">
        <f>IFERROR(VLOOKUP(N487,'TABLA-DIA'!$B$2:$P$62,9,FALSE),"")</f>
        <v/>
      </c>
      <c r="D487" s="121" t="str">
        <f>IFERROR(VLOOKUP(N487,'TABLA-DIA'!$B$2:$P$62,4,FALSE),"")</f>
        <v/>
      </c>
      <c r="E487" s="331" t="str">
        <f>IFERROR(VLOOKUP(N487,'TABLA-DIA'!$B$2:$P$62,5,FALSE),"")</f>
        <v/>
      </c>
      <c r="F487" s="331" t="str">
        <f>IFERROR(VLOOKUP(N487,'TABLA-DIA'!$B$2:$P$62,6,FALSE),"")</f>
        <v/>
      </c>
      <c r="G487" s="359" t="str">
        <f>IFERROR(VLOOKUP(N487,'TABLA-DIA'!$B$2:$P$62,7,FALSE),"")</f>
        <v/>
      </c>
      <c r="H487" s="122" t="str">
        <f>IFERROR(VLOOKUP(N487,'TABLA-DIA'!$B$2:$P$62,10,FALSE),"")</f>
        <v/>
      </c>
      <c r="I487" s="446" t="str">
        <f>IFERROR(VLOOKUP(N487,'TABLA-DIA'!$B$2:$P$62,11,FALSE),"")</f>
        <v/>
      </c>
      <c r="J487" s="446" t="str">
        <f>IFERROR(VLOOKUP(N487,'TABLA-DIA'!$B$2:$P$62,12,FALSE),"")</f>
        <v/>
      </c>
      <c r="K487" s="123" t="str">
        <f>IFERROR(VLOOKUP(N487,'TABLA-DIA'!$B$2:$P$62,13,FALSE),"")</f>
        <v/>
      </c>
      <c r="L487" s="431" t="str">
        <f>IFERROR(IF(VLOOKUP(N487,'TABLA-DIA'!$B$2:$P$62,14,FALSE)="","",VLOOKUP(N487,'TABLA-DIA'!$B$2:$P$62,14,FALSE)),"")</f>
        <v/>
      </c>
      <c r="M487" s="434">
        <v>1</v>
      </c>
      <c r="N487" s="157" t="str">
        <f>CONCATENATE($B$487,"-",M487)</f>
        <v>0-1</v>
      </c>
      <c r="O487" s="91">
        <f>COUNTIF(G487:G496,"&lt;&gt;**")</f>
        <v>0</v>
      </c>
    </row>
    <row r="488" spans="2:15" ht="67.150000000000006" hidden="1" customHeight="1">
      <c r="B488" s="773"/>
      <c r="C488" s="74" t="str">
        <f>IFERROR(VLOOKUP(N488,'TABLA-DIA'!$B$2:$P$62,9,FALSE),"")</f>
        <v/>
      </c>
      <c r="D488" s="116" t="str">
        <f>IFERROR(VLOOKUP(N488,'TABLA-DIA'!$B$2:$P$62,4,FALSE),"")</f>
        <v/>
      </c>
      <c r="E488" s="332" t="str">
        <f>IFERROR(VLOOKUP(N488,'TABLA-DIA'!$B$2:$P$62,5,FALSE),"")</f>
        <v/>
      </c>
      <c r="F488" s="332" t="str">
        <f>IFERROR(VLOOKUP(N488,'TABLA-DIA'!$B$2:$P$62,6,FALSE),"")</f>
        <v/>
      </c>
      <c r="G488" s="360" t="str">
        <f>IFERROR(VLOOKUP(N488,'TABLA-DIA'!$B$2:$P$62,7,FALSE),"")</f>
        <v/>
      </c>
      <c r="H488" s="117" t="str">
        <f>IFERROR(VLOOKUP(N488,'TABLA-DIA'!$B$2:$P$62,10,FALSE),"")</f>
        <v/>
      </c>
      <c r="I488" s="444" t="str">
        <f>IFERROR(VLOOKUP(N488,'TABLA-DIA'!$B$2:$P$62,11,FALSE),"")</f>
        <v/>
      </c>
      <c r="J488" s="444" t="str">
        <f>IFERROR(VLOOKUP(N488,'TABLA-DIA'!$B$2:$P$62,12,FALSE),"")</f>
        <v/>
      </c>
      <c r="K488" s="118" t="str">
        <f>IFERROR(VLOOKUP(N488,'TABLA-DIA'!$B$2:$P$62,13,FALSE),"")</f>
        <v/>
      </c>
      <c r="L488" s="432" t="str">
        <f>IFERROR(IF(VLOOKUP(N488,'TABLA-DIA'!$B$2:$P$62,14,FALSE)="","",VLOOKUP(N488,'TABLA-DIA'!$B$2:$P$62,14,FALSE)),"")</f>
        <v/>
      </c>
      <c r="M488" s="435">
        <v>2</v>
      </c>
      <c r="N488" s="436" t="str">
        <f t="shared" ref="N488:N496" si="27">CONCATENATE($B$487,"-",M488)</f>
        <v>0-2</v>
      </c>
    </row>
    <row r="489" spans="2:15" ht="67.150000000000006" hidden="1" customHeight="1">
      <c r="B489" s="773"/>
      <c r="C489" s="74" t="str">
        <f>IFERROR(VLOOKUP(N489,'TABLA-DIA'!$B$2:$P$62,9,FALSE),"")</f>
        <v/>
      </c>
      <c r="D489" s="116" t="str">
        <f>IFERROR(VLOOKUP(N489,'TABLA-DIA'!$B$2:$P$62,4,FALSE),"")</f>
        <v/>
      </c>
      <c r="E489" s="332" t="str">
        <f>IFERROR(VLOOKUP(N489,'TABLA-DIA'!$B$2:$P$62,5,FALSE),"")</f>
        <v/>
      </c>
      <c r="F489" s="332" t="str">
        <f>IFERROR(VLOOKUP(N489,'TABLA-DIA'!$B$2:$P$62,6,FALSE),"")</f>
        <v/>
      </c>
      <c r="G489" s="360" t="str">
        <f>IFERROR(VLOOKUP(N489,'TABLA-DIA'!$B$2:$P$62,7,FALSE),"")</f>
        <v/>
      </c>
      <c r="H489" s="117" t="str">
        <f>IFERROR(VLOOKUP(N489,'TABLA-DIA'!$B$2:$P$62,10,FALSE),"")</f>
        <v/>
      </c>
      <c r="I489" s="444" t="str">
        <f>IFERROR(VLOOKUP(N489,'TABLA-DIA'!$B$2:$P$62,11,FALSE),"")</f>
        <v/>
      </c>
      <c r="J489" s="444" t="str">
        <f>IFERROR(VLOOKUP(N489,'TABLA-DIA'!$B$2:$P$62,12,FALSE),"")</f>
        <v/>
      </c>
      <c r="K489" s="118" t="str">
        <f>IFERROR(VLOOKUP(N489,'TABLA-DIA'!$B$2:$P$62,13,FALSE),"")</f>
        <v/>
      </c>
      <c r="L489" s="432" t="str">
        <f>IFERROR(IF(VLOOKUP(N489,'TABLA-DIA'!$B$2:$P$62,14,FALSE)="","",VLOOKUP(N489,'TABLA-DIA'!$B$2:$P$62,14,FALSE)),"")</f>
        <v/>
      </c>
      <c r="M489" s="435">
        <v>3</v>
      </c>
      <c r="N489" s="436" t="str">
        <f t="shared" si="27"/>
        <v>0-3</v>
      </c>
    </row>
    <row r="490" spans="2:15" ht="67.150000000000006" hidden="1" customHeight="1">
      <c r="B490" s="773"/>
      <c r="C490" s="74" t="str">
        <f>IFERROR(VLOOKUP(N490,'TABLA-DIA'!$B$2:$P$62,9,FALSE),"")</f>
        <v/>
      </c>
      <c r="D490" s="116" t="str">
        <f>IFERROR(VLOOKUP(N490,'TABLA-DIA'!$B$2:$P$62,4,FALSE),"")</f>
        <v/>
      </c>
      <c r="E490" s="332" t="str">
        <f>IFERROR(VLOOKUP(N490,'TABLA-DIA'!$B$2:$P$62,5,FALSE),"")</f>
        <v/>
      </c>
      <c r="F490" s="332" t="str">
        <f>IFERROR(VLOOKUP(N490,'TABLA-DIA'!$B$2:$P$62,6,FALSE),"")</f>
        <v/>
      </c>
      <c r="G490" s="360" t="str">
        <f>IFERROR(VLOOKUP(N490,'TABLA-DIA'!$B$2:$P$62,7,FALSE),"")</f>
        <v/>
      </c>
      <c r="H490" s="117" t="str">
        <f>IFERROR(VLOOKUP(N490,'TABLA-DIA'!$B$2:$P$62,10,FALSE),"")</f>
        <v/>
      </c>
      <c r="I490" s="444" t="str">
        <f>IFERROR(VLOOKUP(N490,'TABLA-DIA'!$B$2:$P$62,11,FALSE),"")</f>
        <v/>
      </c>
      <c r="J490" s="444" t="str">
        <f>IFERROR(VLOOKUP(N490,'TABLA-DIA'!$B$2:$P$62,12,FALSE),"")</f>
        <v/>
      </c>
      <c r="K490" s="118" t="str">
        <f>IFERROR(VLOOKUP(N490,'TABLA-DIA'!$B$2:$P$62,13,FALSE),"")</f>
        <v/>
      </c>
      <c r="L490" s="432" t="str">
        <f>IFERROR(IF(VLOOKUP(N490,'TABLA-DIA'!$B$2:$P$62,14,FALSE)="","",VLOOKUP(N490,'TABLA-DIA'!$B$2:$P$62,14,FALSE)),"")</f>
        <v/>
      </c>
      <c r="M490" s="435">
        <v>4</v>
      </c>
      <c r="N490" s="436" t="str">
        <f t="shared" si="27"/>
        <v>0-4</v>
      </c>
    </row>
    <row r="491" spans="2:15" ht="67.150000000000006" hidden="1" customHeight="1">
      <c r="B491" s="773"/>
      <c r="C491" s="74" t="str">
        <f>IFERROR(VLOOKUP(N491,'TABLA-DIA'!$B$2:$P$62,9,FALSE),"")</f>
        <v/>
      </c>
      <c r="D491" s="116" t="str">
        <f>IFERROR(VLOOKUP(N491,'TABLA-DIA'!$B$2:$P$62,4,FALSE),"")</f>
        <v/>
      </c>
      <c r="E491" s="332" t="str">
        <f>IFERROR(VLOOKUP(N491,'TABLA-DIA'!$B$2:$P$62,5,FALSE),"")</f>
        <v/>
      </c>
      <c r="F491" s="332" t="str">
        <f>IFERROR(VLOOKUP(N491,'TABLA-DIA'!$B$2:$P$62,6,FALSE),"")</f>
        <v/>
      </c>
      <c r="G491" s="360" t="str">
        <f>IFERROR(VLOOKUP(N491,'TABLA-DIA'!$B$2:$P$62,7,FALSE),"")</f>
        <v/>
      </c>
      <c r="H491" s="117" t="str">
        <f>IFERROR(VLOOKUP(N491,'TABLA-DIA'!$B$2:$P$62,10,FALSE),"")</f>
        <v/>
      </c>
      <c r="I491" s="444" t="str">
        <f>IFERROR(VLOOKUP(N491,'TABLA-DIA'!$B$2:$P$62,11,FALSE),"")</f>
        <v/>
      </c>
      <c r="J491" s="444" t="str">
        <f>IFERROR(VLOOKUP(N491,'TABLA-DIA'!$B$2:$P$62,12,FALSE),"")</f>
        <v/>
      </c>
      <c r="K491" s="118" t="str">
        <f>IFERROR(VLOOKUP(N491,'TABLA-DIA'!$B$2:$P$62,13,FALSE),"")</f>
        <v/>
      </c>
      <c r="L491" s="432" t="str">
        <f>IFERROR(IF(VLOOKUP(N491,'TABLA-DIA'!$B$2:$P$62,14,FALSE)="","",VLOOKUP(N491,'TABLA-DIA'!$B$2:$P$62,14,FALSE)),"")</f>
        <v/>
      </c>
      <c r="M491" s="435">
        <v>5</v>
      </c>
      <c r="N491" s="436" t="str">
        <f t="shared" si="27"/>
        <v>0-5</v>
      </c>
    </row>
    <row r="492" spans="2:15" ht="67.150000000000006" hidden="1" customHeight="1">
      <c r="B492" s="773"/>
      <c r="C492" s="74" t="str">
        <f>IFERROR(VLOOKUP(N492,'TABLA-DIA'!$B$2:$P$62,9,FALSE),"")</f>
        <v/>
      </c>
      <c r="D492" s="116" t="str">
        <f>IFERROR(VLOOKUP(N492,'TABLA-DIA'!$B$2:$P$62,4,FALSE),"")</f>
        <v/>
      </c>
      <c r="E492" s="332" t="str">
        <f>IFERROR(VLOOKUP(N492,'TABLA-DIA'!$B$2:$P$62,5,FALSE),"")</f>
        <v/>
      </c>
      <c r="F492" s="332" t="str">
        <f>IFERROR(VLOOKUP(N492,'TABLA-DIA'!$B$2:$P$62,6,FALSE),"")</f>
        <v/>
      </c>
      <c r="G492" s="360" t="str">
        <f>IFERROR(VLOOKUP(N492,'TABLA-DIA'!$B$2:$P$62,7,FALSE),"")</f>
        <v/>
      </c>
      <c r="H492" s="117" t="str">
        <f>IFERROR(VLOOKUP(N492,'TABLA-DIA'!$B$2:$P$62,10,FALSE),"")</f>
        <v/>
      </c>
      <c r="I492" s="444" t="str">
        <f>IFERROR(VLOOKUP(N492,'TABLA-DIA'!$B$2:$P$62,11,FALSE),"")</f>
        <v/>
      </c>
      <c r="J492" s="444" t="str">
        <f>IFERROR(VLOOKUP(N492,'TABLA-DIA'!$B$2:$P$62,12,FALSE),"")</f>
        <v/>
      </c>
      <c r="K492" s="118" t="str">
        <f>IFERROR(VLOOKUP(N492,'TABLA-DIA'!$B$2:$P$62,13,FALSE),"")</f>
        <v/>
      </c>
      <c r="L492" s="432" t="str">
        <f>IFERROR(IF(VLOOKUP(N492,'TABLA-DIA'!$B$2:$P$62,14,FALSE)="","",VLOOKUP(N492,'TABLA-DIA'!$B$2:$P$62,14,FALSE)),"")</f>
        <v/>
      </c>
      <c r="M492" s="435">
        <v>6</v>
      </c>
      <c r="N492" s="436" t="str">
        <f t="shared" si="27"/>
        <v>0-6</v>
      </c>
    </row>
    <row r="493" spans="2:15" ht="67.150000000000006" hidden="1" customHeight="1">
      <c r="B493" s="773"/>
      <c r="C493" s="74" t="str">
        <f>IFERROR(VLOOKUP(N493,'TABLA-DIA'!$B$2:$P$62,9,FALSE),"")</f>
        <v/>
      </c>
      <c r="D493" s="116" t="str">
        <f>IFERROR(VLOOKUP(N493,'TABLA-DIA'!$B$2:$P$62,4,FALSE),"")</f>
        <v/>
      </c>
      <c r="E493" s="332" t="str">
        <f>IFERROR(VLOOKUP(N493,'TABLA-DIA'!$B$2:$P$62,5,FALSE),"")</f>
        <v/>
      </c>
      <c r="F493" s="332" t="str">
        <f>IFERROR(VLOOKUP(N493,'TABLA-DIA'!$B$2:$P$62,6,FALSE),"")</f>
        <v/>
      </c>
      <c r="G493" s="360" t="str">
        <f>IFERROR(VLOOKUP(N493,'TABLA-DIA'!$B$2:$P$62,7,FALSE),"")</f>
        <v/>
      </c>
      <c r="H493" s="117" t="str">
        <f>IFERROR(VLOOKUP(N493,'TABLA-DIA'!$B$2:$P$62,10,FALSE),"")</f>
        <v/>
      </c>
      <c r="I493" s="444" t="str">
        <f>IFERROR(VLOOKUP(N493,'TABLA-DIA'!$B$2:$P$62,11,FALSE),"")</f>
        <v/>
      </c>
      <c r="J493" s="444" t="str">
        <f>IFERROR(VLOOKUP(N493,'TABLA-DIA'!$B$2:$P$62,12,FALSE),"")</f>
        <v/>
      </c>
      <c r="K493" s="118" t="str">
        <f>IFERROR(VLOOKUP(N493,'TABLA-DIA'!$B$2:$P$62,13,FALSE),"")</f>
        <v/>
      </c>
      <c r="L493" s="432" t="str">
        <f>IFERROR(IF(VLOOKUP(N493,'TABLA-DIA'!$B$2:$P$62,14,FALSE)="","",VLOOKUP(N493,'TABLA-DIA'!$B$2:$P$62,14,FALSE)),"")</f>
        <v/>
      </c>
      <c r="M493" s="435">
        <v>7</v>
      </c>
      <c r="N493" s="436" t="str">
        <f t="shared" si="27"/>
        <v>0-7</v>
      </c>
    </row>
    <row r="494" spans="2:15" ht="67.150000000000006" hidden="1" customHeight="1">
      <c r="B494" s="773"/>
      <c r="C494" s="74" t="str">
        <f>IFERROR(VLOOKUP(N494,'TABLA-DIA'!$B$2:$P$62,9,FALSE),"")</f>
        <v/>
      </c>
      <c r="D494" s="116" t="str">
        <f>IFERROR(VLOOKUP(N494,'TABLA-DIA'!$B$2:$P$62,4,FALSE),"")</f>
        <v/>
      </c>
      <c r="E494" s="332" t="str">
        <f>IFERROR(VLOOKUP(N494,'TABLA-DIA'!$B$2:$P$62,5,FALSE),"")</f>
        <v/>
      </c>
      <c r="F494" s="332" t="str">
        <f>IFERROR(VLOOKUP(N494,'TABLA-DIA'!$B$2:$P$62,6,FALSE),"")</f>
        <v/>
      </c>
      <c r="G494" s="360" t="str">
        <f>IFERROR(VLOOKUP(N494,'TABLA-DIA'!$B$2:$P$62,7,FALSE),"")</f>
        <v/>
      </c>
      <c r="H494" s="117" t="str">
        <f>IFERROR(VLOOKUP(N494,'TABLA-DIA'!$B$2:$P$62,10,FALSE),"")</f>
        <v/>
      </c>
      <c r="I494" s="444" t="str">
        <f>IFERROR(VLOOKUP(N494,'TABLA-DIA'!$B$2:$P$62,11,FALSE),"")</f>
        <v/>
      </c>
      <c r="J494" s="444" t="str">
        <f>IFERROR(VLOOKUP(N494,'TABLA-DIA'!$B$2:$P$62,12,FALSE),"")</f>
        <v/>
      </c>
      <c r="K494" s="118" t="str">
        <f>IFERROR(VLOOKUP(N494,'TABLA-DIA'!$B$2:$P$62,13,FALSE),"")</f>
        <v/>
      </c>
      <c r="L494" s="432" t="str">
        <f>IFERROR(IF(VLOOKUP(N494,'TABLA-DIA'!$B$2:$P$62,14,FALSE)="","",VLOOKUP(N494,'TABLA-DIA'!$B$2:$P$62,14,FALSE)),"")</f>
        <v/>
      </c>
      <c r="M494" s="435">
        <v>8</v>
      </c>
      <c r="N494" s="436" t="str">
        <f t="shared" si="27"/>
        <v>0-8</v>
      </c>
    </row>
    <row r="495" spans="2:15" ht="67.150000000000006" hidden="1" customHeight="1">
      <c r="B495" s="773"/>
      <c r="C495" s="74" t="str">
        <f>IFERROR(VLOOKUP(N495,'TABLA-DIA'!$B$2:$P$62,9,FALSE),"")</f>
        <v/>
      </c>
      <c r="D495" s="116" t="str">
        <f>IFERROR(VLOOKUP(N495,'TABLA-DIA'!$B$2:$P$62,4,FALSE),"")</f>
        <v/>
      </c>
      <c r="E495" s="332" t="str">
        <f>IFERROR(VLOOKUP(N495,'TABLA-DIA'!$B$2:$P$62,5,FALSE),"")</f>
        <v/>
      </c>
      <c r="F495" s="332" t="str">
        <f>IFERROR(VLOOKUP(N495,'TABLA-DIA'!$B$2:$P$62,6,FALSE),"")</f>
        <v/>
      </c>
      <c r="G495" s="360" t="str">
        <f>IFERROR(VLOOKUP(N495,'TABLA-DIA'!$B$2:$P$62,7,FALSE),"")</f>
        <v/>
      </c>
      <c r="H495" s="117" t="str">
        <f>IFERROR(VLOOKUP(N495,'TABLA-DIA'!$B$2:$P$62,10,FALSE),"")</f>
        <v/>
      </c>
      <c r="I495" s="444" t="str">
        <f>IFERROR(VLOOKUP(N495,'TABLA-DIA'!$B$2:$P$62,11,FALSE),"")</f>
        <v/>
      </c>
      <c r="J495" s="444" t="str">
        <f>IFERROR(VLOOKUP(N495,'TABLA-DIA'!$B$2:$P$62,12,FALSE),"")</f>
        <v/>
      </c>
      <c r="K495" s="118" t="str">
        <f>IFERROR(VLOOKUP(N495,'TABLA-DIA'!$B$2:$P$62,13,FALSE),"")</f>
        <v/>
      </c>
      <c r="L495" s="432" t="str">
        <f>IFERROR(IF(VLOOKUP(N495,'TABLA-DIA'!$B$2:$P$62,14,FALSE)="","",VLOOKUP(N495,'TABLA-DIA'!$B$2:$P$62,14,FALSE)),"")</f>
        <v/>
      </c>
      <c r="M495" s="435">
        <v>9</v>
      </c>
      <c r="N495" s="436" t="str">
        <f>CONCATENATE($B$487,"-",M495)</f>
        <v>0-9</v>
      </c>
    </row>
    <row r="496" spans="2:15" ht="67.150000000000006" hidden="1" customHeight="1">
      <c r="B496" s="774"/>
      <c r="C496" s="137" t="str">
        <f>IFERROR(VLOOKUP(N496,'TABLA-DIA'!$B$2:$P$62,9,FALSE),"")</f>
        <v/>
      </c>
      <c r="D496" s="126" t="str">
        <f>IFERROR(VLOOKUP(N496,'TABLA-DIA'!$B$2:$P$62,4,FALSE),"")</f>
        <v/>
      </c>
      <c r="E496" s="334" t="str">
        <f>IFERROR(VLOOKUP(N496,'TABLA-DIA'!$B$2:$P$62,5,FALSE),"")</f>
        <v/>
      </c>
      <c r="F496" s="334" t="str">
        <f>IFERROR(VLOOKUP(N496,'TABLA-DIA'!$B$2:$P$62,6,FALSE),"")</f>
        <v/>
      </c>
      <c r="G496" s="362" t="str">
        <f>IFERROR(VLOOKUP(N496,'TABLA-DIA'!$B$2:$P$62,7,FALSE),"")</f>
        <v/>
      </c>
      <c r="H496" s="127" t="str">
        <f>IFERROR(VLOOKUP(N496,'TABLA-DIA'!$B$2:$P$62,10,FALSE),"")</f>
        <v/>
      </c>
      <c r="I496" s="445" t="str">
        <f>IFERROR(VLOOKUP(N496,'TABLA-DIA'!$B$2:$P$62,11,FALSE),"")</f>
        <v/>
      </c>
      <c r="J496" s="445" t="str">
        <f>IFERROR(VLOOKUP(N496,'TABLA-DIA'!$B$2:$P$62,12,FALSE),"")</f>
        <v/>
      </c>
      <c r="K496" s="128" t="str">
        <f>IFERROR(VLOOKUP(N496,'TABLA-DIA'!$B$2:$P$62,13,FALSE),"")</f>
        <v/>
      </c>
      <c r="L496" s="433" t="str">
        <f>IFERROR(IF(VLOOKUP(N496,'TABLA-DIA'!$B$2:$P$62,14,FALSE)="","",VLOOKUP(N496,'TABLA-DIA'!$B$2:$P$62,14,FALSE)),"")</f>
        <v/>
      </c>
      <c r="M496" s="437">
        <v>10</v>
      </c>
      <c r="N496" s="438" t="str">
        <f t="shared" si="27"/>
        <v>0-10</v>
      </c>
    </row>
    <row r="497" spans="2:15" ht="98.25" customHeight="1">
      <c r="B497" s="772">
        <f>+'TABLA-DIA'!B170</f>
        <v>0</v>
      </c>
      <c r="C497" s="96" t="str">
        <f>IFERROR(VLOOKUP(N497,'TABLA-DIA'!$B$2:$P$62,9,FALSE),"")</f>
        <v/>
      </c>
      <c r="D497" s="121" t="str">
        <f>IFERROR(VLOOKUP(N497,'TABLA-DIA'!$B$2:$P$62,4,FALSE),"")</f>
        <v/>
      </c>
      <c r="E497" s="331" t="str">
        <f>IFERROR(VLOOKUP(N497,'TABLA-DIA'!$B$2:$P$62,5,FALSE),"")</f>
        <v/>
      </c>
      <c r="F497" s="331" t="str">
        <f>IFERROR(VLOOKUP(N497,'TABLA-DIA'!$B$2:$P$62,6,FALSE),"")</f>
        <v/>
      </c>
      <c r="G497" s="359" t="str">
        <f>IFERROR(VLOOKUP(N497,'TABLA-DIA'!$B$2:$P$62,7,FALSE),"")</f>
        <v/>
      </c>
      <c r="H497" s="122" t="str">
        <f>IFERROR(VLOOKUP(N497,'TABLA-DIA'!$B$2:$P$62,10,FALSE),"")</f>
        <v/>
      </c>
      <c r="I497" s="446" t="str">
        <f>IFERROR(VLOOKUP(N497,'TABLA-DIA'!$B$2:$P$62,11,FALSE),"")</f>
        <v/>
      </c>
      <c r="J497" s="446" t="str">
        <f>IFERROR(VLOOKUP(N497,'TABLA-DIA'!$B$2:$P$62,12,FALSE),"")</f>
        <v/>
      </c>
      <c r="K497" s="123" t="str">
        <f>IFERROR(VLOOKUP(N497,'TABLA-DIA'!$B$2:$P$62,13,FALSE),"")</f>
        <v/>
      </c>
      <c r="L497" s="124" t="str">
        <f>IFERROR(IF(VLOOKUP(N497,'TABLA-DIA'!$B$2:$P$62,14,FALSE)="","",VLOOKUP(N497,'TABLA-DIA'!$B$2:$P$62,14,FALSE)),"")</f>
        <v/>
      </c>
      <c r="M497" s="434">
        <v>1</v>
      </c>
      <c r="N497" s="157" t="str">
        <f>CONCATENATE($B$497,"-",M497)</f>
        <v>0-1</v>
      </c>
      <c r="O497" s="91">
        <f>COUNTIF(G497:G506,"&lt;&gt;**")</f>
        <v>0</v>
      </c>
    </row>
    <row r="498" spans="2:15" ht="67.150000000000006" hidden="1" customHeight="1">
      <c r="B498" s="773"/>
      <c r="C498" s="74" t="str">
        <f>IFERROR(VLOOKUP(N498,'TABLA-DIA'!$B$2:$P$62,9,FALSE),"")</f>
        <v/>
      </c>
      <c r="D498" s="116" t="str">
        <f>IFERROR(VLOOKUP(N498,'TABLA-DIA'!$B$2:$P$62,4,FALSE),"")</f>
        <v/>
      </c>
      <c r="E498" s="332" t="str">
        <f>IFERROR(VLOOKUP(N498,'TABLA-DIA'!$B$2:$P$62,5,FALSE),"")</f>
        <v/>
      </c>
      <c r="F498" s="332" t="str">
        <f>IFERROR(VLOOKUP(N498,'TABLA-DIA'!$B$2:$P$62,6,FALSE),"")</f>
        <v/>
      </c>
      <c r="G498" s="360" t="str">
        <f>IFERROR(VLOOKUP(N498,'TABLA-DIA'!$B$2:$P$62,7,FALSE),"")</f>
        <v/>
      </c>
      <c r="H498" s="117" t="str">
        <f>IFERROR(VLOOKUP(N498,'TABLA-DIA'!$B$2:$P$62,10,FALSE),"")</f>
        <v/>
      </c>
      <c r="I498" s="444" t="str">
        <f>IFERROR(VLOOKUP(N498,'TABLA-DIA'!$B$2:$P$62,11,FALSE),"")</f>
        <v/>
      </c>
      <c r="J498" s="444" t="str">
        <f>IFERROR(VLOOKUP(N498,'TABLA-DIA'!$B$2:$P$62,12,FALSE),"")</f>
        <v/>
      </c>
      <c r="K498" s="118" t="str">
        <f>IFERROR(VLOOKUP(N498,'TABLA-DIA'!$B$2:$P$62,13,FALSE),"")</f>
        <v/>
      </c>
      <c r="L498" s="119" t="str">
        <f>IFERROR(IF(VLOOKUP(N498,'TABLA-DIA'!$B$2:$P$62,14,FALSE)="","",VLOOKUP(N498,'TABLA-DIA'!$B$2:$P$62,14,FALSE)),"")</f>
        <v/>
      </c>
      <c r="M498" s="435">
        <v>2</v>
      </c>
      <c r="N498" s="157" t="str">
        <f t="shared" ref="N498:N506" si="28">CONCATENATE($B$497,"-",M498)</f>
        <v>0-2</v>
      </c>
    </row>
    <row r="499" spans="2:15" ht="67.150000000000006" hidden="1" customHeight="1">
      <c r="B499" s="773"/>
      <c r="C499" s="74" t="str">
        <f>IFERROR(VLOOKUP(N499,'TABLA-DIA'!$B$2:$P$62,9,FALSE),"")</f>
        <v/>
      </c>
      <c r="D499" s="116" t="str">
        <f>IFERROR(VLOOKUP(N499,'TABLA-DIA'!$B$2:$P$62,4,FALSE),"")</f>
        <v/>
      </c>
      <c r="E499" s="332" t="str">
        <f>IFERROR(VLOOKUP(N499,'TABLA-DIA'!$B$2:$P$62,5,FALSE),"")</f>
        <v/>
      </c>
      <c r="F499" s="332" t="str">
        <f>IFERROR(VLOOKUP(N499,'TABLA-DIA'!$B$2:$P$62,6,FALSE),"")</f>
        <v/>
      </c>
      <c r="G499" s="360" t="str">
        <f>IFERROR(VLOOKUP(N499,'TABLA-DIA'!$B$2:$P$62,7,FALSE),"")</f>
        <v/>
      </c>
      <c r="H499" s="117" t="str">
        <f>IFERROR(VLOOKUP(N499,'TABLA-DIA'!$B$2:$P$62,10,FALSE),"")</f>
        <v/>
      </c>
      <c r="I499" s="444" t="str">
        <f>IFERROR(VLOOKUP(N499,'TABLA-DIA'!$B$2:$P$62,11,FALSE),"")</f>
        <v/>
      </c>
      <c r="J499" s="444" t="str">
        <f>IFERROR(VLOOKUP(N499,'TABLA-DIA'!$B$2:$P$62,12,FALSE),"")</f>
        <v/>
      </c>
      <c r="K499" s="118" t="str">
        <f>IFERROR(VLOOKUP(N499,'TABLA-DIA'!$B$2:$P$62,13,FALSE),"")</f>
        <v/>
      </c>
      <c r="L499" s="119" t="str">
        <f>IFERROR(IF(VLOOKUP(N499,'TABLA-DIA'!$B$2:$P$62,14,FALSE)="","",VLOOKUP(N499,'TABLA-DIA'!$B$2:$P$62,14,FALSE)),"")</f>
        <v/>
      </c>
      <c r="M499" s="435">
        <v>3</v>
      </c>
      <c r="N499" s="157" t="str">
        <f t="shared" si="28"/>
        <v>0-3</v>
      </c>
    </row>
    <row r="500" spans="2:15" ht="67.150000000000006" hidden="1" customHeight="1">
      <c r="B500" s="773"/>
      <c r="C500" s="74" t="str">
        <f>IFERROR(VLOOKUP(N500,'TABLA-DIA'!$B$2:$P$62,9,FALSE),"")</f>
        <v/>
      </c>
      <c r="D500" s="116" t="str">
        <f>IFERROR(VLOOKUP(N500,'TABLA-DIA'!$B$2:$P$62,4,FALSE),"")</f>
        <v/>
      </c>
      <c r="E500" s="332" t="str">
        <f>IFERROR(VLOOKUP(N500,'TABLA-DIA'!$B$2:$P$62,5,FALSE),"")</f>
        <v/>
      </c>
      <c r="F500" s="332" t="str">
        <f>IFERROR(VLOOKUP(N500,'TABLA-DIA'!$B$2:$P$62,6,FALSE),"")</f>
        <v/>
      </c>
      <c r="G500" s="360" t="str">
        <f>IFERROR(VLOOKUP(N500,'TABLA-DIA'!$B$2:$P$62,7,FALSE),"")</f>
        <v/>
      </c>
      <c r="H500" s="117" t="str">
        <f>IFERROR(VLOOKUP(N500,'TABLA-DIA'!$B$2:$P$62,10,FALSE),"")</f>
        <v/>
      </c>
      <c r="I500" s="444" t="str">
        <f>IFERROR(VLOOKUP(N500,'TABLA-DIA'!$B$2:$P$62,11,FALSE),"")</f>
        <v/>
      </c>
      <c r="J500" s="444" t="str">
        <f>IFERROR(VLOOKUP(N500,'TABLA-DIA'!$B$2:$P$62,12,FALSE),"")</f>
        <v/>
      </c>
      <c r="K500" s="118" t="str">
        <f>IFERROR(VLOOKUP(N500,'TABLA-DIA'!$B$2:$P$62,13,FALSE),"")</f>
        <v/>
      </c>
      <c r="L500" s="119" t="str">
        <f>IFERROR(IF(VLOOKUP(N500,'TABLA-DIA'!$B$2:$P$62,14,FALSE)="","",VLOOKUP(N500,'TABLA-DIA'!$B$2:$P$62,14,FALSE)),"")</f>
        <v/>
      </c>
      <c r="M500" s="435">
        <v>4</v>
      </c>
      <c r="N500" s="157" t="str">
        <f t="shared" si="28"/>
        <v>0-4</v>
      </c>
    </row>
    <row r="501" spans="2:15" ht="67.150000000000006" hidden="1" customHeight="1">
      <c r="B501" s="773"/>
      <c r="C501" s="74" t="str">
        <f>IFERROR(VLOOKUP(N501,'TABLA-DIA'!$B$2:$P$62,9,FALSE),"")</f>
        <v/>
      </c>
      <c r="D501" s="116" t="str">
        <f>IFERROR(VLOOKUP(N501,'TABLA-DIA'!$B$2:$P$62,4,FALSE),"")</f>
        <v/>
      </c>
      <c r="E501" s="332" t="str">
        <f>IFERROR(VLOOKUP(N501,'TABLA-DIA'!$B$2:$P$62,5,FALSE),"")</f>
        <v/>
      </c>
      <c r="F501" s="332" t="str">
        <f>IFERROR(VLOOKUP(N501,'TABLA-DIA'!$B$2:$P$62,6,FALSE),"")</f>
        <v/>
      </c>
      <c r="G501" s="360" t="str">
        <f>IFERROR(VLOOKUP(N501,'TABLA-DIA'!$B$2:$P$62,7,FALSE),"")</f>
        <v/>
      </c>
      <c r="H501" s="117" t="str">
        <f>IFERROR(VLOOKUP(N501,'TABLA-DIA'!$B$2:$P$62,10,FALSE),"")</f>
        <v/>
      </c>
      <c r="I501" s="444" t="str">
        <f>IFERROR(VLOOKUP(N501,'TABLA-DIA'!$B$2:$P$62,11,FALSE),"")</f>
        <v/>
      </c>
      <c r="J501" s="444" t="str">
        <f>IFERROR(VLOOKUP(N501,'TABLA-DIA'!$B$2:$P$62,12,FALSE),"")</f>
        <v/>
      </c>
      <c r="K501" s="118" t="str">
        <f>IFERROR(VLOOKUP(N501,'TABLA-DIA'!$B$2:$P$62,13,FALSE),"")</f>
        <v/>
      </c>
      <c r="L501" s="119" t="str">
        <f>IFERROR(IF(VLOOKUP(N501,'TABLA-DIA'!$B$2:$P$62,14,FALSE)="","",VLOOKUP(N501,'TABLA-DIA'!$B$2:$P$62,14,FALSE)),"")</f>
        <v/>
      </c>
      <c r="M501" s="435">
        <v>5</v>
      </c>
      <c r="N501" s="157" t="str">
        <f t="shared" si="28"/>
        <v>0-5</v>
      </c>
    </row>
    <row r="502" spans="2:15" ht="67.150000000000006" hidden="1" customHeight="1">
      <c r="B502" s="773"/>
      <c r="C502" s="74" t="str">
        <f>IFERROR(VLOOKUP(N502,'TABLA-DIA'!$B$2:$P$62,9,FALSE),"")</f>
        <v/>
      </c>
      <c r="D502" s="116" t="str">
        <f>IFERROR(VLOOKUP(N502,'TABLA-DIA'!$B$2:$P$62,4,FALSE),"")</f>
        <v/>
      </c>
      <c r="E502" s="332" t="str">
        <f>IFERROR(VLOOKUP(N502,'TABLA-DIA'!$B$2:$P$62,5,FALSE),"")</f>
        <v/>
      </c>
      <c r="F502" s="332" t="str">
        <f>IFERROR(VLOOKUP(N502,'TABLA-DIA'!$B$2:$P$62,6,FALSE),"")</f>
        <v/>
      </c>
      <c r="G502" s="360" t="str">
        <f>IFERROR(VLOOKUP(N502,'TABLA-DIA'!$B$2:$P$62,7,FALSE),"")</f>
        <v/>
      </c>
      <c r="H502" s="117" t="str">
        <f>IFERROR(VLOOKUP(N502,'TABLA-DIA'!$B$2:$P$62,10,FALSE),"")</f>
        <v/>
      </c>
      <c r="I502" s="444" t="str">
        <f>IFERROR(VLOOKUP(N502,'TABLA-DIA'!$B$2:$P$62,11,FALSE),"")</f>
        <v/>
      </c>
      <c r="J502" s="444" t="str">
        <f>IFERROR(VLOOKUP(N502,'TABLA-DIA'!$B$2:$P$62,12,FALSE),"")</f>
        <v/>
      </c>
      <c r="K502" s="118" t="str">
        <f>IFERROR(VLOOKUP(N502,'TABLA-DIA'!$B$2:$P$62,13,FALSE),"")</f>
        <v/>
      </c>
      <c r="L502" s="119" t="str">
        <f>IFERROR(IF(VLOOKUP(N502,'TABLA-DIA'!$B$2:$P$62,14,FALSE)="","",VLOOKUP(N502,'TABLA-DIA'!$B$2:$P$62,14,FALSE)),"")</f>
        <v/>
      </c>
      <c r="M502" s="435">
        <v>6</v>
      </c>
      <c r="N502" s="157" t="str">
        <f t="shared" si="28"/>
        <v>0-6</v>
      </c>
    </row>
    <row r="503" spans="2:15" ht="67.150000000000006" hidden="1" customHeight="1">
      <c r="B503" s="773"/>
      <c r="C503" s="74" t="str">
        <f>IFERROR(VLOOKUP(N503,'TABLA-DIA'!$B$2:$P$62,9,FALSE),"")</f>
        <v/>
      </c>
      <c r="D503" s="116" t="str">
        <f>IFERROR(VLOOKUP(N503,'TABLA-DIA'!$B$2:$P$62,4,FALSE),"")</f>
        <v/>
      </c>
      <c r="E503" s="332" t="str">
        <f>IFERROR(VLOOKUP(N503,'TABLA-DIA'!$B$2:$P$62,5,FALSE),"")</f>
        <v/>
      </c>
      <c r="F503" s="332" t="str">
        <f>IFERROR(VLOOKUP(N503,'TABLA-DIA'!$B$2:$P$62,6,FALSE),"")</f>
        <v/>
      </c>
      <c r="G503" s="360" t="str">
        <f>IFERROR(VLOOKUP(N503,'TABLA-DIA'!$B$2:$P$62,7,FALSE),"")</f>
        <v/>
      </c>
      <c r="H503" s="117" t="str">
        <f>IFERROR(VLOOKUP(N503,'TABLA-DIA'!$B$2:$P$62,10,FALSE),"")</f>
        <v/>
      </c>
      <c r="I503" s="444" t="str">
        <f>IFERROR(VLOOKUP(N503,'TABLA-DIA'!$B$2:$P$62,11,FALSE),"")</f>
        <v/>
      </c>
      <c r="J503" s="444" t="str">
        <f>IFERROR(VLOOKUP(N503,'TABLA-DIA'!$B$2:$P$62,12,FALSE),"")</f>
        <v/>
      </c>
      <c r="K503" s="118" t="str">
        <f>IFERROR(VLOOKUP(N503,'TABLA-DIA'!$B$2:$P$62,13,FALSE),"")</f>
        <v/>
      </c>
      <c r="L503" s="119" t="str">
        <f>IFERROR(IF(VLOOKUP(N503,'TABLA-DIA'!$B$2:$P$62,14,FALSE)="","",VLOOKUP(N503,'TABLA-DIA'!$B$2:$P$62,14,FALSE)),"")</f>
        <v/>
      </c>
      <c r="M503" s="435">
        <v>7</v>
      </c>
      <c r="N503" s="157" t="str">
        <f>CONCATENATE($B$497,"-",M503)</f>
        <v>0-7</v>
      </c>
    </row>
    <row r="504" spans="2:15" ht="67.150000000000006" hidden="1" customHeight="1">
      <c r="B504" s="773"/>
      <c r="C504" s="74" t="str">
        <f>IFERROR(VLOOKUP(N504,'TABLA-DIA'!$B$2:$P$62,9,FALSE),"")</f>
        <v/>
      </c>
      <c r="D504" s="116" t="str">
        <f>IFERROR(VLOOKUP(N504,'TABLA-DIA'!$B$2:$P$62,4,FALSE),"")</f>
        <v/>
      </c>
      <c r="E504" s="332" t="str">
        <f>IFERROR(VLOOKUP(N504,'TABLA-DIA'!$B$2:$P$62,5,FALSE),"")</f>
        <v/>
      </c>
      <c r="F504" s="332" t="str">
        <f>IFERROR(VLOOKUP(N504,'TABLA-DIA'!$B$2:$P$62,6,FALSE),"")</f>
        <v/>
      </c>
      <c r="G504" s="360" t="str">
        <f>IFERROR(VLOOKUP(N504,'TABLA-DIA'!$B$2:$P$62,7,FALSE),"")</f>
        <v/>
      </c>
      <c r="H504" s="117" t="str">
        <f>IFERROR(VLOOKUP(N504,'TABLA-DIA'!$B$2:$P$62,10,FALSE),"")</f>
        <v/>
      </c>
      <c r="I504" s="444" t="str">
        <f>IFERROR(VLOOKUP(N504,'TABLA-DIA'!$B$2:$P$62,11,FALSE),"")</f>
        <v/>
      </c>
      <c r="J504" s="444" t="str">
        <f>IFERROR(VLOOKUP(N504,'TABLA-DIA'!$B$2:$P$62,12,FALSE),"")</f>
        <v/>
      </c>
      <c r="K504" s="118" t="str">
        <f>IFERROR(VLOOKUP(N504,'TABLA-DIA'!$B$2:$P$62,13,FALSE),"")</f>
        <v/>
      </c>
      <c r="L504" s="119" t="str">
        <f>IFERROR(IF(VLOOKUP(N504,'TABLA-DIA'!$B$2:$P$62,14,FALSE)="","",VLOOKUP(N504,'TABLA-DIA'!$B$2:$P$62,14,FALSE)),"")</f>
        <v/>
      </c>
      <c r="M504" s="435">
        <v>8</v>
      </c>
      <c r="N504" s="157" t="str">
        <f t="shared" si="28"/>
        <v>0-8</v>
      </c>
    </row>
    <row r="505" spans="2:15" ht="67.150000000000006" hidden="1" customHeight="1">
      <c r="B505" s="773"/>
      <c r="C505" s="74" t="str">
        <f>IFERROR(VLOOKUP(N505,'TABLA-DIA'!$B$2:$P$62,9,FALSE),"")</f>
        <v/>
      </c>
      <c r="D505" s="116" t="str">
        <f>IFERROR(VLOOKUP(N505,'TABLA-DIA'!$B$2:$P$62,4,FALSE),"")</f>
        <v/>
      </c>
      <c r="E505" s="332" t="str">
        <f>IFERROR(VLOOKUP(N505,'TABLA-DIA'!$B$2:$P$62,5,FALSE),"")</f>
        <v/>
      </c>
      <c r="F505" s="332" t="str">
        <f>IFERROR(VLOOKUP(N505,'TABLA-DIA'!$B$2:$P$62,6,FALSE),"")</f>
        <v/>
      </c>
      <c r="G505" s="360" t="str">
        <f>IFERROR(VLOOKUP(N505,'TABLA-DIA'!$B$2:$P$62,7,FALSE),"")</f>
        <v/>
      </c>
      <c r="H505" s="117" t="str">
        <f>IFERROR(VLOOKUP(N505,'TABLA-DIA'!$B$2:$P$62,10,FALSE),"")</f>
        <v/>
      </c>
      <c r="I505" s="444" t="str">
        <f>IFERROR(VLOOKUP(N505,'TABLA-DIA'!$B$2:$P$62,11,FALSE),"")</f>
        <v/>
      </c>
      <c r="J505" s="444" t="str">
        <f>IFERROR(VLOOKUP(N505,'TABLA-DIA'!$B$2:$P$62,12,FALSE),"")</f>
        <v/>
      </c>
      <c r="K505" s="118" t="str">
        <f>IFERROR(VLOOKUP(N505,'TABLA-DIA'!$B$2:$P$62,13,FALSE),"")</f>
        <v/>
      </c>
      <c r="L505" s="119" t="str">
        <f>IFERROR(IF(VLOOKUP(N505,'TABLA-DIA'!$B$2:$P$62,14,FALSE)="","",VLOOKUP(N505,'TABLA-DIA'!$B$2:$P$62,14,FALSE)),"")</f>
        <v/>
      </c>
      <c r="M505" s="435">
        <v>9</v>
      </c>
      <c r="N505" s="157" t="str">
        <f t="shared" si="28"/>
        <v>0-9</v>
      </c>
    </row>
    <row r="506" spans="2:15" ht="67.150000000000006" hidden="1" customHeight="1">
      <c r="B506" s="773"/>
      <c r="C506" s="137" t="str">
        <f>IFERROR(VLOOKUP(N506,'TABLA-DIA'!$B$2:$P$62,9,FALSE),"")</f>
        <v/>
      </c>
      <c r="D506" s="126" t="str">
        <f>IFERROR(VLOOKUP(N506,'TABLA-DIA'!$B$2:$P$62,4,FALSE),"")</f>
        <v/>
      </c>
      <c r="E506" s="334" t="str">
        <f>IFERROR(VLOOKUP(N506,'TABLA-DIA'!$B$2:$P$62,5,FALSE),"")</f>
        <v/>
      </c>
      <c r="F506" s="334" t="str">
        <f>IFERROR(VLOOKUP(N506,'TABLA-DIA'!$B$2:$P$62,6,FALSE),"")</f>
        <v/>
      </c>
      <c r="G506" s="362" t="str">
        <f>IFERROR(VLOOKUP(N506,'TABLA-DIA'!$B$2:$P$62,7,FALSE),"")</f>
        <v/>
      </c>
      <c r="H506" s="127" t="str">
        <f>IFERROR(VLOOKUP(N506,'TABLA-DIA'!$B$2:$P$62,10,FALSE),"")</f>
        <v/>
      </c>
      <c r="I506" s="445" t="str">
        <f>IFERROR(VLOOKUP(N506,'TABLA-DIA'!$B$2:$P$62,11,FALSE),"")</f>
        <v/>
      </c>
      <c r="J506" s="445" t="str">
        <f>IFERROR(VLOOKUP(N506,'TABLA-DIA'!$B$2:$P$62,12,FALSE),"")</f>
        <v/>
      </c>
      <c r="K506" s="128" t="str">
        <f>IFERROR(VLOOKUP(N506,'TABLA-DIA'!$B$2:$P$62,13,FALSE),"")</f>
        <v/>
      </c>
      <c r="L506" s="129" t="str">
        <f>IFERROR(IF(VLOOKUP(N506,'TABLA-DIA'!$B$2:$P$62,14,FALSE)="","",VLOOKUP(N506,'TABLA-DIA'!$B$2:$P$62,14,FALSE)),"")</f>
        <v/>
      </c>
      <c r="M506" s="437">
        <v>10</v>
      </c>
      <c r="N506" s="157" t="str">
        <f t="shared" si="28"/>
        <v>0-10</v>
      </c>
    </row>
  </sheetData>
  <mergeCells count="24">
    <mergeCell ref="B497:B506"/>
    <mergeCell ref="B387:B396"/>
    <mergeCell ref="B397:B406"/>
    <mergeCell ref="B407:B416"/>
    <mergeCell ref="B417:B426"/>
    <mergeCell ref="B427:B436"/>
    <mergeCell ref="B437:B446"/>
    <mergeCell ref="B447:B456"/>
    <mergeCell ref="B457:B466"/>
    <mergeCell ref="B467:B476"/>
    <mergeCell ref="B477:B486"/>
    <mergeCell ref="B487:B496"/>
    <mergeCell ref="B377:B386"/>
    <mergeCell ref="B3:D4"/>
    <mergeCell ref="E3:K4"/>
    <mergeCell ref="L3:L4"/>
    <mergeCell ref="B318:D319"/>
    <mergeCell ref="E318:K319"/>
    <mergeCell ref="L318:L319"/>
    <mergeCell ref="B325:B336"/>
    <mergeCell ref="B337:B346"/>
    <mergeCell ref="B347:B356"/>
    <mergeCell ref="B357:B366"/>
    <mergeCell ref="B367:B376"/>
  </mergeCells>
  <conditionalFormatting sqref="D320:D322">
    <cfRule type="containsText" dxfId="154" priority="4" operator="containsText" text="NOCHE">
      <formula>NOT(ISERROR(SEARCH("NOCHE",D320)))</formula>
    </cfRule>
    <cfRule type="containsText" dxfId="153" priority="5" operator="containsText" text="TARDE">
      <formula>NOT(ISERROR(SEARCH("TARDE",D320)))</formula>
    </cfRule>
    <cfRule type="containsText" dxfId="152" priority="6" operator="containsText" text="MAÑANA">
      <formula>NOT(ISERROR(SEARCH("MAÑANA",D320)))</formula>
    </cfRule>
  </conditionalFormatting>
  <conditionalFormatting sqref="D325:D506">
    <cfRule type="containsText" dxfId="151" priority="7" operator="containsText" text="NOCHE">
      <formula>NOT(ISERROR(SEARCH("NOCHE",D325)))</formula>
    </cfRule>
    <cfRule type="containsText" dxfId="150" priority="8" operator="containsText" text="TARDE">
      <formula>NOT(ISERROR(SEARCH("TARDE",D325)))</formula>
    </cfRule>
    <cfRule type="containsText" dxfId="149" priority="9" operator="containsText" text="MAÑANA">
      <formula>NOT(ISERROR(SEARCH("MAÑANA",D325)))</formula>
    </cfRule>
  </conditionalFormatting>
  <conditionalFormatting sqref="G320:G322 G325:G506">
    <cfRule type="cellIs" dxfId="148" priority="13" operator="between">
      <formula>$R$320</formula>
      <formula>$S$320</formula>
    </cfRule>
    <cfRule type="cellIs" dxfId="147" priority="14" operator="between">
      <formula>$R$322</formula>
      <formula>$S$322</formula>
    </cfRule>
    <cfRule type="cellIs" dxfId="146" priority="15" operator="between">
      <formula>$R$321</formula>
      <formula>$S$321</formula>
    </cfRule>
  </conditionalFormatting>
  <conditionalFormatting sqref="I321:I322">
    <cfRule type="endsWith" dxfId="145" priority="1" operator="endsWith" text="NO PROGRAMADA">
      <formula>RIGHT(I321,LEN("NO PROGRAMADA"))="NO PROGRAMADA"</formula>
    </cfRule>
  </conditionalFormatting>
  <conditionalFormatting sqref="I325:I506">
    <cfRule type="endsWith" dxfId="144" priority="12" operator="endsWith" text="NO PROGRAMADA">
      <formula>RIGHT(I325,LEN("NO PROGRAMADA"))="NO PROGRAMADA"</formula>
    </cfRule>
  </conditionalFormatting>
  <conditionalFormatting sqref="J321:J322">
    <cfRule type="containsText" dxfId="143" priority="2" operator="containsText" text="ELÉCTRICA">
      <formula>NOT(ISERROR(SEARCH("ELÉCTRICA",J321)))</formula>
    </cfRule>
    <cfRule type="containsText" dxfId="142" priority="3" operator="containsText" text="MECÁNICA">
      <formula>NOT(ISERROR(SEARCH("MECÁNICA",J321)))</formula>
    </cfRule>
  </conditionalFormatting>
  <conditionalFormatting sqref="J325:J506">
    <cfRule type="containsText" dxfId="141" priority="10" operator="containsText" text="ELÉCTRICA">
      <formula>NOT(ISERROR(SEARCH("ELÉCTRICA",J325)))</formula>
    </cfRule>
    <cfRule type="containsText" dxfId="140" priority="11" operator="containsText" text="MECÁNICA">
      <formula>NOT(ISERROR(SEARCH("MECÁNICA",J325)))</formula>
    </cfRule>
  </conditionalFormatting>
  <pageMargins left="0.7" right="0.7" top="0.75" bottom="0.75" header="0.3" footer="0.3"/>
  <pageSetup scale="17" fitToHeight="0" orientation="portrait" r:id="rId1"/>
  <rowBreaks count="1" manualBreakCount="1">
    <brk id="317" min="1" max="11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1B6DC-43B7-4176-82BC-B9DCF04084FE}">
  <sheetPr>
    <tabColor theme="5" tint="-0.249977111117893"/>
  </sheetPr>
  <dimension ref="B1:S226"/>
  <sheetViews>
    <sheetView zoomScale="130" zoomScaleNormal="130" workbookViewId="0">
      <selection activeCell="C36" sqref="C36"/>
    </sheetView>
  </sheetViews>
  <sheetFormatPr defaultColWidth="9.140625" defaultRowHeight="15"/>
  <cols>
    <col min="2" max="2" width="16" bestFit="1" customWidth="1"/>
    <col min="3" max="3" width="17.42578125" bestFit="1" customWidth="1"/>
    <col min="4" max="4" width="17.42578125" customWidth="1"/>
    <col min="5" max="5" width="4" customWidth="1"/>
    <col min="6" max="6" width="26" customWidth="1"/>
    <col min="7" max="7" width="20.42578125" bestFit="1" customWidth="1"/>
    <col min="8" max="8" width="20.42578125" customWidth="1"/>
    <col min="9" max="10" width="27.7109375" customWidth="1"/>
    <col min="11" max="11" width="6.5703125" customWidth="1"/>
    <col min="12" max="12" width="14" customWidth="1"/>
    <col min="13" max="13" width="14.42578125" customWidth="1"/>
    <col min="14" max="14" width="11.85546875" bestFit="1" customWidth="1"/>
    <col min="15" max="15" width="10.85546875" bestFit="1" customWidth="1"/>
    <col min="17" max="17" width="46.140625" bestFit="1" customWidth="1"/>
    <col min="18" max="18" width="21.28515625" bestFit="1" customWidth="1"/>
  </cols>
  <sheetData>
    <row r="1" spans="2:19">
      <c r="B1" s="775" t="s">
        <v>4218</v>
      </c>
      <c r="C1" s="775"/>
      <c r="D1" s="775"/>
      <c r="E1" s="775"/>
      <c r="F1" s="775"/>
      <c r="G1" s="775"/>
      <c r="H1" s="775"/>
      <c r="I1" s="775"/>
      <c r="J1" s="775"/>
    </row>
    <row r="2" spans="2:19">
      <c r="B2" s="775"/>
      <c r="C2" s="775"/>
      <c r="D2" s="775"/>
      <c r="E2" s="775"/>
      <c r="F2" s="775"/>
      <c r="G2" s="775"/>
      <c r="H2" s="775"/>
      <c r="I2" s="775"/>
      <c r="J2" s="775"/>
    </row>
    <row r="3" spans="2:19" ht="15" customHeight="1">
      <c r="L3" s="776" t="s">
        <v>4219</v>
      </c>
      <c r="M3" s="776"/>
      <c r="N3" s="776"/>
      <c r="O3" s="776"/>
      <c r="P3" s="776"/>
      <c r="Q3" s="776"/>
      <c r="R3" s="776"/>
      <c r="S3" s="776"/>
    </row>
    <row r="4" spans="2:19" ht="15" customHeight="1">
      <c r="B4" s="777" t="s">
        <v>4220</v>
      </c>
      <c r="C4" s="777"/>
      <c r="D4" s="777"/>
      <c r="E4" s="777"/>
      <c r="F4" s="777"/>
      <c r="G4" s="777"/>
      <c r="H4" s="777"/>
      <c r="I4" s="777"/>
      <c r="J4" s="777"/>
      <c r="L4" s="776"/>
      <c r="M4" s="776"/>
      <c r="N4" s="776"/>
      <c r="O4" s="776"/>
      <c r="P4" s="776"/>
      <c r="Q4" s="776"/>
      <c r="R4" s="776"/>
      <c r="S4" s="776"/>
    </row>
    <row r="5" spans="2:19" ht="15" customHeight="1">
      <c r="B5" s="777"/>
      <c r="C5" s="777"/>
      <c r="D5" s="777"/>
      <c r="E5" s="777"/>
      <c r="F5" s="777"/>
      <c r="G5" s="777"/>
      <c r="H5" s="777"/>
      <c r="I5" s="777"/>
      <c r="J5" s="777"/>
    </row>
    <row r="6" spans="2:19" ht="15" customHeight="1">
      <c r="B6" s="806" t="s">
        <v>14</v>
      </c>
      <c r="C6" s="806"/>
      <c r="D6" s="277"/>
      <c r="F6" s="806" t="s">
        <v>15</v>
      </c>
      <c r="G6" s="806"/>
      <c r="H6" s="277"/>
      <c r="I6" s="806" t="s">
        <v>4221</v>
      </c>
      <c r="J6" s="806"/>
    </row>
    <row r="7" spans="2:19" ht="24">
      <c r="B7" s="806"/>
      <c r="C7" s="806"/>
      <c r="D7" s="277"/>
      <c r="F7" s="806"/>
      <c r="G7" s="806"/>
      <c r="H7" s="277"/>
      <c r="I7" s="806"/>
      <c r="J7" s="806"/>
      <c r="L7" s="2" t="s">
        <v>4222</v>
      </c>
      <c r="M7" s="2" t="s">
        <v>14</v>
      </c>
      <c r="N7" s="2" t="s">
        <v>4223</v>
      </c>
      <c r="O7" s="2" t="s">
        <v>15</v>
      </c>
      <c r="P7" s="2"/>
      <c r="Q7" s="2" t="s">
        <v>19</v>
      </c>
      <c r="R7" s="2" t="s">
        <v>4224</v>
      </c>
    </row>
    <row r="8" spans="2:19" ht="24">
      <c r="B8" s="272" t="s">
        <v>4222</v>
      </c>
      <c r="C8" s="272" t="s">
        <v>14</v>
      </c>
      <c r="D8" s="277"/>
      <c r="E8" s="278"/>
      <c r="F8" s="272" t="s">
        <v>4223</v>
      </c>
      <c r="G8" s="272" t="s">
        <v>15</v>
      </c>
      <c r="H8" s="277"/>
      <c r="I8" s="272" t="s">
        <v>4225</v>
      </c>
      <c r="J8" s="272" t="s">
        <v>15</v>
      </c>
      <c r="L8" s="279" t="s">
        <v>4226</v>
      </c>
      <c r="M8" s="2" t="s">
        <v>4227</v>
      </c>
      <c r="N8" s="2" t="s">
        <v>4228</v>
      </c>
      <c r="O8" s="2" t="s">
        <v>4229</v>
      </c>
      <c r="Q8" s="268" t="s">
        <v>4230</v>
      </c>
      <c r="R8" s="271" t="str" cm="1">
        <f t="array" ref="R8">_xlfn.TEXTJOIN(", ",TRUE,_xlfn._xlws.FILTER(Tabla26[PIEZA],ISNUMBER(SEARCH(Tabla26[PCLAVE],Q8)),"No encontrado"))</f>
        <v>sensor, aseguramiento</v>
      </c>
    </row>
    <row r="9" spans="2:19">
      <c r="B9" s="293" t="s">
        <v>4231</v>
      </c>
      <c r="C9" s="295" t="s">
        <v>4231</v>
      </c>
      <c r="D9" s="288"/>
      <c r="F9" s="288" t="s">
        <v>4232</v>
      </c>
      <c r="G9" s="288" t="s">
        <v>4233</v>
      </c>
      <c r="H9" s="288"/>
      <c r="I9" s="288" t="s">
        <v>4234</v>
      </c>
      <c r="J9" s="276" t="s">
        <v>4235</v>
      </c>
      <c r="L9" s="280" t="s">
        <v>4236</v>
      </c>
      <c r="M9" s="2" t="s">
        <v>4237</v>
      </c>
      <c r="N9" s="2" t="s">
        <v>4238</v>
      </c>
      <c r="O9" s="2" t="s">
        <v>4239</v>
      </c>
      <c r="Q9" s="269" t="s">
        <v>4240</v>
      </c>
      <c r="R9" s="268" t="str" cm="1">
        <f t="array" ref="R9">_xlfn.TEXTJOIN(", ",TRUE,_xlfn._xlws.FILTER(Tabla26[PIEZA],ISNUMBER(SEARCH(Tabla26[PCLAVE],Q9)),"No encontrado"))</f>
        <v>No encontrado</v>
      </c>
    </row>
    <row r="10" spans="2:19">
      <c r="B10" s="291" t="s">
        <v>4241</v>
      </c>
      <c r="C10" s="292" t="s">
        <v>4241</v>
      </c>
      <c r="D10" s="288"/>
      <c r="F10" s="273" t="s">
        <v>4242</v>
      </c>
      <c r="G10" s="274" t="s">
        <v>4243</v>
      </c>
      <c r="H10" s="288"/>
      <c r="I10" s="288" t="s">
        <v>4244</v>
      </c>
      <c r="J10" s="276" t="s">
        <v>4245</v>
      </c>
      <c r="L10" s="279" t="s">
        <v>4246</v>
      </c>
      <c r="M10" s="2" t="s">
        <v>4247</v>
      </c>
      <c r="N10" s="2" t="s">
        <v>4248</v>
      </c>
      <c r="O10" s="2" t="s">
        <v>4249</v>
      </c>
      <c r="Q10" s="268" t="s">
        <v>4250</v>
      </c>
      <c r="R10" s="268" t="str" cm="1">
        <f t="array" ref="R10">_xlfn.TEXTJOIN(", ",TRUE,_xlfn._xlws.FILTER(Tabla26[PIEZA],ISNUMBER(SEARCH(Tabla26[PCLAVE],Q10)),"No encontrado"))</f>
        <v>perno</v>
      </c>
    </row>
    <row r="11" spans="2:19">
      <c r="B11" s="293" t="s">
        <v>4251</v>
      </c>
      <c r="C11" s="295" t="s">
        <v>4251</v>
      </c>
      <c r="D11" s="288"/>
      <c r="F11" s="273" t="s">
        <v>4252</v>
      </c>
      <c r="G11" s="274" t="s">
        <v>4253</v>
      </c>
      <c r="H11" s="288"/>
      <c r="I11" s="288" t="s">
        <v>4254</v>
      </c>
      <c r="J11" s="276" t="s">
        <v>4255</v>
      </c>
      <c r="L11" s="280" t="s">
        <v>4256</v>
      </c>
      <c r="M11" s="2" t="s">
        <v>4257</v>
      </c>
      <c r="N11" s="2"/>
      <c r="O11" s="2"/>
      <c r="Q11" s="269" t="s">
        <v>4258</v>
      </c>
      <c r="R11" s="268" t="str" cm="1">
        <f t="array" ref="R11">_xlfn.TEXTJOIN(", ",TRUE,_xlfn._xlws.FILTER(Tabla26[PIEZA],ISNUMBER(SEARCH(Tabla26[PCLAVE],Q11)),"No encontrado"))</f>
        <v>soga</v>
      </c>
    </row>
    <row r="12" spans="2:19">
      <c r="B12" s="293" t="s">
        <v>4259</v>
      </c>
      <c r="C12" s="295" t="s">
        <v>4259</v>
      </c>
      <c r="D12" s="288"/>
      <c r="F12" s="273" t="s">
        <v>4260</v>
      </c>
      <c r="G12" s="274" t="s">
        <v>4261</v>
      </c>
      <c r="H12" s="288"/>
      <c r="I12" s="288" t="s">
        <v>4262</v>
      </c>
      <c r="J12" s="276" t="s">
        <v>4263</v>
      </c>
      <c r="L12" s="279" t="s">
        <v>4264</v>
      </c>
      <c r="M12" s="2" t="s">
        <v>4265</v>
      </c>
      <c r="N12" s="2"/>
      <c r="O12" s="2"/>
      <c r="Q12" s="270" t="s">
        <v>4266</v>
      </c>
      <c r="R12" s="270" t="str" cm="1">
        <f t="array" ref="R12">_xlfn.TEXTJOIN(", ",TRUE,_xlfn._xlws.FILTER(Tabla26[PIEZA],ISNUMBER(SEARCH(Tabla26[PCLAVE],Q12)),"No encontrado"))</f>
        <v>prensaestopa</v>
      </c>
    </row>
    <row r="13" spans="2:19">
      <c r="B13" s="291" t="s">
        <v>4267</v>
      </c>
      <c r="C13" s="292" t="s">
        <v>4267</v>
      </c>
      <c r="D13" s="288"/>
      <c r="F13" s="273" t="s">
        <v>4268</v>
      </c>
      <c r="G13" s="274" t="s">
        <v>4269</v>
      </c>
      <c r="H13" s="288"/>
      <c r="I13" s="288" t="s">
        <v>4270</v>
      </c>
      <c r="J13" s="274" t="s">
        <v>4271</v>
      </c>
    </row>
    <row r="14" spans="2:19">
      <c r="B14" s="293" t="s">
        <v>4267</v>
      </c>
      <c r="C14" s="295" t="s">
        <v>4267</v>
      </c>
      <c r="D14" s="288"/>
      <c r="F14" s="275" t="s">
        <v>4228</v>
      </c>
      <c r="G14" s="276" t="s">
        <v>4272</v>
      </c>
      <c r="H14" s="288"/>
      <c r="I14" s="288" t="s">
        <v>4273</v>
      </c>
      <c r="J14" s="274" t="s">
        <v>4271</v>
      </c>
    </row>
    <row r="15" spans="2:19">
      <c r="B15" s="291" t="s">
        <v>4274</v>
      </c>
      <c r="C15" s="292" t="s">
        <v>4274</v>
      </c>
      <c r="D15" s="288"/>
      <c r="F15" s="273" t="s">
        <v>4275</v>
      </c>
      <c r="G15" s="274" t="s">
        <v>4276</v>
      </c>
      <c r="H15" s="289"/>
      <c r="I15" s="288" t="s">
        <v>4277</v>
      </c>
      <c r="J15" s="276" t="s">
        <v>4278</v>
      </c>
    </row>
    <row r="16" spans="2:19">
      <c r="B16" s="293" t="s">
        <v>4274</v>
      </c>
      <c r="C16" s="295" t="s">
        <v>4274</v>
      </c>
      <c r="D16" s="288"/>
      <c r="F16" s="273" t="s">
        <v>4279</v>
      </c>
      <c r="G16" s="274" t="s">
        <v>4280</v>
      </c>
      <c r="H16" s="288"/>
      <c r="I16" s="288" t="s">
        <v>4281</v>
      </c>
      <c r="J16" s="276" t="s">
        <v>4282</v>
      </c>
    </row>
    <row r="17" spans="2:10">
      <c r="B17" s="291" t="s">
        <v>4283</v>
      </c>
      <c r="C17" s="292" t="s">
        <v>4283</v>
      </c>
      <c r="D17" s="288"/>
      <c r="F17" s="275" t="s">
        <v>4284</v>
      </c>
      <c r="G17" s="276" t="s">
        <v>4285</v>
      </c>
      <c r="H17" s="289"/>
      <c r="I17" s="288" t="s">
        <v>4286</v>
      </c>
      <c r="J17" s="276" t="s">
        <v>4287</v>
      </c>
    </row>
    <row r="18" spans="2:10">
      <c r="B18" s="293" t="s">
        <v>4283</v>
      </c>
      <c r="C18" s="295" t="s">
        <v>4283</v>
      </c>
      <c r="D18" s="288"/>
      <c r="F18" s="273" t="s">
        <v>4288</v>
      </c>
      <c r="G18" s="274" t="s">
        <v>4289</v>
      </c>
      <c r="H18" s="288"/>
      <c r="I18" s="288" t="s">
        <v>4290</v>
      </c>
      <c r="J18" s="276" t="s">
        <v>4287</v>
      </c>
    </row>
    <row r="19" spans="2:10">
      <c r="B19" s="293" t="s">
        <v>4291</v>
      </c>
      <c r="C19" s="295" t="s">
        <v>4291</v>
      </c>
      <c r="D19" s="288"/>
      <c r="F19" s="288" t="s">
        <v>4292</v>
      </c>
      <c r="G19" s="288" t="s">
        <v>4293</v>
      </c>
      <c r="H19" s="288"/>
      <c r="I19" s="288" t="s">
        <v>4294</v>
      </c>
      <c r="J19" s="276" t="s">
        <v>4295</v>
      </c>
    </row>
    <row r="20" spans="2:10">
      <c r="B20" s="291" t="s">
        <v>4296</v>
      </c>
      <c r="C20" s="292" t="s">
        <v>4296</v>
      </c>
      <c r="D20" s="289"/>
      <c r="F20" s="288" t="s">
        <v>4297</v>
      </c>
      <c r="G20" s="288" t="s">
        <v>4253</v>
      </c>
      <c r="H20" s="288"/>
      <c r="I20" s="288" t="s">
        <v>4298</v>
      </c>
      <c r="J20" s="276" t="s">
        <v>4299</v>
      </c>
    </row>
    <row r="21" spans="2:10">
      <c r="B21" s="293" t="s">
        <v>4296</v>
      </c>
      <c r="C21" s="295" t="s">
        <v>4296</v>
      </c>
      <c r="D21" s="288"/>
      <c r="F21" s="288" t="s">
        <v>4300</v>
      </c>
      <c r="G21" s="288" t="s">
        <v>4301</v>
      </c>
      <c r="H21" s="288"/>
      <c r="I21" s="288" t="s">
        <v>4302</v>
      </c>
      <c r="J21" s="276" t="s">
        <v>4303</v>
      </c>
    </row>
    <row r="22" spans="2:10">
      <c r="B22" s="293" t="s">
        <v>4304</v>
      </c>
      <c r="C22" s="295" t="s">
        <v>4304</v>
      </c>
      <c r="D22" s="288"/>
      <c r="F22" s="288" t="s">
        <v>4305</v>
      </c>
      <c r="G22" s="288" t="s">
        <v>4306</v>
      </c>
      <c r="H22" s="288"/>
      <c r="I22" s="288" t="s">
        <v>4307</v>
      </c>
      <c r="J22" s="276" t="s">
        <v>4308</v>
      </c>
    </row>
    <row r="23" spans="2:10">
      <c r="B23" s="293" t="s">
        <v>4309</v>
      </c>
      <c r="C23" s="295" t="s">
        <v>4309</v>
      </c>
      <c r="D23" s="288"/>
      <c r="F23" s="288" t="s">
        <v>4310</v>
      </c>
      <c r="G23" s="288" t="s">
        <v>4311</v>
      </c>
      <c r="H23" s="288"/>
      <c r="I23" s="288" t="s">
        <v>4312</v>
      </c>
      <c r="J23" s="276" t="s">
        <v>4308</v>
      </c>
    </row>
    <row r="24" spans="2:10">
      <c r="B24" s="293" t="s">
        <v>4313</v>
      </c>
      <c r="C24" s="295" t="s">
        <v>4314</v>
      </c>
      <c r="D24" s="288"/>
      <c r="F24" s="288" t="s">
        <v>4315</v>
      </c>
      <c r="G24" s="288" t="s">
        <v>4316</v>
      </c>
      <c r="H24" s="289"/>
      <c r="I24" s="288" t="s">
        <v>4317</v>
      </c>
      <c r="J24" s="274" t="s">
        <v>4318</v>
      </c>
    </row>
    <row r="25" spans="2:10">
      <c r="B25" s="293" t="s">
        <v>4319</v>
      </c>
      <c r="C25" s="295" t="s">
        <v>4319</v>
      </c>
      <c r="D25" s="288"/>
      <c r="F25" s="288" t="s">
        <v>4320</v>
      </c>
      <c r="G25" s="288" t="s">
        <v>4321</v>
      </c>
      <c r="H25" s="288"/>
      <c r="I25" s="288" t="s">
        <v>4322</v>
      </c>
      <c r="J25" s="276" t="s">
        <v>4318</v>
      </c>
    </row>
    <row r="26" spans="2:10">
      <c r="B26" s="291" t="s">
        <v>4323</v>
      </c>
      <c r="C26" s="292" t="s">
        <v>4323</v>
      </c>
      <c r="D26" s="289"/>
      <c r="F26" s="288" t="s">
        <v>4324</v>
      </c>
      <c r="G26" s="288" t="s">
        <v>4321</v>
      </c>
      <c r="H26" s="288"/>
      <c r="I26" s="288" t="s">
        <v>4325</v>
      </c>
      <c r="J26" s="276" t="s">
        <v>4326</v>
      </c>
    </row>
    <row r="27" spans="2:10">
      <c r="B27" s="293" t="s">
        <v>4327</v>
      </c>
      <c r="C27" s="292" t="s">
        <v>4327</v>
      </c>
      <c r="D27" s="288"/>
      <c r="F27" s="288" t="s">
        <v>4328</v>
      </c>
      <c r="G27" s="288" t="s">
        <v>4329</v>
      </c>
      <c r="H27" s="288"/>
      <c r="I27" s="288" t="s">
        <v>4330</v>
      </c>
      <c r="J27" s="276" t="s">
        <v>4331</v>
      </c>
    </row>
    <row r="28" spans="2:10">
      <c r="B28" s="291" t="s">
        <v>4332</v>
      </c>
      <c r="C28" s="292" t="s">
        <v>4332</v>
      </c>
      <c r="D28" s="288"/>
      <c r="F28" s="273" t="s">
        <v>4333</v>
      </c>
      <c r="G28" s="274" t="s">
        <v>4334</v>
      </c>
      <c r="H28" s="288"/>
      <c r="I28" s="288" t="s">
        <v>4335</v>
      </c>
      <c r="J28" s="276" t="s">
        <v>4336</v>
      </c>
    </row>
    <row r="29" spans="2:10">
      <c r="B29" s="293" t="s">
        <v>4337</v>
      </c>
      <c r="C29" s="295" t="s">
        <v>4337</v>
      </c>
      <c r="D29" s="288"/>
      <c r="F29" s="289" t="s">
        <v>4338</v>
      </c>
      <c r="G29" s="289" t="s">
        <v>4339</v>
      </c>
      <c r="H29" s="288"/>
      <c r="I29" s="288" t="s">
        <v>4340</v>
      </c>
      <c r="J29" s="276" t="s">
        <v>4336</v>
      </c>
    </row>
    <row r="30" spans="2:10">
      <c r="B30" s="293" t="s">
        <v>4341</v>
      </c>
      <c r="C30" s="295" t="s">
        <v>4341</v>
      </c>
      <c r="D30" s="288"/>
      <c r="F30" s="288" t="s">
        <v>4342</v>
      </c>
      <c r="G30" s="288" t="s">
        <v>4233</v>
      </c>
      <c r="H30" s="288"/>
      <c r="I30" s="288" t="s">
        <v>4343</v>
      </c>
      <c r="J30" s="276" t="s">
        <v>4344</v>
      </c>
    </row>
    <row r="31" spans="2:10">
      <c r="B31" s="293" t="s">
        <v>4345</v>
      </c>
      <c r="C31" s="295" t="s">
        <v>4345</v>
      </c>
      <c r="D31" s="288"/>
      <c r="F31" s="288" t="s">
        <v>4346</v>
      </c>
      <c r="G31" s="288" t="s">
        <v>4347</v>
      </c>
      <c r="H31" s="289"/>
      <c r="I31" s="288" t="s">
        <v>4348</v>
      </c>
      <c r="J31" s="276" t="s">
        <v>4349</v>
      </c>
    </row>
    <row r="32" spans="2:10">
      <c r="B32" s="293" t="s">
        <v>4350</v>
      </c>
      <c r="C32" s="295" t="s">
        <v>4350</v>
      </c>
      <c r="D32" s="289"/>
      <c r="F32" s="273" t="s">
        <v>4351</v>
      </c>
      <c r="G32" s="274" t="s">
        <v>4352</v>
      </c>
      <c r="H32" s="288"/>
      <c r="I32" s="288" t="s">
        <v>4353</v>
      </c>
      <c r="J32" s="276" t="s">
        <v>4354</v>
      </c>
    </row>
    <row r="33" spans="2:10">
      <c r="B33" s="291" t="s">
        <v>4355</v>
      </c>
      <c r="C33" s="292" t="s">
        <v>4356</v>
      </c>
      <c r="D33" s="288"/>
      <c r="F33" s="273" t="s">
        <v>4357</v>
      </c>
      <c r="G33" s="274" t="s">
        <v>4358</v>
      </c>
      <c r="H33" s="288"/>
      <c r="I33" s="288" t="s">
        <v>4359</v>
      </c>
      <c r="J33" s="276" t="s">
        <v>4354</v>
      </c>
    </row>
    <row r="34" spans="2:10">
      <c r="B34" s="291" t="s">
        <v>4360</v>
      </c>
      <c r="C34" s="292" t="s">
        <v>4361</v>
      </c>
      <c r="D34" s="288"/>
      <c r="F34" s="275" t="s">
        <v>4248</v>
      </c>
      <c r="G34" s="276" t="s">
        <v>4362</v>
      </c>
      <c r="H34" s="288"/>
      <c r="I34" s="288" t="s">
        <v>4363</v>
      </c>
      <c r="J34" s="276" t="s">
        <v>4364</v>
      </c>
    </row>
    <row r="35" spans="2:10">
      <c r="B35" s="291" t="s">
        <v>4365</v>
      </c>
      <c r="C35" s="292" t="s">
        <v>4366</v>
      </c>
      <c r="D35" s="288"/>
      <c r="F35" s="273" t="s">
        <v>4367</v>
      </c>
      <c r="G35" s="276" t="s">
        <v>4272</v>
      </c>
      <c r="H35" s="288"/>
      <c r="I35" s="288" t="s">
        <v>4368</v>
      </c>
      <c r="J35" s="276" t="s">
        <v>4369</v>
      </c>
    </row>
    <row r="36" spans="2:10">
      <c r="B36" s="296" t="s">
        <v>4370</v>
      </c>
      <c r="C36" s="292" t="s">
        <v>4371</v>
      </c>
      <c r="D36" s="288"/>
      <c r="F36" s="273" t="s">
        <v>4372</v>
      </c>
      <c r="G36" s="274" t="s">
        <v>4373</v>
      </c>
      <c r="H36" s="288"/>
      <c r="I36" s="288" t="s">
        <v>4374</v>
      </c>
      <c r="J36" s="276" t="s">
        <v>4375</v>
      </c>
    </row>
    <row r="37" spans="2:10">
      <c r="B37" s="296" t="s">
        <v>4376</v>
      </c>
      <c r="C37" s="292" t="s">
        <v>4377</v>
      </c>
      <c r="D37" s="288"/>
      <c r="F37" s="273" t="s">
        <v>4378</v>
      </c>
      <c r="G37" s="274" t="s">
        <v>4379</v>
      </c>
      <c r="H37" s="288"/>
      <c r="I37" s="288" t="s">
        <v>4380</v>
      </c>
      <c r="J37" s="276" t="s">
        <v>4381</v>
      </c>
    </row>
    <row r="38" spans="2:10">
      <c r="B38" s="296" t="s">
        <v>4382</v>
      </c>
      <c r="C38" s="292" t="s">
        <v>4383</v>
      </c>
      <c r="D38" s="288"/>
      <c r="F38" s="273" t="s">
        <v>4384</v>
      </c>
      <c r="G38" s="274" t="s">
        <v>4385</v>
      </c>
      <c r="H38" s="288"/>
      <c r="I38" s="288" t="s">
        <v>4386</v>
      </c>
      <c r="J38" s="276" t="s">
        <v>4387</v>
      </c>
    </row>
    <row r="39" spans="2:10">
      <c r="B39" s="296" t="s">
        <v>4388</v>
      </c>
      <c r="C39" s="292" t="s">
        <v>4389</v>
      </c>
      <c r="D39" s="288"/>
      <c r="F39" s="273" t="s">
        <v>4390</v>
      </c>
      <c r="G39" s="274" t="s">
        <v>4391</v>
      </c>
      <c r="H39" s="289"/>
      <c r="I39" s="288" t="s">
        <v>4392</v>
      </c>
      <c r="J39" s="276" t="s">
        <v>4393</v>
      </c>
    </row>
    <row r="40" spans="2:10">
      <c r="B40" s="296" t="s">
        <v>4394</v>
      </c>
      <c r="C40" s="292" t="s">
        <v>4395</v>
      </c>
      <c r="D40" s="288"/>
      <c r="F40" s="312"/>
      <c r="G40" s="290"/>
      <c r="H40" s="288"/>
      <c r="I40" s="288" t="s">
        <v>4396</v>
      </c>
      <c r="J40" s="276" t="s">
        <v>4397</v>
      </c>
    </row>
    <row r="41" spans="2:10">
      <c r="B41" s="296" t="s">
        <v>4398</v>
      </c>
      <c r="C41" s="292" t="s">
        <v>4399</v>
      </c>
      <c r="D41" s="288"/>
      <c r="F41" s="313"/>
      <c r="G41" s="314"/>
      <c r="H41" s="288"/>
      <c r="I41" s="288" t="s">
        <v>4400</v>
      </c>
      <c r="J41" s="276" t="s">
        <v>4401</v>
      </c>
    </row>
    <row r="42" spans="2:10">
      <c r="B42" s="296" t="s">
        <v>4402</v>
      </c>
      <c r="C42" s="292" t="s">
        <v>4402</v>
      </c>
      <c r="D42" s="288"/>
      <c r="F42" s="313"/>
      <c r="G42" s="314"/>
      <c r="H42" s="288"/>
      <c r="I42" s="288" t="s">
        <v>4403</v>
      </c>
      <c r="J42" s="276" t="s">
        <v>4404</v>
      </c>
    </row>
    <row r="43" spans="2:10">
      <c r="B43" s="31" t="s">
        <v>4405</v>
      </c>
      <c r="C43" s="295" t="s">
        <v>4405</v>
      </c>
      <c r="D43" s="288"/>
      <c r="F43" s="313"/>
      <c r="G43" s="314"/>
      <c r="H43" s="288"/>
      <c r="I43" s="288" t="s">
        <v>4406</v>
      </c>
      <c r="J43" s="276" t="s">
        <v>4407</v>
      </c>
    </row>
    <row r="44" spans="2:10">
      <c r="B44" s="31" t="s">
        <v>4408</v>
      </c>
      <c r="C44" s="295" t="s">
        <v>4408</v>
      </c>
      <c r="D44" s="288"/>
      <c r="F44" s="313"/>
      <c r="G44" s="314"/>
      <c r="H44" s="288"/>
      <c r="I44" s="288" t="s">
        <v>4409</v>
      </c>
      <c r="J44" s="276" t="s">
        <v>4410</v>
      </c>
    </row>
    <row r="45" spans="2:10">
      <c r="B45" s="296" t="s">
        <v>4411</v>
      </c>
      <c r="C45" s="292" t="s">
        <v>4411</v>
      </c>
      <c r="D45" s="288"/>
      <c r="F45" s="313"/>
      <c r="G45" s="314"/>
      <c r="H45" s="289"/>
      <c r="I45" s="288" t="s">
        <v>4412</v>
      </c>
      <c r="J45" s="276" t="s">
        <v>4410</v>
      </c>
    </row>
    <row r="46" spans="2:10">
      <c r="B46" s="297" t="s">
        <v>4413</v>
      </c>
      <c r="C46" s="294" t="s">
        <v>4413</v>
      </c>
      <c r="D46" s="288"/>
      <c r="F46" s="313"/>
      <c r="G46" s="314"/>
      <c r="H46" s="288"/>
      <c r="I46" s="288" t="s">
        <v>4414</v>
      </c>
      <c r="J46" s="276" t="s">
        <v>4410</v>
      </c>
    </row>
    <row r="47" spans="2:10">
      <c r="B47" s="296" t="s">
        <v>4415</v>
      </c>
      <c r="C47" s="292" t="s">
        <v>4415</v>
      </c>
      <c r="D47" s="288"/>
      <c r="F47" s="313"/>
      <c r="G47" s="314"/>
      <c r="H47" s="288"/>
      <c r="I47" s="288" t="s">
        <v>4416</v>
      </c>
      <c r="J47" s="276" t="s">
        <v>4410</v>
      </c>
    </row>
    <row r="48" spans="2:10">
      <c r="B48" s="296" t="s">
        <v>4417</v>
      </c>
      <c r="C48" s="292" t="s">
        <v>4417</v>
      </c>
      <c r="D48" s="288"/>
      <c r="F48" s="313"/>
      <c r="G48" s="314"/>
      <c r="H48" s="288"/>
      <c r="I48" s="288" t="s">
        <v>4418</v>
      </c>
      <c r="J48" s="276" t="s">
        <v>4410</v>
      </c>
    </row>
    <row r="49" spans="2:10">
      <c r="B49" s="31" t="s">
        <v>4419</v>
      </c>
      <c r="C49" s="295" t="s">
        <v>4419</v>
      </c>
      <c r="D49" s="288"/>
      <c r="F49" s="313"/>
      <c r="G49" s="314"/>
      <c r="H49" s="288"/>
      <c r="I49" s="288" t="s">
        <v>4420</v>
      </c>
      <c r="J49" s="276" t="s">
        <v>4410</v>
      </c>
    </row>
    <row r="50" spans="2:10">
      <c r="B50" s="31" t="s">
        <v>4421</v>
      </c>
      <c r="C50" s="295" t="s">
        <v>4421</v>
      </c>
      <c r="D50" s="288"/>
      <c r="F50" s="313"/>
      <c r="G50" s="314"/>
      <c r="H50" s="288"/>
      <c r="I50" s="288" t="s">
        <v>4422</v>
      </c>
      <c r="J50" s="290" t="s">
        <v>4410</v>
      </c>
    </row>
    <row r="51" spans="2:10">
      <c r="B51" s="31" t="s">
        <v>4423</v>
      </c>
      <c r="C51" s="295" t="s">
        <v>4423</v>
      </c>
      <c r="D51" s="288"/>
      <c r="F51" s="313"/>
      <c r="G51" s="314"/>
      <c r="H51" s="288"/>
      <c r="I51" s="288" t="s">
        <v>4424</v>
      </c>
      <c r="J51" s="276" t="s">
        <v>4425</v>
      </c>
    </row>
    <row r="52" spans="2:10">
      <c r="B52" s="296" t="s">
        <v>4426</v>
      </c>
      <c r="C52" s="292" t="s">
        <v>4426</v>
      </c>
      <c r="D52" s="288"/>
      <c r="F52" s="313"/>
      <c r="G52" s="314"/>
      <c r="H52" s="288"/>
      <c r="I52" s="288" t="s">
        <v>4427</v>
      </c>
      <c r="J52" s="276" t="s">
        <v>4425</v>
      </c>
    </row>
    <row r="53" spans="2:10">
      <c r="B53" s="296" t="s">
        <v>4428</v>
      </c>
      <c r="C53" s="292" t="s">
        <v>4428</v>
      </c>
      <c r="D53" s="288"/>
      <c r="F53" s="313"/>
      <c r="G53" s="314"/>
      <c r="H53" s="288"/>
      <c r="I53" s="288" t="s">
        <v>4429</v>
      </c>
      <c r="J53" s="276" t="s">
        <v>4425</v>
      </c>
    </row>
    <row r="54" spans="2:10">
      <c r="B54" s="296" t="s">
        <v>4430</v>
      </c>
      <c r="C54" s="292" t="s">
        <v>4430</v>
      </c>
      <c r="D54" s="288"/>
      <c r="F54" s="313"/>
      <c r="G54" s="314"/>
      <c r="H54" s="288"/>
      <c r="I54" s="288" t="s">
        <v>4431</v>
      </c>
      <c r="J54" s="276" t="s">
        <v>4432</v>
      </c>
    </row>
    <row r="55" spans="2:10">
      <c r="B55" s="31" t="s">
        <v>4433</v>
      </c>
      <c r="C55" s="295" t="s">
        <v>4433</v>
      </c>
      <c r="D55" s="288"/>
      <c r="I55" s="288" t="s">
        <v>4434</v>
      </c>
      <c r="J55" s="276" t="s">
        <v>4432</v>
      </c>
    </row>
    <row r="56" spans="2:10">
      <c r="B56" s="31" t="s">
        <v>4435</v>
      </c>
      <c r="C56" s="295" t="s">
        <v>4435</v>
      </c>
      <c r="D56" s="288"/>
      <c r="I56" s="288" t="s">
        <v>4436</v>
      </c>
      <c r="J56" s="276" t="s">
        <v>4432</v>
      </c>
    </row>
    <row r="57" spans="2:10">
      <c r="B57" s="296" t="s">
        <v>4437</v>
      </c>
      <c r="C57" s="292" t="s">
        <v>4438</v>
      </c>
      <c r="D57" s="288"/>
      <c r="I57" s="288" t="s">
        <v>4439</v>
      </c>
      <c r="J57" s="276" t="s">
        <v>4432</v>
      </c>
    </row>
    <row r="58" spans="2:10">
      <c r="B58" s="296" t="s">
        <v>4440</v>
      </c>
      <c r="C58" s="292" t="s">
        <v>4441</v>
      </c>
      <c r="D58" s="288"/>
      <c r="I58" s="288" t="s">
        <v>4442</v>
      </c>
      <c r="J58" s="276" t="s">
        <v>4443</v>
      </c>
    </row>
    <row r="59" spans="2:10">
      <c r="B59" s="297" t="s">
        <v>4444</v>
      </c>
      <c r="C59" s="294" t="s">
        <v>4445</v>
      </c>
      <c r="D59" s="288"/>
      <c r="I59" s="288" t="s">
        <v>4446</v>
      </c>
      <c r="J59" s="276" t="s">
        <v>4447</v>
      </c>
    </row>
    <row r="60" spans="2:10">
      <c r="B60" s="296" t="s">
        <v>4448</v>
      </c>
      <c r="C60" s="292" t="s">
        <v>4449</v>
      </c>
      <c r="D60" s="288"/>
      <c r="I60" s="288" t="s">
        <v>4450</v>
      </c>
      <c r="J60" s="274" t="s">
        <v>4451</v>
      </c>
    </row>
    <row r="61" spans="2:10">
      <c r="B61" s="296" t="s">
        <v>4452</v>
      </c>
      <c r="C61" s="292" t="s">
        <v>4449</v>
      </c>
      <c r="D61" s="288"/>
      <c r="I61" s="288" t="s">
        <v>4450</v>
      </c>
      <c r="J61" s="276" t="s">
        <v>4451</v>
      </c>
    </row>
    <row r="62" spans="2:10">
      <c r="B62" s="296" t="s">
        <v>4453</v>
      </c>
      <c r="C62" s="292" t="s">
        <v>4454</v>
      </c>
      <c r="D62" s="288"/>
      <c r="I62" s="288" t="s">
        <v>4455</v>
      </c>
      <c r="J62" s="276" t="s">
        <v>4451</v>
      </c>
    </row>
    <row r="63" spans="2:10">
      <c r="B63" s="296" t="s">
        <v>4456</v>
      </c>
      <c r="C63" s="292" t="s">
        <v>4457</v>
      </c>
      <c r="D63" s="288"/>
      <c r="I63" s="288" t="s">
        <v>4458</v>
      </c>
      <c r="J63" s="276" t="s">
        <v>4459</v>
      </c>
    </row>
    <row r="64" spans="2:10">
      <c r="B64" s="296" t="s">
        <v>4460</v>
      </c>
      <c r="C64" s="292" t="s">
        <v>4461</v>
      </c>
      <c r="D64" s="288"/>
      <c r="I64" s="288" t="s">
        <v>4462</v>
      </c>
      <c r="J64" s="276" t="s">
        <v>4463</v>
      </c>
    </row>
    <row r="65" spans="2:10">
      <c r="B65" s="297" t="s">
        <v>4464</v>
      </c>
      <c r="C65" s="294" t="s">
        <v>4465</v>
      </c>
      <c r="D65" s="288"/>
      <c r="I65" s="288" t="s">
        <v>4466</v>
      </c>
      <c r="J65" s="276" t="s">
        <v>4467</v>
      </c>
    </row>
    <row r="66" spans="2:10">
      <c r="B66" s="296" t="s">
        <v>4468</v>
      </c>
      <c r="C66" s="292" t="s">
        <v>4469</v>
      </c>
      <c r="D66" s="288"/>
      <c r="I66" s="288" t="s">
        <v>4470</v>
      </c>
      <c r="J66" s="276" t="s">
        <v>4471</v>
      </c>
    </row>
    <row r="67" spans="2:10">
      <c r="B67" s="296" t="s">
        <v>4472</v>
      </c>
      <c r="C67" s="292" t="s">
        <v>4473</v>
      </c>
      <c r="D67" s="288"/>
      <c r="I67" s="288" t="s">
        <v>4474</v>
      </c>
      <c r="J67" s="276" t="s">
        <v>4475</v>
      </c>
    </row>
    <row r="68" spans="2:10">
      <c r="B68" s="296" t="s">
        <v>4476</v>
      </c>
      <c r="C68" s="292" t="s">
        <v>4477</v>
      </c>
      <c r="D68" s="288"/>
      <c r="I68" s="288" t="s">
        <v>4478</v>
      </c>
      <c r="J68" s="274" t="s">
        <v>4479</v>
      </c>
    </row>
    <row r="69" spans="2:10">
      <c r="B69" s="296" t="s">
        <v>4480</v>
      </c>
      <c r="C69" s="292" t="s">
        <v>4481</v>
      </c>
      <c r="D69" s="288"/>
      <c r="I69" s="288" t="s">
        <v>4482</v>
      </c>
      <c r="J69" s="276" t="s">
        <v>4483</v>
      </c>
    </row>
    <row r="70" spans="2:10">
      <c r="B70" s="296" t="s">
        <v>4484</v>
      </c>
      <c r="C70" s="292" t="s">
        <v>4484</v>
      </c>
      <c r="D70" s="288"/>
      <c r="I70" s="288" t="s">
        <v>4485</v>
      </c>
      <c r="J70" s="276" t="s">
        <v>4486</v>
      </c>
    </row>
    <row r="71" spans="2:10">
      <c r="B71" s="31" t="s">
        <v>4487</v>
      </c>
      <c r="C71" s="295" t="s">
        <v>4487</v>
      </c>
      <c r="D71" s="288"/>
      <c r="I71" s="288" t="s">
        <v>4488</v>
      </c>
      <c r="J71" s="276" t="s">
        <v>4489</v>
      </c>
    </row>
    <row r="72" spans="2:10">
      <c r="B72" s="31" t="s">
        <v>4490</v>
      </c>
      <c r="C72" s="295" t="s">
        <v>4490</v>
      </c>
      <c r="D72" s="288"/>
      <c r="I72" s="288" t="s">
        <v>4491</v>
      </c>
      <c r="J72" s="276" t="s">
        <v>4492</v>
      </c>
    </row>
    <row r="73" spans="2:10">
      <c r="B73" s="31" t="s">
        <v>4493</v>
      </c>
      <c r="C73" s="295" t="s">
        <v>4493</v>
      </c>
      <c r="D73" s="288"/>
      <c r="I73" s="288" t="s">
        <v>4494</v>
      </c>
      <c r="J73" s="276" t="s">
        <v>4495</v>
      </c>
    </row>
    <row r="74" spans="2:10">
      <c r="B74" s="31" t="s">
        <v>4496</v>
      </c>
      <c r="C74" s="295" t="s">
        <v>4496</v>
      </c>
      <c r="D74" s="288"/>
      <c r="I74" s="288" t="s">
        <v>4497</v>
      </c>
      <c r="J74" s="276" t="s">
        <v>4498</v>
      </c>
    </row>
    <row r="75" spans="2:10">
      <c r="B75" s="296" t="s">
        <v>4499</v>
      </c>
      <c r="C75" s="292" t="s">
        <v>4499</v>
      </c>
      <c r="D75" s="288"/>
      <c r="I75" s="288" t="s">
        <v>4500</v>
      </c>
      <c r="J75" s="276" t="s">
        <v>4501</v>
      </c>
    </row>
    <row r="76" spans="2:10">
      <c r="B76" s="31" t="s">
        <v>4502</v>
      </c>
      <c r="C76" s="295" t="s">
        <v>4502</v>
      </c>
      <c r="D76" s="288"/>
      <c r="I76" s="288" t="s">
        <v>4503</v>
      </c>
      <c r="J76" s="276" t="s">
        <v>4504</v>
      </c>
    </row>
    <row r="77" spans="2:10">
      <c r="B77" s="31" t="s">
        <v>4505</v>
      </c>
      <c r="C77" s="295" t="s">
        <v>4505</v>
      </c>
      <c r="D77" s="288"/>
      <c r="I77" s="288" t="s">
        <v>4506</v>
      </c>
      <c r="J77" s="276" t="s">
        <v>4507</v>
      </c>
    </row>
    <row r="78" spans="2:10">
      <c r="B78" s="296" t="s">
        <v>4508</v>
      </c>
      <c r="C78" s="292" t="s">
        <v>4508</v>
      </c>
      <c r="D78" s="288"/>
      <c r="I78" s="288" t="s">
        <v>4509</v>
      </c>
      <c r="J78" s="276" t="s">
        <v>4510</v>
      </c>
    </row>
    <row r="79" spans="2:10">
      <c r="B79" s="31" t="s">
        <v>4511</v>
      </c>
      <c r="C79" s="295" t="s">
        <v>4511</v>
      </c>
      <c r="D79" s="288"/>
      <c r="I79" s="288" t="s">
        <v>4512</v>
      </c>
      <c r="J79" s="276" t="s">
        <v>4513</v>
      </c>
    </row>
    <row r="80" spans="2:10">
      <c r="B80" s="31" t="s">
        <v>4514</v>
      </c>
      <c r="C80" s="295" t="s">
        <v>4514</v>
      </c>
      <c r="D80" s="288"/>
      <c r="I80" s="288" t="s">
        <v>4515</v>
      </c>
      <c r="J80" s="276" t="s">
        <v>4516</v>
      </c>
    </row>
    <row r="81" spans="2:10">
      <c r="B81" s="31" t="s">
        <v>4517</v>
      </c>
      <c r="C81" s="295" t="s">
        <v>4517</v>
      </c>
      <c r="D81" s="288"/>
      <c r="I81" s="288" t="s">
        <v>4518</v>
      </c>
      <c r="J81" s="276" t="s">
        <v>4519</v>
      </c>
    </row>
    <row r="82" spans="2:10">
      <c r="B82" s="31" t="s">
        <v>4520</v>
      </c>
      <c r="C82" s="295" t="s">
        <v>4520</v>
      </c>
      <c r="D82" s="288"/>
      <c r="I82" s="288" t="s">
        <v>4521</v>
      </c>
      <c r="J82" s="276" t="s">
        <v>4522</v>
      </c>
    </row>
    <row r="83" spans="2:10">
      <c r="B83" s="31" t="s">
        <v>4523</v>
      </c>
      <c r="C83" s="295" t="s">
        <v>4523</v>
      </c>
      <c r="D83" s="288"/>
      <c r="I83" s="288" t="s">
        <v>4524</v>
      </c>
      <c r="J83" s="276" t="s">
        <v>4525</v>
      </c>
    </row>
    <row r="84" spans="2:10">
      <c r="B84" s="296" t="s">
        <v>4526</v>
      </c>
      <c r="C84" s="292" t="s">
        <v>4527</v>
      </c>
      <c r="D84" s="288"/>
      <c r="I84" s="288" t="s">
        <v>4528</v>
      </c>
      <c r="J84" s="276" t="s">
        <v>4529</v>
      </c>
    </row>
    <row r="85" spans="2:10">
      <c r="B85" s="297" t="s">
        <v>4530</v>
      </c>
      <c r="C85" s="294" t="s">
        <v>4531</v>
      </c>
      <c r="D85" s="288"/>
      <c r="I85" s="288" t="s">
        <v>4532</v>
      </c>
      <c r="J85" s="276" t="s">
        <v>4533</v>
      </c>
    </row>
    <row r="86" spans="2:10">
      <c r="B86" s="296" t="s">
        <v>4534</v>
      </c>
      <c r="C86" s="292" t="s">
        <v>4535</v>
      </c>
      <c r="D86" s="288"/>
      <c r="I86" s="288" t="s">
        <v>4536</v>
      </c>
      <c r="J86" s="276" t="s">
        <v>4537</v>
      </c>
    </row>
    <row r="87" spans="2:10">
      <c r="B87" s="296" t="s">
        <v>4538</v>
      </c>
      <c r="C87" s="292" t="s">
        <v>4539</v>
      </c>
      <c r="D87" s="288"/>
      <c r="I87" s="288" t="s">
        <v>4540</v>
      </c>
      <c r="J87" s="276" t="s">
        <v>4541</v>
      </c>
    </row>
    <row r="88" spans="2:10">
      <c r="B88" s="296" t="s">
        <v>4542</v>
      </c>
      <c r="C88" s="292" t="s">
        <v>4543</v>
      </c>
      <c r="D88" s="288"/>
      <c r="I88" s="288" t="s">
        <v>4544</v>
      </c>
      <c r="J88" s="276" t="s">
        <v>4545</v>
      </c>
    </row>
    <row r="89" spans="2:10">
      <c r="B89" s="31" t="s">
        <v>4546</v>
      </c>
      <c r="C89" s="292" t="s">
        <v>4547</v>
      </c>
      <c r="D89" s="288"/>
      <c r="I89" s="288" t="s">
        <v>4548</v>
      </c>
      <c r="J89" s="276" t="s">
        <v>4549</v>
      </c>
    </row>
    <row r="90" spans="2:10">
      <c r="B90" s="31" t="s">
        <v>4550</v>
      </c>
      <c r="C90" s="292" t="s">
        <v>4551</v>
      </c>
      <c r="D90" s="288"/>
      <c r="I90" s="288" t="s">
        <v>4552</v>
      </c>
      <c r="J90" s="276" t="s">
        <v>4553</v>
      </c>
    </row>
    <row r="91" spans="2:10">
      <c r="B91" s="31" t="s">
        <v>4554</v>
      </c>
      <c r="C91" s="292" t="s">
        <v>4555</v>
      </c>
      <c r="D91" s="288"/>
      <c r="I91" s="288" t="s">
        <v>4556</v>
      </c>
      <c r="J91" s="276" t="s">
        <v>4557</v>
      </c>
    </row>
    <row r="92" spans="2:10">
      <c r="B92" s="31" t="s">
        <v>4558</v>
      </c>
      <c r="C92" s="292" t="s">
        <v>4559</v>
      </c>
      <c r="D92" s="288"/>
      <c r="I92" s="288" t="s">
        <v>4560</v>
      </c>
      <c r="J92" s="276" t="s">
        <v>4561</v>
      </c>
    </row>
    <row r="93" spans="2:10">
      <c r="B93" s="31" t="s">
        <v>4562</v>
      </c>
      <c r="C93" s="292" t="s">
        <v>4563</v>
      </c>
      <c r="D93" s="288"/>
      <c r="I93" s="288" t="s">
        <v>4564</v>
      </c>
      <c r="J93" s="276" t="s">
        <v>4565</v>
      </c>
    </row>
    <row r="94" spans="2:10">
      <c r="B94" s="31" t="s">
        <v>4566</v>
      </c>
      <c r="C94" s="292" t="s">
        <v>4567</v>
      </c>
      <c r="D94" s="289"/>
      <c r="I94" s="288" t="s">
        <v>4568</v>
      </c>
      <c r="J94" s="276" t="s">
        <v>4569</v>
      </c>
    </row>
    <row r="95" spans="2:10">
      <c r="B95" s="31" t="s">
        <v>4570</v>
      </c>
      <c r="C95" s="292" t="s">
        <v>4571</v>
      </c>
      <c r="D95" s="288"/>
      <c r="I95" s="288" t="s">
        <v>4560</v>
      </c>
      <c r="J95" s="276" t="s">
        <v>4572</v>
      </c>
    </row>
    <row r="96" spans="2:10">
      <c r="B96" s="31" t="s">
        <v>4573</v>
      </c>
      <c r="C96" s="292" t="s">
        <v>4574</v>
      </c>
      <c r="D96" s="288"/>
      <c r="I96" s="288" t="s">
        <v>4575</v>
      </c>
      <c r="J96" s="276" t="s">
        <v>4572</v>
      </c>
    </row>
    <row r="97" spans="2:10">
      <c r="B97" s="31" t="s">
        <v>4576</v>
      </c>
      <c r="C97" s="292" t="s">
        <v>4577</v>
      </c>
      <c r="D97" s="289"/>
      <c r="I97" s="288" t="s">
        <v>4578</v>
      </c>
      <c r="J97" s="276" t="s">
        <v>4579</v>
      </c>
    </row>
    <row r="98" spans="2:10">
      <c r="B98" s="31" t="s">
        <v>4580</v>
      </c>
      <c r="C98" s="292" t="s">
        <v>4581</v>
      </c>
      <c r="D98" s="288"/>
      <c r="I98" s="288" t="s">
        <v>4582</v>
      </c>
      <c r="J98" s="276" t="s">
        <v>4579</v>
      </c>
    </row>
    <row r="99" spans="2:10">
      <c r="B99" s="31" t="s">
        <v>4583</v>
      </c>
      <c r="C99" s="292" t="s">
        <v>4584</v>
      </c>
      <c r="D99" s="288"/>
      <c r="I99" s="288" t="s">
        <v>4585</v>
      </c>
      <c r="J99" s="276" t="s">
        <v>4586</v>
      </c>
    </row>
    <row r="100" spans="2:10">
      <c r="B100" s="31" t="s">
        <v>4587</v>
      </c>
      <c r="C100" s="292" t="s">
        <v>4588</v>
      </c>
      <c r="D100" s="288"/>
      <c r="I100" s="288" t="s">
        <v>4589</v>
      </c>
      <c r="J100" s="276" t="s">
        <v>4590</v>
      </c>
    </row>
    <row r="101" spans="2:10">
      <c r="B101" s="31" t="s">
        <v>4591</v>
      </c>
      <c r="C101" s="292" t="s">
        <v>4592</v>
      </c>
      <c r="D101" s="288"/>
      <c r="I101" s="288" t="s">
        <v>4552</v>
      </c>
      <c r="J101" s="276" t="s">
        <v>4593</v>
      </c>
    </row>
    <row r="102" spans="2:10">
      <c r="B102" s="31" t="s">
        <v>4594</v>
      </c>
      <c r="C102" s="292" t="s">
        <v>4595</v>
      </c>
      <c r="D102" s="288"/>
      <c r="I102" s="288" t="s">
        <v>4596</v>
      </c>
      <c r="J102" s="276" t="s">
        <v>4593</v>
      </c>
    </row>
    <row r="103" spans="2:10">
      <c r="B103" s="31" t="s">
        <v>4597</v>
      </c>
      <c r="C103" s="292" t="s">
        <v>4598</v>
      </c>
      <c r="D103" s="288"/>
      <c r="I103" s="288" t="s">
        <v>4599</v>
      </c>
      <c r="J103" s="276" t="s">
        <v>4600</v>
      </c>
    </row>
    <row r="104" spans="2:10">
      <c r="B104" s="31" t="s">
        <v>4601</v>
      </c>
      <c r="C104" s="292" t="s">
        <v>4602</v>
      </c>
      <c r="D104" s="288"/>
      <c r="I104" s="288" t="s">
        <v>4603</v>
      </c>
      <c r="J104" s="276" t="s">
        <v>4604</v>
      </c>
    </row>
    <row r="105" spans="2:10">
      <c r="B105" s="31" t="s">
        <v>4605</v>
      </c>
      <c r="C105" s="292" t="s">
        <v>4606</v>
      </c>
      <c r="D105" s="288"/>
      <c r="I105" s="288" t="s">
        <v>4607</v>
      </c>
      <c r="J105" s="276" t="s">
        <v>4608</v>
      </c>
    </row>
    <row r="106" spans="2:10">
      <c r="B106" s="31" t="s">
        <v>4609</v>
      </c>
      <c r="C106" s="292" t="s">
        <v>4610</v>
      </c>
      <c r="D106" s="288"/>
      <c r="I106" s="288" t="s">
        <v>4611</v>
      </c>
      <c r="J106" s="276" t="s">
        <v>4612</v>
      </c>
    </row>
    <row r="107" spans="2:10">
      <c r="B107" s="31" t="s">
        <v>4613</v>
      </c>
      <c r="C107" s="292" t="s">
        <v>4614</v>
      </c>
      <c r="D107" s="288"/>
      <c r="I107" s="288" t="s">
        <v>4615</v>
      </c>
      <c r="J107" s="276" t="s">
        <v>4616</v>
      </c>
    </row>
    <row r="108" spans="2:10">
      <c r="B108" s="31" t="s">
        <v>4617</v>
      </c>
      <c r="C108" s="292" t="s">
        <v>4618</v>
      </c>
      <c r="D108" s="288"/>
      <c r="I108" s="288" t="s">
        <v>4619</v>
      </c>
      <c r="J108" s="276" t="s">
        <v>4620</v>
      </c>
    </row>
    <row r="109" spans="2:10">
      <c r="B109" s="31" t="s">
        <v>4621</v>
      </c>
      <c r="C109" s="292" t="s">
        <v>4622</v>
      </c>
      <c r="D109" s="289"/>
      <c r="I109" s="288" t="s">
        <v>4623</v>
      </c>
      <c r="J109" s="276" t="s">
        <v>4624</v>
      </c>
    </row>
    <row r="110" spans="2:10">
      <c r="B110" s="31" t="s">
        <v>4625</v>
      </c>
      <c r="C110" s="292" t="s">
        <v>4626</v>
      </c>
      <c r="D110" s="288"/>
      <c r="I110" s="288" t="s">
        <v>4627</v>
      </c>
      <c r="J110" s="276" t="s">
        <v>4628</v>
      </c>
    </row>
    <row r="111" spans="2:10">
      <c r="B111" s="31" t="s">
        <v>4629</v>
      </c>
      <c r="C111" s="292" t="s">
        <v>4630</v>
      </c>
      <c r="D111" s="288"/>
      <c r="I111" s="288" t="s">
        <v>4631</v>
      </c>
      <c r="J111" s="276" t="s">
        <v>4628</v>
      </c>
    </row>
    <row r="112" spans="2:10">
      <c r="B112" s="31" t="s">
        <v>4632</v>
      </c>
      <c r="C112" s="292" t="s">
        <v>4633</v>
      </c>
      <c r="D112" s="288"/>
      <c r="I112" s="288" t="s">
        <v>4634</v>
      </c>
      <c r="J112" s="276" t="s">
        <v>4628</v>
      </c>
    </row>
    <row r="113" spans="2:10">
      <c r="B113" s="31" t="s">
        <v>4635</v>
      </c>
      <c r="C113" s="295" t="s">
        <v>4445</v>
      </c>
      <c r="D113" s="288"/>
      <c r="I113" s="288" t="s">
        <v>4636</v>
      </c>
      <c r="J113" s="276" t="s">
        <v>4628</v>
      </c>
    </row>
    <row r="114" spans="2:10">
      <c r="B114" s="31" t="s">
        <v>4637</v>
      </c>
      <c r="C114" s="292" t="s">
        <v>4638</v>
      </c>
      <c r="D114" s="288"/>
      <c r="I114" s="288" t="s">
        <v>4639</v>
      </c>
      <c r="J114" s="276" t="s">
        <v>4628</v>
      </c>
    </row>
    <row r="115" spans="2:10">
      <c r="B115" s="31" t="s">
        <v>4640</v>
      </c>
      <c r="C115" s="292" t="s">
        <v>3687</v>
      </c>
      <c r="D115" s="288"/>
      <c r="I115" s="288" t="s">
        <v>4641</v>
      </c>
      <c r="J115" s="276" t="s">
        <v>4642</v>
      </c>
    </row>
    <row r="116" spans="2:10">
      <c r="B116" s="31" t="s">
        <v>4643</v>
      </c>
      <c r="C116" s="292" t="s">
        <v>4644</v>
      </c>
      <c r="D116" s="288"/>
      <c r="I116" s="288" t="s">
        <v>4645</v>
      </c>
      <c r="J116" s="276" t="s">
        <v>4646</v>
      </c>
    </row>
    <row r="117" spans="2:10">
      <c r="B117" s="31" t="s">
        <v>4647</v>
      </c>
      <c r="C117" s="292" t="s">
        <v>4648</v>
      </c>
      <c r="D117" s="288"/>
      <c r="I117" s="288" t="s">
        <v>4649</v>
      </c>
      <c r="J117" s="276" t="s">
        <v>4650</v>
      </c>
    </row>
    <row r="118" spans="2:10">
      <c r="B118" s="31" t="s">
        <v>4651</v>
      </c>
      <c r="C118" s="292" t="s">
        <v>4652</v>
      </c>
      <c r="D118" s="288"/>
      <c r="I118" s="288" t="s">
        <v>4653</v>
      </c>
      <c r="J118" s="276" t="s">
        <v>4654</v>
      </c>
    </row>
    <row r="119" spans="2:10">
      <c r="B119" s="31" t="s">
        <v>4655</v>
      </c>
      <c r="C119" s="292" t="s">
        <v>4656</v>
      </c>
      <c r="D119" s="288"/>
      <c r="I119" s="288" t="s">
        <v>4657</v>
      </c>
      <c r="J119" s="276" t="s">
        <v>4658</v>
      </c>
    </row>
    <row r="120" spans="2:10">
      <c r="B120" s="31" t="s">
        <v>4659</v>
      </c>
      <c r="C120" s="292" t="s">
        <v>4660</v>
      </c>
      <c r="D120" s="288"/>
      <c r="I120" s="288" t="s">
        <v>4661</v>
      </c>
      <c r="J120" s="276" t="s">
        <v>4662</v>
      </c>
    </row>
    <row r="121" spans="2:10">
      <c r="B121" s="31" t="s">
        <v>4663</v>
      </c>
      <c r="C121" s="292" t="s">
        <v>4660</v>
      </c>
      <c r="D121" s="288"/>
      <c r="I121" s="288" t="s">
        <v>4664</v>
      </c>
      <c r="J121" s="276" t="s">
        <v>4665</v>
      </c>
    </row>
    <row r="122" spans="2:10">
      <c r="B122" s="31" t="s">
        <v>4666</v>
      </c>
      <c r="C122" s="292" t="s">
        <v>4660</v>
      </c>
      <c r="D122" s="289"/>
      <c r="I122" s="288" t="s">
        <v>4667</v>
      </c>
      <c r="J122" s="276" t="s">
        <v>4668</v>
      </c>
    </row>
    <row r="123" spans="2:10">
      <c r="B123" s="31" t="s">
        <v>4669</v>
      </c>
      <c r="C123" s="292" t="s">
        <v>4660</v>
      </c>
      <c r="D123" s="288"/>
      <c r="I123" s="288" t="s">
        <v>4670</v>
      </c>
      <c r="J123" s="276" t="s">
        <v>4671</v>
      </c>
    </row>
    <row r="124" spans="2:10">
      <c r="B124" s="31" t="s">
        <v>4672</v>
      </c>
      <c r="C124" s="292" t="s">
        <v>4660</v>
      </c>
      <c r="D124" s="288"/>
      <c r="I124" s="288" t="s">
        <v>4673</v>
      </c>
      <c r="J124" s="276" t="s">
        <v>4674</v>
      </c>
    </row>
    <row r="125" spans="2:10">
      <c r="B125" s="31" t="s">
        <v>4675</v>
      </c>
      <c r="C125" s="292" t="s">
        <v>4676</v>
      </c>
      <c r="D125" s="288"/>
      <c r="I125" s="288" t="s">
        <v>4677</v>
      </c>
      <c r="J125" s="276" t="s">
        <v>4674</v>
      </c>
    </row>
    <row r="126" spans="2:10">
      <c r="B126" s="31" t="s">
        <v>4678</v>
      </c>
      <c r="C126" s="292" t="s">
        <v>4679</v>
      </c>
      <c r="D126" s="288"/>
      <c r="I126" s="288" t="s">
        <v>4680</v>
      </c>
      <c r="J126" s="276" t="s">
        <v>4674</v>
      </c>
    </row>
    <row r="127" spans="2:10">
      <c r="B127" s="31" t="s">
        <v>4681</v>
      </c>
      <c r="C127" s="292" t="s">
        <v>4682</v>
      </c>
      <c r="D127" s="288"/>
      <c r="I127" s="288" t="s">
        <v>4683</v>
      </c>
      <c r="J127" s="276" t="s">
        <v>4684</v>
      </c>
    </row>
    <row r="128" spans="2:10">
      <c r="B128" s="31" t="s">
        <v>4685</v>
      </c>
      <c r="C128" s="292" t="s">
        <v>4686</v>
      </c>
      <c r="D128" s="288"/>
      <c r="I128" s="288" t="s">
        <v>4687</v>
      </c>
      <c r="J128" s="276" t="s">
        <v>4688</v>
      </c>
    </row>
    <row r="129" spans="2:10">
      <c r="B129" s="31" t="s">
        <v>4689</v>
      </c>
      <c r="C129" s="292" t="s">
        <v>4690</v>
      </c>
      <c r="D129" s="288"/>
      <c r="I129" s="288" t="s">
        <v>4691</v>
      </c>
      <c r="J129" s="276" t="s">
        <v>4692</v>
      </c>
    </row>
    <row r="130" spans="2:10">
      <c r="B130" s="31" t="s">
        <v>4693</v>
      </c>
      <c r="C130" s="292" t="s">
        <v>4690</v>
      </c>
      <c r="D130" s="288"/>
      <c r="I130" s="288" t="s">
        <v>4694</v>
      </c>
      <c r="J130" s="276" t="s">
        <v>4695</v>
      </c>
    </row>
    <row r="131" spans="2:10">
      <c r="B131" s="31" t="s">
        <v>4696</v>
      </c>
      <c r="C131" s="292" t="s">
        <v>4697</v>
      </c>
      <c r="D131" s="288"/>
      <c r="I131" s="288" t="s">
        <v>4698</v>
      </c>
      <c r="J131" s="276" t="s">
        <v>4699</v>
      </c>
    </row>
    <row r="132" spans="2:10">
      <c r="B132" s="31" t="s">
        <v>4700</v>
      </c>
      <c r="C132" s="292" t="s">
        <v>4701</v>
      </c>
      <c r="D132" s="288"/>
      <c r="I132" s="288" t="s">
        <v>4702</v>
      </c>
      <c r="J132" s="276" t="s">
        <v>4703</v>
      </c>
    </row>
    <row r="133" spans="2:10">
      <c r="B133" s="31" t="s">
        <v>4704</v>
      </c>
      <c r="C133" s="292" t="s">
        <v>4705</v>
      </c>
      <c r="D133" s="288"/>
      <c r="I133" s="288" t="s">
        <v>4706</v>
      </c>
      <c r="J133" s="276" t="s">
        <v>4707</v>
      </c>
    </row>
    <row r="134" spans="2:10">
      <c r="B134" s="31" t="s">
        <v>4548</v>
      </c>
      <c r="C134" s="292" t="s">
        <v>4549</v>
      </c>
      <c r="D134" s="288"/>
      <c r="I134" s="288" t="s">
        <v>4708</v>
      </c>
      <c r="J134" s="276" t="s">
        <v>4709</v>
      </c>
    </row>
    <row r="135" spans="2:10">
      <c r="B135" s="31" t="s">
        <v>4710</v>
      </c>
      <c r="C135" s="292" t="s">
        <v>4711</v>
      </c>
      <c r="D135" s="288"/>
      <c r="I135" s="288" t="s">
        <v>4712</v>
      </c>
      <c r="J135" s="276" t="s">
        <v>4713</v>
      </c>
    </row>
    <row r="136" spans="2:10">
      <c r="B136" s="31" t="s">
        <v>4714</v>
      </c>
      <c r="C136" s="292" t="s">
        <v>4715</v>
      </c>
      <c r="D136" s="288"/>
      <c r="I136" s="288" t="s">
        <v>4716</v>
      </c>
      <c r="J136" s="276" t="s">
        <v>4717</v>
      </c>
    </row>
    <row r="137" spans="2:10">
      <c r="B137" s="31" t="s">
        <v>4718</v>
      </c>
      <c r="C137" s="292" t="s">
        <v>4719</v>
      </c>
      <c r="D137" s="288"/>
      <c r="I137" s="288" t="s">
        <v>4720</v>
      </c>
      <c r="J137" s="289" t="s">
        <v>4717</v>
      </c>
    </row>
    <row r="138" spans="2:10">
      <c r="B138" s="31" t="s">
        <v>4721</v>
      </c>
      <c r="C138" s="292" t="s">
        <v>4722</v>
      </c>
      <c r="D138" s="289"/>
      <c r="I138" s="288" t="s">
        <v>4723</v>
      </c>
      <c r="J138" s="276" t="s">
        <v>4724</v>
      </c>
    </row>
    <row r="139" spans="2:10">
      <c r="B139" s="31" t="s">
        <v>4725</v>
      </c>
      <c r="C139" s="292" t="s">
        <v>4726</v>
      </c>
      <c r="D139" s="288"/>
      <c r="I139" s="288" t="s">
        <v>4727</v>
      </c>
      <c r="J139" s="276" t="s">
        <v>4728</v>
      </c>
    </row>
    <row r="140" spans="2:10">
      <c r="B140" s="31" t="s">
        <v>4729</v>
      </c>
      <c r="C140" s="292" t="s">
        <v>4730</v>
      </c>
      <c r="D140" s="288"/>
      <c r="I140" s="288" t="s">
        <v>4731</v>
      </c>
      <c r="J140" s="276" t="s">
        <v>4732</v>
      </c>
    </row>
    <row r="141" spans="2:10">
      <c r="B141" s="31" t="s">
        <v>4733</v>
      </c>
      <c r="C141" s="292" t="s">
        <v>4734</v>
      </c>
      <c r="D141" s="288"/>
      <c r="I141" s="288" t="s">
        <v>4735</v>
      </c>
      <c r="J141" s="276" t="s">
        <v>4736</v>
      </c>
    </row>
    <row r="142" spans="2:10">
      <c r="B142" s="31" t="s">
        <v>4737</v>
      </c>
      <c r="C142" s="292" t="s">
        <v>4738</v>
      </c>
      <c r="D142" s="288"/>
      <c r="I142" s="288" t="s">
        <v>4739</v>
      </c>
      <c r="J142" s="276" t="s">
        <v>4740</v>
      </c>
    </row>
    <row r="143" spans="2:10">
      <c r="B143" s="31" t="s">
        <v>4741</v>
      </c>
      <c r="C143" s="292" t="s">
        <v>4742</v>
      </c>
      <c r="D143" s="288"/>
      <c r="I143" s="288" t="s">
        <v>4743</v>
      </c>
      <c r="J143" s="276" t="s">
        <v>4740</v>
      </c>
    </row>
    <row r="144" spans="2:10">
      <c r="B144" s="31" t="s">
        <v>4744</v>
      </c>
      <c r="C144" s="292" t="s">
        <v>4742</v>
      </c>
      <c r="D144" s="288"/>
      <c r="I144" s="288" t="s">
        <v>4745</v>
      </c>
      <c r="J144" s="276" t="s">
        <v>4746</v>
      </c>
    </row>
    <row r="145" spans="2:10">
      <c r="B145" s="31" t="s">
        <v>4747</v>
      </c>
      <c r="C145" s="292" t="s">
        <v>4748</v>
      </c>
      <c r="D145" s="288"/>
      <c r="I145" s="288" t="s">
        <v>4749</v>
      </c>
      <c r="J145" s="276" t="s">
        <v>4750</v>
      </c>
    </row>
    <row r="146" spans="2:10">
      <c r="B146" s="31" t="s">
        <v>4751</v>
      </c>
      <c r="C146" s="292" t="s">
        <v>4752</v>
      </c>
      <c r="D146" s="288"/>
      <c r="I146" s="288" t="s">
        <v>4753</v>
      </c>
      <c r="J146" s="276" t="s">
        <v>4750</v>
      </c>
    </row>
    <row r="147" spans="2:10">
      <c r="B147" s="31" t="s">
        <v>4754</v>
      </c>
      <c r="C147" s="292" t="s">
        <v>4755</v>
      </c>
      <c r="D147" s="288"/>
      <c r="I147" s="288" t="s">
        <v>4756</v>
      </c>
      <c r="J147" s="276" t="s">
        <v>4750</v>
      </c>
    </row>
    <row r="148" spans="2:10">
      <c r="B148" s="31" t="s">
        <v>4757</v>
      </c>
      <c r="C148" s="292" t="s">
        <v>4758</v>
      </c>
      <c r="D148" s="288"/>
      <c r="I148" s="288" t="s">
        <v>4759</v>
      </c>
      <c r="J148" s="276" t="s">
        <v>4750</v>
      </c>
    </row>
    <row r="149" spans="2:10">
      <c r="B149" s="31" t="s">
        <v>4760</v>
      </c>
      <c r="C149" s="292" t="s">
        <v>4761</v>
      </c>
      <c r="D149" s="288"/>
      <c r="I149" s="288" t="s">
        <v>4762</v>
      </c>
      <c r="J149" s="276" t="s">
        <v>4750</v>
      </c>
    </row>
    <row r="150" spans="2:10">
      <c r="B150" s="31" t="s">
        <v>4763</v>
      </c>
      <c r="C150" s="292" t="s">
        <v>4764</v>
      </c>
      <c r="D150" s="288"/>
      <c r="I150" s="288" t="s">
        <v>4765</v>
      </c>
      <c r="J150" s="276" t="s">
        <v>4750</v>
      </c>
    </row>
    <row r="151" spans="2:10">
      <c r="B151" s="296" t="s">
        <v>4766</v>
      </c>
      <c r="C151" s="292" t="s">
        <v>4766</v>
      </c>
      <c r="D151" s="288"/>
      <c r="I151" s="288" t="s">
        <v>4767</v>
      </c>
      <c r="J151" s="276" t="s">
        <v>4750</v>
      </c>
    </row>
    <row r="152" spans="2:10">
      <c r="B152" s="31" t="s">
        <v>4768</v>
      </c>
      <c r="C152" s="292" t="s">
        <v>4769</v>
      </c>
      <c r="D152" s="288"/>
      <c r="I152" s="288" t="s">
        <v>4770</v>
      </c>
      <c r="J152" s="276" t="s">
        <v>4771</v>
      </c>
    </row>
    <row r="153" spans="2:10">
      <c r="B153" s="31" t="s">
        <v>4772</v>
      </c>
      <c r="C153" s="292" t="s">
        <v>4773</v>
      </c>
      <c r="D153" s="288"/>
      <c r="I153" s="288" t="s">
        <v>4774</v>
      </c>
      <c r="J153" s="276" t="s">
        <v>4771</v>
      </c>
    </row>
    <row r="154" spans="2:10">
      <c r="B154" s="297" t="s">
        <v>4775</v>
      </c>
      <c r="C154" s="294" t="s">
        <v>4776</v>
      </c>
      <c r="D154" s="288"/>
      <c r="I154" s="288" t="s">
        <v>4777</v>
      </c>
      <c r="J154" s="276" t="s">
        <v>4771</v>
      </c>
    </row>
    <row r="155" spans="2:10">
      <c r="B155" s="31" t="s">
        <v>4778</v>
      </c>
      <c r="C155" s="292" t="s">
        <v>4779</v>
      </c>
      <c r="D155" s="288"/>
      <c r="I155" s="288" t="s">
        <v>4780</v>
      </c>
      <c r="J155" s="290" t="s">
        <v>4781</v>
      </c>
    </row>
    <row r="156" spans="2:10">
      <c r="B156" s="31" t="s">
        <v>4782</v>
      </c>
      <c r="C156" s="292" t="s">
        <v>4783</v>
      </c>
      <c r="D156" s="288"/>
      <c r="I156" s="288" t="s">
        <v>4784</v>
      </c>
      <c r="J156" s="276" t="s">
        <v>4785</v>
      </c>
    </row>
    <row r="157" spans="2:10">
      <c r="B157" s="31" t="s">
        <v>4786</v>
      </c>
      <c r="C157" s="292" t="s">
        <v>4787</v>
      </c>
      <c r="D157" s="288"/>
      <c r="I157" s="288" t="s">
        <v>4788</v>
      </c>
      <c r="J157" s="276" t="s">
        <v>4789</v>
      </c>
    </row>
    <row r="158" spans="2:10">
      <c r="B158" s="31" t="s">
        <v>4790</v>
      </c>
      <c r="C158" s="296" t="s">
        <v>4791</v>
      </c>
      <c r="I158" s="288" t="s">
        <v>4792</v>
      </c>
      <c r="J158" s="276" t="s">
        <v>4793</v>
      </c>
    </row>
    <row r="159" spans="2:10">
      <c r="B159" s="31" t="s">
        <v>4794</v>
      </c>
      <c r="C159" s="296" t="s">
        <v>4795</v>
      </c>
      <c r="I159" s="288" t="s">
        <v>4796</v>
      </c>
      <c r="J159" s="276" t="s">
        <v>4793</v>
      </c>
    </row>
    <row r="160" spans="2:10">
      <c r="B160" s="293" t="s">
        <v>4246</v>
      </c>
      <c r="C160" s="294" t="s">
        <v>4797</v>
      </c>
      <c r="I160" s="288" t="s">
        <v>4798</v>
      </c>
      <c r="J160" s="276" t="s">
        <v>4799</v>
      </c>
    </row>
    <row r="161" spans="2:10">
      <c r="B161" s="293" t="s">
        <v>4800</v>
      </c>
      <c r="C161" s="292" t="s">
        <v>4801</v>
      </c>
      <c r="I161" s="288" t="s">
        <v>4802</v>
      </c>
      <c r="J161" s="276" t="s">
        <v>4803</v>
      </c>
    </row>
    <row r="162" spans="2:10">
      <c r="B162" s="293" t="s">
        <v>4804</v>
      </c>
      <c r="C162" s="292" t="s">
        <v>4805</v>
      </c>
      <c r="I162" s="288" t="s">
        <v>4806</v>
      </c>
      <c r="J162" s="276" t="s">
        <v>4807</v>
      </c>
    </row>
    <row r="163" spans="2:10">
      <c r="B163" s="293" t="s">
        <v>4808</v>
      </c>
      <c r="C163" s="294" t="s">
        <v>4809</v>
      </c>
      <c r="I163" s="288" t="s">
        <v>4810</v>
      </c>
      <c r="J163" s="276" t="s">
        <v>4811</v>
      </c>
    </row>
    <row r="164" spans="2:10">
      <c r="B164" s="293" t="s">
        <v>4812</v>
      </c>
      <c r="C164" s="292" t="s">
        <v>4813</v>
      </c>
      <c r="I164" s="288" t="s">
        <v>4814</v>
      </c>
      <c r="J164" s="276" t="s">
        <v>4815</v>
      </c>
    </row>
    <row r="165" spans="2:10">
      <c r="B165" s="293" t="s">
        <v>4816</v>
      </c>
      <c r="C165" s="292" t="s">
        <v>4817</v>
      </c>
      <c r="I165" s="288" t="s">
        <v>4818</v>
      </c>
      <c r="J165" s="276" t="s">
        <v>4815</v>
      </c>
    </row>
    <row r="166" spans="2:10">
      <c r="B166" s="293" t="s">
        <v>4819</v>
      </c>
      <c r="C166" s="292" t="s">
        <v>4820</v>
      </c>
      <c r="I166" s="288" t="s">
        <v>4821</v>
      </c>
      <c r="J166" s="276" t="s">
        <v>4815</v>
      </c>
    </row>
    <row r="167" spans="2:10">
      <c r="B167" s="293" t="s">
        <v>4822</v>
      </c>
      <c r="C167" s="292" t="s">
        <v>4823</v>
      </c>
      <c r="I167" s="288" t="s">
        <v>4824</v>
      </c>
      <c r="J167" s="276" t="s">
        <v>4815</v>
      </c>
    </row>
    <row r="168" spans="2:10">
      <c r="B168" s="298" t="s">
        <v>4825</v>
      </c>
      <c r="C168" s="299" t="s">
        <v>4826</v>
      </c>
      <c r="I168" s="288" t="s">
        <v>4827</v>
      </c>
      <c r="J168" s="276" t="s">
        <v>4828</v>
      </c>
    </row>
    <row r="169" spans="2:10">
      <c r="B169" s="293" t="s">
        <v>4829</v>
      </c>
      <c r="C169" s="292" t="s">
        <v>4830</v>
      </c>
      <c r="I169" s="288" t="s">
        <v>4831</v>
      </c>
      <c r="J169" s="276" t="s">
        <v>28</v>
      </c>
    </row>
    <row r="170" spans="2:10">
      <c r="B170" s="293" t="s">
        <v>4832</v>
      </c>
      <c r="C170" s="292" t="s">
        <v>4830</v>
      </c>
      <c r="I170" s="288" t="s">
        <v>4833</v>
      </c>
      <c r="J170" s="276" t="s">
        <v>28</v>
      </c>
    </row>
    <row r="171" spans="2:10">
      <c r="B171" s="293" t="s">
        <v>4834</v>
      </c>
      <c r="C171" s="292" t="s">
        <v>4830</v>
      </c>
      <c r="I171" s="288" t="s">
        <v>4835</v>
      </c>
      <c r="J171" s="276" t="s">
        <v>4836</v>
      </c>
    </row>
    <row r="172" spans="2:10">
      <c r="B172" s="293" t="s">
        <v>4837</v>
      </c>
      <c r="C172" s="292" t="s">
        <v>4830</v>
      </c>
      <c r="I172" s="288" t="s">
        <v>4838</v>
      </c>
      <c r="J172" s="290" t="s">
        <v>4839</v>
      </c>
    </row>
    <row r="173" spans="2:10">
      <c r="B173" s="293" t="s">
        <v>4840</v>
      </c>
      <c r="C173" s="292" t="s">
        <v>4841</v>
      </c>
      <c r="I173" s="288" t="s">
        <v>4842</v>
      </c>
      <c r="J173" s="276" t="s">
        <v>4839</v>
      </c>
    </row>
    <row r="174" spans="2:10">
      <c r="B174" s="293" t="s">
        <v>4843</v>
      </c>
      <c r="C174" s="292" t="s">
        <v>4841</v>
      </c>
      <c r="I174" s="288" t="s">
        <v>4844</v>
      </c>
      <c r="J174" s="276" t="s">
        <v>4839</v>
      </c>
    </row>
    <row r="175" spans="2:10">
      <c r="B175" s="293" t="s">
        <v>4845</v>
      </c>
      <c r="C175" s="292" t="s">
        <v>4846</v>
      </c>
      <c r="I175" s="288" t="s">
        <v>4847</v>
      </c>
      <c r="J175" s="276" t="s">
        <v>4839</v>
      </c>
    </row>
    <row r="176" spans="2:10">
      <c r="B176" s="293" t="s">
        <v>4264</v>
      </c>
      <c r="C176" s="294" t="s">
        <v>4848</v>
      </c>
      <c r="I176" s="288" t="s">
        <v>4488</v>
      </c>
      <c r="J176" s="276" t="s">
        <v>4849</v>
      </c>
    </row>
    <row r="177" spans="2:10">
      <c r="B177" s="298" t="s">
        <v>4850</v>
      </c>
      <c r="C177" s="299" t="s">
        <v>4851</v>
      </c>
      <c r="I177" s="288" t="s">
        <v>4852</v>
      </c>
      <c r="J177" s="276" t="s">
        <v>4853</v>
      </c>
    </row>
    <row r="178" spans="2:10">
      <c r="B178" s="293" t="s">
        <v>4854</v>
      </c>
      <c r="C178" s="292" t="s">
        <v>4855</v>
      </c>
      <c r="I178" s="288" t="s">
        <v>4856</v>
      </c>
      <c r="J178" s="289" t="s">
        <v>4857</v>
      </c>
    </row>
    <row r="179" spans="2:10">
      <c r="B179" s="293" t="s">
        <v>4858</v>
      </c>
      <c r="C179" s="292" t="s">
        <v>4855</v>
      </c>
      <c r="I179" s="288" t="s">
        <v>4859</v>
      </c>
      <c r="J179" t="s">
        <v>4860</v>
      </c>
    </row>
    <row r="180" spans="2:10">
      <c r="B180" s="298" t="s">
        <v>4861</v>
      </c>
      <c r="C180" s="299" t="s">
        <v>4855</v>
      </c>
    </row>
    <row r="181" spans="2:10">
      <c r="B181" s="298" t="s">
        <v>4862</v>
      </c>
      <c r="C181" s="299" t="s">
        <v>4855</v>
      </c>
    </row>
    <row r="182" spans="2:10">
      <c r="B182" s="31" t="s">
        <v>4863</v>
      </c>
      <c r="C182" s="296" t="s">
        <v>4855</v>
      </c>
    </row>
    <row r="183" spans="2:10">
      <c r="B183" s="31" t="s">
        <v>4864</v>
      </c>
      <c r="C183" s="296" t="s">
        <v>4865</v>
      </c>
    </row>
    <row r="184" spans="2:10">
      <c r="B184" s="31" t="s">
        <v>4866</v>
      </c>
      <c r="C184" s="296" t="s">
        <v>4867</v>
      </c>
    </row>
    <row r="185" spans="2:10">
      <c r="B185" s="31" t="s">
        <v>4868</v>
      </c>
      <c r="C185" s="296" t="s">
        <v>4869</v>
      </c>
    </row>
    <row r="186" spans="2:10">
      <c r="B186" s="31" t="s">
        <v>4870</v>
      </c>
      <c r="C186" s="296" t="s">
        <v>4871</v>
      </c>
    </row>
    <row r="187" spans="2:10">
      <c r="B187" s="31" t="s">
        <v>4872</v>
      </c>
      <c r="C187" s="296" t="s">
        <v>4873</v>
      </c>
    </row>
    <row r="188" spans="2:10">
      <c r="B188" s="31" t="s">
        <v>4874</v>
      </c>
      <c r="C188" s="296" t="s">
        <v>4875</v>
      </c>
    </row>
    <row r="189" spans="2:10">
      <c r="B189" s="31" t="s">
        <v>4876</v>
      </c>
      <c r="C189" s="296" t="s">
        <v>4877</v>
      </c>
    </row>
    <row r="190" spans="2:10">
      <c r="B190" s="31" t="s">
        <v>4878</v>
      </c>
      <c r="C190" s="296" t="s">
        <v>4879</v>
      </c>
    </row>
    <row r="191" spans="2:10">
      <c r="B191" s="31" t="s">
        <v>4226</v>
      </c>
      <c r="C191" s="297" t="s">
        <v>4880</v>
      </c>
    </row>
    <row r="192" spans="2:10">
      <c r="B192" s="31" t="s">
        <v>4256</v>
      </c>
      <c r="C192" s="296" t="s">
        <v>4881</v>
      </c>
    </row>
    <row r="193" spans="2:3">
      <c r="B193" s="31" t="s">
        <v>4882</v>
      </c>
      <c r="C193" s="296" t="s">
        <v>4883</v>
      </c>
    </row>
    <row r="194" spans="2:3">
      <c r="B194" s="31" t="s">
        <v>4884</v>
      </c>
      <c r="C194" s="296" t="s">
        <v>4885</v>
      </c>
    </row>
    <row r="195" spans="2:3">
      <c r="B195" s="31" t="s">
        <v>4886</v>
      </c>
      <c r="C195" s="31" t="s">
        <v>4887</v>
      </c>
    </row>
    <row r="196" spans="2:3">
      <c r="B196" s="31" t="s">
        <v>4888</v>
      </c>
      <c r="C196" s="296" t="s">
        <v>4889</v>
      </c>
    </row>
    <row r="197" spans="2:3">
      <c r="B197" s="31" t="s">
        <v>4890</v>
      </c>
      <c r="C197" s="296" t="s">
        <v>4891</v>
      </c>
    </row>
    <row r="198" spans="2:3">
      <c r="B198" s="31" t="s">
        <v>4892</v>
      </c>
      <c r="C198" s="296" t="s">
        <v>4893</v>
      </c>
    </row>
    <row r="199" spans="2:3">
      <c r="B199" s="31" t="s">
        <v>4894</v>
      </c>
      <c r="C199" s="296" t="s">
        <v>4895</v>
      </c>
    </row>
    <row r="200" spans="2:3">
      <c r="B200" s="31" t="s">
        <v>4896</v>
      </c>
      <c r="C200" s="296" t="s">
        <v>4897</v>
      </c>
    </row>
    <row r="201" spans="2:3">
      <c r="B201" s="31" t="s">
        <v>4898</v>
      </c>
      <c r="C201" s="296" t="s">
        <v>4899</v>
      </c>
    </row>
    <row r="202" spans="2:3">
      <c r="B202" s="31" t="s">
        <v>4900</v>
      </c>
      <c r="C202" s="296" t="s">
        <v>4901</v>
      </c>
    </row>
    <row r="203" spans="2:3">
      <c r="B203" s="31" t="s">
        <v>4902</v>
      </c>
      <c r="C203" s="296" t="s">
        <v>4903</v>
      </c>
    </row>
    <row r="204" spans="2:3">
      <c r="B204" s="31" t="s">
        <v>4904</v>
      </c>
      <c r="C204" s="296" t="s">
        <v>4905</v>
      </c>
    </row>
    <row r="205" spans="2:3">
      <c r="B205" s="31" t="s">
        <v>4906</v>
      </c>
      <c r="C205" s="296" t="s">
        <v>4907</v>
      </c>
    </row>
    <row r="206" spans="2:3">
      <c r="B206" s="31" t="s">
        <v>4908</v>
      </c>
      <c r="C206" s="296" t="s">
        <v>4909</v>
      </c>
    </row>
    <row r="207" spans="2:3">
      <c r="B207" s="31" t="s">
        <v>4910</v>
      </c>
      <c r="C207" s="296" t="s">
        <v>4911</v>
      </c>
    </row>
    <row r="208" spans="2:3">
      <c r="B208" s="31" t="s">
        <v>4912</v>
      </c>
      <c r="C208" s="297" t="s">
        <v>4913</v>
      </c>
    </row>
    <row r="209" spans="2:3">
      <c r="B209" s="31" t="s">
        <v>4914</v>
      </c>
      <c r="C209" s="296" t="s">
        <v>4915</v>
      </c>
    </row>
    <row r="210" spans="2:3">
      <c r="B210" s="31" t="s">
        <v>4916</v>
      </c>
      <c r="C210" s="296" t="s">
        <v>4917</v>
      </c>
    </row>
    <row r="211" spans="2:3">
      <c r="B211" s="31" t="s">
        <v>4392</v>
      </c>
      <c r="C211" s="296" t="s">
        <v>4918</v>
      </c>
    </row>
    <row r="212" spans="2:3">
      <c r="B212" s="31" t="s">
        <v>4919</v>
      </c>
      <c r="C212" s="296" t="s">
        <v>4920</v>
      </c>
    </row>
    <row r="213" spans="2:3">
      <c r="B213" s="305" t="s">
        <v>4921</v>
      </c>
      <c r="C213" s="306" t="s">
        <v>4922</v>
      </c>
    </row>
    <row r="214" spans="2:3">
      <c r="B214" s="307" t="s">
        <v>4923</v>
      </c>
      <c r="C214" s="274" t="s">
        <v>4924</v>
      </c>
    </row>
    <row r="215" spans="2:3">
      <c r="B215" s="309" t="s">
        <v>4238</v>
      </c>
      <c r="C215" s="306" t="s">
        <v>4925</v>
      </c>
    </row>
    <row r="216" spans="2:3">
      <c r="B216" s="309" t="s">
        <v>4926</v>
      </c>
      <c r="C216" s="306" t="s">
        <v>4927</v>
      </c>
    </row>
    <row r="217" spans="2:3">
      <c r="B217" s="308" t="s">
        <v>4609</v>
      </c>
      <c r="C217" s="288" t="s">
        <v>4610</v>
      </c>
    </row>
    <row r="218" spans="2:3">
      <c r="B218" s="308" t="s">
        <v>4928</v>
      </c>
      <c r="C218" s="288" t="s">
        <v>4929</v>
      </c>
    </row>
    <row r="219" spans="2:3">
      <c r="B219" s="310" t="s">
        <v>4930</v>
      </c>
      <c r="C219" s="311" t="s">
        <v>4931</v>
      </c>
    </row>
    <row r="220" spans="2:3">
      <c r="B220" s="307" t="s">
        <v>4727</v>
      </c>
      <c r="C220" s="274" t="s">
        <v>4932</v>
      </c>
    </row>
    <row r="221" spans="2:3">
      <c r="B221" s="309" t="s">
        <v>4866</v>
      </c>
      <c r="C221" s="306" t="s">
        <v>4867</v>
      </c>
    </row>
    <row r="222" spans="2:3">
      <c r="B222" s="307" t="s">
        <v>4933</v>
      </c>
      <c r="C222" s="274" t="s">
        <v>4934</v>
      </c>
    </row>
    <row r="223" spans="2:3">
      <c r="B223" s="309" t="s">
        <v>4935</v>
      </c>
      <c r="C223" s="306" t="s">
        <v>4936</v>
      </c>
    </row>
    <row r="224" spans="2:3">
      <c r="B224" s="309" t="s">
        <v>4937</v>
      </c>
      <c r="C224" s="306" t="s">
        <v>4937</v>
      </c>
    </row>
    <row r="225" spans="2:3">
      <c r="B225" t="s">
        <v>4938</v>
      </c>
      <c r="C225" t="s">
        <v>4939</v>
      </c>
    </row>
    <row r="226" spans="2:3">
      <c r="B226" t="s">
        <v>4940</v>
      </c>
      <c r="C226" t="s">
        <v>4941</v>
      </c>
    </row>
  </sheetData>
  <mergeCells count="6">
    <mergeCell ref="B1:J2"/>
    <mergeCell ref="L3:S4"/>
    <mergeCell ref="B6:C7"/>
    <mergeCell ref="F6:G7"/>
    <mergeCell ref="I6:J7"/>
    <mergeCell ref="B4:J5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903E6-CD97-4AFD-B98B-31D8EB11F7F9}">
  <sheetPr>
    <tabColor rgb="FFFFFF00"/>
  </sheetPr>
  <dimension ref="A2:N156"/>
  <sheetViews>
    <sheetView zoomScale="70" zoomScaleNormal="70" workbookViewId="0">
      <selection activeCell="A3" sqref="A3"/>
    </sheetView>
  </sheetViews>
  <sheetFormatPr defaultColWidth="11.42578125" defaultRowHeight="15"/>
  <cols>
    <col min="1" max="1" width="20.5703125" customWidth="1"/>
    <col min="4" max="4" width="11.7109375" customWidth="1"/>
    <col min="5" max="5" width="16.5703125" customWidth="1"/>
    <col min="7" max="7" width="21.7109375" customWidth="1"/>
    <col min="8" max="8" width="17.28515625" customWidth="1"/>
    <col min="10" max="10" width="16.85546875" customWidth="1"/>
    <col min="11" max="11" width="18.28515625" customWidth="1"/>
    <col min="12" max="12" width="17.5703125" customWidth="1"/>
    <col min="13" max="13" width="15.42578125" customWidth="1"/>
  </cols>
  <sheetData>
    <row r="2" spans="1:14">
      <c r="A2" s="392" t="s">
        <v>4942</v>
      </c>
      <c r="B2" s="392" t="s">
        <v>4943</v>
      </c>
      <c r="C2" s="392" t="s">
        <v>4944</v>
      </c>
      <c r="D2" s="392" t="s">
        <v>4945</v>
      </c>
      <c r="E2" s="392" t="s">
        <v>4946</v>
      </c>
      <c r="F2" s="392" t="s">
        <v>4947</v>
      </c>
      <c r="G2" s="392" t="s">
        <v>4948</v>
      </c>
      <c r="H2" s="392" t="s">
        <v>4949</v>
      </c>
      <c r="I2" s="392" t="s">
        <v>3687</v>
      </c>
      <c r="J2" s="392" t="s">
        <v>4950</v>
      </c>
      <c r="K2" s="392" t="s">
        <v>4951</v>
      </c>
      <c r="L2" s="392" t="s">
        <v>4952</v>
      </c>
      <c r="M2" s="392" t="s">
        <v>4953</v>
      </c>
      <c r="N2" s="392" t="s">
        <v>4954</v>
      </c>
    </row>
    <row r="3" spans="1:14" ht="29.25">
      <c r="A3" s="464">
        <v>46204.548611111109</v>
      </c>
      <c r="B3" s="465" t="s">
        <v>111</v>
      </c>
      <c r="C3" s="466" t="s">
        <v>23</v>
      </c>
      <c r="D3" s="467">
        <v>0.54861111111111116</v>
      </c>
      <c r="E3" s="467">
        <v>0.5625</v>
      </c>
      <c r="F3" s="465" t="s">
        <v>103</v>
      </c>
      <c r="G3" s="465" t="s">
        <v>3546</v>
      </c>
      <c r="H3" s="466"/>
      <c r="I3" s="468">
        <v>46204</v>
      </c>
      <c r="J3" s="469">
        <v>46206.1</v>
      </c>
      <c r="K3" s="469">
        <v>46206.1</v>
      </c>
      <c r="L3" s="466" t="s">
        <v>4955</v>
      </c>
      <c r="M3" s="466" t="s">
        <v>4956</v>
      </c>
      <c r="N3" s="471"/>
    </row>
    <row r="4" spans="1:14" ht="43.5">
      <c r="A4" s="458">
        <v>46204.565972222219</v>
      </c>
      <c r="B4" s="459" t="s">
        <v>111</v>
      </c>
      <c r="C4" s="460" t="s">
        <v>23</v>
      </c>
      <c r="D4" s="461">
        <v>0.56597222222222221</v>
      </c>
      <c r="E4" s="461">
        <v>0.58333333333333337</v>
      </c>
      <c r="F4" s="459" t="s">
        <v>3242</v>
      </c>
      <c r="G4" s="459" t="s">
        <v>3547</v>
      </c>
      <c r="H4" s="460"/>
      <c r="I4" s="462">
        <v>46204</v>
      </c>
      <c r="J4" s="463">
        <v>46206.102083333331</v>
      </c>
      <c r="K4" s="463">
        <v>46206.102083333331</v>
      </c>
      <c r="L4" s="460" t="s">
        <v>4955</v>
      </c>
      <c r="M4" s="460" t="s">
        <v>4956</v>
      </c>
      <c r="N4" s="472"/>
    </row>
    <row r="5" spans="1:14" ht="43.5">
      <c r="A5" s="464">
        <v>46204.597222222219</v>
      </c>
      <c r="B5" s="465" t="s">
        <v>111</v>
      </c>
      <c r="C5" s="466" t="s">
        <v>23</v>
      </c>
      <c r="D5" s="467">
        <v>0.59722222222222221</v>
      </c>
      <c r="E5" s="467">
        <v>0.64583333333333337</v>
      </c>
      <c r="F5" s="465" t="s">
        <v>119</v>
      </c>
      <c r="G5" s="465" t="s">
        <v>3548</v>
      </c>
      <c r="H5" s="466" t="s">
        <v>3549</v>
      </c>
      <c r="I5" s="468">
        <v>46204</v>
      </c>
      <c r="J5" s="469">
        <v>46206.103472222225</v>
      </c>
      <c r="K5" s="469">
        <v>46206.103472222225</v>
      </c>
      <c r="L5" s="466" t="s">
        <v>4955</v>
      </c>
      <c r="M5" s="466" t="s">
        <v>4956</v>
      </c>
      <c r="N5" s="471"/>
    </row>
    <row r="6" spans="1:14" ht="29.25">
      <c r="A6" s="458">
        <v>46204.652777777781</v>
      </c>
      <c r="B6" s="459" t="s">
        <v>111</v>
      </c>
      <c r="C6" s="460" t="s">
        <v>23</v>
      </c>
      <c r="D6" s="461">
        <v>0.65277777777777779</v>
      </c>
      <c r="E6" s="461">
        <v>0.66666666666666663</v>
      </c>
      <c r="F6" s="459" t="s">
        <v>1470</v>
      </c>
      <c r="G6" s="459" t="s">
        <v>225</v>
      </c>
      <c r="H6" s="460"/>
      <c r="I6" s="462">
        <v>46204</v>
      </c>
      <c r="J6" s="463">
        <v>46206.104166666664</v>
      </c>
      <c r="K6" s="463">
        <v>46206.104166666664</v>
      </c>
      <c r="L6" s="460" t="s">
        <v>4955</v>
      </c>
      <c r="M6" s="460" t="s">
        <v>4956</v>
      </c>
      <c r="N6" s="472"/>
    </row>
    <row r="7" spans="1:14" ht="43.5">
      <c r="A7" s="464">
        <v>46204.673611111109</v>
      </c>
      <c r="B7" s="465" t="s">
        <v>111</v>
      </c>
      <c r="C7" s="466" t="s">
        <v>23</v>
      </c>
      <c r="D7" s="467">
        <v>0.67361111111111116</v>
      </c>
      <c r="E7" s="467">
        <v>0.72916666666666663</v>
      </c>
      <c r="F7" s="465" t="s">
        <v>328</v>
      </c>
      <c r="G7" s="465" t="s">
        <v>3550</v>
      </c>
      <c r="H7" s="466"/>
      <c r="I7" s="468">
        <v>46204</v>
      </c>
      <c r="J7" s="469">
        <v>46206.106249999997</v>
      </c>
      <c r="K7" s="469">
        <v>46206.106249999997</v>
      </c>
      <c r="L7" s="466" t="s">
        <v>4955</v>
      </c>
      <c r="M7" s="466" t="s">
        <v>4956</v>
      </c>
      <c r="N7" s="471"/>
    </row>
    <row r="8" spans="1:14" ht="43.5">
      <c r="A8" s="458">
        <v>46204.774305555555</v>
      </c>
      <c r="B8" s="459" t="s">
        <v>111</v>
      </c>
      <c r="C8" s="460" t="s">
        <v>23</v>
      </c>
      <c r="D8" s="461">
        <v>0.77430555555555558</v>
      </c>
      <c r="E8" s="461">
        <v>0.79166666666666663</v>
      </c>
      <c r="F8" s="459" t="s">
        <v>182</v>
      </c>
      <c r="G8" s="459" t="s">
        <v>3551</v>
      </c>
      <c r="H8" s="460" t="s">
        <v>3552</v>
      </c>
      <c r="I8" s="462">
        <v>46204</v>
      </c>
      <c r="J8" s="463">
        <v>46206.107638888891</v>
      </c>
      <c r="K8" s="463">
        <v>46206.107638888891</v>
      </c>
      <c r="L8" s="460" t="s">
        <v>4955</v>
      </c>
      <c r="M8" s="460" t="s">
        <v>4956</v>
      </c>
      <c r="N8" s="472"/>
    </row>
    <row r="9" spans="1:14" ht="57.75">
      <c r="A9" s="464">
        <v>46204.527777777781</v>
      </c>
      <c r="B9" s="465" t="s">
        <v>179</v>
      </c>
      <c r="C9" s="466" t="s">
        <v>23</v>
      </c>
      <c r="D9" s="467">
        <v>0.52777777777777779</v>
      </c>
      <c r="E9" s="467">
        <v>0.54861111111111116</v>
      </c>
      <c r="F9" s="465" t="s">
        <v>215</v>
      </c>
      <c r="G9" s="465" t="s">
        <v>3553</v>
      </c>
      <c r="H9" s="466"/>
      <c r="I9" s="468">
        <v>46204</v>
      </c>
      <c r="J9" s="469">
        <v>46206.10833333333</v>
      </c>
      <c r="K9" s="469">
        <v>46206.10833333333</v>
      </c>
      <c r="L9" s="466" t="s">
        <v>4955</v>
      </c>
      <c r="M9" s="466" t="s">
        <v>4956</v>
      </c>
      <c r="N9" s="471"/>
    </row>
    <row r="10" spans="1:14" ht="57.75">
      <c r="A10" s="458">
        <v>46204.798611111109</v>
      </c>
      <c r="B10" s="459" t="s">
        <v>111</v>
      </c>
      <c r="C10" s="460" t="s">
        <v>23</v>
      </c>
      <c r="D10" s="461">
        <v>0.79861111111111116</v>
      </c>
      <c r="E10" s="461">
        <v>0.85416666666666663</v>
      </c>
      <c r="F10" s="459" t="s">
        <v>24</v>
      </c>
      <c r="G10" s="459" t="s">
        <v>3554</v>
      </c>
      <c r="H10" s="460"/>
      <c r="I10" s="462">
        <v>46204</v>
      </c>
      <c r="J10" s="463">
        <v>46206.10833333333</v>
      </c>
      <c r="K10" s="463">
        <v>46206.10833333333</v>
      </c>
      <c r="L10" s="460" t="s">
        <v>4955</v>
      </c>
      <c r="M10" s="460" t="s">
        <v>4956</v>
      </c>
      <c r="N10" s="472"/>
    </row>
    <row r="11" spans="1:14" ht="43.5">
      <c r="A11" s="464">
        <v>46204.555555555555</v>
      </c>
      <c r="B11" s="465" t="s">
        <v>179</v>
      </c>
      <c r="C11" s="466" t="s">
        <v>23</v>
      </c>
      <c r="D11" s="467">
        <v>0.55555555555555558</v>
      </c>
      <c r="E11" s="467">
        <v>0.59861111111111109</v>
      </c>
      <c r="F11" s="465" t="s">
        <v>98</v>
      </c>
      <c r="G11" s="465" t="s">
        <v>3555</v>
      </c>
      <c r="H11" s="466"/>
      <c r="I11" s="468">
        <v>46204</v>
      </c>
      <c r="J11" s="469">
        <v>46206.109027777777</v>
      </c>
      <c r="K11" s="469">
        <v>46206.109027777777</v>
      </c>
      <c r="L11" s="466" t="s">
        <v>4955</v>
      </c>
      <c r="M11" s="466" t="s">
        <v>4956</v>
      </c>
      <c r="N11" s="471"/>
    </row>
    <row r="12" spans="1:14" ht="57.75">
      <c r="A12" s="458">
        <v>46204.635416666664</v>
      </c>
      <c r="B12" s="459" t="s">
        <v>179</v>
      </c>
      <c r="C12" s="460" t="s">
        <v>23</v>
      </c>
      <c r="D12" s="461">
        <v>0.63541666666666663</v>
      </c>
      <c r="E12" s="461">
        <v>0.65694444444444444</v>
      </c>
      <c r="F12" s="459" t="s">
        <v>1063</v>
      </c>
      <c r="G12" s="459" t="s">
        <v>3556</v>
      </c>
      <c r="H12" s="460" t="s">
        <v>3557</v>
      </c>
      <c r="I12" s="462">
        <v>46204</v>
      </c>
      <c r="J12" s="463">
        <v>46206.111805555556</v>
      </c>
      <c r="K12" s="463">
        <v>46206.111805555556</v>
      </c>
      <c r="L12" s="460" t="s">
        <v>4955</v>
      </c>
      <c r="M12" s="460" t="s">
        <v>4956</v>
      </c>
      <c r="N12" s="472"/>
    </row>
    <row r="13" spans="1:14" ht="43.5">
      <c r="A13" s="464">
        <v>46204.666666666664</v>
      </c>
      <c r="B13" s="465" t="s">
        <v>179</v>
      </c>
      <c r="C13" s="466" t="s">
        <v>23</v>
      </c>
      <c r="D13" s="467">
        <v>0.66666666666666663</v>
      </c>
      <c r="E13" s="467">
        <v>0.6875</v>
      </c>
      <c r="F13" s="465" t="s">
        <v>119</v>
      </c>
      <c r="G13" s="465" t="s">
        <v>3558</v>
      </c>
      <c r="H13" s="466" t="s">
        <v>3559</v>
      </c>
      <c r="I13" s="468">
        <v>46204</v>
      </c>
      <c r="J13" s="469">
        <v>46206.113194444442</v>
      </c>
      <c r="K13" s="469">
        <v>46206.113194444442</v>
      </c>
      <c r="L13" s="466" t="s">
        <v>4955</v>
      </c>
      <c r="M13" s="466" t="s">
        <v>4956</v>
      </c>
      <c r="N13" s="471"/>
    </row>
    <row r="14" spans="1:14" ht="29.25">
      <c r="A14" s="458">
        <v>46204.697916666664</v>
      </c>
      <c r="B14" s="459" t="s">
        <v>179</v>
      </c>
      <c r="C14" s="460" t="s">
        <v>23</v>
      </c>
      <c r="D14" s="461">
        <v>0.69791666666666663</v>
      </c>
      <c r="E14" s="461">
        <v>0.73263888888888884</v>
      </c>
      <c r="F14" s="459" t="s">
        <v>24</v>
      </c>
      <c r="G14" s="459" t="s">
        <v>3560</v>
      </c>
      <c r="H14" s="460"/>
      <c r="I14" s="462">
        <v>46204</v>
      </c>
      <c r="J14" s="463">
        <v>46206.113194444442</v>
      </c>
      <c r="K14" s="463">
        <v>46206.113194444442</v>
      </c>
      <c r="L14" s="460" t="s">
        <v>4955</v>
      </c>
      <c r="M14" s="460" t="s">
        <v>4956</v>
      </c>
      <c r="N14" s="472"/>
    </row>
    <row r="15" spans="1:14" ht="43.5">
      <c r="A15" s="464">
        <v>46204.791666666664</v>
      </c>
      <c r="B15" s="465" t="s">
        <v>179</v>
      </c>
      <c r="C15" s="466" t="s">
        <v>23</v>
      </c>
      <c r="D15" s="467">
        <v>0.79166666666666663</v>
      </c>
      <c r="E15" s="467">
        <v>0.8125</v>
      </c>
      <c r="F15" s="465" t="s">
        <v>328</v>
      </c>
      <c r="G15" s="465" t="s">
        <v>3561</v>
      </c>
      <c r="H15" s="466"/>
      <c r="I15" s="468">
        <v>46204</v>
      </c>
      <c r="J15" s="469">
        <v>46206.114583333336</v>
      </c>
      <c r="K15" s="469">
        <v>46206.113888888889</v>
      </c>
      <c r="L15" s="466" t="s">
        <v>4955</v>
      </c>
      <c r="M15" s="466" t="s">
        <v>4956</v>
      </c>
      <c r="N15" s="471"/>
    </row>
    <row r="16" spans="1:14" ht="29.25">
      <c r="A16" s="458">
        <v>46204.791666666664</v>
      </c>
      <c r="B16" s="459" t="s">
        <v>179</v>
      </c>
      <c r="C16" s="460" t="s">
        <v>23</v>
      </c>
      <c r="D16" s="461">
        <v>0.79166666666666663</v>
      </c>
      <c r="E16" s="461">
        <v>0.83333333333333337</v>
      </c>
      <c r="F16" s="459" t="s">
        <v>1470</v>
      </c>
      <c r="G16" s="459" t="s">
        <v>3562</v>
      </c>
      <c r="H16" s="460" t="s">
        <v>3563</v>
      </c>
      <c r="I16" s="462">
        <v>46204</v>
      </c>
      <c r="J16" s="463">
        <v>46206.115277777775</v>
      </c>
      <c r="K16" s="463">
        <v>46206.115277777775</v>
      </c>
      <c r="L16" s="460" t="s">
        <v>4955</v>
      </c>
      <c r="M16" s="460" t="s">
        <v>4956</v>
      </c>
      <c r="N16" s="472"/>
    </row>
    <row r="17" spans="1:14" ht="45.75">
      <c r="A17" s="400">
        <v>46205.25</v>
      </c>
      <c r="B17" s="39" t="s">
        <v>88</v>
      </c>
      <c r="C17" s="478" t="s">
        <v>36</v>
      </c>
      <c r="D17" s="478" t="s">
        <v>430</v>
      </c>
      <c r="E17" s="478" t="s">
        <v>699</v>
      </c>
      <c r="F17" s="39" t="s">
        <v>2256</v>
      </c>
      <c r="G17" s="39" t="s">
        <v>409</v>
      </c>
      <c r="H17" s="478" t="s">
        <v>3564</v>
      </c>
      <c r="I17" s="478" t="s">
        <v>4957</v>
      </c>
      <c r="J17" s="400">
        <v>46206.279166666667</v>
      </c>
      <c r="K17" s="400">
        <v>46206.279166666667</v>
      </c>
      <c r="L17" s="478" t="s">
        <v>4955</v>
      </c>
      <c r="M17" s="478" t="s">
        <v>4956</v>
      </c>
      <c r="N17" s="471"/>
    </row>
    <row r="18" spans="1:14" ht="45.75">
      <c r="A18" s="400">
        <v>46205.302083333336</v>
      </c>
      <c r="B18" s="39" t="s">
        <v>88</v>
      </c>
      <c r="C18" s="478" t="s">
        <v>36</v>
      </c>
      <c r="D18" s="478" t="s">
        <v>437</v>
      </c>
      <c r="E18" s="478" t="s">
        <v>176</v>
      </c>
      <c r="F18" s="39" t="s">
        <v>119</v>
      </c>
      <c r="G18" s="39" t="s">
        <v>1040</v>
      </c>
      <c r="H18" s="478" t="s">
        <v>1423</v>
      </c>
      <c r="I18" s="478" t="s">
        <v>4957</v>
      </c>
      <c r="J18" s="400">
        <v>46206.279861111114</v>
      </c>
      <c r="K18" s="400">
        <v>46206.279861111114</v>
      </c>
      <c r="L18" s="478" t="s">
        <v>4955</v>
      </c>
      <c r="M18" s="478" t="s">
        <v>4956</v>
      </c>
      <c r="N18" s="472"/>
    </row>
    <row r="19" spans="1:14" ht="30.75">
      <c r="A19" s="400">
        <v>46205.333333333336</v>
      </c>
      <c r="B19" s="39" t="s">
        <v>88</v>
      </c>
      <c r="C19" s="478" t="s">
        <v>36</v>
      </c>
      <c r="D19" s="478" t="s">
        <v>127</v>
      </c>
      <c r="E19" s="478" t="s">
        <v>556</v>
      </c>
      <c r="F19" s="39" t="s">
        <v>965</v>
      </c>
      <c r="G19" s="39" t="s">
        <v>3565</v>
      </c>
      <c r="H19" s="478" t="s">
        <v>3566</v>
      </c>
      <c r="I19" s="478" t="s">
        <v>4957</v>
      </c>
      <c r="J19" s="400">
        <v>46206.28125</v>
      </c>
      <c r="K19" s="400">
        <v>46206.28125</v>
      </c>
      <c r="L19" s="478" t="s">
        <v>4955</v>
      </c>
      <c r="M19" s="478" t="s">
        <v>4956</v>
      </c>
      <c r="N19" s="471"/>
    </row>
    <row r="20" spans="1:14" ht="30.75">
      <c r="A20" s="400">
        <v>46205.416666666664</v>
      </c>
      <c r="B20" s="39" t="s">
        <v>88</v>
      </c>
      <c r="C20" s="478" t="s">
        <v>36</v>
      </c>
      <c r="D20" s="478" t="s">
        <v>96</v>
      </c>
      <c r="E20" s="478" t="s">
        <v>403</v>
      </c>
      <c r="F20" s="39" t="s">
        <v>2282</v>
      </c>
      <c r="G20" s="39" t="s">
        <v>2283</v>
      </c>
      <c r="H20" s="478" t="s">
        <v>2283</v>
      </c>
      <c r="I20" s="478" t="s">
        <v>4957</v>
      </c>
      <c r="J20" s="400">
        <v>46206.281944444447</v>
      </c>
      <c r="K20" s="400">
        <v>46206.281944444447</v>
      </c>
      <c r="L20" s="478" t="s">
        <v>4955</v>
      </c>
      <c r="M20" s="478" t="s">
        <v>4956</v>
      </c>
      <c r="N20" s="472"/>
    </row>
    <row r="21" spans="1:14" ht="60.75">
      <c r="A21" s="400">
        <v>46205.458333333336</v>
      </c>
      <c r="B21" s="39" t="s">
        <v>88</v>
      </c>
      <c r="C21" s="478" t="s">
        <v>36</v>
      </c>
      <c r="D21" s="478" t="s">
        <v>97</v>
      </c>
      <c r="E21" s="478" t="s">
        <v>468</v>
      </c>
      <c r="F21" s="39" t="s">
        <v>965</v>
      </c>
      <c r="G21" s="39" t="s">
        <v>4958</v>
      </c>
      <c r="H21" s="478" t="s">
        <v>3568</v>
      </c>
      <c r="I21" s="478" t="s">
        <v>4957</v>
      </c>
      <c r="J21" s="400">
        <v>46206.283333333333</v>
      </c>
      <c r="K21" s="400">
        <v>46206.283333333333</v>
      </c>
      <c r="L21" s="478" t="s">
        <v>4955</v>
      </c>
      <c r="M21" s="478" t="s">
        <v>4956</v>
      </c>
      <c r="N21" s="471"/>
    </row>
    <row r="22" spans="1:14" ht="45.75">
      <c r="A22" s="400">
        <v>46205.572916666664</v>
      </c>
      <c r="B22" s="39" t="s">
        <v>88</v>
      </c>
      <c r="C22" s="478" t="s">
        <v>36</v>
      </c>
      <c r="D22" s="478" t="s">
        <v>2415</v>
      </c>
      <c r="E22" s="478" t="s">
        <v>281</v>
      </c>
      <c r="F22" s="39" t="s">
        <v>119</v>
      </c>
      <c r="G22" s="39" t="s">
        <v>3569</v>
      </c>
      <c r="H22" s="478" t="s">
        <v>3570</v>
      </c>
      <c r="I22" s="478" t="s">
        <v>4957</v>
      </c>
      <c r="J22" s="400">
        <v>46206.28402777778</v>
      </c>
      <c r="K22" s="400">
        <v>46206.28402777778</v>
      </c>
      <c r="L22" s="478" t="s">
        <v>4955</v>
      </c>
      <c r="M22" s="478" t="s">
        <v>4956</v>
      </c>
      <c r="N22" s="472"/>
    </row>
    <row r="23" spans="1:14" ht="45.75">
      <c r="A23" s="400">
        <v>46205.896527777775</v>
      </c>
      <c r="B23" s="39" t="s">
        <v>131</v>
      </c>
      <c r="C23" s="478" t="s">
        <v>39</v>
      </c>
      <c r="D23" s="478" t="s">
        <v>425</v>
      </c>
      <c r="E23" s="478" t="s">
        <v>1122</v>
      </c>
      <c r="F23" s="39" t="s">
        <v>2256</v>
      </c>
      <c r="G23" s="39" t="s">
        <v>3571</v>
      </c>
      <c r="H23" s="478" t="s">
        <v>3572</v>
      </c>
      <c r="I23" s="478" t="s">
        <v>4957</v>
      </c>
      <c r="J23" s="400">
        <v>46206.217361111114</v>
      </c>
      <c r="K23" s="400">
        <v>46206.217361111114</v>
      </c>
      <c r="L23" s="478" t="s">
        <v>4955</v>
      </c>
      <c r="M23" s="478" t="s">
        <v>4956</v>
      </c>
      <c r="N23" s="471"/>
    </row>
    <row r="24" spans="1:14" ht="60.75">
      <c r="A24" s="400">
        <v>46205.910416666666</v>
      </c>
      <c r="B24" s="39" t="s">
        <v>131</v>
      </c>
      <c r="C24" s="478" t="s">
        <v>39</v>
      </c>
      <c r="D24" s="478" t="s">
        <v>1499</v>
      </c>
      <c r="E24" s="478" t="s">
        <v>478</v>
      </c>
      <c r="F24" s="39" t="s">
        <v>244</v>
      </c>
      <c r="G24" s="39" t="s">
        <v>3573</v>
      </c>
      <c r="H24" s="478"/>
      <c r="I24" s="478" t="s">
        <v>4957</v>
      </c>
      <c r="J24" s="400">
        <v>46206.21875</v>
      </c>
      <c r="K24" s="400">
        <v>46206.21875</v>
      </c>
      <c r="L24" s="478" t="s">
        <v>4955</v>
      </c>
      <c r="M24" s="478" t="s">
        <v>4956</v>
      </c>
      <c r="N24" s="472"/>
    </row>
    <row r="25" spans="1:14" ht="60.75">
      <c r="A25" s="400">
        <v>46205.927777777775</v>
      </c>
      <c r="B25" s="39" t="s">
        <v>131</v>
      </c>
      <c r="C25" s="478" t="s">
        <v>39</v>
      </c>
      <c r="D25" s="478" t="s">
        <v>3574</v>
      </c>
      <c r="E25" s="478" t="s">
        <v>118</v>
      </c>
      <c r="F25" s="39" t="s">
        <v>153</v>
      </c>
      <c r="G25" s="39" t="s">
        <v>3575</v>
      </c>
      <c r="H25" s="478"/>
      <c r="I25" s="478" t="s">
        <v>4957</v>
      </c>
      <c r="J25" s="400">
        <v>46206.219444444447</v>
      </c>
      <c r="K25" s="400">
        <v>46206.219444444447</v>
      </c>
      <c r="L25" s="478" t="s">
        <v>4955</v>
      </c>
      <c r="M25" s="478" t="s">
        <v>4956</v>
      </c>
      <c r="N25" s="471"/>
    </row>
    <row r="26" spans="1:14" ht="91.5">
      <c r="A26" s="400">
        <v>46205.9375</v>
      </c>
      <c r="B26" s="39" t="s">
        <v>131</v>
      </c>
      <c r="C26" s="478" t="s">
        <v>39</v>
      </c>
      <c r="D26" s="478" t="s">
        <v>660</v>
      </c>
      <c r="E26" s="478" t="s">
        <v>421</v>
      </c>
      <c r="F26" s="39" t="s">
        <v>140</v>
      </c>
      <c r="G26" s="39" t="s">
        <v>3576</v>
      </c>
      <c r="H26" s="478" t="s">
        <v>3577</v>
      </c>
      <c r="I26" s="478" t="s">
        <v>4957</v>
      </c>
      <c r="J26" s="400">
        <v>46206.220833333333</v>
      </c>
      <c r="K26" s="400">
        <v>46206.220833333333</v>
      </c>
      <c r="L26" s="478" t="s">
        <v>4955</v>
      </c>
      <c r="M26" s="478" t="s">
        <v>4956</v>
      </c>
      <c r="N26" s="472"/>
    </row>
    <row r="27" spans="1:14" ht="30.75">
      <c r="A27" s="400">
        <v>46205.975694444445</v>
      </c>
      <c r="B27" s="39" t="s">
        <v>131</v>
      </c>
      <c r="C27" s="478" t="s">
        <v>39</v>
      </c>
      <c r="D27" s="478" t="s">
        <v>1696</v>
      </c>
      <c r="E27" s="478" t="s">
        <v>1271</v>
      </c>
      <c r="F27" s="39" t="s">
        <v>192</v>
      </c>
      <c r="G27" s="39" t="s">
        <v>3578</v>
      </c>
      <c r="H27" s="478" t="s">
        <v>3579</v>
      </c>
      <c r="I27" s="478" t="s">
        <v>4957</v>
      </c>
      <c r="J27" s="400">
        <v>46206.22152777778</v>
      </c>
      <c r="K27" s="400">
        <v>46206.22152777778</v>
      </c>
      <c r="L27" s="478" t="s">
        <v>4955</v>
      </c>
      <c r="M27" s="478" t="s">
        <v>4956</v>
      </c>
      <c r="N27" s="471"/>
    </row>
    <row r="28" spans="1:14" ht="45.75">
      <c r="A28" s="400">
        <v>46205.006944444445</v>
      </c>
      <c r="B28" s="39" t="s">
        <v>131</v>
      </c>
      <c r="C28" s="478" t="s">
        <v>39</v>
      </c>
      <c r="D28" s="478" t="s">
        <v>1290</v>
      </c>
      <c r="E28" s="478" t="s">
        <v>862</v>
      </c>
      <c r="F28" s="39" t="s">
        <v>119</v>
      </c>
      <c r="G28" s="39" t="s">
        <v>3580</v>
      </c>
      <c r="H28" s="478"/>
      <c r="I28" s="478" t="s">
        <v>4957</v>
      </c>
      <c r="J28" s="400">
        <v>46206.223611111112</v>
      </c>
      <c r="K28" s="400">
        <v>46206.223611111112</v>
      </c>
      <c r="L28" s="478" t="s">
        <v>4955</v>
      </c>
      <c r="M28" s="478" t="s">
        <v>4956</v>
      </c>
      <c r="N28" s="472"/>
    </row>
    <row r="29" spans="1:14">
      <c r="A29" s="400">
        <v>46205.027777777781</v>
      </c>
      <c r="B29" s="39" t="s">
        <v>131</v>
      </c>
      <c r="C29" s="478" t="s">
        <v>39</v>
      </c>
      <c r="D29" s="478" t="s">
        <v>1264</v>
      </c>
      <c r="E29" s="478" t="s">
        <v>112</v>
      </c>
      <c r="F29" s="39" t="s">
        <v>192</v>
      </c>
      <c r="G29" s="39" t="s">
        <v>225</v>
      </c>
      <c r="H29" s="478" t="s">
        <v>249</v>
      </c>
      <c r="I29" s="478" t="s">
        <v>4957</v>
      </c>
      <c r="J29" s="400">
        <v>46206.224305555559</v>
      </c>
      <c r="K29" s="400">
        <v>46206.224305555559</v>
      </c>
      <c r="L29" s="478" t="s">
        <v>4955</v>
      </c>
      <c r="M29" s="478" t="s">
        <v>4956</v>
      </c>
      <c r="N29" s="471"/>
    </row>
    <row r="30" spans="1:14" ht="45.75">
      <c r="A30" s="400">
        <v>46205.048611111109</v>
      </c>
      <c r="B30" s="39" t="s">
        <v>131</v>
      </c>
      <c r="C30" s="478" t="s">
        <v>39</v>
      </c>
      <c r="D30" s="478" t="s">
        <v>1559</v>
      </c>
      <c r="E30" s="478" t="s">
        <v>113</v>
      </c>
      <c r="F30" s="39" t="s">
        <v>119</v>
      </c>
      <c r="G30" s="39" t="s">
        <v>1014</v>
      </c>
      <c r="H30" s="478"/>
      <c r="I30" s="478" t="s">
        <v>4957</v>
      </c>
      <c r="J30" s="400">
        <v>46206.224999999999</v>
      </c>
      <c r="K30" s="400">
        <v>46206.224999999999</v>
      </c>
      <c r="L30" s="478" t="s">
        <v>4955</v>
      </c>
      <c r="M30" s="478" t="s">
        <v>4956</v>
      </c>
      <c r="N30" s="472"/>
    </row>
    <row r="31" spans="1:14" ht="45.75">
      <c r="A31" s="400">
        <v>46205.086805555555</v>
      </c>
      <c r="B31" s="39" t="s">
        <v>131</v>
      </c>
      <c r="C31" s="478" t="s">
        <v>39</v>
      </c>
      <c r="D31" s="478" t="s">
        <v>2496</v>
      </c>
      <c r="E31" s="478" t="s">
        <v>2315</v>
      </c>
      <c r="F31" s="39" t="s">
        <v>2256</v>
      </c>
      <c r="G31" s="39" t="s">
        <v>154</v>
      </c>
      <c r="H31" s="478"/>
      <c r="I31" s="478" t="s">
        <v>4957</v>
      </c>
      <c r="J31" s="400">
        <v>46206.225694444445</v>
      </c>
      <c r="K31" s="400">
        <v>46206.225694444445</v>
      </c>
      <c r="L31" s="478" t="s">
        <v>4955</v>
      </c>
      <c r="M31" s="478" t="s">
        <v>4956</v>
      </c>
      <c r="N31" s="471"/>
    </row>
    <row r="32" spans="1:14">
      <c r="A32" s="400">
        <v>46205.104166666664</v>
      </c>
      <c r="B32" s="39" t="s">
        <v>131</v>
      </c>
      <c r="C32" s="478" t="s">
        <v>39</v>
      </c>
      <c r="D32" s="478" t="s">
        <v>292</v>
      </c>
      <c r="E32" s="478" t="s">
        <v>1285</v>
      </c>
      <c r="F32" s="39" t="s">
        <v>2282</v>
      </c>
      <c r="G32" s="39" t="s">
        <v>2283</v>
      </c>
      <c r="H32" s="478" t="s">
        <v>2283</v>
      </c>
      <c r="I32" s="478" t="s">
        <v>4957</v>
      </c>
      <c r="J32" s="400">
        <v>46206.225694444445</v>
      </c>
      <c r="K32" s="400">
        <v>46206.225694444445</v>
      </c>
      <c r="L32" s="478" t="s">
        <v>4955</v>
      </c>
      <c r="M32" s="478" t="s">
        <v>4956</v>
      </c>
      <c r="N32" s="472"/>
    </row>
    <row r="33" spans="1:14" ht="45.75">
      <c r="A33" s="400">
        <v>46205.152777777781</v>
      </c>
      <c r="B33" s="39" t="s">
        <v>131</v>
      </c>
      <c r="C33" s="478" t="s">
        <v>39</v>
      </c>
      <c r="D33" s="478" t="s">
        <v>434</v>
      </c>
      <c r="E33" s="478" t="s">
        <v>873</v>
      </c>
      <c r="F33" s="39" t="s">
        <v>119</v>
      </c>
      <c r="G33" s="39" t="s">
        <v>225</v>
      </c>
      <c r="H33" s="478"/>
      <c r="I33" s="478" t="s">
        <v>4957</v>
      </c>
      <c r="J33" s="400">
        <v>46206.226388888892</v>
      </c>
      <c r="K33" s="400">
        <v>46206.226388888892</v>
      </c>
      <c r="L33" s="478" t="s">
        <v>4955</v>
      </c>
      <c r="M33" s="478" t="s">
        <v>4956</v>
      </c>
      <c r="N33" s="471"/>
    </row>
    <row r="34" spans="1:14" ht="30.75">
      <c r="A34" s="400">
        <v>46205.548611111109</v>
      </c>
      <c r="B34" s="39" t="s">
        <v>111</v>
      </c>
      <c r="C34" s="478" t="s">
        <v>23</v>
      </c>
      <c r="D34" s="478" t="s">
        <v>946</v>
      </c>
      <c r="E34" s="478" t="s">
        <v>281</v>
      </c>
      <c r="F34" s="39" t="s">
        <v>103</v>
      </c>
      <c r="G34" s="39" t="s">
        <v>1191</v>
      </c>
      <c r="H34" s="478"/>
      <c r="I34" s="478" t="s">
        <v>4957</v>
      </c>
      <c r="J34" s="400">
        <v>46206.081944444442</v>
      </c>
      <c r="K34" s="400">
        <v>46206.081944444442</v>
      </c>
      <c r="L34" s="478" t="s">
        <v>4955</v>
      </c>
      <c r="M34" s="478" t="s">
        <v>4956</v>
      </c>
      <c r="N34" s="472"/>
    </row>
    <row r="35" spans="1:14" ht="45.75">
      <c r="A35" s="400">
        <v>46205.586805555555</v>
      </c>
      <c r="B35" s="39" t="s">
        <v>111</v>
      </c>
      <c r="C35" s="478" t="s">
        <v>23</v>
      </c>
      <c r="D35" s="478" t="s">
        <v>1256</v>
      </c>
      <c r="E35" s="478" t="s">
        <v>457</v>
      </c>
      <c r="F35" s="39" t="s">
        <v>119</v>
      </c>
      <c r="G35" s="39" t="s">
        <v>3581</v>
      </c>
      <c r="H35" s="478"/>
      <c r="I35" s="478" t="s">
        <v>4957</v>
      </c>
      <c r="J35" s="400">
        <v>46206.083333333336</v>
      </c>
      <c r="K35" s="400">
        <v>46206.083333333336</v>
      </c>
      <c r="L35" s="478" t="s">
        <v>4955</v>
      </c>
      <c r="M35" s="478" t="s">
        <v>4956</v>
      </c>
      <c r="N35" s="471"/>
    </row>
    <row r="36" spans="1:14" ht="30.75">
      <c r="A36" s="400">
        <v>46205.600694444445</v>
      </c>
      <c r="B36" s="39" t="s">
        <v>111</v>
      </c>
      <c r="C36" s="478" t="s">
        <v>23</v>
      </c>
      <c r="D36" s="478" t="s">
        <v>1704</v>
      </c>
      <c r="E36" s="478" t="s">
        <v>1978</v>
      </c>
      <c r="F36" s="39" t="s">
        <v>1470</v>
      </c>
      <c r="G36" s="39" t="s">
        <v>3582</v>
      </c>
      <c r="H36" s="478" t="s">
        <v>3583</v>
      </c>
      <c r="I36" s="478" t="s">
        <v>4957</v>
      </c>
      <c r="J36" s="400">
        <v>46206.084027777775</v>
      </c>
      <c r="K36" s="400">
        <v>46206.084027777775</v>
      </c>
      <c r="L36" s="478" t="s">
        <v>4955</v>
      </c>
      <c r="M36" s="478" t="s">
        <v>4956</v>
      </c>
      <c r="N36" s="472"/>
    </row>
    <row r="37" spans="1:14" ht="45.75">
      <c r="A37" s="400">
        <v>46205.621527777781</v>
      </c>
      <c r="B37" s="39" t="s">
        <v>111</v>
      </c>
      <c r="C37" s="478" t="s">
        <v>23</v>
      </c>
      <c r="D37" s="478" t="s">
        <v>1674</v>
      </c>
      <c r="E37" s="478" t="s">
        <v>274</v>
      </c>
      <c r="F37" s="39" t="s">
        <v>119</v>
      </c>
      <c r="G37" s="39" t="s">
        <v>3584</v>
      </c>
      <c r="H37" s="478"/>
      <c r="I37" s="478" t="s">
        <v>4957</v>
      </c>
      <c r="J37" s="400">
        <v>46206.087500000001</v>
      </c>
      <c r="K37" s="400">
        <v>46206.087500000001</v>
      </c>
      <c r="L37" s="478" t="s">
        <v>4955</v>
      </c>
      <c r="M37" s="478" t="s">
        <v>4956</v>
      </c>
      <c r="N37" s="471"/>
    </row>
    <row r="38" spans="1:14" ht="30.75">
      <c r="A38" s="400">
        <v>46205.6875</v>
      </c>
      <c r="B38" s="39" t="s">
        <v>111</v>
      </c>
      <c r="C38" s="478" t="s">
        <v>23</v>
      </c>
      <c r="D38" s="478" t="s">
        <v>450</v>
      </c>
      <c r="E38" s="478" t="s">
        <v>957</v>
      </c>
      <c r="F38" s="39" t="s">
        <v>192</v>
      </c>
      <c r="G38" s="39" t="s">
        <v>3585</v>
      </c>
      <c r="H38" s="478" t="s">
        <v>3586</v>
      </c>
      <c r="I38" s="478" t="s">
        <v>4957</v>
      </c>
      <c r="J38" s="400">
        <v>46206.094444444447</v>
      </c>
      <c r="K38" s="400">
        <v>46206.094444444447</v>
      </c>
      <c r="L38" s="478" t="s">
        <v>4955</v>
      </c>
      <c r="M38" s="478" t="s">
        <v>4956</v>
      </c>
      <c r="N38" s="472"/>
    </row>
    <row r="39" spans="1:14" ht="45.75">
      <c r="A39" s="400">
        <v>46205.763888888891</v>
      </c>
      <c r="B39" s="39" t="s">
        <v>111</v>
      </c>
      <c r="C39" s="478" t="s">
        <v>23</v>
      </c>
      <c r="D39" s="478" t="s">
        <v>1107</v>
      </c>
      <c r="E39" s="478" t="s">
        <v>2046</v>
      </c>
      <c r="F39" s="39" t="s">
        <v>119</v>
      </c>
      <c r="G39" s="39" t="s">
        <v>3587</v>
      </c>
      <c r="H39" s="478"/>
      <c r="I39" s="478" t="s">
        <v>4957</v>
      </c>
      <c r="J39" s="400">
        <v>46206.094444444447</v>
      </c>
      <c r="K39" s="400">
        <v>46206.094444444447</v>
      </c>
      <c r="L39" s="478" t="s">
        <v>4955</v>
      </c>
      <c r="M39" s="478" t="s">
        <v>4956</v>
      </c>
      <c r="N39" s="471"/>
    </row>
    <row r="40" spans="1:14" ht="45.75">
      <c r="A40" s="400">
        <v>46205.791666666664</v>
      </c>
      <c r="B40" s="39" t="s">
        <v>111</v>
      </c>
      <c r="C40" s="478" t="s">
        <v>23</v>
      </c>
      <c r="D40" s="478" t="s">
        <v>268</v>
      </c>
      <c r="E40" s="478" t="s">
        <v>584</v>
      </c>
      <c r="F40" s="39" t="s">
        <v>31</v>
      </c>
      <c r="G40" s="39" t="s">
        <v>3588</v>
      </c>
      <c r="H40" s="478" t="s">
        <v>3589</v>
      </c>
      <c r="I40" s="478" t="s">
        <v>4957</v>
      </c>
      <c r="J40" s="400">
        <v>46206.095833333333</v>
      </c>
      <c r="K40" s="400">
        <v>46206.095138888886</v>
      </c>
      <c r="L40" s="478" t="s">
        <v>4955</v>
      </c>
      <c r="M40" s="478" t="s">
        <v>4956</v>
      </c>
      <c r="N40" s="472"/>
    </row>
    <row r="41" spans="1:14" ht="45.75">
      <c r="A41" s="400">
        <v>46205.854166666664</v>
      </c>
      <c r="B41" s="39" t="s">
        <v>111</v>
      </c>
      <c r="C41" s="478" t="s">
        <v>23</v>
      </c>
      <c r="D41" s="478" t="s">
        <v>577</v>
      </c>
      <c r="E41" s="478" t="s">
        <v>579</v>
      </c>
      <c r="F41" s="39" t="s">
        <v>1465</v>
      </c>
      <c r="G41" s="39" t="s">
        <v>3590</v>
      </c>
      <c r="H41" s="478"/>
      <c r="I41" s="478" t="s">
        <v>4957</v>
      </c>
      <c r="J41" s="400">
        <v>46206.097222222219</v>
      </c>
      <c r="K41" s="400">
        <v>46206.097222222219</v>
      </c>
      <c r="L41" s="478" t="s">
        <v>4955</v>
      </c>
      <c r="M41" s="478" t="s">
        <v>4956</v>
      </c>
      <c r="N41" s="471"/>
    </row>
    <row r="42" spans="1:14" ht="60.75">
      <c r="A42" s="400">
        <v>46205.527777777781</v>
      </c>
      <c r="B42" s="39" t="s">
        <v>179</v>
      </c>
      <c r="C42" s="478" t="s">
        <v>23</v>
      </c>
      <c r="D42" s="478" t="s">
        <v>106</v>
      </c>
      <c r="E42" s="478" t="s">
        <v>468</v>
      </c>
      <c r="F42" s="39" t="s">
        <v>215</v>
      </c>
      <c r="G42" s="39" t="s">
        <v>3591</v>
      </c>
      <c r="H42" s="478"/>
      <c r="I42" s="478" t="s">
        <v>4957</v>
      </c>
      <c r="J42" s="400">
        <v>46206.099305555559</v>
      </c>
      <c r="K42" s="400">
        <v>46206.099305555559</v>
      </c>
      <c r="L42" s="478" t="s">
        <v>4955</v>
      </c>
      <c r="M42" s="478" t="s">
        <v>4956</v>
      </c>
      <c r="N42" s="472"/>
    </row>
    <row r="43" spans="1:14" ht="43.5">
      <c r="A43" s="458">
        <v>46205.548611111109</v>
      </c>
      <c r="B43" s="459" t="s">
        <v>179</v>
      </c>
      <c r="C43" s="460" t="s">
        <v>23</v>
      </c>
      <c r="D43" s="461">
        <v>0.54861111111111116</v>
      </c>
      <c r="E43" s="461">
        <v>0.5625</v>
      </c>
      <c r="F43" s="459" t="s">
        <v>140</v>
      </c>
      <c r="G43" s="459" t="s">
        <v>3592</v>
      </c>
      <c r="H43" s="460"/>
      <c r="I43" s="462">
        <v>46205</v>
      </c>
      <c r="J43" s="463">
        <v>46206.099305555559</v>
      </c>
      <c r="K43" s="463">
        <v>46206.099305555559</v>
      </c>
      <c r="L43" s="460" t="s">
        <v>4955</v>
      </c>
      <c r="M43" s="460" t="s">
        <v>4956</v>
      </c>
      <c r="N43" s="471"/>
    </row>
    <row r="44" spans="1:14" ht="29.25">
      <c r="A44" s="464">
        <v>46205.569444444445</v>
      </c>
      <c r="B44" s="465" t="s">
        <v>179</v>
      </c>
      <c r="C44" s="466" t="s">
        <v>23</v>
      </c>
      <c r="D44" s="467">
        <v>0.56944444444444442</v>
      </c>
      <c r="E44" s="467">
        <v>0.59027777777777779</v>
      </c>
      <c r="F44" s="465" t="s">
        <v>996</v>
      </c>
      <c r="G44" s="465" t="s">
        <v>3593</v>
      </c>
      <c r="H44" s="466" t="s">
        <v>3594</v>
      </c>
      <c r="I44" s="468">
        <v>46205</v>
      </c>
      <c r="J44" s="469">
        <v>46206.100694444445</v>
      </c>
      <c r="K44" s="469">
        <v>46206.100694444445</v>
      </c>
      <c r="L44" s="466" t="s">
        <v>4955</v>
      </c>
      <c r="M44" s="466" t="s">
        <v>4956</v>
      </c>
      <c r="N44" s="472"/>
    </row>
    <row r="45" spans="1:14" ht="29.25">
      <c r="A45" s="458">
        <v>46205.597222222219</v>
      </c>
      <c r="B45" s="459" t="s">
        <v>179</v>
      </c>
      <c r="C45" s="460" t="s">
        <v>23</v>
      </c>
      <c r="D45" s="461">
        <v>0.59722222222222221</v>
      </c>
      <c r="E45" s="461">
        <v>0.625</v>
      </c>
      <c r="F45" s="459" t="s">
        <v>192</v>
      </c>
      <c r="G45" s="459" t="s">
        <v>3595</v>
      </c>
      <c r="H45" s="460" t="s">
        <v>3596</v>
      </c>
      <c r="I45" s="462">
        <v>46205</v>
      </c>
      <c r="J45" s="463">
        <v>46206.102777777778</v>
      </c>
      <c r="K45" s="463">
        <v>46206.102777777778</v>
      </c>
      <c r="L45" s="460" t="s">
        <v>4955</v>
      </c>
      <c r="M45" s="460" t="s">
        <v>4956</v>
      </c>
      <c r="N45" s="471"/>
    </row>
    <row r="46" spans="1:14" ht="43.5">
      <c r="A46" s="464">
        <v>46205.631944444445</v>
      </c>
      <c r="B46" s="465" t="s">
        <v>179</v>
      </c>
      <c r="C46" s="466" t="s">
        <v>23</v>
      </c>
      <c r="D46" s="467">
        <v>0.63194444444444442</v>
      </c>
      <c r="E46" s="467">
        <v>0.65625</v>
      </c>
      <c r="F46" s="465" t="s">
        <v>182</v>
      </c>
      <c r="G46" s="465" t="s">
        <v>3597</v>
      </c>
      <c r="H46" s="466" t="s">
        <v>3598</v>
      </c>
      <c r="I46" s="468">
        <v>46205</v>
      </c>
      <c r="J46" s="469">
        <v>46206.104166666664</v>
      </c>
      <c r="K46" s="469">
        <v>46206.104166666664</v>
      </c>
      <c r="L46" s="466" t="s">
        <v>4955</v>
      </c>
      <c r="M46" s="466" t="s">
        <v>4956</v>
      </c>
      <c r="N46" s="472"/>
    </row>
    <row r="47" spans="1:14" ht="29.25">
      <c r="A47" s="458">
        <v>46205.659722222219</v>
      </c>
      <c r="B47" s="459" t="s">
        <v>179</v>
      </c>
      <c r="C47" s="460" t="s">
        <v>23</v>
      </c>
      <c r="D47" s="461">
        <v>0.65972222222222221</v>
      </c>
      <c r="E47" s="461">
        <v>0.75</v>
      </c>
      <c r="F47" s="459" t="s">
        <v>192</v>
      </c>
      <c r="G47" s="459" t="s">
        <v>3599</v>
      </c>
      <c r="H47" s="460" t="s">
        <v>3600</v>
      </c>
      <c r="I47" s="462">
        <v>46205</v>
      </c>
      <c r="J47" s="463">
        <v>46206.105555555558</v>
      </c>
      <c r="K47" s="463">
        <v>46206.105555555558</v>
      </c>
      <c r="L47" s="460" t="s">
        <v>4955</v>
      </c>
      <c r="M47" s="460" t="s">
        <v>4956</v>
      </c>
      <c r="N47" s="471"/>
    </row>
    <row r="48" spans="1:14" ht="43.5">
      <c r="A48" s="464">
        <v>46205.756944444445</v>
      </c>
      <c r="B48" s="465" t="s">
        <v>179</v>
      </c>
      <c r="C48" s="466" t="s">
        <v>23</v>
      </c>
      <c r="D48" s="467">
        <v>0.75694444444444442</v>
      </c>
      <c r="E48" s="467">
        <v>0.77430555555555558</v>
      </c>
      <c r="F48" s="465" t="s">
        <v>721</v>
      </c>
      <c r="G48" s="465" t="s">
        <v>610</v>
      </c>
      <c r="H48" s="466" t="s">
        <v>3601</v>
      </c>
      <c r="I48" s="468">
        <v>46205</v>
      </c>
      <c r="J48" s="469">
        <v>46206.106249999997</v>
      </c>
      <c r="K48" s="469">
        <v>46206.106249999997</v>
      </c>
      <c r="L48" s="466" t="s">
        <v>4955</v>
      </c>
      <c r="M48" s="466" t="s">
        <v>4956</v>
      </c>
      <c r="N48" s="472"/>
    </row>
    <row r="49" spans="1:14" ht="29.25">
      <c r="A49" s="458">
        <v>46205.822916666664</v>
      </c>
      <c r="B49" s="459" t="s">
        <v>179</v>
      </c>
      <c r="C49" s="460" t="s">
        <v>23</v>
      </c>
      <c r="D49" s="461">
        <v>0.82291666666666663</v>
      </c>
      <c r="E49" s="461">
        <v>0.85416666666666663</v>
      </c>
      <c r="F49" s="459" t="s">
        <v>1470</v>
      </c>
      <c r="G49" s="459" t="s">
        <v>3602</v>
      </c>
      <c r="H49" s="460" t="s">
        <v>3598</v>
      </c>
      <c r="I49" s="462">
        <v>46205</v>
      </c>
      <c r="J49" s="463">
        <v>46206.107638888891</v>
      </c>
      <c r="K49" s="463">
        <v>46206.107638888891</v>
      </c>
      <c r="L49" s="460" t="s">
        <v>4955</v>
      </c>
      <c r="M49" s="460" t="s">
        <v>4956</v>
      </c>
      <c r="N49" s="471"/>
    </row>
    <row r="50" spans="1:14">
      <c r="A50" s="464"/>
      <c r="B50" s="465"/>
      <c r="C50" s="466"/>
      <c r="D50" s="467"/>
      <c r="E50" s="467"/>
      <c r="F50" s="465"/>
      <c r="G50" s="465"/>
      <c r="H50" s="466"/>
      <c r="I50" s="468"/>
      <c r="J50" s="469"/>
      <c r="K50" s="469"/>
      <c r="L50" s="466"/>
      <c r="M50" s="466"/>
      <c r="N50" s="472"/>
    </row>
    <row r="51" spans="1:14">
      <c r="A51" s="464"/>
      <c r="B51" s="465"/>
      <c r="C51" s="466"/>
      <c r="D51" s="467"/>
      <c r="E51" s="467"/>
      <c r="F51" s="465"/>
      <c r="G51" s="465"/>
      <c r="H51" s="466"/>
      <c r="I51" s="468"/>
      <c r="J51" s="469"/>
      <c r="K51" s="469"/>
      <c r="L51" s="466"/>
      <c r="M51" s="466"/>
      <c r="N51" s="471"/>
    </row>
    <row r="52" spans="1:14">
      <c r="A52" s="458"/>
      <c r="B52" s="459"/>
      <c r="C52" s="460"/>
      <c r="D52" s="461"/>
      <c r="E52" s="461"/>
      <c r="F52" s="459"/>
      <c r="G52" s="459"/>
      <c r="H52" s="460"/>
      <c r="I52" s="462"/>
      <c r="J52" s="463"/>
      <c r="K52" s="463"/>
      <c r="L52" s="460"/>
      <c r="M52" s="460"/>
      <c r="N52" s="472"/>
    </row>
    <row r="53" spans="1:14">
      <c r="A53" s="464"/>
      <c r="B53" s="465"/>
      <c r="C53" s="466"/>
      <c r="D53" s="467"/>
      <c r="E53" s="467"/>
      <c r="F53" s="465"/>
      <c r="G53" s="465"/>
      <c r="H53" s="466"/>
      <c r="I53" s="468"/>
      <c r="J53" s="469"/>
      <c r="K53" s="469"/>
      <c r="L53" s="466"/>
      <c r="M53" s="466"/>
      <c r="N53" s="471"/>
    </row>
    <row r="54" spans="1:14">
      <c r="A54" s="458"/>
      <c r="B54" s="459"/>
      <c r="C54" s="460"/>
      <c r="D54" s="461"/>
      <c r="E54" s="461"/>
      <c r="F54" s="459"/>
      <c r="G54" s="459"/>
      <c r="H54" s="460"/>
      <c r="I54" s="462"/>
      <c r="J54" s="463"/>
      <c r="K54" s="463"/>
      <c r="L54" s="460"/>
      <c r="M54" s="460"/>
      <c r="N54" s="472"/>
    </row>
    <row r="55" spans="1:14">
      <c r="A55" s="464"/>
      <c r="B55" s="465"/>
      <c r="C55" s="466"/>
      <c r="D55" s="467"/>
      <c r="E55" s="467"/>
      <c r="F55" s="465"/>
      <c r="G55" s="465"/>
      <c r="H55" s="466"/>
      <c r="I55" s="468"/>
      <c r="J55" s="469"/>
      <c r="K55" s="469"/>
      <c r="L55" s="466"/>
      <c r="M55" s="466"/>
      <c r="N55" s="471"/>
    </row>
    <row r="56" spans="1:14">
      <c r="A56" s="458"/>
      <c r="B56" s="459"/>
      <c r="C56" s="460"/>
      <c r="D56" s="461"/>
      <c r="E56" s="461"/>
      <c r="F56" s="459"/>
      <c r="G56" s="459"/>
      <c r="H56" s="460"/>
      <c r="I56" s="462"/>
      <c r="J56" s="463"/>
      <c r="K56" s="463"/>
      <c r="L56" s="460"/>
      <c r="M56" s="460"/>
      <c r="N56" s="472"/>
    </row>
    <row r="57" spans="1:14">
      <c r="A57" s="464"/>
      <c r="B57" s="465"/>
      <c r="C57" s="466"/>
      <c r="D57" s="467"/>
      <c r="E57" s="467"/>
      <c r="F57" s="465"/>
      <c r="G57" s="465"/>
      <c r="H57" s="466"/>
      <c r="I57" s="468"/>
      <c r="J57" s="469"/>
      <c r="K57" s="469"/>
      <c r="L57" s="466"/>
      <c r="M57" s="466"/>
      <c r="N57" s="471"/>
    </row>
    <row r="58" spans="1:14">
      <c r="A58" s="458"/>
      <c r="B58" s="459"/>
      <c r="C58" s="460"/>
      <c r="D58" s="461"/>
      <c r="E58" s="461"/>
      <c r="F58" s="459"/>
      <c r="G58" s="459"/>
      <c r="H58" s="460"/>
      <c r="I58" s="462"/>
      <c r="J58" s="463"/>
      <c r="K58" s="463"/>
      <c r="L58" s="460"/>
      <c r="M58" s="460"/>
      <c r="N58" s="472"/>
    </row>
    <row r="59" spans="1:14">
      <c r="A59" s="464"/>
      <c r="B59" s="465"/>
      <c r="C59" s="466"/>
      <c r="D59" s="467"/>
      <c r="E59" s="467"/>
      <c r="F59" s="465"/>
      <c r="G59" s="465"/>
      <c r="H59" s="466"/>
      <c r="I59" s="468"/>
      <c r="J59" s="469"/>
      <c r="K59" s="469"/>
      <c r="L59" s="466"/>
      <c r="M59" s="466"/>
      <c r="N59" s="471"/>
    </row>
    <row r="60" spans="1:14">
      <c r="A60" s="458"/>
      <c r="B60" s="459"/>
      <c r="C60" s="460"/>
      <c r="D60" s="461"/>
      <c r="E60" s="461"/>
      <c r="F60" s="459"/>
      <c r="G60" s="459"/>
      <c r="H60" s="460"/>
      <c r="I60" s="462"/>
      <c r="J60" s="463"/>
      <c r="K60" s="463"/>
      <c r="L60" s="460"/>
      <c r="M60" s="460"/>
      <c r="N60" s="472"/>
    </row>
    <row r="61" spans="1:14">
      <c r="A61" s="464"/>
      <c r="B61" s="465"/>
      <c r="C61" s="466"/>
      <c r="D61" s="467"/>
      <c r="E61" s="467"/>
      <c r="F61" s="465"/>
      <c r="G61" s="465"/>
      <c r="H61" s="466"/>
      <c r="I61" s="468"/>
      <c r="J61" s="469"/>
      <c r="K61" s="469"/>
      <c r="L61" s="466"/>
      <c r="M61" s="466"/>
      <c r="N61" s="471"/>
    </row>
    <row r="62" spans="1:14">
      <c r="A62" s="458"/>
      <c r="B62" s="459"/>
      <c r="C62" s="460"/>
      <c r="D62" s="461"/>
      <c r="E62" s="461"/>
      <c r="F62" s="459"/>
      <c r="G62" s="459"/>
      <c r="H62" s="460"/>
      <c r="I62" s="462"/>
      <c r="J62" s="463"/>
      <c r="K62" s="463"/>
      <c r="L62" s="460"/>
      <c r="M62" s="460"/>
      <c r="N62" s="472"/>
    </row>
    <row r="63" spans="1:14">
      <c r="A63" s="464"/>
      <c r="B63" s="465"/>
      <c r="C63" s="466"/>
      <c r="D63" s="467"/>
      <c r="E63" s="467"/>
      <c r="F63" s="465"/>
      <c r="G63" s="465"/>
      <c r="H63" s="466"/>
      <c r="I63" s="468"/>
      <c r="J63" s="469"/>
      <c r="K63" s="469"/>
      <c r="L63" s="466"/>
      <c r="M63" s="466"/>
      <c r="N63" s="471"/>
    </row>
    <row r="64" spans="1:14">
      <c r="A64" s="458"/>
      <c r="B64" s="459"/>
      <c r="C64" s="460"/>
      <c r="D64" s="461"/>
      <c r="E64" s="461"/>
      <c r="F64" s="459"/>
      <c r="G64" s="459"/>
      <c r="H64" s="460"/>
      <c r="I64" s="462"/>
      <c r="J64" s="463"/>
      <c r="K64" s="463"/>
      <c r="L64" s="460"/>
      <c r="M64" s="460"/>
      <c r="N64" s="472"/>
    </row>
    <row r="65" spans="1:14">
      <c r="A65" s="464"/>
      <c r="B65" s="465"/>
      <c r="C65" s="466"/>
      <c r="D65" s="467"/>
      <c r="E65" s="467"/>
      <c r="F65" s="465"/>
      <c r="G65" s="465"/>
      <c r="H65" s="466"/>
      <c r="I65" s="468"/>
      <c r="J65" s="469"/>
      <c r="K65" s="469"/>
      <c r="L65" s="466"/>
      <c r="M65" s="466"/>
      <c r="N65" s="471"/>
    </row>
    <row r="66" spans="1:14">
      <c r="A66" s="458"/>
      <c r="B66" s="459"/>
      <c r="C66" s="460"/>
      <c r="D66" s="461"/>
      <c r="E66" s="461"/>
      <c r="F66" s="459"/>
      <c r="G66" s="459"/>
      <c r="H66" s="460"/>
      <c r="I66" s="462"/>
      <c r="J66" s="463"/>
      <c r="K66" s="463"/>
      <c r="L66" s="460"/>
      <c r="M66" s="460"/>
      <c r="N66" s="472"/>
    </row>
    <row r="67" spans="1:14">
      <c r="A67" s="464"/>
      <c r="B67" s="465"/>
      <c r="C67" s="466"/>
      <c r="D67" s="467"/>
      <c r="E67" s="467"/>
      <c r="F67" s="465"/>
      <c r="G67" s="465"/>
      <c r="H67" s="466"/>
      <c r="I67" s="468"/>
      <c r="J67" s="469"/>
      <c r="K67" s="469"/>
      <c r="L67" s="466"/>
      <c r="M67" s="466"/>
      <c r="N67" s="471"/>
    </row>
    <row r="68" spans="1:14">
      <c r="A68" s="458"/>
      <c r="B68" s="459"/>
      <c r="C68" s="460"/>
      <c r="D68" s="461"/>
      <c r="E68" s="461"/>
      <c r="F68" s="459"/>
      <c r="G68" s="459"/>
      <c r="H68" s="460"/>
      <c r="I68" s="462"/>
      <c r="J68" s="463"/>
      <c r="K68" s="463"/>
      <c r="L68" s="460"/>
      <c r="M68" s="460"/>
      <c r="N68" s="472"/>
    </row>
    <row r="69" spans="1:14">
      <c r="A69" s="464"/>
      <c r="B69" s="465"/>
      <c r="C69" s="466"/>
      <c r="D69" s="467"/>
      <c r="E69" s="467"/>
      <c r="F69" s="465"/>
      <c r="G69" s="465"/>
      <c r="H69" s="466"/>
      <c r="I69" s="468"/>
      <c r="J69" s="469"/>
      <c r="K69" s="469"/>
      <c r="L69" s="466"/>
      <c r="M69" s="466"/>
      <c r="N69" s="471"/>
    </row>
    <row r="70" spans="1:14">
      <c r="A70" s="458"/>
      <c r="B70" s="459"/>
      <c r="C70" s="460"/>
      <c r="D70" s="461"/>
      <c r="E70" s="461"/>
      <c r="F70" s="459"/>
      <c r="G70" s="459"/>
      <c r="H70" s="460"/>
      <c r="I70" s="462"/>
      <c r="J70" s="463"/>
      <c r="K70" s="463"/>
      <c r="L70" s="460"/>
      <c r="M70" s="460"/>
      <c r="N70" s="472"/>
    </row>
    <row r="71" spans="1:14">
      <c r="A71" s="464"/>
      <c r="B71" s="465"/>
      <c r="C71" s="466"/>
      <c r="D71" s="467"/>
      <c r="E71" s="467"/>
      <c r="F71" s="465"/>
      <c r="G71" s="465"/>
      <c r="H71" s="466"/>
      <c r="I71" s="468"/>
      <c r="J71" s="469"/>
      <c r="K71" s="469"/>
      <c r="L71" s="466"/>
      <c r="M71" s="466"/>
      <c r="N71" s="400"/>
    </row>
    <row r="72" spans="1:14">
      <c r="A72" s="458"/>
      <c r="B72" s="459"/>
      <c r="C72" s="460"/>
      <c r="D72" s="461"/>
      <c r="E72" s="461"/>
      <c r="F72" s="459"/>
      <c r="G72" s="459"/>
      <c r="H72" s="460"/>
      <c r="I72" s="462"/>
      <c r="J72" s="463"/>
      <c r="K72" s="463"/>
      <c r="L72" s="460"/>
      <c r="M72" s="460"/>
      <c r="N72" s="400"/>
    </row>
    <row r="73" spans="1:14">
      <c r="A73" s="464"/>
      <c r="B73" s="465"/>
      <c r="C73" s="466"/>
      <c r="D73" s="467"/>
      <c r="E73" s="467"/>
      <c r="F73" s="465"/>
      <c r="G73" s="465"/>
      <c r="H73" s="466"/>
      <c r="I73" s="468"/>
      <c r="J73" s="469"/>
      <c r="K73" s="469"/>
      <c r="L73" s="466"/>
      <c r="M73" s="466"/>
      <c r="N73" s="400"/>
    </row>
    <row r="74" spans="1:14">
      <c r="A74" s="458"/>
      <c r="B74" s="459"/>
      <c r="C74" s="460"/>
      <c r="D74" s="461"/>
      <c r="E74" s="461"/>
      <c r="F74" s="459"/>
      <c r="G74" s="459"/>
      <c r="H74" s="460"/>
      <c r="I74" s="462"/>
      <c r="J74" s="463"/>
      <c r="K74" s="463"/>
      <c r="L74" s="460"/>
      <c r="M74" s="460"/>
      <c r="N74" s="400"/>
    </row>
    <row r="75" spans="1:14">
      <c r="A75" s="464"/>
      <c r="B75" s="465"/>
      <c r="C75" s="466"/>
      <c r="D75" s="467"/>
      <c r="E75" s="467"/>
      <c r="F75" s="465"/>
      <c r="G75" s="465"/>
      <c r="H75" s="466"/>
      <c r="I75" s="468"/>
      <c r="J75" s="469"/>
      <c r="K75" s="469"/>
      <c r="L75" s="466"/>
      <c r="M75" s="466"/>
      <c r="N75" s="400"/>
    </row>
    <row r="76" spans="1:14">
      <c r="A76" s="458"/>
      <c r="B76" s="459"/>
      <c r="C76" s="460"/>
      <c r="D76" s="461"/>
      <c r="E76" s="461"/>
      <c r="F76" s="459"/>
      <c r="G76" s="459"/>
      <c r="H76" s="460"/>
      <c r="I76" s="462"/>
      <c r="J76" s="463"/>
      <c r="K76" s="463"/>
      <c r="L76" s="460"/>
      <c r="M76" s="460"/>
      <c r="N76" s="400"/>
    </row>
    <row r="77" spans="1:14">
      <c r="A77" s="464"/>
      <c r="B77" s="465"/>
      <c r="C77" s="466"/>
      <c r="D77" s="467"/>
      <c r="E77" s="467"/>
      <c r="F77" s="465"/>
      <c r="G77" s="465"/>
      <c r="H77" s="466"/>
      <c r="I77" s="468"/>
      <c r="J77" s="469"/>
      <c r="K77" s="469"/>
      <c r="L77" s="466"/>
      <c r="M77" s="466"/>
      <c r="N77" s="400"/>
    </row>
    <row r="78" spans="1:14">
      <c r="A78" s="458"/>
      <c r="B78" s="459"/>
      <c r="C78" s="460"/>
      <c r="D78" s="461"/>
      <c r="E78" s="461"/>
      <c r="F78" s="459"/>
      <c r="G78" s="459"/>
      <c r="H78" s="460"/>
      <c r="I78" s="462"/>
      <c r="J78" s="463"/>
      <c r="K78" s="463"/>
      <c r="L78" s="460"/>
      <c r="M78" s="460"/>
      <c r="N78" s="400"/>
    </row>
    <row r="79" spans="1:14">
      <c r="A79" s="464"/>
      <c r="B79" s="465"/>
      <c r="C79" s="466"/>
      <c r="D79" s="467"/>
      <c r="E79" s="467"/>
      <c r="F79" s="465"/>
      <c r="G79" s="465"/>
      <c r="H79" s="466"/>
      <c r="I79" s="468"/>
      <c r="J79" s="469"/>
      <c r="K79" s="469"/>
      <c r="L79" s="466"/>
      <c r="M79" s="466"/>
      <c r="N79" s="400"/>
    </row>
    <row r="80" spans="1:14">
      <c r="A80" s="458"/>
      <c r="B80" s="459"/>
      <c r="C80" s="460"/>
      <c r="D80" s="461"/>
      <c r="E80" s="461"/>
      <c r="F80" s="459"/>
      <c r="G80" s="459"/>
      <c r="H80" s="460"/>
      <c r="I80" s="462"/>
      <c r="J80" s="463"/>
      <c r="K80" s="463"/>
      <c r="L80" s="460"/>
      <c r="M80" s="460"/>
      <c r="N80" s="400"/>
    </row>
    <row r="81" spans="1:14">
      <c r="A81" s="464"/>
      <c r="B81" s="465"/>
      <c r="C81" s="466"/>
      <c r="D81" s="467"/>
      <c r="E81" s="467"/>
      <c r="F81" s="465"/>
      <c r="G81" s="465"/>
      <c r="H81" s="466"/>
      <c r="I81" s="468"/>
      <c r="J81" s="469"/>
      <c r="K81" s="469"/>
      <c r="L81" s="466"/>
      <c r="M81" s="466"/>
      <c r="N81" s="400"/>
    </row>
    <row r="82" spans="1:14">
      <c r="A82" s="458"/>
      <c r="B82" s="459"/>
      <c r="C82" s="460"/>
      <c r="D82" s="461"/>
      <c r="E82" s="461"/>
      <c r="F82" s="459"/>
      <c r="G82" s="459"/>
      <c r="H82" s="460"/>
      <c r="I82" s="462"/>
      <c r="J82" s="463"/>
      <c r="K82" s="463"/>
      <c r="L82" s="460"/>
      <c r="M82" s="460"/>
      <c r="N82" s="400"/>
    </row>
    <row r="83" spans="1:14">
      <c r="A83" s="464"/>
      <c r="B83" s="465"/>
      <c r="C83" s="466"/>
      <c r="D83" s="467"/>
      <c r="E83" s="467"/>
      <c r="F83" s="465"/>
      <c r="G83" s="465"/>
      <c r="H83" s="466"/>
      <c r="I83" s="468"/>
      <c r="J83" s="469"/>
      <c r="K83" s="469"/>
      <c r="L83" s="466"/>
      <c r="M83" s="466"/>
      <c r="N83" s="400"/>
    </row>
    <row r="84" spans="1:14">
      <c r="A84" s="458"/>
      <c r="B84" s="459"/>
      <c r="C84" s="460"/>
      <c r="D84" s="461"/>
      <c r="E84" s="461"/>
      <c r="F84" s="459"/>
      <c r="G84" s="459"/>
      <c r="H84" s="460"/>
      <c r="I84" s="462"/>
      <c r="J84" s="463"/>
      <c r="K84" s="463"/>
      <c r="L84" s="460"/>
      <c r="M84" s="460"/>
      <c r="N84" s="400"/>
    </row>
    <row r="85" spans="1:14">
      <c r="A85" s="464"/>
      <c r="B85" s="465"/>
      <c r="C85" s="466"/>
      <c r="D85" s="467"/>
      <c r="E85" s="467"/>
      <c r="F85" s="465"/>
      <c r="G85" s="465"/>
      <c r="H85" s="466"/>
      <c r="I85" s="468"/>
      <c r="J85" s="469"/>
      <c r="K85" s="469"/>
      <c r="L85" s="466"/>
      <c r="M85" s="466"/>
      <c r="N85" s="400"/>
    </row>
    <row r="86" spans="1:14">
      <c r="A86" s="458"/>
      <c r="B86" s="459"/>
      <c r="C86" s="460"/>
      <c r="D86" s="461"/>
      <c r="E86" s="461"/>
      <c r="F86" s="459"/>
      <c r="G86" s="459"/>
      <c r="H86" s="460"/>
      <c r="I86" s="462"/>
      <c r="J86" s="463"/>
      <c r="K86" s="463"/>
      <c r="L86" s="460"/>
      <c r="M86" s="460"/>
      <c r="N86" s="400"/>
    </row>
    <row r="87" spans="1:14">
      <c r="A87" s="464"/>
      <c r="B87" s="465"/>
      <c r="C87" s="466"/>
      <c r="D87" s="467"/>
      <c r="E87" s="467"/>
      <c r="F87" s="465"/>
      <c r="G87" s="465"/>
      <c r="H87" s="466"/>
      <c r="I87" s="468"/>
      <c r="J87" s="469"/>
      <c r="K87" s="469"/>
      <c r="L87" s="466"/>
      <c r="M87" s="466"/>
      <c r="N87" s="400"/>
    </row>
    <row r="88" spans="1:14">
      <c r="A88" s="458"/>
      <c r="B88" s="459"/>
      <c r="C88" s="460"/>
      <c r="D88" s="461"/>
      <c r="E88" s="461"/>
      <c r="F88" s="459"/>
      <c r="G88" s="459"/>
      <c r="H88" s="460"/>
      <c r="I88" s="462"/>
      <c r="J88" s="463"/>
      <c r="K88" s="463"/>
      <c r="L88" s="460"/>
      <c r="M88" s="460"/>
      <c r="N88" s="400"/>
    </row>
    <row r="89" spans="1:14">
      <c r="A89" s="464"/>
      <c r="B89" s="465"/>
      <c r="C89" s="466"/>
      <c r="D89" s="467"/>
      <c r="E89" s="467"/>
      <c r="F89" s="465"/>
      <c r="G89" s="465"/>
      <c r="H89" s="466"/>
      <c r="I89" s="468"/>
      <c r="J89" s="469"/>
      <c r="K89" s="469"/>
      <c r="L89" s="466"/>
      <c r="M89" s="466"/>
      <c r="N89" s="400"/>
    </row>
    <row r="90" spans="1:14">
      <c r="A90" s="458"/>
      <c r="B90" s="459"/>
      <c r="C90" s="460"/>
      <c r="D90" s="461"/>
      <c r="E90" s="461"/>
      <c r="F90" s="459"/>
      <c r="G90" s="459"/>
      <c r="H90" s="460"/>
      <c r="I90" s="462"/>
      <c r="J90" s="463"/>
      <c r="K90" s="463"/>
      <c r="L90" s="460"/>
      <c r="M90" s="460"/>
      <c r="N90" s="400"/>
    </row>
    <row r="91" spans="1:14">
      <c r="A91" s="464"/>
      <c r="B91" s="465"/>
      <c r="C91" s="466"/>
      <c r="D91" s="467"/>
      <c r="E91" s="467"/>
      <c r="F91" s="465"/>
      <c r="G91" s="465"/>
      <c r="H91" s="466"/>
      <c r="I91" s="468"/>
      <c r="J91" s="469"/>
      <c r="K91" s="469"/>
      <c r="L91" s="466"/>
      <c r="M91" s="466"/>
      <c r="N91" s="400"/>
    </row>
    <row r="92" spans="1:14">
      <c r="A92" s="458"/>
      <c r="B92" s="459"/>
      <c r="C92" s="460"/>
      <c r="D92" s="461"/>
      <c r="E92" s="461"/>
      <c r="F92" s="459"/>
      <c r="G92" s="459"/>
      <c r="H92" s="460"/>
      <c r="I92" s="462"/>
      <c r="J92" s="463"/>
      <c r="K92" s="463"/>
      <c r="L92" s="460"/>
      <c r="M92" s="460"/>
      <c r="N92" s="388"/>
    </row>
    <row r="93" spans="1:14">
      <c r="A93" s="464"/>
      <c r="B93" s="465"/>
      <c r="C93" s="466"/>
      <c r="D93" s="467"/>
      <c r="E93" s="467"/>
      <c r="F93" s="465"/>
      <c r="G93" s="465"/>
      <c r="H93" s="466"/>
      <c r="I93" s="468"/>
      <c r="J93" s="469"/>
      <c r="K93" s="469"/>
      <c r="L93" s="466"/>
      <c r="M93" s="466"/>
      <c r="N93" s="388"/>
    </row>
    <row r="94" spans="1:14">
      <c r="A94" s="458"/>
      <c r="B94" s="459"/>
      <c r="C94" s="460"/>
      <c r="D94" s="461"/>
      <c r="E94" s="461"/>
      <c r="F94" s="459"/>
      <c r="G94" s="459"/>
      <c r="H94" s="460"/>
      <c r="I94" s="462"/>
      <c r="J94" s="463"/>
      <c r="K94" s="463"/>
      <c r="L94" s="460"/>
      <c r="M94" s="460"/>
      <c r="N94" s="388"/>
    </row>
    <row r="95" spans="1:14">
      <c r="A95" s="464"/>
      <c r="B95" s="465"/>
      <c r="C95" s="466"/>
      <c r="D95" s="467"/>
      <c r="E95" s="467"/>
      <c r="F95" s="465"/>
      <c r="G95" s="465"/>
      <c r="H95" s="466"/>
      <c r="I95" s="468"/>
      <c r="J95" s="469"/>
      <c r="K95" s="469"/>
      <c r="L95" s="466"/>
      <c r="M95" s="466"/>
      <c r="N95" s="388"/>
    </row>
    <row r="96" spans="1:14">
      <c r="A96" s="458"/>
      <c r="B96" s="459"/>
      <c r="C96" s="460"/>
      <c r="D96" s="461"/>
      <c r="E96" s="461"/>
      <c r="F96" s="459"/>
      <c r="G96" s="459"/>
      <c r="H96" s="460"/>
      <c r="I96" s="462"/>
      <c r="J96" s="463"/>
      <c r="K96" s="463"/>
      <c r="L96" s="460"/>
      <c r="M96" s="460"/>
      <c r="N96" s="388"/>
    </row>
    <row r="97" spans="1:14">
      <c r="A97" s="464"/>
      <c r="B97" s="465"/>
      <c r="C97" s="466"/>
      <c r="D97" s="467"/>
      <c r="E97" s="467"/>
      <c r="F97" s="465"/>
      <c r="G97" s="465"/>
      <c r="H97" s="466"/>
      <c r="I97" s="468"/>
      <c r="J97" s="469"/>
      <c r="K97" s="469"/>
      <c r="L97" s="466"/>
      <c r="M97" s="466"/>
      <c r="N97" s="388"/>
    </row>
    <row r="98" spans="1:14">
      <c r="A98" s="458"/>
      <c r="B98" s="459"/>
      <c r="C98" s="460"/>
      <c r="D98" s="461"/>
      <c r="E98" s="461"/>
      <c r="F98" s="459"/>
      <c r="G98" s="459"/>
      <c r="H98" s="460"/>
      <c r="I98" s="462"/>
      <c r="J98" s="463"/>
      <c r="K98" s="463"/>
      <c r="L98" s="460"/>
      <c r="M98" s="460"/>
      <c r="N98" s="388"/>
    </row>
    <row r="99" spans="1:14">
      <c r="A99" s="464"/>
      <c r="B99" s="465"/>
      <c r="C99" s="466"/>
      <c r="D99" s="467"/>
      <c r="E99" s="467"/>
      <c r="F99" s="465"/>
      <c r="G99" s="465"/>
      <c r="H99" s="466"/>
      <c r="I99" s="468"/>
      <c r="J99" s="469"/>
      <c r="K99" s="469"/>
      <c r="L99" s="466"/>
      <c r="M99" s="466"/>
      <c r="N99" s="388"/>
    </row>
    <row r="100" spans="1:14">
      <c r="A100" s="458"/>
      <c r="B100" s="459"/>
      <c r="C100" s="460"/>
      <c r="D100" s="461"/>
      <c r="E100" s="461"/>
      <c r="F100" s="459"/>
      <c r="G100" s="459"/>
      <c r="H100" s="460"/>
      <c r="I100" s="462"/>
      <c r="J100" s="463"/>
      <c r="K100" s="463"/>
      <c r="L100" s="460"/>
      <c r="M100" s="460"/>
      <c r="N100" s="388"/>
    </row>
    <row r="101" spans="1:14">
      <c r="A101" s="464"/>
      <c r="B101" s="465"/>
      <c r="C101" s="466"/>
      <c r="D101" s="467"/>
      <c r="E101" s="467"/>
      <c r="F101" s="465"/>
      <c r="G101" s="465"/>
      <c r="H101" s="466"/>
      <c r="I101" s="468"/>
      <c r="J101" s="469"/>
      <c r="K101" s="469"/>
      <c r="L101" s="466"/>
      <c r="M101" s="466"/>
      <c r="N101" s="388"/>
    </row>
    <row r="102" spans="1:14">
      <c r="A102" s="458"/>
      <c r="B102" s="459"/>
      <c r="C102" s="460"/>
      <c r="D102" s="461"/>
      <c r="E102" s="461"/>
      <c r="F102" s="459"/>
      <c r="G102" s="459"/>
      <c r="H102" s="460"/>
      <c r="I102" s="462"/>
      <c r="J102" s="463"/>
      <c r="K102" s="463"/>
      <c r="L102" s="460"/>
      <c r="M102" s="460"/>
      <c r="N102" s="388"/>
    </row>
    <row r="103" spans="1:14">
      <c r="A103" s="464"/>
      <c r="B103" s="465"/>
      <c r="C103" s="466"/>
      <c r="D103" s="467"/>
      <c r="E103" s="467"/>
      <c r="F103" s="465"/>
      <c r="G103" s="465"/>
      <c r="H103" s="466"/>
      <c r="I103" s="468"/>
      <c r="J103" s="469"/>
      <c r="K103" s="469"/>
      <c r="L103" s="466"/>
      <c r="M103" s="466"/>
      <c r="N103" s="388"/>
    </row>
    <row r="104" spans="1:14">
      <c r="A104" s="458"/>
      <c r="B104" s="459"/>
      <c r="C104" s="460"/>
      <c r="D104" s="461"/>
      <c r="E104" s="461"/>
      <c r="F104" s="459"/>
      <c r="G104" s="459"/>
      <c r="H104" s="460"/>
      <c r="I104" s="462"/>
      <c r="J104" s="463"/>
      <c r="K104" s="463"/>
      <c r="L104" s="460"/>
      <c r="M104" s="460"/>
      <c r="N104" s="388"/>
    </row>
    <row r="105" spans="1:14">
      <c r="A105" s="464"/>
      <c r="B105" s="465"/>
      <c r="C105" s="466"/>
      <c r="D105" s="467"/>
      <c r="E105" s="467"/>
      <c r="F105" s="465"/>
      <c r="G105" s="465"/>
      <c r="H105" s="466"/>
      <c r="I105" s="468"/>
      <c r="J105" s="469"/>
      <c r="K105" s="469"/>
      <c r="L105" s="466"/>
      <c r="M105" s="466"/>
      <c r="N105" s="388"/>
    </row>
    <row r="106" spans="1:14">
      <c r="A106" s="458"/>
      <c r="B106" s="459"/>
      <c r="C106" s="460"/>
      <c r="D106" s="461"/>
      <c r="E106" s="461"/>
      <c r="F106" s="459"/>
      <c r="G106" s="459"/>
      <c r="H106" s="460"/>
      <c r="I106" s="462"/>
      <c r="J106" s="463"/>
      <c r="K106" s="463"/>
      <c r="L106" s="460"/>
      <c r="M106" s="460"/>
      <c r="N106" s="388"/>
    </row>
    <row r="107" spans="1:14">
      <c r="A107" s="464"/>
      <c r="B107" s="465"/>
      <c r="C107" s="466"/>
      <c r="D107" s="467"/>
      <c r="E107" s="467"/>
      <c r="F107" s="465"/>
      <c r="G107" s="465"/>
      <c r="H107" s="466"/>
      <c r="I107" s="468"/>
      <c r="J107" s="469"/>
      <c r="K107" s="469"/>
      <c r="L107" s="466"/>
      <c r="M107" s="466"/>
      <c r="N107" s="388"/>
    </row>
    <row r="108" spans="1:14">
      <c r="A108" s="458"/>
      <c r="B108" s="459"/>
      <c r="C108" s="460"/>
      <c r="D108" s="461"/>
      <c r="E108" s="461"/>
      <c r="F108" s="459"/>
      <c r="G108" s="459"/>
      <c r="H108" s="460"/>
      <c r="I108" s="462"/>
      <c r="J108" s="463"/>
      <c r="K108" s="463"/>
      <c r="L108" s="460"/>
      <c r="M108" s="460"/>
      <c r="N108" s="388"/>
    </row>
    <row r="109" spans="1:14">
      <c r="A109" s="464"/>
      <c r="B109" s="465"/>
      <c r="C109" s="466"/>
      <c r="D109" s="467"/>
      <c r="E109" s="467"/>
      <c r="F109" s="465"/>
      <c r="G109" s="465"/>
      <c r="H109" s="466"/>
      <c r="I109" s="468"/>
      <c r="J109" s="469"/>
      <c r="K109" s="469"/>
      <c r="L109" s="466"/>
      <c r="M109" s="466"/>
      <c r="N109" s="388"/>
    </row>
    <row r="110" spans="1:14">
      <c r="A110" s="458"/>
      <c r="B110" s="459"/>
      <c r="C110" s="460"/>
      <c r="D110" s="461"/>
      <c r="E110" s="461"/>
      <c r="F110" s="459"/>
      <c r="G110" s="459"/>
      <c r="H110" s="460"/>
      <c r="I110" s="462"/>
      <c r="J110" s="463"/>
      <c r="K110" s="463"/>
      <c r="L110" s="460"/>
      <c r="M110" s="460"/>
      <c r="N110" s="388"/>
    </row>
    <row r="111" spans="1:14">
      <c r="A111" s="464"/>
      <c r="B111" s="465"/>
      <c r="C111" s="466"/>
      <c r="D111" s="467"/>
      <c r="E111" s="467"/>
      <c r="F111" s="465"/>
      <c r="G111" s="465"/>
      <c r="H111" s="466"/>
      <c r="I111" s="468"/>
      <c r="J111" s="469"/>
      <c r="K111" s="469"/>
      <c r="L111" s="466"/>
      <c r="M111" s="466"/>
      <c r="N111" s="388"/>
    </row>
    <row r="112" spans="1:14">
      <c r="A112" s="458"/>
      <c r="B112" s="459"/>
      <c r="C112" s="460"/>
      <c r="D112" s="461"/>
      <c r="E112" s="461"/>
      <c r="F112" s="459"/>
      <c r="G112" s="459"/>
      <c r="H112" s="460"/>
      <c r="I112" s="462"/>
      <c r="J112" s="463"/>
      <c r="K112" s="463"/>
      <c r="L112" s="460"/>
      <c r="M112" s="460"/>
      <c r="N112" s="393"/>
    </row>
    <row r="113" spans="1:14">
      <c r="A113" s="464"/>
      <c r="B113" s="465"/>
      <c r="C113" s="466"/>
      <c r="D113" s="467"/>
      <c r="E113" s="467"/>
      <c r="F113" s="465"/>
      <c r="G113" s="465"/>
      <c r="H113" s="466"/>
      <c r="I113" s="468"/>
      <c r="J113" s="469"/>
      <c r="K113" s="469"/>
      <c r="L113" s="466"/>
      <c r="M113" s="466"/>
      <c r="N113" s="388"/>
    </row>
    <row r="114" spans="1:14">
      <c r="A114" s="458"/>
      <c r="B114" s="459"/>
      <c r="C114" s="460"/>
      <c r="D114" s="461"/>
      <c r="E114" s="461"/>
      <c r="F114" s="459"/>
      <c r="G114" s="459"/>
      <c r="H114" s="460"/>
      <c r="I114" s="462"/>
      <c r="J114" s="463"/>
      <c r="K114" s="463"/>
      <c r="L114" s="460"/>
      <c r="M114" s="460"/>
      <c r="N114" s="388"/>
    </row>
    <row r="115" spans="1:14">
      <c r="A115" s="464"/>
      <c r="B115" s="465"/>
      <c r="C115" s="466"/>
      <c r="D115" s="467"/>
      <c r="E115" s="467"/>
      <c r="F115" s="465"/>
      <c r="G115" s="465"/>
      <c r="H115" s="466"/>
      <c r="I115" s="468"/>
      <c r="J115" s="469"/>
      <c r="K115" s="469"/>
      <c r="L115" s="466"/>
      <c r="M115" s="466"/>
      <c r="N115" s="388"/>
    </row>
    <row r="116" spans="1:14">
      <c r="A116" s="458"/>
      <c r="B116" s="459"/>
      <c r="C116" s="460"/>
      <c r="D116" s="461"/>
      <c r="E116" s="461"/>
      <c r="F116" s="459"/>
      <c r="G116" s="459"/>
      <c r="H116" s="460"/>
      <c r="I116" s="462"/>
      <c r="J116" s="463"/>
      <c r="K116" s="463"/>
      <c r="L116" s="460"/>
      <c r="M116" s="460"/>
      <c r="N116" s="388"/>
    </row>
    <row r="117" spans="1:14">
      <c r="A117" s="464"/>
      <c r="B117" s="465"/>
      <c r="C117" s="466"/>
      <c r="D117" s="467"/>
      <c r="E117" s="467"/>
      <c r="F117" s="465"/>
      <c r="G117" s="465"/>
      <c r="H117" s="466"/>
      <c r="I117" s="468"/>
      <c r="J117" s="469"/>
      <c r="K117" s="469"/>
      <c r="L117" s="466"/>
      <c r="M117" s="466"/>
      <c r="N117" s="388"/>
    </row>
    <row r="118" spans="1:14">
      <c r="A118" s="458"/>
      <c r="B118" s="459"/>
      <c r="C118" s="460"/>
      <c r="D118" s="461"/>
      <c r="E118" s="461"/>
      <c r="F118" s="459"/>
      <c r="G118" s="459"/>
      <c r="H118" s="460"/>
      <c r="I118" s="462"/>
      <c r="J118" s="463"/>
      <c r="K118" s="463"/>
      <c r="L118" s="460"/>
      <c r="M118" s="460"/>
      <c r="N118" s="388"/>
    </row>
    <row r="119" spans="1:14">
      <c r="A119" s="464"/>
      <c r="B119" s="465"/>
      <c r="C119" s="466"/>
      <c r="D119" s="467"/>
      <c r="E119" s="467"/>
      <c r="F119" s="465"/>
      <c r="G119" s="465"/>
      <c r="H119" s="466"/>
      <c r="I119" s="468"/>
      <c r="J119" s="469"/>
      <c r="K119" s="469"/>
      <c r="L119" s="466"/>
      <c r="M119" s="466"/>
      <c r="N119" s="388"/>
    </row>
    <row r="120" spans="1:14">
      <c r="A120" s="458"/>
      <c r="B120" s="459"/>
      <c r="C120" s="460"/>
      <c r="D120" s="461"/>
      <c r="E120" s="461"/>
      <c r="F120" s="459"/>
      <c r="G120" s="459"/>
      <c r="H120" s="460"/>
      <c r="I120" s="462"/>
      <c r="J120" s="463"/>
      <c r="K120" s="463"/>
      <c r="L120" s="460"/>
      <c r="M120" s="460"/>
      <c r="N120" s="388"/>
    </row>
    <row r="121" spans="1:14">
      <c r="A121" s="464"/>
      <c r="B121" s="465"/>
      <c r="C121" s="466"/>
      <c r="D121" s="467"/>
      <c r="E121" s="467"/>
      <c r="F121" s="465"/>
      <c r="G121" s="465"/>
      <c r="H121" s="466"/>
      <c r="I121" s="468"/>
      <c r="J121" s="469"/>
      <c r="K121" s="469"/>
      <c r="L121" s="466"/>
      <c r="M121" s="466"/>
      <c r="N121" s="388"/>
    </row>
    <row r="122" spans="1:14">
      <c r="A122" s="458"/>
      <c r="B122" s="459"/>
      <c r="C122" s="460"/>
      <c r="D122" s="461"/>
      <c r="E122" s="461"/>
      <c r="F122" s="459"/>
      <c r="G122" s="459"/>
      <c r="H122" s="460"/>
      <c r="I122" s="462"/>
      <c r="J122" s="463"/>
      <c r="K122" s="463"/>
      <c r="L122" s="460"/>
      <c r="M122" s="460"/>
      <c r="N122" s="388"/>
    </row>
    <row r="123" spans="1:14">
      <c r="A123" s="464"/>
      <c r="B123" s="465"/>
      <c r="C123" s="466"/>
      <c r="D123" s="467"/>
      <c r="E123" s="467"/>
      <c r="F123" s="465"/>
      <c r="G123" s="465"/>
      <c r="H123" s="466"/>
      <c r="I123" s="468"/>
      <c r="J123" s="469"/>
      <c r="K123" s="469"/>
      <c r="L123" s="466"/>
      <c r="M123" s="466"/>
      <c r="N123" s="388"/>
    </row>
    <row r="124" spans="1:14">
      <c r="A124" s="458"/>
      <c r="B124" s="459"/>
      <c r="C124" s="460"/>
      <c r="D124" s="461"/>
      <c r="E124" s="461"/>
      <c r="F124" s="459"/>
      <c r="G124" s="459"/>
      <c r="H124" s="460"/>
      <c r="I124" s="462"/>
      <c r="J124" s="463"/>
      <c r="K124" s="463"/>
      <c r="L124" s="460"/>
      <c r="M124" s="460"/>
      <c r="N124" s="388"/>
    </row>
    <row r="125" spans="1:14">
      <c r="A125" s="464"/>
      <c r="B125" s="465"/>
      <c r="C125" s="466"/>
      <c r="D125" s="467"/>
      <c r="E125" s="467"/>
      <c r="F125" s="465"/>
      <c r="G125" s="465"/>
      <c r="H125" s="466"/>
      <c r="I125" s="468"/>
      <c r="J125" s="469"/>
      <c r="K125" s="469"/>
      <c r="L125" s="466"/>
      <c r="M125" s="466"/>
      <c r="N125" s="388"/>
    </row>
    <row r="126" spans="1:14">
      <c r="A126" s="458"/>
      <c r="B126" s="459"/>
      <c r="C126" s="460"/>
      <c r="D126" s="461"/>
      <c r="E126" s="461"/>
      <c r="F126" s="459"/>
      <c r="G126" s="459"/>
      <c r="H126" s="460"/>
      <c r="I126" s="462"/>
      <c r="J126" s="463"/>
      <c r="K126" s="463"/>
      <c r="L126" s="460"/>
      <c r="M126" s="460"/>
      <c r="N126" s="388"/>
    </row>
    <row r="127" spans="1:14">
      <c r="A127" s="464"/>
      <c r="B127" s="465"/>
      <c r="C127" s="466"/>
      <c r="D127" s="467"/>
      <c r="E127" s="467"/>
      <c r="F127" s="465"/>
      <c r="G127" s="465"/>
      <c r="H127" s="466"/>
      <c r="I127" s="468"/>
      <c r="J127" s="469"/>
      <c r="K127" s="469"/>
      <c r="L127" s="466"/>
      <c r="M127" s="466"/>
      <c r="N127" s="388"/>
    </row>
    <row r="128" spans="1:14">
      <c r="A128" s="458"/>
      <c r="B128" s="459"/>
      <c r="C128" s="460"/>
      <c r="D128" s="461"/>
      <c r="E128" s="461"/>
      <c r="F128" s="459"/>
      <c r="G128" s="459"/>
      <c r="H128" s="460"/>
      <c r="I128" s="462"/>
      <c r="J128" s="463"/>
      <c r="K128" s="463"/>
      <c r="L128" s="460"/>
      <c r="M128" s="460"/>
      <c r="N128" s="388"/>
    </row>
    <row r="129" spans="1:14">
      <c r="A129" s="464"/>
      <c r="B129" s="465"/>
      <c r="C129" s="466"/>
      <c r="D129" s="467"/>
      <c r="E129" s="467"/>
      <c r="F129" s="465"/>
      <c r="G129" s="465"/>
      <c r="H129" s="466"/>
      <c r="I129" s="468"/>
      <c r="J129" s="469"/>
      <c r="K129" s="469"/>
      <c r="L129" s="466"/>
      <c r="M129" s="466"/>
      <c r="N129" s="388"/>
    </row>
    <row r="130" spans="1:14">
      <c r="A130" s="458"/>
      <c r="B130" s="459"/>
      <c r="C130" s="460"/>
      <c r="D130" s="461"/>
      <c r="E130" s="461"/>
      <c r="F130" s="459"/>
      <c r="G130" s="459"/>
      <c r="H130" s="460"/>
      <c r="I130" s="462"/>
      <c r="J130" s="463"/>
      <c r="K130" s="463"/>
      <c r="L130" s="460"/>
      <c r="M130" s="460"/>
      <c r="N130" s="388"/>
    </row>
    <row r="131" spans="1:14">
      <c r="A131" s="388"/>
      <c r="B131" s="269"/>
      <c r="C131" s="387"/>
      <c r="D131" s="387"/>
      <c r="E131" s="387"/>
      <c r="F131" s="269"/>
      <c r="G131" s="269"/>
      <c r="H131" s="387"/>
      <c r="I131" s="387"/>
      <c r="J131" s="388"/>
      <c r="K131" s="388"/>
      <c r="L131" s="387"/>
      <c r="M131" s="387"/>
      <c r="N131" s="388"/>
    </row>
    <row r="132" spans="1:14">
      <c r="A132" s="388"/>
      <c r="B132" s="269"/>
      <c r="C132" s="387"/>
      <c r="D132" s="387"/>
      <c r="E132" s="387"/>
      <c r="F132" s="269"/>
      <c r="G132" s="269"/>
      <c r="H132" s="387"/>
      <c r="I132" s="387"/>
      <c r="J132" s="388"/>
      <c r="K132" s="388"/>
      <c r="L132" s="387"/>
      <c r="M132" s="387"/>
      <c r="N132" s="388"/>
    </row>
    <row r="133" spans="1:14">
      <c r="A133" s="388"/>
      <c r="B133" s="269"/>
      <c r="C133" s="387"/>
      <c r="D133" s="387"/>
      <c r="E133" s="387"/>
      <c r="F133" s="269"/>
      <c r="G133" s="269"/>
      <c r="H133" s="387"/>
      <c r="I133" s="387"/>
      <c r="J133" s="388"/>
      <c r="K133" s="388"/>
      <c r="L133" s="387"/>
      <c r="M133" s="387"/>
      <c r="N133" s="388"/>
    </row>
    <row r="134" spans="1:14">
      <c r="A134" s="388"/>
      <c r="B134" s="269"/>
      <c r="C134" s="387"/>
      <c r="D134" s="387"/>
      <c r="E134" s="387"/>
      <c r="F134" s="269"/>
      <c r="G134" s="269"/>
      <c r="H134" s="387"/>
      <c r="I134" s="387"/>
      <c r="J134" s="388"/>
      <c r="K134" s="388"/>
      <c r="L134" s="387"/>
      <c r="M134" s="387"/>
      <c r="N134" s="388"/>
    </row>
    <row r="135" spans="1:14">
      <c r="A135" s="388"/>
      <c r="B135" s="269"/>
      <c r="C135" s="387"/>
      <c r="D135" s="387"/>
      <c r="E135" s="387"/>
      <c r="F135" s="269"/>
      <c r="G135" s="269"/>
      <c r="H135" s="387"/>
      <c r="I135" s="387"/>
      <c r="J135" s="388"/>
      <c r="K135" s="388"/>
      <c r="L135" s="387"/>
      <c r="M135" s="387"/>
      <c r="N135" s="388"/>
    </row>
    <row r="136" spans="1:14">
      <c r="A136" s="388"/>
      <c r="B136" s="269"/>
      <c r="C136" s="387"/>
      <c r="D136" s="387"/>
      <c r="E136" s="387"/>
      <c r="F136" s="269"/>
      <c r="G136" s="269"/>
      <c r="H136" s="387"/>
      <c r="I136" s="387"/>
      <c r="J136" s="388"/>
      <c r="K136" s="388"/>
      <c r="L136" s="387"/>
      <c r="M136" s="387"/>
      <c r="N136" s="388"/>
    </row>
    <row r="137" spans="1:14">
      <c r="A137" s="388"/>
      <c r="B137" s="269"/>
      <c r="C137" s="387"/>
      <c r="D137" s="387"/>
      <c r="E137" s="387"/>
      <c r="F137" s="269"/>
      <c r="G137" s="269"/>
      <c r="H137" s="387"/>
      <c r="I137" s="387"/>
      <c r="J137" s="388"/>
      <c r="K137" s="388"/>
      <c r="L137" s="387"/>
      <c r="M137" s="387"/>
      <c r="N137" s="388"/>
    </row>
    <row r="138" spans="1:14">
      <c r="A138" s="388"/>
      <c r="B138" s="269"/>
      <c r="C138" s="387"/>
      <c r="D138" s="387"/>
      <c r="E138" s="387"/>
      <c r="F138" s="269"/>
      <c r="G138" s="269"/>
      <c r="H138" s="387"/>
      <c r="I138" s="387"/>
      <c r="J138" s="388"/>
      <c r="K138" s="388"/>
      <c r="L138" s="387"/>
      <c r="M138" s="387"/>
      <c r="N138" s="388"/>
    </row>
    <row r="139" spans="1:14">
      <c r="A139" s="388"/>
      <c r="B139" s="269"/>
      <c r="C139" s="387"/>
      <c r="D139" s="387"/>
      <c r="E139" s="387"/>
      <c r="F139" s="269"/>
      <c r="G139" s="269"/>
      <c r="H139" s="387"/>
      <c r="I139" s="387"/>
      <c r="J139" s="388"/>
      <c r="K139" s="388"/>
      <c r="L139" s="387"/>
      <c r="M139" s="387"/>
      <c r="N139" s="388"/>
    </row>
    <row r="140" spans="1:14">
      <c r="A140" s="388"/>
      <c r="B140" s="269"/>
      <c r="C140" s="387"/>
      <c r="D140" s="387"/>
      <c r="E140" s="387"/>
      <c r="F140" s="269"/>
      <c r="G140" s="269"/>
      <c r="H140" s="387"/>
      <c r="I140" s="387"/>
      <c r="J140" s="388"/>
      <c r="K140" s="388"/>
      <c r="L140" s="387"/>
      <c r="M140" s="387"/>
      <c r="N140" s="388"/>
    </row>
    <row r="141" spans="1:14">
      <c r="A141" s="388"/>
      <c r="B141" s="269"/>
      <c r="C141" s="387"/>
      <c r="D141" s="387"/>
      <c r="E141" s="387"/>
      <c r="F141" s="269"/>
      <c r="G141" s="269"/>
      <c r="H141" s="387"/>
      <c r="I141" s="387"/>
      <c r="J141" s="388"/>
      <c r="K141" s="388"/>
      <c r="L141" s="387"/>
      <c r="M141" s="387"/>
      <c r="N141" s="388"/>
    </row>
    <row r="142" spans="1:14">
      <c r="A142" s="388"/>
      <c r="B142" s="269"/>
      <c r="C142" s="387"/>
      <c r="D142" s="387"/>
      <c r="E142" s="387"/>
      <c r="F142" s="269"/>
      <c r="G142" s="269"/>
      <c r="H142" s="387"/>
      <c r="I142" s="387"/>
      <c r="J142" s="388"/>
      <c r="K142" s="388"/>
      <c r="L142" s="387"/>
      <c r="M142" s="387"/>
      <c r="N142" s="388"/>
    </row>
    <row r="143" spans="1:14">
      <c r="A143" s="388"/>
      <c r="B143" s="269"/>
      <c r="C143" s="387"/>
      <c r="D143" s="387"/>
      <c r="E143" s="387"/>
      <c r="F143" s="269"/>
      <c r="G143" s="269"/>
      <c r="H143" s="387"/>
      <c r="I143" s="387"/>
      <c r="J143" s="388"/>
      <c r="K143" s="388"/>
      <c r="L143" s="387"/>
      <c r="M143" s="387"/>
      <c r="N143" s="388"/>
    </row>
    <row r="144" spans="1:14">
      <c r="A144" s="388"/>
      <c r="B144" s="269"/>
      <c r="C144" s="387"/>
      <c r="D144" s="387"/>
      <c r="E144" s="387"/>
      <c r="F144" s="269"/>
      <c r="G144" s="269"/>
      <c r="H144" s="387"/>
      <c r="I144" s="387"/>
      <c r="J144" s="388"/>
      <c r="K144" s="388"/>
      <c r="L144" s="387"/>
      <c r="M144" s="387"/>
      <c r="N144" s="388"/>
    </row>
    <row r="145" spans="1:14">
      <c r="A145" s="388"/>
      <c r="B145" s="269"/>
      <c r="C145" s="387"/>
      <c r="D145" s="387"/>
      <c r="E145" s="387"/>
      <c r="F145" s="269"/>
      <c r="G145" s="269"/>
      <c r="H145" s="387"/>
      <c r="I145" s="387"/>
      <c r="J145" s="388"/>
      <c r="K145" s="388"/>
      <c r="L145" s="387"/>
      <c r="M145" s="387"/>
      <c r="N145" s="388"/>
    </row>
    <row r="146" spans="1:14">
      <c r="A146" s="388"/>
      <c r="B146" s="269"/>
      <c r="C146" s="387"/>
      <c r="D146" s="387"/>
      <c r="E146" s="387"/>
      <c r="F146" s="269"/>
      <c r="G146" s="269"/>
      <c r="H146" s="387"/>
      <c r="I146" s="387"/>
      <c r="J146" s="388"/>
      <c r="K146" s="388"/>
      <c r="L146" s="387"/>
      <c r="M146" s="387"/>
      <c r="N146" s="388"/>
    </row>
    <row r="147" spans="1:14">
      <c r="A147" s="388"/>
      <c r="B147" s="269"/>
      <c r="C147" s="387"/>
      <c r="D147" s="387"/>
      <c r="E147" s="387"/>
      <c r="F147" s="269"/>
      <c r="G147" s="269"/>
      <c r="H147" s="387"/>
      <c r="I147" s="387"/>
      <c r="J147" s="388"/>
      <c r="K147" s="388"/>
      <c r="L147" s="387"/>
      <c r="M147" s="387"/>
      <c r="N147" s="388"/>
    </row>
    <row r="148" spans="1:14">
      <c r="A148" s="388"/>
      <c r="B148" s="269"/>
      <c r="C148" s="387"/>
      <c r="D148" s="387"/>
      <c r="E148" s="387"/>
      <c r="F148" s="269"/>
      <c r="G148" s="269"/>
      <c r="H148" s="387"/>
      <c r="I148" s="387"/>
      <c r="J148" s="388"/>
      <c r="K148" s="388"/>
      <c r="L148" s="387"/>
      <c r="M148" s="387"/>
      <c r="N148" s="388"/>
    </row>
    <row r="149" spans="1:14">
      <c r="A149" s="388"/>
      <c r="B149" s="269"/>
      <c r="C149" s="387"/>
      <c r="D149" s="387"/>
      <c r="E149" s="387"/>
      <c r="F149" s="269"/>
      <c r="G149" s="269"/>
      <c r="H149" s="387"/>
      <c r="I149" s="387"/>
      <c r="J149" s="388"/>
      <c r="K149" s="388"/>
      <c r="L149" s="387"/>
      <c r="M149" s="387"/>
      <c r="N149" s="388"/>
    </row>
    <row r="150" spans="1:14">
      <c r="A150" s="388"/>
      <c r="B150" s="269"/>
      <c r="C150" s="387"/>
      <c r="D150" s="387"/>
      <c r="E150" s="387"/>
      <c r="F150" s="269"/>
      <c r="G150" s="269"/>
      <c r="H150" s="387"/>
      <c r="I150" s="387"/>
      <c r="J150" s="388"/>
      <c r="K150" s="388"/>
      <c r="L150" s="387"/>
      <c r="M150" s="387"/>
      <c r="N150" s="388"/>
    </row>
    <row r="151" spans="1:14">
      <c r="A151" s="388"/>
      <c r="B151" s="269"/>
      <c r="C151" s="387"/>
      <c r="D151" s="387"/>
      <c r="E151" s="387"/>
      <c r="F151" s="269"/>
      <c r="G151" s="269"/>
      <c r="H151" s="387"/>
      <c r="I151" s="387"/>
      <c r="J151" s="388"/>
      <c r="K151" s="388"/>
      <c r="L151" s="387"/>
      <c r="M151" s="387"/>
      <c r="N151" s="388"/>
    </row>
    <row r="152" spans="1:14">
      <c r="A152" s="388"/>
      <c r="B152" s="269"/>
      <c r="C152" s="387"/>
      <c r="D152" s="387"/>
      <c r="E152" s="387"/>
      <c r="F152" s="269"/>
      <c r="G152" s="269"/>
      <c r="H152" s="387"/>
      <c r="I152" s="387"/>
      <c r="J152" s="388"/>
      <c r="K152" s="388"/>
      <c r="L152" s="387"/>
      <c r="M152" s="387"/>
      <c r="N152" s="388"/>
    </row>
    <row r="153" spans="1:14">
      <c r="A153" s="388"/>
      <c r="B153" s="269"/>
      <c r="C153" s="387"/>
      <c r="D153" s="387"/>
      <c r="E153" s="387"/>
      <c r="F153" s="269"/>
      <c r="G153" s="269"/>
      <c r="H153" s="387"/>
      <c r="I153" s="387"/>
      <c r="J153" s="388"/>
      <c r="K153" s="388"/>
      <c r="L153" s="387"/>
      <c r="M153" s="387"/>
      <c r="N153" s="388"/>
    </row>
    <row r="154" spans="1:14">
      <c r="A154" s="388"/>
      <c r="B154" s="269"/>
      <c r="C154" s="387"/>
      <c r="D154" s="387"/>
      <c r="E154" s="387"/>
      <c r="F154" s="269"/>
      <c r="G154" s="269"/>
      <c r="H154" s="387"/>
      <c r="I154" s="387"/>
      <c r="J154" s="388"/>
      <c r="K154" s="388"/>
      <c r="L154" s="387"/>
      <c r="M154" s="387"/>
      <c r="N154" s="388"/>
    </row>
    <row r="155" spans="1:14">
      <c r="A155" s="388"/>
      <c r="B155" s="269"/>
      <c r="C155" s="387"/>
      <c r="D155" s="387"/>
      <c r="E155" s="387"/>
      <c r="F155" s="269"/>
      <c r="G155" s="269"/>
      <c r="H155" s="387"/>
      <c r="I155" s="387"/>
      <c r="J155" s="388"/>
      <c r="K155" s="388"/>
      <c r="L155" s="387"/>
      <c r="M155" s="387"/>
      <c r="N155" s="388"/>
    </row>
    <row r="156" spans="1:14">
      <c r="A156" s="393"/>
      <c r="B156" s="394"/>
      <c r="C156" s="395"/>
      <c r="D156" s="395"/>
      <c r="E156" s="395"/>
      <c r="F156" s="394"/>
      <c r="G156" s="394"/>
      <c r="H156" s="395"/>
      <c r="I156" s="395"/>
      <c r="J156" s="393"/>
      <c r="K156" s="393"/>
      <c r="L156" s="395"/>
      <c r="M156" s="395"/>
      <c r="N156" s="393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B03E5-EBCE-45BE-8393-58307923EAFB}">
  <sheetPr>
    <tabColor rgb="FFFFFF00"/>
  </sheetPr>
  <dimension ref="A3:J160"/>
  <sheetViews>
    <sheetView topLeftCell="A26" workbookViewId="0">
      <selection activeCell="I4" sqref="I4:J50"/>
    </sheetView>
  </sheetViews>
  <sheetFormatPr defaultColWidth="11.42578125" defaultRowHeight="15"/>
  <cols>
    <col min="1" max="1" width="11.42578125" style="6"/>
    <col min="2" max="2" width="13.28515625" style="6" customWidth="1"/>
    <col min="3" max="3" width="9.42578125" style="6" bestFit="1" customWidth="1"/>
    <col min="4" max="5" width="7" style="6" customWidth="1"/>
    <col min="6" max="6" width="11.42578125" style="6"/>
    <col min="7" max="7" width="25.42578125" style="6" customWidth="1"/>
    <col min="8" max="8" width="6.28515625" customWidth="1"/>
    <col min="9" max="9" width="42.85546875" customWidth="1"/>
    <col min="10" max="10" width="78.28515625" bestFit="1" customWidth="1"/>
  </cols>
  <sheetData>
    <row r="3" spans="1:10" s="389" customFormat="1">
      <c r="A3" s="397" t="s">
        <v>1</v>
      </c>
      <c r="B3" s="397" t="s">
        <v>2</v>
      </c>
      <c r="C3" s="397" t="s">
        <v>3</v>
      </c>
      <c r="D3" s="397" t="s">
        <v>4</v>
      </c>
      <c r="E3" s="397" t="s">
        <v>5</v>
      </c>
      <c r="F3" s="397" t="s">
        <v>6</v>
      </c>
      <c r="G3" s="397" t="s">
        <v>7</v>
      </c>
      <c r="H3" s="397" t="s">
        <v>8</v>
      </c>
      <c r="I3" s="396" t="s">
        <v>12</v>
      </c>
      <c r="J3" s="396" t="s">
        <v>13</v>
      </c>
    </row>
    <row r="4" spans="1:10">
      <c r="A4" s="398">
        <f>IF(ISBLANK(SHAREPOINT!A3),"",DATE(YEAR(SHAREPOINT!I3),MONTH(SHAREPOINT!I3),DAY(SHAREPOINT!I3)))</f>
        <v>46204</v>
      </c>
      <c r="B4" s="87" t="str">
        <f>IF(ISBLANK(SHAREPOINT!A3),"",SHAREPOINT!B3)</f>
        <v>CARLOS PUMA</v>
      </c>
      <c r="C4" s="399" t="str">
        <f>+SHAREPOINT!C3</f>
        <v>TARDE</v>
      </c>
      <c r="D4" s="399">
        <f>+SHAREPOINT!D3</f>
        <v>0.54861111111111116</v>
      </c>
      <c r="E4" s="399">
        <f>+SHAREPOINT!E3</f>
        <v>0.5625</v>
      </c>
      <c r="F4" s="390">
        <f>IF(ISBLANK(SHAREPOINT!A3),"",IFERROR(+IF(E4&gt;D4,E4-D4,E4-24+(24-D4)),""))</f>
        <v>1.388888888888884E-2</v>
      </c>
      <c r="G4" s="87" t="str">
        <f>IF(ISBLANK(SHAREPOINT!A3),"",SHAREPOINT!F3)</f>
        <v>PLANTA INDUSTRIAL</v>
      </c>
      <c r="H4" s="391"/>
      <c r="I4" s="386" t="str">
        <f>IF(ISBLANK(SHAREPOINT!A3),"",SHAREPOINT!G3)</f>
        <v xml:space="preserve">Inspección de equipos en uso </v>
      </c>
      <c r="J4" s="386" t="str">
        <f>IF(ISBLANK(SHAREPOINT!H3),"",SHAREPOINT!H3)</f>
        <v/>
      </c>
    </row>
    <row r="5" spans="1:10">
      <c r="A5" s="398">
        <f>IF(ISBLANK(SHAREPOINT!A4),"",DATE(YEAR(SHAREPOINT!I4),MONTH(SHAREPOINT!I4),DAY(SHAREPOINT!I4)))</f>
        <v>46204</v>
      </c>
      <c r="B5" s="87" t="str">
        <f>IF(ISBLANK(SHAREPOINT!A4),"",SHAREPOINT!B4)</f>
        <v>CARLOS PUMA</v>
      </c>
      <c r="C5" s="399" t="str">
        <f>+SHAREPOINT!C4</f>
        <v>TARDE</v>
      </c>
      <c r="D5" s="399">
        <f>+SHAREPOINT!D4</f>
        <v>0.56597222222222221</v>
      </c>
      <c r="E5" s="399">
        <f>+SHAREPOINT!E4</f>
        <v>0.58333333333333337</v>
      </c>
      <c r="F5" s="390">
        <f t="shared" ref="F5:F68" si="0">IFERROR(+IF(E5&gt;D5,E5-D5,E5-24+(24-D5)),"")</f>
        <v>1.736111111111116E-2</v>
      </c>
      <c r="G5" s="87" t="str">
        <f>IF(ISBLANK(SHAREPOINT!A4),"",SHAREPOINT!F4)</f>
        <v>LOCAL ANEXO</v>
      </c>
      <c r="H5" s="391"/>
      <c r="I5" s="386" t="str">
        <f>IF(ISBLANK(SHAREPOINT!A4),"",SHAREPOINT!G4)</f>
        <v>Se apoyo en la colocación de dispensadores</v>
      </c>
      <c r="J5" s="386" t="str">
        <f>IF(ISBLANK(SHAREPOINT!H4),"",SHAREPOINT!H4)</f>
        <v/>
      </c>
    </row>
    <row r="6" spans="1:10">
      <c r="A6" s="398">
        <f>IF(ISBLANK(SHAREPOINT!A5),"",DATE(YEAR(SHAREPOINT!I5),MONTH(SHAREPOINT!I5),DAY(SHAREPOINT!I5)))</f>
        <v>46204</v>
      </c>
      <c r="B6" s="87" t="str">
        <f>IF(ISBLANK(SHAREPOINT!A5),"",SHAREPOINT!B5)</f>
        <v>CARLOS PUMA</v>
      </c>
      <c r="C6" s="399" t="str">
        <f>+SHAREPOINT!C5</f>
        <v>TARDE</v>
      </c>
      <c r="D6" s="399">
        <f>+SHAREPOINT!D5</f>
        <v>0.59722222222222221</v>
      </c>
      <c r="E6" s="399">
        <f>+SHAREPOINT!E5</f>
        <v>0.64583333333333337</v>
      </c>
      <c r="F6" s="390">
        <f t="shared" si="0"/>
        <v>4.861111111111116E-2</v>
      </c>
      <c r="G6" s="87" t="str">
        <f>IF(ISBLANK(SHAREPOINT!A5),"",SHAREPOINT!F5)</f>
        <v>LINEA AUTOMATICA HACOS 1</v>
      </c>
      <c r="H6" s="391"/>
      <c r="I6" s="386" t="str">
        <f>IF(ISBLANK(SHAREPOINT!A5),"",SHAREPOINT!G5)</f>
        <v>Cambio de formato de cremas a agregados x50</v>
      </c>
      <c r="J6" s="386" t="str">
        <f>IF(ISBLANK(SHAREPOINT!H5),"",SHAREPOINT!H5)</f>
        <v xml:space="preserve">Se darlos formato de cremas , se apoyó con el lavado de piezas para formato agregados y se armó formato de agregados </v>
      </c>
    </row>
    <row r="7" spans="1:10">
      <c r="A7" s="398">
        <f>IF(ISBLANK(SHAREPOINT!A6),"",DATE(YEAR(SHAREPOINT!I6),MONTH(SHAREPOINT!I6),DAY(SHAREPOINT!I6)))</f>
        <v>46204</v>
      </c>
      <c r="B7" s="87" t="str">
        <f>IF(ISBLANK(SHAREPOINT!A6),"",SHAREPOINT!B6)</f>
        <v>CARLOS PUMA</v>
      </c>
      <c r="C7" s="399" t="str">
        <f>+SHAREPOINT!C6</f>
        <v>TARDE</v>
      </c>
      <c r="D7" s="399">
        <f>+SHAREPOINT!D6</f>
        <v>0.65277777777777779</v>
      </c>
      <c r="E7" s="399">
        <f>+SHAREPOINT!E6</f>
        <v>0.66666666666666663</v>
      </c>
      <c r="F7" s="390">
        <f t="shared" si="0"/>
        <v>1.388888888888884E-2</v>
      </c>
      <c r="G7" s="87" t="str">
        <f>IF(ISBLANK(SHAREPOINT!A6),"",SHAREPOINT!F6)</f>
        <v>FORRADORA MINIFLEX</v>
      </c>
      <c r="H7" s="391"/>
      <c r="I7" s="386" t="str">
        <f>IF(ISBLANK(SHAREPOINT!A6),"",SHAREPOINT!G6)</f>
        <v xml:space="preserve">Inspección de equipo </v>
      </c>
      <c r="J7" s="386" t="str">
        <f>IF(ISBLANK(SHAREPOINT!H6),"",SHAREPOINT!H6)</f>
        <v/>
      </c>
    </row>
    <row r="8" spans="1:10">
      <c r="A8" s="398">
        <f>IF(ISBLANK(SHAREPOINT!A7),"",DATE(YEAR(SHAREPOINT!I7),MONTH(SHAREPOINT!I7),DAY(SHAREPOINT!I7)))</f>
        <v>46204</v>
      </c>
      <c r="B8" s="87" t="str">
        <f>IF(ISBLANK(SHAREPOINT!A7),"",SHAREPOINT!B7)</f>
        <v>CARLOS PUMA</v>
      </c>
      <c r="C8" s="399" t="str">
        <f>+SHAREPOINT!C7</f>
        <v>TARDE</v>
      </c>
      <c r="D8" s="399">
        <f>+SHAREPOINT!D7</f>
        <v>0.67361111111111116</v>
      </c>
      <c r="E8" s="399">
        <f>+SHAREPOINT!E7</f>
        <v>0.72916666666666663</v>
      </c>
      <c r="F8" s="390">
        <f t="shared" si="0"/>
        <v>5.5555555555555469E-2</v>
      </c>
      <c r="G8" s="87" t="str">
        <f>IF(ISBLANK(SHAREPOINT!A7),"",SHAREPOINT!F7)</f>
        <v>TALLER DE MANTENIMIENTO</v>
      </c>
      <c r="H8" s="391"/>
      <c r="I8" s="386" t="str">
        <f>IF(ISBLANK(SHAREPOINT!A7),"",SHAREPOINT!G7)</f>
        <v xml:space="preserve">Orden y limpieza de taller, revision y reparación de utensilios </v>
      </c>
      <c r="J8" s="386" t="str">
        <f>IF(ISBLANK(SHAREPOINT!H7),"",SHAREPOINT!H7)</f>
        <v/>
      </c>
    </row>
    <row r="9" spans="1:10">
      <c r="A9" s="398">
        <f>IF(ISBLANK(SHAREPOINT!A8),"",DATE(YEAR(SHAREPOINT!I8),MONTH(SHAREPOINT!I8),DAY(SHAREPOINT!I8)))</f>
        <v>46204</v>
      </c>
      <c r="B9" s="87" t="str">
        <f>IF(ISBLANK(SHAREPOINT!A8),"",SHAREPOINT!B8)</f>
        <v>CARLOS PUMA</v>
      </c>
      <c r="C9" s="399" t="str">
        <f>+SHAREPOINT!C8</f>
        <v>TARDE</v>
      </c>
      <c r="D9" s="399">
        <f>+SHAREPOINT!D8</f>
        <v>0.77430555555555558</v>
      </c>
      <c r="E9" s="399">
        <f>+SHAREPOINT!E8</f>
        <v>0.79166666666666663</v>
      </c>
      <c r="F9" s="390">
        <f t="shared" si="0"/>
        <v>1.7361111111111049E-2</v>
      </c>
      <c r="G9" s="87" t="str">
        <f>IF(ISBLANK(SHAREPOINT!A8),"",SHAREPOINT!F8)</f>
        <v>ENCELOFANADORA ECCOPAC</v>
      </c>
      <c r="H9" s="391"/>
      <c r="I9" s="386" t="str">
        <f>IF(ISBLANK(SHAREPOINT!A8),"",SHAREPOINT!G8)</f>
        <v>Cajas se pegan entre si</v>
      </c>
      <c r="J9" s="386" t="str">
        <f>IF(ISBLANK(SHAREPOINT!H8),"",SHAREPOINT!H8)</f>
        <v>Se calibro  sellado , plegadores y ancho de mesa , se hizo pruebas</v>
      </c>
    </row>
    <row r="10" spans="1:10">
      <c r="A10" s="398">
        <f>IF(ISBLANK(SHAREPOINT!A9),"",DATE(YEAR(SHAREPOINT!I9),MONTH(SHAREPOINT!I9),DAY(SHAREPOINT!I9)))</f>
        <v>46204</v>
      </c>
      <c r="B10" s="87" t="str">
        <f>IF(ISBLANK(SHAREPOINT!A9),"",SHAREPOINT!B9)</f>
        <v>JOSÉ HAÑARI</v>
      </c>
      <c r="C10" s="399" t="str">
        <f>+SHAREPOINT!C9</f>
        <v>TARDE</v>
      </c>
      <c r="D10" s="399">
        <f>+SHAREPOINT!D9</f>
        <v>0.52777777777777779</v>
      </c>
      <c r="E10" s="399">
        <f>+SHAREPOINT!E9</f>
        <v>0.54861111111111116</v>
      </c>
      <c r="F10" s="390">
        <f t="shared" si="0"/>
        <v>2.083333333333337E-2</v>
      </c>
      <c r="G10" s="87" t="str">
        <f>IF(ISBLANK(SHAREPOINT!A9),"",SHAREPOINT!F9)</f>
        <v>CALDERO, CHRILLER Y COMPRESOR</v>
      </c>
      <c r="H10" s="391"/>
      <c r="I10" s="386" t="str">
        <f>IF(ISBLANK(SHAREPOINT!A9),"",SHAREPOINT!G9)</f>
        <v xml:space="preserve">Se realiza inspección de parámetros </v>
      </c>
      <c r="J10" s="386" t="str">
        <f>IF(ISBLANK(SHAREPOINT!H9),"",SHAREPOINT!H9)</f>
        <v/>
      </c>
    </row>
    <row r="11" spans="1:10">
      <c r="A11" s="398">
        <f>IF(ISBLANK(SHAREPOINT!A10),"",DATE(YEAR(SHAREPOINT!I10),MONTH(SHAREPOINT!I10),DAY(SHAREPOINT!I10)))</f>
        <v>46204</v>
      </c>
      <c r="B11" s="87" t="str">
        <f>IF(ISBLANK(SHAREPOINT!A10),"",SHAREPOINT!B10)</f>
        <v>CARLOS PUMA</v>
      </c>
      <c r="C11" s="399" t="str">
        <f>+SHAREPOINT!C10</f>
        <v>TARDE</v>
      </c>
      <c r="D11" s="399">
        <f>+SHAREPOINT!D10</f>
        <v>0.79861111111111116</v>
      </c>
      <c r="E11" s="399">
        <f>+SHAREPOINT!E10</f>
        <v>0.85416666666666663</v>
      </c>
      <c r="F11" s="390">
        <f t="shared" si="0"/>
        <v>5.5555555555555469E-2</v>
      </c>
      <c r="G11" s="87" t="str">
        <f>IF(ISBLANK(SHAREPOINT!A10),"",SHAREPOINT!F10)</f>
        <v>EMP. SACMI</v>
      </c>
      <c r="H11" s="391"/>
      <c r="I11" s="386" t="str">
        <f>IF(ISBLANK(SHAREPOINT!A10),"",SHAREPOINT!G10)</f>
        <v>Se preparo y apoyó en el inicio de linea automática hacos 2 - sacmi</v>
      </c>
      <c r="J11" s="386" t="str">
        <f>IF(ISBLANK(SHAREPOINT!H10),"",SHAREPOINT!H10)</f>
        <v/>
      </c>
    </row>
    <row r="12" spans="1:10">
      <c r="A12" s="398">
        <f>IF(ISBLANK(SHAREPOINT!A11),"",DATE(YEAR(SHAREPOINT!I11),MONTH(SHAREPOINT!I11),DAY(SHAREPOINT!I11)))</f>
        <v>46204</v>
      </c>
      <c r="B12" s="87" t="str">
        <f>IF(ISBLANK(SHAREPOINT!A11),"",SHAREPOINT!B11)</f>
        <v>JOSÉ HAÑARI</v>
      </c>
      <c r="C12" s="399" t="str">
        <f>+SHAREPOINT!C11</f>
        <v>TARDE</v>
      </c>
      <c r="D12" s="399">
        <f>+SHAREPOINT!D11</f>
        <v>0.55555555555555558</v>
      </c>
      <c r="E12" s="399">
        <f>+SHAREPOINT!E11</f>
        <v>0.59861111111111109</v>
      </c>
      <c r="F12" s="390">
        <f t="shared" si="0"/>
        <v>4.3055555555555514E-2</v>
      </c>
      <c r="G12" s="87" t="str">
        <f>IF(ISBLANK(SHAREPOINT!A11),"",SHAREPOINT!F11)</f>
        <v>BARQUILLERA FRANZ HAAZ</v>
      </c>
      <c r="H12" s="391"/>
      <c r="I12" s="386" t="str">
        <f>IF(ISBLANK(SHAREPOINT!A11),"",SHAREPOINT!G11)</f>
        <v xml:space="preserve">Se realiza el desarmado de accesorios de la barquillera para limpieza </v>
      </c>
      <c r="J12" s="386" t="str">
        <f>IF(ISBLANK(SHAREPOINT!H11),"",SHAREPOINT!H11)</f>
        <v/>
      </c>
    </row>
    <row r="13" spans="1:10">
      <c r="A13" s="398">
        <f>IF(ISBLANK(SHAREPOINT!A12),"",DATE(YEAR(SHAREPOINT!I12),MONTH(SHAREPOINT!I12),DAY(SHAREPOINT!I12)))</f>
        <v>46204</v>
      </c>
      <c r="B13" s="87" t="str">
        <f>IF(ISBLANK(SHAREPOINT!A12),"",SHAREPOINT!B12)</f>
        <v>JOSÉ HAÑARI</v>
      </c>
      <c r="C13" s="399" t="str">
        <f>+SHAREPOINT!C12</f>
        <v>TARDE</v>
      </c>
      <c r="D13" s="399">
        <f>+SHAREPOINT!D12</f>
        <v>0.63541666666666663</v>
      </c>
      <c r="E13" s="399">
        <f>+SHAREPOINT!E12</f>
        <v>0.65694444444444444</v>
      </c>
      <c r="F13" s="390">
        <f t="shared" si="0"/>
        <v>2.1527777777777812E-2</v>
      </c>
      <c r="G13" s="87" t="str">
        <f>IF(ISBLANK(SHAREPOINT!A12),"",SHAREPOINT!F12)</f>
        <v>BAÑADORA DE CHOCOLATE 3</v>
      </c>
      <c r="H13" s="391"/>
      <c r="I13" s="386" t="str">
        <f>IF(ISBLANK(SHAREPOINT!A12),"",SHAREPOINT!G12)</f>
        <v xml:space="preserve">Falta acolple </v>
      </c>
      <c r="J13" s="386" t="str">
        <f>IF(ISBLANK(SHAREPOINT!H12),"",SHAREPOINT!H12)</f>
        <v xml:space="preserve">Se realiza la entrega de acople y ajuste de faja de bañadora </v>
      </c>
    </row>
    <row r="14" spans="1:10">
      <c r="A14" s="398">
        <f>IF(ISBLANK(SHAREPOINT!A13),"",DATE(YEAR(SHAREPOINT!I13),MONTH(SHAREPOINT!I13),DAY(SHAREPOINT!I13)))</f>
        <v>46204</v>
      </c>
      <c r="B14" s="87" t="str">
        <f>IF(ISBLANK(SHAREPOINT!A13),"",SHAREPOINT!B13)</f>
        <v>JOSÉ HAÑARI</v>
      </c>
      <c r="C14" s="399" t="str">
        <f>+SHAREPOINT!C13</f>
        <v>TARDE</v>
      </c>
      <c r="D14" s="399">
        <f>+SHAREPOINT!D13</f>
        <v>0.66666666666666663</v>
      </c>
      <c r="E14" s="399">
        <f>+SHAREPOINT!E13</f>
        <v>0.6875</v>
      </c>
      <c r="F14" s="390">
        <f t="shared" si="0"/>
        <v>2.083333333333337E-2</v>
      </c>
      <c r="G14" s="87" t="str">
        <f>IF(ISBLANK(SHAREPOINT!A13),"",SHAREPOINT!F13)</f>
        <v>LINEA AUTOMATICA HACOS 1</v>
      </c>
      <c r="H14" s="391"/>
      <c r="I14" s="386" t="str">
        <f>IF(ISBLANK(SHAREPOINT!A13),"",SHAREPOINT!G13)</f>
        <v xml:space="preserve">Falta agua en temperadora </v>
      </c>
      <c r="J14" s="386" t="str">
        <f>IF(ISBLANK(SHAREPOINT!H13),"",SHAREPOINT!H13)</f>
        <v xml:space="preserve">Se realiza el llenado de agua en tanques de temperadora </v>
      </c>
    </row>
    <row r="15" spans="1:10">
      <c r="A15" s="398">
        <f>IF(ISBLANK(SHAREPOINT!A14),"",DATE(YEAR(SHAREPOINT!I14),MONTH(SHAREPOINT!I14),DAY(SHAREPOINT!I14)))</f>
        <v>46204</v>
      </c>
      <c r="B15" s="87" t="str">
        <f>IF(ISBLANK(SHAREPOINT!A14),"",SHAREPOINT!B14)</f>
        <v>JOSÉ HAÑARI</v>
      </c>
      <c r="C15" s="399" t="str">
        <f>+SHAREPOINT!C14</f>
        <v>TARDE</v>
      </c>
      <c r="D15" s="399">
        <f>+SHAREPOINT!D14</f>
        <v>0.69791666666666663</v>
      </c>
      <c r="E15" s="399">
        <f>+SHAREPOINT!E14</f>
        <v>0.73263888888888884</v>
      </c>
      <c r="F15" s="390">
        <f t="shared" si="0"/>
        <v>3.472222222222221E-2</v>
      </c>
      <c r="G15" s="87" t="str">
        <f>IF(ISBLANK(SHAREPOINT!A14),"",SHAREPOINT!F14)</f>
        <v>EMP. SACMI</v>
      </c>
      <c r="H15" s="391"/>
      <c r="I15" s="386" t="str">
        <f>IF(ISBLANK(SHAREPOINT!A14),"",SHAREPOINT!G14)</f>
        <v xml:space="preserve">Se arma sacmi </v>
      </c>
      <c r="J15" s="386" t="str">
        <f>IF(ISBLANK(SHAREPOINT!H14),"",SHAREPOINT!H14)</f>
        <v/>
      </c>
    </row>
    <row r="16" spans="1:10">
      <c r="A16" s="398">
        <f>IF(ISBLANK(SHAREPOINT!A15),"",DATE(YEAR(SHAREPOINT!I15),MONTH(SHAREPOINT!I15),DAY(SHAREPOINT!I15)))</f>
        <v>46204</v>
      </c>
      <c r="B16" s="87" t="str">
        <f>IF(ISBLANK(SHAREPOINT!A15),"",SHAREPOINT!B15)</f>
        <v>JOSÉ HAÑARI</v>
      </c>
      <c r="C16" s="399" t="str">
        <f>+SHAREPOINT!C15</f>
        <v>TARDE</v>
      </c>
      <c r="D16" s="399">
        <f>+SHAREPOINT!D15</f>
        <v>0.79166666666666663</v>
      </c>
      <c r="E16" s="399">
        <f>+SHAREPOINT!E15</f>
        <v>0.8125</v>
      </c>
      <c r="F16" s="390">
        <f t="shared" si="0"/>
        <v>2.083333333333337E-2</v>
      </c>
      <c r="G16" s="87" t="str">
        <f>IF(ISBLANK(SHAREPOINT!A15),"",SHAREPOINT!F15)</f>
        <v>TALLER DE MANTENIMIENTO</v>
      </c>
      <c r="H16" s="391"/>
      <c r="I16" s="386" t="str">
        <f>IF(ISBLANK(SHAREPOINT!A15),"",SHAREPOINT!G15)</f>
        <v xml:space="preserve">Se realiza la inspección de equipos entregados </v>
      </c>
      <c r="J16" s="386" t="str">
        <f>IF(ISBLANK(SHAREPOINT!H15),"",SHAREPOINT!H15)</f>
        <v/>
      </c>
    </row>
    <row r="17" spans="1:10">
      <c r="A17" s="398">
        <f>IF(ISBLANK(SHAREPOINT!A16),"",DATE(YEAR(SHAREPOINT!I16),MONTH(SHAREPOINT!I16),DAY(SHAREPOINT!I16)))</f>
        <v>46204</v>
      </c>
      <c r="B17" s="87" t="str">
        <f>IF(ISBLANK(SHAREPOINT!A16),"",SHAREPOINT!B16)</f>
        <v>JOSÉ HAÑARI</v>
      </c>
      <c r="C17" s="399" t="str">
        <f>+SHAREPOINT!C16</f>
        <v>TARDE</v>
      </c>
      <c r="D17" s="399">
        <f>+SHAREPOINT!D16</f>
        <v>0.79166666666666663</v>
      </c>
      <c r="E17" s="399">
        <f>+SHAREPOINT!E16</f>
        <v>0.83333333333333337</v>
      </c>
      <c r="F17" s="390">
        <f t="shared" si="0"/>
        <v>4.1666666666666741E-2</v>
      </c>
      <c r="G17" s="87" t="str">
        <f>IF(ISBLANK(SHAREPOINT!A16),"",SHAREPOINT!F16)</f>
        <v>FORRADORA MINIFLEX</v>
      </c>
      <c r="H17" s="391"/>
      <c r="I17" s="386" t="str">
        <f>IF(ISBLANK(SHAREPOINT!A16),"",SHAREPOINT!G16)</f>
        <v xml:space="preserve">Accesorio doblado en sensores </v>
      </c>
      <c r="J17" s="386" t="str">
        <f>IF(ISBLANK(SHAREPOINT!H16),"",SHAREPOINT!H16)</f>
        <v xml:space="preserve">Se realiza rectificacion correspondiente </v>
      </c>
    </row>
    <row r="18" spans="1:10">
      <c r="A18" s="398">
        <f>IF(ISBLANK(SHAREPOINT!A17),"",DATE(YEAR(SHAREPOINT!I17),MONTH(SHAREPOINT!I17),DAY(SHAREPOINT!I17)))</f>
        <v>46205</v>
      </c>
      <c r="B18" s="87" t="str">
        <f>IF(ISBLANK(SHAREPOINT!A17),"",SHAREPOINT!B17)</f>
        <v>CARLOS TAPIA</v>
      </c>
      <c r="C18" s="399" t="str">
        <f>+SHAREPOINT!C17</f>
        <v>MAÑANA</v>
      </c>
      <c r="D18" s="399" t="str">
        <f>+SHAREPOINT!D17</f>
        <v>06:00</v>
      </c>
      <c r="E18" s="399" t="str">
        <f>+SHAREPOINT!E17</f>
        <v>06:15</v>
      </c>
      <c r="F18" s="390">
        <f t="shared" si="0"/>
        <v>1.0416666666666685E-2</v>
      </c>
      <c r="G18" s="87" t="str">
        <f>IF(ISBLANK(SHAREPOINT!A17),"",SHAREPOINT!F17)</f>
        <v>TOSTADOR PETRONCINI NUEVO</v>
      </c>
      <c r="H18" s="391"/>
      <c r="I18" s="386" t="str">
        <f>IF(ISBLANK(SHAREPOINT!A17),"",SHAREPOINT!G17)</f>
        <v>Apoyo en máquina.</v>
      </c>
      <c r="J18" s="386" t="str">
        <f>IF(ISBLANK(SHAREPOINT!H17),"",SHAREPOINT!H17)</f>
        <v>Se retiró guarda para la limpieza de polines. En zona de carga.</v>
      </c>
    </row>
    <row r="19" spans="1:10">
      <c r="A19" s="398">
        <f>IF(ISBLANK(SHAREPOINT!A18),"",DATE(YEAR(SHAREPOINT!I18),MONTH(SHAREPOINT!I18),DAY(SHAREPOINT!I18)))</f>
        <v>46205</v>
      </c>
      <c r="B19" s="87" t="str">
        <f>IF(ISBLANK(SHAREPOINT!A18),"",SHAREPOINT!B18)</f>
        <v>CARLOS TAPIA</v>
      </c>
      <c r="C19" s="399" t="str">
        <f>+SHAREPOINT!C18</f>
        <v>MAÑANA</v>
      </c>
      <c r="D19" s="399" t="str">
        <f>+SHAREPOINT!D18</f>
        <v>07:15</v>
      </c>
      <c r="E19" s="399" t="str">
        <f>+SHAREPOINT!E18</f>
        <v>07:45</v>
      </c>
      <c r="F19" s="390">
        <f t="shared" si="0"/>
        <v>2.083333333333337E-2</v>
      </c>
      <c r="G19" s="87" t="str">
        <f>IF(ISBLANK(SHAREPOINT!A18),"",SHAREPOINT!F18)</f>
        <v>LINEA AUTOMATICA HACOS 1</v>
      </c>
      <c r="H19" s="391"/>
      <c r="I19" s="386" t="str">
        <f>IF(ISBLANK(SHAREPOINT!A18),"",SHAREPOINT!G18)</f>
        <v xml:space="preserve">Inspección de máquina en funcionamiento </v>
      </c>
      <c r="J19" s="386" t="str">
        <f>IF(ISBLANK(SHAREPOINT!H18),"",SHAREPOINT!H18)</f>
        <v xml:space="preserve">Se dió seguimiento al funcionamiento de máquina con carga </v>
      </c>
    </row>
    <row r="20" spans="1:10">
      <c r="A20" s="398">
        <f>IF(ISBLANK(SHAREPOINT!A19),"",DATE(YEAR(SHAREPOINT!I19),MONTH(SHAREPOINT!I19),DAY(SHAREPOINT!I19)))</f>
        <v>46205</v>
      </c>
      <c r="B20" s="87" t="str">
        <f>IF(ISBLANK(SHAREPOINT!A19),"",SHAREPOINT!B19)</f>
        <v>CARLOS TAPIA</v>
      </c>
      <c r="C20" s="399" t="str">
        <f>+SHAREPOINT!C19</f>
        <v>MAÑANA</v>
      </c>
      <c r="D20" s="399" t="str">
        <f>+SHAREPOINT!D19</f>
        <v>08:00</v>
      </c>
      <c r="E20" s="399" t="str">
        <f>+SHAREPOINT!E19</f>
        <v>09:00</v>
      </c>
      <c r="F20" s="390">
        <f t="shared" si="0"/>
        <v>4.1666666666666685E-2</v>
      </c>
      <c r="G20" s="87" t="str">
        <f>IF(ISBLANK(SHAREPOINT!A19),"",SHAREPOINT!F19)</f>
        <v>ENVASADORA TEPACK</v>
      </c>
      <c r="H20" s="391"/>
      <c r="I20" s="386" t="str">
        <f>IF(ISBLANK(SHAREPOINT!A19),"",SHAREPOINT!G19)</f>
        <v>Cuchilla no corta el laminado.</v>
      </c>
      <c r="J20" s="386" t="str">
        <f>IF(ISBLANK(SHAREPOINT!H19),"",SHAREPOINT!H19)</f>
        <v>Se encontró cuchilla suelta y sucia. Se retiró cuchilla para su limpieza y se colocó en posición correcta.</v>
      </c>
    </row>
    <row r="21" spans="1:10">
      <c r="A21" s="398">
        <f>IF(ISBLANK(SHAREPOINT!A20),"",DATE(YEAR(SHAREPOINT!I20),MONTH(SHAREPOINT!I20),DAY(SHAREPOINT!I20)))</f>
        <v>46205</v>
      </c>
      <c r="B21" s="87" t="str">
        <f>IF(ISBLANK(SHAREPOINT!A20),"",SHAREPOINT!B20)</f>
        <v>CARLOS TAPIA</v>
      </c>
      <c r="C21" s="399" t="str">
        <f>+SHAREPOINT!C20</f>
        <v>MAÑANA</v>
      </c>
      <c r="D21" s="399" t="str">
        <f>+SHAREPOINT!D20</f>
        <v>10:00</v>
      </c>
      <c r="E21" s="399" t="str">
        <f>+SHAREPOINT!E20</f>
        <v>10:45</v>
      </c>
      <c r="F21" s="390">
        <f t="shared" si="0"/>
        <v>3.125E-2</v>
      </c>
      <c r="G21" s="87" t="str">
        <f>IF(ISBLANK(SHAREPOINT!A20),"",SHAREPOINT!F20)</f>
        <v>COMEDOR</v>
      </c>
      <c r="H21" s="391"/>
      <c r="I21" s="386" t="str">
        <f>IF(ISBLANK(SHAREPOINT!A20),"",SHAREPOINT!G20)</f>
        <v>Receso</v>
      </c>
      <c r="J21" s="386" t="str">
        <f>IF(ISBLANK(SHAREPOINT!H20),"",SHAREPOINT!H20)</f>
        <v>Receso</v>
      </c>
    </row>
    <row r="22" spans="1:10">
      <c r="A22" s="398">
        <f>IF(ISBLANK(SHAREPOINT!A21),"",DATE(YEAR(SHAREPOINT!I21),MONTH(SHAREPOINT!I21),DAY(SHAREPOINT!I21)))</f>
        <v>46205</v>
      </c>
      <c r="B22" s="87" t="str">
        <f>IF(ISBLANK(SHAREPOINT!A21),"",SHAREPOINT!B21)</f>
        <v>CARLOS TAPIA</v>
      </c>
      <c r="C22" s="399" t="str">
        <f>+SHAREPOINT!C21</f>
        <v>MAÑANA</v>
      </c>
      <c r="D22" s="399" t="str">
        <f>+SHAREPOINT!D21</f>
        <v>11:00</v>
      </c>
      <c r="E22" s="399" t="str">
        <f>+SHAREPOINT!E21</f>
        <v>13:00</v>
      </c>
      <c r="F22" s="390">
        <f t="shared" si="0"/>
        <v>8.3333333333333315E-2</v>
      </c>
      <c r="G22" s="87" t="str">
        <f>IF(ISBLANK(SHAREPOINT!A21),"",SHAREPOINT!F21)</f>
        <v>ENVASADORA TEPACK</v>
      </c>
      <c r="H22" s="391"/>
      <c r="I22" s="386" t="str">
        <f>IF(ISBLANK(SHAREPOINT!A21),"",SHAREPOINT!G21)</f>
        <v>Apoyo en máquina. No logran calibrar el sellado, el plegado se abre y se mueve.</v>
      </c>
      <c r="J22" s="386" t="str">
        <f>IF(ISBLANK(SHAREPOINT!H21),"",SHAREPOINT!H21)</f>
        <v xml:space="preserve">Se revisó y se ajusto banda de arrastre. Se alineó sellador y plegadores. Se realizó pruebas y se dejó máquina operativa </v>
      </c>
    </row>
    <row r="23" spans="1:10">
      <c r="A23" s="398">
        <f>IF(ISBLANK(SHAREPOINT!A22),"",DATE(YEAR(SHAREPOINT!I22),MONTH(SHAREPOINT!I22),DAY(SHAREPOINT!I22)))</f>
        <v>46205</v>
      </c>
      <c r="B23" s="87" t="str">
        <f>IF(ISBLANK(SHAREPOINT!A22),"",SHAREPOINT!B22)</f>
        <v>CARLOS TAPIA</v>
      </c>
      <c r="C23" s="399" t="str">
        <f>+SHAREPOINT!C22</f>
        <v>MAÑANA</v>
      </c>
      <c r="D23" s="399" t="str">
        <f>+SHAREPOINT!D22</f>
        <v>13:45</v>
      </c>
      <c r="E23" s="399" t="str">
        <f>+SHAREPOINT!E22</f>
        <v>14:00</v>
      </c>
      <c r="F23" s="390">
        <f t="shared" si="0"/>
        <v>1.0416666666666741E-2</v>
      </c>
      <c r="G23" s="87" t="str">
        <f>IF(ISBLANK(SHAREPOINT!A22),"",SHAREPOINT!F22)</f>
        <v>LINEA AUTOMATICA HACOS 1</v>
      </c>
      <c r="H23" s="391"/>
      <c r="I23" s="386" t="str">
        <f>IF(ISBLANK(SHAREPOINT!A22),"",SHAREPOINT!G22)</f>
        <v>Apoyo en tanque de chocolate.</v>
      </c>
      <c r="J23" s="386" t="str">
        <f>IF(ISBLANK(SHAREPOINT!H22),"",SHAREPOINT!H22)</f>
        <v>Se revisó tanque de chocolate, se coordino la limpieza del mismo</v>
      </c>
    </row>
    <row r="24" spans="1:10">
      <c r="A24" s="398">
        <f>IF(ISBLANK(SHAREPOINT!A23),"",DATE(YEAR(SHAREPOINT!I23),MONTH(SHAREPOINT!I23),DAY(SHAREPOINT!I23)))</f>
        <v>46205</v>
      </c>
      <c r="B24" s="87" t="str">
        <f>IF(ISBLANK(SHAREPOINT!A23),"",SHAREPOINT!B23)</f>
        <v>OMAR NINA</v>
      </c>
      <c r="C24" s="399" t="str">
        <f>+SHAREPOINT!C23</f>
        <v>NOCHE</v>
      </c>
      <c r="D24" s="399" t="str">
        <f>+SHAREPOINT!D23</f>
        <v>21:31</v>
      </c>
      <c r="E24" s="399" t="str">
        <f>+SHAREPOINT!E23</f>
        <v>21:42</v>
      </c>
      <c r="F24" s="390">
        <f t="shared" si="0"/>
        <v>7.6388888888888618E-3</v>
      </c>
      <c r="G24" s="87" t="str">
        <f>IF(ISBLANK(SHAREPOINT!A23),"",SHAREPOINT!F23)</f>
        <v>TOSTADOR PETRONCINI NUEVO</v>
      </c>
      <c r="H24" s="391"/>
      <c r="I24" s="386" t="str">
        <f>IF(ISBLANK(SHAREPOINT!A23),"",SHAREPOINT!G23)</f>
        <v xml:space="preserve">No permite iniciar máquina </v>
      </c>
      <c r="J24" s="386" t="str">
        <f>IF(ISBLANK(SHAREPOINT!H23),"",SHAREPOINT!H23)</f>
        <v xml:space="preserve">Verificación de sensores. </v>
      </c>
    </row>
    <row r="25" spans="1:10">
      <c r="A25" s="398">
        <f>IF(ISBLANK(SHAREPOINT!A24),"",DATE(YEAR(SHAREPOINT!I24),MONTH(SHAREPOINT!I24),DAY(SHAREPOINT!I24)))</f>
        <v>46205</v>
      </c>
      <c r="B25" s="87" t="str">
        <f>IF(ISBLANK(SHAREPOINT!A24),"",SHAREPOINT!B24)</f>
        <v>OMAR NINA</v>
      </c>
      <c r="C25" s="399" t="str">
        <f>+SHAREPOINT!C24</f>
        <v>NOCHE</v>
      </c>
      <c r="D25" s="399" t="str">
        <f>+SHAREPOINT!D24</f>
        <v>21:51</v>
      </c>
      <c r="E25" s="399" t="str">
        <f>+SHAREPOINT!E24</f>
        <v>22:12</v>
      </c>
      <c r="F25" s="390">
        <f t="shared" si="0"/>
        <v>1.4583333333333393E-2</v>
      </c>
      <c r="G25" s="87" t="str">
        <f>IF(ISBLANK(SHAREPOINT!A24),"",SHAREPOINT!F24)</f>
        <v>MEZCLADORA DE DOBLE EJE SSHS40</v>
      </c>
      <c r="H25" s="391"/>
      <c r="I25" s="386" t="str">
        <f>IF(ISBLANK(SHAREPOINT!A24),"",SHAREPOINT!G24)</f>
        <v xml:space="preserve">Lubricación </v>
      </c>
      <c r="J25" s="386" t="str">
        <f>IF(ISBLANK(SHAREPOINT!H24),"",SHAREPOINT!H24)</f>
        <v/>
      </c>
    </row>
    <row r="26" spans="1:10">
      <c r="A26" s="398">
        <f>IF(ISBLANK(SHAREPOINT!A25),"",DATE(YEAR(SHAREPOINT!I25),MONTH(SHAREPOINT!I25),DAY(SHAREPOINT!I25)))</f>
        <v>46205</v>
      </c>
      <c r="B26" s="87" t="str">
        <f>IF(ISBLANK(SHAREPOINT!A25),"",SHAREPOINT!B25)</f>
        <v>OMAR NINA</v>
      </c>
      <c r="C26" s="399" t="str">
        <f>+SHAREPOINT!C25</f>
        <v>NOCHE</v>
      </c>
      <c r="D26" s="399" t="str">
        <f>+SHAREPOINT!D25</f>
        <v>22:16</v>
      </c>
      <c r="E26" s="399" t="str">
        <f>+SHAREPOINT!E25</f>
        <v>22:25</v>
      </c>
      <c r="F26" s="390">
        <f t="shared" si="0"/>
        <v>6.2499999999999778E-3</v>
      </c>
      <c r="G26" s="87" t="str">
        <f>IF(ISBLANK(SHAREPOINT!A25),"",SHAREPOINT!F25)</f>
        <v>EMP. 2 - CARLE MONTANARY</v>
      </c>
      <c r="H26" s="391"/>
      <c r="I26" s="386" t="str">
        <f>IF(ISBLANK(SHAREPOINT!A25),"",SHAREPOINT!G25)</f>
        <v xml:space="preserve">Calibración de tirante de cuchilla para formato mazapán </v>
      </c>
      <c r="J26" s="386" t="str">
        <f>IF(ISBLANK(SHAREPOINT!H25),"",SHAREPOINT!H25)</f>
        <v/>
      </c>
    </row>
    <row r="27" spans="1:10">
      <c r="A27" s="398">
        <f>IF(ISBLANK(SHAREPOINT!A26),"",DATE(YEAR(SHAREPOINT!I26),MONTH(SHAREPOINT!I26),DAY(SHAREPOINT!I26)))</f>
        <v>46205</v>
      </c>
      <c r="B27" s="87" t="str">
        <f>IF(ISBLANK(SHAREPOINT!A26),"",SHAREPOINT!B26)</f>
        <v>OMAR NINA</v>
      </c>
      <c r="C27" s="399" t="str">
        <f>+SHAREPOINT!C26</f>
        <v>NOCHE</v>
      </c>
      <c r="D27" s="399" t="str">
        <f>+SHAREPOINT!D26</f>
        <v>22:30</v>
      </c>
      <c r="E27" s="399" t="str">
        <f>+SHAREPOINT!E26</f>
        <v>23:10</v>
      </c>
      <c r="F27" s="390">
        <f t="shared" si="0"/>
        <v>2.777777777777779E-2</v>
      </c>
      <c r="G27" s="87" t="str">
        <f>IF(ISBLANK(SHAREPOINT!A26),"",SHAREPOINT!F26)</f>
        <v>EMP. NAPOLITANA</v>
      </c>
      <c r="H27" s="391"/>
      <c r="I27" s="386" t="str">
        <f>IF(ISBLANK(SHAREPOINT!A26),"",SHAREPOINT!G26)</f>
        <v>Sonido extraño, papel aluminio sale demasiado largo, solo sale un punto de goma y etiquetas desalineadas</v>
      </c>
      <c r="J27" s="386" t="str">
        <f>IF(ISBLANK(SHAREPOINT!H26),"",SHAREPOINT!H26)</f>
        <v xml:space="preserve">Lubricación y calibración de equipo </v>
      </c>
    </row>
    <row r="28" spans="1:10">
      <c r="A28" s="398">
        <f>IF(ISBLANK(SHAREPOINT!A27),"",DATE(YEAR(SHAREPOINT!I27),MONTH(SHAREPOINT!I27),DAY(SHAREPOINT!I27)))</f>
        <v>46205</v>
      </c>
      <c r="B28" s="87" t="str">
        <f>IF(ISBLANK(SHAREPOINT!A27),"",SHAREPOINT!B27)</f>
        <v>OMAR NINA</v>
      </c>
      <c r="C28" s="399" t="str">
        <f>+SHAREPOINT!C27</f>
        <v>NOCHE</v>
      </c>
      <c r="D28" s="399" t="str">
        <f>+SHAREPOINT!D27</f>
        <v>23:25</v>
      </c>
      <c r="E28" s="399" t="str">
        <f>+SHAREPOINT!E27</f>
        <v>23:59</v>
      </c>
      <c r="F28" s="390">
        <f t="shared" si="0"/>
        <v>2.3611111111111138E-2</v>
      </c>
      <c r="G28" s="87" t="str">
        <f>IF(ISBLANK(SHAREPOINT!A27),"",SHAREPOINT!F27)</f>
        <v>EMP. SAPAL</v>
      </c>
      <c r="H28" s="391"/>
      <c r="I28" s="386" t="str">
        <f>IF(ISBLANK(SHAREPOINT!A27),"",SHAREPOINT!G27)</f>
        <v xml:space="preserve">Producto se rompe en los selladores </v>
      </c>
      <c r="J28" s="386" t="str">
        <f>IF(ISBLANK(SHAREPOINT!H27),"",SHAREPOINT!H27)</f>
        <v>Calibración de selladores y medida 4</v>
      </c>
    </row>
    <row r="29" spans="1:10">
      <c r="A29" s="398">
        <f>IF(ISBLANK(SHAREPOINT!A28),"",DATE(YEAR(SHAREPOINT!I28),MONTH(SHAREPOINT!I28),DAY(SHAREPOINT!I28)))</f>
        <v>46205</v>
      </c>
      <c r="B29" s="87" t="str">
        <f>IF(ISBLANK(SHAREPOINT!A28),"",SHAREPOINT!B28)</f>
        <v>OMAR NINA</v>
      </c>
      <c r="C29" s="399" t="str">
        <f>+SHAREPOINT!C28</f>
        <v>NOCHE</v>
      </c>
      <c r="D29" s="399" t="str">
        <f>+SHAREPOINT!D28</f>
        <v>00:10</v>
      </c>
      <c r="E29" s="399" t="str">
        <f>+SHAREPOINT!E28</f>
        <v>00:35</v>
      </c>
      <c r="F29" s="390">
        <f t="shared" si="0"/>
        <v>1.7361111111111112E-2</v>
      </c>
      <c r="G29" s="87" t="str">
        <f>IF(ISBLANK(SHAREPOINT!A28),"",SHAREPOINT!F28)</f>
        <v>LINEA AUTOMATICA HACOS 1</v>
      </c>
      <c r="H29" s="391"/>
      <c r="I29" s="386" t="str">
        <f>IF(ISBLANK(SHAREPOINT!A28),"",SHAREPOINT!G28)</f>
        <v>Desarmado de MDS, formato dubai</v>
      </c>
      <c r="J29" s="386" t="str">
        <f>IF(ISBLANK(SHAREPOINT!H28),"",SHAREPOINT!H28)</f>
        <v/>
      </c>
    </row>
    <row r="30" spans="1:10">
      <c r="A30" s="398">
        <f>IF(ISBLANK(SHAREPOINT!A29),"",DATE(YEAR(SHAREPOINT!I29),MONTH(SHAREPOINT!I29),DAY(SHAREPOINT!I29)))</f>
        <v>46205</v>
      </c>
      <c r="B30" s="87" t="str">
        <f>IF(ISBLANK(SHAREPOINT!A29),"",SHAREPOINT!B29)</f>
        <v>OMAR NINA</v>
      </c>
      <c r="C30" s="399" t="str">
        <f>+SHAREPOINT!C29</f>
        <v>NOCHE</v>
      </c>
      <c r="D30" s="399" t="str">
        <f>+SHAREPOINT!D29</f>
        <v>00:40</v>
      </c>
      <c r="E30" s="399" t="str">
        <f>+SHAREPOINT!E29</f>
        <v>01:00</v>
      </c>
      <c r="F30" s="390">
        <f t="shared" si="0"/>
        <v>1.3888888888888888E-2</v>
      </c>
      <c r="G30" s="87" t="str">
        <f>IF(ISBLANK(SHAREPOINT!A29),"",SHAREPOINT!F29)</f>
        <v>EMP. SAPAL</v>
      </c>
      <c r="H30" s="391"/>
      <c r="I30" s="386" t="str">
        <f>IF(ISBLANK(SHAREPOINT!A29),"",SHAREPOINT!G29)</f>
        <v xml:space="preserve">Inspección de equipo </v>
      </c>
      <c r="J30" s="386" t="str">
        <f>IF(ISBLANK(SHAREPOINT!H29),"",SHAREPOINT!H29)</f>
        <v>Apoyo en calibración de puntos de goma</v>
      </c>
    </row>
    <row r="31" spans="1:10">
      <c r="A31" s="398">
        <f>IF(ISBLANK(SHAREPOINT!A30),"",DATE(YEAR(SHAREPOINT!I30),MONTH(SHAREPOINT!I30),DAY(SHAREPOINT!I30)))</f>
        <v>46205</v>
      </c>
      <c r="B31" s="87" t="str">
        <f>IF(ISBLANK(SHAREPOINT!A30),"",SHAREPOINT!B30)</f>
        <v>OMAR NINA</v>
      </c>
      <c r="C31" s="399" t="str">
        <f>+SHAREPOINT!C30</f>
        <v>NOCHE</v>
      </c>
      <c r="D31" s="399" t="str">
        <f>+SHAREPOINT!D30</f>
        <v>01:10</v>
      </c>
      <c r="E31" s="399" t="str">
        <f>+SHAREPOINT!E30</f>
        <v>01:45</v>
      </c>
      <c r="F31" s="390">
        <f t="shared" si="0"/>
        <v>2.4305555555555559E-2</v>
      </c>
      <c r="G31" s="87" t="str">
        <f>IF(ISBLANK(SHAREPOINT!A30),"",SHAREPOINT!F30)</f>
        <v>LINEA AUTOMATICA HACOS 1</v>
      </c>
      <c r="H31" s="391"/>
      <c r="I31" s="386" t="str">
        <f>IF(ISBLANK(SHAREPOINT!A30),"",SHAREPOINT!G30)</f>
        <v>Armado de mds para formato agregados x100</v>
      </c>
      <c r="J31" s="386" t="str">
        <f>IF(ISBLANK(SHAREPOINT!H30),"",SHAREPOINT!H30)</f>
        <v/>
      </c>
    </row>
    <row r="32" spans="1:10">
      <c r="A32" s="398">
        <f>IF(ISBLANK(SHAREPOINT!A31),"",DATE(YEAR(SHAREPOINT!I31),MONTH(SHAREPOINT!I31),DAY(SHAREPOINT!I31)))</f>
        <v>46205</v>
      </c>
      <c r="B32" s="87" t="str">
        <f>IF(ISBLANK(SHAREPOINT!A31),"",SHAREPOINT!B31)</f>
        <v>OMAR NINA</v>
      </c>
      <c r="C32" s="399" t="str">
        <f>+SHAREPOINT!C31</f>
        <v>NOCHE</v>
      </c>
      <c r="D32" s="399" t="str">
        <f>+SHAREPOINT!D31</f>
        <v>02:05</v>
      </c>
      <c r="E32" s="399" t="str">
        <f>+SHAREPOINT!E31</f>
        <v>02:26</v>
      </c>
      <c r="F32" s="390">
        <f t="shared" si="0"/>
        <v>1.4583333333333337E-2</v>
      </c>
      <c r="G32" s="87" t="str">
        <f>IF(ISBLANK(SHAREPOINT!A31),"",SHAREPOINT!F31)</f>
        <v>TOSTADOR PETRONCINI NUEVO</v>
      </c>
      <c r="H32" s="391"/>
      <c r="I32" s="386" t="str">
        <f>IF(ISBLANK(SHAREPOINT!A31),"",SHAREPOINT!G31)</f>
        <v xml:space="preserve">Inspección funcionamiento de equipo </v>
      </c>
      <c r="J32" s="386" t="str">
        <f>IF(ISBLANK(SHAREPOINT!H31),"",SHAREPOINT!H31)</f>
        <v/>
      </c>
    </row>
    <row r="33" spans="1:10">
      <c r="A33" s="398">
        <f>IF(ISBLANK(SHAREPOINT!A32),"",DATE(YEAR(SHAREPOINT!I32),MONTH(SHAREPOINT!I32),DAY(SHAREPOINT!I32)))</f>
        <v>46205</v>
      </c>
      <c r="B33" s="87" t="str">
        <f>IF(ISBLANK(SHAREPOINT!A32),"",SHAREPOINT!B32)</f>
        <v>OMAR NINA</v>
      </c>
      <c r="C33" s="399" t="str">
        <f>+SHAREPOINT!C32</f>
        <v>NOCHE</v>
      </c>
      <c r="D33" s="399" t="str">
        <f>+SHAREPOINT!D32</f>
        <v>02:30</v>
      </c>
      <c r="E33" s="399" t="str">
        <f>+SHAREPOINT!E32</f>
        <v>03:15</v>
      </c>
      <c r="F33" s="390">
        <f t="shared" si="0"/>
        <v>3.1249999999999986E-2</v>
      </c>
      <c r="G33" s="87" t="str">
        <f>IF(ISBLANK(SHAREPOINT!A32),"",SHAREPOINT!F32)</f>
        <v>COMEDOR</v>
      </c>
      <c r="H33" s="391"/>
      <c r="I33" s="386" t="str">
        <f>IF(ISBLANK(SHAREPOINT!A32),"",SHAREPOINT!G32)</f>
        <v>Receso</v>
      </c>
      <c r="J33" s="386" t="str">
        <f>IF(ISBLANK(SHAREPOINT!H32),"",SHAREPOINT!H32)</f>
        <v>Receso</v>
      </c>
    </row>
    <row r="34" spans="1:10">
      <c r="A34" s="398">
        <f>IF(ISBLANK(SHAREPOINT!A33),"",DATE(YEAR(SHAREPOINT!I33),MONTH(SHAREPOINT!I33),DAY(SHAREPOINT!I33)))</f>
        <v>46205</v>
      </c>
      <c r="B34" s="87" t="str">
        <f>IF(ISBLANK(SHAREPOINT!A33),"",SHAREPOINT!B33)</f>
        <v>OMAR NINA</v>
      </c>
      <c r="C34" s="399" t="str">
        <f>+SHAREPOINT!C33</f>
        <v>NOCHE</v>
      </c>
      <c r="D34" s="399" t="str">
        <f>+SHAREPOINT!D33</f>
        <v>03:40</v>
      </c>
      <c r="E34" s="399" t="str">
        <f>+SHAREPOINT!E33</f>
        <v>04:10</v>
      </c>
      <c r="F34" s="390">
        <f t="shared" si="0"/>
        <v>2.0833333333333315E-2</v>
      </c>
      <c r="G34" s="87" t="str">
        <f>IF(ISBLANK(SHAREPOINT!A33),"",SHAREPOINT!F33)</f>
        <v>LINEA AUTOMATICA HACOS 1</v>
      </c>
      <c r="H34" s="391"/>
      <c r="I34" s="386" t="str">
        <f>IF(ISBLANK(SHAREPOINT!A33),"",SHAREPOINT!G33)</f>
        <v xml:space="preserve">Inspección de equipo </v>
      </c>
      <c r="J34" s="386" t="str">
        <f>IF(ISBLANK(SHAREPOINT!H33),"",SHAREPOINT!H33)</f>
        <v/>
      </c>
    </row>
    <row r="35" spans="1:10">
      <c r="A35" s="398">
        <f>IF(ISBLANK(SHAREPOINT!A34),"",DATE(YEAR(SHAREPOINT!I34),MONTH(SHAREPOINT!I34),DAY(SHAREPOINT!I34)))</f>
        <v>46205</v>
      </c>
      <c r="B35" s="87" t="str">
        <f>IF(ISBLANK(SHAREPOINT!A34),"",SHAREPOINT!B34)</f>
        <v>CARLOS PUMA</v>
      </c>
      <c r="C35" s="399" t="str">
        <f>+SHAREPOINT!C34</f>
        <v>TARDE</v>
      </c>
      <c r="D35" s="399" t="str">
        <f>+SHAREPOINT!D34</f>
        <v>13:10</v>
      </c>
      <c r="E35" s="399" t="str">
        <f>+SHAREPOINT!E34</f>
        <v>14:00</v>
      </c>
      <c r="F35" s="390">
        <f t="shared" si="0"/>
        <v>3.472222222222221E-2</v>
      </c>
      <c r="G35" s="87" t="str">
        <f>IF(ISBLANK(SHAREPOINT!A34),"",SHAREPOINT!F34)</f>
        <v>PLANTA INDUSTRIAL</v>
      </c>
      <c r="H35" s="391"/>
      <c r="I35" s="386" t="str">
        <f>IF(ISBLANK(SHAREPOINT!A34),"",SHAREPOINT!G34)</f>
        <v>Inspección de equipos en uso</v>
      </c>
      <c r="J35" s="386" t="str">
        <f>IF(ISBLANK(SHAREPOINT!H34),"",SHAREPOINT!H34)</f>
        <v/>
      </c>
    </row>
    <row r="36" spans="1:10">
      <c r="A36" s="398">
        <f>IF(ISBLANK(SHAREPOINT!A35),"",DATE(YEAR(SHAREPOINT!I35),MONTH(SHAREPOINT!I35),DAY(SHAREPOINT!I35)))</f>
        <v>46205</v>
      </c>
      <c r="B36" s="87" t="str">
        <f>IF(ISBLANK(SHAREPOINT!A35),"",SHAREPOINT!B35)</f>
        <v>CARLOS PUMA</v>
      </c>
      <c r="C36" s="399" t="str">
        <f>+SHAREPOINT!C35</f>
        <v>TARDE</v>
      </c>
      <c r="D36" s="399" t="str">
        <f>+SHAREPOINT!D35</f>
        <v>14:05</v>
      </c>
      <c r="E36" s="399" t="str">
        <f>+SHAREPOINT!E35</f>
        <v>14:20</v>
      </c>
      <c r="F36" s="390">
        <f t="shared" si="0"/>
        <v>1.041666666666663E-2</v>
      </c>
      <c r="G36" s="87" t="str">
        <f>IF(ISBLANK(SHAREPOINT!A35),"",SHAREPOINT!F35)</f>
        <v>LINEA AUTOMATICA HACOS 1</v>
      </c>
      <c r="H36" s="391"/>
      <c r="I36" s="386" t="str">
        <f>IF(ISBLANK(SHAREPOINT!A35),"",SHAREPOINT!G35)</f>
        <v xml:space="preserve">Limpieza de tablero eléctrico de tanque de almacenamiento </v>
      </c>
      <c r="J36" s="386" t="str">
        <f>IF(ISBLANK(SHAREPOINT!H35),"",SHAREPOINT!H35)</f>
        <v/>
      </c>
    </row>
    <row r="37" spans="1:10">
      <c r="A37" s="398">
        <f>IF(ISBLANK(SHAREPOINT!A36),"",DATE(YEAR(SHAREPOINT!I36),MONTH(SHAREPOINT!I36),DAY(SHAREPOINT!I36)))</f>
        <v>46205</v>
      </c>
      <c r="B37" s="87" t="str">
        <f>IF(ISBLANK(SHAREPOINT!A36),"",SHAREPOINT!B36)</f>
        <v>CARLOS PUMA</v>
      </c>
      <c r="C37" s="399" t="str">
        <f>+SHAREPOINT!C36</f>
        <v>TARDE</v>
      </c>
      <c r="D37" s="399" t="str">
        <f>+SHAREPOINT!D36</f>
        <v>14:25</v>
      </c>
      <c r="E37" s="399" t="str">
        <f>+SHAREPOINT!E36</f>
        <v>14:50</v>
      </c>
      <c r="F37" s="390">
        <f t="shared" si="0"/>
        <v>1.736111111111116E-2</v>
      </c>
      <c r="G37" s="87" t="str">
        <f>IF(ISBLANK(SHAREPOINT!A36),"",SHAREPOINT!F36)</f>
        <v>FORRADORA MINIFLEX</v>
      </c>
      <c r="H37" s="391"/>
      <c r="I37" s="386" t="str">
        <f>IF(ISBLANK(SHAREPOINT!A36),"",SHAREPOINT!G36)</f>
        <v>No desbobina laminado</v>
      </c>
      <c r="J37" s="386" t="str">
        <f>IF(ISBLANK(SHAREPOINT!H36),"",SHAREPOINT!H36)</f>
        <v xml:space="preserve">Se regulo sensores de pedal y se realizó pruebas </v>
      </c>
    </row>
    <row r="38" spans="1:10">
      <c r="A38" s="398">
        <f>IF(ISBLANK(SHAREPOINT!A37),"",DATE(YEAR(SHAREPOINT!I37),MONTH(SHAREPOINT!I37),DAY(SHAREPOINT!I37)))</f>
        <v>46205</v>
      </c>
      <c r="B38" s="87" t="str">
        <f>IF(ISBLANK(SHAREPOINT!A37),"",SHAREPOINT!B37)</f>
        <v>CARLOS PUMA</v>
      </c>
      <c r="C38" s="399" t="str">
        <f>+SHAREPOINT!C37</f>
        <v>TARDE</v>
      </c>
      <c r="D38" s="399" t="str">
        <f>+SHAREPOINT!D37</f>
        <v>14:55</v>
      </c>
      <c r="E38" s="399" t="str">
        <f>+SHAREPOINT!E37</f>
        <v>15:15</v>
      </c>
      <c r="F38" s="390">
        <f t="shared" si="0"/>
        <v>1.388888888888884E-2</v>
      </c>
      <c r="G38" s="87" t="str">
        <f>IF(ISBLANK(SHAREPOINT!A37),"",SHAREPOINT!F37)</f>
        <v>LINEA AUTOMATICA HACOS 1</v>
      </c>
      <c r="H38" s="391"/>
      <c r="I38" s="386" t="str">
        <f>IF(ISBLANK(SHAREPOINT!A37),"",SHAREPOINT!G37)</f>
        <v xml:space="preserve">Desarme de samfill para limpieza </v>
      </c>
      <c r="J38" s="386" t="str">
        <f>IF(ISBLANK(SHAREPOINT!H37),"",SHAREPOINT!H37)</f>
        <v/>
      </c>
    </row>
    <row r="39" spans="1:10">
      <c r="A39" s="398">
        <f>IF(ISBLANK(SHAREPOINT!A38),"",DATE(YEAR(SHAREPOINT!I38),MONTH(SHAREPOINT!I38),DAY(SHAREPOINT!I38)))</f>
        <v>46205</v>
      </c>
      <c r="B39" s="87" t="str">
        <f>IF(ISBLANK(SHAREPOINT!A38),"",SHAREPOINT!B38)</f>
        <v>CARLOS PUMA</v>
      </c>
      <c r="C39" s="399" t="str">
        <f>+SHAREPOINT!C38</f>
        <v>TARDE</v>
      </c>
      <c r="D39" s="399" t="str">
        <f>+SHAREPOINT!D38</f>
        <v>16:30</v>
      </c>
      <c r="E39" s="399" t="str">
        <f>+SHAREPOINT!E38</f>
        <v>18:00</v>
      </c>
      <c r="F39" s="390">
        <f t="shared" si="0"/>
        <v>6.25E-2</v>
      </c>
      <c r="G39" s="87" t="str">
        <f>IF(ISBLANK(SHAREPOINT!A38),"",SHAREPOINT!F38)</f>
        <v>EMP. SAPAL</v>
      </c>
      <c r="H39" s="391"/>
      <c r="I39" s="386" t="str">
        <f>IF(ISBLANK(SHAREPOINT!A38),"",SHAREPOINT!G38)</f>
        <v xml:space="preserve">Goma no dosifica correctamente </v>
      </c>
      <c r="J39" s="386" t="str">
        <f>IF(ISBLANK(SHAREPOINT!H38),"",SHAREPOINT!H38)</f>
        <v>Se limpio boquilla, se purgó goma , se retiró parte de impurezas , se regulo pocision de dosificador y sensor , se apoyó regulando puntos de goma</v>
      </c>
    </row>
    <row r="40" spans="1:10">
      <c r="A40" s="398">
        <f>IF(ISBLANK(SHAREPOINT!A39),"",DATE(YEAR(SHAREPOINT!I39),MONTH(SHAREPOINT!I39),DAY(SHAREPOINT!I39)))</f>
        <v>46205</v>
      </c>
      <c r="B40" s="87" t="str">
        <f>IF(ISBLANK(SHAREPOINT!A39),"",SHAREPOINT!B39)</f>
        <v>CARLOS PUMA</v>
      </c>
      <c r="C40" s="399" t="str">
        <f>+SHAREPOINT!C39</f>
        <v>TARDE</v>
      </c>
      <c r="D40" s="399" t="str">
        <f>+SHAREPOINT!D39</f>
        <v>18:20</v>
      </c>
      <c r="E40" s="399" t="str">
        <f>+SHAREPOINT!E39</f>
        <v>18:40</v>
      </c>
      <c r="F40" s="390">
        <f t="shared" si="0"/>
        <v>1.3888888888888951E-2</v>
      </c>
      <c r="G40" s="87" t="str">
        <f>IF(ISBLANK(SHAREPOINT!A39),"",SHAREPOINT!F39)</f>
        <v>LINEA AUTOMATICA HACOS 1</v>
      </c>
      <c r="H40" s="391"/>
      <c r="I40" s="386" t="str">
        <f>IF(ISBLANK(SHAREPOINT!A39),"",SHAREPOINT!G39)</f>
        <v>Armado de samfill</v>
      </c>
      <c r="J40" s="386" t="str">
        <f>IF(ISBLANK(SHAREPOINT!H39),"",SHAREPOINT!H39)</f>
        <v/>
      </c>
    </row>
    <row r="41" spans="1:10">
      <c r="A41" s="398">
        <f>IF(ISBLANK(SHAREPOINT!A40),"",DATE(YEAR(SHAREPOINT!I40),MONTH(SHAREPOINT!I40),DAY(SHAREPOINT!I40)))</f>
        <v>46205</v>
      </c>
      <c r="B41" s="87" t="str">
        <f>IF(ISBLANK(SHAREPOINT!A40),"",SHAREPOINT!B40)</f>
        <v>CARLOS PUMA</v>
      </c>
      <c r="C41" s="399" t="str">
        <f>+SHAREPOINT!C40</f>
        <v>TARDE</v>
      </c>
      <c r="D41" s="399" t="str">
        <f>+SHAREPOINT!D40</f>
        <v>19:00</v>
      </c>
      <c r="E41" s="399" t="str">
        <f>+SHAREPOINT!E40</f>
        <v>20:00</v>
      </c>
      <c r="F41" s="390">
        <f t="shared" si="0"/>
        <v>4.1666666666666741E-2</v>
      </c>
      <c r="G41" s="87" t="str">
        <f>IF(ISBLANK(SHAREPOINT!A40),"",SHAREPOINT!F40)</f>
        <v>EMP. FLOWPACK 2</v>
      </c>
      <c r="H41" s="391"/>
      <c r="I41" s="386" t="str">
        <f>IF(ISBLANK(SHAREPOINT!A40),"",SHAREPOINT!G40)</f>
        <v xml:space="preserve">Cambio de formato flowpack 2 </v>
      </c>
      <c r="J41" s="386" t="str">
        <f>IF(ISBLANK(SHAREPOINT!H40),"",SHAREPOINT!H40)</f>
        <v>Se cambió formato de milky a bite size</v>
      </c>
    </row>
    <row r="42" spans="1:10">
      <c r="A42" s="398">
        <f>IF(ISBLANK(SHAREPOINT!A41),"",DATE(YEAR(SHAREPOINT!I41),MONTH(SHAREPOINT!I41),DAY(SHAREPOINT!I41)))</f>
        <v>46205</v>
      </c>
      <c r="B42" s="87" t="str">
        <f>IF(ISBLANK(SHAREPOINT!A41),"",SHAREPOINT!B41)</f>
        <v>CARLOS PUMA</v>
      </c>
      <c r="C42" s="399" t="str">
        <f>+SHAREPOINT!C41</f>
        <v>TARDE</v>
      </c>
      <c r="D42" s="399" t="str">
        <f>+SHAREPOINT!D41</f>
        <v>20:30</v>
      </c>
      <c r="E42" s="399" t="str">
        <f>+SHAREPOINT!E41</f>
        <v>20:45</v>
      </c>
      <c r="F42" s="390">
        <f t="shared" si="0"/>
        <v>1.0416666666666741E-2</v>
      </c>
      <c r="G42" s="87" t="str">
        <f>IF(ISBLANK(SHAREPOINT!A41),"",SHAREPOINT!F41)</f>
        <v>GRAGEADORA CRG-100X</v>
      </c>
      <c r="H42" s="391"/>
      <c r="I42" s="386" t="str">
        <f>IF(ISBLANK(SHAREPOINT!A41),"",SHAREPOINT!G41)</f>
        <v xml:space="preserve">Inspección de equipo de aire acondicionado </v>
      </c>
      <c r="J42" s="386" t="str">
        <f>IF(ISBLANK(SHAREPOINT!H41),"",SHAREPOINT!H41)</f>
        <v/>
      </c>
    </row>
    <row r="43" spans="1:10">
      <c r="A43" s="398">
        <f>IF(ISBLANK(SHAREPOINT!A42),"",DATE(YEAR(SHAREPOINT!I42),MONTH(SHAREPOINT!I42),DAY(SHAREPOINT!I42)))</f>
        <v>46205</v>
      </c>
      <c r="B43" s="87" t="str">
        <f>IF(ISBLANK(SHAREPOINT!A42),"",SHAREPOINT!B42)</f>
        <v>JOSÉ HAÑARI</v>
      </c>
      <c r="C43" s="399" t="str">
        <f>+SHAREPOINT!C42</f>
        <v>TARDE</v>
      </c>
      <c r="D43" s="399" t="str">
        <f>+SHAREPOINT!D42</f>
        <v>12:40</v>
      </c>
      <c r="E43" s="399" t="str">
        <f>+SHAREPOINT!E42</f>
        <v>13:00</v>
      </c>
      <c r="F43" s="390">
        <f t="shared" si="0"/>
        <v>1.388888888888884E-2</v>
      </c>
      <c r="G43" s="87" t="str">
        <f>IF(ISBLANK(SHAREPOINT!A42),"",SHAREPOINT!F42)</f>
        <v>CALDERO, CHRILLER Y COMPRESOR</v>
      </c>
      <c r="H43" s="391"/>
      <c r="I43" s="386" t="str">
        <f>IF(ISBLANK(SHAREPOINT!A42),"",SHAREPOINT!G42)</f>
        <v xml:space="preserve">Se realiza inspección de equipos y parámetros </v>
      </c>
      <c r="J43" s="386" t="str">
        <f>IF(ISBLANK(SHAREPOINT!H42),"",SHAREPOINT!H42)</f>
        <v/>
      </c>
    </row>
    <row r="44" spans="1:10">
      <c r="A44" s="398">
        <f>IF(ISBLANK(SHAREPOINT!A43),"",DATE(YEAR(SHAREPOINT!I43),MONTH(SHAREPOINT!I43),DAY(SHAREPOINT!I43)))</f>
        <v>46205</v>
      </c>
      <c r="B44" s="87" t="str">
        <f>IF(ISBLANK(SHAREPOINT!A43),"",SHAREPOINT!B43)</f>
        <v>JOSÉ HAÑARI</v>
      </c>
      <c r="C44" s="399" t="str">
        <f>+SHAREPOINT!C43</f>
        <v>TARDE</v>
      </c>
      <c r="D44" s="399">
        <f>+SHAREPOINT!D43</f>
        <v>0.54861111111111116</v>
      </c>
      <c r="E44" s="399">
        <f>+SHAREPOINT!E43</f>
        <v>0.5625</v>
      </c>
      <c r="F44" s="390">
        <f t="shared" si="0"/>
        <v>1.388888888888884E-2</v>
      </c>
      <c r="G44" s="87" t="str">
        <f>IF(ISBLANK(SHAREPOINT!A43),"",SHAREPOINT!F43)</f>
        <v>EMP. NAPOLITANA</v>
      </c>
      <c r="H44" s="391"/>
      <c r="I44" s="386" t="str">
        <f>IF(ISBLANK(SHAREPOINT!A43),"",SHAREPOINT!G43)</f>
        <v xml:space="preserve">Se arma napolitana para uso </v>
      </c>
      <c r="J44" s="386" t="str">
        <f>IF(ISBLANK(SHAREPOINT!H43),"",SHAREPOINT!H43)</f>
        <v/>
      </c>
    </row>
    <row r="45" spans="1:10">
      <c r="A45" s="398">
        <f>IF(ISBLANK(SHAREPOINT!A44),"",DATE(YEAR(SHAREPOINT!I44),MONTH(SHAREPOINT!I44),DAY(SHAREPOINT!I44)))</f>
        <v>46205</v>
      </c>
      <c r="B45" s="87" t="str">
        <f>IF(ISBLANK(SHAREPOINT!A44),"",SHAREPOINT!B44)</f>
        <v>JOSÉ HAÑARI</v>
      </c>
      <c r="C45" s="399" t="str">
        <f>+SHAREPOINT!C44</f>
        <v>TARDE</v>
      </c>
      <c r="D45" s="399">
        <f>+SHAREPOINT!D44</f>
        <v>0.56944444444444442</v>
      </c>
      <c r="E45" s="399">
        <f>+SHAREPOINT!E44</f>
        <v>0.59027777777777779</v>
      </c>
      <c r="F45" s="390">
        <f t="shared" si="0"/>
        <v>2.083333333333337E-2</v>
      </c>
      <c r="G45" s="87" t="str">
        <f>IF(ISBLANK(SHAREPOINT!A44),"",SHAREPOINT!F44)</f>
        <v>3ER PISO</v>
      </c>
      <c r="H45" s="391"/>
      <c r="I45" s="386" t="str">
        <f>IF(ISBLANK(SHAREPOINT!A44),"",SHAREPOINT!G44)</f>
        <v xml:space="preserve">Jujecion de cortadora lineal no sujeta </v>
      </c>
      <c r="J45" s="386" t="str">
        <f>IF(ISBLANK(SHAREPOINT!H44),"",SHAREPOINT!H44)</f>
        <v xml:space="preserve">Se fabrica accesorio y se deja en el tercer piso </v>
      </c>
    </row>
    <row r="46" spans="1:10">
      <c r="A46" s="398">
        <f>IF(ISBLANK(SHAREPOINT!A45),"",DATE(YEAR(SHAREPOINT!I45),MONTH(SHAREPOINT!I45),DAY(SHAREPOINT!I45)))</f>
        <v>46205</v>
      </c>
      <c r="B46" s="87" t="str">
        <f>IF(ISBLANK(SHAREPOINT!A45),"",SHAREPOINT!B45)</f>
        <v>JOSÉ HAÑARI</v>
      </c>
      <c r="C46" s="399" t="str">
        <f>+SHAREPOINT!C45</f>
        <v>TARDE</v>
      </c>
      <c r="D46" s="399">
        <f>+SHAREPOINT!D45</f>
        <v>0.59722222222222221</v>
      </c>
      <c r="E46" s="399">
        <f>+SHAREPOINT!E45</f>
        <v>0.625</v>
      </c>
      <c r="F46" s="390">
        <f t="shared" si="0"/>
        <v>2.777777777777779E-2</v>
      </c>
      <c r="G46" s="87" t="str">
        <f>IF(ISBLANK(SHAREPOINT!A45),"",SHAREPOINT!F45)</f>
        <v>EMP. SAPAL</v>
      </c>
      <c r="H46" s="391"/>
      <c r="I46" s="386" t="str">
        <f>IF(ISBLANK(SHAREPOINT!A45),"",SHAREPOINT!G45)</f>
        <v xml:space="preserve">Espuma de contra elevador dañado </v>
      </c>
      <c r="J46" s="386" t="str">
        <f>IF(ISBLANK(SHAREPOINT!H45),"",SHAREPOINT!H45)</f>
        <v xml:space="preserve">Se realiza el pegado de espuma y limpieza de bujes </v>
      </c>
    </row>
    <row r="47" spans="1:10">
      <c r="A47" s="398">
        <f>IF(ISBLANK(SHAREPOINT!A46),"",DATE(YEAR(SHAREPOINT!I46),MONTH(SHAREPOINT!I46),DAY(SHAREPOINT!I46)))</f>
        <v>46205</v>
      </c>
      <c r="B47" s="87" t="str">
        <f>IF(ISBLANK(SHAREPOINT!A46),"",SHAREPOINT!B46)</f>
        <v>JOSÉ HAÑARI</v>
      </c>
      <c r="C47" s="399" t="str">
        <f>+SHAREPOINT!C46</f>
        <v>TARDE</v>
      </c>
      <c r="D47" s="399">
        <f>+SHAREPOINT!D46</f>
        <v>0.63194444444444442</v>
      </c>
      <c r="E47" s="399">
        <f>+SHAREPOINT!E46</f>
        <v>0.65625</v>
      </c>
      <c r="F47" s="390">
        <f t="shared" si="0"/>
        <v>2.430555555555558E-2</v>
      </c>
      <c r="G47" s="87" t="str">
        <f>IF(ISBLANK(SHAREPOINT!A46),"",SHAREPOINT!F46)</f>
        <v>ENCELOFANADORA ECCOPAC</v>
      </c>
      <c r="H47" s="391"/>
      <c r="I47" s="386" t="str">
        <f>IF(ISBLANK(SHAREPOINT!A46),"",SHAREPOINT!G46)</f>
        <v xml:space="preserve">Se pega cajas </v>
      </c>
      <c r="J47" s="386" t="str">
        <f>IF(ISBLANK(SHAREPOINT!H46),"",SHAREPOINT!H46)</f>
        <v xml:space="preserve">Se realiza la calibración correspondiente </v>
      </c>
    </row>
    <row r="48" spans="1:10">
      <c r="A48" s="398">
        <f>IF(ISBLANK(SHAREPOINT!A47),"",DATE(YEAR(SHAREPOINT!I47),MONTH(SHAREPOINT!I47),DAY(SHAREPOINT!I47)))</f>
        <v>46205</v>
      </c>
      <c r="B48" s="87" t="str">
        <f>IF(ISBLANK(SHAREPOINT!A47),"",SHAREPOINT!B47)</f>
        <v>JOSÉ HAÑARI</v>
      </c>
      <c r="C48" s="399" t="str">
        <f>+SHAREPOINT!C47</f>
        <v>TARDE</v>
      </c>
      <c r="D48" s="399">
        <f>+SHAREPOINT!D47</f>
        <v>0.65972222222222221</v>
      </c>
      <c r="E48" s="399">
        <f>+SHAREPOINT!E47</f>
        <v>0.75</v>
      </c>
      <c r="F48" s="390">
        <f t="shared" si="0"/>
        <v>9.027777777777779E-2</v>
      </c>
      <c r="G48" s="87" t="str">
        <f>IF(ISBLANK(SHAREPOINT!A47),"",SHAREPOINT!F47)</f>
        <v>EMP. SAPAL</v>
      </c>
      <c r="H48" s="391"/>
      <c r="I48" s="386" t="str">
        <f>IF(ISBLANK(SHAREPOINT!A47),"",SHAREPOINT!G47)</f>
        <v xml:space="preserve">No pega goma en etiqueta </v>
      </c>
      <c r="J48" s="386" t="str">
        <f>IF(ISBLANK(SHAREPOINT!H47),"",SHAREPOINT!H47)</f>
        <v xml:space="preserve">Se realiza la calibración y limpieza de boquilla en dosicacion de goma en equipo </v>
      </c>
    </row>
    <row r="49" spans="1:10">
      <c r="A49" s="398">
        <f>IF(ISBLANK(SHAREPOINT!A48),"",DATE(YEAR(SHAREPOINT!I48),MONTH(SHAREPOINT!I48),DAY(SHAREPOINT!I48)))</f>
        <v>46205</v>
      </c>
      <c r="B49" s="87" t="str">
        <f>IF(ISBLANK(SHAREPOINT!A48),"",SHAREPOINT!B48)</f>
        <v>JOSÉ HAÑARI</v>
      </c>
      <c r="C49" s="399" t="str">
        <f>+SHAREPOINT!C48</f>
        <v>TARDE</v>
      </c>
      <c r="D49" s="399">
        <f>+SHAREPOINT!D48</f>
        <v>0.75694444444444442</v>
      </c>
      <c r="E49" s="399">
        <f>+SHAREPOINT!E48</f>
        <v>0.77430555555555558</v>
      </c>
      <c r="F49" s="390">
        <f t="shared" si="0"/>
        <v>1.736111111111116E-2</v>
      </c>
      <c r="G49" s="87" t="str">
        <f>IF(ISBLANK(SHAREPOINT!A48),"",SHAREPOINT!F48)</f>
        <v>MOLINO REBOTE - IMPACTO</v>
      </c>
      <c r="H49" s="391"/>
      <c r="I49" s="386" t="str">
        <f>IF(ISBLANK(SHAREPOINT!A48),"",SHAREPOINT!G48)</f>
        <v xml:space="preserve">No enciende </v>
      </c>
      <c r="J49" s="386" t="str">
        <f>IF(ISBLANK(SHAREPOINT!H48),"",SHAREPOINT!H48)</f>
        <v xml:space="preserve">Se realiza ala limpieza correspondiente del sensor </v>
      </c>
    </row>
    <row r="50" spans="1:10">
      <c r="A50" s="398">
        <f>IF(ISBLANK(SHAREPOINT!A49),"",DATE(YEAR(SHAREPOINT!I49),MONTH(SHAREPOINT!I49),DAY(SHAREPOINT!I49)))</f>
        <v>46205</v>
      </c>
      <c r="B50" s="87" t="str">
        <f>IF(ISBLANK(SHAREPOINT!A49),"",SHAREPOINT!B49)</f>
        <v>JOSÉ HAÑARI</v>
      </c>
      <c r="C50" s="399" t="str">
        <f>+SHAREPOINT!C49</f>
        <v>TARDE</v>
      </c>
      <c r="D50" s="399">
        <f>+SHAREPOINT!D49</f>
        <v>0.82291666666666663</v>
      </c>
      <c r="E50" s="399">
        <f>+SHAREPOINT!E49</f>
        <v>0.85416666666666663</v>
      </c>
      <c r="F50" s="390">
        <f t="shared" si="0"/>
        <v>3.125E-2</v>
      </c>
      <c r="G50" s="87" t="str">
        <f>IF(ISBLANK(SHAREPOINT!A49),"",SHAREPOINT!F49)</f>
        <v>FORRADORA MINIFLEX</v>
      </c>
      <c r="H50" s="391"/>
      <c r="I50" s="386" t="str">
        <f>IF(ISBLANK(SHAREPOINT!A49),"",SHAREPOINT!G49)</f>
        <v xml:space="preserve">No desbobina laminado y cuchilla no corta </v>
      </c>
      <c r="J50" s="386" t="str">
        <f>IF(ISBLANK(SHAREPOINT!H49),"",SHAREPOINT!H49)</f>
        <v xml:space="preserve">Se realiza la calibración correspondiente </v>
      </c>
    </row>
    <row r="51" spans="1:10">
      <c r="A51" s="398" t="str">
        <f>IF(ISBLANK(SHAREPOINT!A50),"",DATE(YEAR(SHAREPOINT!I50),MONTH(SHAREPOINT!I50),DAY(SHAREPOINT!I50)))</f>
        <v/>
      </c>
      <c r="B51" s="87" t="str">
        <f>IF(ISBLANK(SHAREPOINT!A50),"",SHAREPOINT!B50)</f>
        <v/>
      </c>
      <c r="C51" s="399">
        <f>+SHAREPOINT!C50</f>
        <v>0</v>
      </c>
      <c r="D51" s="399">
        <f>+SHAREPOINT!D50</f>
        <v>0</v>
      </c>
      <c r="E51" s="399">
        <f>+SHAREPOINT!E50</f>
        <v>0</v>
      </c>
      <c r="F51" s="390">
        <f t="shared" si="0"/>
        <v>0</v>
      </c>
      <c r="G51" s="87" t="str">
        <f>IF(ISBLANK(SHAREPOINT!A50),"",SHAREPOINT!F50)</f>
        <v/>
      </c>
      <c r="H51" s="391"/>
      <c r="I51" s="386" t="str">
        <f>IF(ISBLANK(SHAREPOINT!A50),"",SHAREPOINT!G50)</f>
        <v/>
      </c>
      <c r="J51" s="386" t="str">
        <f>IF(ISBLANK(SHAREPOINT!H50),"",SHAREPOINT!H50)</f>
        <v/>
      </c>
    </row>
    <row r="52" spans="1:10">
      <c r="A52" s="398" t="str">
        <f>IF(ISBLANK(SHAREPOINT!A51),"",DATE(YEAR(SHAREPOINT!I51),MONTH(SHAREPOINT!I51),DAY(SHAREPOINT!I51)))</f>
        <v/>
      </c>
      <c r="B52" s="87" t="str">
        <f>IF(ISBLANK(SHAREPOINT!A51),"",SHAREPOINT!B51)</f>
        <v/>
      </c>
      <c r="C52" s="399">
        <f>+SHAREPOINT!C51</f>
        <v>0</v>
      </c>
      <c r="D52" s="399">
        <f>+SHAREPOINT!D51</f>
        <v>0</v>
      </c>
      <c r="E52" s="399">
        <f>+SHAREPOINT!E51</f>
        <v>0</v>
      </c>
      <c r="F52" s="390">
        <f t="shared" si="0"/>
        <v>0</v>
      </c>
      <c r="G52" s="87" t="str">
        <f>IF(ISBLANK(SHAREPOINT!A51),"",SHAREPOINT!F51)</f>
        <v/>
      </c>
      <c r="H52" s="391"/>
      <c r="I52" s="386" t="str">
        <f>IF(ISBLANK(SHAREPOINT!A51),"",SHAREPOINT!G51)</f>
        <v/>
      </c>
      <c r="J52" s="386" t="str">
        <f>IF(ISBLANK(SHAREPOINT!H51),"",SHAREPOINT!H51)</f>
        <v/>
      </c>
    </row>
    <row r="53" spans="1:10">
      <c r="A53" s="398" t="str">
        <f>IF(ISBLANK(SHAREPOINT!A52),"",DATE(YEAR(SHAREPOINT!I52),MONTH(SHAREPOINT!I52),DAY(SHAREPOINT!I52)))</f>
        <v/>
      </c>
      <c r="B53" s="87" t="str">
        <f>IF(ISBLANK(SHAREPOINT!A52),"",SHAREPOINT!B52)</f>
        <v/>
      </c>
      <c r="C53" s="399">
        <f>+SHAREPOINT!C52</f>
        <v>0</v>
      </c>
      <c r="D53" s="399">
        <f>+SHAREPOINT!D52</f>
        <v>0</v>
      </c>
      <c r="E53" s="399">
        <f>+SHAREPOINT!E52</f>
        <v>0</v>
      </c>
      <c r="F53" s="390">
        <f t="shared" si="0"/>
        <v>0</v>
      </c>
      <c r="G53" s="87" t="str">
        <f>IF(ISBLANK(SHAREPOINT!A52),"",SHAREPOINT!F52)</f>
        <v/>
      </c>
      <c r="H53" s="391"/>
      <c r="I53" s="386" t="str">
        <f>IF(ISBLANK(SHAREPOINT!A52),"",SHAREPOINT!G52)</f>
        <v/>
      </c>
      <c r="J53" s="386" t="str">
        <f>IF(ISBLANK(SHAREPOINT!H52),"",SHAREPOINT!H52)</f>
        <v/>
      </c>
    </row>
    <row r="54" spans="1:10">
      <c r="A54" s="398" t="str">
        <f>IF(ISBLANK(SHAREPOINT!A53),"",DATE(YEAR(SHAREPOINT!I53),MONTH(SHAREPOINT!I53),DAY(SHAREPOINT!I53)))</f>
        <v/>
      </c>
      <c r="B54" s="87" t="str">
        <f>IF(ISBLANK(SHAREPOINT!A53),"",SHAREPOINT!B53)</f>
        <v/>
      </c>
      <c r="C54" s="399">
        <f>+SHAREPOINT!C53</f>
        <v>0</v>
      </c>
      <c r="D54" s="399">
        <f>+SHAREPOINT!D53</f>
        <v>0</v>
      </c>
      <c r="E54" s="399">
        <f>+SHAREPOINT!E53</f>
        <v>0</v>
      </c>
      <c r="F54" s="390">
        <f t="shared" si="0"/>
        <v>0</v>
      </c>
      <c r="G54" s="87" t="str">
        <f>IF(ISBLANK(SHAREPOINT!A53),"",SHAREPOINT!F53)</f>
        <v/>
      </c>
      <c r="H54" s="391"/>
      <c r="I54" s="386" t="str">
        <f>IF(ISBLANK(SHAREPOINT!A53),"",SHAREPOINT!G53)</f>
        <v/>
      </c>
      <c r="J54" s="386" t="str">
        <f>IF(ISBLANK(SHAREPOINT!H53),"",SHAREPOINT!H53)</f>
        <v/>
      </c>
    </row>
    <row r="55" spans="1:10">
      <c r="A55" s="398" t="str">
        <f>IF(ISBLANK(SHAREPOINT!A54),"",DATE(YEAR(SHAREPOINT!I54),MONTH(SHAREPOINT!I54),DAY(SHAREPOINT!I54)))</f>
        <v/>
      </c>
      <c r="B55" s="87" t="str">
        <f>IF(ISBLANK(SHAREPOINT!A54),"",SHAREPOINT!B54)</f>
        <v/>
      </c>
      <c r="C55" s="399">
        <f>+SHAREPOINT!C54</f>
        <v>0</v>
      </c>
      <c r="D55" s="399">
        <f>+SHAREPOINT!D54</f>
        <v>0</v>
      </c>
      <c r="E55" s="399">
        <f>+SHAREPOINT!E54</f>
        <v>0</v>
      </c>
      <c r="F55" s="390">
        <f t="shared" si="0"/>
        <v>0</v>
      </c>
      <c r="G55" s="87" t="str">
        <f>IF(ISBLANK(SHAREPOINT!A54),"",SHAREPOINT!F54)</f>
        <v/>
      </c>
      <c r="H55" s="391"/>
      <c r="I55" s="386" t="str">
        <f>IF(ISBLANK(SHAREPOINT!A54),"",SHAREPOINT!G54)</f>
        <v/>
      </c>
      <c r="J55" s="386" t="str">
        <f>IF(ISBLANK(SHAREPOINT!H54),"",SHAREPOINT!H54)</f>
        <v/>
      </c>
    </row>
    <row r="56" spans="1:10">
      <c r="A56" s="398" t="str">
        <f>IF(ISBLANK(SHAREPOINT!A55),"",DATE(YEAR(SHAREPOINT!I55),MONTH(SHAREPOINT!I55),DAY(SHAREPOINT!I55)))</f>
        <v/>
      </c>
      <c r="B56" s="87" t="str">
        <f>IF(ISBLANK(SHAREPOINT!A55),"",SHAREPOINT!B55)</f>
        <v/>
      </c>
      <c r="C56" s="399">
        <f>+SHAREPOINT!C55</f>
        <v>0</v>
      </c>
      <c r="D56" s="399">
        <f>+SHAREPOINT!D55</f>
        <v>0</v>
      </c>
      <c r="E56" s="399">
        <f>+SHAREPOINT!E55</f>
        <v>0</v>
      </c>
      <c r="F56" s="390">
        <f t="shared" si="0"/>
        <v>0</v>
      </c>
      <c r="G56" s="87" t="str">
        <f>IF(ISBLANK(SHAREPOINT!A55),"",SHAREPOINT!F55)</f>
        <v/>
      </c>
      <c r="H56" s="391"/>
      <c r="I56" s="386" t="str">
        <f>IF(ISBLANK(SHAREPOINT!A55),"",SHAREPOINT!G55)</f>
        <v/>
      </c>
      <c r="J56" s="386" t="str">
        <f>IF(ISBLANK(SHAREPOINT!H55),"",SHAREPOINT!H55)</f>
        <v/>
      </c>
    </row>
    <row r="57" spans="1:10">
      <c r="A57" s="398" t="str">
        <f>IF(ISBLANK(SHAREPOINT!A56),"",DATE(YEAR(SHAREPOINT!I56),MONTH(SHAREPOINT!I56),DAY(SHAREPOINT!I56)))</f>
        <v/>
      </c>
      <c r="B57" s="87" t="str">
        <f>IF(ISBLANK(SHAREPOINT!A56),"",SHAREPOINT!B56)</f>
        <v/>
      </c>
      <c r="C57" s="399">
        <f>+SHAREPOINT!C56</f>
        <v>0</v>
      </c>
      <c r="D57" s="399">
        <f>+SHAREPOINT!D56</f>
        <v>0</v>
      </c>
      <c r="E57" s="399">
        <f>+SHAREPOINT!E56</f>
        <v>0</v>
      </c>
      <c r="F57" s="390">
        <f t="shared" si="0"/>
        <v>0</v>
      </c>
      <c r="G57" s="87" t="str">
        <f>IF(ISBLANK(SHAREPOINT!A56),"",SHAREPOINT!F56)</f>
        <v/>
      </c>
      <c r="H57" s="391"/>
      <c r="I57" s="386" t="str">
        <f>IF(ISBLANK(SHAREPOINT!A56),"",SHAREPOINT!G56)</f>
        <v/>
      </c>
      <c r="J57" s="386" t="str">
        <f>IF(ISBLANK(SHAREPOINT!H56),"",SHAREPOINT!H56)</f>
        <v/>
      </c>
    </row>
    <row r="58" spans="1:10">
      <c r="A58" s="398" t="str">
        <f>IF(ISBLANK(SHAREPOINT!A57),"",DATE(YEAR(SHAREPOINT!I57),MONTH(SHAREPOINT!I57),DAY(SHAREPOINT!I57)))</f>
        <v/>
      </c>
      <c r="B58" s="87" t="str">
        <f>IF(ISBLANK(SHAREPOINT!A57),"",SHAREPOINT!B57)</f>
        <v/>
      </c>
      <c r="C58" s="399">
        <f>+SHAREPOINT!C57</f>
        <v>0</v>
      </c>
      <c r="D58" s="399">
        <f>+SHAREPOINT!D57</f>
        <v>0</v>
      </c>
      <c r="E58" s="399">
        <f>+SHAREPOINT!E57</f>
        <v>0</v>
      </c>
      <c r="F58" s="390">
        <f t="shared" si="0"/>
        <v>0</v>
      </c>
      <c r="G58" s="87" t="str">
        <f>IF(ISBLANK(SHAREPOINT!A57),"",SHAREPOINT!F57)</f>
        <v/>
      </c>
      <c r="H58" s="391"/>
      <c r="I58" s="386" t="str">
        <f>IF(ISBLANK(SHAREPOINT!A57),"",SHAREPOINT!G57)</f>
        <v/>
      </c>
      <c r="J58" s="386" t="str">
        <f>IF(ISBLANK(SHAREPOINT!H57),"",SHAREPOINT!H57)</f>
        <v/>
      </c>
    </row>
    <row r="59" spans="1:10">
      <c r="A59" s="398" t="str">
        <f>IF(ISBLANK(SHAREPOINT!A58),"",DATE(YEAR(SHAREPOINT!I58),MONTH(SHAREPOINT!I58),DAY(SHAREPOINT!I58)))</f>
        <v/>
      </c>
      <c r="B59" s="87" t="str">
        <f>IF(ISBLANK(SHAREPOINT!A58),"",SHAREPOINT!B58)</f>
        <v/>
      </c>
      <c r="C59" s="399">
        <f>+SHAREPOINT!C58</f>
        <v>0</v>
      </c>
      <c r="D59" s="399">
        <f>+SHAREPOINT!D58</f>
        <v>0</v>
      </c>
      <c r="E59" s="399">
        <f>+SHAREPOINT!E58</f>
        <v>0</v>
      </c>
      <c r="F59" s="390">
        <f t="shared" si="0"/>
        <v>0</v>
      </c>
      <c r="G59" s="87" t="str">
        <f>IF(ISBLANK(SHAREPOINT!A58),"",SHAREPOINT!F58)</f>
        <v/>
      </c>
      <c r="H59" s="391"/>
      <c r="I59" s="386" t="str">
        <f>IF(ISBLANK(SHAREPOINT!A58),"",SHAREPOINT!G58)</f>
        <v/>
      </c>
      <c r="J59" s="386" t="str">
        <f>IF(ISBLANK(SHAREPOINT!H58),"",SHAREPOINT!H58)</f>
        <v/>
      </c>
    </row>
    <row r="60" spans="1:10">
      <c r="A60" s="398" t="str">
        <f>IF(ISBLANK(SHAREPOINT!A59),"",DATE(YEAR(SHAREPOINT!I59),MONTH(SHAREPOINT!I59),DAY(SHAREPOINT!I59)))</f>
        <v/>
      </c>
      <c r="B60" s="87" t="str">
        <f>IF(ISBLANK(SHAREPOINT!A59),"",SHAREPOINT!B59)</f>
        <v/>
      </c>
      <c r="C60" s="399">
        <f>+SHAREPOINT!C59</f>
        <v>0</v>
      </c>
      <c r="D60" s="399">
        <f>+SHAREPOINT!D59</f>
        <v>0</v>
      </c>
      <c r="E60" s="399">
        <f>+SHAREPOINT!E59</f>
        <v>0</v>
      </c>
      <c r="F60" s="390">
        <f t="shared" si="0"/>
        <v>0</v>
      </c>
      <c r="G60" s="87" t="str">
        <f>IF(ISBLANK(SHAREPOINT!A59),"",SHAREPOINT!F59)</f>
        <v/>
      </c>
      <c r="H60" s="391"/>
      <c r="I60" s="386" t="str">
        <f>IF(ISBLANK(SHAREPOINT!A59),"",SHAREPOINT!G59)</f>
        <v/>
      </c>
      <c r="J60" s="386" t="str">
        <f>IF(ISBLANK(SHAREPOINT!H59),"",SHAREPOINT!H59)</f>
        <v/>
      </c>
    </row>
    <row r="61" spans="1:10">
      <c r="A61" s="398" t="str">
        <f>IF(ISBLANK(SHAREPOINT!A60),"",DATE(YEAR(SHAREPOINT!I60),MONTH(SHAREPOINT!I60),DAY(SHAREPOINT!I60)))</f>
        <v/>
      </c>
      <c r="B61" s="87" t="str">
        <f>IF(ISBLANK(SHAREPOINT!A60),"",SHAREPOINT!B60)</f>
        <v/>
      </c>
      <c r="C61" s="399">
        <f>+SHAREPOINT!C60</f>
        <v>0</v>
      </c>
      <c r="D61" s="399">
        <f>+SHAREPOINT!D60</f>
        <v>0</v>
      </c>
      <c r="E61" s="399">
        <f>+SHAREPOINT!E60</f>
        <v>0</v>
      </c>
      <c r="F61" s="390">
        <f t="shared" si="0"/>
        <v>0</v>
      </c>
      <c r="G61" s="87" t="str">
        <f>IF(ISBLANK(SHAREPOINT!A60),"",SHAREPOINT!F60)</f>
        <v/>
      </c>
      <c r="H61" s="391"/>
      <c r="I61" s="386" t="str">
        <f>IF(ISBLANK(SHAREPOINT!A60),"",SHAREPOINT!G60)</f>
        <v/>
      </c>
      <c r="J61" s="386" t="str">
        <f>IF(ISBLANK(SHAREPOINT!H60),"",SHAREPOINT!H60)</f>
        <v/>
      </c>
    </row>
    <row r="62" spans="1:10">
      <c r="A62" s="398" t="str">
        <f>IF(ISBLANK(SHAREPOINT!A61),"",DATE(YEAR(SHAREPOINT!I61),MONTH(SHAREPOINT!I61),DAY(SHAREPOINT!I61)))</f>
        <v/>
      </c>
      <c r="B62" s="87" t="str">
        <f>IF(ISBLANK(SHAREPOINT!A61),"",SHAREPOINT!B61)</f>
        <v/>
      </c>
      <c r="C62" s="399">
        <f>+SHAREPOINT!C61</f>
        <v>0</v>
      </c>
      <c r="D62" s="399">
        <f>+SHAREPOINT!D61</f>
        <v>0</v>
      </c>
      <c r="E62" s="399">
        <f>+SHAREPOINT!E61</f>
        <v>0</v>
      </c>
      <c r="F62" s="390">
        <f t="shared" si="0"/>
        <v>0</v>
      </c>
      <c r="G62" s="87" t="str">
        <f>IF(ISBLANK(SHAREPOINT!A61),"",SHAREPOINT!F61)</f>
        <v/>
      </c>
      <c r="H62" s="391"/>
      <c r="I62" s="386" t="str">
        <f>IF(ISBLANK(SHAREPOINT!A61),"",SHAREPOINT!G61)</f>
        <v/>
      </c>
      <c r="J62" s="386" t="str">
        <f>IF(ISBLANK(SHAREPOINT!H61),"",SHAREPOINT!H61)</f>
        <v/>
      </c>
    </row>
    <row r="63" spans="1:10">
      <c r="A63" s="398" t="str">
        <f>IF(ISBLANK(SHAREPOINT!A62),"",DATE(YEAR(SHAREPOINT!I62),MONTH(SHAREPOINT!I62),DAY(SHAREPOINT!I62)))</f>
        <v/>
      </c>
      <c r="B63" s="87" t="str">
        <f>IF(ISBLANK(SHAREPOINT!A62),"",SHAREPOINT!B62)</f>
        <v/>
      </c>
      <c r="C63" s="399">
        <f>+SHAREPOINT!C62</f>
        <v>0</v>
      </c>
      <c r="D63" s="399">
        <f>+SHAREPOINT!D62</f>
        <v>0</v>
      </c>
      <c r="E63" s="399">
        <f>+SHAREPOINT!E62</f>
        <v>0</v>
      </c>
      <c r="F63" s="390">
        <f t="shared" si="0"/>
        <v>0</v>
      </c>
      <c r="G63" s="87" t="str">
        <f>IF(ISBLANK(SHAREPOINT!A62),"",SHAREPOINT!F62)</f>
        <v/>
      </c>
      <c r="H63" s="391"/>
      <c r="I63" s="386" t="str">
        <f>IF(ISBLANK(SHAREPOINT!A62),"",SHAREPOINT!G62)</f>
        <v/>
      </c>
      <c r="J63" s="386" t="str">
        <f>IF(ISBLANK(SHAREPOINT!H62),"",SHAREPOINT!H62)</f>
        <v/>
      </c>
    </row>
    <row r="64" spans="1:10">
      <c r="A64" s="398" t="str">
        <f>IF(ISBLANK(SHAREPOINT!A63),"",DATE(YEAR(SHAREPOINT!I63),MONTH(SHAREPOINT!I63),DAY(SHAREPOINT!I63)))</f>
        <v/>
      </c>
      <c r="B64" s="87" t="str">
        <f>IF(ISBLANK(SHAREPOINT!A63),"",SHAREPOINT!B63)</f>
        <v/>
      </c>
      <c r="C64" s="399">
        <f>+SHAREPOINT!C63</f>
        <v>0</v>
      </c>
      <c r="D64" s="399">
        <f>+SHAREPOINT!D63</f>
        <v>0</v>
      </c>
      <c r="E64" s="399">
        <f>+SHAREPOINT!E63</f>
        <v>0</v>
      </c>
      <c r="F64" s="390">
        <f t="shared" si="0"/>
        <v>0</v>
      </c>
      <c r="G64" s="87" t="str">
        <f>IF(ISBLANK(SHAREPOINT!A63),"",SHAREPOINT!F63)</f>
        <v/>
      </c>
      <c r="H64" s="391"/>
      <c r="I64" s="386" t="str">
        <f>IF(ISBLANK(SHAREPOINT!A63),"",SHAREPOINT!G63)</f>
        <v/>
      </c>
      <c r="J64" s="386" t="str">
        <f>IF(ISBLANK(SHAREPOINT!H63),"",SHAREPOINT!H63)</f>
        <v/>
      </c>
    </row>
    <row r="65" spans="1:10">
      <c r="A65" s="398" t="str">
        <f>IF(ISBLANK(SHAREPOINT!A64),"",DATE(YEAR(SHAREPOINT!I64),MONTH(SHAREPOINT!I64),DAY(SHAREPOINT!I64)))</f>
        <v/>
      </c>
      <c r="B65" s="87" t="str">
        <f>IF(ISBLANK(SHAREPOINT!A64),"",SHAREPOINT!B64)</f>
        <v/>
      </c>
      <c r="C65" s="399">
        <f>+SHAREPOINT!C64</f>
        <v>0</v>
      </c>
      <c r="D65" s="399">
        <f>+SHAREPOINT!D64</f>
        <v>0</v>
      </c>
      <c r="E65" s="399">
        <f>+SHAREPOINT!E64</f>
        <v>0</v>
      </c>
      <c r="F65" s="390">
        <f t="shared" si="0"/>
        <v>0</v>
      </c>
      <c r="G65" s="87" t="str">
        <f>IF(ISBLANK(SHAREPOINT!A64),"",SHAREPOINT!F64)</f>
        <v/>
      </c>
      <c r="H65" s="391"/>
      <c r="I65" s="386" t="str">
        <f>IF(ISBLANK(SHAREPOINT!A64),"",SHAREPOINT!G64)</f>
        <v/>
      </c>
      <c r="J65" s="386" t="str">
        <f>IF(ISBLANK(SHAREPOINT!H64),"",SHAREPOINT!H64)</f>
        <v/>
      </c>
    </row>
    <row r="66" spans="1:10">
      <c r="A66" s="398" t="str">
        <f>IF(ISBLANK(SHAREPOINT!A65),"",DATE(YEAR(SHAREPOINT!I65),MONTH(SHAREPOINT!I65),DAY(SHAREPOINT!I65)))</f>
        <v/>
      </c>
      <c r="B66" s="87" t="str">
        <f>IF(ISBLANK(SHAREPOINT!A65),"",SHAREPOINT!B65)</f>
        <v/>
      </c>
      <c r="C66" s="399">
        <f>+SHAREPOINT!C65</f>
        <v>0</v>
      </c>
      <c r="D66" s="399">
        <f>+SHAREPOINT!D65</f>
        <v>0</v>
      </c>
      <c r="E66" s="399">
        <f>+SHAREPOINT!E65</f>
        <v>0</v>
      </c>
      <c r="F66" s="390">
        <f t="shared" si="0"/>
        <v>0</v>
      </c>
      <c r="G66" s="87" t="str">
        <f>IF(ISBLANK(SHAREPOINT!A65),"",SHAREPOINT!F65)</f>
        <v/>
      </c>
      <c r="H66" s="391"/>
      <c r="I66" s="386" t="str">
        <f>IF(ISBLANK(SHAREPOINT!A65),"",SHAREPOINT!G65)</f>
        <v/>
      </c>
      <c r="J66" s="386" t="str">
        <f>IF(ISBLANK(SHAREPOINT!H65),"",SHAREPOINT!H65)</f>
        <v/>
      </c>
    </row>
    <row r="67" spans="1:10">
      <c r="A67" s="398" t="str">
        <f>IF(ISBLANK(SHAREPOINT!A66),"",DATE(YEAR(SHAREPOINT!I66),MONTH(SHAREPOINT!I66),DAY(SHAREPOINT!I66)))</f>
        <v/>
      </c>
      <c r="B67" s="87" t="str">
        <f>IF(ISBLANK(SHAREPOINT!A66),"",SHAREPOINT!B66)</f>
        <v/>
      </c>
      <c r="C67" s="399">
        <f>+SHAREPOINT!C66</f>
        <v>0</v>
      </c>
      <c r="D67" s="399">
        <f>+SHAREPOINT!D66</f>
        <v>0</v>
      </c>
      <c r="E67" s="399">
        <f>+SHAREPOINT!E66</f>
        <v>0</v>
      </c>
      <c r="F67" s="390">
        <f t="shared" si="0"/>
        <v>0</v>
      </c>
      <c r="G67" s="87" t="str">
        <f>IF(ISBLANK(SHAREPOINT!A66),"",SHAREPOINT!F66)</f>
        <v/>
      </c>
      <c r="H67" s="391"/>
      <c r="I67" s="386" t="str">
        <f>IF(ISBLANK(SHAREPOINT!A66),"",SHAREPOINT!G66)</f>
        <v/>
      </c>
      <c r="J67" s="386" t="str">
        <f>IF(ISBLANK(SHAREPOINT!H66),"",SHAREPOINT!H66)</f>
        <v/>
      </c>
    </row>
    <row r="68" spans="1:10">
      <c r="A68" s="398" t="str">
        <f>IF(ISBLANK(SHAREPOINT!A67),"",DATE(YEAR(SHAREPOINT!I67),MONTH(SHAREPOINT!I67),DAY(SHAREPOINT!I67)))</f>
        <v/>
      </c>
      <c r="B68" s="87" t="str">
        <f>IF(ISBLANK(SHAREPOINT!A67),"",SHAREPOINT!B67)</f>
        <v/>
      </c>
      <c r="C68" s="399">
        <f>+SHAREPOINT!C67</f>
        <v>0</v>
      </c>
      <c r="D68" s="399">
        <f>+SHAREPOINT!D67</f>
        <v>0</v>
      </c>
      <c r="E68" s="399">
        <f>+SHAREPOINT!E67</f>
        <v>0</v>
      </c>
      <c r="F68" s="390">
        <f t="shared" si="0"/>
        <v>0</v>
      </c>
      <c r="G68" s="87" t="str">
        <f>IF(ISBLANK(SHAREPOINT!A67),"",SHAREPOINT!F67)</f>
        <v/>
      </c>
      <c r="H68" s="391"/>
      <c r="I68" s="386" t="str">
        <f>IF(ISBLANK(SHAREPOINT!A67),"",SHAREPOINT!G67)</f>
        <v/>
      </c>
      <c r="J68" s="386" t="str">
        <f>IF(ISBLANK(SHAREPOINT!H67),"",SHAREPOINT!H67)</f>
        <v/>
      </c>
    </row>
    <row r="69" spans="1:10">
      <c r="A69" s="398" t="str">
        <f>IF(ISBLANK(SHAREPOINT!A68),"",DATE(YEAR(SHAREPOINT!I68),MONTH(SHAREPOINT!I68),DAY(SHAREPOINT!I68)))</f>
        <v/>
      </c>
      <c r="B69" s="87" t="str">
        <f>IF(ISBLANK(SHAREPOINT!A68),"",SHAREPOINT!B68)</f>
        <v/>
      </c>
      <c r="C69" s="399">
        <f>+SHAREPOINT!C68</f>
        <v>0</v>
      </c>
      <c r="D69" s="399">
        <f>+SHAREPOINT!D68</f>
        <v>0</v>
      </c>
      <c r="E69" s="399">
        <f>+SHAREPOINT!E68</f>
        <v>0</v>
      </c>
      <c r="F69" s="390">
        <f t="shared" ref="F69:F125" si="1">IFERROR(+IF(E69&gt;D69,E69-D69,E69-24+(24-D69)),"")</f>
        <v>0</v>
      </c>
      <c r="G69" s="87" t="str">
        <f>IF(ISBLANK(SHAREPOINT!A68),"",SHAREPOINT!F68)</f>
        <v/>
      </c>
      <c r="H69" s="391"/>
      <c r="I69" s="386" t="str">
        <f>IF(ISBLANK(SHAREPOINT!A68),"",SHAREPOINT!G68)</f>
        <v/>
      </c>
      <c r="J69" s="386" t="str">
        <f>IF(ISBLANK(SHAREPOINT!H68),"",SHAREPOINT!H68)</f>
        <v/>
      </c>
    </row>
    <row r="70" spans="1:10">
      <c r="A70" s="398" t="str">
        <f>IF(ISBLANK(SHAREPOINT!A69),"",DATE(YEAR(SHAREPOINT!I69),MONTH(SHAREPOINT!I69),DAY(SHAREPOINT!I69)))</f>
        <v/>
      </c>
      <c r="B70" s="87" t="str">
        <f>IF(ISBLANK(SHAREPOINT!A69),"",SHAREPOINT!B69)</f>
        <v/>
      </c>
      <c r="C70" s="399">
        <f>+SHAREPOINT!C69</f>
        <v>0</v>
      </c>
      <c r="D70" s="399">
        <f>+SHAREPOINT!D69</f>
        <v>0</v>
      </c>
      <c r="E70" s="399">
        <f>+SHAREPOINT!E69</f>
        <v>0</v>
      </c>
      <c r="F70" s="390">
        <f t="shared" si="1"/>
        <v>0</v>
      </c>
      <c r="G70" s="87" t="str">
        <f>IF(ISBLANK(SHAREPOINT!A69),"",SHAREPOINT!F69)</f>
        <v/>
      </c>
      <c r="H70" s="391"/>
      <c r="I70" s="386" t="str">
        <f>IF(ISBLANK(SHAREPOINT!A69),"",SHAREPOINT!G69)</f>
        <v/>
      </c>
      <c r="J70" s="386" t="str">
        <f>IF(ISBLANK(SHAREPOINT!H69),"",SHAREPOINT!H69)</f>
        <v/>
      </c>
    </row>
    <row r="71" spans="1:10">
      <c r="A71" s="398" t="str">
        <f>IF(ISBLANK(SHAREPOINT!A70),"",DATE(YEAR(SHAREPOINT!I70),MONTH(SHAREPOINT!I70),DAY(SHAREPOINT!I70)))</f>
        <v/>
      </c>
      <c r="B71" s="87" t="str">
        <f>IF(ISBLANK(SHAREPOINT!A70),"",SHAREPOINT!B70)</f>
        <v/>
      </c>
      <c r="C71" s="399">
        <f>+SHAREPOINT!C70</f>
        <v>0</v>
      </c>
      <c r="D71" s="399">
        <f>+SHAREPOINT!D70</f>
        <v>0</v>
      </c>
      <c r="E71" s="399">
        <f>+SHAREPOINT!E70</f>
        <v>0</v>
      </c>
      <c r="F71" s="390">
        <f t="shared" si="1"/>
        <v>0</v>
      </c>
      <c r="G71" s="87" t="str">
        <f>IF(ISBLANK(SHAREPOINT!A70),"",SHAREPOINT!F70)</f>
        <v/>
      </c>
      <c r="H71" s="391"/>
      <c r="I71" s="386" t="str">
        <f>IF(ISBLANK(SHAREPOINT!A70),"",SHAREPOINT!G70)</f>
        <v/>
      </c>
      <c r="J71" s="386" t="str">
        <f>IF(ISBLANK(SHAREPOINT!H70),"",SHAREPOINT!H70)</f>
        <v/>
      </c>
    </row>
    <row r="72" spans="1:10">
      <c r="A72" s="398" t="str">
        <f>IF(ISBLANK(SHAREPOINT!A71),"",DATE(YEAR(SHAREPOINT!I71),MONTH(SHAREPOINT!I71),DAY(SHAREPOINT!I71)))</f>
        <v/>
      </c>
      <c r="B72" s="87" t="str">
        <f>IF(ISBLANK(SHAREPOINT!A71),"",SHAREPOINT!B71)</f>
        <v/>
      </c>
      <c r="C72" s="399">
        <f>+SHAREPOINT!C71</f>
        <v>0</v>
      </c>
      <c r="D72" s="399">
        <f>+SHAREPOINT!D71</f>
        <v>0</v>
      </c>
      <c r="E72" s="399">
        <f>+SHAREPOINT!E71</f>
        <v>0</v>
      </c>
      <c r="F72" s="390">
        <f t="shared" si="1"/>
        <v>0</v>
      </c>
      <c r="G72" s="87" t="str">
        <f>IF(ISBLANK(SHAREPOINT!A71),"",SHAREPOINT!F71)</f>
        <v/>
      </c>
      <c r="H72" s="391"/>
      <c r="I72" s="386" t="str">
        <f>IF(ISBLANK(SHAREPOINT!A71),"",SHAREPOINT!G71)</f>
        <v/>
      </c>
      <c r="J72" s="386" t="str">
        <f>IF(ISBLANK(SHAREPOINT!H71),"",SHAREPOINT!H71)</f>
        <v/>
      </c>
    </row>
    <row r="73" spans="1:10">
      <c r="A73" s="398" t="str">
        <f>IF(ISBLANK(SHAREPOINT!A72),"",DATE(YEAR(SHAREPOINT!I72),MONTH(SHAREPOINT!I72),DAY(SHAREPOINT!I72)))</f>
        <v/>
      </c>
      <c r="B73" s="87" t="str">
        <f>IF(ISBLANK(SHAREPOINT!A72),"",SHAREPOINT!B72)</f>
        <v/>
      </c>
      <c r="C73" s="399">
        <f>+SHAREPOINT!C72</f>
        <v>0</v>
      </c>
      <c r="D73" s="399">
        <f>+SHAREPOINT!D72</f>
        <v>0</v>
      </c>
      <c r="E73" s="399">
        <f>+SHAREPOINT!E72</f>
        <v>0</v>
      </c>
      <c r="F73" s="390">
        <f t="shared" si="1"/>
        <v>0</v>
      </c>
      <c r="G73" s="87" t="str">
        <f>IF(ISBLANK(SHAREPOINT!A72),"",SHAREPOINT!F72)</f>
        <v/>
      </c>
      <c r="H73" s="391"/>
      <c r="I73" s="386" t="str">
        <f>IF(ISBLANK(SHAREPOINT!A72),"",SHAREPOINT!G72)</f>
        <v/>
      </c>
      <c r="J73" s="386" t="str">
        <f>IF(ISBLANK(SHAREPOINT!H72),"",SHAREPOINT!H72)</f>
        <v/>
      </c>
    </row>
    <row r="74" spans="1:10">
      <c r="A74" s="398" t="str">
        <f>IF(ISBLANK(SHAREPOINT!A73),"",DATE(YEAR(SHAREPOINT!I73),MONTH(SHAREPOINT!I73),DAY(SHAREPOINT!I73)))</f>
        <v/>
      </c>
      <c r="B74" s="87" t="str">
        <f>IF(ISBLANK(SHAREPOINT!A73),"",SHAREPOINT!B73)</f>
        <v/>
      </c>
      <c r="C74" s="399">
        <f>+SHAREPOINT!C73</f>
        <v>0</v>
      </c>
      <c r="D74" s="399">
        <f>+SHAREPOINT!D73</f>
        <v>0</v>
      </c>
      <c r="E74" s="399">
        <f>+SHAREPOINT!E73</f>
        <v>0</v>
      </c>
      <c r="F74" s="390">
        <f t="shared" si="1"/>
        <v>0</v>
      </c>
      <c r="G74" s="87" t="str">
        <f>IF(ISBLANK(SHAREPOINT!A73),"",SHAREPOINT!F73)</f>
        <v/>
      </c>
      <c r="H74" s="391"/>
      <c r="I74" s="386" t="str">
        <f>IF(ISBLANK(SHAREPOINT!A73),"",SHAREPOINT!G73)</f>
        <v/>
      </c>
      <c r="J74" s="386" t="str">
        <f>IF(ISBLANK(SHAREPOINT!H73),"",SHAREPOINT!H73)</f>
        <v/>
      </c>
    </row>
    <row r="75" spans="1:10">
      <c r="A75" s="398" t="str">
        <f>IF(ISBLANK(SHAREPOINT!A74),"",DATE(YEAR(SHAREPOINT!I74),MONTH(SHAREPOINT!I74),DAY(SHAREPOINT!I74)))</f>
        <v/>
      </c>
      <c r="B75" s="87" t="str">
        <f>IF(ISBLANK(SHAREPOINT!A74),"",SHAREPOINT!B74)</f>
        <v/>
      </c>
      <c r="C75" s="399">
        <f>+SHAREPOINT!C74</f>
        <v>0</v>
      </c>
      <c r="D75" s="399">
        <f>+SHAREPOINT!D74</f>
        <v>0</v>
      </c>
      <c r="E75" s="399">
        <f>+SHAREPOINT!E74</f>
        <v>0</v>
      </c>
      <c r="F75" s="390">
        <f t="shared" si="1"/>
        <v>0</v>
      </c>
      <c r="G75" s="87" t="str">
        <f>IF(ISBLANK(SHAREPOINT!A74),"",SHAREPOINT!F74)</f>
        <v/>
      </c>
      <c r="H75" s="391"/>
      <c r="I75" s="386" t="str">
        <f>IF(ISBLANK(SHAREPOINT!A74),"",SHAREPOINT!G74)</f>
        <v/>
      </c>
      <c r="J75" s="386" t="str">
        <f>IF(ISBLANK(SHAREPOINT!H74),"",SHAREPOINT!H74)</f>
        <v/>
      </c>
    </row>
    <row r="76" spans="1:10">
      <c r="A76" s="398" t="str">
        <f>IF(ISBLANK(SHAREPOINT!A75),"",DATE(YEAR(SHAREPOINT!I75),MONTH(SHAREPOINT!I75),DAY(SHAREPOINT!I75)))</f>
        <v/>
      </c>
      <c r="B76" s="87" t="str">
        <f>IF(ISBLANK(SHAREPOINT!A75),"",SHAREPOINT!B75)</f>
        <v/>
      </c>
      <c r="C76" s="399">
        <f>+SHAREPOINT!C75</f>
        <v>0</v>
      </c>
      <c r="D76" s="399">
        <f>+SHAREPOINT!D75</f>
        <v>0</v>
      </c>
      <c r="E76" s="399">
        <f>+SHAREPOINT!E75</f>
        <v>0</v>
      </c>
      <c r="F76" s="390">
        <f t="shared" si="1"/>
        <v>0</v>
      </c>
      <c r="G76" s="87" t="str">
        <f>IF(ISBLANK(SHAREPOINT!A75),"",SHAREPOINT!F75)</f>
        <v/>
      </c>
      <c r="H76" s="391"/>
      <c r="I76" s="386" t="str">
        <f>IF(ISBLANK(SHAREPOINT!A75),"",SHAREPOINT!G75)</f>
        <v/>
      </c>
      <c r="J76" s="386" t="str">
        <f>IF(ISBLANK(SHAREPOINT!H75),"",SHAREPOINT!H75)</f>
        <v/>
      </c>
    </row>
    <row r="77" spans="1:10">
      <c r="A77" s="398" t="str">
        <f>IF(ISBLANK(SHAREPOINT!A76),"",DATE(YEAR(SHAREPOINT!I76),MONTH(SHAREPOINT!I76),DAY(SHAREPOINT!I76)))</f>
        <v/>
      </c>
      <c r="B77" s="87" t="str">
        <f>IF(ISBLANK(SHAREPOINT!A76),"",SHAREPOINT!B76)</f>
        <v/>
      </c>
      <c r="C77" s="399">
        <f>+SHAREPOINT!C76</f>
        <v>0</v>
      </c>
      <c r="D77" s="399">
        <f>+SHAREPOINT!D76</f>
        <v>0</v>
      </c>
      <c r="E77" s="399">
        <f>+SHAREPOINT!E76</f>
        <v>0</v>
      </c>
      <c r="F77" s="390">
        <f t="shared" si="1"/>
        <v>0</v>
      </c>
      <c r="G77" s="87" t="str">
        <f>IF(ISBLANK(SHAREPOINT!A76),"",SHAREPOINT!F76)</f>
        <v/>
      </c>
      <c r="H77" s="391"/>
      <c r="I77" s="386" t="str">
        <f>IF(ISBLANK(SHAREPOINT!A76),"",SHAREPOINT!G76)</f>
        <v/>
      </c>
      <c r="J77" s="386" t="str">
        <f>IF(ISBLANK(SHAREPOINT!H76),"",SHAREPOINT!H76)</f>
        <v/>
      </c>
    </row>
    <row r="78" spans="1:10">
      <c r="A78" s="398" t="str">
        <f>IF(ISBLANK(SHAREPOINT!A77),"",DATE(YEAR(SHAREPOINT!I77),MONTH(SHAREPOINT!I77),DAY(SHAREPOINT!I77)))</f>
        <v/>
      </c>
      <c r="B78" s="87" t="str">
        <f>IF(ISBLANK(SHAREPOINT!A77),"",SHAREPOINT!B77)</f>
        <v/>
      </c>
      <c r="C78" s="399">
        <f>+SHAREPOINT!C77</f>
        <v>0</v>
      </c>
      <c r="D78" s="399">
        <f>+SHAREPOINT!D77</f>
        <v>0</v>
      </c>
      <c r="E78" s="399">
        <f>+SHAREPOINT!E77</f>
        <v>0</v>
      </c>
      <c r="F78" s="390">
        <f t="shared" si="1"/>
        <v>0</v>
      </c>
      <c r="G78" s="87" t="str">
        <f>IF(ISBLANK(SHAREPOINT!A77),"",SHAREPOINT!F77)</f>
        <v/>
      </c>
      <c r="H78" s="391"/>
      <c r="I78" s="386" t="str">
        <f>IF(ISBLANK(SHAREPOINT!A77),"",SHAREPOINT!G77)</f>
        <v/>
      </c>
      <c r="J78" s="386" t="str">
        <f>IF(ISBLANK(SHAREPOINT!H77),"",SHAREPOINT!H77)</f>
        <v/>
      </c>
    </row>
    <row r="79" spans="1:10">
      <c r="A79" s="398" t="str">
        <f>IF(ISBLANK(SHAREPOINT!A78),"",DATE(YEAR(SHAREPOINT!I78),MONTH(SHAREPOINT!I78),DAY(SHAREPOINT!I78)))</f>
        <v/>
      </c>
      <c r="B79" s="87" t="str">
        <f>IF(ISBLANK(SHAREPOINT!A78),"",SHAREPOINT!B78)</f>
        <v/>
      </c>
      <c r="C79" s="399">
        <f>+SHAREPOINT!C78</f>
        <v>0</v>
      </c>
      <c r="D79" s="399">
        <f>+SHAREPOINT!D78</f>
        <v>0</v>
      </c>
      <c r="E79" s="399">
        <f>+SHAREPOINT!E78</f>
        <v>0</v>
      </c>
      <c r="F79" s="390">
        <f t="shared" si="1"/>
        <v>0</v>
      </c>
      <c r="G79" s="87" t="str">
        <f>IF(ISBLANK(SHAREPOINT!A78),"",SHAREPOINT!F78)</f>
        <v/>
      </c>
      <c r="H79" s="391"/>
      <c r="I79" s="386" t="str">
        <f>IF(ISBLANK(SHAREPOINT!A78),"",SHAREPOINT!G78)</f>
        <v/>
      </c>
      <c r="J79" s="386" t="str">
        <f>IF(ISBLANK(SHAREPOINT!H78),"",SHAREPOINT!H78)</f>
        <v/>
      </c>
    </row>
    <row r="80" spans="1:10">
      <c r="A80" s="398" t="str">
        <f>IF(ISBLANK(SHAREPOINT!A79),"",DATE(YEAR(SHAREPOINT!I79),MONTH(SHAREPOINT!I79),DAY(SHAREPOINT!I79)))</f>
        <v/>
      </c>
      <c r="B80" s="87" t="str">
        <f>IF(ISBLANK(SHAREPOINT!A79),"",SHAREPOINT!B79)</f>
        <v/>
      </c>
      <c r="C80" s="399">
        <f>+SHAREPOINT!C79</f>
        <v>0</v>
      </c>
      <c r="D80" s="399">
        <f>+SHAREPOINT!D79</f>
        <v>0</v>
      </c>
      <c r="E80" s="399">
        <f>+SHAREPOINT!E79</f>
        <v>0</v>
      </c>
      <c r="F80" s="390">
        <f t="shared" si="1"/>
        <v>0</v>
      </c>
      <c r="G80" s="87" t="str">
        <f>IF(ISBLANK(SHAREPOINT!A79),"",SHAREPOINT!F79)</f>
        <v/>
      </c>
      <c r="H80" s="391"/>
      <c r="I80" s="386" t="str">
        <f>IF(ISBLANK(SHAREPOINT!A79),"",SHAREPOINT!G79)</f>
        <v/>
      </c>
      <c r="J80" s="386" t="str">
        <f>IF(ISBLANK(SHAREPOINT!H79),"",SHAREPOINT!H79)</f>
        <v/>
      </c>
    </row>
    <row r="81" spans="1:10">
      <c r="A81" s="398" t="str">
        <f>IF(ISBLANK(SHAREPOINT!A80),"",DATE(YEAR(SHAREPOINT!I80),MONTH(SHAREPOINT!I80),DAY(SHAREPOINT!I80)))</f>
        <v/>
      </c>
      <c r="B81" s="87" t="str">
        <f>IF(ISBLANK(SHAREPOINT!A80),"",SHAREPOINT!B80)</f>
        <v/>
      </c>
      <c r="C81" s="399">
        <f>+SHAREPOINT!C80</f>
        <v>0</v>
      </c>
      <c r="D81" s="399">
        <f>+SHAREPOINT!D80</f>
        <v>0</v>
      </c>
      <c r="E81" s="399">
        <f>+SHAREPOINT!E80</f>
        <v>0</v>
      </c>
      <c r="F81" s="390">
        <f t="shared" si="1"/>
        <v>0</v>
      </c>
      <c r="G81" s="87" t="str">
        <f>IF(ISBLANK(SHAREPOINT!A80),"",SHAREPOINT!F80)</f>
        <v/>
      </c>
      <c r="H81" s="391"/>
      <c r="I81" s="386" t="str">
        <f>IF(ISBLANK(SHAREPOINT!A80),"",SHAREPOINT!G80)</f>
        <v/>
      </c>
      <c r="J81" s="386" t="str">
        <f>IF(ISBLANK(SHAREPOINT!H80),"",SHAREPOINT!H80)</f>
        <v/>
      </c>
    </row>
    <row r="82" spans="1:10">
      <c r="A82" s="398" t="str">
        <f>IF(ISBLANK(SHAREPOINT!A81),"",DATE(YEAR(SHAREPOINT!I81),MONTH(SHAREPOINT!I81),DAY(SHAREPOINT!I81)))</f>
        <v/>
      </c>
      <c r="B82" s="87" t="str">
        <f>IF(ISBLANK(SHAREPOINT!A81),"",SHAREPOINT!B81)</f>
        <v/>
      </c>
      <c r="C82" s="399">
        <f>+SHAREPOINT!C81</f>
        <v>0</v>
      </c>
      <c r="D82" s="399">
        <f>+SHAREPOINT!D81</f>
        <v>0</v>
      </c>
      <c r="E82" s="399">
        <f>+SHAREPOINT!E81</f>
        <v>0</v>
      </c>
      <c r="F82" s="390">
        <f t="shared" si="1"/>
        <v>0</v>
      </c>
      <c r="G82" s="87" t="str">
        <f>IF(ISBLANK(SHAREPOINT!A81),"",SHAREPOINT!F81)</f>
        <v/>
      </c>
      <c r="H82" s="391"/>
      <c r="I82" s="386" t="str">
        <f>IF(ISBLANK(SHAREPOINT!A81),"",SHAREPOINT!G81)</f>
        <v/>
      </c>
      <c r="J82" s="386" t="str">
        <f>IF(ISBLANK(SHAREPOINT!H81),"",SHAREPOINT!H81)</f>
        <v/>
      </c>
    </row>
    <row r="83" spans="1:10">
      <c r="A83" s="398" t="str">
        <f>IF(ISBLANK(SHAREPOINT!A82),"",DATE(YEAR(SHAREPOINT!I82),MONTH(SHAREPOINT!I82),DAY(SHAREPOINT!I82)))</f>
        <v/>
      </c>
      <c r="B83" s="87" t="str">
        <f>IF(ISBLANK(SHAREPOINT!A82),"",SHAREPOINT!B82)</f>
        <v/>
      </c>
      <c r="C83" s="399">
        <f>+SHAREPOINT!C82</f>
        <v>0</v>
      </c>
      <c r="D83" s="399">
        <f>+SHAREPOINT!D82</f>
        <v>0</v>
      </c>
      <c r="E83" s="399">
        <f>+SHAREPOINT!E82</f>
        <v>0</v>
      </c>
      <c r="F83" s="390">
        <f t="shared" si="1"/>
        <v>0</v>
      </c>
      <c r="G83" s="87" t="str">
        <f>IF(ISBLANK(SHAREPOINT!A82),"",SHAREPOINT!F82)</f>
        <v/>
      </c>
      <c r="H83" s="391"/>
      <c r="I83" s="386" t="str">
        <f>IF(ISBLANK(SHAREPOINT!A82),"",SHAREPOINT!G82)</f>
        <v/>
      </c>
      <c r="J83" s="386" t="str">
        <f>IF(ISBLANK(SHAREPOINT!H82),"",SHAREPOINT!H82)</f>
        <v/>
      </c>
    </row>
    <row r="84" spans="1:10">
      <c r="A84" s="398" t="str">
        <f>IF(ISBLANK(SHAREPOINT!A83),"",DATE(YEAR(SHAREPOINT!I83),MONTH(SHAREPOINT!I83),DAY(SHAREPOINT!I83)))</f>
        <v/>
      </c>
      <c r="B84" s="87" t="str">
        <f>IF(ISBLANK(SHAREPOINT!A83),"",SHAREPOINT!B83)</f>
        <v/>
      </c>
      <c r="C84" s="399">
        <f>+SHAREPOINT!C83</f>
        <v>0</v>
      </c>
      <c r="D84" s="399">
        <f>+SHAREPOINT!D83</f>
        <v>0</v>
      </c>
      <c r="E84" s="399">
        <f>+SHAREPOINT!E83</f>
        <v>0</v>
      </c>
      <c r="F84" s="390">
        <f t="shared" si="1"/>
        <v>0</v>
      </c>
      <c r="G84" s="87" t="str">
        <f>IF(ISBLANK(SHAREPOINT!A83),"",SHAREPOINT!F83)</f>
        <v/>
      </c>
      <c r="H84" s="391"/>
      <c r="I84" s="386" t="str">
        <f>IF(ISBLANK(SHAREPOINT!A83),"",SHAREPOINT!G83)</f>
        <v/>
      </c>
      <c r="J84" s="386" t="str">
        <f>IF(ISBLANK(SHAREPOINT!H83),"",SHAREPOINT!H83)</f>
        <v/>
      </c>
    </row>
    <row r="85" spans="1:10">
      <c r="A85" s="398" t="str">
        <f>IF(ISBLANK(SHAREPOINT!A84),"",DATE(YEAR(SHAREPOINT!I84),MONTH(SHAREPOINT!I84),DAY(SHAREPOINT!I84)))</f>
        <v/>
      </c>
      <c r="B85" s="87" t="str">
        <f>IF(ISBLANK(SHAREPOINT!A84),"",SHAREPOINT!B84)</f>
        <v/>
      </c>
      <c r="C85" s="399">
        <f>+SHAREPOINT!C84</f>
        <v>0</v>
      </c>
      <c r="D85" s="399">
        <f>+SHAREPOINT!D84</f>
        <v>0</v>
      </c>
      <c r="E85" s="399">
        <f>+SHAREPOINT!E84</f>
        <v>0</v>
      </c>
      <c r="F85" s="390">
        <f t="shared" si="1"/>
        <v>0</v>
      </c>
      <c r="G85" s="87" t="str">
        <f>IF(ISBLANK(SHAREPOINT!A84),"",SHAREPOINT!F84)</f>
        <v/>
      </c>
      <c r="H85" s="391"/>
      <c r="I85" s="386" t="str">
        <f>IF(ISBLANK(SHAREPOINT!A84),"",SHAREPOINT!G84)</f>
        <v/>
      </c>
      <c r="J85" s="386" t="str">
        <f>IF(ISBLANK(SHAREPOINT!H84),"",SHAREPOINT!H84)</f>
        <v/>
      </c>
    </row>
    <row r="86" spans="1:10">
      <c r="A86" s="398" t="str">
        <f>IF(ISBLANK(SHAREPOINT!A85),"",DATE(YEAR(SHAREPOINT!I85),MONTH(SHAREPOINT!I85),DAY(SHAREPOINT!I85)))</f>
        <v/>
      </c>
      <c r="B86" s="87" t="str">
        <f>IF(ISBLANK(SHAREPOINT!A85),"",SHAREPOINT!B85)</f>
        <v/>
      </c>
      <c r="C86" s="399">
        <f>+SHAREPOINT!C85</f>
        <v>0</v>
      </c>
      <c r="D86" s="399">
        <f>+SHAREPOINT!D85</f>
        <v>0</v>
      </c>
      <c r="E86" s="399">
        <f>+SHAREPOINT!E85</f>
        <v>0</v>
      </c>
      <c r="F86" s="390">
        <f t="shared" si="1"/>
        <v>0</v>
      </c>
      <c r="G86" s="87" t="str">
        <f>IF(ISBLANK(SHAREPOINT!A85),"",SHAREPOINT!F85)</f>
        <v/>
      </c>
      <c r="H86" s="391"/>
      <c r="I86" s="386" t="str">
        <f>IF(ISBLANK(SHAREPOINT!A85),"",SHAREPOINT!G85)</f>
        <v/>
      </c>
      <c r="J86" s="386" t="str">
        <f>IF(ISBLANK(SHAREPOINT!H85),"",SHAREPOINT!H85)</f>
        <v/>
      </c>
    </row>
    <row r="87" spans="1:10">
      <c r="A87" s="398" t="str">
        <f>IF(ISBLANK(SHAREPOINT!A86),"",DATE(YEAR(SHAREPOINT!I86),MONTH(SHAREPOINT!I86),DAY(SHAREPOINT!I86)))</f>
        <v/>
      </c>
      <c r="B87" s="87" t="str">
        <f>IF(ISBLANK(SHAREPOINT!A86),"",SHAREPOINT!B86)</f>
        <v/>
      </c>
      <c r="C87" s="399">
        <f>+SHAREPOINT!C86</f>
        <v>0</v>
      </c>
      <c r="D87" s="399">
        <f>+SHAREPOINT!D86</f>
        <v>0</v>
      </c>
      <c r="E87" s="399">
        <f>+SHAREPOINT!E86</f>
        <v>0</v>
      </c>
      <c r="F87" s="390">
        <f t="shared" si="1"/>
        <v>0</v>
      </c>
      <c r="G87" s="87" t="str">
        <f>IF(ISBLANK(SHAREPOINT!A86),"",SHAREPOINT!F86)</f>
        <v/>
      </c>
      <c r="H87" s="391"/>
      <c r="I87" s="386" t="str">
        <f>IF(ISBLANK(SHAREPOINT!A86),"",SHAREPOINT!G86)</f>
        <v/>
      </c>
      <c r="J87" s="386" t="str">
        <f>IF(ISBLANK(SHAREPOINT!H86),"",SHAREPOINT!H86)</f>
        <v/>
      </c>
    </row>
    <row r="88" spans="1:10">
      <c r="A88" s="398" t="str">
        <f>IF(ISBLANK(SHAREPOINT!A87),"",DATE(YEAR(SHAREPOINT!I87),MONTH(SHAREPOINT!I87),DAY(SHAREPOINT!I87)))</f>
        <v/>
      </c>
      <c r="B88" s="87" t="str">
        <f>IF(ISBLANK(SHAREPOINT!A87),"",SHAREPOINT!B87)</f>
        <v/>
      </c>
      <c r="C88" s="399">
        <f>+SHAREPOINT!C87</f>
        <v>0</v>
      </c>
      <c r="D88" s="399">
        <f>+SHAREPOINT!D87</f>
        <v>0</v>
      </c>
      <c r="E88" s="399">
        <f>+SHAREPOINT!E87</f>
        <v>0</v>
      </c>
      <c r="F88" s="390">
        <f t="shared" si="1"/>
        <v>0</v>
      </c>
      <c r="G88" s="87" t="str">
        <f>IF(ISBLANK(SHAREPOINT!A87),"",SHAREPOINT!F87)</f>
        <v/>
      </c>
      <c r="H88" s="391"/>
      <c r="I88" s="386" t="str">
        <f>IF(ISBLANK(SHAREPOINT!A87),"",SHAREPOINT!G87)</f>
        <v/>
      </c>
      <c r="J88" s="386" t="str">
        <f>IF(ISBLANK(SHAREPOINT!H87),"",SHAREPOINT!H87)</f>
        <v/>
      </c>
    </row>
    <row r="89" spans="1:10">
      <c r="A89" s="398" t="str">
        <f>IF(ISBLANK(SHAREPOINT!A88),"",DATE(YEAR(SHAREPOINT!I88),MONTH(SHAREPOINT!I88),DAY(SHAREPOINT!I88)))</f>
        <v/>
      </c>
      <c r="B89" s="87" t="str">
        <f>IF(ISBLANK(SHAREPOINT!A88),"",SHAREPOINT!B88)</f>
        <v/>
      </c>
      <c r="C89" s="399">
        <f>+SHAREPOINT!C88</f>
        <v>0</v>
      </c>
      <c r="D89" s="399">
        <f>+SHAREPOINT!D88</f>
        <v>0</v>
      </c>
      <c r="E89" s="399">
        <f>+SHAREPOINT!E88</f>
        <v>0</v>
      </c>
      <c r="F89" s="390">
        <f t="shared" si="1"/>
        <v>0</v>
      </c>
      <c r="G89" s="87" t="str">
        <f>IF(ISBLANK(SHAREPOINT!A88),"",SHAREPOINT!F88)</f>
        <v/>
      </c>
      <c r="H89" s="391"/>
      <c r="I89" s="386" t="str">
        <f>IF(ISBLANK(SHAREPOINT!A88),"",SHAREPOINT!G88)</f>
        <v/>
      </c>
      <c r="J89" s="386" t="str">
        <f>IF(ISBLANK(SHAREPOINT!H88),"",SHAREPOINT!H88)</f>
        <v/>
      </c>
    </row>
    <row r="90" spans="1:10">
      <c r="A90" s="398" t="str">
        <f>IF(ISBLANK(SHAREPOINT!A89),"",DATE(YEAR(SHAREPOINT!I89),MONTH(SHAREPOINT!I89),DAY(SHAREPOINT!I89)))</f>
        <v/>
      </c>
      <c r="B90" s="87" t="str">
        <f>IF(ISBLANK(SHAREPOINT!A89),"",SHAREPOINT!B89)</f>
        <v/>
      </c>
      <c r="C90" s="399">
        <f>+SHAREPOINT!C89</f>
        <v>0</v>
      </c>
      <c r="D90" s="399">
        <f>+SHAREPOINT!D89</f>
        <v>0</v>
      </c>
      <c r="E90" s="399">
        <f>+SHAREPOINT!E89</f>
        <v>0</v>
      </c>
      <c r="F90" s="390">
        <f t="shared" si="1"/>
        <v>0</v>
      </c>
      <c r="G90" s="87" t="str">
        <f>IF(ISBLANK(SHAREPOINT!A89),"",SHAREPOINT!F89)</f>
        <v/>
      </c>
      <c r="H90" s="391"/>
      <c r="I90" s="386" t="str">
        <f>IF(ISBLANK(SHAREPOINT!A89),"",SHAREPOINT!G89)</f>
        <v/>
      </c>
      <c r="J90" s="386" t="str">
        <f>IF(ISBLANK(SHAREPOINT!H89),"",SHAREPOINT!H89)</f>
        <v/>
      </c>
    </row>
    <row r="91" spans="1:10">
      <c r="A91" s="398" t="str">
        <f>IF(ISBLANK(SHAREPOINT!A90),"",DATE(YEAR(SHAREPOINT!I90),MONTH(SHAREPOINT!I90),DAY(SHAREPOINT!I90)))</f>
        <v/>
      </c>
      <c r="B91" s="87" t="str">
        <f>IF(ISBLANK(SHAREPOINT!A90),"",SHAREPOINT!B90)</f>
        <v/>
      </c>
      <c r="C91" s="399">
        <f>+SHAREPOINT!C90</f>
        <v>0</v>
      </c>
      <c r="D91" s="399">
        <f>+SHAREPOINT!D90</f>
        <v>0</v>
      </c>
      <c r="E91" s="399">
        <f>+SHAREPOINT!E90</f>
        <v>0</v>
      </c>
      <c r="F91" s="390">
        <f t="shared" si="1"/>
        <v>0</v>
      </c>
      <c r="G91" s="87" t="str">
        <f>IF(ISBLANK(SHAREPOINT!A90),"",SHAREPOINT!F90)</f>
        <v/>
      </c>
      <c r="H91" s="391"/>
      <c r="I91" s="386" t="str">
        <f>IF(ISBLANK(SHAREPOINT!A90),"",SHAREPOINT!G90)</f>
        <v/>
      </c>
      <c r="J91" s="386" t="str">
        <f>IF(ISBLANK(SHAREPOINT!H90),"",SHAREPOINT!H90)</f>
        <v/>
      </c>
    </row>
    <row r="92" spans="1:10">
      <c r="A92" s="398" t="str">
        <f>IF(ISBLANK(SHAREPOINT!A91),"",DATE(YEAR(SHAREPOINT!I91),MONTH(SHAREPOINT!I91),DAY(SHAREPOINT!I91)))</f>
        <v/>
      </c>
      <c r="B92" s="87" t="str">
        <f>IF(ISBLANK(SHAREPOINT!A91),"",SHAREPOINT!B91)</f>
        <v/>
      </c>
      <c r="C92" s="399">
        <f>+SHAREPOINT!C91</f>
        <v>0</v>
      </c>
      <c r="D92" s="399">
        <f>+SHAREPOINT!D91</f>
        <v>0</v>
      </c>
      <c r="E92" s="399">
        <f>+SHAREPOINT!E91</f>
        <v>0</v>
      </c>
      <c r="F92" s="390">
        <f t="shared" si="1"/>
        <v>0</v>
      </c>
      <c r="G92" s="87" t="str">
        <f>IF(ISBLANK(SHAREPOINT!A91),"",SHAREPOINT!F91)</f>
        <v/>
      </c>
      <c r="H92" s="391"/>
      <c r="I92" s="386" t="str">
        <f>IF(ISBLANK(SHAREPOINT!A91),"",SHAREPOINT!G91)</f>
        <v/>
      </c>
      <c r="J92" s="386" t="str">
        <f>IF(ISBLANK(SHAREPOINT!H91),"",SHAREPOINT!H91)</f>
        <v/>
      </c>
    </row>
    <row r="93" spans="1:10">
      <c r="A93" s="398" t="str">
        <f>IF(ISBLANK(SHAREPOINT!A92),"",DATE(YEAR(SHAREPOINT!I92),MONTH(SHAREPOINT!I92),DAY(SHAREPOINT!I92)))</f>
        <v/>
      </c>
      <c r="B93" s="87" t="str">
        <f>IF(ISBLANK(SHAREPOINT!A92),"",SHAREPOINT!B92)</f>
        <v/>
      </c>
      <c r="C93" s="399">
        <f>+SHAREPOINT!C92</f>
        <v>0</v>
      </c>
      <c r="D93" s="399">
        <f>+SHAREPOINT!D92</f>
        <v>0</v>
      </c>
      <c r="E93" s="399">
        <f>+SHAREPOINT!E92</f>
        <v>0</v>
      </c>
      <c r="F93" s="390">
        <f t="shared" si="1"/>
        <v>0</v>
      </c>
      <c r="G93" s="87" t="str">
        <f>IF(ISBLANK(SHAREPOINT!A92),"",SHAREPOINT!F92)</f>
        <v/>
      </c>
      <c r="H93" s="391"/>
      <c r="I93" s="386" t="str">
        <f>IF(ISBLANK(SHAREPOINT!A92),"",SHAREPOINT!G92)</f>
        <v/>
      </c>
      <c r="J93" s="386" t="str">
        <f>IF(ISBLANK(SHAREPOINT!H92),"",SHAREPOINT!H92)</f>
        <v/>
      </c>
    </row>
    <row r="94" spans="1:10">
      <c r="A94" s="398" t="str">
        <f>IF(ISBLANK(SHAREPOINT!A93),"",DATE(YEAR(SHAREPOINT!I93),MONTH(SHAREPOINT!I93),DAY(SHAREPOINT!I93)))</f>
        <v/>
      </c>
      <c r="B94" s="87" t="str">
        <f>IF(ISBLANK(SHAREPOINT!A93),"",SHAREPOINT!B93)</f>
        <v/>
      </c>
      <c r="C94" s="399">
        <f>+SHAREPOINT!C93</f>
        <v>0</v>
      </c>
      <c r="D94" s="399">
        <f>+SHAREPOINT!D93</f>
        <v>0</v>
      </c>
      <c r="E94" s="399">
        <f>+SHAREPOINT!E93</f>
        <v>0</v>
      </c>
      <c r="F94" s="390">
        <f t="shared" si="1"/>
        <v>0</v>
      </c>
      <c r="G94" s="87" t="str">
        <f>IF(ISBLANK(SHAREPOINT!A93),"",SHAREPOINT!F93)</f>
        <v/>
      </c>
      <c r="H94" s="391"/>
      <c r="I94" s="386" t="str">
        <f>IF(ISBLANK(SHAREPOINT!A93),"",SHAREPOINT!G93)</f>
        <v/>
      </c>
      <c r="J94" s="386" t="str">
        <f>IF(ISBLANK(SHAREPOINT!H93),"",SHAREPOINT!H93)</f>
        <v/>
      </c>
    </row>
    <row r="95" spans="1:10">
      <c r="A95" s="398" t="str">
        <f>IF(ISBLANK(SHAREPOINT!A94),"",DATE(YEAR(SHAREPOINT!I94),MONTH(SHAREPOINT!I94),DAY(SHAREPOINT!I94)))</f>
        <v/>
      </c>
      <c r="B95" s="87" t="str">
        <f>IF(ISBLANK(SHAREPOINT!A94),"",SHAREPOINT!B94)</f>
        <v/>
      </c>
      <c r="C95" s="399">
        <f>+SHAREPOINT!C94</f>
        <v>0</v>
      </c>
      <c r="D95" s="399">
        <f>+SHAREPOINT!D94</f>
        <v>0</v>
      </c>
      <c r="E95" s="399">
        <f>+SHAREPOINT!E94</f>
        <v>0</v>
      </c>
      <c r="F95" s="390">
        <f t="shared" si="1"/>
        <v>0</v>
      </c>
      <c r="G95" s="87" t="str">
        <f>IF(ISBLANK(SHAREPOINT!A94),"",SHAREPOINT!F94)</f>
        <v/>
      </c>
      <c r="H95" s="391"/>
      <c r="I95" s="386" t="str">
        <f>IF(ISBLANK(SHAREPOINT!A94),"",SHAREPOINT!G94)</f>
        <v/>
      </c>
      <c r="J95" s="386" t="str">
        <f>IF(ISBLANK(SHAREPOINT!H94),"",SHAREPOINT!H94)</f>
        <v/>
      </c>
    </row>
    <row r="96" spans="1:10">
      <c r="A96" s="398" t="str">
        <f>IF(ISBLANK(SHAREPOINT!A95),"",DATE(YEAR(SHAREPOINT!I95),MONTH(SHAREPOINT!I95),DAY(SHAREPOINT!I95)))</f>
        <v/>
      </c>
      <c r="B96" s="87" t="str">
        <f>IF(ISBLANK(SHAREPOINT!A95),"",SHAREPOINT!B95)</f>
        <v/>
      </c>
      <c r="C96" s="399">
        <f>+SHAREPOINT!C95</f>
        <v>0</v>
      </c>
      <c r="D96" s="399">
        <f>+SHAREPOINT!D95</f>
        <v>0</v>
      </c>
      <c r="E96" s="399">
        <f>+SHAREPOINT!E95</f>
        <v>0</v>
      </c>
      <c r="F96" s="390">
        <f t="shared" si="1"/>
        <v>0</v>
      </c>
      <c r="G96" s="87" t="str">
        <f>IF(ISBLANK(SHAREPOINT!A95),"",SHAREPOINT!F95)</f>
        <v/>
      </c>
      <c r="H96" s="391"/>
      <c r="I96" s="386" t="str">
        <f>IF(ISBLANK(SHAREPOINT!A95),"",SHAREPOINT!G95)</f>
        <v/>
      </c>
      <c r="J96" s="386" t="str">
        <f>IF(ISBLANK(SHAREPOINT!H95),"",SHAREPOINT!H95)</f>
        <v/>
      </c>
    </row>
    <row r="97" spans="1:10">
      <c r="A97" s="398" t="str">
        <f>IF(ISBLANK(SHAREPOINT!A96),"",DATE(YEAR(SHAREPOINT!I96),MONTH(SHAREPOINT!I96),DAY(SHAREPOINT!I96)))</f>
        <v/>
      </c>
      <c r="B97" s="87" t="str">
        <f>IF(ISBLANK(SHAREPOINT!A96),"",SHAREPOINT!B96)</f>
        <v/>
      </c>
      <c r="C97" s="399">
        <f>+SHAREPOINT!C96</f>
        <v>0</v>
      </c>
      <c r="D97" s="399">
        <f>+SHAREPOINT!D96</f>
        <v>0</v>
      </c>
      <c r="E97" s="399">
        <f>+SHAREPOINT!E96</f>
        <v>0</v>
      </c>
      <c r="F97" s="390">
        <f t="shared" si="1"/>
        <v>0</v>
      </c>
      <c r="G97" s="87" t="str">
        <f>IF(ISBLANK(SHAREPOINT!A96),"",SHAREPOINT!F96)</f>
        <v/>
      </c>
      <c r="H97" s="391"/>
      <c r="I97" s="386" t="str">
        <f>IF(ISBLANK(SHAREPOINT!A96),"",SHAREPOINT!G96)</f>
        <v/>
      </c>
      <c r="J97" s="386" t="str">
        <f>IF(ISBLANK(SHAREPOINT!H96),"",SHAREPOINT!H96)</f>
        <v/>
      </c>
    </row>
    <row r="98" spans="1:10">
      <c r="A98" s="398" t="str">
        <f>IF(ISBLANK(SHAREPOINT!A97),"",DATE(YEAR(SHAREPOINT!I97),MONTH(SHAREPOINT!I97),DAY(SHAREPOINT!I97)))</f>
        <v/>
      </c>
      <c r="B98" s="87" t="str">
        <f>IF(ISBLANK(SHAREPOINT!A97),"",SHAREPOINT!B97)</f>
        <v/>
      </c>
      <c r="C98" s="399">
        <f>+SHAREPOINT!C97</f>
        <v>0</v>
      </c>
      <c r="D98" s="399">
        <f>+SHAREPOINT!D97</f>
        <v>0</v>
      </c>
      <c r="E98" s="399">
        <f>+SHAREPOINT!E97</f>
        <v>0</v>
      </c>
      <c r="F98" s="390">
        <f t="shared" si="1"/>
        <v>0</v>
      </c>
      <c r="G98" s="87" t="str">
        <f>IF(ISBLANK(SHAREPOINT!A97),"",SHAREPOINT!F97)</f>
        <v/>
      </c>
      <c r="H98" s="391"/>
      <c r="I98" s="386" t="str">
        <f>IF(ISBLANK(SHAREPOINT!A97),"",SHAREPOINT!G97)</f>
        <v/>
      </c>
      <c r="J98" s="386" t="str">
        <f>IF(ISBLANK(SHAREPOINT!H97),"",SHAREPOINT!H97)</f>
        <v/>
      </c>
    </row>
    <row r="99" spans="1:10">
      <c r="A99" s="398" t="str">
        <f>IF(ISBLANK(SHAREPOINT!A98),"",DATE(YEAR(SHAREPOINT!I98),MONTH(SHAREPOINT!I98),DAY(SHAREPOINT!I98)))</f>
        <v/>
      </c>
      <c r="B99" s="87" t="str">
        <f>IF(ISBLANK(SHAREPOINT!A98),"",SHAREPOINT!B98)</f>
        <v/>
      </c>
      <c r="C99" s="399">
        <f>+SHAREPOINT!C98</f>
        <v>0</v>
      </c>
      <c r="D99" s="399">
        <f>+SHAREPOINT!D98</f>
        <v>0</v>
      </c>
      <c r="E99" s="399">
        <f>+SHAREPOINT!E98</f>
        <v>0</v>
      </c>
      <c r="F99" s="390">
        <f t="shared" si="1"/>
        <v>0</v>
      </c>
      <c r="G99" s="87" t="str">
        <f>IF(ISBLANK(SHAREPOINT!A98),"",SHAREPOINT!F98)</f>
        <v/>
      </c>
      <c r="H99" s="391"/>
      <c r="I99" s="386" t="str">
        <f>IF(ISBLANK(SHAREPOINT!A98),"",SHAREPOINT!G98)</f>
        <v/>
      </c>
      <c r="J99" s="386" t="str">
        <f>IF(ISBLANK(SHAREPOINT!H98),"",SHAREPOINT!H98)</f>
        <v/>
      </c>
    </row>
    <row r="100" spans="1:10">
      <c r="A100" s="398" t="str">
        <f>IF(ISBLANK(SHAREPOINT!A99),"",DATE(YEAR(SHAREPOINT!I99),MONTH(SHAREPOINT!I99),DAY(SHAREPOINT!I99)))</f>
        <v/>
      </c>
      <c r="B100" s="87" t="str">
        <f>IF(ISBLANK(SHAREPOINT!A99),"",SHAREPOINT!B99)</f>
        <v/>
      </c>
      <c r="C100" s="399">
        <f>+SHAREPOINT!C99</f>
        <v>0</v>
      </c>
      <c r="D100" s="399">
        <f>+SHAREPOINT!D99</f>
        <v>0</v>
      </c>
      <c r="E100" s="399">
        <f>+SHAREPOINT!E99</f>
        <v>0</v>
      </c>
      <c r="F100" s="390">
        <f t="shared" si="1"/>
        <v>0</v>
      </c>
      <c r="G100" s="87" t="str">
        <f>IF(ISBLANK(SHAREPOINT!A99),"",SHAREPOINT!F99)</f>
        <v/>
      </c>
      <c r="H100" s="391"/>
      <c r="I100" s="386" t="str">
        <f>IF(ISBLANK(SHAREPOINT!A99),"",SHAREPOINT!G99)</f>
        <v/>
      </c>
      <c r="J100" s="386" t="str">
        <f>IF(ISBLANK(SHAREPOINT!H99),"",SHAREPOINT!H99)</f>
        <v/>
      </c>
    </row>
    <row r="101" spans="1:10">
      <c r="A101" s="398" t="str">
        <f>IF(ISBLANK(SHAREPOINT!A100),"",DATE(YEAR(SHAREPOINT!I100),MONTH(SHAREPOINT!I100),DAY(SHAREPOINT!I100)))</f>
        <v/>
      </c>
      <c r="B101" s="87" t="str">
        <f>IF(ISBLANK(SHAREPOINT!A100),"",SHAREPOINT!B100)</f>
        <v/>
      </c>
      <c r="C101" s="399">
        <f>+SHAREPOINT!C100</f>
        <v>0</v>
      </c>
      <c r="D101" s="399">
        <f>+SHAREPOINT!D100</f>
        <v>0</v>
      </c>
      <c r="E101" s="399">
        <f>+SHAREPOINT!E100</f>
        <v>0</v>
      </c>
      <c r="F101" s="390">
        <f t="shared" si="1"/>
        <v>0</v>
      </c>
      <c r="G101" s="87" t="str">
        <f>IF(ISBLANK(SHAREPOINT!A100),"",SHAREPOINT!F100)</f>
        <v/>
      </c>
      <c r="H101" s="391"/>
      <c r="I101" s="386" t="str">
        <f>IF(ISBLANK(SHAREPOINT!A100),"",SHAREPOINT!G100)</f>
        <v/>
      </c>
      <c r="J101" s="386" t="str">
        <f>IF(ISBLANK(SHAREPOINT!H100),"",SHAREPOINT!H100)</f>
        <v/>
      </c>
    </row>
    <row r="102" spans="1:10">
      <c r="A102" s="398" t="str">
        <f>IF(ISBLANK(SHAREPOINT!A101),"",DATE(YEAR(SHAREPOINT!I101),MONTH(SHAREPOINT!I101),DAY(SHAREPOINT!I101)))</f>
        <v/>
      </c>
      <c r="B102" s="87" t="str">
        <f>IF(ISBLANK(SHAREPOINT!A101),"",SHAREPOINT!B101)</f>
        <v/>
      </c>
      <c r="C102" s="399">
        <f>+SHAREPOINT!C101</f>
        <v>0</v>
      </c>
      <c r="D102" s="399">
        <f>+SHAREPOINT!D101</f>
        <v>0</v>
      </c>
      <c r="E102" s="399">
        <f>+SHAREPOINT!E101</f>
        <v>0</v>
      </c>
      <c r="F102" s="390">
        <f t="shared" si="1"/>
        <v>0</v>
      </c>
      <c r="G102" s="87" t="str">
        <f>IF(ISBLANK(SHAREPOINT!A101),"",SHAREPOINT!F101)</f>
        <v/>
      </c>
      <c r="H102" s="391"/>
      <c r="I102" s="386" t="str">
        <f>IF(ISBLANK(SHAREPOINT!A101),"",SHAREPOINT!G101)</f>
        <v/>
      </c>
      <c r="J102" s="386" t="str">
        <f>IF(ISBLANK(SHAREPOINT!H101),"",SHAREPOINT!H101)</f>
        <v/>
      </c>
    </row>
    <row r="103" spans="1:10">
      <c r="A103" s="398" t="str">
        <f>IF(ISBLANK(SHAREPOINT!A102),"",DATE(YEAR(SHAREPOINT!I102),MONTH(SHAREPOINT!I102),DAY(SHAREPOINT!I102)))</f>
        <v/>
      </c>
      <c r="B103" s="87" t="str">
        <f>IF(ISBLANK(SHAREPOINT!A102),"",SHAREPOINT!B102)</f>
        <v/>
      </c>
      <c r="C103" s="399">
        <f>+SHAREPOINT!C102</f>
        <v>0</v>
      </c>
      <c r="D103" s="399">
        <f>+SHAREPOINT!D102</f>
        <v>0</v>
      </c>
      <c r="E103" s="399">
        <f>+SHAREPOINT!E102</f>
        <v>0</v>
      </c>
      <c r="F103" s="390">
        <f t="shared" si="1"/>
        <v>0</v>
      </c>
      <c r="G103" s="87" t="str">
        <f>IF(ISBLANK(SHAREPOINT!A102),"",SHAREPOINT!F102)</f>
        <v/>
      </c>
      <c r="H103" s="391"/>
      <c r="I103" s="386" t="str">
        <f>IF(ISBLANK(SHAREPOINT!A102),"",SHAREPOINT!G102)</f>
        <v/>
      </c>
      <c r="J103" s="386" t="str">
        <f>IF(ISBLANK(SHAREPOINT!H102),"",SHAREPOINT!H102)</f>
        <v/>
      </c>
    </row>
    <row r="104" spans="1:10">
      <c r="A104" s="398" t="str">
        <f>IF(ISBLANK(SHAREPOINT!A103),"",DATE(YEAR(SHAREPOINT!I103),MONTH(SHAREPOINT!I103),DAY(SHAREPOINT!I103)))</f>
        <v/>
      </c>
      <c r="B104" s="87" t="str">
        <f>IF(ISBLANK(SHAREPOINT!A103),"",SHAREPOINT!B103)</f>
        <v/>
      </c>
      <c r="C104" s="399">
        <f>+SHAREPOINT!C103</f>
        <v>0</v>
      </c>
      <c r="D104" s="399">
        <f>+SHAREPOINT!D103</f>
        <v>0</v>
      </c>
      <c r="E104" s="399">
        <f>+SHAREPOINT!E103</f>
        <v>0</v>
      </c>
      <c r="F104" s="390">
        <f t="shared" si="1"/>
        <v>0</v>
      </c>
      <c r="G104" s="87" t="str">
        <f>IF(ISBLANK(SHAREPOINT!A103),"",SHAREPOINT!F103)</f>
        <v/>
      </c>
      <c r="H104" s="391"/>
      <c r="I104" s="386" t="str">
        <f>IF(ISBLANK(SHAREPOINT!A103),"",SHAREPOINT!G103)</f>
        <v/>
      </c>
      <c r="J104" s="386" t="str">
        <f>IF(ISBLANK(SHAREPOINT!H103),"",SHAREPOINT!H103)</f>
        <v/>
      </c>
    </row>
    <row r="105" spans="1:10">
      <c r="A105" s="398" t="str">
        <f>IF(ISBLANK(SHAREPOINT!A104),"",DATE(YEAR(SHAREPOINT!I104),MONTH(SHAREPOINT!I104),DAY(SHAREPOINT!I104)))</f>
        <v/>
      </c>
      <c r="B105" s="87" t="str">
        <f>IF(ISBLANK(SHAREPOINT!A104),"",SHAREPOINT!B104)</f>
        <v/>
      </c>
      <c r="C105" s="399">
        <f>+SHAREPOINT!C104</f>
        <v>0</v>
      </c>
      <c r="D105" s="399">
        <f>+SHAREPOINT!D104</f>
        <v>0</v>
      </c>
      <c r="E105" s="399">
        <f>+SHAREPOINT!E104</f>
        <v>0</v>
      </c>
      <c r="F105" s="390">
        <f t="shared" si="1"/>
        <v>0</v>
      </c>
      <c r="G105" s="87" t="str">
        <f>IF(ISBLANK(SHAREPOINT!A104),"",SHAREPOINT!F104)</f>
        <v/>
      </c>
      <c r="H105" s="391"/>
      <c r="I105" s="386" t="str">
        <f>IF(ISBLANK(SHAREPOINT!A104),"",SHAREPOINT!G104)</f>
        <v/>
      </c>
      <c r="J105" s="386" t="str">
        <f>IF(ISBLANK(SHAREPOINT!H104),"",SHAREPOINT!H104)</f>
        <v/>
      </c>
    </row>
    <row r="106" spans="1:10">
      <c r="A106" s="398" t="str">
        <f>IF(ISBLANK(SHAREPOINT!A105),"",DATE(YEAR(SHAREPOINT!I105),MONTH(SHAREPOINT!I105),DAY(SHAREPOINT!I105)))</f>
        <v/>
      </c>
      <c r="B106" s="87" t="str">
        <f>IF(ISBLANK(SHAREPOINT!A105),"",SHAREPOINT!B105)</f>
        <v/>
      </c>
      <c r="C106" s="399">
        <f>+SHAREPOINT!C105</f>
        <v>0</v>
      </c>
      <c r="D106" s="399">
        <f>+SHAREPOINT!D105</f>
        <v>0</v>
      </c>
      <c r="E106" s="399">
        <f>+SHAREPOINT!E105</f>
        <v>0</v>
      </c>
      <c r="F106" s="390">
        <f t="shared" si="1"/>
        <v>0</v>
      </c>
      <c r="G106" s="87" t="str">
        <f>IF(ISBLANK(SHAREPOINT!A105),"",SHAREPOINT!F105)</f>
        <v/>
      </c>
      <c r="H106" s="391"/>
      <c r="I106" s="386" t="str">
        <f>IF(ISBLANK(SHAREPOINT!A105),"",SHAREPOINT!G105)</f>
        <v/>
      </c>
      <c r="J106" s="386" t="str">
        <f>IF(ISBLANK(SHAREPOINT!H105),"",SHAREPOINT!H105)</f>
        <v/>
      </c>
    </row>
    <row r="107" spans="1:10">
      <c r="A107" s="398" t="str">
        <f>IF(ISBLANK(SHAREPOINT!A106),"",DATE(YEAR(SHAREPOINT!I106),MONTH(SHAREPOINT!I106),DAY(SHAREPOINT!I106)))</f>
        <v/>
      </c>
      <c r="B107" s="87" t="str">
        <f>IF(ISBLANK(SHAREPOINT!A106),"",SHAREPOINT!B106)</f>
        <v/>
      </c>
      <c r="C107" s="399">
        <f>+SHAREPOINT!C106</f>
        <v>0</v>
      </c>
      <c r="D107" s="399">
        <f>+SHAREPOINT!D106</f>
        <v>0</v>
      </c>
      <c r="E107" s="399">
        <f>+SHAREPOINT!E106</f>
        <v>0</v>
      </c>
      <c r="F107" s="390">
        <f t="shared" si="1"/>
        <v>0</v>
      </c>
      <c r="G107" s="87" t="str">
        <f>IF(ISBLANK(SHAREPOINT!A106),"",SHAREPOINT!F106)</f>
        <v/>
      </c>
      <c r="H107" s="391"/>
      <c r="I107" s="386" t="str">
        <f>IF(ISBLANK(SHAREPOINT!A106),"",SHAREPOINT!G106)</f>
        <v/>
      </c>
      <c r="J107" s="386" t="str">
        <f>IF(ISBLANK(SHAREPOINT!H106),"",SHAREPOINT!H106)</f>
        <v/>
      </c>
    </row>
    <row r="108" spans="1:10">
      <c r="A108" s="398" t="str">
        <f>IF(ISBLANK(SHAREPOINT!A107),"",DATE(YEAR(SHAREPOINT!I107),MONTH(SHAREPOINT!I107),DAY(SHAREPOINT!I107)))</f>
        <v/>
      </c>
      <c r="B108" s="87" t="str">
        <f>IF(ISBLANK(SHAREPOINT!A107),"",SHAREPOINT!B107)</f>
        <v/>
      </c>
      <c r="C108" s="399">
        <f>+SHAREPOINT!C107</f>
        <v>0</v>
      </c>
      <c r="D108" s="399">
        <f>+SHAREPOINT!D107</f>
        <v>0</v>
      </c>
      <c r="E108" s="399">
        <f>+SHAREPOINT!E107</f>
        <v>0</v>
      </c>
      <c r="F108" s="390">
        <f t="shared" si="1"/>
        <v>0</v>
      </c>
      <c r="G108" s="87" t="str">
        <f>IF(ISBLANK(SHAREPOINT!A107),"",SHAREPOINT!F107)</f>
        <v/>
      </c>
      <c r="H108" s="391"/>
      <c r="I108" s="386" t="str">
        <f>IF(ISBLANK(SHAREPOINT!A107),"",SHAREPOINT!G107)</f>
        <v/>
      </c>
      <c r="J108" s="386" t="str">
        <f>IF(ISBLANK(SHAREPOINT!H107),"",SHAREPOINT!H107)</f>
        <v/>
      </c>
    </row>
    <row r="109" spans="1:10">
      <c r="A109" s="398" t="str">
        <f>IF(ISBLANK(SHAREPOINT!A108),"",DATE(YEAR(SHAREPOINT!I108),MONTH(SHAREPOINT!I108),DAY(SHAREPOINT!I108)))</f>
        <v/>
      </c>
      <c r="B109" s="87" t="str">
        <f>IF(ISBLANK(SHAREPOINT!A108),"",SHAREPOINT!B108)</f>
        <v/>
      </c>
      <c r="C109" s="399">
        <f>+SHAREPOINT!C108</f>
        <v>0</v>
      </c>
      <c r="D109" s="399">
        <f>+SHAREPOINT!D108</f>
        <v>0</v>
      </c>
      <c r="E109" s="399">
        <f>+SHAREPOINT!E108</f>
        <v>0</v>
      </c>
      <c r="F109" s="390">
        <f t="shared" si="1"/>
        <v>0</v>
      </c>
      <c r="G109" s="87" t="str">
        <f>IF(ISBLANK(SHAREPOINT!A108),"",SHAREPOINT!F108)</f>
        <v/>
      </c>
      <c r="H109" s="391"/>
      <c r="I109" s="386" t="str">
        <f>IF(ISBLANK(SHAREPOINT!A108),"",SHAREPOINT!G108)</f>
        <v/>
      </c>
      <c r="J109" s="386" t="str">
        <f>IF(ISBLANK(SHAREPOINT!H108),"",SHAREPOINT!H108)</f>
        <v/>
      </c>
    </row>
    <row r="110" spans="1:10">
      <c r="A110" s="398" t="str">
        <f>IF(ISBLANK(SHAREPOINT!A109),"",DATE(YEAR(SHAREPOINT!I109),MONTH(SHAREPOINT!I109),DAY(SHAREPOINT!I109)))</f>
        <v/>
      </c>
      <c r="B110" s="87" t="str">
        <f>IF(ISBLANK(SHAREPOINT!A109),"",SHAREPOINT!B109)</f>
        <v/>
      </c>
      <c r="C110" s="399">
        <f>+SHAREPOINT!C109</f>
        <v>0</v>
      </c>
      <c r="D110" s="399">
        <f>+SHAREPOINT!D109</f>
        <v>0</v>
      </c>
      <c r="E110" s="399">
        <f>+SHAREPOINT!E109</f>
        <v>0</v>
      </c>
      <c r="F110" s="390">
        <f t="shared" si="1"/>
        <v>0</v>
      </c>
      <c r="G110" s="87" t="str">
        <f>IF(ISBLANK(SHAREPOINT!A109),"",SHAREPOINT!F109)</f>
        <v/>
      </c>
      <c r="H110" s="391"/>
      <c r="I110" s="386" t="str">
        <f>IF(ISBLANK(SHAREPOINT!A109),"",SHAREPOINT!G109)</f>
        <v/>
      </c>
      <c r="J110" s="386" t="str">
        <f>IF(ISBLANK(SHAREPOINT!H109),"",SHAREPOINT!H109)</f>
        <v/>
      </c>
    </row>
    <row r="111" spans="1:10">
      <c r="A111" s="398" t="str">
        <f>IF(ISBLANK(SHAREPOINT!A110),"",DATE(YEAR(SHAREPOINT!I110),MONTH(SHAREPOINT!I110),DAY(SHAREPOINT!I110)))</f>
        <v/>
      </c>
      <c r="B111" s="87" t="str">
        <f>IF(ISBLANK(SHAREPOINT!A110),"",SHAREPOINT!B110)</f>
        <v/>
      </c>
      <c r="C111" s="399">
        <f>+SHAREPOINT!C110</f>
        <v>0</v>
      </c>
      <c r="D111" s="399">
        <f>+SHAREPOINT!D110</f>
        <v>0</v>
      </c>
      <c r="E111" s="399">
        <f>+SHAREPOINT!E110</f>
        <v>0</v>
      </c>
      <c r="F111" s="390">
        <f t="shared" si="1"/>
        <v>0</v>
      </c>
      <c r="G111" s="87" t="str">
        <f>IF(ISBLANK(SHAREPOINT!A110),"",SHAREPOINT!F110)</f>
        <v/>
      </c>
      <c r="H111" s="391"/>
      <c r="I111" s="386" t="str">
        <f>IF(ISBLANK(SHAREPOINT!A110),"",SHAREPOINT!G110)</f>
        <v/>
      </c>
      <c r="J111" s="386" t="str">
        <f>IF(ISBLANK(SHAREPOINT!H110),"",SHAREPOINT!H110)</f>
        <v/>
      </c>
    </row>
    <row r="112" spans="1:10">
      <c r="A112" s="398" t="str">
        <f>IF(ISBLANK(SHAREPOINT!A111),"",DATE(YEAR(SHAREPOINT!I111),MONTH(SHAREPOINT!I111),DAY(SHAREPOINT!I111)))</f>
        <v/>
      </c>
      <c r="B112" s="87" t="str">
        <f>IF(ISBLANK(SHAREPOINT!A111),"",SHAREPOINT!B111)</f>
        <v/>
      </c>
      <c r="C112" s="399">
        <f>+SHAREPOINT!C111</f>
        <v>0</v>
      </c>
      <c r="D112" s="399">
        <f>+SHAREPOINT!D111</f>
        <v>0</v>
      </c>
      <c r="E112" s="399">
        <f>+SHAREPOINT!E111</f>
        <v>0</v>
      </c>
      <c r="F112" s="390">
        <f t="shared" si="1"/>
        <v>0</v>
      </c>
      <c r="G112" s="87" t="str">
        <f>IF(ISBLANK(SHAREPOINT!A111),"",SHAREPOINT!F111)</f>
        <v/>
      </c>
      <c r="H112" s="391"/>
      <c r="I112" s="386" t="str">
        <f>IF(ISBLANK(SHAREPOINT!A111),"",SHAREPOINT!G111)</f>
        <v/>
      </c>
      <c r="J112" s="386" t="str">
        <f>IF(ISBLANK(SHAREPOINT!H111),"",SHAREPOINT!H111)</f>
        <v/>
      </c>
    </row>
    <row r="113" spans="1:10">
      <c r="A113" s="398" t="str">
        <f>IF(ISBLANK(SHAREPOINT!A112),"",DATE(YEAR(SHAREPOINT!I112),MONTH(SHAREPOINT!I112),DAY(SHAREPOINT!I112)))</f>
        <v/>
      </c>
      <c r="B113" s="87" t="str">
        <f>IF(ISBLANK(SHAREPOINT!A112),"",SHAREPOINT!B112)</f>
        <v/>
      </c>
      <c r="C113" s="399">
        <f>+SHAREPOINT!C112</f>
        <v>0</v>
      </c>
      <c r="D113" s="399">
        <f>+SHAREPOINT!D112</f>
        <v>0</v>
      </c>
      <c r="E113" s="399">
        <f>+SHAREPOINT!E112</f>
        <v>0</v>
      </c>
      <c r="F113" s="390">
        <f t="shared" si="1"/>
        <v>0</v>
      </c>
      <c r="G113" s="87" t="str">
        <f>IF(ISBLANK(SHAREPOINT!A112),"",SHAREPOINT!F112)</f>
        <v/>
      </c>
      <c r="H113" s="391"/>
      <c r="I113" s="386" t="str">
        <f>IF(ISBLANK(SHAREPOINT!A112),"",SHAREPOINT!G112)</f>
        <v/>
      </c>
      <c r="J113" s="386" t="str">
        <f>IF(ISBLANK(SHAREPOINT!H112),"",SHAREPOINT!H112)</f>
        <v/>
      </c>
    </row>
    <row r="114" spans="1:10">
      <c r="A114" s="398" t="str">
        <f>IF(ISBLANK(SHAREPOINT!A113),"",DATE(YEAR(SHAREPOINT!I113),MONTH(SHAREPOINT!I113),DAY(SHAREPOINT!I113)))</f>
        <v/>
      </c>
      <c r="B114" s="87" t="str">
        <f>IF(ISBLANK(SHAREPOINT!A113),"",SHAREPOINT!B113)</f>
        <v/>
      </c>
      <c r="C114" s="399">
        <f>+SHAREPOINT!C113</f>
        <v>0</v>
      </c>
      <c r="D114" s="399">
        <f>+SHAREPOINT!D113</f>
        <v>0</v>
      </c>
      <c r="E114" s="399">
        <f>+SHAREPOINT!E113</f>
        <v>0</v>
      </c>
      <c r="F114" s="390">
        <f t="shared" si="1"/>
        <v>0</v>
      </c>
      <c r="G114" s="87" t="str">
        <f>IF(ISBLANK(SHAREPOINT!A113),"",SHAREPOINT!F113)</f>
        <v/>
      </c>
      <c r="H114" s="391"/>
      <c r="I114" s="386" t="str">
        <f>IF(ISBLANK(SHAREPOINT!A113),"",SHAREPOINT!G113)</f>
        <v/>
      </c>
      <c r="J114" s="386" t="str">
        <f>IF(ISBLANK(SHAREPOINT!H113),"",SHAREPOINT!H113)</f>
        <v/>
      </c>
    </row>
    <row r="115" spans="1:10">
      <c r="A115" s="398" t="str">
        <f>IF(ISBLANK(SHAREPOINT!A114),"",DATE(YEAR(SHAREPOINT!I114),MONTH(SHAREPOINT!I114),DAY(SHAREPOINT!I114)))</f>
        <v/>
      </c>
      <c r="B115" s="87" t="str">
        <f>IF(ISBLANK(SHAREPOINT!A114),"",SHAREPOINT!B114)</f>
        <v/>
      </c>
      <c r="C115" s="399">
        <f>+SHAREPOINT!C114</f>
        <v>0</v>
      </c>
      <c r="D115" s="399">
        <f>+SHAREPOINT!D114</f>
        <v>0</v>
      </c>
      <c r="E115" s="399">
        <f>+SHAREPOINT!E114</f>
        <v>0</v>
      </c>
      <c r="F115" s="390">
        <f t="shared" si="1"/>
        <v>0</v>
      </c>
      <c r="G115" s="87" t="str">
        <f>IF(ISBLANK(SHAREPOINT!A114),"",SHAREPOINT!F114)</f>
        <v/>
      </c>
      <c r="H115" s="391"/>
      <c r="I115" s="386" t="str">
        <f>IF(ISBLANK(SHAREPOINT!A114),"",SHAREPOINT!G114)</f>
        <v/>
      </c>
      <c r="J115" s="386" t="str">
        <f>IF(ISBLANK(SHAREPOINT!H114),"",SHAREPOINT!H114)</f>
        <v/>
      </c>
    </row>
    <row r="116" spans="1:10">
      <c r="A116" s="398" t="str">
        <f>IF(ISBLANK(SHAREPOINT!A115),"",DATE(YEAR(SHAREPOINT!I115),MONTH(SHAREPOINT!I115),DAY(SHAREPOINT!I115)))</f>
        <v/>
      </c>
      <c r="B116" s="87" t="str">
        <f>IF(ISBLANK(SHAREPOINT!A115),"",SHAREPOINT!B115)</f>
        <v/>
      </c>
      <c r="C116" s="399">
        <f>+SHAREPOINT!C115</f>
        <v>0</v>
      </c>
      <c r="D116" s="399">
        <f>+SHAREPOINT!D115</f>
        <v>0</v>
      </c>
      <c r="E116" s="399">
        <f>+SHAREPOINT!E115</f>
        <v>0</v>
      </c>
      <c r="F116" s="390">
        <f t="shared" si="1"/>
        <v>0</v>
      </c>
      <c r="G116" s="87" t="str">
        <f>IF(ISBLANK(SHAREPOINT!A115),"",SHAREPOINT!F115)</f>
        <v/>
      </c>
      <c r="H116" s="391"/>
      <c r="I116" s="386" t="str">
        <f>IF(ISBLANK(SHAREPOINT!A115),"",SHAREPOINT!G115)</f>
        <v/>
      </c>
      <c r="J116" s="386" t="str">
        <f>IF(ISBLANK(SHAREPOINT!H115),"",SHAREPOINT!H115)</f>
        <v/>
      </c>
    </row>
    <row r="117" spans="1:10">
      <c r="A117" s="398" t="str">
        <f>IF(ISBLANK(SHAREPOINT!A116),"",DATE(YEAR(SHAREPOINT!I116),MONTH(SHAREPOINT!I116),DAY(SHAREPOINT!I116)))</f>
        <v/>
      </c>
      <c r="B117" s="87" t="str">
        <f>IF(ISBLANK(SHAREPOINT!A116),"",SHAREPOINT!B116)</f>
        <v/>
      </c>
      <c r="C117" s="399">
        <f>+SHAREPOINT!C116</f>
        <v>0</v>
      </c>
      <c r="D117" s="399">
        <f>+SHAREPOINT!D116</f>
        <v>0</v>
      </c>
      <c r="E117" s="399">
        <f>+SHAREPOINT!E116</f>
        <v>0</v>
      </c>
      <c r="F117" s="390">
        <f t="shared" si="1"/>
        <v>0</v>
      </c>
      <c r="G117" s="87" t="str">
        <f>IF(ISBLANK(SHAREPOINT!A116),"",SHAREPOINT!F116)</f>
        <v/>
      </c>
      <c r="H117" s="391"/>
      <c r="I117" s="386" t="str">
        <f>IF(ISBLANK(SHAREPOINT!A116),"",SHAREPOINT!G116)</f>
        <v/>
      </c>
      <c r="J117" s="386" t="str">
        <f>IF(ISBLANK(SHAREPOINT!H116),"",SHAREPOINT!H116)</f>
        <v/>
      </c>
    </row>
    <row r="118" spans="1:10">
      <c r="A118" s="398" t="str">
        <f>IF(ISBLANK(SHAREPOINT!A117),"",DATE(YEAR(SHAREPOINT!I117),MONTH(SHAREPOINT!I117),DAY(SHAREPOINT!I117)))</f>
        <v/>
      </c>
      <c r="B118" s="87" t="str">
        <f>IF(ISBLANK(SHAREPOINT!A117),"",SHAREPOINT!B117)</f>
        <v/>
      </c>
      <c r="C118" s="399">
        <f>+SHAREPOINT!C117</f>
        <v>0</v>
      </c>
      <c r="D118" s="399">
        <f>+SHAREPOINT!D117</f>
        <v>0</v>
      </c>
      <c r="E118" s="399">
        <f>+SHAREPOINT!E117</f>
        <v>0</v>
      </c>
      <c r="F118" s="390">
        <f t="shared" si="1"/>
        <v>0</v>
      </c>
      <c r="G118" s="87" t="str">
        <f>IF(ISBLANK(SHAREPOINT!A117),"",SHAREPOINT!F117)</f>
        <v/>
      </c>
      <c r="H118" s="391"/>
      <c r="I118" s="386" t="str">
        <f>IF(ISBLANK(SHAREPOINT!A117),"",SHAREPOINT!G117)</f>
        <v/>
      </c>
      <c r="J118" s="386" t="str">
        <f>IF(ISBLANK(SHAREPOINT!H117),"",SHAREPOINT!H117)</f>
        <v/>
      </c>
    </row>
    <row r="119" spans="1:10">
      <c r="A119" s="398" t="str">
        <f>IF(ISBLANK(SHAREPOINT!A118),"",DATE(YEAR(SHAREPOINT!I118),MONTH(SHAREPOINT!I118),DAY(SHAREPOINT!I118)))</f>
        <v/>
      </c>
      <c r="B119" s="87" t="str">
        <f>IF(ISBLANK(SHAREPOINT!A118),"",SHAREPOINT!B118)</f>
        <v/>
      </c>
      <c r="C119" s="399">
        <f>+SHAREPOINT!C118</f>
        <v>0</v>
      </c>
      <c r="D119" s="399">
        <f>+SHAREPOINT!D118</f>
        <v>0</v>
      </c>
      <c r="E119" s="399">
        <f>+SHAREPOINT!E118</f>
        <v>0</v>
      </c>
      <c r="F119" s="390">
        <f t="shared" si="1"/>
        <v>0</v>
      </c>
      <c r="G119" s="87" t="str">
        <f>IF(ISBLANK(SHAREPOINT!A118),"",SHAREPOINT!F118)</f>
        <v/>
      </c>
      <c r="H119" s="391"/>
      <c r="I119" s="386" t="str">
        <f>IF(ISBLANK(SHAREPOINT!A118),"",SHAREPOINT!G118)</f>
        <v/>
      </c>
      <c r="J119" s="386" t="str">
        <f>IF(ISBLANK(SHAREPOINT!H118),"",SHAREPOINT!H118)</f>
        <v/>
      </c>
    </row>
    <row r="120" spans="1:10">
      <c r="A120" s="398" t="str">
        <f>IF(ISBLANK(SHAREPOINT!A119),"",DATE(YEAR(SHAREPOINT!I119),MONTH(SHAREPOINT!I119),DAY(SHAREPOINT!I119)))</f>
        <v/>
      </c>
      <c r="B120" s="87" t="str">
        <f>IF(ISBLANK(SHAREPOINT!A119),"",SHAREPOINT!B119)</f>
        <v/>
      </c>
      <c r="C120" s="399">
        <f>+SHAREPOINT!C119</f>
        <v>0</v>
      </c>
      <c r="D120" s="399">
        <f>+SHAREPOINT!D119</f>
        <v>0</v>
      </c>
      <c r="E120" s="399">
        <f>+SHAREPOINT!E119</f>
        <v>0</v>
      </c>
      <c r="F120" s="390">
        <f t="shared" si="1"/>
        <v>0</v>
      </c>
      <c r="G120" s="87" t="str">
        <f>IF(ISBLANK(SHAREPOINT!A119),"",SHAREPOINT!F119)</f>
        <v/>
      </c>
      <c r="H120" s="391"/>
      <c r="I120" s="386" t="str">
        <f>IF(ISBLANK(SHAREPOINT!A119),"",SHAREPOINT!G119)</f>
        <v/>
      </c>
      <c r="J120" s="386" t="str">
        <f>IF(ISBLANK(SHAREPOINT!H119),"",SHAREPOINT!H119)</f>
        <v/>
      </c>
    </row>
    <row r="121" spans="1:10">
      <c r="A121" s="398" t="str">
        <f>IF(ISBLANK(SHAREPOINT!A120),"",DATE(YEAR(SHAREPOINT!I120),MONTH(SHAREPOINT!I120),DAY(SHAREPOINT!I120)))</f>
        <v/>
      </c>
      <c r="B121" s="87" t="str">
        <f>IF(ISBLANK(SHAREPOINT!A120),"",SHAREPOINT!B120)</f>
        <v/>
      </c>
      <c r="C121" s="399">
        <f>+SHAREPOINT!C120</f>
        <v>0</v>
      </c>
      <c r="D121" s="399">
        <f>+SHAREPOINT!D120</f>
        <v>0</v>
      </c>
      <c r="E121" s="399">
        <f>+SHAREPOINT!E120</f>
        <v>0</v>
      </c>
      <c r="F121" s="390">
        <f t="shared" si="1"/>
        <v>0</v>
      </c>
      <c r="G121" s="87" t="str">
        <f>IF(ISBLANK(SHAREPOINT!A120),"",SHAREPOINT!F120)</f>
        <v/>
      </c>
      <c r="H121" s="391"/>
      <c r="I121" s="386" t="str">
        <f>IF(ISBLANK(SHAREPOINT!A120),"",SHAREPOINT!G120)</f>
        <v/>
      </c>
      <c r="J121" s="386" t="str">
        <f>IF(ISBLANK(SHAREPOINT!H120),"",SHAREPOINT!H120)</f>
        <v/>
      </c>
    </row>
    <row r="122" spans="1:10">
      <c r="A122" s="398" t="str">
        <f>IF(ISBLANK(SHAREPOINT!A121),"",DATE(YEAR(SHAREPOINT!I121),MONTH(SHAREPOINT!I121),DAY(SHAREPOINT!I121)))</f>
        <v/>
      </c>
      <c r="B122" s="87" t="str">
        <f>IF(ISBLANK(SHAREPOINT!A121),"",SHAREPOINT!B121)</f>
        <v/>
      </c>
      <c r="C122" s="399">
        <f>+SHAREPOINT!C121</f>
        <v>0</v>
      </c>
      <c r="D122" s="399">
        <f>+SHAREPOINT!D121</f>
        <v>0</v>
      </c>
      <c r="E122" s="399">
        <f>+SHAREPOINT!E121</f>
        <v>0</v>
      </c>
      <c r="F122" s="390">
        <f t="shared" si="1"/>
        <v>0</v>
      </c>
      <c r="G122" s="87" t="str">
        <f>IF(ISBLANK(SHAREPOINT!A121),"",SHAREPOINT!F121)</f>
        <v/>
      </c>
      <c r="H122" s="391"/>
      <c r="I122" s="386" t="str">
        <f>IF(ISBLANK(SHAREPOINT!A121),"",SHAREPOINT!G121)</f>
        <v/>
      </c>
      <c r="J122" s="386" t="str">
        <f>IF(ISBLANK(SHAREPOINT!H121),"",SHAREPOINT!H121)</f>
        <v/>
      </c>
    </row>
    <row r="123" spans="1:10">
      <c r="A123" s="398" t="str">
        <f>IF(ISBLANK(SHAREPOINT!A122),"",DATE(YEAR(SHAREPOINT!I122),MONTH(SHAREPOINT!I122),DAY(SHAREPOINT!I122)))</f>
        <v/>
      </c>
      <c r="B123" s="87" t="str">
        <f>IF(ISBLANK(SHAREPOINT!A122),"",SHAREPOINT!B122)</f>
        <v/>
      </c>
      <c r="C123" s="399">
        <f>+SHAREPOINT!C122</f>
        <v>0</v>
      </c>
      <c r="D123" s="399">
        <f>+SHAREPOINT!D122</f>
        <v>0</v>
      </c>
      <c r="E123" s="399">
        <f>+SHAREPOINT!E122</f>
        <v>0</v>
      </c>
      <c r="F123" s="390">
        <f t="shared" si="1"/>
        <v>0</v>
      </c>
      <c r="G123" s="87" t="str">
        <f>IF(ISBLANK(SHAREPOINT!A122),"",SHAREPOINT!F122)</f>
        <v/>
      </c>
      <c r="H123" s="391"/>
      <c r="I123" s="386" t="str">
        <f>IF(ISBLANK(SHAREPOINT!A122),"",SHAREPOINT!G122)</f>
        <v/>
      </c>
      <c r="J123" s="386" t="str">
        <f>IF(ISBLANK(SHAREPOINT!H122),"",SHAREPOINT!H122)</f>
        <v/>
      </c>
    </row>
    <row r="124" spans="1:10">
      <c r="A124" s="398" t="str">
        <f>IF(ISBLANK(SHAREPOINT!A123),"",DATE(YEAR(SHAREPOINT!I123),MONTH(SHAREPOINT!I123),DAY(SHAREPOINT!I123)))</f>
        <v/>
      </c>
      <c r="B124" s="87" t="str">
        <f>IF(ISBLANK(SHAREPOINT!A123),"",SHAREPOINT!B123)</f>
        <v/>
      </c>
      <c r="C124" s="399">
        <f>+SHAREPOINT!C123</f>
        <v>0</v>
      </c>
      <c r="D124" s="399">
        <f>+SHAREPOINT!D123</f>
        <v>0</v>
      </c>
      <c r="E124" s="399">
        <f>+SHAREPOINT!E123</f>
        <v>0</v>
      </c>
      <c r="F124" s="390">
        <f t="shared" si="1"/>
        <v>0</v>
      </c>
      <c r="G124" s="87" t="str">
        <f>IF(ISBLANK(SHAREPOINT!A123),"",SHAREPOINT!F123)</f>
        <v/>
      </c>
      <c r="H124" s="391"/>
      <c r="I124" s="386" t="str">
        <f>IF(ISBLANK(SHAREPOINT!A123),"",SHAREPOINT!G123)</f>
        <v/>
      </c>
      <c r="J124" s="386" t="str">
        <f>IF(ISBLANK(SHAREPOINT!H123),"",SHAREPOINT!H123)</f>
        <v/>
      </c>
    </row>
    <row r="125" spans="1:10">
      <c r="A125" s="398" t="str">
        <f>IF(ISBLANK(SHAREPOINT!A124),"",DATE(YEAR(SHAREPOINT!I124),MONTH(SHAREPOINT!I124),DAY(SHAREPOINT!I124)))</f>
        <v/>
      </c>
      <c r="B125" s="87" t="str">
        <f>IF(ISBLANK(SHAREPOINT!A124),"",SHAREPOINT!B124)</f>
        <v/>
      </c>
      <c r="C125" s="399">
        <f>+SHAREPOINT!C124</f>
        <v>0</v>
      </c>
      <c r="D125" s="399">
        <f>+SHAREPOINT!D124</f>
        <v>0</v>
      </c>
      <c r="E125" s="399">
        <f>+SHAREPOINT!E124</f>
        <v>0</v>
      </c>
      <c r="F125" s="390">
        <f t="shared" si="1"/>
        <v>0</v>
      </c>
      <c r="G125" s="87" t="str">
        <f>IF(ISBLANK(SHAREPOINT!A124),"",SHAREPOINT!F124)</f>
        <v/>
      </c>
      <c r="H125" s="391"/>
      <c r="I125" s="386" t="str">
        <f>IF(ISBLANK(SHAREPOINT!A124),"",SHAREPOINT!G124)</f>
        <v/>
      </c>
      <c r="J125" s="386" t="str">
        <f>IF(ISBLANK(SHAREPOINT!H124),"",SHAREPOINT!H124)</f>
        <v/>
      </c>
    </row>
    <row r="126" spans="1:10">
      <c r="A126" s="398" t="str">
        <f>IF(ISBLANK(SHAREPOINT!A125),"",DATE(YEAR(SHAREPOINT!I125),MONTH(SHAREPOINT!I125),DAY(SHAREPOINT!I125)))</f>
        <v/>
      </c>
      <c r="B126" s="87" t="str">
        <f>IF(ISBLANK(SHAREPOINT!A125),"",SHAREPOINT!B125)</f>
        <v/>
      </c>
      <c r="C126" s="399">
        <f>+SHAREPOINT!C125</f>
        <v>0</v>
      </c>
      <c r="D126" s="399">
        <f>+SHAREPOINT!D125</f>
        <v>0</v>
      </c>
      <c r="E126" s="399">
        <f>+SHAREPOINT!E125</f>
        <v>0</v>
      </c>
      <c r="F126" s="390">
        <f t="shared" ref="F126:F160" si="2">IFERROR(+IF(E126&gt;D126,E126-D126,E126-24+(24-D126)),"")</f>
        <v>0</v>
      </c>
      <c r="G126" s="87" t="str">
        <f>IF(ISBLANK(SHAREPOINT!A125),"",SHAREPOINT!F125)</f>
        <v/>
      </c>
      <c r="H126" s="391"/>
      <c r="I126" s="386" t="str">
        <f>IF(ISBLANK(SHAREPOINT!A125),"",SHAREPOINT!G125)</f>
        <v/>
      </c>
      <c r="J126" s="386" t="str">
        <f>IF(ISBLANK(SHAREPOINT!H125),"",SHAREPOINT!H125)</f>
        <v/>
      </c>
    </row>
    <row r="127" spans="1:10">
      <c r="A127" s="398" t="str">
        <f>IF(ISBLANK(SHAREPOINT!A126),"",DATE(YEAR(SHAREPOINT!I126),MONTH(SHAREPOINT!I126),DAY(SHAREPOINT!I126)))</f>
        <v/>
      </c>
      <c r="B127" s="87" t="str">
        <f>IF(ISBLANK(SHAREPOINT!A126),"",SHAREPOINT!B126)</f>
        <v/>
      </c>
      <c r="C127" s="399">
        <f>+SHAREPOINT!C126</f>
        <v>0</v>
      </c>
      <c r="D127" s="399">
        <f>+SHAREPOINT!D126</f>
        <v>0</v>
      </c>
      <c r="E127" s="399">
        <f>+SHAREPOINT!E126</f>
        <v>0</v>
      </c>
      <c r="F127" s="390">
        <f t="shared" si="2"/>
        <v>0</v>
      </c>
      <c r="G127" s="87" t="str">
        <f>IF(ISBLANK(SHAREPOINT!A126),"",SHAREPOINT!F126)</f>
        <v/>
      </c>
      <c r="H127" s="391"/>
      <c r="I127" s="386" t="str">
        <f>IF(ISBLANK(SHAREPOINT!A126),"",SHAREPOINT!G126)</f>
        <v/>
      </c>
      <c r="J127" s="386" t="str">
        <f>IF(ISBLANK(SHAREPOINT!H126),"",SHAREPOINT!H126)</f>
        <v/>
      </c>
    </row>
    <row r="128" spans="1:10">
      <c r="A128" s="398" t="str">
        <f>IF(ISBLANK(SHAREPOINT!A127),"",DATE(YEAR(SHAREPOINT!I127),MONTH(SHAREPOINT!I127),DAY(SHAREPOINT!I127)))</f>
        <v/>
      </c>
      <c r="B128" s="87" t="str">
        <f>IF(ISBLANK(SHAREPOINT!A127),"",SHAREPOINT!B127)</f>
        <v/>
      </c>
      <c r="C128" s="399">
        <f>+SHAREPOINT!C127</f>
        <v>0</v>
      </c>
      <c r="D128" s="399">
        <f>+SHAREPOINT!D127</f>
        <v>0</v>
      </c>
      <c r="E128" s="399">
        <f>+SHAREPOINT!E127</f>
        <v>0</v>
      </c>
      <c r="F128" s="390">
        <f t="shared" si="2"/>
        <v>0</v>
      </c>
      <c r="G128" s="87" t="str">
        <f>IF(ISBLANK(SHAREPOINT!A127),"",SHAREPOINT!F127)</f>
        <v/>
      </c>
      <c r="H128" s="391"/>
      <c r="I128" s="386" t="str">
        <f>IF(ISBLANK(SHAREPOINT!A127),"",SHAREPOINT!G127)</f>
        <v/>
      </c>
      <c r="J128" s="386" t="str">
        <f>IF(ISBLANK(SHAREPOINT!H127),"",SHAREPOINT!H127)</f>
        <v/>
      </c>
    </row>
    <row r="129" spans="1:10">
      <c r="A129" s="398" t="str">
        <f>IF(ISBLANK(SHAREPOINT!A128),"",DATE(YEAR(SHAREPOINT!I128),MONTH(SHAREPOINT!I128),DAY(SHAREPOINT!I128)))</f>
        <v/>
      </c>
      <c r="B129" s="87" t="str">
        <f>IF(ISBLANK(SHAREPOINT!A128),"",SHAREPOINT!B128)</f>
        <v/>
      </c>
      <c r="C129" s="399">
        <f>+SHAREPOINT!C128</f>
        <v>0</v>
      </c>
      <c r="D129" s="399">
        <f>+SHAREPOINT!D128</f>
        <v>0</v>
      </c>
      <c r="E129" s="399">
        <f>+SHAREPOINT!E128</f>
        <v>0</v>
      </c>
      <c r="F129" s="390">
        <f t="shared" si="2"/>
        <v>0</v>
      </c>
      <c r="G129" s="87" t="str">
        <f>IF(ISBLANK(SHAREPOINT!A128),"",SHAREPOINT!F128)</f>
        <v/>
      </c>
      <c r="H129" s="391"/>
      <c r="I129" s="386" t="str">
        <f>IF(ISBLANK(SHAREPOINT!A128),"",SHAREPOINT!G128)</f>
        <v/>
      </c>
      <c r="J129" s="386" t="str">
        <f>IF(ISBLANK(SHAREPOINT!H128),"",SHAREPOINT!H128)</f>
        <v/>
      </c>
    </row>
    <row r="130" spans="1:10">
      <c r="A130" s="398" t="str">
        <f>IF(ISBLANK(SHAREPOINT!A129),"",DATE(YEAR(SHAREPOINT!I129),MONTH(SHAREPOINT!I129),DAY(SHAREPOINT!I129)))</f>
        <v/>
      </c>
      <c r="B130" s="87" t="str">
        <f>IF(ISBLANK(SHAREPOINT!A129),"",SHAREPOINT!B129)</f>
        <v/>
      </c>
      <c r="C130" s="399">
        <f>+SHAREPOINT!C129</f>
        <v>0</v>
      </c>
      <c r="D130" s="399">
        <f>+SHAREPOINT!D129</f>
        <v>0</v>
      </c>
      <c r="E130" s="399">
        <f>+SHAREPOINT!E129</f>
        <v>0</v>
      </c>
      <c r="F130" s="390">
        <f t="shared" si="2"/>
        <v>0</v>
      </c>
      <c r="G130" s="87" t="str">
        <f>IF(ISBLANK(SHAREPOINT!A129),"",SHAREPOINT!F129)</f>
        <v/>
      </c>
      <c r="H130" s="391"/>
      <c r="I130" s="386" t="str">
        <f>IF(ISBLANK(SHAREPOINT!A129),"",SHAREPOINT!G129)</f>
        <v/>
      </c>
      <c r="J130" s="386" t="str">
        <f>IF(ISBLANK(SHAREPOINT!H129),"",SHAREPOINT!H129)</f>
        <v/>
      </c>
    </row>
    <row r="131" spans="1:10">
      <c r="A131" s="398" t="str">
        <f>IF(ISBLANK(SHAREPOINT!A130),"",DATE(YEAR(SHAREPOINT!I130),MONTH(SHAREPOINT!I130),DAY(SHAREPOINT!I130)))</f>
        <v/>
      </c>
      <c r="B131" s="87" t="str">
        <f>IF(ISBLANK(SHAREPOINT!A130),"",SHAREPOINT!B130)</f>
        <v/>
      </c>
      <c r="C131" s="399">
        <f>+SHAREPOINT!C130</f>
        <v>0</v>
      </c>
      <c r="D131" s="399">
        <f>+SHAREPOINT!D130</f>
        <v>0</v>
      </c>
      <c r="E131" s="399">
        <f>+SHAREPOINT!E130</f>
        <v>0</v>
      </c>
      <c r="F131" s="390">
        <f t="shared" si="2"/>
        <v>0</v>
      </c>
      <c r="G131" s="87" t="str">
        <f>IF(ISBLANK(SHAREPOINT!A130),"",SHAREPOINT!F130)</f>
        <v/>
      </c>
      <c r="H131" s="391"/>
      <c r="I131" s="386" t="str">
        <f>IF(ISBLANK(SHAREPOINT!A130),"",SHAREPOINT!G130)</f>
        <v/>
      </c>
      <c r="J131" s="386" t="str">
        <f>IF(ISBLANK(SHAREPOINT!H130),"",SHAREPOINT!H130)</f>
        <v/>
      </c>
    </row>
    <row r="132" spans="1:10">
      <c r="A132" s="398" t="str">
        <f>IF(ISBLANK(SHAREPOINT!A131),"",DATE(YEAR(SHAREPOINT!I131),MONTH(SHAREPOINT!I131),DAY(SHAREPOINT!I131)))</f>
        <v/>
      </c>
      <c r="B132" s="87" t="str">
        <f>IF(ISBLANK(SHAREPOINT!A131),"",SHAREPOINT!B131)</f>
        <v/>
      </c>
      <c r="C132" s="399">
        <f>+SHAREPOINT!C131</f>
        <v>0</v>
      </c>
      <c r="D132" s="399">
        <f>+SHAREPOINT!D131</f>
        <v>0</v>
      </c>
      <c r="E132" s="399">
        <f>+SHAREPOINT!E131</f>
        <v>0</v>
      </c>
      <c r="F132" s="390">
        <f t="shared" si="2"/>
        <v>0</v>
      </c>
      <c r="G132" s="87" t="str">
        <f>IF(ISBLANK(SHAREPOINT!A131),"",SHAREPOINT!F131)</f>
        <v/>
      </c>
      <c r="H132" s="391"/>
      <c r="I132" s="386" t="str">
        <f>IF(ISBLANK(SHAREPOINT!A131),"",SHAREPOINT!G131)</f>
        <v/>
      </c>
      <c r="J132" s="386" t="str">
        <f>IF(ISBLANK(SHAREPOINT!H131),"",SHAREPOINT!H131)</f>
        <v/>
      </c>
    </row>
    <row r="133" spans="1:10">
      <c r="A133" s="398" t="str">
        <f>IF(ISBLANK(SHAREPOINT!A132),"",DATE(YEAR(SHAREPOINT!I132),MONTH(SHAREPOINT!I132),DAY(SHAREPOINT!I132)))</f>
        <v/>
      </c>
      <c r="B133" s="87" t="str">
        <f>IF(ISBLANK(SHAREPOINT!A132),"",SHAREPOINT!B132)</f>
        <v/>
      </c>
      <c r="C133" s="399">
        <f>+SHAREPOINT!C132</f>
        <v>0</v>
      </c>
      <c r="D133" s="399">
        <f>+SHAREPOINT!D132</f>
        <v>0</v>
      </c>
      <c r="E133" s="399">
        <f>+SHAREPOINT!E132</f>
        <v>0</v>
      </c>
      <c r="F133" s="390">
        <f t="shared" si="2"/>
        <v>0</v>
      </c>
      <c r="G133" s="87" t="str">
        <f>IF(ISBLANK(SHAREPOINT!A132),"",SHAREPOINT!F132)</f>
        <v/>
      </c>
      <c r="H133" s="391"/>
      <c r="I133" s="386" t="str">
        <f>IF(ISBLANK(SHAREPOINT!A132),"",SHAREPOINT!G132)</f>
        <v/>
      </c>
      <c r="J133" s="386" t="str">
        <f>IF(ISBLANK(SHAREPOINT!H132),"",SHAREPOINT!H132)</f>
        <v/>
      </c>
    </row>
    <row r="134" spans="1:10">
      <c r="A134" s="398" t="str">
        <f>IF(ISBLANK(SHAREPOINT!A133),"",DATE(YEAR(SHAREPOINT!I133),MONTH(SHAREPOINT!I133),DAY(SHAREPOINT!I133)))</f>
        <v/>
      </c>
      <c r="B134" s="87" t="str">
        <f>IF(ISBLANK(SHAREPOINT!A133),"",SHAREPOINT!B133)</f>
        <v/>
      </c>
      <c r="C134" s="399">
        <f>+SHAREPOINT!C133</f>
        <v>0</v>
      </c>
      <c r="D134" s="399">
        <f>+SHAREPOINT!D133</f>
        <v>0</v>
      </c>
      <c r="E134" s="399">
        <f>+SHAREPOINT!E133</f>
        <v>0</v>
      </c>
      <c r="F134" s="390">
        <f t="shared" si="2"/>
        <v>0</v>
      </c>
      <c r="G134" s="87" t="str">
        <f>IF(ISBLANK(SHAREPOINT!A133),"",SHAREPOINT!F133)</f>
        <v/>
      </c>
      <c r="H134" s="391"/>
      <c r="I134" s="386" t="str">
        <f>IF(ISBLANK(SHAREPOINT!A133),"",SHAREPOINT!G133)</f>
        <v/>
      </c>
      <c r="J134" s="386" t="str">
        <f>IF(ISBLANK(SHAREPOINT!H133),"",SHAREPOINT!H133)</f>
        <v/>
      </c>
    </row>
    <row r="135" spans="1:10">
      <c r="A135" s="398" t="str">
        <f>IF(ISBLANK(SHAREPOINT!A134),"",DATE(YEAR(SHAREPOINT!I134),MONTH(SHAREPOINT!I134),DAY(SHAREPOINT!I134)))</f>
        <v/>
      </c>
      <c r="B135" s="87" t="str">
        <f>IF(ISBLANK(SHAREPOINT!A134),"",SHAREPOINT!B134)</f>
        <v/>
      </c>
      <c r="C135" s="399">
        <f>+SHAREPOINT!C134</f>
        <v>0</v>
      </c>
      <c r="D135" s="399">
        <f>+SHAREPOINT!D134</f>
        <v>0</v>
      </c>
      <c r="E135" s="399">
        <f>+SHAREPOINT!E134</f>
        <v>0</v>
      </c>
      <c r="F135" s="390">
        <f t="shared" si="2"/>
        <v>0</v>
      </c>
      <c r="G135" s="87" t="str">
        <f>IF(ISBLANK(SHAREPOINT!A134),"",SHAREPOINT!F134)</f>
        <v/>
      </c>
      <c r="H135" s="391"/>
      <c r="I135" s="386" t="str">
        <f>IF(ISBLANK(SHAREPOINT!A134),"",SHAREPOINT!G134)</f>
        <v/>
      </c>
      <c r="J135" s="386" t="str">
        <f>IF(ISBLANK(SHAREPOINT!H134),"",SHAREPOINT!H134)</f>
        <v/>
      </c>
    </row>
    <row r="136" spans="1:10">
      <c r="A136" s="398" t="str">
        <f>IF(ISBLANK(SHAREPOINT!A135),"",DATE(YEAR(SHAREPOINT!I135),MONTH(SHAREPOINT!I135),DAY(SHAREPOINT!I135)))</f>
        <v/>
      </c>
      <c r="B136" s="87" t="str">
        <f>IF(ISBLANK(SHAREPOINT!A135),"",SHAREPOINT!B135)</f>
        <v/>
      </c>
      <c r="C136" s="399">
        <f>+SHAREPOINT!C135</f>
        <v>0</v>
      </c>
      <c r="D136" s="399">
        <f>+SHAREPOINT!D135</f>
        <v>0</v>
      </c>
      <c r="E136" s="399">
        <f>+SHAREPOINT!E135</f>
        <v>0</v>
      </c>
      <c r="F136" s="390">
        <f t="shared" si="2"/>
        <v>0</v>
      </c>
      <c r="G136" s="87" t="str">
        <f>IF(ISBLANK(SHAREPOINT!A135),"",SHAREPOINT!F135)</f>
        <v/>
      </c>
      <c r="H136" s="391"/>
      <c r="I136" s="386" t="str">
        <f>IF(ISBLANK(SHAREPOINT!A135),"",SHAREPOINT!G135)</f>
        <v/>
      </c>
      <c r="J136" s="386" t="str">
        <f>IF(ISBLANK(SHAREPOINT!H135),"",SHAREPOINT!H135)</f>
        <v/>
      </c>
    </row>
    <row r="137" spans="1:10">
      <c r="A137" s="398" t="str">
        <f>IF(ISBLANK(SHAREPOINT!A136),"",DATE(YEAR(SHAREPOINT!I136),MONTH(SHAREPOINT!I136),DAY(SHAREPOINT!I136)))</f>
        <v/>
      </c>
      <c r="B137" s="87" t="str">
        <f>IF(ISBLANK(SHAREPOINT!A136),"",SHAREPOINT!B136)</f>
        <v/>
      </c>
      <c r="C137" s="399">
        <f>+SHAREPOINT!C136</f>
        <v>0</v>
      </c>
      <c r="D137" s="399">
        <f>+SHAREPOINT!D136</f>
        <v>0</v>
      </c>
      <c r="E137" s="399">
        <f>+SHAREPOINT!E136</f>
        <v>0</v>
      </c>
      <c r="F137" s="390">
        <f t="shared" si="2"/>
        <v>0</v>
      </c>
      <c r="G137" s="87" t="str">
        <f>IF(ISBLANK(SHAREPOINT!A136),"",SHAREPOINT!F136)</f>
        <v/>
      </c>
      <c r="H137" s="391"/>
      <c r="I137" s="386" t="str">
        <f>IF(ISBLANK(SHAREPOINT!A136),"",SHAREPOINT!G136)</f>
        <v/>
      </c>
      <c r="J137" s="386" t="str">
        <f>IF(ISBLANK(SHAREPOINT!H136),"",SHAREPOINT!H136)</f>
        <v/>
      </c>
    </row>
    <row r="138" spans="1:10">
      <c r="A138" s="398" t="str">
        <f>IF(ISBLANK(SHAREPOINT!A137),"",DATE(YEAR(SHAREPOINT!I137),MONTH(SHAREPOINT!I137),DAY(SHAREPOINT!I137)))</f>
        <v/>
      </c>
      <c r="B138" s="87" t="str">
        <f>IF(ISBLANK(SHAREPOINT!A137),"",SHAREPOINT!B137)</f>
        <v/>
      </c>
      <c r="C138" s="399">
        <f>+SHAREPOINT!C137</f>
        <v>0</v>
      </c>
      <c r="D138" s="399">
        <f>+SHAREPOINT!D137</f>
        <v>0</v>
      </c>
      <c r="E138" s="399">
        <f>+SHAREPOINT!E137</f>
        <v>0</v>
      </c>
      <c r="F138" s="390">
        <f t="shared" si="2"/>
        <v>0</v>
      </c>
      <c r="G138" s="87" t="str">
        <f>IF(ISBLANK(SHAREPOINT!A137),"",SHAREPOINT!F137)</f>
        <v/>
      </c>
      <c r="H138" s="391"/>
      <c r="I138" s="386" t="str">
        <f>IF(ISBLANK(SHAREPOINT!A137),"",SHAREPOINT!G137)</f>
        <v/>
      </c>
      <c r="J138" s="386" t="str">
        <f>IF(ISBLANK(SHAREPOINT!H137),"",SHAREPOINT!H137)</f>
        <v/>
      </c>
    </row>
    <row r="139" spans="1:10">
      <c r="A139" s="398" t="str">
        <f>IF(ISBLANK(SHAREPOINT!A138),"",DATE(YEAR(SHAREPOINT!I138),MONTH(SHAREPOINT!I138),DAY(SHAREPOINT!I138)))</f>
        <v/>
      </c>
      <c r="B139" s="87" t="str">
        <f>IF(ISBLANK(SHAREPOINT!A138),"",SHAREPOINT!B138)</f>
        <v/>
      </c>
      <c r="C139" s="399">
        <f>+SHAREPOINT!C138</f>
        <v>0</v>
      </c>
      <c r="D139" s="399">
        <f>+SHAREPOINT!D138</f>
        <v>0</v>
      </c>
      <c r="E139" s="399">
        <f>+SHAREPOINT!E138</f>
        <v>0</v>
      </c>
      <c r="F139" s="390">
        <f t="shared" si="2"/>
        <v>0</v>
      </c>
      <c r="G139" s="87" t="str">
        <f>IF(ISBLANK(SHAREPOINT!A138),"",SHAREPOINT!F138)</f>
        <v/>
      </c>
      <c r="H139" s="391"/>
      <c r="I139" s="386" t="str">
        <f>IF(ISBLANK(SHAREPOINT!A138),"",SHAREPOINT!G138)</f>
        <v/>
      </c>
      <c r="J139" s="386" t="str">
        <f>IF(ISBLANK(SHAREPOINT!H138),"",SHAREPOINT!H138)</f>
        <v/>
      </c>
    </row>
    <row r="140" spans="1:10">
      <c r="A140" s="398" t="str">
        <f>IF(ISBLANK(SHAREPOINT!A139),"",DATE(YEAR(SHAREPOINT!I139),MONTH(SHAREPOINT!I139),DAY(SHAREPOINT!I139)))</f>
        <v/>
      </c>
      <c r="B140" s="87" t="str">
        <f>IF(ISBLANK(SHAREPOINT!A139),"",SHAREPOINT!B139)</f>
        <v/>
      </c>
      <c r="C140" s="399">
        <f>+SHAREPOINT!C139</f>
        <v>0</v>
      </c>
      <c r="D140" s="399">
        <f>+SHAREPOINT!D139</f>
        <v>0</v>
      </c>
      <c r="E140" s="399">
        <f>+SHAREPOINT!E139</f>
        <v>0</v>
      </c>
      <c r="F140" s="390">
        <f t="shared" si="2"/>
        <v>0</v>
      </c>
      <c r="G140" s="87" t="str">
        <f>IF(ISBLANK(SHAREPOINT!A139),"",SHAREPOINT!F139)</f>
        <v/>
      </c>
      <c r="H140" s="391"/>
      <c r="I140" s="386" t="str">
        <f>IF(ISBLANK(SHAREPOINT!A139),"",SHAREPOINT!G139)</f>
        <v/>
      </c>
      <c r="J140" s="386" t="str">
        <f>IF(ISBLANK(SHAREPOINT!H139),"",SHAREPOINT!H139)</f>
        <v/>
      </c>
    </row>
    <row r="141" spans="1:10">
      <c r="A141" s="398" t="str">
        <f>IF(ISBLANK(SHAREPOINT!A140),"",DATE(YEAR(SHAREPOINT!I140),MONTH(SHAREPOINT!I140),DAY(SHAREPOINT!I140)))</f>
        <v/>
      </c>
      <c r="B141" s="87" t="str">
        <f>IF(ISBLANK(SHAREPOINT!A140),"",SHAREPOINT!B140)</f>
        <v/>
      </c>
      <c r="C141" s="399">
        <f>+SHAREPOINT!C140</f>
        <v>0</v>
      </c>
      <c r="D141" s="399">
        <f>+SHAREPOINT!D140</f>
        <v>0</v>
      </c>
      <c r="E141" s="399">
        <f>+SHAREPOINT!E140</f>
        <v>0</v>
      </c>
      <c r="F141" s="390">
        <f t="shared" si="2"/>
        <v>0</v>
      </c>
      <c r="G141" s="87" t="str">
        <f>IF(ISBLANK(SHAREPOINT!A140),"",SHAREPOINT!F140)</f>
        <v/>
      </c>
      <c r="H141" s="391"/>
      <c r="I141" s="386" t="str">
        <f>IF(ISBLANK(SHAREPOINT!A140),"",SHAREPOINT!G140)</f>
        <v/>
      </c>
      <c r="J141" s="386" t="str">
        <f>IF(ISBLANK(SHAREPOINT!H140),"",SHAREPOINT!H140)</f>
        <v/>
      </c>
    </row>
    <row r="142" spans="1:10">
      <c r="A142" s="398" t="str">
        <f>IF(ISBLANK(SHAREPOINT!A141),"",DATE(YEAR(SHAREPOINT!I141),MONTH(SHAREPOINT!I141),DAY(SHAREPOINT!I141)))</f>
        <v/>
      </c>
      <c r="B142" s="87" t="str">
        <f>IF(ISBLANK(SHAREPOINT!A141),"",SHAREPOINT!B141)</f>
        <v/>
      </c>
      <c r="C142" s="399">
        <f>+SHAREPOINT!C141</f>
        <v>0</v>
      </c>
      <c r="D142" s="399">
        <f>+SHAREPOINT!D141</f>
        <v>0</v>
      </c>
      <c r="E142" s="399">
        <f>+SHAREPOINT!E141</f>
        <v>0</v>
      </c>
      <c r="F142" s="390">
        <f t="shared" si="2"/>
        <v>0</v>
      </c>
      <c r="G142" s="87" t="str">
        <f>IF(ISBLANK(SHAREPOINT!A141),"",SHAREPOINT!F141)</f>
        <v/>
      </c>
      <c r="H142" s="391"/>
      <c r="I142" s="386" t="str">
        <f>IF(ISBLANK(SHAREPOINT!A141),"",SHAREPOINT!G141)</f>
        <v/>
      </c>
      <c r="J142" s="386" t="str">
        <f>IF(ISBLANK(SHAREPOINT!H141),"",SHAREPOINT!H141)</f>
        <v/>
      </c>
    </row>
    <row r="143" spans="1:10">
      <c r="A143" s="398" t="str">
        <f>IF(ISBLANK(SHAREPOINT!A142),"",DATE(YEAR(SHAREPOINT!I142),MONTH(SHAREPOINT!I142),DAY(SHAREPOINT!I142)))</f>
        <v/>
      </c>
      <c r="B143" s="87" t="str">
        <f>IF(ISBLANK(SHAREPOINT!A142),"",SHAREPOINT!B142)</f>
        <v/>
      </c>
      <c r="C143" s="399">
        <f>+SHAREPOINT!C142</f>
        <v>0</v>
      </c>
      <c r="D143" s="399">
        <f>+SHAREPOINT!D142</f>
        <v>0</v>
      </c>
      <c r="E143" s="399">
        <f>+SHAREPOINT!E142</f>
        <v>0</v>
      </c>
      <c r="F143" s="390">
        <f t="shared" si="2"/>
        <v>0</v>
      </c>
      <c r="G143" s="87" t="str">
        <f>IF(ISBLANK(SHAREPOINT!A142),"",SHAREPOINT!F142)</f>
        <v/>
      </c>
      <c r="H143" s="391"/>
      <c r="I143" s="386" t="str">
        <f>IF(ISBLANK(SHAREPOINT!A142),"",SHAREPOINT!G142)</f>
        <v/>
      </c>
      <c r="J143" s="386" t="str">
        <f>IF(ISBLANK(SHAREPOINT!H142),"",SHAREPOINT!H142)</f>
        <v/>
      </c>
    </row>
    <row r="144" spans="1:10">
      <c r="A144" s="398" t="str">
        <f>IF(ISBLANK(SHAREPOINT!A143),"",DATE(YEAR(SHAREPOINT!I143),MONTH(SHAREPOINT!I143),DAY(SHAREPOINT!I143)))</f>
        <v/>
      </c>
      <c r="B144" s="87" t="str">
        <f>IF(ISBLANK(SHAREPOINT!A143),"",SHAREPOINT!B143)</f>
        <v/>
      </c>
      <c r="C144" s="399">
        <f>+SHAREPOINT!C143</f>
        <v>0</v>
      </c>
      <c r="D144" s="399">
        <f>+SHAREPOINT!D143</f>
        <v>0</v>
      </c>
      <c r="E144" s="399">
        <f>+SHAREPOINT!E143</f>
        <v>0</v>
      </c>
      <c r="F144" s="390">
        <f t="shared" si="2"/>
        <v>0</v>
      </c>
      <c r="G144" s="87" t="str">
        <f>IF(ISBLANK(SHAREPOINT!A143),"",SHAREPOINT!F143)</f>
        <v/>
      </c>
      <c r="H144" s="391"/>
      <c r="I144" s="386" t="str">
        <f>IF(ISBLANK(SHAREPOINT!A143),"",SHAREPOINT!G143)</f>
        <v/>
      </c>
      <c r="J144" s="386" t="str">
        <f>IF(ISBLANK(SHAREPOINT!H143),"",SHAREPOINT!H143)</f>
        <v/>
      </c>
    </row>
    <row r="145" spans="1:10">
      <c r="A145" s="398" t="str">
        <f>IF(ISBLANK(SHAREPOINT!A144),"",DATE(YEAR(SHAREPOINT!I144),MONTH(SHAREPOINT!I144),DAY(SHAREPOINT!I144)))</f>
        <v/>
      </c>
      <c r="B145" s="87" t="str">
        <f>IF(ISBLANK(SHAREPOINT!A144),"",SHAREPOINT!B144)</f>
        <v/>
      </c>
      <c r="C145" s="399">
        <f>+SHAREPOINT!C144</f>
        <v>0</v>
      </c>
      <c r="D145" s="399">
        <f>+SHAREPOINT!D144</f>
        <v>0</v>
      </c>
      <c r="E145" s="399">
        <f>+SHAREPOINT!E144</f>
        <v>0</v>
      </c>
      <c r="F145" s="390">
        <f t="shared" si="2"/>
        <v>0</v>
      </c>
      <c r="G145" s="87" t="str">
        <f>IF(ISBLANK(SHAREPOINT!A144),"",SHAREPOINT!F144)</f>
        <v/>
      </c>
      <c r="H145" s="391"/>
      <c r="I145" s="386" t="str">
        <f>IF(ISBLANK(SHAREPOINT!A144),"",SHAREPOINT!G144)</f>
        <v/>
      </c>
      <c r="J145" s="386" t="str">
        <f>IF(ISBLANK(SHAREPOINT!H144),"",SHAREPOINT!H144)</f>
        <v/>
      </c>
    </row>
    <row r="146" spans="1:10">
      <c r="A146" s="398" t="str">
        <f>IF(ISBLANK(SHAREPOINT!A145),"",DATE(YEAR(SHAREPOINT!I145),MONTH(SHAREPOINT!I145),DAY(SHAREPOINT!I145)))</f>
        <v/>
      </c>
      <c r="B146" s="87" t="str">
        <f>IF(ISBLANK(SHAREPOINT!A145),"",SHAREPOINT!B145)</f>
        <v/>
      </c>
      <c r="C146" s="399">
        <f>+SHAREPOINT!C145</f>
        <v>0</v>
      </c>
      <c r="D146" s="399">
        <f>+SHAREPOINT!D145</f>
        <v>0</v>
      </c>
      <c r="E146" s="399">
        <f>+SHAREPOINT!E145</f>
        <v>0</v>
      </c>
      <c r="F146" s="390">
        <f t="shared" si="2"/>
        <v>0</v>
      </c>
      <c r="G146" s="87" t="str">
        <f>IF(ISBLANK(SHAREPOINT!A145),"",SHAREPOINT!F145)</f>
        <v/>
      </c>
      <c r="H146" s="391"/>
      <c r="I146" s="386" t="str">
        <f>IF(ISBLANK(SHAREPOINT!A145),"",SHAREPOINT!G145)</f>
        <v/>
      </c>
      <c r="J146" s="386" t="str">
        <f>IF(ISBLANK(SHAREPOINT!H145),"",SHAREPOINT!H145)</f>
        <v/>
      </c>
    </row>
    <row r="147" spans="1:10">
      <c r="A147" s="398" t="str">
        <f>IF(ISBLANK(SHAREPOINT!A146),"",DATE(YEAR(SHAREPOINT!I146),MONTH(SHAREPOINT!I146),DAY(SHAREPOINT!I146)))</f>
        <v/>
      </c>
      <c r="B147" s="87" t="str">
        <f>IF(ISBLANK(SHAREPOINT!A146),"",SHAREPOINT!B146)</f>
        <v/>
      </c>
      <c r="C147" s="399">
        <f>+SHAREPOINT!C146</f>
        <v>0</v>
      </c>
      <c r="D147" s="399">
        <f>+SHAREPOINT!D146</f>
        <v>0</v>
      </c>
      <c r="E147" s="399">
        <f>+SHAREPOINT!E146</f>
        <v>0</v>
      </c>
      <c r="F147" s="390">
        <f t="shared" si="2"/>
        <v>0</v>
      </c>
      <c r="G147" s="87" t="str">
        <f>IF(ISBLANK(SHAREPOINT!A146),"",SHAREPOINT!F146)</f>
        <v/>
      </c>
      <c r="H147" s="391"/>
      <c r="I147" s="386" t="str">
        <f>IF(ISBLANK(SHAREPOINT!A146),"",SHAREPOINT!G146)</f>
        <v/>
      </c>
      <c r="J147" s="386" t="str">
        <f>IF(ISBLANK(SHAREPOINT!H146),"",SHAREPOINT!H146)</f>
        <v/>
      </c>
    </row>
    <row r="148" spans="1:10">
      <c r="A148" s="398" t="str">
        <f>IF(ISBLANK(SHAREPOINT!A147),"",DATE(YEAR(SHAREPOINT!I147),MONTH(SHAREPOINT!I147),DAY(SHAREPOINT!I147)))</f>
        <v/>
      </c>
      <c r="B148" s="87" t="str">
        <f>IF(ISBLANK(SHAREPOINT!A147),"",SHAREPOINT!B147)</f>
        <v/>
      </c>
      <c r="C148" s="399">
        <f>+SHAREPOINT!C147</f>
        <v>0</v>
      </c>
      <c r="D148" s="399">
        <f>+SHAREPOINT!D147</f>
        <v>0</v>
      </c>
      <c r="E148" s="399">
        <f>+SHAREPOINT!E147</f>
        <v>0</v>
      </c>
      <c r="F148" s="390">
        <f t="shared" si="2"/>
        <v>0</v>
      </c>
      <c r="G148" s="87" t="str">
        <f>IF(ISBLANK(SHAREPOINT!A147),"",SHAREPOINT!F147)</f>
        <v/>
      </c>
      <c r="H148" s="391"/>
      <c r="I148" s="386" t="str">
        <f>IF(ISBLANK(SHAREPOINT!A147),"",SHAREPOINT!G147)</f>
        <v/>
      </c>
      <c r="J148" s="386" t="str">
        <f>IF(ISBLANK(SHAREPOINT!H147),"",SHAREPOINT!H147)</f>
        <v/>
      </c>
    </row>
    <row r="149" spans="1:10">
      <c r="A149" s="398" t="str">
        <f>IF(ISBLANK(SHAREPOINT!A148),"",DATE(YEAR(SHAREPOINT!I148),MONTH(SHAREPOINT!I148),DAY(SHAREPOINT!I148)))</f>
        <v/>
      </c>
      <c r="B149" s="87" t="str">
        <f>IF(ISBLANK(SHAREPOINT!A148),"",SHAREPOINT!B148)</f>
        <v/>
      </c>
      <c r="C149" s="399">
        <f>+SHAREPOINT!C148</f>
        <v>0</v>
      </c>
      <c r="D149" s="399">
        <f>+SHAREPOINT!D148</f>
        <v>0</v>
      </c>
      <c r="E149" s="399">
        <f>+SHAREPOINT!E148</f>
        <v>0</v>
      </c>
      <c r="F149" s="390">
        <f t="shared" si="2"/>
        <v>0</v>
      </c>
      <c r="G149" s="87" t="str">
        <f>IF(ISBLANK(SHAREPOINT!A148),"",SHAREPOINT!F148)</f>
        <v/>
      </c>
      <c r="H149" s="391"/>
      <c r="I149" s="386" t="str">
        <f>IF(ISBLANK(SHAREPOINT!A148),"",SHAREPOINT!G148)</f>
        <v/>
      </c>
      <c r="J149" s="386" t="str">
        <f>IF(ISBLANK(SHAREPOINT!H148),"",SHAREPOINT!H148)</f>
        <v/>
      </c>
    </row>
    <row r="150" spans="1:10">
      <c r="A150" s="398" t="str">
        <f>IF(ISBLANK(SHAREPOINT!A149),"",DATE(YEAR(SHAREPOINT!I149),MONTH(SHAREPOINT!I149),DAY(SHAREPOINT!I149)))</f>
        <v/>
      </c>
      <c r="B150" s="87" t="str">
        <f>IF(ISBLANK(SHAREPOINT!A149),"",SHAREPOINT!B149)</f>
        <v/>
      </c>
      <c r="C150" s="399">
        <f>+SHAREPOINT!C149</f>
        <v>0</v>
      </c>
      <c r="D150" s="399">
        <f>+SHAREPOINT!D149</f>
        <v>0</v>
      </c>
      <c r="E150" s="399">
        <f>+SHAREPOINT!E149</f>
        <v>0</v>
      </c>
      <c r="F150" s="390">
        <f t="shared" si="2"/>
        <v>0</v>
      </c>
      <c r="G150" s="87" t="str">
        <f>IF(ISBLANK(SHAREPOINT!A149),"",SHAREPOINT!F149)</f>
        <v/>
      </c>
      <c r="H150" s="391"/>
      <c r="I150" s="386" t="str">
        <f>IF(ISBLANK(SHAREPOINT!A149),"",SHAREPOINT!G149)</f>
        <v/>
      </c>
      <c r="J150" s="386" t="str">
        <f>IF(ISBLANK(SHAREPOINT!H149),"",SHAREPOINT!H149)</f>
        <v/>
      </c>
    </row>
    <row r="151" spans="1:10">
      <c r="A151" s="398" t="str">
        <f>IF(ISBLANK(SHAREPOINT!A150),"",DATE(YEAR(SHAREPOINT!I150),MONTH(SHAREPOINT!I150),DAY(SHAREPOINT!I150)))</f>
        <v/>
      </c>
      <c r="B151" s="87" t="str">
        <f>IF(ISBLANK(SHAREPOINT!A150),"",SHAREPOINT!B150)</f>
        <v/>
      </c>
      <c r="C151" s="399">
        <f>+SHAREPOINT!C150</f>
        <v>0</v>
      </c>
      <c r="D151" s="399">
        <f>+SHAREPOINT!D150</f>
        <v>0</v>
      </c>
      <c r="E151" s="399">
        <f>+SHAREPOINT!E150</f>
        <v>0</v>
      </c>
      <c r="F151" s="390">
        <f t="shared" si="2"/>
        <v>0</v>
      </c>
      <c r="G151" s="87" t="str">
        <f>IF(ISBLANK(SHAREPOINT!A150),"",SHAREPOINT!F150)</f>
        <v/>
      </c>
      <c r="H151" s="391"/>
      <c r="I151" s="386" t="str">
        <f>IF(ISBLANK(SHAREPOINT!A150),"",SHAREPOINT!G150)</f>
        <v/>
      </c>
      <c r="J151" s="386" t="str">
        <f>IF(ISBLANK(SHAREPOINT!H150),"",SHAREPOINT!H150)</f>
        <v/>
      </c>
    </row>
    <row r="152" spans="1:10">
      <c r="A152" s="398" t="str">
        <f>IF(ISBLANK(SHAREPOINT!A151),"",DATE(YEAR(SHAREPOINT!I151),MONTH(SHAREPOINT!I151),DAY(SHAREPOINT!I151)))</f>
        <v/>
      </c>
      <c r="B152" s="87" t="str">
        <f>IF(ISBLANK(SHAREPOINT!A151),"",SHAREPOINT!B151)</f>
        <v/>
      </c>
      <c r="C152" s="399">
        <f>+SHAREPOINT!C151</f>
        <v>0</v>
      </c>
      <c r="D152" s="399">
        <f>+SHAREPOINT!D151</f>
        <v>0</v>
      </c>
      <c r="E152" s="399">
        <f>+SHAREPOINT!E151</f>
        <v>0</v>
      </c>
      <c r="F152" s="390">
        <f t="shared" si="2"/>
        <v>0</v>
      </c>
      <c r="G152" s="87" t="str">
        <f>IF(ISBLANK(SHAREPOINT!A151),"",SHAREPOINT!F151)</f>
        <v/>
      </c>
      <c r="H152" s="391"/>
      <c r="I152" s="386" t="str">
        <f>IF(ISBLANK(SHAREPOINT!A151),"",SHAREPOINT!G151)</f>
        <v/>
      </c>
      <c r="J152" s="386" t="str">
        <f>IF(ISBLANK(SHAREPOINT!H151),"",SHAREPOINT!H151)</f>
        <v/>
      </c>
    </row>
    <row r="153" spans="1:10">
      <c r="A153" s="398" t="str">
        <f>IF(ISBLANK(SHAREPOINT!A152),"",DATE(YEAR(SHAREPOINT!I152),MONTH(SHAREPOINT!I152),DAY(SHAREPOINT!I152)))</f>
        <v/>
      </c>
      <c r="B153" s="87" t="str">
        <f>IF(ISBLANK(SHAREPOINT!A152),"",SHAREPOINT!B152)</f>
        <v/>
      </c>
      <c r="C153" s="399">
        <f>+SHAREPOINT!C152</f>
        <v>0</v>
      </c>
      <c r="D153" s="399">
        <f>+SHAREPOINT!D152</f>
        <v>0</v>
      </c>
      <c r="E153" s="399">
        <f>+SHAREPOINT!E152</f>
        <v>0</v>
      </c>
      <c r="F153" s="390">
        <f t="shared" si="2"/>
        <v>0</v>
      </c>
      <c r="G153" s="87" t="str">
        <f>IF(ISBLANK(SHAREPOINT!A152),"",SHAREPOINT!F152)</f>
        <v/>
      </c>
      <c r="H153" s="391"/>
      <c r="I153" s="386" t="str">
        <f>IF(ISBLANK(SHAREPOINT!A152),"",SHAREPOINT!G152)</f>
        <v/>
      </c>
      <c r="J153" s="386" t="str">
        <f>IF(ISBLANK(SHAREPOINT!H152),"",SHAREPOINT!H152)</f>
        <v/>
      </c>
    </row>
    <row r="154" spans="1:10">
      <c r="A154" s="398" t="str">
        <f>IF(ISBLANK(SHAREPOINT!A153),"",DATE(YEAR(SHAREPOINT!I153),MONTH(SHAREPOINT!I153),DAY(SHAREPOINT!I153)))</f>
        <v/>
      </c>
      <c r="B154" s="87" t="str">
        <f>IF(ISBLANK(SHAREPOINT!A153),"",SHAREPOINT!B153)</f>
        <v/>
      </c>
      <c r="C154" s="399">
        <f>+SHAREPOINT!C153</f>
        <v>0</v>
      </c>
      <c r="D154" s="399">
        <f>+SHAREPOINT!D153</f>
        <v>0</v>
      </c>
      <c r="E154" s="399">
        <f>+SHAREPOINT!E153</f>
        <v>0</v>
      </c>
      <c r="F154" s="390">
        <f t="shared" si="2"/>
        <v>0</v>
      </c>
      <c r="G154" s="87" t="str">
        <f>IF(ISBLANK(SHAREPOINT!A153),"",SHAREPOINT!F153)</f>
        <v/>
      </c>
      <c r="H154" s="391"/>
      <c r="I154" s="386" t="str">
        <f>IF(ISBLANK(SHAREPOINT!A153),"",SHAREPOINT!G153)</f>
        <v/>
      </c>
      <c r="J154" s="386" t="str">
        <f>IF(ISBLANK(SHAREPOINT!H153),"",SHAREPOINT!H153)</f>
        <v/>
      </c>
    </row>
    <row r="155" spans="1:10">
      <c r="A155" s="398" t="str">
        <f>IF(ISBLANK(SHAREPOINT!A154),"",DATE(YEAR(SHAREPOINT!I154),MONTH(SHAREPOINT!I154),DAY(SHAREPOINT!I154)))</f>
        <v/>
      </c>
      <c r="B155" s="87" t="str">
        <f>IF(ISBLANK(SHAREPOINT!A154),"",SHAREPOINT!B154)</f>
        <v/>
      </c>
      <c r="C155" s="399">
        <f>+SHAREPOINT!C154</f>
        <v>0</v>
      </c>
      <c r="D155" s="399">
        <f>+SHAREPOINT!D154</f>
        <v>0</v>
      </c>
      <c r="E155" s="399">
        <f>+SHAREPOINT!E154</f>
        <v>0</v>
      </c>
      <c r="F155" s="390">
        <f t="shared" si="2"/>
        <v>0</v>
      </c>
      <c r="G155" s="87" t="str">
        <f>IF(ISBLANK(SHAREPOINT!A154),"",SHAREPOINT!F154)</f>
        <v/>
      </c>
      <c r="H155" s="391"/>
      <c r="I155" s="386" t="str">
        <f>IF(ISBLANK(SHAREPOINT!A154),"",SHAREPOINT!G154)</f>
        <v/>
      </c>
      <c r="J155" s="386" t="str">
        <f>IF(ISBLANK(SHAREPOINT!H154),"",SHAREPOINT!H154)</f>
        <v/>
      </c>
    </row>
    <row r="156" spans="1:10">
      <c r="A156" s="398" t="str">
        <f>IF(ISBLANK(SHAREPOINT!A155),"",DATE(YEAR(SHAREPOINT!I155),MONTH(SHAREPOINT!I155),DAY(SHAREPOINT!I155)))</f>
        <v/>
      </c>
      <c r="B156" s="87" t="str">
        <f>IF(ISBLANK(SHAREPOINT!A155),"",SHAREPOINT!B155)</f>
        <v/>
      </c>
      <c r="C156" s="399">
        <f>+SHAREPOINT!C155</f>
        <v>0</v>
      </c>
      <c r="D156" s="399">
        <f>+SHAREPOINT!D155</f>
        <v>0</v>
      </c>
      <c r="E156" s="399">
        <f>+SHAREPOINT!E155</f>
        <v>0</v>
      </c>
      <c r="F156" s="390">
        <f t="shared" si="2"/>
        <v>0</v>
      </c>
      <c r="G156" s="87" t="str">
        <f>IF(ISBLANK(SHAREPOINT!A155),"",SHAREPOINT!F155)</f>
        <v/>
      </c>
      <c r="H156" s="391"/>
      <c r="I156" s="386" t="str">
        <f>IF(ISBLANK(SHAREPOINT!A155),"",SHAREPOINT!G155)</f>
        <v/>
      </c>
      <c r="J156" s="386" t="str">
        <f>IF(ISBLANK(SHAREPOINT!H155),"",SHAREPOINT!H155)</f>
        <v/>
      </c>
    </row>
    <row r="157" spans="1:10">
      <c r="A157" s="398" t="str">
        <f>IF(ISBLANK(SHAREPOINT!A156),"",DATE(YEAR(SHAREPOINT!I156),MONTH(SHAREPOINT!I156),DAY(SHAREPOINT!I156)))</f>
        <v/>
      </c>
      <c r="B157" s="87" t="str">
        <f>IF(ISBLANK(SHAREPOINT!A156),"",SHAREPOINT!B156)</f>
        <v/>
      </c>
      <c r="C157" s="399">
        <f>+SHAREPOINT!C156</f>
        <v>0</v>
      </c>
      <c r="D157" s="399">
        <f>+SHAREPOINT!D156</f>
        <v>0</v>
      </c>
      <c r="E157" s="399">
        <f>+SHAREPOINT!E156</f>
        <v>0</v>
      </c>
      <c r="F157" s="390">
        <f t="shared" si="2"/>
        <v>0</v>
      </c>
      <c r="G157" s="87" t="str">
        <f>IF(ISBLANK(SHAREPOINT!A156),"",SHAREPOINT!F156)</f>
        <v/>
      </c>
      <c r="H157" s="391"/>
      <c r="I157" s="386" t="str">
        <f>IF(ISBLANK(SHAREPOINT!A156),"",SHAREPOINT!G156)</f>
        <v/>
      </c>
      <c r="J157" s="386" t="str">
        <f>IF(ISBLANK(SHAREPOINT!H156),"",SHAREPOINT!H156)</f>
        <v/>
      </c>
    </row>
    <row r="158" spans="1:10">
      <c r="A158" s="398" t="str">
        <f>IF(ISBLANK(SHAREPOINT!A157),"",DATE(YEAR(SHAREPOINT!I157),MONTH(SHAREPOINT!I157),DAY(SHAREPOINT!I157)))</f>
        <v/>
      </c>
      <c r="B158" s="87" t="str">
        <f>IF(ISBLANK(SHAREPOINT!A157),"",SHAREPOINT!B157)</f>
        <v/>
      </c>
      <c r="C158" s="399">
        <f>+SHAREPOINT!C157</f>
        <v>0</v>
      </c>
      <c r="D158" s="399">
        <f>+SHAREPOINT!D157</f>
        <v>0</v>
      </c>
      <c r="E158" s="399">
        <f>+SHAREPOINT!E157</f>
        <v>0</v>
      </c>
      <c r="F158" s="390">
        <f t="shared" si="2"/>
        <v>0</v>
      </c>
      <c r="G158" s="87" t="str">
        <f>IF(ISBLANK(SHAREPOINT!A157),"",SHAREPOINT!F157)</f>
        <v/>
      </c>
      <c r="H158" s="391"/>
      <c r="I158" s="386" t="str">
        <f>IF(ISBLANK(SHAREPOINT!A157),"",SHAREPOINT!G157)</f>
        <v/>
      </c>
      <c r="J158" s="386" t="str">
        <f>IF(ISBLANK(SHAREPOINT!H157),"",SHAREPOINT!H157)</f>
        <v/>
      </c>
    </row>
    <row r="159" spans="1:10">
      <c r="A159" s="398" t="str">
        <f>IF(ISBLANK(SHAREPOINT!A158),"",DATE(YEAR(SHAREPOINT!I158),MONTH(SHAREPOINT!I158),DAY(SHAREPOINT!I158)))</f>
        <v/>
      </c>
      <c r="B159" s="87" t="str">
        <f>IF(ISBLANK(SHAREPOINT!A158),"",SHAREPOINT!B158)</f>
        <v/>
      </c>
      <c r="C159" s="399">
        <f>+SHAREPOINT!C158</f>
        <v>0</v>
      </c>
      <c r="D159" s="399">
        <f>+SHAREPOINT!D158</f>
        <v>0</v>
      </c>
      <c r="E159" s="399">
        <f>+SHAREPOINT!E158</f>
        <v>0</v>
      </c>
      <c r="F159" s="390">
        <f t="shared" si="2"/>
        <v>0</v>
      </c>
      <c r="G159" s="87" t="str">
        <f>IF(ISBLANK(SHAREPOINT!A158),"",SHAREPOINT!F158)</f>
        <v/>
      </c>
      <c r="H159" s="391"/>
      <c r="I159" s="386" t="str">
        <f>IF(ISBLANK(SHAREPOINT!A158),"",SHAREPOINT!G158)</f>
        <v/>
      </c>
      <c r="J159" s="386" t="str">
        <f>IF(ISBLANK(SHAREPOINT!H158),"",SHAREPOINT!H158)</f>
        <v/>
      </c>
    </row>
    <row r="160" spans="1:10">
      <c r="A160" s="398" t="str">
        <f>IF(ISBLANK(SHAREPOINT!A159),"",DATE(YEAR(SHAREPOINT!I159),MONTH(SHAREPOINT!I159),DAY(SHAREPOINT!I159)))</f>
        <v/>
      </c>
      <c r="B160" s="87" t="str">
        <f>IF(ISBLANK(SHAREPOINT!A159),"",SHAREPOINT!B159)</f>
        <v/>
      </c>
      <c r="C160" s="399">
        <f>+SHAREPOINT!C159</f>
        <v>0</v>
      </c>
      <c r="D160" s="399">
        <f>+SHAREPOINT!D159</f>
        <v>0</v>
      </c>
      <c r="E160" s="399">
        <f>+SHAREPOINT!E159</f>
        <v>0</v>
      </c>
      <c r="F160" s="390">
        <f t="shared" si="2"/>
        <v>0</v>
      </c>
      <c r="G160" s="87" t="str">
        <f>IF(ISBLANK(SHAREPOINT!A159),"",SHAREPOINT!F159)</f>
        <v/>
      </c>
      <c r="H160" s="391"/>
      <c r="I160" s="386" t="str">
        <f>IF(ISBLANK(SHAREPOINT!A159),"",SHAREPOINT!G159)</f>
        <v/>
      </c>
      <c r="J160" s="386" t="str">
        <f>IF(ISBLANK(SHAREPOINT!H159),"",SHAREPOINT!H159)</f>
        <v/>
      </c>
    </row>
  </sheetData>
  <sheetProtection sheet="1" objects="1" scenarios="1" deleteRows="0"/>
  <phoneticPr fontId="53" type="noConversion"/>
  <conditionalFormatting sqref="F4:F160">
    <cfRule type="containsErrors" dxfId="97" priority="2">
      <formula>ISERROR(F4)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4491D-8E53-4F59-87E6-59DF6FC0F304}">
  <sheetPr>
    <tabColor theme="9" tint="-0.249977111117893"/>
    <pageSetUpPr fitToPage="1"/>
  </sheetPr>
  <dimension ref="A2:AW384"/>
  <sheetViews>
    <sheetView showGridLines="0" view="pageBreakPreview" topLeftCell="A113" zoomScale="40" zoomScaleNormal="25" zoomScaleSheetLayoutView="40" workbookViewId="0">
      <selection activeCell="E236" sqref="E236"/>
    </sheetView>
  </sheetViews>
  <sheetFormatPr defaultColWidth="9.140625" defaultRowHeight="15" customHeight="1"/>
  <cols>
    <col min="1" max="1" width="11" style="62" customWidth="1"/>
    <col min="2" max="2" width="44.28515625" style="66" customWidth="1"/>
    <col min="3" max="3" width="28.42578125" style="43" hidden="1" customWidth="1"/>
    <col min="4" max="4" width="28.42578125" style="43" customWidth="1"/>
    <col min="5" max="5" width="24.85546875" customWidth="1"/>
    <col min="6" max="6" width="33.42578125" style="6" customWidth="1"/>
    <col min="7" max="7" width="37" style="6" customWidth="1"/>
    <col min="8" max="11" width="34.140625" style="6" customWidth="1"/>
    <col min="12" max="12" width="148.5703125" style="6" customWidth="1"/>
    <col min="13" max="13" width="121.7109375" style="6" customWidth="1"/>
    <col min="14" max="15" width="20.42578125" style="6" customWidth="1"/>
    <col min="16" max="16" width="20.42578125" customWidth="1"/>
    <col min="17" max="17" width="12.140625" style="145" customWidth="1"/>
    <col min="18" max="18" width="12.140625" customWidth="1"/>
    <col min="19" max="19" width="39.42578125" customWidth="1"/>
    <col min="20" max="20" width="16.7109375" customWidth="1"/>
    <col min="21" max="21" width="20.7109375" customWidth="1"/>
    <col min="22" max="22" width="17.7109375" customWidth="1"/>
    <col min="23" max="23" width="16.140625" customWidth="1"/>
    <col min="24" max="24" width="15.7109375" bestFit="1" customWidth="1"/>
    <col min="25" max="25" width="21.5703125" customWidth="1"/>
    <col min="26" max="26" width="43.5703125" customWidth="1"/>
    <col min="27" max="27" width="33.5703125" customWidth="1"/>
    <col min="28" max="28" width="28" style="39" customWidth="1"/>
    <col min="29" max="29" width="25.7109375" style="39" customWidth="1"/>
    <col min="30" max="30" width="25.7109375" customWidth="1"/>
    <col min="31" max="31" width="47.42578125" bestFit="1" customWidth="1"/>
    <col min="32" max="32" width="74.7109375" bestFit="1" customWidth="1"/>
    <col min="33" max="46" width="19.7109375" style="140" customWidth="1"/>
    <col min="47" max="47" width="28" bestFit="1" customWidth="1"/>
    <col min="48" max="48" width="8.85546875" bestFit="1" customWidth="1"/>
    <col min="49" max="49" width="28.140625" bestFit="1" customWidth="1"/>
    <col min="50" max="54" width="8.85546875" bestFit="1" customWidth="1"/>
    <col min="55" max="55" width="24.85546875" bestFit="1" customWidth="1"/>
    <col min="56" max="56" width="14.7109375" bestFit="1" customWidth="1"/>
    <col min="57" max="114" width="8.85546875" bestFit="1" customWidth="1"/>
    <col min="115" max="115" width="18" bestFit="1" customWidth="1"/>
    <col min="116" max="116" width="15.28515625" bestFit="1" customWidth="1"/>
    <col min="117" max="190" width="8.85546875" bestFit="1" customWidth="1"/>
    <col min="191" max="191" width="18.42578125" bestFit="1" customWidth="1"/>
    <col min="192" max="192" width="14.42578125" bestFit="1" customWidth="1"/>
    <col min="193" max="202" width="8.85546875" bestFit="1" customWidth="1"/>
    <col min="203" max="203" width="17.85546875" bestFit="1" customWidth="1"/>
    <col min="204" max="204" width="12.42578125" bestFit="1" customWidth="1"/>
    <col min="205" max="213" width="8.85546875" bestFit="1" customWidth="1"/>
    <col min="214" max="214" width="15.7109375" bestFit="1" customWidth="1"/>
    <col min="215" max="215" width="14.5703125" bestFit="1" customWidth="1"/>
    <col min="216" max="302" width="8.85546875" bestFit="1" customWidth="1"/>
    <col min="303" max="303" width="17.85546875" bestFit="1" customWidth="1"/>
    <col min="304" max="304" width="14" bestFit="1" customWidth="1"/>
    <col min="305" max="375" width="8.85546875" bestFit="1" customWidth="1"/>
    <col min="376" max="376" width="17" bestFit="1" customWidth="1"/>
    <col min="377" max="377" width="15" bestFit="1" customWidth="1"/>
    <col min="378" max="404" width="8.85546875" bestFit="1" customWidth="1"/>
    <col min="405" max="405" width="18.140625" bestFit="1" customWidth="1"/>
    <col min="406" max="406" width="11.42578125" bestFit="1" customWidth="1"/>
    <col min="407" max="467" width="8.85546875" bestFit="1" customWidth="1"/>
    <col min="468" max="468" width="14.7109375" bestFit="1" customWidth="1"/>
    <col min="469" max="469" width="15.42578125" bestFit="1" customWidth="1"/>
    <col min="470" max="492" width="8.85546875" bestFit="1" customWidth="1"/>
    <col min="493" max="493" width="18.7109375" bestFit="1" customWidth="1"/>
    <col min="494" max="503" width="8.85546875" bestFit="1" customWidth="1"/>
    <col min="504" max="504" width="11.5703125" bestFit="1" customWidth="1"/>
    <col min="505" max="570" width="8.85546875" bestFit="1" customWidth="1"/>
    <col min="571" max="571" width="11.28515625" bestFit="1" customWidth="1"/>
    <col min="572" max="572" width="14.42578125" bestFit="1" customWidth="1"/>
    <col min="573" max="611" width="8.85546875" bestFit="1" customWidth="1"/>
    <col min="612" max="612" width="17.7109375" bestFit="1" customWidth="1"/>
    <col min="613" max="613" width="11.28515625" bestFit="1" customWidth="1"/>
    <col min="614" max="636" width="8.85546875" bestFit="1" customWidth="1"/>
    <col min="637" max="637" width="14.5703125" bestFit="1" customWidth="1"/>
    <col min="638" max="638" width="10.28515625" bestFit="1" customWidth="1"/>
    <col min="639" max="653" width="8.85546875" bestFit="1" customWidth="1"/>
    <col min="654" max="654" width="13.5703125" bestFit="1" customWidth="1"/>
    <col min="655" max="655" width="13" bestFit="1" customWidth="1"/>
    <col min="656" max="656" width="16.28515625" bestFit="1" customWidth="1"/>
    <col min="657" max="657" width="12.85546875" bestFit="1" customWidth="1"/>
  </cols>
  <sheetData>
    <row r="2" spans="2:49" ht="71.25" customHeight="1">
      <c r="B2" s="64"/>
      <c r="C2" s="45"/>
      <c r="D2" s="45"/>
      <c r="E2" s="781"/>
      <c r="F2" s="46"/>
      <c r="G2" s="782" t="s">
        <v>4959</v>
      </c>
      <c r="H2" s="782"/>
      <c r="I2" s="782"/>
      <c r="J2" s="782"/>
      <c r="K2" s="782"/>
      <c r="L2" s="782"/>
      <c r="M2" s="778" t="str">
        <f ca="1">+CONCATENATE("SEMANA -",WEEKNUM(TODAY()-7))</f>
        <v>SEMANA -26</v>
      </c>
      <c r="N2"/>
      <c r="O2" s="62"/>
      <c r="P2" s="38"/>
      <c r="S2" s="780" t="s">
        <v>4960</v>
      </c>
      <c r="T2" s="780"/>
      <c r="U2" s="780"/>
      <c r="V2" s="780"/>
      <c r="W2" s="780"/>
    </row>
    <row r="3" spans="2:49" ht="71.25" customHeight="1">
      <c r="B3" s="89"/>
      <c r="C3" s="90"/>
      <c r="D3" s="90"/>
      <c r="E3" s="781"/>
      <c r="F3" s="46"/>
      <c r="G3" s="782"/>
      <c r="H3" s="782"/>
      <c r="I3" s="782"/>
      <c r="J3" s="782"/>
      <c r="K3" s="782"/>
      <c r="L3" s="782"/>
      <c r="M3" s="778"/>
      <c r="N3"/>
      <c r="O3" s="7"/>
      <c r="P3" s="38"/>
      <c r="S3" s="175" t="s">
        <v>3603</v>
      </c>
      <c r="T3" s="176" t="s">
        <v>1</v>
      </c>
      <c r="U3" s="176" t="s">
        <v>2</v>
      </c>
      <c r="V3" s="176" t="s">
        <v>3</v>
      </c>
      <c r="W3" s="176" t="s">
        <v>3604</v>
      </c>
      <c r="X3" s="176" t="s">
        <v>3605</v>
      </c>
      <c r="Y3" s="176" t="s">
        <v>3606</v>
      </c>
      <c r="Z3" s="176" t="s">
        <v>3607</v>
      </c>
      <c r="AA3" s="176" t="s">
        <v>3608</v>
      </c>
      <c r="AB3" s="176" t="s">
        <v>3609</v>
      </c>
      <c r="AC3" s="176" t="s">
        <v>10</v>
      </c>
      <c r="AD3" s="176" t="s">
        <v>11</v>
      </c>
      <c r="AE3" s="176" t="s">
        <v>3610</v>
      </c>
      <c r="AF3" s="176" t="s">
        <v>3611</v>
      </c>
      <c r="AG3" s="177" t="s">
        <v>4961</v>
      </c>
      <c r="AH3" s="177" t="s">
        <v>4962</v>
      </c>
      <c r="AI3" s="177" t="s">
        <v>4963</v>
      </c>
      <c r="AJ3" s="178" t="s">
        <v>4964</v>
      </c>
      <c r="AK3" s="178" t="s">
        <v>3772</v>
      </c>
      <c r="AL3" s="178" t="s">
        <v>4965</v>
      </c>
      <c r="AM3" s="178" t="s">
        <v>4966</v>
      </c>
      <c r="AN3" s="178" t="s">
        <v>4967</v>
      </c>
      <c r="AO3" s="179" t="s">
        <v>4968</v>
      </c>
      <c r="AP3" s="179" t="s">
        <v>4969</v>
      </c>
      <c r="AQ3" s="178" t="s">
        <v>4970</v>
      </c>
      <c r="AR3" s="323" t="s">
        <v>4971</v>
      </c>
      <c r="AS3" s="323" t="s">
        <v>4972</v>
      </c>
      <c r="AT3" s="324" t="s">
        <v>4973</v>
      </c>
      <c r="AU3" s="180" t="s">
        <v>3612</v>
      </c>
      <c r="AV3" s="104"/>
      <c r="AW3" s="139" t="s">
        <v>3615</v>
      </c>
    </row>
    <row r="4" spans="2:49" s="31" customFormat="1" ht="47.25" customHeight="1">
      <c r="B4" s="65"/>
      <c r="C4" s="44"/>
      <c r="D4" s="44"/>
      <c r="E4" s="33"/>
      <c r="F4" s="32"/>
      <c r="G4" s="32"/>
      <c r="H4" s="32"/>
      <c r="I4" s="32"/>
      <c r="J4" s="32"/>
      <c r="K4" s="32"/>
      <c r="L4" s="32"/>
      <c r="M4" s="32"/>
      <c r="O4" s="63"/>
      <c r="P4" s="38"/>
      <c r="S4" s="184" t="str">
        <f t="shared" ref="S4:S67" si="0">IF(Z4="","",CONCATENATE(Z4,"-",AU4))</f>
        <v>EMP. SACMI-1</v>
      </c>
      <c r="T4" s="22">
        <v>45943</v>
      </c>
      <c r="U4" s="16" t="s">
        <v>111</v>
      </c>
      <c r="V4" s="16" t="s">
        <v>39</v>
      </c>
      <c r="W4" s="381" t="s">
        <v>171</v>
      </c>
      <c r="X4" s="381" t="s">
        <v>1620</v>
      </c>
      <c r="Y4" s="380">
        <v>1.388888888888884E-2</v>
      </c>
      <c r="Z4" s="16" t="s">
        <v>24</v>
      </c>
      <c r="AA4" s="343" t="s">
        <v>3614</v>
      </c>
      <c r="AB4" s="115" t="s">
        <v>54</v>
      </c>
      <c r="AC4" s="115" t="s">
        <v>157</v>
      </c>
      <c r="AD4" s="114" t="s">
        <v>121</v>
      </c>
      <c r="AE4" s="35" t="s">
        <v>225</v>
      </c>
      <c r="AF4" s="35" t="s">
        <v>121</v>
      </c>
      <c r="AG4" s="35"/>
      <c r="AH4" s="35"/>
      <c r="AI4" s="35"/>
      <c r="AJ4" s="16"/>
      <c r="AK4" s="16"/>
      <c r="AL4" s="16"/>
      <c r="AM4" s="17"/>
      <c r="AN4" s="16"/>
      <c r="AO4" s="75"/>
      <c r="AP4" s="75"/>
      <c r="AQ4" s="27"/>
      <c r="AR4" s="319"/>
      <c r="AS4" s="10"/>
      <c r="AT4" s="5" t="str">
        <f>IF(Tabla1015[[#This Row],[FECHA]]="","",VLOOKUP(TEXT(Tabla1015[[#This Row],[FECHA]],"[$-C0A]dddd"),Tabla2[#All],2,FALSE)&amp;"-"&amp;TEXT(Tabla1015[[#This Row],[FECHA]],"[$-C0A]dddd"))</f>
        <v>1-lunes</v>
      </c>
      <c r="AU4" s="322">
        <f>COUNTIF($Z$4:Z4,Z4)</f>
        <v>1</v>
      </c>
      <c r="AW4" s="40" t="s">
        <v>3617</v>
      </c>
    </row>
    <row r="5" spans="2:49" ht="47.25" customHeight="1">
      <c r="N5"/>
      <c r="O5" s="62"/>
      <c r="S5" s="184" t="str">
        <f t="shared" si="0"/>
        <v>LINEA AUTOMATICA HACOS 1-1</v>
      </c>
      <c r="T5" s="22">
        <v>45943</v>
      </c>
      <c r="U5" s="16" t="s">
        <v>111</v>
      </c>
      <c r="V5" s="16" t="s">
        <v>39</v>
      </c>
      <c r="W5" s="381" t="s">
        <v>426</v>
      </c>
      <c r="X5" s="381" t="s">
        <v>118</v>
      </c>
      <c r="Y5" s="380">
        <v>1.736111111111116E-2</v>
      </c>
      <c r="Z5" s="16" t="s">
        <v>119</v>
      </c>
      <c r="AA5" s="343" t="s">
        <v>3614</v>
      </c>
      <c r="AB5" s="115" t="s">
        <v>54</v>
      </c>
      <c r="AC5" s="115" t="s">
        <v>157</v>
      </c>
      <c r="AD5" s="114" t="s">
        <v>121</v>
      </c>
      <c r="AE5" s="35" t="s">
        <v>671</v>
      </c>
      <c r="AF5" s="35" t="s">
        <v>4974</v>
      </c>
      <c r="AG5" s="35"/>
      <c r="AH5" s="35"/>
      <c r="AI5" s="35"/>
      <c r="AJ5" s="16"/>
      <c r="AK5" s="16"/>
      <c r="AL5" s="16"/>
      <c r="AM5" s="17"/>
      <c r="AN5" s="16"/>
      <c r="AO5" s="75"/>
      <c r="AP5" s="75"/>
      <c r="AQ5" s="27"/>
      <c r="AR5" s="319"/>
      <c r="AS5" s="10"/>
      <c r="AT5" s="5" t="str">
        <f>IF(Tabla1015[[#This Row],[FECHA]]="","",VLOOKUP(TEXT(Tabla1015[[#This Row],[FECHA]],"[$-C0A]dddd"),Tabla2[#All],2,FALSE)&amp;"-"&amp;TEXT(Tabla1015[[#This Row],[FECHA]],"[$-C0A]dddd"))</f>
        <v>1-lunes</v>
      </c>
      <c r="AU5" s="322">
        <f>COUNTIF($Z$4:Z5,Z5)</f>
        <v>1</v>
      </c>
      <c r="AW5" s="41" t="s">
        <v>3618</v>
      </c>
    </row>
    <row r="6" spans="2:49" ht="47.25" customHeight="1">
      <c r="N6"/>
      <c r="O6" s="62"/>
      <c r="S6" s="184" t="str">
        <f t="shared" si="0"/>
        <v>LINEA AUTOMATICA HACOS 2-1</v>
      </c>
      <c r="T6" s="22">
        <v>45943</v>
      </c>
      <c r="U6" s="16" t="s">
        <v>111</v>
      </c>
      <c r="V6" s="16" t="s">
        <v>39</v>
      </c>
      <c r="W6" s="381" t="s">
        <v>134</v>
      </c>
      <c r="X6" s="381" t="s">
        <v>421</v>
      </c>
      <c r="Y6" s="380">
        <v>2.430555555555558E-2</v>
      </c>
      <c r="Z6" s="16" t="s">
        <v>270</v>
      </c>
      <c r="AA6" s="343" t="s">
        <v>3614</v>
      </c>
      <c r="AB6" s="115" t="s">
        <v>57</v>
      </c>
      <c r="AC6" s="115" t="s">
        <v>92</v>
      </c>
      <c r="AD6" s="114" t="s">
        <v>93</v>
      </c>
      <c r="AE6" s="35" t="s">
        <v>2659</v>
      </c>
      <c r="AF6" s="35" t="s">
        <v>4975</v>
      </c>
      <c r="AG6" s="35"/>
      <c r="AH6" s="35"/>
      <c r="AI6" s="35"/>
      <c r="AJ6" s="16"/>
      <c r="AK6" s="16"/>
      <c r="AL6" s="16"/>
      <c r="AM6" s="17"/>
      <c r="AN6" s="16"/>
      <c r="AO6" s="75"/>
      <c r="AP6" s="75"/>
      <c r="AQ6" s="27"/>
      <c r="AR6" s="319"/>
      <c r="AS6" s="10"/>
      <c r="AT6" s="5" t="str">
        <f>IF(Tabla1015[[#This Row],[FECHA]]="","",VLOOKUP(TEXT(Tabla1015[[#This Row],[FECHA]],"[$-C0A]dddd"),Tabla2[#All],2,FALSE)&amp;"-"&amp;TEXT(Tabla1015[[#This Row],[FECHA]],"[$-C0A]dddd"))</f>
        <v>1-lunes</v>
      </c>
      <c r="AU6" s="322">
        <f>COUNTIF($Z$4:Z6,Z6)</f>
        <v>1</v>
      </c>
      <c r="AW6" s="42" t="s">
        <v>3619</v>
      </c>
    </row>
    <row r="7" spans="2:49" ht="47.25" customHeight="1">
      <c r="N7"/>
      <c r="O7" s="62"/>
      <c r="S7" s="184" t="str">
        <f t="shared" si="0"/>
        <v>LINEA DE COCCION HANSEL-1</v>
      </c>
      <c r="T7" s="22">
        <v>45943</v>
      </c>
      <c r="U7" s="16" t="s">
        <v>111</v>
      </c>
      <c r="V7" s="16" t="s">
        <v>39</v>
      </c>
      <c r="W7" s="381" t="s">
        <v>612</v>
      </c>
      <c r="X7" s="381">
        <v>1.0069444444444444</v>
      </c>
      <c r="Y7" s="380">
        <v>3.8194444444442865E-2</v>
      </c>
      <c r="Z7" s="16" t="s">
        <v>256</v>
      </c>
      <c r="AA7" s="343" t="s">
        <v>3614</v>
      </c>
      <c r="AB7" s="115" t="s">
        <v>57</v>
      </c>
      <c r="AC7" s="115" t="s">
        <v>92</v>
      </c>
      <c r="AD7" s="114" t="s">
        <v>93</v>
      </c>
      <c r="AE7" s="35" t="s">
        <v>4976</v>
      </c>
      <c r="AF7" s="35" t="s">
        <v>4977</v>
      </c>
      <c r="AG7" s="35"/>
      <c r="AH7" s="35"/>
      <c r="AI7" s="35"/>
      <c r="AJ7" s="16"/>
      <c r="AK7" s="16"/>
      <c r="AL7" s="16"/>
      <c r="AM7" s="17"/>
      <c r="AN7" s="16"/>
      <c r="AO7" s="75"/>
      <c r="AP7" s="75"/>
      <c r="AQ7" s="27"/>
      <c r="AR7" s="319"/>
      <c r="AS7" s="10"/>
      <c r="AT7" s="5" t="str">
        <f>IF(Tabla1015[[#This Row],[FECHA]]="","",VLOOKUP(TEXT(Tabla1015[[#This Row],[FECHA]],"[$-C0A]dddd"),Tabla2[#All],2,FALSE)&amp;"-"&amp;TEXT(Tabla1015[[#This Row],[FECHA]],"[$-C0A]dddd"))</f>
        <v>1-lunes</v>
      </c>
      <c r="AU7" s="322">
        <f>COUNTIF($Z$4:Z7,Z7)</f>
        <v>1</v>
      </c>
      <c r="AW7" s="41" t="s">
        <v>3620</v>
      </c>
    </row>
    <row r="8" spans="2:49" ht="47.25" customHeight="1">
      <c r="N8"/>
      <c r="O8" s="62"/>
      <c r="R8" s="31"/>
      <c r="S8" s="184" t="str">
        <f t="shared" si="0"/>
        <v>PLANTA INDUSTRIAL-1</v>
      </c>
      <c r="T8" s="22">
        <v>45943</v>
      </c>
      <c r="U8" s="16" t="s">
        <v>111</v>
      </c>
      <c r="V8" s="16" t="s">
        <v>39</v>
      </c>
      <c r="W8" s="381" t="s">
        <v>592</v>
      </c>
      <c r="X8" s="381" t="s">
        <v>1264</v>
      </c>
      <c r="Y8" s="380">
        <v>1.111111111111111E-2</v>
      </c>
      <c r="Z8" s="16" t="s">
        <v>103</v>
      </c>
      <c r="AA8" s="343" t="s">
        <v>3616</v>
      </c>
      <c r="AB8" s="115" t="s">
        <v>25</v>
      </c>
      <c r="AC8" s="115" t="s">
        <v>157</v>
      </c>
      <c r="AD8" s="114" t="s">
        <v>121</v>
      </c>
      <c r="AE8" s="35" t="s">
        <v>4978</v>
      </c>
      <c r="AF8" s="35" t="s">
        <v>121</v>
      </c>
      <c r="AG8" s="35"/>
      <c r="AH8" s="35"/>
      <c r="AI8" s="35"/>
      <c r="AJ8" s="16"/>
      <c r="AK8" s="16"/>
      <c r="AL8" s="16"/>
      <c r="AM8" s="17"/>
      <c r="AN8" s="16"/>
      <c r="AO8" s="75"/>
      <c r="AP8" s="75"/>
      <c r="AQ8" s="27"/>
      <c r="AR8" s="319"/>
      <c r="AS8" s="10"/>
      <c r="AT8" s="5" t="str">
        <f>IF(Tabla1015[[#This Row],[FECHA]]="","",VLOOKUP(TEXT(Tabla1015[[#This Row],[FECHA]],"[$-C0A]dddd"),Tabla2[#All],2,FALSE)&amp;"-"&amp;TEXT(Tabla1015[[#This Row],[FECHA]],"[$-C0A]dddd"))</f>
        <v>1-lunes</v>
      </c>
      <c r="AU8" s="322">
        <f>COUNTIF($Z$4:Z8,Z8)</f>
        <v>1</v>
      </c>
      <c r="AW8" s="29" t="s">
        <v>286</v>
      </c>
    </row>
    <row r="9" spans="2:49" ht="47.25" customHeight="1">
      <c r="N9"/>
      <c r="O9" s="62"/>
      <c r="S9" s="184" t="str">
        <f t="shared" si="0"/>
        <v>LINEA AUTOMATICA HACOS 1-2</v>
      </c>
      <c r="T9" s="22">
        <v>45943</v>
      </c>
      <c r="U9" s="16" t="s">
        <v>111</v>
      </c>
      <c r="V9" s="16" t="s">
        <v>39</v>
      </c>
      <c r="W9" s="381" t="s">
        <v>112</v>
      </c>
      <c r="X9" s="381" t="s">
        <v>1559</v>
      </c>
      <c r="Y9" s="380">
        <v>6.9444444444444475E-3</v>
      </c>
      <c r="Z9" s="16" t="s">
        <v>119</v>
      </c>
      <c r="AA9" s="343" t="s">
        <v>3614</v>
      </c>
      <c r="AB9" s="115" t="s">
        <v>1426</v>
      </c>
      <c r="AC9" s="115" t="s">
        <v>157</v>
      </c>
      <c r="AD9" s="114" t="s">
        <v>121</v>
      </c>
      <c r="AE9" s="35" t="s">
        <v>4979</v>
      </c>
      <c r="AF9" s="35" t="s">
        <v>121</v>
      </c>
      <c r="AG9" s="35"/>
      <c r="AH9" s="35"/>
      <c r="AI9" s="35"/>
      <c r="AJ9" s="16"/>
      <c r="AK9" s="16"/>
      <c r="AL9" s="16"/>
      <c r="AM9" s="17"/>
      <c r="AN9" s="16"/>
      <c r="AO9" s="75"/>
      <c r="AP9" s="75"/>
      <c r="AQ9" s="27"/>
      <c r="AR9" s="319"/>
      <c r="AS9" s="10"/>
      <c r="AT9" s="5" t="str">
        <f>IF(Tabla1015[[#This Row],[FECHA]]="","",VLOOKUP(TEXT(Tabla1015[[#This Row],[FECHA]],"[$-C0A]dddd"),Tabla2[#All],2,FALSE)&amp;"-"&amp;TEXT(Tabla1015[[#This Row],[FECHA]],"[$-C0A]dddd"))</f>
        <v>1-lunes</v>
      </c>
      <c r="AU9" s="322">
        <f>COUNTIF($Z$4:Z9,Z9)</f>
        <v>2</v>
      </c>
      <c r="AW9" s="30" t="s">
        <v>3621</v>
      </c>
    </row>
    <row r="10" spans="2:49" ht="47.25" customHeight="1">
      <c r="N10"/>
      <c r="O10" s="62"/>
      <c r="S10" s="184" t="str">
        <f t="shared" si="0"/>
        <v>QUEBRANTADOR DE CACAO  01 JAF INOX-1</v>
      </c>
      <c r="T10" s="22">
        <v>45943</v>
      </c>
      <c r="U10" s="16" t="s">
        <v>88</v>
      </c>
      <c r="V10" s="16" t="s">
        <v>36</v>
      </c>
      <c r="W10" s="381" t="s">
        <v>122</v>
      </c>
      <c r="X10" s="381" t="s">
        <v>123</v>
      </c>
      <c r="Y10" s="380">
        <v>2.083333333333337E-2</v>
      </c>
      <c r="Z10" s="16" t="s">
        <v>114</v>
      </c>
      <c r="AA10" s="343" t="s">
        <v>3614</v>
      </c>
      <c r="AB10" s="115" t="s">
        <v>32</v>
      </c>
      <c r="AC10" s="115" t="s">
        <v>157</v>
      </c>
      <c r="AD10" s="114" t="s">
        <v>121</v>
      </c>
      <c r="AE10" s="35" t="s">
        <v>367</v>
      </c>
      <c r="AF10" s="35" t="s">
        <v>4980</v>
      </c>
      <c r="AG10" s="35"/>
      <c r="AH10" s="35"/>
      <c r="AI10" s="35"/>
      <c r="AJ10" s="16"/>
      <c r="AK10" s="16"/>
      <c r="AL10" s="16"/>
      <c r="AM10" s="17"/>
      <c r="AN10" s="16"/>
      <c r="AO10" s="75"/>
      <c r="AP10" s="75"/>
      <c r="AQ10" s="27"/>
      <c r="AR10" s="319"/>
      <c r="AS10" s="10"/>
      <c r="AT10" s="5" t="str">
        <f>IF(Tabla1015[[#This Row],[FECHA]]="","",VLOOKUP(TEXT(Tabla1015[[#This Row],[FECHA]],"[$-C0A]dddd"),Tabla2[#All],2,FALSE)&amp;"-"&amp;TEXT(Tabla1015[[#This Row],[FECHA]],"[$-C0A]dddd"))</f>
        <v>1-lunes</v>
      </c>
      <c r="AU10" s="322">
        <f>COUNTIF($Z$4:Z10,Z10)</f>
        <v>1</v>
      </c>
      <c r="AW10" s="29" t="s">
        <v>3622</v>
      </c>
    </row>
    <row r="11" spans="2:49" ht="47.25" customHeight="1">
      <c r="N11"/>
      <c r="O11" s="62"/>
      <c r="S11" s="184" t="str">
        <f t="shared" si="0"/>
        <v>LINEA DE COCCION HANSEL-2</v>
      </c>
      <c r="T11" s="22">
        <v>45943</v>
      </c>
      <c r="U11" s="16" t="s">
        <v>88</v>
      </c>
      <c r="V11" s="16" t="s">
        <v>36</v>
      </c>
      <c r="W11" s="381" t="s">
        <v>127</v>
      </c>
      <c r="X11" s="381" t="s">
        <v>89</v>
      </c>
      <c r="Y11" s="380">
        <v>2.083333333333337E-2</v>
      </c>
      <c r="Z11" s="16" t="s">
        <v>256</v>
      </c>
      <c r="AA11" s="343" t="s">
        <v>3614</v>
      </c>
      <c r="AB11" s="115" t="s">
        <v>57</v>
      </c>
      <c r="AC11" s="115" t="s">
        <v>92</v>
      </c>
      <c r="AD11" s="114" t="s">
        <v>93</v>
      </c>
      <c r="AE11" s="35" t="s">
        <v>4981</v>
      </c>
      <c r="AF11" s="35" t="s">
        <v>4982</v>
      </c>
      <c r="AG11" s="35"/>
      <c r="AH11" s="35"/>
      <c r="AI11" s="35"/>
      <c r="AJ11" s="16"/>
      <c r="AK11" s="16"/>
      <c r="AL11" s="16"/>
      <c r="AM11" s="17"/>
      <c r="AN11" s="16"/>
      <c r="AO11" s="75"/>
      <c r="AP11" s="75"/>
      <c r="AQ11" s="27"/>
      <c r="AR11" s="319"/>
      <c r="AS11" s="10"/>
      <c r="AT11" s="5" t="str">
        <f>IF(Tabla1015[[#This Row],[FECHA]]="","",VLOOKUP(TEXT(Tabla1015[[#This Row],[FECHA]],"[$-C0A]dddd"),Tabla2[#All],2,FALSE)&amp;"-"&amp;TEXT(Tabla1015[[#This Row],[FECHA]],"[$-C0A]dddd"))</f>
        <v>1-lunes</v>
      </c>
      <c r="AU11" s="322">
        <f>COUNTIF($Z$4:Z11,Z11)</f>
        <v>2</v>
      </c>
      <c r="AW11" s="30" t="s">
        <v>3623</v>
      </c>
    </row>
    <row r="12" spans="2:49" ht="47.25" customHeight="1">
      <c r="O12" s="62"/>
      <c r="S12" s="184" t="str">
        <f t="shared" si="0"/>
        <v>1ER PISO-1</v>
      </c>
      <c r="T12" s="22">
        <v>45943</v>
      </c>
      <c r="U12" s="16" t="s">
        <v>88</v>
      </c>
      <c r="V12" s="16" t="s">
        <v>36</v>
      </c>
      <c r="W12" s="381" t="s">
        <v>408</v>
      </c>
      <c r="X12" s="381" t="s">
        <v>2252</v>
      </c>
      <c r="Y12" s="380">
        <v>1.7361111111111105E-2</v>
      </c>
      <c r="Z12" s="16" t="s">
        <v>91</v>
      </c>
      <c r="AA12" s="343" t="s">
        <v>3616</v>
      </c>
      <c r="AB12" s="115" t="s">
        <v>57</v>
      </c>
      <c r="AC12" s="115" t="s">
        <v>92</v>
      </c>
      <c r="AD12" s="114" t="s">
        <v>148</v>
      </c>
      <c r="AE12" s="35" t="s">
        <v>4983</v>
      </c>
      <c r="AF12" s="35" t="s">
        <v>4984</v>
      </c>
      <c r="AG12" s="35"/>
      <c r="AH12" s="35"/>
      <c r="AI12" s="35"/>
      <c r="AJ12" s="16"/>
      <c r="AK12" s="16"/>
      <c r="AL12" s="16"/>
      <c r="AM12" s="17"/>
      <c r="AN12" s="16"/>
      <c r="AO12" s="75"/>
      <c r="AP12" s="75"/>
      <c r="AQ12" s="27"/>
      <c r="AR12" s="319"/>
      <c r="AS12" s="10"/>
      <c r="AT12" s="5" t="str">
        <f>IF(Tabla1015[[#This Row],[FECHA]]="","",VLOOKUP(TEXT(Tabla1015[[#This Row],[FECHA]],"[$-C0A]dddd"),Tabla2[#All],2,FALSE)&amp;"-"&amp;TEXT(Tabla1015[[#This Row],[FECHA]],"[$-C0A]dddd"))</f>
        <v>1-lunes</v>
      </c>
      <c r="AU12" s="322">
        <f>COUNTIF($Z$4:Z12,Z12)</f>
        <v>1</v>
      </c>
      <c r="AW12" s="29" t="s">
        <v>3624</v>
      </c>
    </row>
    <row r="13" spans="2:49" ht="47.25" customHeight="1">
      <c r="N13"/>
      <c r="O13" s="62"/>
      <c r="S13" s="184" t="str">
        <f t="shared" si="0"/>
        <v>EMP. SACMI-2</v>
      </c>
      <c r="T13" s="22">
        <v>45943</v>
      </c>
      <c r="U13" s="16" t="s">
        <v>88</v>
      </c>
      <c r="V13" s="16" t="s">
        <v>36</v>
      </c>
      <c r="W13" s="381" t="s">
        <v>96</v>
      </c>
      <c r="X13" s="381" t="s">
        <v>670</v>
      </c>
      <c r="Y13" s="380">
        <v>2.0833333333333315E-2</v>
      </c>
      <c r="Z13" s="16" t="s">
        <v>24</v>
      </c>
      <c r="AA13" s="343" t="s">
        <v>3614</v>
      </c>
      <c r="AB13" s="115" t="s">
        <v>32</v>
      </c>
      <c r="AC13" s="115" t="s">
        <v>157</v>
      </c>
      <c r="AD13" s="114" t="s">
        <v>121</v>
      </c>
      <c r="AE13" s="35" t="s">
        <v>372</v>
      </c>
      <c r="AF13" s="35" t="s">
        <v>4985</v>
      </c>
      <c r="AG13" s="35"/>
      <c r="AH13" s="35"/>
      <c r="AI13" s="35"/>
      <c r="AJ13" s="16"/>
      <c r="AK13" s="16"/>
      <c r="AL13" s="16"/>
      <c r="AM13" s="17"/>
      <c r="AN13" s="16"/>
      <c r="AO13" s="75"/>
      <c r="AP13" s="75"/>
      <c r="AQ13" s="27"/>
      <c r="AR13" s="319"/>
      <c r="AS13" s="10"/>
      <c r="AT13" s="5" t="str">
        <f>IF(Tabla1015[[#This Row],[FECHA]]="","",VLOOKUP(TEXT(Tabla1015[[#This Row],[FECHA]],"[$-C0A]dddd"),Tabla2[#All],2,FALSE)&amp;"-"&amp;TEXT(Tabla1015[[#This Row],[FECHA]],"[$-C0A]dddd"))</f>
        <v>1-lunes</v>
      </c>
      <c r="AU13" s="322">
        <f>COUNTIF($Z$4:Z13,Z13)</f>
        <v>2</v>
      </c>
      <c r="AW13" s="30" t="s">
        <v>3625</v>
      </c>
    </row>
    <row r="14" spans="2:49" ht="47.25" customHeight="1">
      <c r="N14"/>
      <c r="O14" s="62"/>
      <c r="S14" s="184" t="str">
        <f t="shared" si="0"/>
        <v>TALLER DE MANTENIMIENTO-1</v>
      </c>
      <c r="T14" s="22">
        <v>45943</v>
      </c>
      <c r="U14" s="16" t="s">
        <v>88</v>
      </c>
      <c r="V14" s="16" t="s">
        <v>36</v>
      </c>
      <c r="W14" s="381" t="s">
        <v>447</v>
      </c>
      <c r="X14" s="381" t="s">
        <v>1580</v>
      </c>
      <c r="Y14" s="380">
        <v>1.3888888888888895E-2</v>
      </c>
      <c r="Z14" s="16" t="s">
        <v>328</v>
      </c>
      <c r="AA14" s="343" t="s">
        <v>3616</v>
      </c>
      <c r="AB14" s="115" t="s">
        <v>28</v>
      </c>
      <c r="AC14" s="115" t="s">
        <v>92</v>
      </c>
      <c r="AD14" s="114" t="s">
        <v>93</v>
      </c>
      <c r="AE14" s="35" t="s">
        <v>4986</v>
      </c>
      <c r="AF14" s="35" t="s">
        <v>4987</v>
      </c>
      <c r="AG14" s="35"/>
      <c r="AH14" s="35"/>
      <c r="AI14" s="35"/>
      <c r="AJ14" s="16"/>
      <c r="AK14" s="16"/>
      <c r="AL14" s="16"/>
      <c r="AM14" s="17"/>
      <c r="AN14" s="16"/>
      <c r="AO14" s="75"/>
      <c r="AP14" s="75"/>
      <c r="AQ14" s="27"/>
      <c r="AR14" s="319"/>
      <c r="AS14" s="10"/>
      <c r="AT14" s="5" t="str">
        <f>IF(Tabla1015[[#This Row],[FECHA]]="","",VLOOKUP(TEXT(Tabla1015[[#This Row],[FECHA]],"[$-C0A]dddd"),Tabla2[#All],2,FALSE)&amp;"-"&amp;TEXT(Tabla1015[[#This Row],[FECHA]],"[$-C0A]dddd"))</f>
        <v>1-lunes</v>
      </c>
      <c r="AU14" s="322">
        <f>COUNTIF($Z$4:Z14,Z14)</f>
        <v>1</v>
      </c>
      <c r="AW14" s="29" t="s">
        <v>1197</v>
      </c>
    </row>
    <row r="15" spans="2:49" ht="47.25" customHeight="1">
      <c r="N15"/>
      <c r="O15" s="62"/>
      <c r="S15" s="184" t="str">
        <f t="shared" si="0"/>
        <v>QUEBRANTADOR DE CACAO  01 JAF INOX-2</v>
      </c>
      <c r="T15" s="22">
        <v>45943</v>
      </c>
      <c r="U15" s="16" t="s">
        <v>88</v>
      </c>
      <c r="V15" s="16" t="s">
        <v>36</v>
      </c>
      <c r="W15" s="381" t="s">
        <v>106</v>
      </c>
      <c r="X15" s="381" t="s">
        <v>653</v>
      </c>
      <c r="Y15" s="380">
        <v>2.777777777777779E-2</v>
      </c>
      <c r="Z15" s="16" t="s">
        <v>114</v>
      </c>
      <c r="AA15" s="343" t="s">
        <v>3614</v>
      </c>
      <c r="AB15" s="115" t="s">
        <v>32</v>
      </c>
      <c r="AC15" s="115" t="s">
        <v>157</v>
      </c>
      <c r="AD15" s="114" t="s">
        <v>121</v>
      </c>
      <c r="AE15" s="35" t="s">
        <v>369</v>
      </c>
      <c r="AF15" s="35" t="s">
        <v>4988</v>
      </c>
      <c r="AG15" s="35"/>
      <c r="AH15" s="35"/>
      <c r="AI15" s="35"/>
      <c r="AJ15" s="16"/>
      <c r="AK15" s="16"/>
      <c r="AL15" s="16"/>
      <c r="AM15" s="17"/>
      <c r="AN15" s="16"/>
      <c r="AO15" s="75"/>
      <c r="AP15" s="75"/>
      <c r="AQ15" s="27"/>
      <c r="AR15" s="319"/>
      <c r="AS15" s="10"/>
      <c r="AT15" s="5" t="str">
        <f>IF(Tabla1015[[#This Row],[FECHA]]="","",VLOOKUP(TEXT(Tabla1015[[#This Row],[FECHA]],"[$-C0A]dddd"),Tabla2[#All],2,FALSE)&amp;"-"&amp;TEXT(Tabla1015[[#This Row],[FECHA]],"[$-C0A]dddd"))</f>
        <v>1-lunes</v>
      </c>
      <c r="AU15" s="322">
        <f>COUNTIF($Z$4:Z15,Z15)</f>
        <v>2</v>
      </c>
      <c r="AW15" s="30" t="s">
        <v>3626</v>
      </c>
    </row>
    <row r="16" spans="2:49" ht="47.25" customHeight="1">
      <c r="N16"/>
      <c r="O16" s="62"/>
      <c r="S16" s="184" t="str">
        <f t="shared" si="0"/>
        <v>TALLER DE MANTENIMIENTO-2</v>
      </c>
      <c r="T16" s="22">
        <v>45943</v>
      </c>
      <c r="U16" s="16" t="s">
        <v>88</v>
      </c>
      <c r="V16" s="16" t="s">
        <v>36</v>
      </c>
      <c r="W16" s="381" t="s">
        <v>107</v>
      </c>
      <c r="X16" s="381" t="s">
        <v>281</v>
      </c>
      <c r="Y16" s="380">
        <v>2.083333333333337E-2</v>
      </c>
      <c r="Z16" s="16" t="s">
        <v>328</v>
      </c>
      <c r="AA16" s="343" t="s">
        <v>3616</v>
      </c>
      <c r="AB16" s="115" t="s">
        <v>25</v>
      </c>
      <c r="AC16" s="115" t="s">
        <v>157</v>
      </c>
      <c r="AD16" s="114" t="s">
        <v>121</v>
      </c>
      <c r="AE16" s="35" t="s">
        <v>4989</v>
      </c>
      <c r="AF16" s="35" t="s">
        <v>4990</v>
      </c>
      <c r="AG16" s="35"/>
      <c r="AH16" s="35"/>
      <c r="AI16" s="35"/>
      <c r="AJ16" s="16"/>
      <c r="AK16" s="16"/>
      <c r="AL16" s="16"/>
      <c r="AM16" s="17"/>
      <c r="AN16" s="16"/>
      <c r="AO16" s="75"/>
      <c r="AP16" s="75"/>
      <c r="AQ16" s="27"/>
      <c r="AR16" s="319"/>
      <c r="AS16" s="10"/>
      <c r="AT16" s="5" t="str">
        <f>IF(Tabla1015[[#This Row],[FECHA]]="","",VLOOKUP(TEXT(Tabla1015[[#This Row],[FECHA]],"[$-C0A]dddd"),Tabla2[#All],2,FALSE)&amp;"-"&amp;TEXT(Tabla1015[[#This Row],[FECHA]],"[$-C0A]dddd"))</f>
        <v>1-lunes</v>
      </c>
      <c r="AU16" s="322">
        <f>COUNTIF($Z$4:Z16,Z16)</f>
        <v>2</v>
      </c>
      <c r="AW16" s="29" t="s">
        <v>1643</v>
      </c>
    </row>
    <row r="17" spans="5:49" ht="47.25" customHeight="1">
      <c r="N17"/>
      <c r="O17" s="62"/>
      <c r="S17" s="184" t="str">
        <f t="shared" si="0"/>
        <v>PLANTA INDUSTRIAL-2</v>
      </c>
      <c r="T17" s="22">
        <v>45943</v>
      </c>
      <c r="U17" s="16" t="s">
        <v>131</v>
      </c>
      <c r="V17" s="16" t="s">
        <v>36</v>
      </c>
      <c r="W17" s="381" t="s">
        <v>1586</v>
      </c>
      <c r="X17" s="381" t="s">
        <v>122</v>
      </c>
      <c r="Y17" s="380">
        <v>3.819444444444442E-2</v>
      </c>
      <c r="Z17" s="16" t="s">
        <v>103</v>
      </c>
      <c r="AA17" s="343" t="s">
        <v>3616</v>
      </c>
      <c r="AB17" s="115" t="s">
        <v>43</v>
      </c>
      <c r="AC17" s="115" t="s">
        <v>157</v>
      </c>
      <c r="AD17" s="114" t="s">
        <v>121</v>
      </c>
      <c r="AE17" s="35" t="s">
        <v>4991</v>
      </c>
      <c r="AF17" s="35" t="s">
        <v>121</v>
      </c>
      <c r="AG17" s="35"/>
      <c r="AH17" s="35"/>
      <c r="AI17" s="35"/>
      <c r="AJ17" s="16"/>
      <c r="AK17" s="16"/>
      <c r="AL17" s="16"/>
      <c r="AM17" s="17"/>
      <c r="AN17" s="16"/>
      <c r="AO17" s="75"/>
      <c r="AP17" s="75"/>
      <c r="AQ17" s="27"/>
      <c r="AR17" s="319"/>
      <c r="AS17" s="10"/>
      <c r="AT17" s="5" t="str">
        <f>IF(Tabla1015[[#This Row],[FECHA]]="","",VLOOKUP(TEXT(Tabla1015[[#This Row],[FECHA]],"[$-C0A]dddd"),Tabla2[#All],2,FALSE)&amp;"-"&amp;TEXT(Tabla1015[[#This Row],[FECHA]],"[$-C0A]dddd"))</f>
        <v>1-lunes</v>
      </c>
      <c r="AU17" s="322">
        <f>COUNTIF($Z$4:Z17,Z17)</f>
        <v>2</v>
      </c>
      <c r="AW17" s="30" t="s">
        <v>3627</v>
      </c>
    </row>
    <row r="18" spans="5:49" ht="47.25" customHeight="1">
      <c r="N18"/>
      <c r="O18" s="62"/>
      <c r="S18" s="184" t="str">
        <f t="shared" si="0"/>
        <v>QUEBRANTADOR DE CACAO  01 JAF INOX-3</v>
      </c>
      <c r="T18" s="22">
        <v>45943</v>
      </c>
      <c r="U18" s="16" t="s">
        <v>131</v>
      </c>
      <c r="V18" s="16" t="s">
        <v>36</v>
      </c>
      <c r="W18" s="381" t="s">
        <v>1689</v>
      </c>
      <c r="X18" s="381" t="s">
        <v>3092</v>
      </c>
      <c r="Y18" s="380">
        <v>1.3194444444444398E-2</v>
      </c>
      <c r="Z18" s="16" t="s">
        <v>114</v>
      </c>
      <c r="AA18" s="343" t="s">
        <v>3614</v>
      </c>
      <c r="AB18" s="115" t="s">
        <v>32</v>
      </c>
      <c r="AC18" s="115" t="s">
        <v>157</v>
      </c>
      <c r="AD18" s="114" t="s">
        <v>121</v>
      </c>
      <c r="AE18" s="35" t="s">
        <v>4992</v>
      </c>
      <c r="AF18" s="35" t="s">
        <v>121</v>
      </c>
      <c r="AG18" s="35"/>
      <c r="AH18" s="35"/>
      <c r="AI18" s="35"/>
      <c r="AJ18" s="16"/>
      <c r="AK18" s="16"/>
      <c r="AL18" s="16"/>
      <c r="AM18" s="17"/>
      <c r="AN18" s="16"/>
      <c r="AO18" s="75"/>
      <c r="AP18" s="75"/>
      <c r="AQ18" s="27"/>
      <c r="AR18" s="319"/>
      <c r="AS18" s="10"/>
      <c r="AT18" s="5" t="str">
        <f>IF(Tabla1015[[#This Row],[FECHA]]="","",VLOOKUP(TEXT(Tabla1015[[#This Row],[FECHA]],"[$-C0A]dddd"),Tabla2[#All],2,FALSE)&amp;"-"&amp;TEXT(Tabla1015[[#This Row],[FECHA]],"[$-C0A]dddd"))</f>
        <v>1-lunes</v>
      </c>
      <c r="AU18" s="322">
        <f>COUNTIF($Z$4:Z18,Z18)</f>
        <v>3</v>
      </c>
      <c r="AW18" s="29" t="s">
        <v>3628</v>
      </c>
    </row>
    <row r="19" spans="5:49" ht="47.25" customHeight="1">
      <c r="N19"/>
      <c r="O19" s="62"/>
      <c r="S19" s="184" t="str">
        <f t="shared" si="0"/>
        <v>EMP. 2 - CARLE MONTANARY-1</v>
      </c>
      <c r="T19" s="22">
        <v>45943</v>
      </c>
      <c r="U19" s="16" t="s">
        <v>131</v>
      </c>
      <c r="V19" s="16" t="s">
        <v>36</v>
      </c>
      <c r="W19" s="381" t="s">
        <v>1176</v>
      </c>
      <c r="X19" s="381" t="s">
        <v>471</v>
      </c>
      <c r="Y19" s="380">
        <v>1.7361111111111105E-2</v>
      </c>
      <c r="Z19" s="16" t="s">
        <v>153</v>
      </c>
      <c r="AA19" s="343" t="s">
        <v>3614</v>
      </c>
      <c r="AB19" s="115" t="s">
        <v>32</v>
      </c>
      <c r="AC19" s="115" t="s">
        <v>157</v>
      </c>
      <c r="AD19" s="114" t="s">
        <v>121</v>
      </c>
      <c r="AE19" s="35" t="s">
        <v>4993</v>
      </c>
      <c r="AF19" s="35" t="s">
        <v>121</v>
      </c>
      <c r="AG19" s="35"/>
      <c r="AH19" s="35"/>
      <c r="AI19" s="35"/>
      <c r="AJ19" s="16"/>
      <c r="AK19" s="16"/>
      <c r="AL19" s="16"/>
      <c r="AM19" s="17"/>
      <c r="AN19" s="16"/>
      <c r="AO19" s="75"/>
      <c r="AP19" s="75"/>
      <c r="AQ19" s="27"/>
      <c r="AR19" s="319"/>
      <c r="AS19" s="10"/>
      <c r="AT19" s="5" t="str">
        <f>IF(Tabla1015[[#This Row],[FECHA]]="","",VLOOKUP(TEXT(Tabla1015[[#This Row],[FECHA]],"[$-C0A]dddd"),Tabla2[#All],2,FALSE)&amp;"-"&amp;TEXT(Tabla1015[[#This Row],[FECHA]],"[$-C0A]dddd"))</f>
        <v>1-lunes</v>
      </c>
      <c r="AU19" s="322">
        <f>COUNTIF($Z$4:Z19,Z19)</f>
        <v>1</v>
      </c>
      <c r="AW19" s="30" t="s">
        <v>1764</v>
      </c>
    </row>
    <row r="20" spans="5:49" ht="47.25" customHeight="1">
      <c r="N20"/>
      <c r="O20" s="62"/>
      <c r="S20" s="184" t="str">
        <f t="shared" si="0"/>
        <v>EMP. SACMI-3</v>
      </c>
      <c r="T20" s="22">
        <v>45943</v>
      </c>
      <c r="U20" s="16" t="s">
        <v>131</v>
      </c>
      <c r="V20" s="16" t="s">
        <v>36</v>
      </c>
      <c r="W20" s="381" t="s">
        <v>879</v>
      </c>
      <c r="X20" s="381" t="s">
        <v>127</v>
      </c>
      <c r="Y20" s="380">
        <v>9.7222222222221877E-3</v>
      </c>
      <c r="Z20" s="16" t="s">
        <v>24</v>
      </c>
      <c r="AA20" s="343" t="s">
        <v>3614</v>
      </c>
      <c r="AB20" s="115" t="s">
        <v>32</v>
      </c>
      <c r="AC20" s="115" t="s">
        <v>157</v>
      </c>
      <c r="AD20" s="114" t="s">
        <v>121</v>
      </c>
      <c r="AE20" s="35" t="s">
        <v>4994</v>
      </c>
      <c r="AF20" s="35" t="s">
        <v>121</v>
      </c>
      <c r="AG20" s="35"/>
      <c r="AH20" s="35"/>
      <c r="AI20" s="35"/>
      <c r="AJ20" s="16"/>
      <c r="AK20" s="16"/>
      <c r="AL20" s="16"/>
      <c r="AM20" s="17"/>
      <c r="AN20" s="16"/>
      <c r="AO20" s="75"/>
      <c r="AP20" s="75"/>
      <c r="AQ20" s="27"/>
      <c r="AR20" s="319"/>
      <c r="AS20" s="10"/>
      <c r="AT20" s="5" t="str">
        <f>IF(Tabla1015[[#This Row],[FECHA]]="","",VLOOKUP(TEXT(Tabla1015[[#This Row],[FECHA]],"[$-C0A]dddd"),Tabla2[#All],2,FALSE)&amp;"-"&amp;TEXT(Tabla1015[[#This Row],[FECHA]],"[$-C0A]dddd"))</f>
        <v>1-lunes</v>
      </c>
      <c r="AU20" s="322">
        <f>COUNTIF($Z$4:Z20,Z20)</f>
        <v>3</v>
      </c>
      <c r="AW20" s="29" t="s">
        <v>331</v>
      </c>
    </row>
    <row r="21" spans="5:49" ht="47.25" customHeight="1">
      <c r="N21"/>
      <c r="O21" s="62"/>
      <c r="S21" s="184" t="str">
        <f t="shared" si="0"/>
        <v>BOLEADORA-1</v>
      </c>
      <c r="T21" s="22">
        <v>45943</v>
      </c>
      <c r="U21" s="16" t="s">
        <v>131</v>
      </c>
      <c r="V21" s="16" t="s">
        <v>36</v>
      </c>
      <c r="W21" s="381" t="s">
        <v>4995</v>
      </c>
      <c r="X21" s="381" t="s">
        <v>89</v>
      </c>
      <c r="Y21" s="380">
        <v>1.1111111111111127E-2</v>
      </c>
      <c r="Z21" s="16" t="s">
        <v>651</v>
      </c>
      <c r="AA21" s="343" t="s">
        <v>3614</v>
      </c>
      <c r="AB21" s="115" t="s">
        <v>32</v>
      </c>
      <c r="AC21" s="115" t="s">
        <v>157</v>
      </c>
      <c r="AD21" s="114" t="s">
        <v>121</v>
      </c>
      <c r="AE21" s="35" t="s">
        <v>4996</v>
      </c>
      <c r="AF21" s="35" t="s">
        <v>121</v>
      </c>
      <c r="AG21" s="35"/>
      <c r="AH21" s="35"/>
      <c r="AI21" s="35"/>
      <c r="AJ21" s="16"/>
      <c r="AK21" s="16"/>
      <c r="AL21" s="16"/>
      <c r="AM21" s="17"/>
      <c r="AN21" s="16"/>
      <c r="AO21" s="75"/>
      <c r="AP21" s="75"/>
      <c r="AQ21" s="27"/>
      <c r="AR21" s="319"/>
      <c r="AS21" s="10"/>
      <c r="AT21" s="5" t="str">
        <f>IF(Tabla1015[[#This Row],[FECHA]]="","",VLOOKUP(TEXT(Tabla1015[[#This Row],[FECHA]],"[$-C0A]dddd"),Tabla2[#All],2,FALSE)&amp;"-"&amp;TEXT(Tabla1015[[#This Row],[FECHA]],"[$-C0A]dddd"))</f>
        <v>1-lunes</v>
      </c>
      <c r="AU21" s="322">
        <f>COUNTIF($Z$4:Z21,Z21)</f>
        <v>1</v>
      </c>
      <c r="AW21" s="30" t="s">
        <v>208</v>
      </c>
    </row>
    <row r="22" spans="5:49" ht="47.25" customHeight="1">
      <c r="N22"/>
      <c r="O22" s="62"/>
      <c r="S22" s="184" t="str">
        <f t="shared" si="0"/>
        <v>LINEA AUTOMATICA HACOS 1-3</v>
      </c>
      <c r="T22" s="22">
        <v>45943</v>
      </c>
      <c r="U22" s="16" t="s">
        <v>131</v>
      </c>
      <c r="V22" s="16" t="s">
        <v>36</v>
      </c>
      <c r="W22" s="381" t="s">
        <v>2560</v>
      </c>
      <c r="X22" s="381" t="s">
        <v>696</v>
      </c>
      <c r="Y22" s="380">
        <v>6.2500000000000333E-3</v>
      </c>
      <c r="Z22" s="16" t="s">
        <v>119</v>
      </c>
      <c r="AA22" s="343" t="s">
        <v>3614</v>
      </c>
      <c r="AB22" s="115" t="s">
        <v>57</v>
      </c>
      <c r="AC22" s="115" t="s">
        <v>92</v>
      </c>
      <c r="AD22" s="114" t="s">
        <v>93</v>
      </c>
      <c r="AE22" s="35" t="s">
        <v>4997</v>
      </c>
      <c r="AF22" s="35" t="s">
        <v>4998</v>
      </c>
      <c r="AG22" s="35"/>
      <c r="AH22" s="35"/>
      <c r="AI22" s="35"/>
      <c r="AJ22" s="16"/>
      <c r="AK22" s="16"/>
      <c r="AL22" s="16"/>
      <c r="AM22" s="17"/>
      <c r="AN22" s="16"/>
      <c r="AO22" s="75"/>
      <c r="AP22" s="75"/>
      <c r="AQ22" s="27"/>
      <c r="AR22" s="319"/>
      <c r="AS22" s="10"/>
      <c r="AT22" s="5" t="str">
        <f>IF(Tabla1015[[#This Row],[FECHA]]="","",VLOOKUP(TEXT(Tabla1015[[#This Row],[FECHA]],"[$-C0A]dddd"),Tabla2[#All],2,FALSE)&amp;"-"&amp;TEXT(Tabla1015[[#This Row],[FECHA]],"[$-C0A]dddd"))</f>
        <v>1-lunes</v>
      </c>
      <c r="AU22" s="322">
        <f>COUNTIF($Z$4:Z22,Z22)</f>
        <v>3</v>
      </c>
      <c r="AW22" s="29" t="s">
        <v>3630</v>
      </c>
    </row>
    <row r="23" spans="5:49" ht="47.25" customHeight="1">
      <c r="N23"/>
      <c r="O23" s="62"/>
      <c r="S23" s="184" t="str">
        <f t="shared" si="0"/>
        <v>LINEA AUTOMATICA HACOS 1-4</v>
      </c>
      <c r="T23" s="22">
        <v>45943</v>
      </c>
      <c r="U23" s="16" t="s">
        <v>131</v>
      </c>
      <c r="V23" s="16" t="s">
        <v>36</v>
      </c>
      <c r="W23" s="381" t="s">
        <v>504</v>
      </c>
      <c r="X23" s="381" t="s">
        <v>1608</v>
      </c>
      <c r="Y23" s="380">
        <v>1.1805555555555569E-2</v>
      </c>
      <c r="Z23" s="16" t="s">
        <v>119</v>
      </c>
      <c r="AA23" s="343" t="s">
        <v>3614</v>
      </c>
      <c r="AB23" s="115" t="s">
        <v>54</v>
      </c>
      <c r="AC23" s="115" t="s">
        <v>157</v>
      </c>
      <c r="AD23" s="114" t="s">
        <v>121</v>
      </c>
      <c r="AE23" s="35" t="s">
        <v>2284</v>
      </c>
      <c r="AF23" s="35" t="s">
        <v>121</v>
      </c>
      <c r="AG23" s="35"/>
      <c r="AH23" s="35"/>
      <c r="AI23" s="35"/>
      <c r="AJ23" s="16"/>
      <c r="AK23" s="16"/>
      <c r="AL23" s="16"/>
      <c r="AM23" s="17"/>
      <c r="AN23" s="16"/>
      <c r="AO23" s="75"/>
      <c r="AP23" s="75"/>
      <c r="AQ23" s="27"/>
      <c r="AR23" s="319"/>
      <c r="AS23" s="10"/>
      <c r="AT23" s="5" t="str">
        <f>IF(Tabla1015[[#This Row],[FECHA]]="","",VLOOKUP(TEXT(Tabla1015[[#This Row],[FECHA]],"[$-C0A]dddd"),Tabla2[#All],2,FALSE)&amp;"-"&amp;TEXT(Tabla1015[[#This Row],[FECHA]],"[$-C0A]dddd"))</f>
        <v>1-lunes</v>
      </c>
      <c r="AU23" s="322">
        <f>COUNTIF($Z$4:Z23,Z23)</f>
        <v>4</v>
      </c>
      <c r="AW23" s="30" t="s">
        <v>942</v>
      </c>
    </row>
    <row r="24" spans="5:49" ht="47.25" customHeight="1">
      <c r="N24"/>
      <c r="O24" s="62"/>
      <c r="S24" s="184" t="str">
        <f t="shared" si="0"/>
        <v>EMP. SACMI-4</v>
      </c>
      <c r="T24" s="22">
        <v>45943</v>
      </c>
      <c r="U24" s="16" t="s">
        <v>131</v>
      </c>
      <c r="V24" s="16" t="s">
        <v>36</v>
      </c>
      <c r="W24" s="381" t="s">
        <v>97</v>
      </c>
      <c r="X24" s="381" t="s">
        <v>2573</v>
      </c>
      <c r="Y24" s="380">
        <v>1.8750000000000044E-2</v>
      </c>
      <c r="Z24" s="16" t="s">
        <v>24</v>
      </c>
      <c r="AA24" s="343" t="s">
        <v>3614</v>
      </c>
      <c r="AB24" s="115" t="s">
        <v>32</v>
      </c>
      <c r="AC24" s="115" t="s">
        <v>157</v>
      </c>
      <c r="AD24" s="114" t="s">
        <v>121</v>
      </c>
      <c r="AE24" s="35" t="s">
        <v>4999</v>
      </c>
      <c r="AF24" s="35" t="s">
        <v>121</v>
      </c>
      <c r="AG24" s="35"/>
      <c r="AH24" s="35"/>
      <c r="AI24" s="35"/>
      <c r="AJ24" s="16"/>
      <c r="AK24" s="16"/>
      <c r="AL24" s="16"/>
      <c r="AM24" s="17"/>
      <c r="AN24" s="16"/>
      <c r="AO24" s="75"/>
      <c r="AP24" s="75"/>
      <c r="AQ24" s="27"/>
      <c r="AR24" s="319"/>
      <c r="AS24" s="10"/>
      <c r="AT24" s="5" t="str">
        <f>IF(Tabla1015[[#This Row],[FECHA]]="","",VLOOKUP(TEXT(Tabla1015[[#This Row],[FECHA]],"[$-C0A]dddd"),Tabla2[#All],2,FALSE)&amp;"-"&amp;TEXT(Tabla1015[[#This Row],[FECHA]],"[$-C0A]dddd"))</f>
        <v>1-lunes</v>
      </c>
      <c r="AU24" s="322">
        <f>COUNTIF($Z$4:Z24,Z24)</f>
        <v>4</v>
      </c>
      <c r="AW24" s="29" t="s">
        <v>3631</v>
      </c>
    </row>
    <row r="25" spans="5:49" ht="47.25" customHeight="1">
      <c r="E25" s="6"/>
      <c r="M25"/>
      <c r="N25"/>
      <c r="O25" s="62"/>
      <c r="S25" s="184" t="str">
        <f t="shared" si="0"/>
        <v>LINEA AUTOMATICA HACOS 1-5</v>
      </c>
      <c r="T25" s="22">
        <v>45943</v>
      </c>
      <c r="U25" s="16" t="s">
        <v>131</v>
      </c>
      <c r="V25" s="16" t="s">
        <v>36</v>
      </c>
      <c r="W25" s="381" t="s">
        <v>5000</v>
      </c>
      <c r="X25" s="381" t="s">
        <v>5001</v>
      </c>
      <c r="Y25" s="380">
        <v>2.1527777777777757E-2</v>
      </c>
      <c r="Z25" s="16" t="s">
        <v>119</v>
      </c>
      <c r="AA25" s="343" t="s">
        <v>3614</v>
      </c>
      <c r="AB25" s="115" t="s">
        <v>32</v>
      </c>
      <c r="AC25" s="115" t="s">
        <v>157</v>
      </c>
      <c r="AD25" s="114" t="s">
        <v>121</v>
      </c>
      <c r="AE25" s="35" t="s">
        <v>5002</v>
      </c>
      <c r="AF25" s="35" t="s">
        <v>121</v>
      </c>
      <c r="AG25" s="35"/>
      <c r="AH25" s="35"/>
      <c r="AI25" s="35"/>
      <c r="AJ25" s="16"/>
      <c r="AK25" s="16"/>
      <c r="AL25" s="16"/>
      <c r="AM25" s="17"/>
      <c r="AN25" s="16"/>
      <c r="AO25" s="75"/>
      <c r="AP25" s="75"/>
      <c r="AQ25" s="27"/>
      <c r="AR25" s="319"/>
      <c r="AS25" s="10"/>
      <c r="AT25" s="5" t="str">
        <f>IF(Tabla1015[[#This Row],[FECHA]]="","",VLOOKUP(TEXT(Tabla1015[[#This Row],[FECHA]],"[$-C0A]dddd"),Tabla2[#All],2,FALSE)&amp;"-"&amp;TEXT(Tabla1015[[#This Row],[FECHA]],"[$-C0A]dddd"))</f>
        <v>1-lunes</v>
      </c>
      <c r="AU25" s="322">
        <f>COUNTIF($Z$4:Z25,Z25)</f>
        <v>5</v>
      </c>
      <c r="AW25" s="30" t="s">
        <v>3632</v>
      </c>
    </row>
    <row r="26" spans="5:49" ht="47.25" customHeight="1">
      <c r="E26" s="6"/>
      <c r="M26"/>
      <c r="N26"/>
      <c r="O26" s="62"/>
      <c r="S26" s="184" t="str">
        <f t="shared" si="0"/>
        <v>EMP. SACMI-5</v>
      </c>
      <c r="T26" s="22">
        <v>45943</v>
      </c>
      <c r="U26" s="16" t="s">
        <v>131</v>
      </c>
      <c r="V26" s="16" t="s">
        <v>36</v>
      </c>
      <c r="W26" s="381" t="s">
        <v>3357</v>
      </c>
      <c r="X26" s="381" t="s">
        <v>468</v>
      </c>
      <c r="Y26" s="380">
        <v>2.4305555555555469E-2</v>
      </c>
      <c r="Z26" s="16" t="s">
        <v>24</v>
      </c>
      <c r="AA26" s="343" t="s">
        <v>3614</v>
      </c>
      <c r="AB26" s="115" t="s">
        <v>57</v>
      </c>
      <c r="AC26" s="115" t="s">
        <v>92</v>
      </c>
      <c r="AD26" s="114" t="s">
        <v>93</v>
      </c>
      <c r="AE26" s="35" t="s">
        <v>225</v>
      </c>
      <c r="AF26" s="35" t="s">
        <v>5003</v>
      </c>
      <c r="AG26" s="35"/>
      <c r="AH26" s="35"/>
      <c r="AI26" s="35"/>
      <c r="AJ26" s="16"/>
      <c r="AK26" s="16"/>
      <c r="AL26" s="16"/>
      <c r="AM26" s="17"/>
      <c r="AN26" s="16"/>
      <c r="AO26" s="75"/>
      <c r="AP26" s="75"/>
      <c r="AQ26" s="27"/>
      <c r="AR26" s="319"/>
      <c r="AS26" s="10"/>
      <c r="AT26" s="5" t="str">
        <f>IF(Tabla1015[[#This Row],[FECHA]]="","",VLOOKUP(TEXT(Tabla1015[[#This Row],[FECHA]],"[$-C0A]dddd"),Tabla2[#All],2,FALSE)&amp;"-"&amp;TEXT(Tabla1015[[#This Row],[FECHA]],"[$-C0A]dddd"))</f>
        <v>1-lunes</v>
      </c>
      <c r="AU26" s="322">
        <f>COUNTIF($Z$4:Z26,Z26)</f>
        <v>5</v>
      </c>
      <c r="AW26" s="29" t="s">
        <v>3633</v>
      </c>
    </row>
    <row r="27" spans="5:49" ht="47.25" customHeight="1">
      <c r="N27"/>
      <c r="O27" s="62"/>
      <c r="S27" s="184" t="str">
        <f t="shared" si="0"/>
        <v>CALDERO, CHRILLER Y COMPRESOR-1</v>
      </c>
      <c r="T27" s="22">
        <v>45945</v>
      </c>
      <c r="U27" s="16" t="s">
        <v>191</v>
      </c>
      <c r="V27" s="16" t="s">
        <v>23</v>
      </c>
      <c r="W27" s="381" t="s">
        <v>881</v>
      </c>
      <c r="X27" s="381" t="s">
        <v>781</v>
      </c>
      <c r="Y27" s="380">
        <v>1.3194444444444398E-2</v>
      </c>
      <c r="Z27" s="16" t="s">
        <v>215</v>
      </c>
      <c r="AA27" s="343" t="s">
        <v>3629</v>
      </c>
      <c r="AB27" s="115" t="s">
        <v>54</v>
      </c>
      <c r="AC27" s="115" t="s">
        <v>157</v>
      </c>
      <c r="AD27" s="114" t="s">
        <v>121</v>
      </c>
      <c r="AE27" s="35" t="s">
        <v>1751</v>
      </c>
      <c r="AF27" s="35"/>
      <c r="AG27" s="35"/>
      <c r="AH27" s="35"/>
      <c r="AI27" s="35"/>
      <c r="AJ27" s="16"/>
      <c r="AK27" s="16"/>
      <c r="AL27" s="16"/>
      <c r="AM27" s="17"/>
      <c r="AN27" s="16"/>
      <c r="AO27" s="75"/>
      <c r="AP27" s="75"/>
      <c r="AQ27" s="27"/>
      <c r="AR27" s="319"/>
      <c r="AS27" s="10"/>
      <c r="AT27" s="5" t="str">
        <f>IF(Tabla1015[[#This Row],[FECHA]]="","",VLOOKUP(TEXT(Tabla1015[[#This Row],[FECHA]],"[$-C0A]dddd"),Tabla2[#All],2,FALSE)&amp;"-"&amp;TEXT(Tabla1015[[#This Row],[FECHA]],"[$-C0A]dddd"))</f>
        <v>3-miércoles</v>
      </c>
      <c r="AU27" s="322">
        <f>COUNTIF($Z$4:Z27,Z27)</f>
        <v>1</v>
      </c>
      <c r="AW27" s="30" t="s">
        <v>3634</v>
      </c>
    </row>
    <row r="28" spans="5:49" ht="47.25" customHeight="1">
      <c r="N28"/>
      <c r="O28" s="62"/>
      <c r="S28" s="184" t="str">
        <f t="shared" si="0"/>
        <v>LINEA AUTOMATICA HACOS 1-6</v>
      </c>
      <c r="T28" s="22">
        <v>45945</v>
      </c>
      <c r="U28" s="16" t="s">
        <v>191</v>
      </c>
      <c r="V28" s="16" t="s">
        <v>23</v>
      </c>
      <c r="W28" s="381" t="s">
        <v>1162</v>
      </c>
      <c r="X28" s="381" t="s">
        <v>393</v>
      </c>
      <c r="Y28" s="380">
        <v>1.5277777777777724E-2</v>
      </c>
      <c r="Z28" s="16" t="s">
        <v>119</v>
      </c>
      <c r="AA28" s="343" t="s">
        <v>3614</v>
      </c>
      <c r="AB28" s="115" t="s">
        <v>54</v>
      </c>
      <c r="AC28" s="115" t="s">
        <v>157</v>
      </c>
      <c r="AD28" s="114" t="s">
        <v>121</v>
      </c>
      <c r="AE28" s="35" t="s">
        <v>5004</v>
      </c>
      <c r="AF28" s="35"/>
      <c r="AG28" s="35"/>
      <c r="AH28" s="35"/>
      <c r="AI28" s="35"/>
      <c r="AJ28" s="16"/>
      <c r="AK28" s="16"/>
      <c r="AL28" s="16"/>
      <c r="AM28" s="17"/>
      <c r="AN28" s="16"/>
      <c r="AO28" s="75"/>
      <c r="AP28" s="75"/>
      <c r="AQ28" s="27"/>
      <c r="AR28" s="319"/>
      <c r="AS28" s="10"/>
      <c r="AT28" s="5" t="str">
        <f>IF(Tabla1015[[#This Row],[FECHA]]="","",VLOOKUP(TEXT(Tabla1015[[#This Row],[FECHA]],"[$-C0A]dddd"),Tabla2[#All],2,FALSE)&amp;"-"&amp;TEXT(Tabla1015[[#This Row],[FECHA]],"[$-C0A]dddd"))</f>
        <v>3-miércoles</v>
      </c>
      <c r="AU28" s="322">
        <f>COUNTIF($Z$4:Z28,Z28)</f>
        <v>6</v>
      </c>
      <c r="AW28" s="29" t="s">
        <v>3635</v>
      </c>
    </row>
    <row r="29" spans="5:49" ht="47.25" customHeight="1">
      <c r="N29"/>
      <c r="O29" s="62"/>
      <c r="S29" s="184" t="str">
        <f t="shared" si="0"/>
        <v>EMP. FLOWPACK 2-1</v>
      </c>
      <c r="T29" s="22">
        <v>45945</v>
      </c>
      <c r="U29" s="16" t="s">
        <v>191</v>
      </c>
      <c r="V29" s="16" t="s">
        <v>23</v>
      </c>
      <c r="W29" s="381" t="s">
        <v>139</v>
      </c>
      <c r="X29" s="381" t="s">
        <v>5005</v>
      </c>
      <c r="Y29" s="380">
        <v>8.2638888888888928E-2</v>
      </c>
      <c r="Z29" s="16" t="s">
        <v>31</v>
      </c>
      <c r="AA29" s="343" t="s">
        <v>3614</v>
      </c>
      <c r="AB29" s="115" t="s">
        <v>32</v>
      </c>
      <c r="AC29" s="115" t="s">
        <v>157</v>
      </c>
      <c r="AD29" s="114" t="s">
        <v>121</v>
      </c>
      <c r="AE29" s="35" t="s">
        <v>5006</v>
      </c>
      <c r="AF29" s="35"/>
      <c r="AG29" s="35"/>
      <c r="AH29" s="35"/>
      <c r="AI29" s="35"/>
      <c r="AJ29" s="16"/>
      <c r="AK29" s="16"/>
      <c r="AL29" s="16"/>
      <c r="AM29" s="17"/>
      <c r="AN29" s="16"/>
      <c r="AO29" s="75"/>
      <c r="AP29" s="75"/>
      <c r="AQ29" s="27"/>
      <c r="AR29" s="319"/>
      <c r="AS29" s="10"/>
      <c r="AT29" s="5" t="str">
        <f>IF(Tabla1015[[#This Row],[FECHA]]="","",VLOOKUP(TEXT(Tabla1015[[#This Row],[FECHA]],"[$-C0A]dddd"),Tabla2[#All],2,FALSE)&amp;"-"&amp;TEXT(Tabla1015[[#This Row],[FECHA]],"[$-C0A]dddd"))</f>
        <v>3-miércoles</v>
      </c>
      <c r="AU29" s="322">
        <f>COUNTIF($Z$4:Z29,Z29)</f>
        <v>1</v>
      </c>
      <c r="AW29" s="30" t="s">
        <v>3636</v>
      </c>
    </row>
    <row r="30" spans="5:49" ht="47.25" customHeight="1">
      <c r="N30"/>
      <c r="O30" s="62"/>
      <c r="S30" s="184" t="str">
        <f t="shared" si="0"/>
        <v>PROCESADORA DE MASAS - NETZSCH-1</v>
      </c>
      <c r="T30" s="22">
        <v>45945</v>
      </c>
      <c r="U30" s="16" t="s">
        <v>191</v>
      </c>
      <c r="V30" s="16" t="s">
        <v>23</v>
      </c>
      <c r="W30" s="381" t="s">
        <v>5007</v>
      </c>
      <c r="X30" s="381" t="s">
        <v>1224</v>
      </c>
      <c r="Y30" s="380">
        <v>1.1111111111111072E-2</v>
      </c>
      <c r="Z30" s="16" t="s">
        <v>169</v>
      </c>
      <c r="AA30" s="343" t="s">
        <v>3614</v>
      </c>
      <c r="AB30" s="115" t="s">
        <v>32</v>
      </c>
      <c r="AC30" s="115" t="s">
        <v>157</v>
      </c>
      <c r="AD30" s="114" t="s">
        <v>121</v>
      </c>
      <c r="AE30" s="35" t="s">
        <v>5008</v>
      </c>
      <c r="AF30" s="35"/>
      <c r="AG30" s="35"/>
      <c r="AH30" s="35"/>
      <c r="AI30" s="35"/>
      <c r="AJ30" s="16"/>
      <c r="AK30" s="16"/>
      <c r="AL30" s="16"/>
      <c r="AM30" s="17"/>
      <c r="AN30" s="16"/>
      <c r="AO30" s="75"/>
      <c r="AP30" s="75"/>
      <c r="AQ30" s="27"/>
      <c r="AR30" s="319"/>
      <c r="AS30" s="10"/>
      <c r="AT30" s="5" t="str">
        <f>IF(Tabla1015[[#This Row],[FECHA]]="","",VLOOKUP(TEXT(Tabla1015[[#This Row],[FECHA]],"[$-C0A]dddd"),Tabla2[#All],2,FALSE)&amp;"-"&amp;TEXT(Tabla1015[[#This Row],[FECHA]],"[$-C0A]dddd"))</f>
        <v>3-miércoles</v>
      </c>
      <c r="AU30" s="322">
        <f>COUNTIF($Z$4:Z30,Z30)</f>
        <v>1</v>
      </c>
      <c r="AW30" s="29" t="s">
        <v>3636</v>
      </c>
    </row>
    <row r="31" spans="5:49" ht="47.25" customHeight="1">
      <c r="N31"/>
      <c r="O31" s="62"/>
      <c r="S31" s="184" t="str">
        <f t="shared" si="0"/>
        <v>EMP. FLOWPACK 2-2</v>
      </c>
      <c r="T31" s="22">
        <v>45945</v>
      </c>
      <c r="U31" s="16" t="s">
        <v>191</v>
      </c>
      <c r="V31" s="16" t="s">
        <v>23</v>
      </c>
      <c r="W31" s="381" t="s">
        <v>5009</v>
      </c>
      <c r="X31" s="381" t="s">
        <v>5010</v>
      </c>
      <c r="Y31" s="380">
        <v>1.9444444444444486E-2</v>
      </c>
      <c r="Z31" s="16" t="s">
        <v>31</v>
      </c>
      <c r="AA31" s="343" t="s">
        <v>3614</v>
      </c>
      <c r="AB31" s="115" t="s">
        <v>57</v>
      </c>
      <c r="AC31" s="115" t="s">
        <v>92</v>
      </c>
      <c r="AD31" s="114" t="s">
        <v>93</v>
      </c>
      <c r="AE31" s="35" t="s">
        <v>5011</v>
      </c>
      <c r="AF31" s="35" t="s">
        <v>5012</v>
      </c>
      <c r="AG31" s="35"/>
      <c r="AH31" s="35"/>
      <c r="AI31" s="35"/>
      <c r="AJ31" s="16"/>
      <c r="AK31" s="16"/>
      <c r="AL31" s="16"/>
      <c r="AM31" s="17"/>
      <c r="AN31" s="16"/>
      <c r="AO31" s="75"/>
      <c r="AP31" s="75"/>
      <c r="AQ31" s="27"/>
      <c r="AR31" s="319"/>
      <c r="AS31" s="10"/>
      <c r="AT31" s="5" t="str">
        <f>IF(Tabla1015[[#This Row],[FECHA]]="","",VLOOKUP(TEXT(Tabla1015[[#This Row],[FECHA]],"[$-C0A]dddd"),Tabla2[#All],2,FALSE)&amp;"-"&amp;TEXT(Tabla1015[[#This Row],[FECHA]],"[$-C0A]dddd"))</f>
        <v>3-miércoles</v>
      </c>
      <c r="AU31" s="322">
        <f>COUNTIF($Z$4:Z31,Z31)</f>
        <v>2</v>
      </c>
      <c r="AW31" s="30" t="s">
        <v>3637</v>
      </c>
    </row>
    <row r="32" spans="5:49" ht="47.25" customHeight="1">
      <c r="N32"/>
      <c r="O32" s="62"/>
      <c r="S32" s="184" t="str">
        <f t="shared" si="0"/>
        <v>RAYOS X 2-1</v>
      </c>
      <c r="T32" s="22">
        <v>45945</v>
      </c>
      <c r="U32" s="16" t="s">
        <v>191</v>
      </c>
      <c r="V32" s="16" t="s">
        <v>23</v>
      </c>
      <c r="W32" s="381" t="s">
        <v>2717</v>
      </c>
      <c r="X32" s="381" t="s">
        <v>5013</v>
      </c>
      <c r="Y32" s="380">
        <v>1.5972222222222165E-2</v>
      </c>
      <c r="Z32" s="16" t="s">
        <v>222</v>
      </c>
      <c r="AA32" s="343" t="s">
        <v>3614</v>
      </c>
      <c r="AB32" s="115" t="s">
        <v>245</v>
      </c>
      <c r="AC32" s="115" t="s">
        <v>157</v>
      </c>
      <c r="AD32" s="114" t="s">
        <v>121</v>
      </c>
      <c r="AE32" s="35" t="s">
        <v>1214</v>
      </c>
      <c r="AF32" s="35" t="s">
        <v>5014</v>
      </c>
      <c r="AG32" s="35"/>
      <c r="AH32" s="35"/>
      <c r="AI32" s="35"/>
      <c r="AJ32" s="16"/>
      <c r="AK32" s="16"/>
      <c r="AL32" s="16"/>
      <c r="AM32" s="17"/>
      <c r="AN32" s="16"/>
      <c r="AO32" s="75"/>
      <c r="AP32" s="75"/>
      <c r="AQ32" s="27"/>
      <c r="AR32" s="319"/>
      <c r="AS32" s="10"/>
      <c r="AT32" s="5" t="str">
        <f>IF(Tabla1015[[#This Row],[FECHA]]="","",VLOOKUP(TEXT(Tabla1015[[#This Row],[FECHA]],"[$-C0A]dddd"),Tabla2[#All],2,FALSE)&amp;"-"&amp;TEXT(Tabla1015[[#This Row],[FECHA]],"[$-C0A]dddd"))</f>
        <v>3-miércoles</v>
      </c>
      <c r="AU32" s="322">
        <f>COUNTIF($Z$4:Z32,Z32)</f>
        <v>1</v>
      </c>
      <c r="AW32" s="29" t="s">
        <v>3638</v>
      </c>
    </row>
    <row r="33" spans="2:49" ht="47.25" customHeight="1">
      <c r="N33"/>
      <c r="O33" s="62"/>
      <c r="S33" s="184" t="str">
        <f t="shared" si="0"/>
        <v>EMP. FLOWPACK 2-3</v>
      </c>
      <c r="T33" s="22">
        <v>45945</v>
      </c>
      <c r="U33" s="16" t="s">
        <v>191</v>
      </c>
      <c r="V33" s="16" t="s">
        <v>23</v>
      </c>
      <c r="W33" s="381" t="s">
        <v>5015</v>
      </c>
      <c r="X33" s="381" t="s">
        <v>5016</v>
      </c>
      <c r="Y33" s="380">
        <v>1.4583333333333393E-2</v>
      </c>
      <c r="Z33" s="16" t="s">
        <v>31</v>
      </c>
      <c r="AA33" s="343" t="s">
        <v>3614</v>
      </c>
      <c r="AB33" s="115" t="s">
        <v>57</v>
      </c>
      <c r="AC33" s="115" t="s">
        <v>92</v>
      </c>
      <c r="AD33" s="114" t="s">
        <v>93</v>
      </c>
      <c r="AE33" s="35" t="s">
        <v>5017</v>
      </c>
      <c r="AF33" s="35" t="s">
        <v>5018</v>
      </c>
      <c r="AG33" s="35"/>
      <c r="AH33" s="35"/>
      <c r="AI33" s="35"/>
      <c r="AJ33" s="16"/>
      <c r="AK33" s="16"/>
      <c r="AL33" s="16"/>
      <c r="AM33" s="17"/>
      <c r="AN33" s="16"/>
      <c r="AO33" s="75"/>
      <c r="AP33" s="75"/>
      <c r="AQ33" s="27"/>
      <c r="AR33" s="319"/>
      <c r="AS33" s="10"/>
      <c r="AT33" s="5" t="str">
        <f>IF(Tabla1015[[#This Row],[FECHA]]="","",VLOOKUP(TEXT(Tabla1015[[#This Row],[FECHA]],"[$-C0A]dddd"),Tabla2[#All],2,FALSE)&amp;"-"&amp;TEXT(Tabla1015[[#This Row],[FECHA]],"[$-C0A]dddd"))</f>
        <v>3-miércoles</v>
      </c>
      <c r="AU33" s="322">
        <f>COUNTIF($Z$4:Z33,Z33)</f>
        <v>3</v>
      </c>
      <c r="AW33" s="30" t="s">
        <v>3494</v>
      </c>
    </row>
    <row r="34" spans="2:49" ht="47.25" customHeight="1">
      <c r="N34"/>
      <c r="O34" s="62"/>
      <c r="S34" s="184" t="str">
        <f t="shared" si="0"/>
        <v>LINEA AUTOMATICA HACOS 1-7</v>
      </c>
      <c r="T34" s="22">
        <v>45945</v>
      </c>
      <c r="U34" s="16" t="s">
        <v>191</v>
      </c>
      <c r="V34" s="16" t="s">
        <v>23</v>
      </c>
      <c r="W34" s="381" t="s">
        <v>5019</v>
      </c>
      <c r="X34" s="381" t="s">
        <v>2007</v>
      </c>
      <c r="Y34" s="380">
        <v>1.9444444444444486E-2</v>
      </c>
      <c r="Z34" s="16" t="s">
        <v>119</v>
      </c>
      <c r="AA34" s="343" t="s">
        <v>3614</v>
      </c>
      <c r="AB34" s="115" t="s">
        <v>32</v>
      </c>
      <c r="AC34" s="115" t="s">
        <v>157</v>
      </c>
      <c r="AD34" s="114" t="s">
        <v>121</v>
      </c>
      <c r="AE34" s="35" t="s">
        <v>5020</v>
      </c>
      <c r="AF34" s="35"/>
      <c r="AG34" s="35"/>
      <c r="AH34" s="35"/>
      <c r="AI34" s="35"/>
      <c r="AJ34" s="16"/>
      <c r="AK34" s="16"/>
      <c r="AL34" s="16"/>
      <c r="AM34" s="17"/>
      <c r="AN34" s="16"/>
      <c r="AO34" s="75"/>
      <c r="AP34" s="75"/>
      <c r="AQ34" s="27"/>
      <c r="AR34" s="319"/>
      <c r="AS34" s="10"/>
      <c r="AT34" s="5" t="str">
        <f>IF(Tabla1015[[#This Row],[FECHA]]="","",VLOOKUP(TEXT(Tabla1015[[#This Row],[FECHA]],"[$-C0A]dddd"),Tabla2[#All],2,FALSE)&amp;"-"&amp;TEXT(Tabla1015[[#This Row],[FECHA]],"[$-C0A]dddd"))</f>
        <v>3-miércoles</v>
      </c>
      <c r="AU34" s="322">
        <f>COUNTIF($Z$4:Z34,Z34)</f>
        <v>7</v>
      </c>
      <c r="AW34" s="29" t="s">
        <v>458</v>
      </c>
    </row>
    <row r="35" spans="2:49" ht="47.25" customHeight="1">
      <c r="N35"/>
      <c r="O35" s="62"/>
      <c r="S35" s="184" t="str">
        <f t="shared" si="0"/>
        <v>LINEA AUTOMATICA HACOS 1-8</v>
      </c>
      <c r="T35" s="22">
        <v>45945</v>
      </c>
      <c r="U35" s="16" t="s">
        <v>191</v>
      </c>
      <c r="V35" s="16" t="s">
        <v>23</v>
      </c>
      <c r="W35" s="381" t="s">
        <v>278</v>
      </c>
      <c r="X35" s="381" t="s">
        <v>5021</v>
      </c>
      <c r="Y35" s="380">
        <v>2.3611111111111138E-2</v>
      </c>
      <c r="Z35" s="16" t="s">
        <v>119</v>
      </c>
      <c r="AA35" s="343" t="s">
        <v>3614</v>
      </c>
      <c r="AB35" s="115" t="s">
        <v>32</v>
      </c>
      <c r="AC35" s="115" t="s">
        <v>157</v>
      </c>
      <c r="AD35" s="114" t="s">
        <v>121</v>
      </c>
      <c r="AE35" s="35" t="s">
        <v>5022</v>
      </c>
      <c r="AF35" s="35"/>
      <c r="AG35" s="35"/>
      <c r="AH35" s="35"/>
      <c r="AI35" s="35"/>
      <c r="AJ35" s="16"/>
      <c r="AK35" s="16"/>
      <c r="AL35" s="16"/>
      <c r="AM35" s="17"/>
      <c r="AN35" s="16"/>
      <c r="AO35" s="75"/>
      <c r="AP35" s="75"/>
      <c r="AQ35" s="27"/>
      <c r="AR35" s="319"/>
      <c r="AS35" s="10"/>
      <c r="AT35" s="5" t="str">
        <f>IF(Tabla1015[[#This Row],[FECHA]]="","",VLOOKUP(TEXT(Tabla1015[[#This Row],[FECHA]],"[$-C0A]dddd"),Tabla2[#All],2,FALSE)&amp;"-"&amp;TEXT(Tabla1015[[#This Row],[FECHA]],"[$-C0A]dddd"))</f>
        <v>3-miércoles</v>
      </c>
      <c r="AU35" s="322">
        <f>COUNTIF($Z$4:Z35,Z35)</f>
        <v>8</v>
      </c>
      <c r="AW35" s="30" t="s">
        <v>3639</v>
      </c>
    </row>
    <row r="36" spans="2:49" ht="47.25" customHeight="1">
      <c r="N36"/>
      <c r="O36" s="62"/>
      <c r="S36" s="184" t="str">
        <f t="shared" si="0"/>
        <v>TALLER DE MANTENIMIENTO-3</v>
      </c>
      <c r="T36" s="22">
        <v>45945</v>
      </c>
      <c r="U36" s="16" t="s">
        <v>111</v>
      </c>
      <c r="V36" s="16" t="s">
        <v>39</v>
      </c>
      <c r="W36" s="381" t="s">
        <v>862</v>
      </c>
      <c r="X36" s="381" t="s">
        <v>112</v>
      </c>
      <c r="Y36" s="380">
        <v>1.7361111111111108E-2</v>
      </c>
      <c r="Z36" s="16" t="s">
        <v>328</v>
      </c>
      <c r="AA36" s="343" t="s">
        <v>3616</v>
      </c>
      <c r="AB36" s="115" t="s">
        <v>32</v>
      </c>
      <c r="AC36" s="115" t="s">
        <v>157</v>
      </c>
      <c r="AD36" s="114" t="s">
        <v>121</v>
      </c>
      <c r="AE36" s="35" t="s">
        <v>5023</v>
      </c>
      <c r="AF36" s="35"/>
      <c r="AG36" s="35"/>
      <c r="AH36" s="35"/>
      <c r="AI36" s="35"/>
      <c r="AJ36" s="16"/>
      <c r="AK36" s="16"/>
      <c r="AL36" s="16"/>
      <c r="AM36" s="17"/>
      <c r="AN36" s="16"/>
      <c r="AO36" s="75"/>
      <c r="AP36" s="75"/>
      <c r="AQ36" s="27"/>
      <c r="AR36" s="319"/>
      <c r="AS36" s="10"/>
      <c r="AT36" s="5" t="str">
        <f>IF(Tabla1015[[#This Row],[FECHA]]="","",VLOOKUP(TEXT(Tabla1015[[#This Row],[FECHA]],"[$-C0A]dddd"),Tabla2[#All],2,FALSE)&amp;"-"&amp;TEXT(Tabla1015[[#This Row],[FECHA]],"[$-C0A]dddd"))</f>
        <v>3-miércoles</v>
      </c>
      <c r="AU36" s="322">
        <f>COUNTIF($Z$4:Z36,Z36)</f>
        <v>3</v>
      </c>
      <c r="AW36" s="29" t="s">
        <v>3640</v>
      </c>
    </row>
    <row r="37" spans="2:49" ht="47.25" customHeight="1">
      <c r="N37"/>
      <c r="O37" s="62"/>
      <c r="S37" s="184" t="str">
        <f t="shared" si="0"/>
        <v>EMP. SACMI-6</v>
      </c>
      <c r="T37" s="22">
        <v>45945</v>
      </c>
      <c r="U37" s="16" t="s">
        <v>111</v>
      </c>
      <c r="V37" s="16" t="s">
        <v>39</v>
      </c>
      <c r="W37" s="381" t="s">
        <v>1654</v>
      </c>
      <c r="X37" s="381" t="s">
        <v>1559</v>
      </c>
      <c r="Y37" s="380">
        <v>4.8611111111111147E-3</v>
      </c>
      <c r="Z37" s="16" t="s">
        <v>24</v>
      </c>
      <c r="AA37" s="343" t="s">
        <v>3614</v>
      </c>
      <c r="AB37" s="115" t="s">
        <v>32</v>
      </c>
      <c r="AC37" s="115" t="s">
        <v>157</v>
      </c>
      <c r="AD37" s="114" t="s">
        <v>121</v>
      </c>
      <c r="AE37" s="35" t="s">
        <v>5024</v>
      </c>
      <c r="AF37" s="35"/>
      <c r="AG37" s="35"/>
      <c r="AH37" s="35"/>
      <c r="AI37" s="35"/>
      <c r="AJ37" s="16"/>
      <c r="AK37" s="16"/>
      <c r="AL37" s="16"/>
      <c r="AM37" s="17"/>
      <c r="AN37" s="16"/>
      <c r="AO37" s="75"/>
      <c r="AP37" s="75"/>
      <c r="AQ37" s="27"/>
      <c r="AR37" s="319"/>
      <c r="AS37" s="10"/>
      <c r="AT37" s="5" t="str">
        <f>IF(Tabla1015[[#This Row],[FECHA]]="","",VLOOKUP(TEXT(Tabla1015[[#This Row],[FECHA]],"[$-C0A]dddd"),Tabla2[#All],2,FALSE)&amp;"-"&amp;TEXT(Tabla1015[[#This Row],[FECHA]],"[$-C0A]dddd"))</f>
        <v>3-miércoles</v>
      </c>
      <c r="AU37" s="322">
        <f>COUNTIF($Z$4:Z37,Z37)</f>
        <v>6</v>
      </c>
      <c r="AW37" s="30" t="s">
        <v>3641</v>
      </c>
    </row>
    <row r="38" spans="2:49" ht="47.25" customHeight="1">
      <c r="N38"/>
      <c r="O38" s="62"/>
      <c r="S38" s="184" t="str">
        <f t="shared" si="0"/>
        <v>FORRADORA MINIFLEX-1</v>
      </c>
      <c r="T38" s="22">
        <v>45945</v>
      </c>
      <c r="U38" s="16" t="s">
        <v>111</v>
      </c>
      <c r="V38" s="16" t="s">
        <v>39</v>
      </c>
      <c r="W38" s="381" t="s">
        <v>397</v>
      </c>
      <c r="X38" s="381" t="s">
        <v>1265</v>
      </c>
      <c r="Y38" s="380">
        <v>1.3888888888888895E-2</v>
      </c>
      <c r="Z38" s="16" t="s">
        <v>1470</v>
      </c>
      <c r="AA38" s="343" t="s">
        <v>3614</v>
      </c>
      <c r="AB38" s="115" t="s">
        <v>32</v>
      </c>
      <c r="AC38" s="115" t="s">
        <v>157</v>
      </c>
      <c r="AD38" s="114" t="s">
        <v>121</v>
      </c>
      <c r="AE38" s="35" t="s">
        <v>5025</v>
      </c>
      <c r="AF38" s="35"/>
      <c r="AG38" s="35"/>
      <c r="AH38" s="35"/>
      <c r="AI38" s="35"/>
      <c r="AJ38" s="16"/>
      <c r="AK38" s="16"/>
      <c r="AL38" s="16"/>
      <c r="AM38" s="17"/>
      <c r="AN38" s="16"/>
      <c r="AO38" s="75"/>
      <c r="AP38" s="75"/>
      <c r="AQ38" s="27"/>
      <c r="AR38" s="319"/>
      <c r="AS38" s="10"/>
      <c r="AT38" s="5" t="str">
        <f>IF(Tabla1015[[#This Row],[FECHA]]="","",VLOOKUP(TEXT(Tabla1015[[#This Row],[FECHA]],"[$-C0A]dddd"),Tabla2[#All],2,FALSE)&amp;"-"&amp;TEXT(Tabla1015[[#This Row],[FECHA]],"[$-C0A]dddd"))</f>
        <v>3-miércoles</v>
      </c>
      <c r="AU38" s="322">
        <f>COUNTIF($Z$4:Z38,Z38)</f>
        <v>1</v>
      </c>
      <c r="AW38" s="29" t="s">
        <v>972</v>
      </c>
    </row>
    <row r="39" spans="2:49" ht="47.25" customHeight="1">
      <c r="N39"/>
      <c r="O39" s="62"/>
      <c r="S39" s="184" t="str">
        <f t="shared" si="0"/>
        <v>LINEA AUTOMATICA HACOS 1-9</v>
      </c>
      <c r="T39" s="22">
        <v>45945</v>
      </c>
      <c r="U39" s="16" t="s">
        <v>111</v>
      </c>
      <c r="V39" s="16" t="s">
        <v>39</v>
      </c>
      <c r="W39" s="381" t="s">
        <v>2084</v>
      </c>
      <c r="X39" s="381" t="s">
        <v>710</v>
      </c>
      <c r="Y39" s="380">
        <v>2.0833333333333329E-2</v>
      </c>
      <c r="Z39" s="16" t="s">
        <v>119</v>
      </c>
      <c r="AA39" s="343" t="s">
        <v>3614</v>
      </c>
      <c r="AB39" s="115" t="s">
        <v>54</v>
      </c>
      <c r="AC39" s="115" t="s">
        <v>157</v>
      </c>
      <c r="AD39" s="114" t="s">
        <v>121</v>
      </c>
      <c r="AE39" s="35" t="s">
        <v>5026</v>
      </c>
      <c r="AF39" s="35"/>
      <c r="AG39" s="35"/>
      <c r="AH39" s="35"/>
      <c r="AI39" s="35"/>
      <c r="AJ39" s="16"/>
      <c r="AK39" s="16"/>
      <c r="AL39" s="16"/>
      <c r="AM39" s="17"/>
      <c r="AN39" s="16"/>
      <c r="AO39" s="75"/>
      <c r="AP39" s="75"/>
      <c r="AQ39" s="27"/>
      <c r="AR39" s="319"/>
      <c r="AS39" s="10"/>
      <c r="AT39" s="5" t="str">
        <f>IF(Tabla1015[[#This Row],[FECHA]]="","",VLOOKUP(TEXT(Tabla1015[[#This Row],[FECHA]],"[$-C0A]dddd"),Tabla2[#All],2,FALSE)&amp;"-"&amp;TEXT(Tabla1015[[#This Row],[FECHA]],"[$-C0A]dddd"))</f>
        <v>3-miércoles</v>
      </c>
      <c r="AU39" s="322">
        <f>COUNTIF($Z$4:Z39,Z39)</f>
        <v>9</v>
      </c>
      <c r="AW39" s="30" t="s">
        <v>3642</v>
      </c>
    </row>
    <row r="40" spans="2:49" ht="29.25" customHeight="1">
      <c r="N40"/>
      <c r="O40" s="62"/>
      <c r="S40" s="184" t="str">
        <f t="shared" si="0"/>
        <v>COCINADORA 2 - GIANINI -1</v>
      </c>
      <c r="T40" s="22">
        <v>45945</v>
      </c>
      <c r="U40" s="16" t="s">
        <v>111</v>
      </c>
      <c r="V40" s="16" t="s">
        <v>39</v>
      </c>
      <c r="W40" s="381" t="s">
        <v>1662</v>
      </c>
      <c r="X40" s="381" t="s">
        <v>873</v>
      </c>
      <c r="Y40" s="380">
        <v>6.9444444444444475E-3</v>
      </c>
      <c r="Z40" s="16" t="s">
        <v>4183</v>
      </c>
      <c r="AA40" s="343" t="s">
        <v>3614</v>
      </c>
      <c r="AB40" s="115" t="s">
        <v>32</v>
      </c>
      <c r="AC40" s="115" t="s">
        <v>157</v>
      </c>
      <c r="AD40" s="114" t="s">
        <v>121</v>
      </c>
      <c r="AE40" s="35" t="s">
        <v>1272</v>
      </c>
      <c r="AF40" s="35" t="s">
        <v>5027</v>
      </c>
      <c r="AG40" s="35"/>
      <c r="AH40" s="35"/>
      <c r="AI40" s="35"/>
      <c r="AJ40" s="16"/>
      <c r="AK40" s="16"/>
      <c r="AL40" s="16"/>
      <c r="AM40" s="17"/>
      <c r="AN40" s="16"/>
      <c r="AO40" s="75"/>
      <c r="AP40" s="75"/>
      <c r="AQ40" s="27"/>
      <c r="AR40" s="319"/>
      <c r="AS40" s="10"/>
      <c r="AT40" s="5" t="str">
        <f>IF(Tabla1015[[#This Row],[FECHA]]="","",VLOOKUP(TEXT(Tabla1015[[#This Row],[FECHA]],"[$-C0A]dddd"),Tabla2[#All],2,FALSE)&amp;"-"&amp;TEXT(Tabla1015[[#This Row],[FECHA]],"[$-C0A]dddd"))</f>
        <v>3-miércoles</v>
      </c>
      <c r="AU40" s="322">
        <f>COUNTIF($Z$4:Z40,Z40)</f>
        <v>1</v>
      </c>
      <c r="AW40" s="29" t="s">
        <v>3643</v>
      </c>
    </row>
    <row r="41" spans="2:49" ht="29.25" customHeight="1">
      <c r="N41"/>
      <c r="O41" s="62"/>
      <c r="S41" s="184" t="str">
        <f t="shared" si="0"/>
        <v>CALDERO 100 BHP-1</v>
      </c>
      <c r="T41" s="22">
        <v>45945</v>
      </c>
      <c r="U41" s="16" t="s">
        <v>131</v>
      </c>
      <c r="V41" s="16" t="s">
        <v>36</v>
      </c>
      <c r="W41" s="381" t="s">
        <v>101</v>
      </c>
      <c r="X41" s="381" t="s">
        <v>1246</v>
      </c>
      <c r="Y41" s="380">
        <v>1.3888888888888895E-2</v>
      </c>
      <c r="Z41" s="16" t="s">
        <v>293</v>
      </c>
      <c r="AA41" s="343" t="s">
        <v>3629</v>
      </c>
      <c r="AB41" s="115" t="s">
        <v>54</v>
      </c>
      <c r="AC41" s="115" t="s">
        <v>157</v>
      </c>
      <c r="AD41" s="114" t="s">
        <v>121</v>
      </c>
      <c r="AE41" s="35" t="s">
        <v>5028</v>
      </c>
      <c r="AF41" s="35"/>
      <c r="AG41" s="35"/>
      <c r="AH41" s="35"/>
      <c r="AI41" s="35"/>
      <c r="AJ41" s="16"/>
      <c r="AK41" s="16"/>
      <c r="AL41" s="16"/>
      <c r="AM41" s="17"/>
      <c r="AN41" s="16"/>
      <c r="AO41" s="75"/>
      <c r="AP41" s="75"/>
      <c r="AQ41" s="27"/>
      <c r="AR41" s="319"/>
      <c r="AS41" s="10"/>
      <c r="AT41" s="5" t="str">
        <f>IF(Tabla1015[[#This Row],[FECHA]]="","",VLOOKUP(TEXT(Tabla1015[[#This Row],[FECHA]],"[$-C0A]dddd"),Tabla2[#All],2,FALSE)&amp;"-"&amp;TEXT(Tabla1015[[#This Row],[FECHA]],"[$-C0A]dddd"))</f>
        <v>3-miércoles</v>
      </c>
      <c r="AU41" s="322">
        <f>COUNTIF($Z$4:Z41,Z41)</f>
        <v>1</v>
      </c>
      <c r="AW41" s="30" t="s">
        <v>27</v>
      </c>
    </row>
    <row r="42" spans="2:49" ht="29.25" customHeight="1">
      <c r="N42"/>
      <c r="O42" s="62"/>
      <c r="S42" s="184" t="str">
        <f t="shared" si="0"/>
        <v>POZOS-1</v>
      </c>
      <c r="T42" s="22">
        <v>45945</v>
      </c>
      <c r="U42" s="16" t="s">
        <v>131</v>
      </c>
      <c r="V42" s="16" t="s">
        <v>36</v>
      </c>
      <c r="W42" s="381" t="s">
        <v>884</v>
      </c>
      <c r="X42" s="381" t="s">
        <v>5029</v>
      </c>
      <c r="Y42" s="380">
        <v>9.0277777777778012E-3</v>
      </c>
      <c r="Z42" s="16" t="s">
        <v>236</v>
      </c>
      <c r="AA42" s="343" t="s">
        <v>3809</v>
      </c>
      <c r="AB42" s="115" t="s">
        <v>54</v>
      </c>
      <c r="AC42" s="115" t="s">
        <v>157</v>
      </c>
      <c r="AD42" s="114" t="s">
        <v>121</v>
      </c>
      <c r="AE42" s="35" t="s">
        <v>5030</v>
      </c>
      <c r="AF42" s="35"/>
      <c r="AG42" s="35"/>
      <c r="AH42" s="35"/>
      <c r="AI42" s="35"/>
      <c r="AJ42" s="16"/>
      <c r="AK42" s="16"/>
      <c r="AL42" s="16"/>
      <c r="AM42" s="17"/>
      <c r="AN42" s="16"/>
      <c r="AO42" s="75"/>
      <c r="AP42" s="75"/>
      <c r="AQ42" s="27"/>
      <c r="AR42" s="319"/>
      <c r="AS42" s="10"/>
      <c r="AT42" s="5" t="str">
        <f>IF(Tabla1015[[#This Row],[FECHA]]="","",VLOOKUP(TEXT(Tabla1015[[#This Row],[FECHA]],"[$-C0A]dddd"),Tabla2[#All],2,FALSE)&amp;"-"&amp;TEXT(Tabla1015[[#This Row],[FECHA]],"[$-C0A]dddd"))</f>
        <v>3-miércoles</v>
      </c>
      <c r="AU42" s="322">
        <f>COUNTIF($Z$4:Z42,Z42)</f>
        <v>1</v>
      </c>
      <c r="AW42" s="29" t="s">
        <v>3644</v>
      </c>
    </row>
    <row r="43" spans="2:49" ht="29.25" customHeight="1">
      <c r="N43"/>
      <c r="O43" s="62"/>
      <c r="S43" s="184" t="str">
        <f t="shared" si="0"/>
        <v>EMP. FLOWPACK 2-4</v>
      </c>
      <c r="T43" s="22">
        <v>45945</v>
      </c>
      <c r="U43" s="16" t="s">
        <v>131</v>
      </c>
      <c r="V43" s="16" t="s">
        <v>36</v>
      </c>
      <c r="W43" s="381" t="s">
        <v>126</v>
      </c>
      <c r="X43" s="381" t="s">
        <v>127</v>
      </c>
      <c r="Y43" s="380">
        <v>2.0833333333333315E-2</v>
      </c>
      <c r="Z43" s="16" t="s">
        <v>31</v>
      </c>
      <c r="AA43" s="343" t="s">
        <v>3614</v>
      </c>
      <c r="AB43" s="115" t="s">
        <v>57</v>
      </c>
      <c r="AC43" s="115" t="s">
        <v>92</v>
      </c>
      <c r="AD43" s="114" t="s">
        <v>93</v>
      </c>
      <c r="AE43" s="35" t="s">
        <v>5031</v>
      </c>
      <c r="AF43" s="35" t="s">
        <v>5032</v>
      </c>
      <c r="AG43" s="35"/>
      <c r="AH43" s="35"/>
      <c r="AI43" s="35"/>
      <c r="AJ43" s="16"/>
      <c r="AK43" s="16"/>
      <c r="AL43" s="16"/>
      <c r="AM43" s="17"/>
      <c r="AN43" s="16"/>
      <c r="AO43" s="75"/>
      <c r="AP43" s="75"/>
      <c r="AQ43" s="27"/>
      <c r="AR43" s="319"/>
      <c r="AS43" s="10"/>
      <c r="AT43" s="5" t="str">
        <f>IF(Tabla1015[[#This Row],[FECHA]]="","",VLOOKUP(TEXT(Tabla1015[[#This Row],[FECHA]],"[$-C0A]dddd"),Tabla2[#All],2,FALSE)&amp;"-"&amp;TEXT(Tabla1015[[#This Row],[FECHA]],"[$-C0A]dddd"))</f>
        <v>3-miércoles</v>
      </c>
      <c r="AU43" s="322">
        <f>COUNTIF($Z$4:Z43,Z43)</f>
        <v>4</v>
      </c>
      <c r="AW43" s="30" t="s">
        <v>3645</v>
      </c>
    </row>
    <row r="44" spans="2:49" ht="29.25" customHeight="1">
      <c r="N44"/>
      <c r="O44" s="62"/>
      <c r="S44" s="184" t="str">
        <f t="shared" si="0"/>
        <v>LINEA AUTOMATICA HACOS 1-10</v>
      </c>
      <c r="T44" s="22">
        <v>45945</v>
      </c>
      <c r="U44" s="16" t="s">
        <v>131</v>
      </c>
      <c r="V44" s="16" t="s">
        <v>36</v>
      </c>
      <c r="W44" s="381" t="s">
        <v>462</v>
      </c>
      <c r="X44" s="381" t="s">
        <v>159</v>
      </c>
      <c r="Y44" s="380">
        <v>1.3888888888888895E-2</v>
      </c>
      <c r="Z44" s="16" t="s">
        <v>119</v>
      </c>
      <c r="AA44" s="343" t="s">
        <v>3614</v>
      </c>
      <c r="AB44" s="115" t="s">
        <v>54</v>
      </c>
      <c r="AC44" s="115" t="s">
        <v>157</v>
      </c>
      <c r="AD44" s="114" t="s">
        <v>121</v>
      </c>
      <c r="AE44" s="35" t="s">
        <v>225</v>
      </c>
      <c r="AF44" s="35"/>
      <c r="AG44" s="35"/>
      <c r="AH44" s="35"/>
      <c r="AI44" s="35"/>
      <c r="AJ44" s="16"/>
      <c r="AK44" s="16"/>
      <c r="AL44" s="16"/>
      <c r="AM44" s="17"/>
      <c r="AN44" s="16"/>
      <c r="AO44" s="75"/>
      <c r="AP44" s="75"/>
      <c r="AQ44" s="27"/>
      <c r="AR44" s="319"/>
      <c r="AS44" s="10"/>
      <c r="AT44" s="5" t="str">
        <f>IF(Tabla1015[[#This Row],[FECHA]]="","",VLOOKUP(TEXT(Tabla1015[[#This Row],[FECHA]],"[$-C0A]dddd"),Tabla2[#All],2,FALSE)&amp;"-"&amp;TEXT(Tabla1015[[#This Row],[FECHA]],"[$-C0A]dddd"))</f>
        <v>3-miércoles</v>
      </c>
      <c r="AU44" s="322">
        <f>COUNTIF($Z$4:Z44,Z44)</f>
        <v>10</v>
      </c>
      <c r="AW44" s="29" t="s">
        <v>3646</v>
      </c>
    </row>
    <row r="45" spans="2:49" ht="29.25" customHeight="1">
      <c r="N45"/>
      <c r="O45" s="62"/>
      <c r="S45" s="184" t="str">
        <f t="shared" si="0"/>
        <v>EMP. SAPAL-1</v>
      </c>
      <c r="T45" s="22">
        <v>45945</v>
      </c>
      <c r="U45" s="16" t="s">
        <v>131</v>
      </c>
      <c r="V45" s="16" t="s">
        <v>36</v>
      </c>
      <c r="W45" s="381" t="s">
        <v>556</v>
      </c>
      <c r="X45" s="381" t="s">
        <v>667</v>
      </c>
      <c r="Y45" s="380">
        <v>2.430555555555558E-2</v>
      </c>
      <c r="Z45" s="16" t="s">
        <v>192</v>
      </c>
      <c r="AA45" s="343" t="s">
        <v>3614</v>
      </c>
      <c r="AB45" s="115" t="s">
        <v>32</v>
      </c>
      <c r="AC45" s="115" t="s">
        <v>157</v>
      </c>
      <c r="AD45" s="114" t="s">
        <v>121</v>
      </c>
      <c r="AE45" s="35" t="s">
        <v>5033</v>
      </c>
      <c r="AF45" s="35"/>
      <c r="AG45" s="35"/>
      <c r="AH45" s="35"/>
      <c r="AI45" s="35"/>
      <c r="AJ45" s="16"/>
      <c r="AK45" s="16"/>
      <c r="AL45" s="16"/>
      <c r="AM45" s="17"/>
      <c r="AN45" s="16"/>
      <c r="AO45" s="75"/>
      <c r="AP45" s="75"/>
      <c r="AQ45" s="27"/>
      <c r="AR45" s="319"/>
      <c r="AS45" s="10"/>
      <c r="AT45" s="5" t="str">
        <f>IF(Tabla1015[[#This Row],[FECHA]]="","",VLOOKUP(TEXT(Tabla1015[[#This Row],[FECHA]],"[$-C0A]dddd"),Tabla2[#All],2,FALSE)&amp;"-"&amp;TEXT(Tabla1015[[#This Row],[FECHA]],"[$-C0A]dddd"))</f>
        <v>3-miércoles</v>
      </c>
      <c r="AU45" s="322">
        <f>COUNTIF($Z$4:Z45,Z45)</f>
        <v>1</v>
      </c>
      <c r="AW45" s="30" t="s">
        <v>3647</v>
      </c>
    </row>
    <row r="46" spans="2:49" ht="29.25" customHeight="1">
      <c r="N46"/>
      <c r="O46" s="62"/>
      <c r="S46" s="184" t="str">
        <f t="shared" si="0"/>
        <v>STEPHAN - PROCESADOR DE MASAS-1</v>
      </c>
      <c r="T46" s="22">
        <v>45945</v>
      </c>
      <c r="U46" s="16" t="s">
        <v>88</v>
      </c>
      <c r="V46" s="16" t="s">
        <v>36</v>
      </c>
      <c r="W46" s="381" t="s">
        <v>537</v>
      </c>
      <c r="X46" s="381" t="s">
        <v>1176</v>
      </c>
      <c r="Y46" s="380">
        <v>1.3888888888888895E-2</v>
      </c>
      <c r="Z46" s="16" t="s">
        <v>1892</v>
      </c>
      <c r="AA46" s="343" t="s">
        <v>3614</v>
      </c>
      <c r="AB46" s="115" t="s">
        <v>32</v>
      </c>
      <c r="AC46" s="115" t="s">
        <v>157</v>
      </c>
      <c r="AD46" s="114" t="s">
        <v>121</v>
      </c>
      <c r="AE46" s="35" t="s">
        <v>5034</v>
      </c>
      <c r="AF46" s="35" t="s">
        <v>5035</v>
      </c>
      <c r="AG46" s="35"/>
      <c r="AH46" s="35"/>
      <c r="AI46" s="35"/>
      <c r="AJ46" s="16"/>
      <c r="AK46" s="16"/>
      <c r="AL46" s="16"/>
      <c r="AM46" s="17"/>
      <c r="AN46" s="16"/>
      <c r="AO46" s="75"/>
      <c r="AP46" s="75"/>
      <c r="AQ46" s="27"/>
      <c r="AR46" s="319"/>
      <c r="AS46" s="10"/>
      <c r="AT46" s="5" t="str">
        <f>IF(Tabla1015[[#This Row],[FECHA]]="","",VLOOKUP(TEXT(Tabla1015[[#This Row],[FECHA]],"[$-C0A]dddd"),Tabla2[#All],2,FALSE)&amp;"-"&amp;TEXT(Tabla1015[[#This Row],[FECHA]],"[$-C0A]dddd"))</f>
        <v>3-miércoles</v>
      </c>
      <c r="AU46" s="322">
        <f>COUNTIF($Z$4:Z46,Z46)</f>
        <v>1</v>
      </c>
      <c r="AW46" s="29" t="s">
        <v>3648</v>
      </c>
    </row>
    <row r="47" spans="2:49" ht="29.25" customHeight="1">
      <c r="N47"/>
      <c r="O47" s="62"/>
      <c r="S47" s="184" t="str">
        <f t="shared" si="0"/>
        <v>TOSTADOR PETRONCINI-1</v>
      </c>
      <c r="T47" s="22">
        <v>45945</v>
      </c>
      <c r="U47" s="16" t="s">
        <v>131</v>
      </c>
      <c r="V47" s="16" t="s">
        <v>36</v>
      </c>
      <c r="W47" s="381" t="s">
        <v>551</v>
      </c>
      <c r="X47" s="381" t="s">
        <v>392</v>
      </c>
      <c r="Y47" s="380">
        <v>1.3888888888888895E-2</v>
      </c>
      <c r="Z47" s="16" t="s">
        <v>241</v>
      </c>
      <c r="AA47" s="343" t="s">
        <v>3614</v>
      </c>
      <c r="AB47" s="115" t="s">
        <v>54</v>
      </c>
      <c r="AC47" s="115" t="s">
        <v>157</v>
      </c>
      <c r="AD47" s="114" t="s">
        <v>121</v>
      </c>
      <c r="AE47" s="35" t="s">
        <v>154</v>
      </c>
      <c r="AF47" s="35"/>
      <c r="AG47" s="35"/>
      <c r="AH47" s="35"/>
      <c r="AI47" s="35"/>
      <c r="AJ47" s="16"/>
      <c r="AK47" s="16"/>
      <c r="AL47" s="16"/>
      <c r="AM47" s="17"/>
      <c r="AN47" s="16"/>
      <c r="AO47" s="75"/>
      <c r="AP47" s="75"/>
      <c r="AQ47" s="27"/>
      <c r="AR47" s="319"/>
      <c r="AS47" s="10"/>
      <c r="AT47" s="5" t="str">
        <f>IF(Tabla1015[[#This Row],[FECHA]]="","",VLOOKUP(TEXT(Tabla1015[[#This Row],[FECHA]],"[$-C0A]dddd"),Tabla2[#All],2,FALSE)&amp;"-"&amp;TEXT(Tabla1015[[#This Row],[FECHA]],"[$-C0A]dddd"))</f>
        <v>3-miércoles</v>
      </c>
      <c r="AU47" s="322">
        <f>COUNTIF($Z$4:Z47,Z47)</f>
        <v>1</v>
      </c>
      <c r="AW47" s="30" t="s">
        <v>3649</v>
      </c>
    </row>
    <row r="48" spans="2:49" ht="47.25" customHeight="1">
      <c r="B48" s="64"/>
      <c r="C48" s="45"/>
      <c r="D48" s="45"/>
      <c r="E48" s="167"/>
      <c r="F48" s="46"/>
      <c r="G48" s="782" t="s">
        <v>4959</v>
      </c>
      <c r="H48" s="782"/>
      <c r="I48" s="782"/>
      <c r="J48" s="782"/>
      <c r="K48" s="782"/>
      <c r="L48" s="782"/>
      <c r="M48" s="778" t="str">
        <f ca="1">+CONCATENATE("SEMANA -",WEEKNUM(TODAY()-7))</f>
        <v>SEMANA -26</v>
      </c>
      <c r="N48"/>
      <c r="O48" s="62"/>
      <c r="S48" s="184" t="str">
        <f t="shared" si="0"/>
        <v>EMP. AMP ROSE-1</v>
      </c>
      <c r="T48" s="22">
        <v>45945</v>
      </c>
      <c r="U48" s="16" t="s">
        <v>131</v>
      </c>
      <c r="V48" s="16" t="s">
        <v>36</v>
      </c>
      <c r="W48" s="381" t="s">
        <v>5036</v>
      </c>
      <c r="X48" s="381" t="s">
        <v>675</v>
      </c>
      <c r="Y48" s="380">
        <v>9.7222222222221877E-3</v>
      </c>
      <c r="Z48" s="16" t="s">
        <v>81</v>
      </c>
      <c r="AA48" s="343" t="s">
        <v>3614</v>
      </c>
      <c r="AB48" s="115" t="s">
        <v>57</v>
      </c>
      <c r="AC48" s="115" t="s">
        <v>92</v>
      </c>
      <c r="AD48" s="114" t="s">
        <v>93</v>
      </c>
      <c r="AE48" s="35" t="s">
        <v>5037</v>
      </c>
      <c r="AF48" s="35" t="s">
        <v>5038</v>
      </c>
      <c r="AG48" s="35"/>
      <c r="AH48" s="35"/>
      <c r="AI48" s="35"/>
      <c r="AJ48" s="16"/>
      <c r="AK48" s="16"/>
      <c r="AL48" s="16"/>
      <c r="AM48" s="17"/>
      <c r="AN48" s="16"/>
      <c r="AO48" s="75"/>
      <c r="AP48" s="75"/>
      <c r="AQ48" s="27"/>
      <c r="AR48" s="319"/>
      <c r="AS48" s="10"/>
      <c r="AT48" s="5" t="str">
        <f>IF(Tabla1015[[#This Row],[FECHA]]="","",VLOOKUP(TEXT(Tabla1015[[#This Row],[FECHA]],"[$-C0A]dddd"),Tabla2[#All],2,FALSE)&amp;"-"&amp;TEXT(Tabla1015[[#This Row],[FECHA]],"[$-C0A]dddd"))</f>
        <v>3-miércoles</v>
      </c>
      <c r="AU48" s="322">
        <f>COUNTIF($Z$4:Z48,Z48)</f>
        <v>1</v>
      </c>
      <c r="AW48" s="29" t="s">
        <v>3650</v>
      </c>
    </row>
    <row r="49" spans="2:49" ht="47.25" customHeight="1">
      <c r="B49" s="89"/>
      <c r="C49" s="90"/>
      <c r="D49" s="90"/>
      <c r="E49" s="167"/>
      <c r="F49" s="46"/>
      <c r="G49" s="782"/>
      <c r="H49" s="782"/>
      <c r="I49" s="782"/>
      <c r="J49" s="782"/>
      <c r="K49" s="782"/>
      <c r="L49" s="782"/>
      <c r="M49" s="778"/>
      <c r="N49"/>
      <c r="O49" s="62"/>
      <c r="S49" s="184" t="str">
        <f t="shared" si="0"/>
        <v>EMP. FLOWPACK 1-1</v>
      </c>
      <c r="T49" s="22">
        <v>45945</v>
      </c>
      <c r="U49" s="16" t="s">
        <v>131</v>
      </c>
      <c r="V49" s="16" t="s">
        <v>36</v>
      </c>
      <c r="W49" s="381" t="s">
        <v>2061</v>
      </c>
      <c r="X49" s="381" t="s">
        <v>653</v>
      </c>
      <c r="Y49" s="380">
        <v>2.083333333333337E-2</v>
      </c>
      <c r="Z49" s="16" t="s">
        <v>438</v>
      </c>
      <c r="AA49" s="343" t="s">
        <v>3614</v>
      </c>
      <c r="AB49" s="115" t="s">
        <v>54</v>
      </c>
      <c r="AC49" s="115" t="s">
        <v>157</v>
      </c>
      <c r="AD49" s="114" t="s">
        <v>121</v>
      </c>
      <c r="AE49" s="35" t="s">
        <v>225</v>
      </c>
      <c r="AF49" s="35"/>
      <c r="AG49" s="35"/>
      <c r="AH49" s="35"/>
      <c r="AI49" s="35"/>
      <c r="AJ49" s="16"/>
      <c r="AK49" s="16"/>
      <c r="AL49" s="16"/>
      <c r="AM49" s="17"/>
      <c r="AN49" s="16"/>
      <c r="AO49" s="75"/>
      <c r="AP49" s="75"/>
      <c r="AQ49" s="27"/>
      <c r="AR49" s="319"/>
      <c r="AS49" s="10"/>
      <c r="AT49" s="5" t="str">
        <f>IF(Tabla1015[[#This Row],[FECHA]]="","",VLOOKUP(TEXT(Tabla1015[[#This Row],[FECHA]],"[$-C0A]dddd"),Tabla2[#All],2,FALSE)&amp;"-"&amp;TEXT(Tabla1015[[#This Row],[FECHA]],"[$-C0A]dddd"))</f>
        <v>3-miércoles</v>
      </c>
      <c r="AU49" s="322">
        <f>COUNTIF($Z$4:Z49,Z49)</f>
        <v>1</v>
      </c>
      <c r="AW49" s="30" t="s">
        <v>3651</v>
      </c>
    </row>
    <row r="50" spans="2:49" ht="47.25" customHeight="1">
      <c r="N50"/>
      <c r="O50" s="62"/>
      <c r="S50" s="184" t="str">
        <f t="shared" si="0"/>
        <v>EMP. SAPAL-2</v>
      </c>
      <c r="T50" s="22">
        <v>45945</v>
      </c>
      <c r="U50" s="16" t="s">
        <v>88</v>
      </c>
      <c r="V50" s="16" t="s">
        <v>36</v>
      </c>
      <c r="W50" s="381" t="s">
        <v>631</v>
      </c>
      <c r="X50" s="381" t="s">
        <v>2252</v>
      </c>
      <c r="Y50" s="380">
        <v>3.472222222222221E-2</v>
      </c>
      <c r="Z50" s="16" t="s">
        <v>192</v>
      </c>
      <c r="AA50" s="343" t="s">
        <v>3614</v>
      </c>
      <c r="AB50" s="115" t="s">
        <v>32</v>
      </c>
      <c r="AC50" s="115" t="s">
        <v>157</v>
      </c>
      <c r="AD50" s="114" t="s">
        <v>121</v>
      </c>
      <c r="AE50" s="35" t="s">
        <v>5039</v>
      </c>
      <c r="AF50" s="35" t="s">
        <v>5040</v>
      </c>
      <c r="AG50" s="35"/>
      <c r="AH50" s="35"/>
      <c r="AI50" s="35"/>
      <c r="AJ50" s="16"/>
      <c r="AK50" s="16"/>
      <c r="AL50" s="16"/>
      <c r="AM50" s="17"/>
      <c r="AN50" s="16"/>
      <c r="AO50" s="75"/>
      <c r="AP50" s="75"/>
      <c r="AQ50" s="27"/>
      <c r="AR50" s="319"/>
      <c r="AS50" s="10"/>
      <c r="AT50" s="5" t="str">
        <f>IF(Tabla1015[[#This Row],[FECHA]]="","",VLOOKUP(TEXT(Tabla1015[[#This Row],[FECHA]],"[$-C0A]dddd"),Tabla2[#All],2,FALSE)&amp;"-"&amp;TEXT(Tabla1015[[#This Row],[FECHA]],"[$-C0A]dddd"))</f>
        <v>3-miércoles</v>
      </c>
      <c r="AU50" s="322">
        <f>COUNTIF($Z$4:Z50,Z50)</f>
        <v>2</v>
      </c>
      <c r="AW50" s="29" t="s">
        <v>3652</v>
      </c>
    </row>
    <row r="51" spans="2:49" ht="47.25" customHeight="1">
      <c r="N51"/>
      <c r="O51" s="62"/>
      <c r="S51" s="184" t="str">
        <f t="shared" si="0"/>
        <v>LINEA AUTOMATICA HACOS 1-11</v>
      </c>
      <c r="T51" s="22">
        <v>45945</v>
      </c>
      <c r="U51" s="16" t="s">
        <v>88</v>
      </c>
      <c r="V51" s="16" t="s">
        <v>36</v>
      </c>
      <c r="W51" s="381" t="s">
        <v>2252</v>
      </c>
      <c r="X51" s="381" t="s">
        <v>600</v>
      </c>
      <c r="Y51" s="380">
        <v>2.0833333333333315E-2</v>
      </c>
      <c r="Z51" s="16" t="s">
        <v>119</v>
      </c>
      <c r="AA51" s="343" t="s">
        <v>3614</v>
      </c>
      <c r="AB51" s="115" t="s">
        <v>32</v>
      </c>
      <c r="AC51" s="115" t="s">
        <v>157</v>
      </c>
      <c r="AD51" s="114" t="s">
        <v>121</v>
      </c>
      <c r="AE51" s="35" t="s">
        <v>5041</v>
      </c>
      <c r="AF51" s="35" t="s">
        <v>125</v>
      </c>
      <c r="AG51" s="35"/>
      <c r="AH51" s="35"/>
      <c r="AI51" s="35"/>
      <c r="AJ51" s="16"/>
      <c r="AK51" s="16"/>
      <c r="AL51" s="16"/>
      <c r="AM51" s="17"/>
      <c r="AN51" s="16"/>
      <c r="AO51" s="75"/>
      <c r="AP51" s="75"/>
      <c r="AQ51" s="27"/>
      <c r="AR51" s="319"/>
      <c r="AS51" s="10"/>
      <c r="AT51" s="5" t="str">
        <f>IF(Tabla1015[[#This Row],[FECHA]]="","",VLOOKUP(TEXT(Tabla1015[[#This Row],[FECHA]],"[$-C0A]dddd"),Tabla2[#All],2,FALSE)&amp;"-"&amp;TEXT(Tabla1015[[#This Row],[FECHA]],"[$-C0A]dddd"))</f>
        <v>3-miércoles</v>
      </c>
      <c r="AU51" s="322">
        <f>COUNTIF($Z$4:Z51,Z51)</f>
        <v>11</v>
      </c>
      <c r="AW51" s="30" t="s">
        <v>67</v>
      </c>
    </row>
    <row r="52" spans="2:49" ht="47.25" customHeight="1">
      <c r="N52"/>
      <c r="O52" s="62"/>
      <c r="S52" s="184" t="str">
        <f t="shared" si="0"/>
        <v>LINEA AUTOMATICA HACOS 1-12</v>
      </c>
      <c r="T52" s="22">
        <v>45945</v>
      </c>
      <c r="U52" s="16" t="s">
        <v>88</v>
      </c>
      <c r="V52" s="16" t="s">
        <v>36</v>
      </c>
      <c r="W52" s="381" t="s">
        <v>600</v>
      </c>
      <c r="X52" s="381" t="s">
        <v>5042</v>
      </c>
      <c r="Y52" s="380">
        <v>2.1527777777777757E-2</v>
      </c>
      <c r="Z52" s="16" t="s">
        <v>119</v>
      </c>
      <c r="AA52" s="343" t="s">
        <v>3614</v>
      </c>
      <c r="AB52" s="115" t="s">
        <v>32</v>
      </c>
      <c r="AC52" s="115" t="s">
        <v>157</v>
      </c>
      <c r="AD52" s="114" t="s">
        <v>121</v>
      </c>
      <c r="AE52" s="35" t="s">
        <v>5043</v>
      </c>
      <c r="AF52" s="35" t="s">
        <v>5044</v>
      </c>
      <c r="AG52" s="35"/>
      <c r="AH52" s="35"/>
      <c r="AI52" s="35"/>
      <c r="AJ52" s="16"/>
      <c r="AK52" s="16"/>
      <c r="AL52" s="16"/>
      <c r="AM52" s="17"/>
      <c r="AN52" s="16"/>
      <c r="AO52" s="75"/>
      <c r="AP52" s="75"/>
      <c r="AQ52" s="27"/>
      <c r="AR52" s="319"/>
      <c r="AS52" s="10"/>
      <c r="AT52" s="5" t="str">
        <f>IF(Tabla1015[[#This Row],[FECHA]]="","",VLOOKUP(TEXT(Tabla1015[[#This Row],[FECHA]],"[$-C0A]dddd"),Tabla2[#All],2,FALSE)&amp;"-"&amp;TEXT(Tabla1015[[#This Row],[FECHA]],"[$-C0A]dddd"))</f>
        <v>3-miércoles</v>
      </c>
      <c r="AU52" s="322">
        <f>COUNTIF($Z$4:Z52,Z52)</f>
        <v>12</v>
      </c>
      <c r="AW52" s="29" t="s">
        <v>2074</v>
      </c>
    </row>
    <row r="53" spans="2:49" ht="47.25" customHeight="1">
      <c r="N53"/>
      <c r="O53" s="62"/>
      <c r="S53" s="184" t="str">
        <f t="shared" si="0"/>
        <v>CALDERO 100 BHP-2</v>
      </c>
      <c r="T53" s="22">
        <v>45946</v>
      </c>
      <c r="U53" s="16" t="s">
        <v>131</v>
      </c>
      <c r="V53" s="16" t="s">
        <v>36</v>
      </c>
      <c r="W53" s="381" t="s">
        <v>1246</v>
      </c>
      <c r="X53" s="381" t="s">
        <v>430</v>
      </c>
      <c r="Y53" s="380">
        <v>6.9444444444444475E-3</v>
      </c>
      <c r="Z53" s="16" t="s">
        <v>293</v>
      </c>
      <c r="AA53" s="343" t="s">
        <v>3629</v>
      </c>
      <c r="AB53" s="115" t="s">
        <v>43</v>
      </c>
      <c r="AC53" s="115" t="s">
        <v>157</v>
      </c>
      <c r="AD53" s="114" t="s">
        <v>121</v>
      </c>
      <c r="AE53" s="35" t="s">
        <v>5045</v>
      </c>
      <c r="AF53" s="35" t="s">
        <v>121</v>
      </c>
      <c r="AG53" s="35"/>
      <c r="AH53" s="35"/>
      <c r="AI53" s="35"/>
      <c r="AJ53" s="16"/>
      <c r="AK53" s="16"/>
      <c r="AL53" s="16"/>
      <c r="AM53" s="17"/>
      <c r="AN53" s="16"/>
      <c r="AO53" s="75"/>
      <c r="AP53" s="75"/>
      <c r="AQ53" s="27"/>
      <c r="AR53" s="319"/>
      <c r="AS53" s="10"/>
      <c r="AT53" s="5" t="str">
        <f>IF(Tabla1015[[#This Row],[FECHA]]="","",VLOOKUP(TEXT(Tabla1015[[#This Row],[FECHA]],"[$-C0A]dddd"),Tabla2[#All],2,FALSE)&amp;"-"&amp;TEXT(Tabla1015[[#This Row],[FECHA]],"[$-C0A]dddd"))</f>
        <v>4-jueves</v>
      </c>
      <c r="AU53" s="322">
        <f>COUNTIF($Z$4:Z53,Z53)</f>
        <v>2</v>
      </c>
      <c r="AW53" s="30" t="s">
        <v>202</v>
      </c>
    </row>
    <row r="54" spans="2:49" ht="47.25" customHeight="1">
      <c r="N54"/>
      <c r="O54" s="62"/>
      <c r="S54" s="184" t="str">
        <f t="shared" si="0"/>
        <v>BARQUILLERA FRANZ HAAZ-1</v>
      </c>
      <c r="T54" s="22">
        <v>45946</v>
      </c>
      <c r="U54" s="16" t="s">
        <v>131</v>
      </c>
      <c r="V54" s="16" t="s">
        <v>36</v>
      </c>
      <c r="W54" s="381" t="s">
        <v>699</v>
      </c>
      <c r="X54" s="381" t="s">
        <v>2564</v>
      </c>
      <c r="Y54" s="380">
        <v>2.3611111111111083E-2</v>
      </c>
      <c r="Z54" s="16" t="s">
        <v>98</v>
      </c>
      <c r="AA54" s="343" t="s">
        <v>3614</v>
      </c>
      <c r="AB54" s="115" t="s">
        <v>32</v>
      </c>
      <c r="AC54" s="115" t="s">
        <v>157</v>
      </c>
      <c r="AD54" s="114" t="s">
        <v>121</v>
      </c>
      <c r="AE54" s="35" t="s">
        <v>4992</v>
      </c>
      <c r="AF54" s="35" t="s">
        <v>121</v>
      </c>
      <c r="AG54" s="35"/>
      <c r="AH54" s="35"/>
      <c r="AI54" s="35"/>
      <c r="AJ54" s="16"/>
      <c r="AK54" s="16"/>
      <c r="AL54" s="16"/>
      <c r="AM54" s="17"/>
      <c r="AN54" s="16"/>
      <c r="AO54" s="75"/>
      <c r="AP54" s="75"/>
      <c r="AQ54" s="27"/>
      <c r="AR54" s="319"/>
      <c r="AS54" s="10"/>
      <c r="AT54" s="5" t="str">
        <f>IF(Tabla1015[[#This Row],[FECHA]]="","",VLOOKUP(TEXT(Tabla1015[[#This Row],[FECHA]],"[$-C0A]dddd"),Tabla2[#All],2,FALSE)&amp;"-"&amp;TEXT(Tabla1015[[#This Row],[FECHA]],"[$-C0A]dddd"))</f>
        <v>4-jueves</v>
      </c>
      <c r="AU54" s="322">
        <f>COUNTIF($Z$4:Z54,Z54)</f>
        <v>1</v>
      </c>
      <c r="AW54" s="36" t="s">
        <v>1177</v>
      </c>
    </row>
    <row r="55" spans="2:49" ht="47.25" customHeight="1">
      <c r="N55"/>
      <c r="O55" s="62"/>
      <c r="S55" s="184" t="str">
        <f t="shared" si="0"/>
        <v>ENCELOFANADORA ECCOPAC-1</v>
      </c>
      <c r="T55" s="22">
        <v>45946</v>
      </c>
      <c r="U55" s="16" t="s">
        <v>131</v>
      </c>
      <c r="V55" s="16" t="s">
        <v>36</v>
      </c>
      <c r="W55" s="381" t="s">
        <v>163</v>
      </c>
      <c r="X55" s="381" t="s">
        <v>3022</v>
      </c>
      <c r="Y55" s="380">
        <v>6.1805555555555558E-2</v>
      </c>
      <c r="Z55" s="16" t="s">
        <v>182</v>
      </c>
      <c r="AA55" s="343" t="s">
        <v>3614</v>
      </c>
      <c r="AB55" s="115" t="s">
        <v>32</v>
      </c>
      <c r="AC55" s="115" t="s">
        <v>157</v>
      </c>
      <c r="AD55" s="114" t="s">
        <v>121</v>
      </c>
      <c r="AE55" s="35" t="s">
        <v>5046</v>
      </c>
      <c r="AF55" s="35" t="s">
        <v>190</v>
      </c>
      <c r="AG55" s="35"/>
      <c r="AH55" s="35"/>
      <c r="AI55" s="35"/>
      <c r="AJ55" s="16"/>
      <c r="AK55" s="16"/>
      <c r="AL55" s="16"/>
      <c r="AM55" s="17"/>
      <c r="AN55" s="16"/>
      <c r="AO55" s="75"/>
      <c r="AP55" s="75"/>
      <c r="AQ55" s="27"/>
      <c r="AR55" s="319"/>
      <c r="AS55" s="10"/>
      <c r="AT55" s="5" t="str">
        <f>IF(Tabla1015[[#This Row],[FECHA]]="","",VLOOKUP(TEXT(Tabla1015[[#This Row],[FECHA]],"[$-C0A]dddd"),Tabla2[#All],2,FALSE)&amp;"-"&amp;TEXT(Tabla1015[[#This Row],[FECHA]],"[$-C0A]dddd"))</f>
        <v>4-jueves</v>
      </c>
      <c r="AU55" s="322">
        <f>COUNTIF($Z$4:Z55,Z55)</f>
        <v>1</v>
      </c>
      <c r="AW55" s="25" t="s">
        <v>70</v>
      </c>
    </row>
    <row r="56" spans="2:49" ht="47.25" customHeight="1">
      <c r="N56"/>
      <c r="O56" s="62"/>
      <c r="Q56"/>
      <c r="S56" s="184" t="str">
        <f t="shared" si="0"/>
        <v>EMP. FLOWPACK 2-5</v>
      </c>
      <c r="T56" s="22">
        <v>45946</v>
      </c>
      <c r="U56" s="16" t="s">
        <v>131</v>
      </c>
      <c r="V56" s="16" t="s">
        <v>36</v>
      </c>
      <c r="W56" s="381" t="s">
        <v>1529</v>
      </c>
      <c r="X56" s="381" t="s">
        <v>556</v>
      </c>
      <c r="Y56" s="380">
        <v>1.0416666666666685E-2</v>
      </c>
      <c r="Z56" s="16" t="s">
        <v>31</v>
      </c>
      <c r="AA56" s="343" t="s">
        <v>3614</v>
      </c>
      <c r="AB56" s="115" t="s">
        <v>54</v>
      </c>
      <c r="AC56" s="115" t="s">
        <v>157</v>
      </c>
      <c r="AD56" s="114" t="s">
        <v>121</v>
      </c>
      <c r="AE56" s="35" t="s">
        <v>5047</v>
      </c>
      <c r="AF56" s="35" t="s">
        <v>121</v>
      </c>
      <c r="AG56" s="35"/>
      <c r="AH56" s="35"/>
      <c r="AI56" s="35"/>
      <c r="AJ56" s="16"/>
      <c r="AK56" s="16"/>
      <c r="AL56" s="16"/>
      <c r="AM56" s="17"/>
      <c r="AN56" s="16"/>
      <c r="AO56" s="75"/>
      <c r="AP56" s="75"/>
      <c r="AQ56" s="27"/>
      <c r="AR56" s="319"/>
      <c r="AS56" s="10"/>
      <c r="AT56" s="5" t="str">
        <f>IF(Tabla1015[[#This Row],[FECHA]]="","",VLOOKUP(TEXT(Tabla1015[[#This Row],[FECHA]],"[$-C0A]dddd"),Tabla2[#All],2,FALSE)&amp;"-"&amp;TEXT(Tabla1015[[#This Row],[FECHA]],"[$-C0A]dddd"))</f>
        <v>4-jueves</v>
      </c>
      <c r="AU56" s="322">
        <f>COUNTIF($Z$4:Z56,Z56)</f>
        <v>5</v>
      </c>
      <c r="AW56" s="36" t="s">
        <v>3653</v>
      </c>
    </row>
    <row r="57" spans="2:49" ht="47.25" customHeight="1">
      <c r="N57"/>
      <c r="O57" s="62"/>
      <c r="Q57"/>
      <c r="S57" s="184" t="str">
        <f t="shared" si="0"/>
        <v>TALLER DE MANTENIMIENTO-4</v>
      </c>
      <c r="T57" s="22">
        <v>45946</v>
      </c>
      <c r="U57" s="16" t="s">
        <v>131</v>
      </c>
      <c r="V57" s="16" t="s">
        <v>36</v>
      </c>
      <c r="W57" s="381" t="s">
        <v>1592</v>
      </c>
      <c r="X57" s="381" t="s">
        <v>96</v>
      </c>
      <c r="Y57" s="380">
        <v>3.4722222222222265E-2</v>
      </c>
      <c r="Z57" s="16" t="s">
        <v>328</v>
      </c>
      <c r="AA57" s="343" t="s">
        <v>3616</v>
      </c>
      <c r="AB57" s="115" t="s">
        <v>61</v>
      </c>
      <c r="AC57" s="115" t="s">
        <v>157</v>
      </c>
      <c r="AD57" s="114" t="s">
        <v>121</v>
      </c>
      <c r="AE57" s="35" t="s">
        <v>5048</v>
      </c>
      <c r="AF57" s="35" t="s">
        <v>5049</v>
      </c>
      <c r="AG57" s="35"/>
      <c r="AH57" s="35"/>
      <c r="AI57" s="35"/>
      <c r="AJ57" s="16"/>
      <c r="AK57" s="16"/>
      <c r="AL57" s="16"/>
      <c r="AM57" s="17"/>
      <c r="AN57" s="16"/>
      <c r="AO57" s="75"/>
      <c r="AP57" s="75"/>
      <c r="AQ57" s="27"/>
      <c r="AR57" s="319"/>
      <c r="AS57" s="10"/>
      <c r="AT57" s="5" t="str">
        <f>IF(Tabla1015[[#This Row],[FECHA]]="","",VLOOKUP(TEXT(Tabla1015[[#This Row],[FECHA]],"[$-C0A]dddd"),Tabla2[#All],2,FALSE)&amp;"-"&amp;TEXT(Tabla1015[[#This Row],[FECHA]],"[$-C0A]dddd"))</f>
        <v>4-jueves</v>
      </c>
      <c r="AU57" s="322">
        <f>COUNTIF($Z$4:Z57,Z57)</f>
        <v>4</v>
      </c>
      <c r="AW57" s="25" t="s">
        <v>60</v>
      </c>
    </row>
    <row r="58" spans="2:49" ht="47.25" customHeight="1">
      <c r="N58"/>
      <c r="O58" s="62"/>
      <c r="Q58"/>
      <c r="S58" s="184" t="str">
        <f t="shared" si="0"/>
        <v>LINEA AUTOMATICA HACOS 1-13</v>
      </c>
      <c r="T58" s="22">
        <v>45946</v>
      </c>
      <c r="U58" s="16" t="s">
        <v>131</v>
      </c>
      <c r="V58" s="16" t="s">
        <v>36</v>
      </c>
      <c r="W58" s="381" t="s">
        <v>97</v>
      </c>
      <c r="X58" s="381" t="s">
        <v>152</v>
      </c>
      <c r="Y58" s="380">
        <v>1.0416666666666685E-2</v>
      </c>
      <c r="Z58" s="16" t="s">
        <v>119</v>
      </c>
      <c r="AA58" s="343" t="s">
        <v>3614</v>
      </c>
      <c r="AB58" s="115" t="s">
        <v>61</v>
      </c>
      <c r="AC58" s="115" t="s">
        <v>157</v>
      </c>
      <c r="AD58" s="114" t="s">
        <v>121</v>
      </c>
      <c r="AE58" s="35" t="s">
        <v>5050</v>
      </c>
      <c r="AF58" s="35" t="s">
        <v>121</v>
      </c>
      <c r="AG58" s="35"/>
      <c r="AH58" s="35"/>
      <c r="AI58" s="35"/>
      <c r="AJ58" s="16"/>
      <c r="AK58" s="16"/>
      <c r="AL58" s="16"/>
      <c r="AM58" s="17"/>
      <c r="AN58" s="16"/>
      <c r="AO58" s="75"/>
      <c r="AP58" s="75"/>
      <c r="AQ58" s="27"/>
      <c r="AR58" s="319"/>
      <c r="AS58" s="10"/>
      <c r="AT58" s="5" t="str">
        <f>IF(Tabla1015[[#This Row],[FECHA]]="","",VLOOKUP(TEXT(Tabla1015[[#This Row],[FECHA]],"[$-C0A]dddd"),Tabla2[#All],2,FALSE)&amp;"-"&amp;TEXT(Tabla1015[[#This Row],[FECHA]],"[$-C0A]dddd"))</f>
        <v>4-jueves</v>
      </c>
      <c r="AU58" s="322">
        <f>COUNTIF($Z$4:Z58,Z58)</f>
        <v>13</v>
      </c>
      <c r="AW58" s="36" t="s">
        <v>3654</v>
      </c>
    </row>
    <row r="59" spans="2:49" ht="47.25" customHeight="1">
      <c r="N59"/>
      <c r="O59" s="62"/>
      <c r="Q59"/>
      <c r="S59" s="184" t="str">
        <f t="shared" si="0"/>
        <v>EMP. FLOWPACK 2-6</v>
      </c>
      <c r="T59" s="22">
        <v>45946</v>
      </c>
      <c r="U59" s="16" t="s">
        <v>131</v>
      </c>
      <c r="V59" s="16" t="s">
        <v>36</v>
      </c>
      <c r="W59" s="381" t="s">
        <v>672</v>
      </c>
      <c r="X59" s="381" t="s">
        <v>448</v>
      </c>
      <c r="Y59" s="380">
        <v>1.0416666666666685E-2</v>
      </c>
      <c r="Z59" s="16" t="s">
        <v>31</v>
      </c>
      <c r="AA59" s="343" t="s">
        <v>3614</v>
      </c>
      <c r="AB59" s="115" t="s">
        <v>32</v>
      </c>
      <c r="AC59" s="115" t="s">
        <v>157</v>
      </c>
      <c r="AD59" s="114" t="s">
        <v>121</v>
      </c>
      <c r="AE59" s="35" t="s">
        <v>5051</v>
      </c>
      <c r="AF59" s="35" t="s">
        <v>5052</v>
      </c>
      <c r="AG59" s="35"/>
      <c r="AH59" s="35"/>
      <c r="AI59" s="35"/>
      <c r="AJ59" s="16"/>
      <c r="AK59" s="16"/>
      <c r="AL59" s="16"/>
      <c r="AM59" s="17"/>
      <c r="AN59" s="16"/>
      <c r="AO59" s="75"/>
      <c r="AP59" s="75"/>
      <c r="AQ59" s="27"/>
      <c r="AR59" s="319"/>
      <c r="AS59" s="10"/>
      <c r="AT59" s="5" t="str">
        <f>IF(Tabla1015[[#This Row],[FECHA]]="","",VLOOKUP(TEXT(Tabla1015[[#This Row],[FECHA]],"[$-C0A]dddd"),Tabla2[#All],2,FALSE)&amp;"-"&amp;TEXT(Tabla1015[[#This Row],[FECHA]],"[$-C0A]dddd"))</f>
        <v>4-jueves</v>
      </c>
      <c r="AU59" s="322">
        <f>COUNTIF($Z$4:Z59,Z59)</f>
        <v>6</v>
      </c>
      <c r="AW59" s="25" t="s">
        <v>3655</v>
      </c>
    </row>
    <row r="60" spans="2:49" ht="47.25" customHeight="1">
      <c r="N60"/>
      <c r="O60" s="62"/>
      <c r="S60" s="184" t="str">
        <f t="shared" si="0"/>
        <v>LINEA AUTOMATICA HACOS 1-14</v>
      </c>
      <c r="T60" s="22">
        <v>45946</v>
      </c>
      <c r="U60" s="16" t="s">
        <v>131</v>
      </c>
      <c r="V60" s="16" t="s">
        <v>36</v>
      </c>
      <c r="W60" s="381" t="s">
        <v>585</v>
      </c>
      <c r="X60" s="381" t="s">
        <v>693</v>
      </c>
      <c r="Y60" s="380">
        <v>1.0416666666666685E-2</v>
      </c>
      <c r="Z60" s="16" t="s">
        <v>119</v>
      </c>
      <c r="AA60" s="343" t="s">
        <v>3614</v>
      </c>
      <c r="AB60" s="115" t="s">
        <v>32</v>
      </c>
      <c r="AC60" s="115" t="s">
        <v>157</v>
      </c>
      <c r="AD60" s="114" t="s">
        <v>121</v>
      </c>
      <c r="AE60" s="35" t="s">
        <v>5053</v>
      </c>
      <c r="AF60" s="35" t="s">
        <v>121</v>
      </c>
      <c r="AG60" s="35"/>
      <c r="AH60" s="35"/>
      <c r="AI60" s="35"/>
      <c r="AJ60" s="16"/>
      <c r="AK60" s="16"/>
      <c r="AL60" s="16"/>
      <c r="AM60" s="17"/>
      <c r="AN60" s="16"/>
      <c r="AO60" s="75"/>
      <c r="AP60" s="75"/>
      <c r="AQ60" s="27"/>
      <c r="AR60" s="319"/>
      <c r="AS60" s="10"/>
      <c r="AT60" s="5" t="str">
        <f>IF(Tabla1015[[#This Row],[FECHA]]="","",VLOOKUP(TEXT(Tabla1015[[#This Row],[FECHA]],"[$-C0A]dddd"),Tabla2[#All],2,FALSE)&amp;"-"&amp;TEXT(Tabla1015[[#This Row],[FECHA]],"[$-C0A]dddd"))</f>
        <v>4-jueves</v>
      </c>
      <c r="AU60" s="322">
        <f>COUNTIF($Z$4:Z60,Z60)</f>
        <v>14</v>
      </c>
      <c r="AW60" s="36" t="s">
        <v>3656</v>
      </c>
    </row>
    <row r="61" spans="2:49" ht="47.25" customHeight="1">
      <c r="N61"/>
      <c r="O61" s="62"/>
      <c r="S61" s="184" t="str">
        <f t="shared" si="0"/>
        <v>COMEDOR-1</v>
      </c>
      <c r="T61" s="22">
        <v>45946</v>
      </c>
      <c r="U61" s="16" t="s">
        <v>131</v>
      </c>
      <c r="V61" s="16" t="s">
        <v>36</v>
      </c>
      <c r="W61" s="381" t="s">
        <v>586</v>
      </c>
      <c r="X61" s="381" t="s">
        <v>468</v>
      </c>
      <c r="Y61" s="380">
        <v>4.166666666666663E-2</v>
      </c>
      <c r="Z61" s="16" t="s">
        <v>2282</v>
      </c>
      <c r="AA61" s="343" t="s">
        <v>3616</v>
      </c>
      <c r="AB61" s="115" t="s">
        <v>1426</v>
      </c>
      <c r="AC61" s="115" t="s">
        <v>157</v>
      </c>
      <c r="AD61" s="114" t="s">
        <v>121</v>
      </c>
      <c r="AE61" s="35" t="s">
        <v>5054</v>
      </c>
      <c r="AF61" s="35" t="s">
        <v>121</v>
      </c>
      <c r="AG61" s="35"/>
      <c r="AH61" s="35"/>
      <c r="AI61" s="35"/>
      <c r="AJ61" s="16"/>
      <c r="AK61" s="16"/>
      <c r="AL61" s="16"/>
      <c r="AM61" s="17"/>
      <c r="AN61" s="16"/>
      <c r="AO61" s="75"/>
      <c r="AP61" s="75"/>
      <c r="AQ61" s="27"/>
      <c r="AR61" s="319"/>
      <c r="AS61" s="10"/>
      <c r="AT61" s="5" t="str">
        <f>IF(Tabla1015[[#This Row],[FECHA]]="","",VLOOKUP(TEXT(Tabla1015[[#This Row],[FECHA]],"[$-C0A]dddd"),Tabla2[#All],2,FALSE)&amp;"-"&amp;TEXT(Tabla1015[[#This Row],[FECHA]],"[$-C0A]dddd"))</f>
        <v>4-jueves</v>
      </c>
      <c r="AU61" s="322">
        <f>COUNTIF($Z$4:Z61,Z61)</f>
        <v>1</v>
      </c>
      <c r="AW61" s="25" t="s">
        <v>3657</v>
      </c>
    </row>
    <row r="62" spans="2:49" ht="47.25" customHeight="1">
      <c r="N62"/>
      <c r="O62" s="62"/>
      <c r="S62" s="184" t="str">
        <f t="shared" si="0"/>
        <v>BARQUILLERA FRANZ HAAZ-2</v>
      </c>
      <c r="T62" s="22">
        <v>45946</v>
      </c>
      <c r="U62" s="16" t="s">
        <v>88</v>
      </c>
      <c r="V62" s="16" t="s">
        <v>36</v>
      </c>
      <c r="W62" s="381" t="s">
        <v>430</v>
      </c>
      <c r="X62" s="381" t="s">
        <v>1496</v>
      </c>
      <c r="Y62" s="380">
        <v>3.125E-2</v>
      </c>
      <c r="Z62" s="16" t="s">
        <v>98</v>
      </c>
      <c r="AA62" s="343" t="s">
        <v>3614</v>
      </c>
      <c r="AB62" s="115" t="s">
        <v>32</v>
      </c>
      <c r="AC62" s="115" t="s">
        <v>157</v>
      </c>
      <c r="AD62" s="114" t="s">
        <v>121</v>
      </c>
      <c r="AE62" s="35" t="s">
        <v>367</v>
      </c>
      <c r="AF62" s="35" t="s">
        <v>5055</v>
      </c>
      <c r="AG62" s="35"/>
      <c r="AH62" s="35"/>
      <c r="AI62" s="35"/>
      <c r="AJ62" s="16"/>
      <c r="AK62" s="16"/>
      <c r="AL62" s="16"/>
      <c r="AM62" s="17"/>
      <c r="AN62" s="16"/>
      <c r="AO62" s="75"/>
      <c r="AP62" s="75"/>
      <c r="AQ62" s="27"/>
      <c r="AR62" s="319"/>
      <c r="AS62" s="10"/>
      <c r="AT62" s="5" t="str">
        <f>IF(Tabla1015[[#This Row],[FECHA]]="","",VLOOKUP(TEXT(Tabla1015[[#This Row],[FECHA]],"[$-C0A]dddd"),Tabla2[#All],2,FALSE)&amp;"-"&amp;TEXT(Tabla1015[[#This Row],[FECHA]],"[$-C0A]dddd"))</f>
        <v>4-jueves</v>
      </c>
      <c r="AU62" s="322">
        <f>COUNTIF($Z$4:Z62,Z62)</f>
        <v>2</v>
      </c>
      <c r="AW62" s="36" t="s">
        <v>3658</v>
      </c>
    </row>
    <row r="63" spans="2:49" ht="47.25" customHeight="1">
      <c r="N63"/>
      <c r="O63" s="62"/>
      <c r="S63" s="184" t="str">
        <f t="shared" si="0"/>
        <v>LINEA AUTOMATICA HACOS 1-15</v>
      </c>
      <c r="T63" s="22">
        <v>45946</v>
      </c>
      <c r="U63" s="16" t="s">
        <v>88</v>
      </c>
      <c r="V63" s="16" t="s">
        <v>36</v>
      </c>
      <c r="W63" s="381" t="s">
        <v>123</v>
      </c>
      <c r="X63" s="381" t="s">
        <v>399</v>
      </c>
      <c r="Y63" s="380">
        <v>1.3888888888888895E-2</v>
      </c>
      <c r="Z63" s="16" t="s">
        <v>119</v>
      </c>
      <c r="AA63" s="343" t="s">
        <v>3614</v>
      </c>
      <c r="AB63" s="115" t="s">
        <v>54</v>
      </c>
      <c r="AC63" s="115" t="s">
        <v>157</v>
      </c>
      <c r="AD63" s="114" t="s">
        <v>121</v>
      </c>
      <c r="AE63" s="35" t="s">
        <v>1040</v>
      </c>
      <c r="AF63" s="35" t="s">
        <v>341</v>
      </c>
      <c r="AG63" s="35"/>
      <c r="AH63" s="35"/>
      <c r="AI63" s="35"/>
      <c r="AJ63" s="16"/>
      <c r="AK63" s="16"/>
      <c r="AL63" s="16"/>
      <c r="AM63" s="17"/>
      <c r="AN63" s="16"/>
      <c r="AO63" s="75"/>
      <c r="AP63" s="75"/>
      <c r="AQ63" s="27"/>
      <c r="AR63" s="319"/>
      <c r="AS63" s="10"/>
      <c r="AT63" s="5" t="str">
        <f>IF(Tabla1015[[#This Row],[FECHA]]="","",VLOOKUP(TEXT(Tabla1015[[#This Row],[FECHA]],"[$-C0A]dddd"),Tabla2[#All],2,FALSE)&amp;"-"&amp;TEXT(Tabla1015[[#This Row],[FECHA]],"[$-C0A]dddd"))</f>
        <v>4-jueves</v>
      </c>
      <c r="AU63" s="322">
        <f>COUNTIF($Z$4:Z63,Z63)</f>
        <v>15</v>
      </c>
      <c r="AW63" s="25" t="s">
        <v>3659</v>
      </c>
    </row>
    <row r="64" spans="2:49" ht="47.25" customHeight="1">
      <c r="N64"/>
      <c r="O64" s="62"/>
      <c r="S64" s="184" t="str">
        <f t="shared" si="0"/>
        <v>LINEA AUTOMATICA HACOS 2-2</v>
      </c>
      <c r="T64" s="22">
        <v>45946</v>
      </c>
      <c r="U64" s="16" t="s">
        <v>88</v>
      </c>
      <c r="V64" s="16" t="s">
        <v>36</v>
      </c>
      <c r="W64" s="381" t="s">
        <v>461</v>
      </c>
      <c r="X64" s="381" t="s">
        <v>127</v>
      </c>
      <c r="Y64" s="380">
        <v>1.3888888888888895E-2</v>
      </c>
      <c r="Z64" s="16" t="s">
        <v>270</v>
      </c>
      <c r="AA64" s="343" t="s">
        <v>3614</v>
      </c>
      <c r="AB64" s="115" t="s">
        <v>57</v>
      </c>
      <c r="AC64" s="115" t="s">
        <v>92</v>
      </c>
      <c r="AD64" s="114" t="s">
        <v>93</v>
      </c>
      <c r="AE64" s="35" t="s">
        <v>409</v>
      </c>
      <c r="AF64" s="35" t="s">
        <v>5056</v>
      </c>
      <c r="AG64" s="35"/>
      <c r="AH64" s="35"/>
      <c r="AI64" s="35"/>
      <c r="AJ64" s="16"/>
      <c r="AK64" s="16"/>
      <c r="AL64" s="16"/>
      <c r="AM64" s="17"/>
      <c r="AN64" s="16"/>
      <c r="AO64" s="75"/>
      <c r="AP64" s="75"/>
      <c r="AQ64" s="27"/>
      <c r="AR64" s="319"/>
      <c r="AS64" s="10"/>
      <c r="AT64" s="5" t="str">
        <f>IF(Tabla1015[[#This Row],[FECHA]]="","",VLOOKUP(TEXT(Tabla1015[[#This Row],[FECHA]],"[$-C0A]dddd"),Tabla2[#All],2,FALSE)&amp;"-"&amp;TEXT(Tabla1015[[#This Row],[FECHA]],"[$-C0A]dddd"))</f>
        <v>4-jueves</v>
      </c>
      <c r="AU64" s="322">
        <f>COUNTIF($Z$4:Z64,Z64)</f>
        <v>2</v>
      </c>
      <c r="AW64" s="36" t="s">
        <v>3660</v>
      </c>
    </row>
    <row r="65" spans="19:49" ht="47.25" customHeight="1">
      <c r="S65" s="184" t="str">
        <f t="shared" si="0"/>
        <v>TALLER DE MANTENIMIENTO-5</v>
      </c>
      <c r="T65" s="22">
        <v>45946</v>
      </c>
      <c r="U65" s="16" t="s">
        <v>88</v>
      </c>
      <c r="V65" s="16" t="s">
        <v>36</v>
      </c>
      <c r="W65" s="381" t="s">
        <v>556</v>
      </c>
      <c r="X65" s="381" t="s">
        <v>96</v>
      </c>
      <c r="Y65" s="380">
        <v>4.1666666666666685E-2</v>
      </c>
      <c r="Z65" s="16" t="s">
        <v>328</v>
      </c>
      <c r="AA65" s="343" t="s">
        <v>3616</v>
      </c>
      <c r="AB65" s="115" t="s">
        <v>61</v>
      </c>
      <c r="AC65" s="115" t="s">
        <v>157</v>
      </c>
      <c r="AD65" s="114" t="s">
        <v>121</v>
      </c>
      <c r="AE65" s="35" t="s">
        <v>1878</v>
      </c>
      <c r="AF65" s="35" t="s">
        <v>5057</v>
      </c>
      <c r="AG65" s="35"/>
      <c r="AH65" s="35"/>
      <c r="AI65" s="35"/>
      <c r="AJ65" s="16"/>
      <c r="AK65" s="16"/>
      <c r="AL65" s="16"/>
      <c r="AM65" s="17"/>
      <c r="AN65" s="16"/>
      <c r="AO65" s="75"/>
      <c r="AP65" s="75"/>
      <c r="AQ65" s="27"/>
      <c r="AR65" s="319"/>
      <c r="AS65" s="10"/>
      <c r="AT65" s="5" t="str">
        <f>IF(Tabla1015[[#This Row],[FECHA]]="","",VLOOKUP(TEXT(Tabla1015[[#This Row],[FECHA]],"[$-C0A]dddd"),Tabla2[#All],2,FALSE)&amp;"-"&amp;TEXT(Tabla1015[[#This Row],[FECHA]],"[$-C0A]dddd"))</f>
        <v>4-jueves</v>
      </c>
      <c r="AU65" s="322">
        <f>COUNTIF($Z$4:Z65,Z65)</f>
        <v>5</v>
      </c>
      <c r="AW65" s="25" t="s">
        <v>3661</v>
      </c>
    </row>
    <row r="66" spans="19:49" ht="47.25" customHeight="1">
      <c r="S66" s="184" t="str">
        <f t="shared" si="0"/>
        <v>EMP. 2 - CARLE MONTANARY-2</v>
      </c>
      <c r="T66" s="22">
        <v>45946</v>
      </c>
      <c r="U66" s="16" t="s">
        <v>88</v>
      </c>
      <c r="V66" s="16" t="s">
        <v>36</v>
      </c>
      <c r="W66" s="381" t="s">
        <v>670</v>
      </c>
      <c r="X66" s="381" t="s">
        <v>97</v>
      </c>
      <c r="Y66" s="380">
        <v>2.0833333333333315E-2</v>
      </c>
      <c r="Z66" s="16" t="s">
        <v>153</v>
      </c>
      <c r="AA66" s="343" t="s">
        <v>3614</v>
      </c>
      <c r="AB66" s="115" t="s">
        <v>28</v>
      </c>
      <c r="AC66" s="115" t="s">
        <v>92</v>
      </c>
      <c r="AD66" s="114" t="s">
        <v>93</v>
      </c>
      <c r="AE66" s="35" t="s">
        <v>5058</v>
      </c>
      <c r="AF66" s="35" t="s">
        <v>5059</v>
      </c>
      <c r="AG66" s="35"/>
      <c r="AH66" s="35"/>
      <c r="AI66" s="35"/>
      <c r="AJ66" s="16"/>
      <c r="AK66" s="16"/>
      <c r="AL66" s="16"/>
      <c r="AM66" s="17"/>
      <c r="AN66" s="16"/>
      <c r="AO66" s="75"/>
      <c r="AP66" s="75"/>
      <c r="AQ66" s="27"/>
      <c r="AR66" s="319"/>
      <c r="AS66" s="10"/>
      <c r="AT66" s="5" t="str">
        <f>IF(Tabla1015[[#This Row],[FECHA]]="","",VLOOKUP(TEXT(Tabla1015[[#This Row],[FECHA]],"[$-C0A]dddd"),Tabla2[#All],2,FALSE)&amp;"-"&amp;TEXT(Tabla1015[[#This Row],[FECHA]],"[$-C0A]dddd"))</f>
        <v>4-jueves</v>
      </c>
      <c r="AU66" s="322">
        <f>COUNTIF($Z$4:Z66,Z66)</f>
        <v>2</v>
      </c>
      <c r="AW66" s="36" t="s">
        <v>3662</v>
      </c>
    </row>
    <row r="67" spans="19:49" ht="23.25">
      <c r="S67" s="184" t="str">
        <f t="shared" si="0"/>
        <v>COMEDOR-2</v>
      </c>
      <c r="T67" s="22">
        <v>45946</v>
      </c>
      <c r="U67" s="16" t="s">
        <v>88</v>
      </c>
      <c r="V67" s="16" t="s">
        <v>36</v>
      </c>
      <c r="W67" s="381" t="s">
        <v>586</v>
      </c>
      <c r="X67" s="381" t="s">
        <v>468</v>
      </c>
      <c r="Y67" s="380">
        <v>4.166666666666663E-2</v>
      </c>
      <c r="Z67" s="16" t="s">
        <v>2282</v>
      </c>
      <c r="AA67" s="343" t="s">
        <v>3616</v>
      </c>
      <c r="AB67" s="115" t="s">
        <v>1426</v>
      </c>
      <c r="AC67" s="115" t="s">
        <v>157</v>
      </c>
      <c r="AD67" s="114" t="s">
        <v>121</v>
      </c>
      <c r="AE67" s="35" t="s">
        <v>5060</v>
      </c>
      <c r="AF67" s="35" t="s">
        <v>5061</v>
      </c>
      <c r="AG67" s="35"/>
      <c r="AH67" s="35"/>
      <c r="AI67" s="35"/>
      <c r="AJ67" s="16"/>
      <c r="AK67" s="16"/>
      <c r="AL67" s="16"/>
      <c r="AM67" s="17"/>
      <c r="AN67" s="16"/>
      <c r="AO67" s="75"/>
      <c r="AP67" s="75"/>
      <c r="AQ67" s="27"/>
      <c r="AR67" s="319"/>
      <c r="AS67" s="10"/>
      <c r="AT67" s="5" t="str">
        <f>IF(Tabla1015[[#This Row],[FECHA]]="","",VLOOKUP(TEXT(Tabla1015[[#This Row],[FECHA]],"[$-C0A]dddd"),Tabla2[#All],2,FALSE)&amp;"-"&amp;TEXT(Tabla1015[[#This Row],[FECHA]],"[$-C0A]dddd"))</f>
        <v>4-jueves</v>
      </c>
      <c r="AU67" s="322">
        <f>COUNTIF($Z$4:Z67,Z67)</f>
        <v>2</v>
      </c>
      <c r="AW67" s="25" t="s">
        <v>165</v>
      </c>
    </row>
    <row r="68" spans="19:49" ht="26.25" customHeight="1">
      <c r="S68" s="184" t="str">
        <f t="shared" ref="S68:S131" si="1">IF(Z68="","",CONCATENATE(Z68,"-",AU68))</f>
        <v>LINEA AUTOMATICA HACOS 1-16</v>
      </c>
      <c r="T68" s="22">
        <v>45946</v>
      </c>
      <c r="U68" s="16" t="s">
        <v>111</v>
      </c>
      <c r="V68" s="16" t="s">
        <v>39</v>
      </c>
      <c r="W68" s="381" t="s">
        <v>1805</v>
      </c>
      <c r="X68" s="381" t="s">
        <v>112</v>
      </c>
      <c r="Y68" s="380">
        <v>4.1666666666666664E-2</v>
      </c>
      <c r="Z68" s="16" t="s">
        <v>119</v>
      </c>
      <c r="AA68" s="343" t="s">
        <v>3614</v>
      </c>
      <c r="AB68" s="115" t="s">
        <v>32</v>
      </c>
      <c r="AC68" s="115" t="s">
        <v>157</v>
      </c>
      <c r="AD68" s="114" t="s">
        <v>121</v>
      </c>
      <c r="AE68" s="35" t="s">
        <v>5062</v>
      </c>
      <c r="AF68" s="35" t="s">
        <v>5063</v>
      </c>
      <c r="AG68" s="35"/>
      <c r="AH68" s="35"/>
      <c r="AI68" s="35"/>
      <c r="AJ68" s="16"/>
      <c r="AK68" s="16"/>
      <c r="AL68" s="16"/>
      <c r="AM68" s="17"/>
      <c r="AN68" s="16"/>
      <c r="AO68" s="75"/>
      <c r="AP68" s="75"/>
      <c r="AQ68" s="27"/>
      <c r="AR68" s="319"/>
      <c r="AS68" s="10"/>
      <c r="AT68" s="5" t="str">
        <f>IF(Tabla1015[[#This Row],[FECHA]]="","",VLOOKUP(TEXT(Tabla1015[[#This Row],[FECHA]],"[$-C0A]dddd"),Tabla2[#All],2,FALSE)&amp;"-"&amp;TEXT(Tabla1015[[#This Row],[FECHA]],"[$-C0A]dddd"))</f>
        <v>4-jueves</v>
      </c>
      <c r="AU68" s="322">
        <f>COUNTIF($Z$4:Z68,Z68)</f>
        <v>16</v>
      </c>
      <c r="AW68" s="36" t="s">
        <v>222</v>
      </c>
    </row>
    <row r="69" spans="19:49" ht="23.25">
      <c r="S69" s="184" t="str">
        <f t="shared" si="1"/>
        <v>LINEA AUTOMATICA HACOS 1-17</v>
      </c>
      <c r="T69" s="22">
        <v>45946</v>
      </c>
      <c r="U69" s="16" t="s">
        <v>111</v>
      </c>
      <c r="V69" s="16" t="s">
        <v>39</v>
      </c>
      <c r="W69" s="381" t="s">
        <v>5064</v>
      </c>
      <c r="X69" s="381" t="s">
        <v>1278</v>
      </c>
      <c r="Y69" s="380">
        <v>9.0277777777777735E-3</v>
      </c>
      <c r="Z69" s="16" t="s">
        <v>119</v>
      </c>
      <c r="AA69" s="343" t="s">
        <v>3614</v>
      </c>
      <c r="AB69" s="115" t="s">
        <v>54</v>
      </c>
      <c r="AC69" s="115" t="s">
        <v>157</v>
      </c>
      <c r="AD69" s="114" t="s">
        <v>121</v>
      </c>
      <c r="AE69" s="35" t="s">
        <v>5065</v>
      </c>
      <c r="AF69" s="35" t="s">
        <v>121</v>
      </c>
      <c r="AG69" s="35"/>
      <c r="AH69" s="35"/>
      <c r="AI69" s="35"/>
      <c r="AJ69" s="16"/>
      <c r="AK69" s="16"/>
      <c r="AL69" s="16"/>
      <c r="AM69" s="17"/>
      <c r="AN69" s="16"/>
      <c r="AO69" s="75"/>
      <c r="AP69" s="75"/>
      <c r="AQ69" s="27"/>
      <c r="AR69" s="319"/>
      <c r="AS69" s="10"/>
      <c r="AT69" s="5" t="str">
        <f>IF(Tabla1015[[#This Row],[FECHA]]="","",VLOOKUP(TEXT(Tabla1015[[#This Row],[FECHA]],"[$-C0A]dddd"),Tabla2[#All],2,FALSE)&amp;"-"&amp;TEXT(Tabla1015[[#This Row],[FECHA]],"[$-C0A]dddd"))</f>
        <v>4-jueves</v>
      </c>
      <c r="AU69" s="322">
        <f>COUNTIF($Z$4:Z69,Z69)</f>
        <v>17</v>
      </c>
      <c r="AW69" s="25" t="s">
        <v>3669</v>
      </c>
    </row>
    <row r="70" spans="19:49" ht="23.25">
      <c r="S70" s="184" t="str">
        <f t="shared" si="1"/>
        <v>LINEA AUTOMATICA HACOS 1-18</v>
      </c>
      <c r="T70" s="22">
        <v>45946</v>
      </c>
      <c r="U70" s="16" t="s">
        <v>111</v>
      </c>
      <c r="V70" s="16" t="s">
        <v>39</v>
      </c>
      <c r="W70" s="381" t="s">
        <v>397</v>
      </c>
      <c r="X70" s="381" t="s">
        <v>145</v>
      </c>
      <c r="Y70" s="380">
        <v>2.0833333333333329E-2</v>
      </c>
      <c r="Z70" s="16" t="s">
        <v>119</v>
      </c>
      <c r="AA70" s="343" t="s">
        <v>3614</v>
      </c>
      <c r="AB70" s="115" t="s">
        <v>54</v>
      </c>
      <c r="AC70" s="115" t="s">
        <v>157</v>
      </c>
      <c r="AD70" s="114" t="s">
        <v>121</v>
      </c>
      <c r="AE70" s="35" t="s">
        <v>5066</v>
      </c>
      <c r="AF70" s="35" t="s">
        <v>121</v>
      </c>
      <c r="AG70" s="35"/>
      <c r="AH70" s="35"/>
      <c r="AI70" s="35"/>
      <c r="AJ70" s="16"/>
      <c r="AK70" s="16"/>
      <c r="AL70" s="16"/>
      <c r="AM70" s="17"/>
      <c r="AN70" s="16"/>
      <c r="AO70" s="75"/>
      <c r="AP70" s="75"/>
      <c r="AQ70" s="27"/>
      <c r="AR70" s="319"/>
      <c r="AS70" s="10"/>
      <c r="AT70" s="5" t="str">
        <f>IF(Tabla1015[[#This Row],[FECHA]]="","",VLOOKUP(TEXT(Tabla1015[[#This Row],[FECHA]],"[$-C0A]dddd"),Tabla2[#All],2,FALSE)&amp;"-"&amp;TEXT(Tabla1015[[#This Row],[FECHA]],"[$-C0A]dddd"))</f>
        <v>4-jueves</v>
      </c>
      <c r="AU70" s="322">
        <f>COUNTIF($Z$4:Z70,Z70)</f>
        <v>18</v>
      </c>
      <c r="AW70" s="36" t="s">
        <v>3670</v>
      </c>
    </row>
    <row r="71" spans="19:49" ht="23.25">
      <c r="S71" s="184" t="str">
        <f t="shared" si="1"/>
        <v>ENVASADORA TEPACK-1</v>
      </c>
      <c r="T71" s="22">
        <v>45946</v>
      </c>
      <c r="U71" s="16" t="s">
        <v>111</v>
      </c>
      <c r="V71" s="16" t="s">
        <v>39</v>
      </c>
      <c r="W71" s="381" t="s">
        <v>172</v>
      </c>
      <c r="X71" s="381" t="s">
        <v>426</v>
      </c>
      <c r="Y71" s="380">
        <v>1.041666666666663E-2</v>
      </c>
      <c r="Z71" s="16" t="s">
        <v>965</v>
      </c>
      <c r="AA71" s="343" t="s">
        <v>3614</v>
      </c>
      <c r="AB71" s="115" t="s">
        <v>32</v>
      </c>
      <c r="AC71" s="115" t="s">
        <v>157</v>
      </c>
      <c r="AD71" s="114" t="s">
        <v>121</v>
      </c>
      <c r="AE71" s="35" t="s">
        <v>5067</v>
      </c>
      <c r="AF71" s="35" t="s">
        <v>5068</v>
      </c>
      <c r="AG71" s="35"/>
      <c r="AH71" s="35"/>
      <c r="AI71" s="35"/>
      <c r="AJ71" s="16"/>
      <c r="AK71" s="16"/>
      <c r="AL71" s="16"/>
      <c r="AM71" s="17"/>
      <c r="AN71" s="16"/>
      <c r="AO71" s="75"/>
      <c r="AP71" s="75"/>
      <c r="AQ71" s="27"/>
      <c r="AR71" s="319"/>
      <c r="AS71" s="10"/>
      <c r="AT71" s="5" t="str">
        <f>IF(Tabla1015[[#This Row],[FECHA]]="","",VLOOKUP(TEXT(Tabla1015[[#This Row],[FECHA]],"[$-C0A]dddd"),Tabla2[#All],2,FALSE)&amp;"-"&amp;TEXT(Tabla1015[[#This Row],[FECHA]],"[$-C0A]dddd"))</f>
        <v>4-jueves</v>
      </c>
      <c r="AU71" s="322">
        <f>COUNTIF($Z$4:Z71,Z71)</f>
        <v>1</v>
      </c>
      <c r="AW71" s="25" t="s">
        <v>793</v>
      </c>
    </row>
    <row r="72" spans="19:49" ht="26.25" customHeight="1">
      <c r="S72" s="184" t="str">
        <f t="shared" si="1"/>
        <v>EMP. FLOWPACK 2-7</v>
      </c>
      <c r="T72" s="22">
        <v>45946</v>
      </c>
      <c r="U72" s="16" t="s">
        <v>111</v>
      </c>
      <c r="V72" s="16" t="s">
        <v>39</v>
      </c>
      <c r="W72" s="381" t="s">
        <v>660</v>
      </c>
      <c r="X72" s="381" t="s">
        <v>1604</v>
      </c>
      <c r="Y72" s="380">
        <v>4.166666666666663E-2</v>
      </c>
      <c r="Z72" s="16" t="s">
        <v>31</v>
      </c>
      <c r="AA72" s="343" t="s">
        <v>3614</v>
      </c>
      <c r="AB72" s="115" t="s">
        <v>32</v>
      </c>
      <c r="AC72" s="115" t="s">
        <v>157</v>
      </c>
      <c r="AD72" s="114" t="s">
        <v>121</v>
      </c>
      <c r="AE72" s="35" t="s">
        <v>5069</v>
      </c>
      <c r="AF72" s="35" t="s">
        <v>5070</v>
      </c>
      <c r="AG72" s="35"/>
      <c r="AH72" s="35"/>
      <c r="AI72" s="35"/>
      <c r="AJ72" s="16"/>
      <c r="AK72" s="16"/>
      <c r="AL72" s="16"/>
      <c r="AM72" s="17"/>
      <c r="AN72" s="16"/>
      <c r="AO72" s="75"/>
      <c r="AP72" s="75"/>
      <c r="AQ72" s="27"/>
      <c r="AR72" s="319"/>
      <c r="AS72" s="10"/>
      <c r="AT72" s="5" t="str">
        <f>IF(Tabla1015[[#This Row],[FECHA]]="","",VLOOKUP(TEXT(Tabla1015[[#This Row],[FECHA]],"[$-C0A]dddd"),Tabla2[#All],2,FALSE)&amp;"-"&amp;TEXT(Tabla1015[[#This Row],[FECHA]],"[$-C0A]dddd"))</f>
        <v>4-jueves</v>
      </c>
      <c r="AU72" s="322">
        <f>COUNTIF($Z$4:Z72,Z72)</f>
        <v>7</v>
      </c>
      <c r="AW72" s="36" t="s">
        <v>3671</v>
      </c>
    </row>
    <row r="73" spans="19:49" ht="26.25" customHeight="1">
      <c r="S73" s="184" t="str">
        <f t="shared" si="1"/>
        <v>FORRADORA AUTOMATICA 03-1</v>
      </c>
      <c r="T73" s="22">
        <v>45946</v>
      </c>
      <c r="U73" s="16" t="s">
        <v>111</v>
      </c>
      <c r="V73" s="16" t="s">
        <v>39</v>
      </c>
      <c r="W73" s="381" t="s">
        <v>422</v>
      </c>
      <c r="X73" s="381">
        <v>1.0034722222222223</v>
      </c>
      <c r="Y73" s="380">
        <v>1.7361111111110716E-2</v>
      </c>
      <c r="Z73" s="16" t="s">
        <v>815</v>
      </c>
      <c r="AA73" s="343" t="s">
        <v>3614</v>
      </c>
      <c r="AB73" s="115" t="s">
        <v>57</v>
      </c>
      <c r="AC73" s="115" t="s">
        <v>92</v>
      </c>
      <c r="AD73" s="114" t="s">
        <v>93</v>
      </c>
      <c r="AE73" s="35" t="s">
        <v>5071</v>
      </c>
      <c r="AF73" s="35" t="s">
        <v>5072</v>
      </c>
      <c r="AG73" s="35"/>
      <c r="AH73" s="35"/>
      <c r="AI73" s="35"/>
      <c r="AJ73" s="16"/>
      <c r="AK73" s="16"/>
      <c r="AL73" s="16"/>
      <c r="AM73" s="17"/>
      <c r="AN73" s="16"/>
      <c r="AO73" s="75"/>
      <c r="AP73" s="75"/>
      <c r="AQ73" s="27"/>
      <c r="AR73" s="319"/>
      <c r="AS73" s="10"/>
      <c r="AT73" s="5" t="str">
        <f>IF(Tabla1015[[#This Row],[FECHA]]="","",VLOOKUP(TEXT(Tabla1015[[#This Row],[FECHA]],"[$-C0A]dddd"),Tabla2[#All],2,FALSE)&amp;"-"&amp;TEXT(Tabla1015[[#This Row],[FECHA]],"[$-C0A]dddd"))</f>
        <v>4-jueves</v>
      </c>
      <c r="AU73" s="322">
        <f>COUNTIF($Z$4:Z73,Z73)</f>
        <v>1</v>
      </c>
      <c r="AW73" s="25" t="s">
        <v>3672</v>
      </c>
    </row>
    <row r="74" spans="19:49" ht="23.25">
      <c r="S74" s="184" t="str">
        <f t="shared" si="1"/>
        <v>ENVASADORA TEPACK-2</v>
      </c>
      <c r="T74" s="22">
        <v>45947</v>
      </c>
      <c r="U74" s="16" t="s">
        <v>111</v>
      </c>
      <c r="V74" s="16" t="s">
        <v>39</v>
      </c>
      <c r="W74" s="381" t="s">
        <v>2860</v>
      </c>
      <c r="X74" s="381" t="s">
        <v>862</v>
      </c>
      <c r="Y74" s="380">
        <v>1.388888888888889E-2</v>
      </c>
      <c r="Z74" s="16" t="s">
        <v>965</v>
      </c>
      <c r="AA74" s="343" t="s">
        <v>3614</v>
      </c>
      <c r="AB74" s="115" t="s">
        <v>54</v>
      </c>
      <c r="AC74" s="115" t="s">
        <v>157</v>
      </c>
      <c r="AD74" s="114" t="s">
        <v>121</v>
      </c>
      <c r="AE74" s="35" t="s">
        <v>5073</v>
      </c>
      <c r="AF74" s="35" t="s">
        <v>121</v>
      </c>
      <c r="AG74" s="35"/>
      <c r="AH74" s="35"/>
      <c r="AI74" s="35"/>
      <c r="AJ74" s="16"/>
      <c r="AK74" s="16"/>
      <c r="AL74" s="16"/>
      <c r="AM74" s="17"/>
      <c r="AN74" s="16"/>
      <c r="AO74" s="75"/>
      <c r="AP74" s="75"/>
      <c r="AQ74" s="27"/>
      <c r="AR74" s="319"/>
      <c r="AS74" s="10"/>
      <c r="AT74" s="5" t="str">
        <f>IF(Tabla1015[[#This Row],[FECHA]]="","",VLOOKUP(TEXT(Tabla1015[[#This Row],[FECHA]],"[$-C0A]dddd"),Tabla2[#All],2,FALSE)&amp;"-"&amp;TEXT(Tabla1015[[#This Row],[FECHA]],"[$-C0A]dddd"))</f>
        <v>5-viernes</v>
      </c>
      <c r="AU74" s="322">
        <f>COUNTIF($Z$4:Z74,Z74)</f>
        <v>2</v>
      </c>
      <c r="AW74" s="36" t="s">
        <v>3673</v>
      </c>
    </row>
    <row r="75" spans="19:49" ht="26.25" customHeight="1">
      <c r="S75" s="184" t="str">
        <f t="shared" si="1"/>
        <v>EMP. FLOWPACK 2-8</v>
      </c>
      <c r="T75" s="22">
        <v>45947</v>
      </c>
      <c r="U75" s="16" t="s">
        <v>111</v>
      </c>
      <c r="V75" s="16" t="s">
        <v>39</v>
      </c>
      <c r="W75" s="381" t="s">
        <v>112</v>
      </c>
      <c r="X75" s="381" t="s">
        <v>1920</v>
      </c>
      <c r="Y75" s="380">
        <v>8.3333333333333343E-2</v>
      </c>
      <c r="Z75" s="16" t="s">
        <v>31</v>
      </c>
      <c r="AA75" s="343" t="s">
        <v>3614</v>
      </c>
      <c r="AB75" s="115" t="s">
        <v>57</v>
      </c>
      <c r="AC75" s="115" t="s">
        <v>92</v>
      </c>
      <c r="AD75" s="114" t="s">
        <v>93</v>
      </c>
      <c r="AE75" s="35" t="s">
        <v>5074</v>
      </c>
      <c r="AF75" s="35" t="s">
        <v>5075</v>
      </c>
      <c r="AG75" s="35"/>
      <c r="AH75" s="35"/>
      <c r="AI75" s="35"/>
      <c r="AJ75" s="16"/>
      <c r="AK75" s="16"/>
      <c r="AL75" s="16"/>
      <c r="AM75" s="17"/>
      <c r="AN75" s="16"/>
      <c r="AO75" s="75"/>
      <c r="AP75" s="75"/>
      <c r="AQ75" s="27"/>
      <c r="AR75" s="319"/>
      <c r="AS75" s="10"/>
      <c r="AT75" s="5" t="str">
        <f>IF(Tabla1015[[#This Row],[FECHA]]="","",VLOOKUP(TEXT(Tabla1015[[#This Row],[FECHA]],"[$-C0A]dddd"),Tabla2[#All],2,FALSE)&amp;"-"&amp;TEXT(Tabla1015[[#This Row],[FECHA]],"[$-C0A]dddd"))</f>
        <v>5-viernes</v>
      </c>
      <c r="AU75" s="322">
        <f>COUNTIF($Z$4:Z75,Z75)</f>
        <v>8</v>
      </c>
      <c r="AW75" s="25" t="s">
        <v>3674</v>
      </c>
    </row>
    <row r="76" spans="19:49" ht="26.25" customHeight="1">
      <c r="S76" s="184" t="str">
        <f t="shared" si="1"/>
        <v>FORRADORA MINIFLEX-2</v>
      </c>
      <c r="T76" s="22">
        <v>45947</v>
      </c>
      <c r="U76" s="16" t="s">
        <v>111</v>
      </c>
      <c r="V76" s="16" t="s">
        <v>39</v>
      </c>
      <c r="W76" s="381" t="s">
        <v>172</v>
      </c>
      <c r="X76" s="381" t="s">
        <v>426</v>
      </c>
      <c r="Y76" s="380">
        <v>1.041666666666663E-2</v>
      </c>
      <c r="Z76" s="16" t="s">
        <v>1470</v>
      </c>
      <c r="AA76" s="343" t="s">
        <v>3614</v>
      </c>
      <c r="AB76" s="115" t="s">
        <v>54</v>
      </c>
      <c r="AC76" s="115" t="s">
        <v>157</v>
      </c>
      <c r="AD76" s="114" t="s">
        <v>121</v>
      </c>
      <c r="AE76" s="35" t="s">
        <v>225</v>
      </c>
      <c r="AF76" s="35" t="s">
        <v>5076</v>
      </c>
      <c r="AG76" s="35"/>
      <c r="AH76" s="35"/>
      <c r="AI76" s="35"/>
      <c r="AJ76" s="16"/>
      <c r="AK76" s="16"/>
      <c r="AL76" s="16"/>
      <c r="AM76" s="17"/>
      <c r="AN76" s="16"/>
      <c r="AO76" s="75"/>
      <c r="AP76" s="75"/>
      <c r="AQ76" s="27"/>
      <c r="AR76" s="319"/>
      <c r="AS76" s="10"/>
      <c r="AT76" s="5" t="str">
        <f>IF(Tabla1015[[#This Row],[FECHA]]="","",VLOOKUP(TEXT(Tabla1015[[#This Row],[FECHA]],"[$-C0A]dddd"),Tabla2[#All],2,FALSE)&amp;"-"&amp;TEXT(Tabla1015[[#This Row],[FECHA]],"[$-C0A]dddd"))</f>
        <v>5-viernes</v>
      </c>
      <c r="AU76" s="322">
        <f>COUNTIF($Z$4:Z76,Z76)</f>
        <v>2</v>
      </c>
      <c r="AW76" s="36" t="s">
        <v>3675</v>
      </c>
    </row>
    <row r="77" spans="19:49" ht="26.25" customHeight="1">
      <c r="S77" s="184" t="str">
        <f t="shared" si="1"/>
        <v>FORRADORA AUTOMATICA 03-2</v>
      </c>
      <c r="T77" s="22">
        <v>45947</v>
      </c>
      <c r="U77" s="16" t="s">
        <v>111</v>
      </c>
      <c r="V77" s="16" t="s">
        <v>39</v>
      </c>
      <c r="W77" s="381" t="s">
        <v>659</v>
      </c>
      <c r="X77" s="381" t="s">
        <v>1135</v>
      </c>
      <c r="Y77" s="380">
        <v>3.819444444444442E-2</v>
      </c>
      <c r="Z77" s="16" t="s">
        <v>815</v>
      </c>
      <c r="AA77" s="343" t="s">
        <v>3614</v>
      </c>
      <c r="AB77" s="115" t="s">
        <v>57</v>
      </c>
      <c r="AC77" s="115" t="s">
        <v>92</v>
      </c>
      <c r="AD77" s="114" t="s">
        <v>93</v>
      </c>
      <c r="AE77" s="35" t="s">
        <v>5077</v>
      </c>
      <c r="AF77" s="35" t="s">
        <v>5078</v>
      </c>
      <c r="AG77" s="35"/>
      <c r="AH77" s="35"/>
      <c r="AI77" s="35"/>
      <c r="AJ77" s="16"/>
      <c r="AK77" s="16"/>
      <c r="AL77" s="16"/>
      <c r="AM77" s="17"/>
      <c r="AN77" s="16"/>
      <c r="AO77" s="75"/>
      <c r="AP77" s="75"/>
      <c r="AQ77" s="27"/>
      <c r="AR77" s="319"/>
      <c r="AS77" s="10"/>
      <c r="AT77" s="5" t="str">
        <f>IF(Tabla1015[[#This Row],[FECHA]]="","",VLOOKUP(TEXT(Tabla1015[[#This Row],[FECHA]],"[$-C0A]dddd"),Tabla2[#All],2,FALSE)&amp;"-"&amp;TEXT(Tabla1015[[#This Row],[FECHA]],"[$-C0A]dddd"))</f>
        <v>5-viernes</v>
      </c>
      <c r="AU77" s="322">
        <f>COUNTIF($Z$4:Z77,Z77)</f>
        <v>2</v>
      </c>
      <c r="AW77" s="25" t="s">
        <v>3676</v>
      </c>
    </row>
    <row r="78" spans="19:49" ht="26.25" customHeight="1">
      <c r="S78" s="184" t="str">
        <f t="shared" si="1"/>
        <v>ENCELOFANADORA ECCOPAC-2</v>
      </c>
      <c r="T78" s="22">
        <v>45947</v>
      </c>
      <c r="U78" s="16" t="s">
        <v>111</v>
      </c>
      <c r="V78" s="16" t="s">
        <v>39</v>
      </c>
      <c r="W78" s="381" t="s">
        <v>1604</v>
      </c>
      <c r="X78" s="381">
        <v>1.0208333333333333</v>
      </c>
      <c r="Y78" s="380">
        <v>4.1666666666664298E-2</v>
      </c>
      <c r="Z78" s="16" t="s">
        <v>182</v>
      </c>
      <c r="AA78" s="343" t="s">
        <v>3614</v>
      </c>
      <c r="AB78" s="115" t="s">
        <v>32</v>
      </c>
      <c r="AC78" s="115" t="s">
        <v>157</v>
      </c>
      <c r="AD78" s="114" t="s">
        <v>121</v>
      </c>
      <c r="AE78" s="35" t="s">
        <v>5079</v>
      </c>
      <c r="AF78" s="35" t="s">
        <v>5080</v>
      </c>
      <c r="AG78" s="35"/>
      <c r="AH78" s="35"/>
      <c r="AI78" s="35"/>
      <c r="AJ78" s="16"/>
      <c r="AK78" s="16"/>
      <c r="AL78" s="16"/>
      <c r="AM78" s="17"/>
      <c r="AN78" s="16"/>
      <c r="AO78" s="75"/>
      <c r="AP78" s="75"/>
      <c r="AQ78" s="27"/>
      <c r="AR78" s="319"/>
      <c r="AS78" s="10"/>
      <c r="AT78" s="5" t="str">
        <f>IF(Tabla1015[[#This Row],[FECHA]]="","",VLOOKUP(TEXT(Tabla1015[[#This Row],[FECHA]],"[$-C0A]dddd"),Tabla2[#All],2,FALSE)&amp;"-"&amp;TEXT(Tabla1015[[#This Row],[FECHA]],"[$-C0A]dddd"))</f>
        <v>5-viernes</v>
      </c>
      <c r="AU78" s="322">
        <f>COUNTIF($Z$4:Z78,Z78)</f>
        <v>2</v>
      </c>
      <c r="AW78" s="36" t="s">
        <v>3677</v>
      </c>
    </row>
    <row r="79" spans="19:49" ht="26.25" customHeight="1">
      <c r="S79" s="184" t="str">
        <f t="shared" si="1"/>
        <v>EMP. FLOWPACK 1-2</v>
      </c>
      <c r="T79" s="22">
        <v>45948</v>
      </c>
      <c r="U79" s="16" t="s">
        <v>111</v>
      </c>
      <c r="V79" s="16" t="s">
        <v>39</v>
      </c>
      <c r="W79" s="381" t="s">
        <v>112</v>
      </c>
      <c r="X79" s="381" t="s">
        <v>1278</v>
      </c>
      <c r="Y79" s="380">
        <v>1.3888888888888888E-2</v>
      </c>
      <c r="Z79" s="16" t="s">
        <v>438</v>
      </c>
      <c r="AA79" s="343" t="s">
        <v>3614</v>
      </c>
      <c r="AB79" s="115" t="s">
        <v>54</v>
      </c>
      <c r="AC79" s="115" t="s">
        <v>157</v>
      </c>
      <c r="AD79" s="114" t="s">
        <v>121</v>
      </c>
      <c r="AE79" s="35" t="s">
        <v>225</v>
      </c>
      <c r="AF79" s="35" t="s">
        <v>5081</v>
      </c>
      <c r="AG79" s="35"/>
      <c r="AH79" s="35"/>
      <c r="AI79" s="35"/>
      <c r="AJ79" s="16"/>
      <c r="AK79" s="16"/>
      <c r="AL79" s="16"/>
      <c r="AM79" s="17"/>
      <c r="AN79" s="16"/>
      <c r="AO79" s="75"/>
      <c r="AP79" s="75"/>
      <c r="AQ79" s="27"/>
      <c r="AR79" s="319"/>
      <c r="AS79" s="10"/>
      <c r="AT79" s="5" t="str">
        <f>IF(Tabla1015[[#This Row],[FECHA]]="","",VLOOKUP(TEXT(Tabla1015[[#This Row],[FECHA]],"[$-C0A]dddd"),Tabla2[#All],2,FALSE)&amp;"-"&amp;TEXT(Tabla1015[[#This Row],[FECHA]],"[$-C0A]dddd"))</f>
        <v>6-sábado</v>
      </c>
      <c r="AU79" s="322">
        <f>COUNTIF($Z$4:Z79,Z79)</f>
        <v>2</v>
      </c>
      <c r="AW79" s="36"/>
    </row>
    <row r="80" spans="19:49" ht="26.25" customHeight="1">
      <c r="S80" s="184" t="str">
        <f t="shared" si="1"/>
        <v>FORRADORA AUTOMATICA 03-3</v>
      </c>
      <c r="T80" s="22">
        <v>45948</v>
      </c>
      <c r="U80" s="16" t="s">
        <v>111</v>
      </c>
      <c r="V80" s="16" t="s">
        <v>39</v>
      </c>
      <c r="W80" s="381" t="s">
        <v>397</v>
      </c>
      <c r="X80" s="381" t="s">
        <v>866</v>
      </c>
      <c r="Y80" s="380">
        <v>6.9444444444444475E-3</v>
      </c>
      <c r="Z80" s="16" t="s">
        <v>815</v>
      </c>
      <c r="AA80" s="343" t="s">
        <v>3614</v>
      </c>
      <c r="AB80" s="115" t="s">
        <v>54</v>
      </c>
      <c r="AC80" s="115" t="s">
        <v>157</v>
      </c>
      <c r="AD80" s="114" t="s">
        <v>121</v>
      </c>
      <c r="AE80" s="35" t="s">
        <v>225</v>
      </c>
      <c r="AF80" s="35" t="s">
        <v>121</v>
      </c>
      <c r="AG80" s="35"/>
      <c r="AH80" s="35"/>
      <c r="AI80" s="35"/>
      <c r="AJ80" s="16"/>
      <c r="AK80" s="16"/>
      <c r="AL80" s="16"/>
      <c r="AM80" s="17"/>
      <c r="AN80" s="16"/>
      <c r="AO80" s="75"/>
      <c r="AP80" s="75"/>
      <c r="AQ80" s="27"/>
      <c r="AR80" s="319"/>
      <c r="AS80" s="10"/>
      <c r="AT80" s="5" t="str">
        <f>IF(Tabla1015[[#This Row],[FECHA]]="","",VLOOKUP(TEXT(Tabla1015[[#This Row],[FECHA]],"[$-C0A]dddd"),Tabla2[#All],2,FALSE)&amp;"-"&amp;TEXT(Tabla1015[[#This Row],[FECHA]],"[$-C0A]dddd"))</f>
        <v>6-sábado</v>
      </c>
      <c r="AU80" s="322">
        <f>COUNTIF($Z$4:Z80,Z80)</f>
        <v>3</v>
      </c>
      <c r="AW80" s="36"/>
    </row>
    <row r="81" spans="2:49" s="61" customFormat="1" ht="26.25" customHeight="1">
      <c r="B81" s="67"/>
      <c r="C81" s="60"/>
      <c r="D81" s="60"/>
      <c r="M81" s="83"/>
      <c r="O81" s="60"/>
      <c r="Q81"/>
      <c r="S81" s="184" t="str">
        <f t="shared" si="1"/>
        <v>EMP. GD-1</v>
      </c>
      <c r="T81" s="22">
        <v>45948</v>
      </c>
      <c r="U81" s="16" t="s">
        <v>111</v>
      </c>
      <c r="V81" s="16" t="s">
        <v>39</v>
      </c>
      <c r="W81" s="381" t="s">
        <v>145</v>
      </c>
      <c r="X81" s="381" t="s">
        <v>1920</v>
      </c>
      <c r="Y81" s="380">
        <v>4.1666666666666671E-2</v>
      </c>
      <c r="Z81" s="16" t="s">
        <v>3923</v>
      </c>
      <c r="AA81" s="343" t="s">
        <v>3614</v>
      </c>
      <c r="AB81" s="115" t="s">
        <v>245</v>
      </c>
      <c r="AC81" s="115" t="s">
        <v>157</v>
      </c>
      <c r="AD81" s="114" t="s">
        <v>121</v>
      </c>
      <c r="AE81" s="35" t="s">
        <v>5082</v>
      </c>
      <c r="AF81" s="35" t="s">
        <v>5083</v>
      </c>
      <c r="AG81" s="35"/>
      <c r="AH81" s="35"/>
      <c r="AI81" s="35"/>
      <c r="AJ81" s="16"/>
      <c r="AK81" s="16"/>
      <c r="AL81" s="16"/>
      <c r="AM81" s="17"/>
      <c r="AN81" s="16"/>
      <c r="AO81" s="75"/>
      <c r="AP81" s="75"/>
      <c r="AQ81" s="27"/>
      <c r="AR81" s="319"/>
      <c r="AS81" s="10"/>
      <c r="AT81" s="5" t="str">
        <f>IF(Tabla1015[[#This Row],[FECHA]]="","",VLOOKUP(TEXT(Tabla1015[[#This Row],[FECHA]],"[$-C0A]dddd"),Tabla2[#All],2,FALSE)&amp;"-"&amp;TEXT(Tabla1015[[#This Row],[FECHA]],"[$-C0A]dddd"))</f>
        <v>6-sábado</v>
      </c>
      <c r="AU81" s="322">
        <f>COUNTIF($Z$4:Z81,Z81)</f>
        <v>1</v>
      </c>
      <c r="AW81" s="58"/>
    </row>
    <row r="82" spans="2:49" s="61" customFormat="1" ht="26.25" customHeight="1">
      <c r="B82" s="67"/>
      <c r="C82" s="60"/>
      <c r="D82" s="60"/>
      <c r="M82" s="57"/>
      <c r="O82" s="60"/>
      <c r="Q82" s="145"/>
      <c r="S82" s="184" t="str">
        <f t="shared" si="1"/>
        <v>CALDERO, CHRILLER Y COMPRESOR-2</v>
      </c>
      <c r="T82" s="22">
        <v>45948</v>
      </c>
      <c r="U82" s="16" t="s">
        <v>191</v>
      </c>
      <c r="V82" s="16" t="s">
        <v>23</v>
      </c>
      <c r="W82" s="381" t="s">
        <v>2480</v>
      </c>
      <c r="X82" s="381" t="s">
        <v>3499</v>
      </c>
      <c r="Y82" s="380">
        <v>1.1111111111111072E-2</v>
      </c>
      <c r="Z82" s="16" t="s">
        <v>215</v>
      </c>
      <c r="AA82" s="343" t="s">
        <v>3629</v>
      </c>
      <c r="AB82" s="115" t="s">
        <v>54</v>
      </c>
      <c r="AC82" s="115" t="s">
        <v>157</v>
      </c>
      <c r="AD82" s="114" t="s">
        <v>121</v>
      </c>
      <c r="AE82" s="35" t="s">
        <v>1751</v>
      </c>
      <c r="AF82" s="35" t="s">
        <v>121</v>
      </c>
      <c r="AG82" s="35"/>
      <c r="AH82" s="35"/>
      <c r="AI82" s="35"/>
      <c r="AJ82" s="16"/>
      <c r="AK82" s="16"/>
      <c r="AL82" s="16"/>
      <c r="AM82" s="17"/>
      <c r="AN82" s="16"/>
      <c r="AO82" s="75"/>
      <c r="AP82" s="75"/>
      <c r="AQ82" s="27"/>
      <c r="AR82" s="319"/>
      <c r="AS82" s="10"/>
      <c r="AT82" s="5" t="str">
        <f>IF(Tabla1015[[#This Row],[FECHA]]="","",VLOOKUP(TEXT(Tabla1015[[#This Row],[FECHA]],"[$-C0A]dddd"),Tabla2[#All],2,FALSE)&amp;"-"&amp;TEXT(Tabla1015[[#This Row],[FECHA]],"[$-C0A]dddd"))</f>
        <v>6-sábado</v>
      </c>
      <c r="AU82" s="322">
        <f>COUNTIF($Z$4:Z82,Z82)</f>
        <v>2</v>
      </c>
      <c r="AW82" s="58"/>
    </row>
    <row r="83" spans="2:49" s="61" customFormat="1" ht="26.25" customHeight="1">
      <c r="B83" s="67"/>
      <c r="C83" s="60"/>
      <c r="D83" s="60"/>
      <c r="M83" s="57"/>
      <c r="O83" s="60"/>
      <c r="Q83" s="145"/>
      <c r="S83" s="184" t="str">
        <f t="shared" si="1"/>
        <v>LINEA AUTOMATICA HACOS 1-19</v>
      </c>
      <c r="T83" s="22">
        <v>45948</v>
      </c>
      <c r="U83" s="16" t="s">
        <v>191</v>
      </c>
      <c r="V83" s="16" t="s">
        <v>23</v>
      </c>
      <c r="W83" s="381" t="s">
        <v>1237</v>
      </c>
      <c r="X83" s="381" t="s">
        <v>5084</v>
      </c>
      <c r="Y83" s="380">
        <v>2.2222222222222143E-2</v>
      </c>
      <c r="Z83" s="16" t="s">
        <v>119</v>
      </c>
      <c r="AA83" s="343" t="s">
        <v>3614</v>
      </c>
      <c r="AB83" s="115" t="s">
        <v>32</v>
      </c>
      <c r="AC83" s="115" t="s">
        <v>157</v>
      </c>
      <c r="AD83" s="114" t="s">
        <v>121</v>
      </c>
      <c r="AE83" s="35" t="s">
        <v>5085</v>
      </c>
      <c r="AF83" s="35" t="s">
        <v>121</v>
      </c>
      <c r="AG83" s="35"/>
      <c r="AH83" s="35"/>
      <c r="AI83" s="35"/>
      <c r="AJ83" s="16"/>
      <c r="AK83" s="16"/>
      <c r="AL83" s="16"/>
      <c r="AM83" s="17"/>
      <c r="AN83" s="16"/>
      <c r="AO83" s="75"/>
      <c r="AP83" s="75"/>
      <c r="AQ83" s="27"/>
      <c r="AR83" s="319"/>
      <c r="AS83" s="10"/>
      <c r="AT83" s="5" t="str">
        <f>IF(Tabla1015[[#This Row],[FECHA]]="","",VLOOKUP(TEXT(Tabla1015[[#This Row],[FECHA]],"[$-C0A]dddd"),Tabla2[#All],2,FALSE)&amp;"-"&amp;TEXT(Tabla1015[[#This Row],[FECHA]],"[$-C0A]dddd"))</f>
        <v>6-sábado</v>
      </c>
      <c r="AU83" s="322">
        <f>COUNTIF($Z$4:Z83,Z83)</f>
        <v>19</v>
      </c>
      <c r="AW83" s="58"/>
    </row>
    <row r="84" spans="2:49" s="61" customFormat="1" ht="26.25" customHeight="1">
      <c r="B84" s="67"/>
      <c r="C84" s="60"/>
      <c r="D84" s="60"/>
      <c r="M84" s="57"/>
      <c r="O84" s="60"/>
      <c r="Q84" s="145"/>
      <c r="S84" s="184" t="str">
        <f t="shared" si="1"/>
        <v>EMP. NAPOLITANA-1</v>
      </c>
      <c r="T84" s="22">
        <v>45948</v>
      </c>
      <c r="U84" s="16" t="s">
        <v>191</v>
      </c>
      <c r="V84" s="16" t="s">
        <v>23</v>
      </c>
      <c r="W84" s="381" t="s">
        <v>2515</v>
      </c>
      <c r="X84" s="381" t="s">
        <v>543</v>
      </c>
      <c r="Y84" s="380">
        <v>1.5972222222222276E-2</v>
      </c>
      <c r="Z84" s="16" t="s">
        <v>140</v>
      </c>
      <c r="AA84" s="343" t="s">
        <v>3614</v>
      </c>
      <c r="AB84" s="115" t="s">
        <v>32</v>
      </c>
      <c r="AC84" s="115" t="s">
        <v>92</v>
      </c>
      <c r="AD84" s="114" t="s">
        <v>93</v>
      </c>
      <c r="AE84" s="35" t="s">
        <v>5086</v>
      </c>
      <c r="AF84" s="35" t="s">
        <v>5087</v>
      </c>
      <c r="AG84" s="35"/>
      <c r="AH84" s="35"/>
      <c r="AI84" s="35"/>
      <c r="AJ84" s="16"/>
      <c r="AK84" s="16"/>
      <c r="AL84" s="16"/>
      <c r="AM84" s="17"/>
      <c r="AN84" s="16"/>
      <c r="AO84" s="75"/>
      <c r="AP84" s="75"/>
      <c r="AQ84" s="27"/>
      <c r="AR84" s="319"/>
      <c r="AS84" s="10"/>
      <c r="AT84" s="5" t="str">
        <f>IF(Tabla1015[[#This Row],[FECHA]]="","",VLOOKUP(TEXT(Tabla1015[[#This Row],[FECHA]],"[$-C0A]dddd"),Tabla2[#All],2,FALSE)&amp;"-"&amp;TEXT(Tabla1015[[#This Row],[FECHA]],"[$-C0A]dddd"))</f>
        <v>6-sábado</v>
      </c>
      <c r="AU84" s="322">
        <f>COUNTIF($Z$4:Z84,Z84)</f>
        <v>1</v>
      </c>
      <c r="AW84" s="58"/>
    </row>
    <row r="85" spans="2:49" s="61" customFormat="1" ht="26.25" customHeight="1">
      <c r="B85" s="67"/>
      <c r="C85" s="60"/>
      <c r="D85" s="60"/>
      <c r="M85" s="57"/>
      <c r="O85" s="60"/>
      <c r="Q85" s="145"/>
      <c r="S85" s="184" t="str">
        <f t="shared" si="1"/>
        <v>CALDERO, CHRILLER Y COMPRESOR-3</v>
      </c>
      <c r="T85" s="22">
        <v>45947</v>
      </c>
      <c r="U85" s="16" t="s">
        <v>191</v>
      </c>
      <c r="V85" s="16" t="s">
        <v>23</v>
      </c>
      <c r="W85" s="381" t="s">
        <v>5088</v>
      </c>
      <c r="X85" s="381" t="s">
        <v>5089</v>
      </c>
      <c r="Y85" s="380">
        <v>1.1111111111111072E-2</v>
      </c>
      <c r="Z85" s="16" t="s">
        <v>215</v>
      </c>
      <c r="AA85" s="343" t="s">
        <v>3629</v>
      </c>
      <c r="AB85" s="115" t="s">
        <v>54</v>
      </c>
      <c r="AC85" s="115" t="s">
        <v>157</v>
      </c>
      <c r="AD85" s="114" t="s">
        <v>121</v>
      </c>
      <c r="AE85" s="35" t="s">
        <v>248</v>
      </c>
      <c r="AF85" s="35" t="s">
        <v>121</v>
      </c>
      <c r="AG85" s="35"/>
      <c r="AH85" s="35"/>
      <c r="AI85" s="35"/>
      <c r="AJ85" s="16"/>
      <c r="AK85" s="16"/>
      <c r="AL85" s="16"/>
      <c r="AM85" s="17"/>
      <c r="AN85" s="16"/>
      <c r="AO85" s="75"/>
      <c r="AP85" s="75"/>
      <c r="AQ85" s="27"/>
      <c r="AR85" s="319"/>
      <c r="AS85" s="10"/>
      <c r="AT85" s="5" t="str">
        <f>IF(Tabla1015[[#This Row],[FECHA]]="","",VLOOKUP(TEXT(Tabla1015[[#This Row],[FECHA]],"[$-C0A]dddd"),Tabla2[#All],2,FALSE)&amp;"-"&amp;TEXT(Tabla1015[[#This Row],[FECHA]],"[$-C0A]dddd"))</f>
        <v>5-viernes</v>
      </c>
      <c r="AU85" s="322">
        <f>COUNTIF($Z$4:Z85,Z85)</f>
        <v>3</v>
      </c>
      <c r="AW85" s="58"/>
    </row>
    <row r="86" spans="2:49" s="61" customFormat="1" ht="26.25" customHeight="1">
      <c r="B86" s="67"/>
      <c r="C86" s="60"/>
      <c r="D86" s="60"/>
      <c r="M86" s="57"/>
      <c r="O86" s="60"/>
      <c r="Q86" s="145"/>
      <c r="S86" s="184" t="str">
        <f t="shared" si="1"/>
        <v>EMP. FLOWPACK 1-3</v>
      </c>
      <c r="T86" s="22">
        <v>45947</v>
      </c>
      <c r="U86" s="16" t="s">
        <v>191</v>
      </c>
      <c r="V86" s="16" t="s">
        <v>23</v>
      </c>
      <c r="W86" s="381" t="s">
        <v>1565</v>
      </c>
      <c r="X86" s="381" t="s">
        <v>882</v>
      </c>
      <c r="Y86" s="380">
        <v>1.0416666666666741E-2</v>
      </c>
      <c r="Z86" s="16" t="s">
        <v>438</v>
      </c>
      <c r="AA86" s="343" t="s">
        <v>3614</v>
      </c>
      <c r="AB86" s="115" t="s">
        <v>61</v>
      </c>
      <c r="AC86" s="115" t="s">
        <v>157</v>
      </c>
      <c r="AD86" s="114" t="s">
        <v>121</v>
      </c>
      <c r="AE86" s="35" t="s">
        <v>5090</v>
      </c>
      <c r="AF86" s="35" t="s">
        <v>5091</v>
      </c>
      <c r="AG86" s="35"/>
      <c r="AH86" s="35"/>
      <c r="AI86" s="35"/>
      <c r="AJ86" s="16"/>
      <c r="AK86" s="16"/>
      <c r="AL86" s="16"/>
      <c r="AM86" s="17"/>
      <c r="AN86" s="16"/>
      <c r="AO86" s="75"/>
      <c r="AP86" s="75"/>
      <c r="AQ86" s="27"/>
      <c r="AR86" s="319"/>
      <c r="AS86" s="10"/>
      <c r="AT86" s="5" t="str">
        <f>IF(Tabla1015[[#This Row],[FECHA]]="","",VLOOKUP(TEXT(Tabla1015[[#This Row],[FECHA]],"[$-C0A]dddd"),Tabla2[#All],2,FALSE)&amp;"-"&amp;TEXT(Tabla1015[[#This Row],[FECHA]],"[$-C0A]dddd"))</f>
        <v>5-viernes</v>
      </c>
      <c r="AU86" s="322">
        <f>COUNTIF($Z$4:Z86,Z86)</f>
        <v>3</v>
      </c>
      <c r="AW86" s="58"/>
    </row>
    <row r="87" spans="2:49" s="61" customFormat="1" ht="26.25" customHeight="1">
      <c r="B87" s="67"/>
      <c r="C87" s="60"/>
      <c r="D87" s="60"/>
      <c r="M87" s="57"/>
      <c r="O87" s="60"/>
      <c r="Q87" s="145"/>
      <c r="S87" s="184" t="str">
        <f t="shared" si="1"/>
        <v>FORRADORA AUTOMATICA 02-1</v>
      </c>
      <c r="T87" s="22">
        <v>45947</v>
      </c>
      <c r="U87" s="16" t="s">
        <v>191</v>
      </c>
      <c r="V87" s="16" t="s">
        <v>23</v>
      </c>
      <c r="W87" s="381" t="s">
        <v>1566</v>
      </c>
      <c r="X87" s="381" t="s">
        <v>5084</v>
      </c>
      <c r="Y87" s="380">
        <v>1.4583333333333282E-2</v>
      </c>
      <c r="Z87" s="16" t="s">
        <v>128</v>
      </c>
      <c r="AA87" s="343" t="s">
        <v>3614</v>
      </c>
      <c r="AB87" s="115" t="s">
        <v>57</v>
      </c>
      <c r="AC87" s="115" t="s">
        <v>92</v>
      </c>
      <c r="AD87" s="114" t="s">
        <v>93</v>
      </c>
      <c r="AE87" s="35" t="s">
        <v>5092</v>
      </c>
      <c r="AF87" s="35" t="s">
        <v>5093</v>
      </c>
      <c r="AG87" s="35"/>
      <c r="AH87" s="35"/>
      <c r="AI87" s="35"/>
      <c r="AJ87" s="16"/>
      <c r="AK87" s="16"/>
      <c r="AL87" s="16"/>
      <c r="AM87" s="17"/>
      <c r="AN87" s="16"/>
      <c r="AO87" s="75"/>
      <c r="AP87" s="75"/>
      <c r="AQ87" s="27"/>
      <c r="AR87" s="319"/>
      <c r="AS87" s="10"/>
      <c r="AT87" s="5" t="str">
        <f>IF(Tabla1015[[#This Row],[FECHA]]="","",VLOOKUP(TEXT(Tabla1015[[#This Row],[FECHA]],"[$-C0A]dddd"),Tabla2[#All],2,FALSE)&amp;"-"&amp;TEXT(Tabla1015[[#This Row],[FECHA]],"[$-C0A]dddd"))</f>
        <v>5-viernes</v>
      </c>
      <c r="AU87" s="322">
        <f>COUNTIF($Z$4:Z87,Z87)</f>
        <v>1</v>
      </c>
      <c r="AW87" s="58"/>
    </row>
    <row r="88" spans="2:49" s="61" customFormat="1" ht="26.25" customHeight="1">
      <c r="B88" s="67"/>
      <c r="C88" s="60"/>
      <c r="D88" s="60"/>
      <c r="M88" s="57"/>
      <c r="O88" s="60"/>
      <c r="Q88" s="145"/>
      <c r="S88" s="184" t="str">
        <f t="shared" si="1"/>
        <v>POZOS-2</v>
      </c>
      <c r="T88" s="22">
        <v>45947</v>
      </c>
      <c r="U88" s="16" t="s">
        <v>191</v>
      </c>
      <c r="V88" s="16" t="s">
        <v>23</v>
      </c>
      <c r="W88" s="381" t="s">
        <v>2483</v>
      </c>
      <c r="X88" s="381" t="s">
        <v>683</v>
      </c>
      <c r="Y88" s="380">
        <v>1.5277777777777835E-2</v>
      </c>
      <c r="Z88" s="16" t="s">
        <v>236</v>
      </c>
      <c r="AA88" s="343" t="s">
        <v>3809</v>
      </c>
      <c r="AB88" s="115" t="s">
        <v>390</v>
      </c>
      <c r="AC88" s="115" t="s">
        <v>157</v>
      </c>
      <c r="AD88" s="114" t="s">
        <v>121</v>
      </c>
      <c r="AE88" s="35" t="s">
        <v>5094</v>
      </c>
      <c r="AF88" s="35" t="s">
        <v>121</v>
      </c>
      <c r="AG88" s="35"/>
      <c r="AH88" s="35"/>
      <c r="AI88" s="35"/>
      <c r="AJ88" s="16"/>
      <c r="AK88" s="16"/>
      <c r="AL88" s="16"/>
      <c r="AM88" s="17"/>
      <c r="AN88" s="16"/>
      <c r="AO88" s="75"/>
      <c r="AP88" s="75"/>
      <c r="AQ88" s="27"/>
      <c r="AR88" s="319"/>
      <c r="AS88" s="10"/>
      <c r="AT88" s="5" t="str">
        <f>IF(Tabla1015[[#This Row],[FECHA]]="","",VLOOKUP(TEXT(Tabla1015[[#This Row],[FECHA]],"[$-C0A]dddd"),Tabla2[#All],2,FALSE)&amp;"-"&amp;TEXT(Tabla1015[[#This Row],[FECHA]],"[$-C0A]dddd"))</f>
        <v>5-viernes</v>
      </c>
      <c r="AU88" s="322">
        <f>COUNTIF($Z$4:Z88,Z88)</f>
        <v>2</v>
      </c>
      <c r="AW88" s="58"/>
    </row>
    <row r="89" spans="2:49" s="61" customFormat="1" ht="26.25" customHeight="1">
      <c r="O89" s="60"/>
      <c r="Q89" s="145"/>
      <c r="S89" s="184" t="str">
        <f t="shared" si="1"/>
        <v>EMP. 1 - CHOCOTECH-1</v>
      </c>
      <c r="T89" s="22">
        <v>45947</v>
      </c>
      <c r="U89" s="16" t="s">
        <v>191</v>
      </c>
      <c r="V89" s="16" t="s">
        <v>23</v>
      </c>
      <c r="W89" s="381" t="s">
        <v>2473</v>
      </c>
      <c r="X89" s="381" t="s">
        <v>678</v>
      </c>
      <c r="Y89" s="380">
        <v>1.8055555555555602E-2</v>
      </c>
      <c r="Z89" s="16" t="s">
        <v>198</v>
      </c>
      <c r="AA89" s="343" t="s">
        <v>3614</v>
      </c>
      <c r="AB89" s="115" t="s">
        <v>57</v>
      </c>
      <c r="AC89" s="115" t="s">
        <v>92</v>
      </c>
      <c r="AD89" s="114" t="s">
        <v>93</v>
      </c>
      <c r="AE89" s="35" t="s">
        <v>5095</v>
      </c>
      <c r="AF89" s="35" t="s">
        <v>5096</v>
      </c>
      <c r="AG89" s="35"/>
      <c r="AH89" s="35"/>
      <c r="AI89" s="35"/>
      <c r="AJ89" s="16"/>
      <c r="AK89" s="16"/>
      <c r="AL89" s="16"/>
      <c r="AM89" s="17"/>
      <c r="AN89" s="16"/>
      <c r="AO89" s="75"/>
      <c r="AP89" s="75"/>
      <c r="AQ89" s="27"/>
      <c r="AR89" s="319"/>
      <c r="AS89" s="10"/>
      <c r="AT89" s="5" t="str">
        <f>IF(Tabla1015[[#This Row],[FECHA]]="","",VLOOKUP(TEXT(Tabla1015[[#This Row],[FECHA]],"[$-C0A]dddd"),Tabla2[#All],2,FALSE)&amp;"-"&amp;TEXT(Tabla1015[[#This Row],[FECHA]],"[$-C0A]dddd"))</f>
        <v>5-viernes</v>
      </c>
      <c r="AU89" s="322">
        <f>COUNTIF($Z$4:Z89,Z89)</f>
        <v>1</v>
      </c>
      <c r="AW89" s="58"/>
    </row>
    <row r="90" spans="2:49" s="61" customFormat="1" ht="26.25" customHeight="1">
      <c r="O90" s="60"/>
      <c r="Q90" s="145"/>
      <c r="S90" s="184" t="str">
        <f t="shared" si="1"/>
        <v>LINEA AUTOMATICA HACOS 2-3</v>
      </c>
      <c r="T90" s="22">
        <v>45947</v>
      </c>
      <c r="U90" s="16" t="s">
        <v>191</v>
      </c>
      <c r="V90" s="16" t="s">
        <v>23</v>
      </c>
      <c r="W90" s="381" t="s">
        <v>5097</v>
      </c>
      <c r="X90" s="381" t="s">
        <v>5098</v>
      </c>
      <c r="Y90" s="380">
        <v>1.388888888888884E-2</v>
      </c>
      <c r="Z90" s="16" t="s">
        <v>270</v>
      </c>
      <c r="AA90" s="343" t="s">
        <v>3614</v>
      </c>
      <c r="AB90" s="115" t="s">
        <v>57</v>
      </c>
      <c r="AC90" s="115" t="s">
        <v>92</v>
      </c>
      <c r="AD90" s="114" t="s">
        <v>93</v>
      </c>
      <c r="AE90" s="35" t="s">
        <v>5099</v>
      </c>
      <c r="AF90" s="35" t="s">
        <v>5100</v>
      </c>
      <c r="AG90" s="35"/>
      <c r="AH90" s="35"/>
      <c r="AI90" s="35"/>
      <c r="AJ90" s="16"/>
      <c r="AK90" s="16"/>
      <c r="AL90" s="16"/>
      <c r="AM90" s="17"/>
      <c r="AN90" s="16"/>
      <c r="AO90" s="75"/>
      <c r="AP90" s="75"/>
      <c r="AQ90" s="27"/>
      <c r="AR90" s="319"/>
      <c r="AS90" s="10"/>
      <c r="AT90" s="5" t="str">
        <f>IF(Tabla1015[[#This Row],[FECHA]]="","",VLOOKUP(TEXT(Tabla1015[[#This Row],[FECHA]],"[$-C0A]dddd"),Tabla2[#All],2,FALSE)&amp;"-"&amp;TEXT(Tabla1015[[#This Row],[FECHA]],"[$-C0A]dddd"))</f>
        <v>5-viernes</v>
      </c>
      <c r="AU90" s="322">
        <f>COUNTIF($Z$4:Z90,Z90)</f>
        <v>3</v>
      </c>
      <c r="AW90" s="58"/>
    </row>
    <row r="91" spans="2:49" s="61" customFormat="1" ht="26.25" customHeight="1">
      <c r="B91" s="67"/>
      <c r="C91" s="60"/>
      <c r="D91" s="60"/>
      <c r="M91" s="57"/>
      <c r="O91" s="60"/>
      <c r="Q91" s="145"/>
      <c r="S91" s="184" t="str">
        <f t="shared" si="1"/>
        <v>LOCAL ANEXO-1</v>
      </c>
      <c r="T91" s="22">
        <v>45947</v>
      </c>
      <c r="U91" s="16" t="s">
        <v>191</v>
      </c>
      <c r="V91" s="16" t="s">
        <v>23</v>
      </c>
      <c r="W91" s="381" t="s">
        <v>3476</v>
      </c>
      <c r="X91" s="381" t="s">
        <v>5101</v>
      </c>
      <c r="Y91" s="380">
        <v>3.2638888888888884E-2</v>
      </c>
      <c r="Z91" s="16" t="s">
        <v>3242</v>
      </c>
      <c r="AA91" s="343" t="s">
        <v>3616</v>
      </c>
      <c r="AB91" s="115" t="s">
        <v>25</v>
      </c>
      <c r="AC91" s="115" t="s">
        <v>157</v>
      </c>
      <c r="AD91" s="114" t="s">
        <v>121</v>
      </c>
      <c r="AE91" s="35" t="s">
        <v>5102</v>
      </c>
      <c r="AF91" s="35" t="s">
        <v>121</v>
      </c>
      <c r="AG91" s="35"/>
      <c r="AH91" s="35"/>
      <c r="AI91" s="35"/>
      <c r="AJ91" s="16"/>
      <c r="AK91" s="16"/>
      <c r="AL91" s="16"/>
      <c r="AM91" s="17"/>
      <c r="AN91" s="16"/>
      <c r="AO91" s="75"/>
      <c r="AP91" s="75"/>
      <c r="AQ91" s="27"/>
      <c r="AR91" s="319"/>
      <c r="AS91" s="10"/>
      <c r="AT91" s="5" t="str">
        <f>IF(Tabla1015[[#This Row],[FECHA]]="","",VLOOKUP(TEXT(Tabla1015[[#This Row],[FECHA]],"[$-C0A]dddd"),Tabla2[#All],2,FALSE)&amp;"-"&amp;TEXT(Tabla1015[[#This Row],[FECHA]],"[$-C0A]dddd"))</f>
        <v>5-viernes</v>
      </c>
      <c r="AU91" s="322">
        <f>COUNTIF($Z$4:Z91,Z91)</f>
        <v>1</v>
      </c>
      <c r="AW91" s="58"/>
    </row>
    <row r="92" spans="2:49" s="61" customFormat="1" ht="26.25" customHeight="1">
      <c r="B92" s="67"/>
      <c r="C92" s="60"/>
      <c r="D92" s="60"/>
      <c r="M92" s="57"/>
      <c r="O92" s="60"/>
      <c r="Q92" s="145"/>
      <c r="S92" s="184" t="str">
        <f t="shared" si="1"/>
        <v>LINEA AUTOMATICA HACOS 1-20</v>
      </c>
      <c r="T92" s="22">
        <v>45947</v>
      </c>
      <c r="U92" s="16" t="s">
        <v>191</v>
      </c>
      <c r="V92" s="16" t="s">
        <v>23</v>
      </c>
      <c r="W92" s="381" t="s">
        <v>620</v>
      </c>
      <c r="X92" s="381" t="s">
        <v>1842</v>
      </c>
      <c r="Y92" s="380">
        <v>3.6111111111111094E-2</v>
      </c>
      <c r="Z92" s="16" t="s">
        <v>119</v>
      </c>
      <c r="AA92" s="343" t="s">
        <v>3614</v>
      </c>
      <c r="AB92" s="115" t="s">
        <v>61</v>
      </c>
      <c r="AC92" s="115" t="s">
        <v>157</v>
      </c>
      <c r="AD92" s="114" t="s">
        <v>121</v>
      </c>
      <c r="AE92" s="35" t="s">
        <v>5103</v>
      </c>
      <c r="AF92" s="35" t="s">
        <v>5104</v>
      </c>
      <c r="AG92" s="35"/>
      <c r="AH92" s="35"/>
      <c r="AI92" s="35"/>
      <c r="AJ92" s="16"/>
      <c r="AK92" s="16"/>
      <c r="AL92" s="16"/>
      <c r="AM92" s="17"/>
      <c r="AN92" s="16"/>
      <c r="AO92" s="75"/>
      <c r="AP92" s="75"/>
      <c r="AQ92" s="27"/>
      <c r="AR92" s="319"/>
      <c r="AS92" s="10"/>
      <c r="AT92" s="5" t="str">
        <f>IF(Tabla1015[[#This Row],[FECHA]]="","",VLOOKUP(TEXT(Tabla1015[[#This Row],[FECHA]],"[$-C0A]dddd"),Tabla2[#All],2,FALSE)&amp;"-"&amp;TEXT(Tabla1015[[#This Row],[FECHA]],"[$-C0A]dddd"))</f>
        <v>5-viernes</v>
      </c>
      <c r="AU92" s="322">
        <f>COUNTIF($Z$4:Z92,Z92)</f>
        <v>20</v>
      </c>
      <c r="AW92" s="58"/>
    </row>
    <row r="93" spans="2:49" s="61" customFormat="1" ht="26.25" customHeight="1">
      <c r="B93" s="67"/>
      <c r="C93" s="60"/>
      <c r="D93" s="60"/>
      <c r="M93" s="57"/>
      <c r="O93" s="60"/>
      <c r="Q93" s="150"/>
      <c r="S93" s="184" t="str">
        <f t="shared" si="1"/>
        <v>ENVASADORA TEPACK-3</v>
      </c>
      <c r="T93" s="22">
        <v>45947</v>
      </c>
      <c r="U93" s="16" t="s">
        <v>191</v>
      </c>
      <c r="V93" s="16" t="s">
        <v>23</v>
      </c>
      <c r="W93" s="381" t="s">
        <v>1107</v>
      </c>
      <c r="X93" s="381" t="s">
        <v>5105</v>
      </c>
      <c r="Y93" s="380">
        <v>2.0138888888888928E-2</v>
      </c>
      <c r="Z93" s="16" t="s">
        <v>965</v>
      </c>
      <c r="AA93" s="343" t="s">
        <v>3614</v>
      </c>
      <c r="AB93" s="115" t="s">
        <v>57</v>
      </c>
      <c r="AC93" s="115" t="s">
        <v>92</v>
      </c>
      <c r="AD93" s="114" t="s">
        <v>93</v>
      </c>
      <c r="AE93" s="35" t="s">
        <v>5106</v>
      </c>
      <c r="AF93" s="35" t="s">
        <v>5107</v>
      </c>
      <c r="AG93" s="35"/>
      <c r="AH93" s="35"/>
      <c r="AI93" s="35"/>
      <c r="AJ93" s="16"/>
      <c r="AK93" s="16"/>
      <c r="AL93" s="16"/>
      <c r="AM93" s="17"/>
      <c r="AN93" s="16"/>
      <c r="AO93" s="75"/>
      <c r="AP93" s="75"/>
      <c r="AQ93" s="27"/>
      <c r="AR93" s="319"/>
      <c r="AS93" s="10"/>
      <c r="AT93" s="5" t="str">
        <f>IF(Tabla1015[[#This Row],[FECHA]]="","",VLOOKUP(TEXT(Tabla1015[[#This Row],[FECHA]],"[$-C0A]dddd"),Tabla2[#All],2,FALSE)&amp;"-"&amp;TEXT(Tabla1015[[#This Row],[FECHA]],"[$-C0A]dddd"))</f>
        <v>5-viernes</v>
      </c>
      <c r="AU93" s="322">
        <f>COUNTIF($Z$4:Z93,Z93)</f>
        <v>3</v>
      </c>
      <c r="AW93" s="59" t="s">
        <v>3679</v>
      </c>
    </row>
    <row r="94" spans="2:49" s="61" customFormat="1" ht="26.25" customHeight="1">
      <c r="B94" s="67"/>
      <c r="C94" s="60"/>
      <c r="D94" s="60"/>
      <c r="M94" s="57"/>
      <c r="O94" s="60"/>
      <c r="Q94" s="150"/>
      <c r="S94" s="184" t="str">
        <f t="shared" si="1"/>
        <v>EMP. FLOWPACK 1-4</v>
      </c>
      <c r="T94" s="22">
        <v>45947</v>
      </c>
      <c r="U94" s="16" t="s">
        <v>191</v>
      </c>
      <c r="V94" s="16" t="s">
        <v>23</v>
      </c>
      <c r="W94" s="381" t="s">
        <v>3457</v>
      </c>
      <c r="X94" s="381" t="s">
        <v>5108</v>
      </c>
      <c r="Y94" s="380">
        <v>2.2222222222222254E-2</v>
      </c>
      <c r="Z94" s="16" t="s">
        <v>438</v>
      </c>
      <c r="AA94" s="343" t="s">
        <v>3614</v>
      </c>
      <c r="AB94" s="115" t="s">
        <v>28</v>
      </c>
      <c r="AC94" s="115" t="s">
        <v>92</v>
      </c>
      <c r="AD94" s="114" t="s">
        <v>148</v>
      </c>
      <c r="AE94" s="35" t="s">
        <v>5109</v>
      </c>
      <c r="AF94" s="35" t="s">
        <v>5110</v>
      </c>
      <c r="AG94" s="35"/>
      <c r="AH94" s="35"/>
      <c r="AI94" s="35"/>
      <c r="AJ94" s="16"/>
      <c r="AK94" s="16"/>
      <c r="AL94" s="16"/>
      <c r="AM94" s="17"/>
      <c r="AN94" s="16"/>
      <c r="AO94" s="75"/>
      <c r="AP94" s="75"/>
      <c r="AQ94" s="27"/>
      <c r="AR94" s="319"/>
      <c r="AS94" s="10"/>
      <c r="AT94" s="5" t="str">
        <f>IF(Tabla1015[[#This Row],[FECHA]]="","",VLOOKUP(TEXT(Tabla1015[[#This Row],[FECHA]],"[$-C0A]dddd"),Tabla2[#All],2,FALSE)&amp;"-"&amp;TEXT(Tabla1015[[#This Row],[FECHA]],"[$-C0A]dddd"))</f>
        <v>5-viernes</v>
      </c>
      <c r="AU94" s="322">
        <f>COUNTIF($Z$4:Z94,Z94)</f>
        <v>4</v>
      </c>
      <c r="AW94" s="58" t="s">
        <v>3679</v>
      </c>
    </row>
    <row r="95" spans="2:49" s="61" customFormat="1" ht="26.25" customHeight="1">
      <c r="B95" s="67"/>
      <c r="C95" s="60"/>
      <c r="D95" s="60"/>
      <c r="M95" s="57"/>
      <c r="O95" s="60"/>
      <c r="Q95" s="150"/>
      <c r="S95" s="184" t="str">
        <f t="shared" si="1"/>
        <v>ENCELOFANADORA ECCOPAC-3</v>
      </c>
      <c r="T95" s="22">
        <v>45947</v>
      </c>
      <c r="U95" s="16" t="s">
        <v>191</v>
      </c>
      <c r="V95" s="16" t="s">
        <v>23</v>
      </c>
      <c r="W95" s="381" t="s">
        <v>1837</v>
      </c>
      <c r="X95" s="381" t="s">
        <v>5111</v>
      </c>
      <c r="Y95" s="380">
        <v>5.4166666666666696E-2</v>
      </c>
      <c r="Z95" s="16" t="s">
        <v>182</v>
      </c>
      <c r="AA95" s="343" t="s">
        <v>3614</v>
      </c>
      <c r="AB95" s="115" t="s">
        <v>32</v>
      </c>
      <c r="AC95" s="115" t="s">
        <v>157</v>
      </c>
      <c r="AD95" s="114" t="s">
        <v>121</v>
      </c>
      <c r="AE95" s="35" t="s">
        <v>5112</v>
      </c>
      <c r="AF95" s="35" t="s">
        <v>121</v>
      </c>
      <c r="AG95" s="35"/>
      <c r="AH95" s="35"/>
      <c r="AI95" s="35"/>
      <c r="AJ95" s="16"/>
      <c r="AK95" s="16"/>
      <c r="AL95" s="16"/>
      <c r="AM95" s="17"/>
      <c r="AN95" s="16"/>
      <c r="AO95" s="75"/>
      <c r="AP95" s="75"/>
      <c r="AQ95" s="27"/>
      <c r="AR95" s="319"/>
      <c r="AS95" s="10"/>
      <c r="AT95" s="5" t="str">
        <f>IF(Tabla1015[[#This Row],[FECHA]]="","",VLOOKUP(TEXT(Tabla1015[[#This Row],[FECHA]],"[$-C0A]dddd"),Tabla2[#All],2,FALSE)&amp;"-"&amp;TEXT(Tabla1015[[#This Row],[FECHA]],"[$-C0A]dddd"))</f>
        <v>5-viernes</v>
      </c>
      <c r="AU95" s="322">
        <f>COUNTIF($Z$4:Z95,Z95)</f>
        <v>3</v>
      </c>
      <c r="AW95" s="59" t="s">
        <v>3680</v>
      </c>
    </row>
    <row r="96" spans="2:49" ht="26.25" customHeight="1">
      <c r="M96" s="56"/>
      <c r="N96"/>
      <c r="O96" s="62"/>
      <c r="S96" s="184" t="str">
        <f t="shared" si="1"/>
        <v>LINEA DE COCCION HANSEL-3</v>
      </c>
      <c r="T96" s="22">
        <v>45948</v>
      </c>
      <c r="U96" s="16" t="s">
        <v>191</v>
      </c>
      <c r="V96" s="16" t="s">
        <v>23</v>
      </c>
      <c r="W96" s="381" t="s">
        <v>1861</v>
      </c>
      <c r="X96" s="381" t="s">
        <v>2317</v>
      </c>
      <c r="Y96" s="380">
        <v>2.7083333333333348E-2</v>
      </c>
      <c r="Z96" s="16" t="s">
        <v>256</v>
      </c>
      <c r="AA96" s="343" t="s">
        <v>3614</v>
      </c>
      <c r="AB96" s="115" t="s">
        <v>54</v>
      </c>
      <c r="AC96" s="115" t="s">
        <v>157</v>
      </c>
      <c r="AD96" s="114" t="s">
        <v>121</v>
      </c>
      <c r="AE96" s="35" t="s">
        <v>5113</v>
      </c>
      <c r="AF96" s="35" t="s">
        <v>121</v>
      </c>
      <c r="AG96" s="35"/>
      <c r="AH96" s="35"/>
      <c r="AI96" s="35"/>
      <c r="AJ96" s="16"/>
      <c r="AK96" s="16"/>
      <c r="AL96" s="16"/>
      <c r="AM96" s="17"/>
      <c r="AN96" s="16"/>
      <c r="AO96" s="75"/>
      <c r="AP96" s="75"/>
      <c r="AQ96" s="27"/>
      <c r="AR96" s="319"/>
      <c r="AS96" s="10"/>
      <c r="AT96" s="5" t="str">
        <f>IF(Tabla1015[[#This Row],[FECHA]]="","",VLOOKUP(TEXT(Tabla1015[[#This Row],[FECHA]],"[$-C0A]dddd"),Tabla2[#All],2,FALSE)&amp;"-"&amp;TEXT(Tabla1015[[#This Row],[FECHA]],"[$-C0A]dddd"))</f>
        <v>6-sábado</v>
      </c>
      <c r="AU96" s="322">
        <f>COUNTIF($Z$4:Z96,Z96)</f>
        <v>3</v>
      </c>
    </row>
    <row r="97" spans="19:47" ht="26.25" customHeight="1">
      <c r="S97" s="184" t="str">
        <f t="shared" si="1"/>
        <v/>
      </c>
      <c r="T97" s="26"/>
      <c r="U97" s="10"/>
      <c r="V97" s="10"/>
      <c r="W97" s="19"/>
      <c r="X97" s="19"/>
      <c r="Y97" s="77"/>
      <c r="Z97" s="10"/>
      <c r="AA97" s="343" t="str">
        <f>IFERROR(VLOOKUP(Z97,DATOS!$M$2:$N$219,2,FALSE),"")</f>
        <v/>
      </c>
      <c r="AB97" s="114"/>
      <c r="AC97" s="114"/>
      <c r="AD97" s="114"/>
      <c r="AE97" s="25"/>
      <c r="AF97" s="25"/>
      <c r="AG97" s="35"/>
      <c r="AH97" s="35"/>
      <c r="AI97" s="35"/>
      <c r="AJ97" s="16"/>
      <c r="AK97" s="16"/>
      <c r="AL97" s="16"/>
      <c r="AM97" s="17"/>
      <c r="AN97" s="16"/>
      <c r="AO97" s="75"/>
      <c r="AP97" s="75"/>
      <c r="AQ97" s="27"/>
      <c r="AR97" s="319"/>
      <c r="AS97" s="10"/>
      <c r="AT97" s="5" t="str">
        <f>IF(Tabla1015[[#This Row],[FECHA]]="","",VLOOKUP(TEXT(Tabla1015[[#This Row],[FECHA]],"[$-C0A]dddd"),Tabla2[#All],2,FALSE)&amp;"-"&amp;TEXT(Tabla1015[[#This Row],[FECHA]],"[$-C0A]dddd"))</f>
        <v/>
      </c>
      <c r="AU97" s="322">
        <f>COUNTIF($Z$4:Z97,Z97)</f>
        <v>0</v>
      </c>
    </row>
    <row r="98" spans="19:47" ht="26.25" customHeight="1">
      <c r="S98" s="184" t="str">
        <f t="shared" si="1"/>
        <v/>
      </c>
      <c r="T98" s="26"/>
      <c r="U98" s="10"/>
      <c r="V98" s="10"/>
      <c r="W98" s="19"/>
      <c r="X98" s="19"/>
      <c r="Y98" s="77"/>
      <c r="Z98" s="10"/>
      <c r="AA98" s="343" t="str">
        <f>IFERROR(VLOOKUP(Z98,DATOS!$M$2:$N$219,2,FALSE),"")</f>
        <v/>
      </c>
      <c r="AB98" s="114"/>
      <c r="AC98" s="114"/>
      <c r="AD98" s="114"/>
      <c r="AE98" s="25"/>
      <c r="AF98" s="25"/>
      <c r="AG98" s="35"/>
      <c r="AH98" s="35"/>
      <c r="AI98" s="35"/>
      <c r="AJ98" s="16"/>
      <c r="AK98" s="16"/>
      <c r="AL98" s="16"/>
      <c r="AM98" s="17"/>
      <c r="AN98" s="16"/>
      <c r="AO98" s="75"/>
      <c r="AP98" s="75"/>
      <c r="AQ98" s="27"/>
      <c r="AR98" s="319"/>
      <c r="AS98" s="10"/>
      <c r="AT98" s="5" t="str">
        <f>IF(Tabla1015[[#This Row],[FECHA]]="","",VLOOKUP(TEXT(Tabla1015[[#This Row],[FECHA]],"[$-C0A]dddd"),Tabla2[#All],2,FALSE)&amp;"-"&amp;TEXT(Tabla1015[[#This Row],[FECHA]],"[$-C0A]dddd"))</f>
        <v/>
      </c>
      <c r="AU98" s="322">
        <f>COUNTIF($Z$4:Z98,Z98)</f>
        <v>0</v>
      </c>
    </row>
    <row r="99" spans="19:47" ht="26.25" customHeight="1">
      <c r="S99" s="184" t="str">
        <f t="shared" si="1"/>
        <v/>
      </c>
      <c r="T99" s="26"/>
      <c r="U99" s="10"/>
      <c r="V99" s="10"/>
      <c r="W99" s="19"/>
      <c r="X99" s="19"/>
      <c r="Y99" s="77"/>
      <c r="Z99" s="10"/>
      <c r="AA99" s="343" t="str">
        <f>IFERROR(VLOOKUP(Z99,DATOS!$M$2:$N$219,2,FALSE),"")</f>
        <v/>
      </c>
      <c r="AB99" s="114"/>
      <c r="AC99" s="114"/>
      <c r="AD99" s="114"/>
      <c r="AE99" s="25"/>
      <c r="AF99" s="25"/>
      <c r="AG99" s="35"/>
      <c r="AH99" s="35"/>
      <c r="AI99" s="35"/>
      <c r="AJ99" s="16"/>
      <c r="AK99" s="16"/>
      <c r="AL99" s="16"/>
      <c r="AM99" s="17"/>
      <c r="AN99" s="16"/>
      <c r="AO99" s="75"/>
      <c r="AP99" s="75"/>
      <c r="AQ99" s="27"/>
      <c r="AR99" s="319"/>
      <c r="AS99" s="10"/>
      <c r="AT99" s="5" t="str">
        <f>IF(Tabla1015[[#This Row],[FECHA]]="","",VLOOKUP(TEXT(Tabla1015[[#This Row],[FECHA]],"[$-C0A]dddd"),Tabla2[#All],2,FALSE)&amp;"-"&amp;TEXT(Tabla1015[[#This Row],[FECHA]],"[$-C0A]dddd"))</f>
        <v/>
      </c>
      <c r="AU99" s="322">
        <f>COUNTIF($Z$4:Z99,Z99)</f>
        <v>0</v>
      </c>
    </row>
    <row r="100" spans="19:47" ht="26.25" customHeight="1">
      <c r="S100" s="184" t="str">
        <f t="shared" si="1"/>
        <v/>
      </c>
      <c r="T100" s="26"/>
      <c r="U100" s="10"/>
      <c r="V100" s="10"/>
      <c r="W100" s="19"/>
      <c r="X100" s="19"/>
      <c r="Y100" s="77"/>
      <c r="Z100" s="10"/>
      <c r="AA100" s="343" t="str">
        <f>IFERROR(VLOOKUP(Z100,DATOS!$M$2:$N$219,2,FALSE),"")</f>
        <v/>
      </c>
      <c r="AB100" s="114"/>
      <c r="AC100" s="114"/>
      <c r="AD100" s="114"/>
      <c r="AE100" s="25"/>
      <c r="AF100" s="25"/>
      <c r="AG100" s="35"/>
      <c r="AH100" s="35"/>
      <c r="AI100" s="35"/>
      <c r="AJ100" s="16"/>
      <c r="AK100" s="16"/>
      <c r="AL100" s="16"/>
      <c r="AM100" s="17"/>
      <c r="AN100" s="16"/>
      <c r="AO100" s="75"/>
      <c r="AP100" s="75"/>
      <c r="AQ100" s="27"/>
      <c r="AR100" s="319"/>
      <c r="AS100" s="10"/>
      <c r="AT100" s="5" t="str">
        <f>IF(Tabla1015[[#This Row],[FECHA]]="","",VLOOKUP(TEXT(Tabla1015[[#This Row],[FECHA]],"[$-C0A]dddd"),Tabla2[#All],2,FALSE)&amp;"-"&amp;TEXT(Tabla1015[[#This Row],[FECHA]],"[$-C0A]dddd"))</f>
        <v/>
      </c>
      <c r="AU100" s="322">
        <f>COUNTIF($Z$4:Z100,Z100)</f>
        <v>0</v>
      </c>
    </row>
    <row r="101" spans="19:47" ht="26.25" customHeight="1">
      <c r="S101" s="184" t="str">
        <f t="shared" si="1"/>
        <v/>
      </c>
      <c r="T101" s="26"/>
      <c r="U101" s="10"/>
      <c r="V101" s="10"/>
      <c r="W101" s="19"/>
      <c r="X101" s="19"/>
      <c r="Y101" s="77"/>
      <c r="Z101" s="10"/>
      <c r="AA101" s="343" t="str">
        <f>IFERROR(VLOOKUP(Z101,DATOS!$M$2:$N$219,2,FALSE),"")</f>
        <v/>
      </c>
      <c r="AB101" s="114"/>
      <c r="AC101" s="114"/>
      <c r="AD101" s="114"/>
      <c r="AE101" s="25"/>
      <c r="AF101" s="25"/>
      <c r="AG101" s="35"/>
      <c r="AH101" s="35"/>
      <c r="AI101" s="35"/>
      <c r="AJ101" s="16"/>
      <c r="AK101" s="16"/>
      <c r="AL101" s="16"/>
      <c r="AM101" s="17"/>
      <c r="AN101" s="16"/>
      <c r="AO101" s="75"/>
      <c r="AP101" s="75"/>
      <c r="AQ101" s="27"/>
      <c r="AR101" s="319"/>
      <c r="AS101" s="10"/>
      <c r="AT101" s="5" t="str">
        <f>IF(Tabla1015[[#This Row],[FECHA]]="","",VLOOKUP(TEXT(Tabla1015[[#This Row],[FECHA]],"[$-C0A]dddd"),Tabla2[#All],2,FALSE)&amp;"-"&amp;TEXT(Tabla1015[[#This Row],[FECHA]],"[$-C0A]dddd"))</f>
        <v/>
      </c>
      <c r="AU101" s="322">
        <f>COUNTIF($Z$4:Z101,Z101)</f>
        <v>0</v>
      </c>
    </row>
    <row r="102" spans="19:47" ht="26.25" customHeight="1">
      <c r="S102" s="184" t="str">
        <f t="shared" si="1"/>
        <v/>
      </c>
      <c r="T102" s="26"/>
      <c r="U102" s="10"/>
      <c r="V102" s="10"/>
      <c r="W102" s="19"/>
      <c r="X102" s="19"/>
      <c r="Y102" s="77"/>
      <c r="Z102" s="10"/>
      <c r="AA102" s="343" t="str">
        <f>IFERROR(VLOOKUP(Z102,DATOS!$M$2:$N$219,2,FALSE),"")</f>
        <v/>
      </c>
      <c r="AB102" s="114"/>
      <c r="AC102" s="114"/>
      <c r="AD102" s="114"/>
      <c r="AE102" s="25"/>
      <c r="AF102" s="25"/>
      <c r="AG102" s="35"/>
      <c r="AH102" s="35"/>
      <c r="AI102" s="35"/>
      <c r="AJ102" s="16"/>
      <c r="AK102" s="16"/>
      <c r="AL102" s="16"/>
      <c r="AM102" s="17"/>
      <c r="AN102" s="16"/>
      <c r="AO102" s="75"/>
      <c r="AP102" s="75"/>
      <c r="AQ102" s="27"/>
      <c r="AR102" s="319"/>
      <c r="AS102" s="10"/>
      <c r="AT102" s="5" t="str">
        <f>IF(Tabla1015[[#This Row],[FECHA]]="","",VLOOKUP(TEXT(Tabla1015[[#This Row],[FECHA]],"[$-C0A]dddd"),Tabla2[#All],2,FALSE)&amp;"-"&amp;TEXT(Tabla1015[[#This Row],[FECHA]],"[$-C0A]dddd"))</f>
        <v/>
      </c>
      <c r="AU102" s="322">
        <f>COUNTIF($Z$4:Z102,Z102)</f>
        <v>0</v>
      </c>
    </row>
    <row r="103" spans="19:47" ht="26.25" customHeight="1">
      <c r="S103" s="184" t="str">
        <f t="shared" si="1"/>
        <v/>
      </c>
      <c r="T103" s="26"/>
      <c r="U103" s="10"/>
      <c r="V103" s="10"/>
      <c r="W103" s="19"/>
      <c r="X103" s="19"/>
      <c r="Y103" s="77"/>
      <c r="Z103" s="10"/>
      <c r="AA103" s="343" t="str">
        <f>IFERROR(VLOOKUP(Z103,DATOS!$M$2:$N$219,2,FALSE),"")</f>
        <v/>
      </c>
      <c r="AB103" s="114"/>
      <c r="AC103" s="114"/>
      <c r="AD103" s="114"/>
      <c r="AE103" s="25"/>
      <c r="AF103" s="25"/>
      <c r="AG103" s="35"/>
      <c r="AH103" s="35"/>
      <c r="AI103" s="35"/>
      <c r="AJ103" s="16"/>
      <c r="AK103" s="16"/>
      <c r="AL103" s="16"/>
      <c r="AM103" s="17"/>
      <c r="AN103" s="16"/>
      <c r="AO103" s="75"/>
      <c r="AP103" s="75"/>
      <c r="AQ103" s="27"/>
      <c r="AR103" s="319"/>
      <c r="AS103" s="10"/>
      <c r="AT103" s="5" t="str">
        <f>IF(Tabla1015[[#This Row],[FECHA]]="","",VLOOKUP(TEXT(Tabla1015[[#This Row],[FECHA]],"[$-C0A]dddd"),Tabla2[#All],2,FALSE)&amp;"-"&amp;TEXT(Tabla1015[[#This Row],[FECHA]],"[$-C0A]dddd"))</f>
        <v/>
      </c>
      <c r="AU103" s="322">
        <f>COUNTIF($Z$4:Z103,Z103)</f>
        <v>0</v>
      </c>
    </row>
    <row r="104" spans="19:47" ht="26.25" customHeight="1">
      <c r="S104" s="184" t="str">
        <f t="shared" si="1"/>
        <v/>
      </c>
      <c r="T104" s="26"/>
      <c r="U104" s="10"/>
      <c r="V104" s="10"/>
      <c r="W104" s="19"/>
      <c r="X104" s="19"/>
      <c r="Y104" s="77"/>
      <c r="Z104" s="10"/>
      <c r="AA104" s="343" t="str">
        <f>IFERROR(VLOOKUP(Z104,DATOS!$M$2:$N$219,2,FALSE),"")</f>
        <v/>
      </c>
      <c r="AB104" s="114"/>
      <c r="AC104" s="114"/>
      <c r="AD104" s="114"/>
      <c r="AE104" s="25"/>
      <c r="AF104" s="25"/>
      <c r="AG104" s="35"/>
      <c r="AH104" s="35"/>
      <c r="AI104" s="35"/>
      <c r="AJ104" s="16"/>
      <c r="AK104" s="16"/>
      <c r="AL104" s="16"/>
      <c r="AM104" s="17"/>
      <c r="AN104" s="16"/>
      <c r="AO104" s="75"/>
      <c r="AP104" s="75"/>
      <c r="AQ104" s="27"/>
      <c r="AR104" s="319"/>
      <c r="AS104" s="10"/>
      <c r="AT104" s="5" t="str">
        <f>IF(Tabla1015[[#This Row],[FECHA]]="","",VLOOKUP(TEXT(Tabla1015[[#This Row],[FECHA]],"[$-C0A]dddd"),Tabla2[#All],2,FALSE)&amp;"-"&amp;TEXT(Tabla1015[[#This Row],[FECHA]],"[$-C0A]dddd"))</f>
        <v/>
      </c>
      <c r="AU104" s="322">
        <f>COUNTIF($Z$4:Z104,Z104)</f>
        <v>0</v>
      </c>
    </row>
    <row r="105" spans="19:47" ht="26.25" customHeight="1">
      <c r="S105" s="184" t="str">
        <f t="shared" si="1"/>
        <v/>
      </c>
      <c r="T105" s="26"/>
      <c r="U105" s="10"/>
      <c r="V105" s="10"/>
      <c r="W105" s="19"/>
      <c r="X105" s="19"/>
      <c r="Y105" s="77"/>
      <c r="Z105" s="10"/>
      <c r="AA105" s="343" t="str">
        <f>IFERROR(VLOOKUP(Z105,DATOS!$M$2:$N$219,2,FALSE),"")</f>
        <v/>
      </c>
      <c r="AB105" s="114"/>
      <c r="AC105" s="114"/>
      <c r="AD105" s="114"/>
      <c r="AE105" s="25"/>
      <c r="AF105" s="25"/>
      <c r="AG105" s="35"/>
      <c r="AH105" s="35"/>
      <c r="AI105" s="35"/>
      <c r="AJ105" s="16"/>
      <c r="AK105" s="16"/>
      <c r="AL105" s="16"/>
      <c r="AM105" s="17"/>
      <c r="AN105" s="16"/>
      <c r="AO105" s="75"/>
      <c r="AP105" s="75"/>
      <c r="AQ105" s="27"/>
      <c r="AR105" s="319"/>
      <c r="AS105" s="10"/>
      <c r="AT105" s="5" t="str">
        <f>IF(Tabla1015[[#This Row],[FECHA]]="","",VLOOKUP(TEXT(Tabla1015[[#This Row],[FECHA]],"[$-C0A]dddd"),Tabla2[#All],2,FALSE)&amp;"-"&amp;TEXT(Tabla1015[[#This Row],[FECHA]],"[$-C0A]dddd"))</f>
        <v/>
      </c>
      <c r="AU105" s="322">
        <f>COUNTIF($Z$4:Z105,Z105)</f>
        <v>0</v>
      </c>
    </row>
    <row r="106" spans="19:47" ht="26.25" customHeight="1">
      <c r="S106" s="184" t="str">
        <f t="shared" si="1"/>
        <v/>
      </c>
      <c r="T106" s="26"/>
      <c r="U106" s="10"/>
      <c r="V106" s="10"/>
      <c r="W106" s="19"/>
      <c r="X106" s="19"/>
      <c r="Y106" s="77"/>
      <c r="Z106" s="10"/>
      <c r="AA106" s="343" t="str">
        <f>IFERROR(VLOOKUP(Z106,DATOS!$M$2:$N$219,2,FALSE),"")</f>
        <v/>
      </c>
      <c r="AB106" s="114"/>
      <c r="AC106" s="114"/>
      <c r="AD106" s="114"/>
      <c r="AE106" s="25"/>
      <c r="AF106" s="25"/>
      <c r="AG106" s="35"/>
      <c r="AH106" s="35"/>
      <c r="AI106" s="35"/>
      <c r="AJ106" s="16"/>
      <c r="AK106" s="16"/>
      <c r="AL106" s="16"/>
      <c r="AM106" s="17"/>
      <c r="AN106" s="16"/>
      <c r="AO106" s="75"/>
      <c r="AP106" s="75"/>
      <c r="AQ106" s="27"/>
      <c r="AR106" s="319"/>
      <c r="AS106" s="10"/>
      <c r="AT106" s="5" t="str">
        <f>IF(Tabla1015[[#This Row],[FECHA]]="","",VLOOKUP(TEXT(Tabla1015[[#This Row],[FECHA]],"[$-C0A]dddd"),Tabla2[#All],2,FALSE)&amp;"-"&amp;TEXT(Tabla1015[[#This Row],[FECHA]],"[$-C0A]dddd"))</f>
        <v/>
      </c>
      <c r="AU106" s="322">
        <f>COUNTIF($Z$4:Z106,Z106)</f>
        <v>0</v>
      </c>
    </row>
    <row r="107" spans="19:47" ht="26.25" customHeight="1">
      <c r="S107" s="184" t="str">
        <f t="shared" si="1"/>
        <v/>
      </c>
      <c r="T107" s="26"/>
      <c r="U107" s="10"/>
      <c r="V107" s="10"/>
      <c r="W107" s="19"/>
      <c r="X107" s="19"/>
      <c r="Y107" s="77"/>
      <c r="Z107" s="10"/>
      <c r="AA107" s="343" t="str">
        <f>IFERROR(VLOOKUP(Z107,DATOS!$M$2:$N$219,2,FALSE),"")</f>
        <v/>
      </c>
      <c r="AB107" s="114"/>
      <c r="AC107" s="114"/>
      <c r="AD107" s="114"/>
      <c r="AE107" s="25"/>
      <c r="AF107" s="25"/>
      <c r="AG107" s="35"/>
      <c r="AH107" s="35"/>
      <c r="AI107" s="35"/>
      <c r="AJ107" s="16"/>
      <c r="AK107" s="16"/>
      <c r="AL107" s="16"/>
      <c r="AM107" s="17"/>
      <c r="AN107" s="16"/>
      <c r="AO107" s="75"/>
      <c r="AP107" s="75"/>
      <c r="AQ107" s="27"/>
      <c r="AR107" s="319"/>
      <c r="AS107" s="10"/>
      <c r="AT107" s="5" t="str">
        <f>IF(Tabla1015[[#This Row],[FECHA]]="","",VLOOKUP(TEXT(Tabla1015[[#This Row],[FECHA]],"[$-C0A]dddd"),Tabla2[#All],2,FALSE)&amp;"-"&amp;TEXT(Tabla1015[[#This Row],[FECHA]],"[$-C0A]dddd"))</f>
        <v/>
      </c>
      <c r="AU107" s="322">
        <f>COUNTIF($Z$4:Z107,Z107)</f>
        <v>0</v>
      </c>
    </row>
    <row r="108" spans="19:47" ht="26.25" customHeight="1">
      <c r="S108" s="184" t="str">
        <f t="shared" si="1"/>
        <v/>
      </c>
      <c r="T108" s="26"/>
      <c r="U108" s="10"/>
      <c r="V108" s="10"/>
      <c r="W108" s="19"/>
      <c r="X108" s="19"/>
      <c r="Y108" s="77"/>
      <c r="Z108" s="10"/>
      <c r="AA108" s="343" t="str">
        <f>IFERROR(VLOOKUP(Z108,DATOS!$M$2:$N$219,2,FALSE),"")</f>
        <v/>
      </c>
      <c r="AB108" s="114"/>
      <c r="AC108" s="114"/>
      <c r="AD108" s="114"/>
      <c r="AE108" s="25"/>
      <c r="AF108" s="25"/>
      <c r="AG108" s="35"/>
      <c r="AH108" s="35"/>
      <c r="AI108" s="35"/>
      <c r="AJ108" s="16"/>
      <c r="AK108" s="16"/>
      <c r="AL108" s="16"/>
      <c r="AM108" s="17"/>
      <c r="AN108" s="16"/>
      <c r="AO108" s="75"/>
      <c r="AP108" s="75"/>
      <c r="AQ108" s="27"/>
      <c r="AR108" s="319"/>
      <c r="AS108" s="10"/>
      <c r="AT108" s="5" t="str">
        <f>IF(Tabla1015[[#This Row],[FECHA]]="","",VLOOKUP(TEXT(Tabla1015[[#This Row],[FECHA]],"[$-C0A]dddd"),Tabla2[#All],2,FALSE)&amp;"-"&amp;TEXT(Tabla1015[[#This Row],[FECHA]],"[$-C0A]dddd"))</f>
        <v/>
      </c>
      <c r="AU108" s="322">
        <f>COUNTIF($Z$4:Z108,Z108)</f>
        <v>0</v>
      </c>
    </row>
    <row r="109" spans="19:47" ht="26.25" customHeight="1">
      <c r="S109" s="184" t="str">
        <f t="shared" si="1"/>
        <v/>
      </c>
      <c r="T109" s="26"/>
      <c r="U109" s="10"/>
      <c r="V109" s="10"/>
      <c r="W109" s="19"/>
      <c r="X109" s="19"/>
      <c r="Y109" s="77"/>
      <c r="Z109" s="10"/>
      <c r="AA109" s="343" t="str">
        <f>IFERROR(VLOOKUP(Z109,DATOS!$M$2:$N$219,2,FALSE),"")</f>
        <v/>
      </c>
      <c r="AB109" s="114"/>
      <c r="AC109" s="114"/>
      <c r="AD109" s="114"/>
      <c r="AE109" s="25"/>
      <c r="AF109" s="25"/>
      <c r="AG109" s="35"/>
      <c r="AH109" s="35"/>
      <c r="AI109" s="35"/>
      <c r="AJ109" s="16"/>
      <c r="AK109" s="16"/>
      <c r="AL109" s="16"/>
      <c r="AM109" s="17"/>
      <c r="AN109" s="16"/>
      <c r="AO109" s="75"/>
      <c r="AP109" s="75"/>
      <c r="AQ109" s="27"/>
      <c r="AR109" s="319"/>
      <c r="AS109" s="10"/>
      <c r="AT109" s="5" t="str">
        <f>IF(Tabla1015[[#This Row],[FECHA]]="","",VLOOKUP(TEXT(Tabla1015[[#This Row],[FECHA]],"[$-C0A]dddd"),Tabla2[#All],2,FALSE)&amp;"-"&amp;TEXT(Tabla1015[[#This Row],[FECHA]],"[$-C0A]dddd"))</f>
        <v/>
      </c>
      <c r="AU109" s="322">
        <f>COUNTIF($Z$4:Z109,Z109)</f>
        <v>0</v>
      </c>
    </row>
    <row r="110" spans="19:47" ht="26.25" customHeight="1">
      <c r="S110" s="184" t="str">
        <f t="shared" si="1"/>
        <v/>
      </c>
      <c r="T110" s="26"/>
      <c r="U110" s="10"/>
      <c r="V110" s="10"/>
      <c r="W110" s="19"/>
      <c r="X110" s="19"/>
      <c r="Y110" s="77"/>
      <c r="Z110" s="10"/>
      <c r="AA110" s="343" t="str">
        <f>IFERROR(VLOOKUP(Z110,DATOS!$M$2:$N$219,2,FALSE),"")</f>
        <v/>
      </c>
      <c r="AB110" s="114"/>
      <c r="AC110" s="114"/>
      <c r="AD110" s="114"/>
      <c r="AE110" s="25"/>
      <c r="AF110" s="25"/>
      <c r="AG110" s="35"/>
      <c r="AH110" s="35"/>
      <c r="AI110" s="35"/>
      <c r="AJ110" s="16"/>
      <c r="AK110" s="16"/>
      <c r="AL110" s="16"/>
      <c r="AM110" s="17"/>
      <c r="AN110" s="16"/>
      <c r="AO110" s="75"/>
      <c r="AP110" s="75"/>
      <c r="AQ110" s="27"/>
      <c r="AR110" s="319"/>
      <c r="AS110" s="10"/>
      <c r="AT110" s="5" t="str">
        <f>IF(Tabla1015[[#This Row],[FECHA]]="","",VLOOKUP(TEXT(Tabla1015[[#This Row],[FECHA]],"[$-C0A]dddd"),Tabla2[#All],2,FALSE)&amp;"-"&amp;TEXT(Tabla1015[[#This Row],[FECHA]],"[$-C0A]dddd"))</f>
        <v/>
      </c>
      <c r="AU110" s="322">
        <f>COUNTIF($Z$4:Z110,Z110)</f>
        <v>0</v>
      </c>
    </row>
    <row r="111" spans="19:47" ht="26.25" customHeight="1">
      <c r="S111" s="184" t="str">
        <f t="shared" si="1"/>
        <v/>
      </c>
      <c r="T111" s="26"/>
      <c r="U111" s="10"/>
      <c r="V111" s="10"/>
      <c r="W111" s="19"/>
      <c r="X111" s="19"/>
      <c r="Y111" s="77"/>
      <c r="Z111" s="10"/>
      <c r="AA111" s="343" t="str">
        <f>IFERROR(VLOOKUP(Z111,DATOS!$M$2:$N$219,2,FALSE),"")</f>
        <v/>
      </c>
      <c r="AB111" s="114"/>
      <c r="AC111" s="114"/>
      <c r="AD111" s="114"/>
      <c r="AE111" s="25"/>
      <c r="AF111" s="25"/>
      <c r="AG111" s="35"/>
      <c r="AH111" s="35"/>
      <c r="AI111" s="35"/>
      <c r="AJ111" s="16"/>
      <c r="AK111" s="16"/>
      <c r="AL111" s="16"/>
      <c r="AM111" s="17"/>
      <c r="AN111" s="16"/>
      <c r="AO111" s="75"/>
      <c r="AP111" s="75"/>
      <c r="AQ111" s="27"/>
      <c r="AR111" s="319"/>
      <c r="AS111" s="10"/>
      <c r="AT111" s="5" t="str">
        <f>IF(Tabla1015[[#This Row],[FECHA]]="","",VLOOKUP(TEXT(Tabla1015[[#This Row],[FECHA]],"[$-C0A]dddd"),Tabla2[#All],2,FALSE)&amp;"-"&amp;TEXT(Tabla1015[[#This Row],[FECHA]],"[$-C0A]dddd"))</f>
        <v/>
      </c>
      <c r="AU111" s="322">
        <f>COUNTIF($Z$4:Z111,Z111)</f>
        <v>0</v>
      </c>
    </row>
    <row r="112" spans="19:47" ht="26.25" customHeight="1">
      <c r="S112" s="184" t="str">
        <f t="shared" si="1"/>
        <v/>
      </c>
      <c r="T112" s="26"/>
      <c r="U112" s="10"/>
      <c r="V112" s="10"/>
      <c r="W112" s="19"/>
      <c r="X112" s="19"/>
      <c r="Y112" s="77"/>
      <c r="Z112" s="10"/>
      <c r="AA112" s="343" t="str">
        <f>IFERROR(VLOOKUP(Z112,DATOS!$M$2:$N$219,2,FALSE),"")</f>
        <v/>
      </c>
      <c r="AB112" s="114"/>
      <c r="AC112" s="114"/>
      <c r="AD112" s="114"/>
      <c r="AE112" s="25"/>
      <c r="AF112" s="25"/>
      <c r="AG112" s="35"/>
      <c r="AH112" s="35"/>
      <c r="AI112" s="35"/>
      <c r="AJ112" s="16"/>
      <c r="AK112" s="16"/>
      <c r="AL112" s="16"/>
      <c r="AM112" s="17"/>
      <c r="AN112" s="16"/>
      <c r="AO112" s="75"/>
      <c r="AP112" s="75"/>
      <c r="AQ112" s="27"/>
      <c r="AR112" s="319"/>
      <c r="AS112" s="10"/>
      <c r="AT112" s="5" t="str">
        <f>IF(Tabla1015[[#This Row],[FECHA]]="","",VLOOKUP(TEXT(Tabla1015[[#This Row],[FECHA]],"[$-C0A]dddd"),Tabla2[#All],2,FALSE)&amp;"-"&amp;TEXT(Tabla1015[[#This Row],[FECHA]],"[$-C0A]dddd"))</f>
        <v/>
      </c>
      <c r="AU112" s="322">
        <f>COUNTIF($Z$4:Z112,Z112)</f>
        <v>0</v>
      </c>
    </row>
    <row r="113" spans="2:47" ht="29.25" customHeight="1">
      <c r="S113" s="184" t="str">
        <f t="shared" si="1"/>
        <v/>
      </c>
      <c r="T113" s="26"/>
      <c r="U113" s="10"/>
      <c r="V113" s="10"/>
      <c r="W113" s="19"/>
      <c r="X113" s="19"/>
      <c r="Y113" s="77"/>
      <c r="Z113" s="10"/>
      <c r="AA113" s="343" t="str">
        <f>IFERROR(VLOOKUP(Z113,DATOS!$M$2:$N$219,2,FALSE),"")</f>
        <v/>
      </c>
      <c r="AB113" s="114"/>
      <c r="AC113" s="114"/>
      <c r="AD113" s="114"/>
      <c r="AE113" s="25"/>
      <c r="AF113" s="25"/>
      <c r="AG113" s="35"/>
      <c r="AH113" s="35"/>
      <c r="AI113" s="35"/>
      <c r="AJ113" s="16"/>
      <c r="AK113" s="16"/>
      <c r="AL113" s="16"/>
      <c r="AM113" s="17"/>
      <c r="AN113" s="16"/>
      <c r="AO113" s="75"/>
      <c r="AP113" s="75"/>
      <c r="AQ113" s="27"/>
      <c r="AR113" s="319"/>
      <c r="AS113" s="10"/>
      <c r="AT113" s="5" t="str">
        <f>IF(Tabla1015[[#This Row],[FECHA]]="","",VLOOKUP(TEXT(Tabla1015[[#This Row],[FECHA]],"[$-C0A]dddd"),Tabla2[#All],2,FALSE)&amp;"-"&amp;TEXT(Tabla1015[[#This Row],[FECHA]],"[$-C0A]dddd"))</f>
        <v/>
      </c>
      <c r="AU113" s="322">
        <f>COUNTIF($Z$4:Z113,Z113)</f>
        <v>0</v>
      </c>
    </row>
    <row r="114" spans="2:47" ht="29.25" customHeight="1">
      <c r="B114" s="778"/>
      <c r="C114" s="778"/>
      <c r="D114" s="256"/>
      <c r="E114" s="778"/>
      <c r="F114" s="778"/>
      <c r="G114" s="782" t="s">
        <v>4959</v>
      </c>
      <c r="H114" s="782"/>
      <c r="I114" s="782"/>
      <c r="J114" s="782"/>
      <c r="K114" s="782"/>
      <c r="L114" s="782"/>
      <c r="M114" s="778" t="str">
        <f ca="1">+CONCATENATE("SEMANA -",WEEKNUM(TODAY()-7))</f>
        <v>SEMANA -26</v>
      </c>
      <c r="S114" s="184" t="str">
        <f t="shared" si="1"/>
        <v/>
      </c>
      <c r="T114" s="26"/>
      <c r="U114" s="10"/>
      <c r="V114" s="10"/>
      <c r="W114" s="19"/>
      <c r="X114" s="19"/>
      <c r="Y114" s="77"/>
      <c r="Z114" s="10"/>
      <c r="AA114" s="343" t="str">
        <f>IFERROR(VLOOKUP(Z114,DATOS!$M$2:$N$219,2,FALSE),"")</f>
        <v/>
      </c>
      <c r="AB114" s="114"/>
      <c r="AC114" s="114"/>
      <c r="AD114" s="114"/>
      <c r="AE114" s="25"/>
      <c r="AF114" s="25"/>
      <c r="AG114" s="35"/>
      <c r="AH114" s="35"/>
      <c r="AI114" s="35"/>
      <c r="AJ114" s="16"/>
      <c r="AK114" s="16"/>
      <c r="AL114" s="16"/>
      <c r="AM114" s="17"/>
      <c r="AN114" s="16"/>
      <c r="AO114" s="75"/>
      <c r="AP114" s="75"/>
      <c r="AQ114" s="27"/>
      <c r="AR114" s="319"/>
      <c r="AS114" s="10"/>
      <c r="AT114" s="5" t="str">
        <f>IF(Tabla1015[[#This Row],[FECHA]]="","",VLOOKUP(TEXT(Tabla1015[[#This Row],[FECHA]],"[$-C0A]dddd"),Tabla2[#All],2,FALSE)&amp;"-"&amp;TEXT(Tabla1015[[#This Row],[FECHA]],"[$-C0A]dddd"))</f>
        <v/>
      </c>
      <c r="AU114" s="322">
        <f>COUNTIF($Z$4:Z114,Z114)</f>
        <v>0</v>
      </c>
    </row>
    <row r="115" spans="2:47" ht="29.25" customHeight="1">
      <c r="B115" s="778"/>
      <c r="C115" s="778"/>
      <c r="D115" s="256"/>
      <c r="E115" s="778"/>
      <c r="F115" s="778"/>
      <c r="G115" s="782"/>
      <c r="H115" s="782"/>
      <c r="I115" s="782"/>
      <c r="J115" s="782"/>
      <c r="K115" s="782"/>
      <c r="L115" s="782"/>
      <c r="M115" s="778"/>
      <c r="S115" s="184" t="str">
        <f t="shared" si="1"/>
        <v/>
      </c>
      <c r="T115" s="26"/>
      <c r="U115" s="10"/>
      <c r="V115" s="10"/>
      <c r="W115" s="19"/>
      <c r="X115" s="19"/>
      <c r="Y115" s="77"/>
      <c r="Z115" s="10"/>
      <c r="AA115" s="343" t="str">
        <f>IFERROR(VLOOKUP(Z115,DATOS!$M$2:$N$219,2,FALSE),"")</f>
        <v/>
      </c>
      <c r="AB115" s="114"/>
      <c r="AC115" s="114"/>
      <c r="AD115" s="114"/>
      <c r="AE115" s="25"/>
      <c r="AF115" s="25"/>
      <c r="AG115" s="35"/>
      <c r="AH115" s="35"/>
      <c r="AI115" s="35"/>
      <c r="AJ115" s="16"/>
      <c r="AK115" s="16"/>
      <c r="AL115" s="16"/>
      <c r="AM115" s="17"/>
      <c r="AN115" s="16"/>
      <c r="AO115" s="75"/>
      <c r="AP115" s="75"/>
      <c r="AQ115" s="27"/>
      <c r="AR115" s="319"/>
      <c r="AS115" s="10"/>
      <c r="AT115" s="5" t="str">
        <f>IF(Tabla1015[[#This Row],[FECHA]]="","",VLOOKUP(TEXT(Tabla1015[[#This Row],[FECHA]],"[$-C0A]dddd"),Tabla2[#All],2,FALSE)&amp;"-"&amp;TEXT(Tabla1015[[#This Row],[FECHA]],"[$-C0A]dddd"))</f>
        <v/>
      </c>
      <c r="AU115" s="322">
        <f>COUNTIF($Z$4:Z115,Z115)</f>
        <v>0</v>
      </c>
    </row>
    <row r="116" spans="2:47" ht="29.25" customHeight="1">
      <c r="B116" s="778"/>
      <c r="C116" s="778"/>
      <c r="D116" s="256"/>
      <c r="E116" s="778"/>
      <c r="F116" s="778"/>
      <c r="G116" s="782"/>
      <c r="H116" s="782"/>
      <c r="I116" s="782"/>
      <c r="J116" s="782"/>
      <c r="K116" s="782"/>
      <c r="L116" s="782"/>
      <c r="M116" s="778"/>
      <c r="S116" s="184" t="str">
        <f t="shared" si="1"/>
        <v/>
      </c>
      <c r="T116" s="26"/>
      <c r="U116" s="10"/>
      <c r="V116" s="10"/>
      <c r="W116" s="19"/>
      <c r="X116" s="19"/>
      <c r="Y116" s="77"/>
      <c r="Z116" s="10"/>
      <c r="AA116" s="343" t="str">
        <f>IFERROR(VLOOKUP(Z116,DATOS!$M$2:$N$219,2,FALSE),"")</f>
        <v/>
      </c>
      <c r="AB116" s="114"/>
      <c r="AC116" s="114"/>
      <c r="AD116" s="114"/>
      <c r="AE116" s="25"/>
      <c r="AF116" s="25"/>
      <c r="AG116" s="35"/>
      <c r="AH116" s="35"/>
      <c r="AI116" s="35"/>
      <c r="AJ116" s="16"/>
      <c r="AK116" s="16"/>
      <c r="AL116" s="16"/>
      <c r="AM116" s="17"/>
      <c r="AN116" s="16"/>
      <c r="AO116" s="75"/>
      <c r="AP116" s="75"/>
      <c r="AQ116" s="27"/>
      <c r="AR116" s="319"/>
      <c r="AS116" s="10"/>
      <c r="AT116" s="5" t="str">
        <f>IF(Tabla1015[[#This Row],[FECHA]]="","",VLOOKUP(TEXT(Tabla1015[[#This Row],[FECHA]],"[$-C0A]dddd"),Tabla2[#All],2,FALSE)&amp;"-"&amp;TEXT(Tabla1015[[#This Row],[FECHA]],"[$-C0A]dddd"))</f>
        <v/>
      </c>
      <c r="AU116" s="322">
        <f>COUNTIF($Z$4:Z116,Z116)</f>
        <v>0</v>
      </c>
    </row>
    <row r="117" spans="2:47" ht="29.25" customHeight="1">
      <c r="B117" s="778"/>
      <c r="C117" s="778"/>
      <c r="D117" s="256"/>
      <c r="E117" s="778"/>
      <c r="F117" s="778"/>
      <c r="G117" s="782"/>
      <c r="H117" s="782"/>
      <c r="I117" s="782"/>
      <c r="J117" s="782"/>
      <c r="K117" s="782"/>
      <c r="L117" s="782"/>
      <c r="M117" s="778"/>
      <c r="S117" s="184" t="str">
        <f t="shared" si="1"/>
        <v/>
      </c>
      <c r="T117" s="26"/>
      <c r="U117" s="10"/>
      <c r="V117" s="10"/>
      <c r="W117" s="19"/>
      <c r="X117" s="19"/>
      <c r="Y117" s="77"/>
      <c r="Z117" s="10"/>
      <c r="AA117" s="343" t="str">
        <f>IFERROR(VLOOKUP(Z117,DATOS!$M$2:$N$219,2,FALSE),"")</f>
        <v/>
      </c>
      <c r="AB117" s="114"/>
      <c r="AC117" s="114"/>
      <c r="AD117" s="114"/>
      <c r="AE117" s="25"/>
      <c r="AF117" s="25"/>
      <c r="AG117" s="35"/>
      <c r="AH117" s="35"/>
      <c r="AI117" s="35"/>
      <c r="AJ117" s="16"/>
      <c r="AK117" s="16"/>
      <c r="AL117" s="16"/>
      <c r="AM117" s="17"/>
      <c r="AN117" s="16"/>
      <c r="AO117" s="75"/>
      <c r="AP117" s="75"/>
      <c r="AQ117" s="27"/>
      <c r="AR117" s="319"/>
      <c r="AS117" s="10"/>
      <c r="AT117" s="5" t="str">
        <f>IF(Tabla1015[[#This Row],[FECHA]]="","",VLOOKUP(TEXT(Tabla1015[[#This Row],[FECHA]],"[$-C0A]dddd"),Tabla2[#All],2,FALSE)&amp;"-"&amp;TEXT(Tabla1015[[#This Row],[FECHA]],"[$-C0A]dddd"))</f>
        <v/>
      </c>
      <c r="AU117" s="322">
        <f>COUNTIF($Z$4:Z117,Z117)</f>
        <v>0</v>
      </c>
    </row>
    <row r="118" spans="2:47" ht="12" customHeight="1">
      <c r="S118" s="184" t="str">
        <f t="shared" si="1"/>
        <v/>
      </c>
      <c r="T118" s="26"/>
      <c r="U118" s="10"/>
      <c r="V118" s="10"/>
      <c r="W118" s="19"/>
      <c r="X118" s="19"/>
      <c r="Y118" s="77"/>
      <c r="Z118" s="10"/>
      <c r="AA118" s="343" t="str">
        <f>IFERROR(VLOOKUP(Z118,DATOS!$M$2:$N$219,2,FALSE),"")</f>
        <v/>
      </c>
      <c r="AB118" s="114"/>
      <c r="AC118" s="114"/>
      <c r="AD118" s="114"/>
      <c r="AE118" s="25"/>
      <c r="AF118" s="25"/>
      <c r="AG118" s="35"/>
      <c r="AH118" s="35"/>
      <c r="AI118" s="35"/>
      <c r="AJ118" s="16"/>
      <c r="AK118" s="16"/>
      <c r="AL118" s="16"/>
      <c r="AM118" s="17"/>
      <c r="AN118" s="16"/>
      <c r="AO118" s="75"/>
      <c r="AP118" s="75"/>
      <c r="AQ118" s="27"/>
      <c r="AR118" s="319"/>
      <c r="AS118" s="10"/>
      <c r="AT118" s="5" t="str">
        <f>IF(Tabla1015[[#This Row],[FECHA]]="","",VLOOKUP(TEXT(Tabla1015[[#This Row],[FECHA]],"[$-C0A]dddd"),Tabla2[#All],2,FALSE)&amp;"-"&amp;TEXT(Tabla1015[[#This Row],[FECHA]],"[$-C0A]dddd"))</f>
        <v/>
      </c>
      <c r="AU118" s="322">
        <f>COUNTIF($Z$4:Z118,Z118)</f>
        <v>0</v>
      </c>
    </row>
    <row r="119" spans="2:47" ht="12" customHeight="1">
      <c r="S119" s="184" t="str">
        <f t="shared" si="1"/>
        <v/>
      </c>
      <c r="T119" s="26"/>
      <c r="U119" s="10"/>
      <c r="V119" s="10"/>
      <c r="W119" s="19"/>
      <c r="X119" s="19"/>
      <c r="Y119" s="77"/>
      <c r="Z119" s="10"/>
      <c r="AA119" s="343" t="str">
        <f>IFERROR(VLOOKUP(Z119,DATOS!$M$2:$N$219,2,FALSE),"")</f>
        <v/>
      </c>
      <c r="AB119" s="114"/>
      <c r="AC119" s="114"/>
      <c r="AD119" s="114"/>
      <c r="AE119" s="25"/>
      <c r="AF119" s="25"/>
      <c r="AG119" s="35"/>
      <c r="AH119" s="35"/>
      <c r="AI119" s="35"/>
      <c r="AJ119" s="16"/>
      <c r="AK119" s="16"/>
      <c r="AL119" s="16"/>
      <c r="AM119" s="17"/>
      <c r="AN119" s="16"/>
      <c r="AO119" s="75"/>
      <c r="AP119" s="75"/>
      <c r="AQ119" s="27"/>
      <c r="AR119" s="319"/>
      <c r="AS119" s="10"/>
      <c r="AT119" s="5" t="str">
        <f>IF(Tabla1015[[#This Row],[FECHA]]="","",VLOOKUP(TEXT(Tabla1015[[#This Row],[FECHA]],"[$-C0A]dddd"),Tabla2[#All],2,FALSE)&amp;"-"&amp;TEXT(Tabla1015[[#This Row],[FECHA]],"[$-C0A]dddd"))</f>
        <v/>
      </c>
      <c r="AU119" s="322">
        <f>COUNTIF($Z$4:Z119,Z119)</f>
        <v>0</v>
      </c>
    </row>
    <row r="120" spans="2:47" ht="12" customHeight="1">
      <c r="S120" s="184" t="str">
        <f t="shared" si="1"/>
        <v/>
      </c>
      <c r="T120" s="26"/>
      <c r="U120" s="10"/>
      <c r="V120" s="10"/>
      <c r="W120" s="19"/>
      <c r="X120" s="19"/>
      <c r="Y120" s="77"/>
      <c r="Z120" s="10"/>
      <c r="AA120" s="343" t="str">
        <f>IFERROR(VLOOKUP(Z120,DATOS!$M$2:$N$219,2,FALSE),"")</f>
        <v/>
      </c>
      <c r="AB120" s="114"/>
      <c r="AC120" s="114"/>
      <c r="AD120" s="114"/>
      <c r="AE120" s="25"/>
      <c r="AF120" s="25"/>
      <c r="AG120" s="35"/>
      <c r="AH120" s="35"/>
      <c r="AI120" s="35"/>
      <c r="AJ120" s="16"/>
      <c r="AK120" s="16"/>
      <c r="AL120" s="16"/>
      <c r="AM120" s="17"/>
      <c r="AN120" s="16"/>
      <c r="AO120" s="75"/>
      <c r="AP120" s="75"/>
      <c r="AQ120" s="27"/>
      <c r="AR120" s="319"/>
      <c r="AS120" s="10"/>
      <c r="AT120" s="5" t="str">
        <f>IF(Tabla1015[[#This Row],[FECHA]]="","",VLOOKUP(TEXT(Tabla1015[[#This Row],[FECHA]],"[$-C0A]dddd"),Tabla2[#All],2,FALSE)&amp;"-"&amp;TEXT(Tabla1015[[#This Row],[FECHA]],"[$-C0A]dddd"))</f>
        <v/>
      </c>
      <c r="AU120" s="322">
        <f>COUNTIF($Z$4:Z120,Z120)</f>
        <v>0</v>
      </c>
    </row>
    <row r="121" spans="2:47" ht="12" customHeight="1">
      <c r="S121" s="184" t="str">
        <f t="shared" si="1"/>
        <v/>
      </c>
      <c r="T121" s="26"/>
      <c r="U121" s="10"/>
      <c r="V121" s="10"/>
      <c r="W121" s="19"/>
      <c r="X121" s="19"/>
      <c r="Y121" s="77"/>
      <c r="Z121" s="10"/>
      <c r="AA121" s="343" t="str">
        <f>IFERROR(VLOOKUP(Z121,DATOS!$M$2:$N$219,2,FALSE),"")</f>
        <v/>
      </c>
      <c r="AB121" s="114"/>
      <c r="AC121" s="114"/>
      <c r="AD121" s="114"/>
      <c r="AE121" s="25"/>
      <c r="AF121" s="25"/>
      <c r="AG121" s="35"/>
      <c r="AH121" s="35"/>
      <c r="AI121" s="35"/>
      <c r="AJ121" s="16"/>
      <c r="AK121" s="16"/>
      <c r="AL121" s="16"/>
      <c r="AM121" s="17"/>
      <c r="AN121" s="16"/>
      <c r="AO121" s="75"/>
      <c r="AP121" s="75"/>
      <c r="AQ121" s="27"/>
      <c r="AR121" s="319"/>
      <c r="AS121" s="10"/>
      <c r="AT121" s="5" t="str">
        <f>IF(Tabla1015[[#This Row],[FECHA]]="","",VLOOKUP(TEXT(Tabla1015[[#This Row],[FECHA]],"[$-C0A]dddd"),Tabla2[#All],2,FALSE)&amp;"-"&amp;TEXT(Tabla1015[[#This Row],[FECHA]],"[$-C0A]dddd"))</f>
        <v/>
      </c>
      <c r="AU121" s="322">
        <f>COUNTIF($Z$4:Z121,Z121)</f>
        <v>0</v>
      </c>
    </row>
    <row r="122" spans="2:47" ht="12" customHeight="1">
      <c r="S122" s="184" t="str">
        <f t="shared" si="1"/>
        <v/>
      </c>
      <c r="T122" s="26"/>
      <c r="U122" s="10"/>
      <c r="V122" s="10"/>
      <c r="W122" s="19"/>
      <c r="X122" s="19"/>
      <c r="Y122" s="77"/>
      <c r="Z122" s="10"/>
      <c r="AA122" s="343" t="str">
        <f>IFERROR(VLOOKUP(Z122,DATOS!$M$2:$N$219,2,FALSE),"")</f>
        <v/>
      </c>
      <c r="AB122" s="114"/>
      <c r="AC122" s="114"/>
      <c r="AD122" s="114"/>
      <c r="AE122" s="25"/>
      <c r="AF122" s="25"/>
      <c r="AG122" s="35"/>
      <c r="AH122" s="35"/>
      <c r="AI122" s="35"/>
      <c r="AJ122" s="16"/>
      <c r="AK122" s="16"/>
      <c r="AL122" s="16"/>
      <c r="AM122" s="17"/>
      <c r="AN122" s="16"/>
      <c r="AO122" s="75"/>
      <c r="AP122" s="75"/>
      <c r="AQ122" s="27"/>
      <c r="AR122" s="319"/>
      <c r="AS122" s="10"/>
      <c r="AT122" s="5" t="str">
        <f>IF(Tabla1015[[#This Row],[FECHA]]="","",VLOOKUP(TEXT(Tabla1015[[#This Row],[FECHA]],"[$-C0A]dddd"),Tabla2[#All],2,FALSE)&amp;"-"&amp;TEXT(Tabla1015[[#This Row],[FECHA]],"[$-C0A]dddd"))</f>
        <v/>
      </c>
      <c r="AU122" s="322">
        <f>COUNTIF($Z$4:Z122,Z122)</f>
        <v>0</v>
      </c>
    </row>
    <row r="123" spans="2:47" ht="12" customHeight="1">
      <c r="B123" s="779" t="s">
        <v>5114</v>
      </c>
      <c r="C123" s="779"/>
      <c r="D123" s="779"/>
      <c r="E123" s="779"/>
      <c r="F123" s="779"/>
      <c r="G123" s="779"/>
      <c r="H123" s="779"/>
      <c r="I123" s="779"/>
      <c r="J123" s="779"/>
      <c r="K123" s="779"/>
      <c r="L123" s="779"/>
      <c r="M123" s="779"/>
      <c r="S123" s="184" t="str">
        <f t="shared" si="1"/>
        <v/>
      </c>
      <c r="T123" s="26"/>
      <c r="U123" s="10"/>
      <c r="V123" s="10"/>
      <c r="W123" s="19"/>
      <c r="X123" s="19"/>
      <c r="Y123" s="77"/>
      <c r="Z123" s="10"/>
      <c r="AA123" s="343" t="str">
        <f>IFERROR(VLOOKUP(Z123,DATOS!$M$2:$N$219,2,FALSE),"")</f>
        <v/>
      </c>
      <c r="AB123" s="114"/>
      <c r="AC123" s="114"/>
      <c r="AD123" s="114"/>
      <c r="AE123" s="25"/>
      <c r="AF123" s="25"/>
      <c r="AG123" s="35"/>
      <c r="AH123" s="35"/>
      <c r="AI123" s="35"/>
      <c r="AJ123" s="16"/>
      <c r="AK123" s="16"/>
      <c r="AL123" s="16"/>
      <c r="AM123" s="17"/>
      <c r="AN123" s="16"/>
      <c r="AO123" s="75"/>
      <c r="AP123" s="75"/>
      <c r="AQ123" s="27"/>
      <c r="AR123" s="319"/>
      <c r="AS123" s="10"/>
      <c r="AT123" s="5" t="str">
        <f>IF(Tabla1015[[#This Row],[FECHA]]="","",VLOOKUP(TEXT(Tabla1015[[#This Row],[FECHA]],"[$-C0A]dddd"),Tabla2[#All],2,FALSE)&amp;"-"&amp;TEXT(Tabla1015[[#This Row],[FECHA]],"[$-C0A]dddd"))</f>
        <v/>
      </c>
      <c r="AU123" s="322">
        <f>COUNTIF($Z$4:Z123,Z123)</f>
        <v>0</v>
      </c>
    </row>
    <row r="124" spans="2:47" ht="12" customHeight="1">
      <c r="B124" s="779"/>
      <c r="C124" s="779"/>
      <c r="D124" s="779"/>
      <c r="E124" s="779"/>
      <c r="F124" s="779"/>
      <c r="G124" s="779"/>
      <c r="H124" s="779"/>
      <c r="I124" s="779"/>
      <c r="J124" s="779"/>
      <c r="K124" s="779"/>
      <c r="L124" s="779"/>
      <c r="M124" s="779"/>
      <c r="S124" s="184" t="str">
        <f t="shared" si="1"/>
        <v/>
      </c>
      <c r="T124" s="26"/>
      <c r="U124" s="10"/>
      <c r="V124" s="10"/>
      <c r="W124" s="19"/>
      <c r="X124" s="19"/>
      <c r="Y124" s="77"/>
      <c r="Z124" s="10"/>
      <c r="AA124" s="343" t="str">
        <f>IFERROR(VLOOKUP(Z124,DATOS!$M$2:$N$219,2,FALSE),"")</f>
        <v/>
      </c>
      <c r="AB124" s="114"/>
      <c r="AC124" s="114"/>
      <c r="AD124" s="114"/>
      <c r="AE124" s="25"/>
      <c r="AF124" s="25"/>
      <c r="AG124" s="35"/>
      <c r="AH124" s="35"/>
      <c r="AI124" s="35"/>
      <c r="AJ124" s="16"/>
      <c r="AK124" s="16"/>
      <c r="AL124" s="16"/>
      <c r="AM124" s="17"/>
      <c r="AN124" s="16"/>
      <c r="AO124" s="75"/>
      <c r="AP124" s="75"/>
      <c r="AQ124" s="27"/>
      <c r="AR124" s="319"/>
      <c r="AS124" s="10"/>
      <c r="AT124" s="5" t="str">
        <f>IF(Tabla1015[[#This Row],[FECHA]]="","",VLOOKUP(TEXT(Tabla1015[[#This Row],[FECHA]],"[$-C0A]dddd"),Tabla2[#All],2,FALSE)&amp;"-"&amp;TEXT(Tabla1015[[#This Row],[FECHA]],"[$-C0A]dddd"))</f>
        <v/>
      </c>
      <c r="AU124" s="322">
        <f>COUNTIF($Z$4:Z124,Z124)</f>
        <v>0</v>
      </c>
    </row>
    <row r="125" spans="2:47" ht="12" customHeight="1">
      <c r="B125" s="779"/>
      <c r="C125" s="779"/>
      <c r="D125" s="779"/>
      <c r="E125" s="779"/>
      <c r="F125" s="779"/>
      <c r="G125" s="779"/>
      <c r="H125" s="779"/>
      <c r="I125" s="779"/>
      <c r="J125" s="779"/>
      <c r="K125" s="779"/>
      <c r="L125" s="779"/>
      <c r="M125" s="779"/>
      <c r="S125" s="184" t="str">
        <f t="shared" si="1"/>
        <v/>
      </c>
      <c r="T125" s="26"/>
      <c r="U125" s="10"/>
      <c r="V125" s="10"/>
      <c r="W125" s="19"/>
      <c r="X125" s="19"/>
      <c r="Y125" s="77"/>
      <c r="Z125" s="10"/>
      <c r="AA125" s="343" t="str">
        <f>IFERROR(VLOOKUP(Z125,DATOS!$M$2:$N$219,2,FALSE),"")</f>
        <v/>
      </c>
      <c r="AB125" s="114"/>
      <c r="AC125" s="114"/>
      <c r="AD125" s="114"/>
      <c r="AE125" s="25"/>
      <c r="AF125" s="25"/>
      <c r="AG125" s="35"/>
      <c r="AH125" s="35"/>
      <c r="AI125" s="35"/>
      <c r="AJ125" s="16"/>
      <c r="AK125" s="16"/>
      <c r="AL125" s="16"/>
      <c r="AM125" s="17"/>
      <c r="AN125" s="16"/>
      <c r="AO125" s="75"/>
      <c r="AP125" s="75"/>
      <c r="AQ125" s="27"/>
      <c r="AR125" s="319"/>
      <c r="AS125" s="10"/>
      <c r="AT125" s="5" t="str">
        <f>IF(Tabla1015[[#This Row],[FECHA]]="","",VLOOKUP(TEXT(Tabla1015[[#This Row],[FECHA]],"[$-C0A]dddd"),Tabla2[#All],2,FALSE)&amp;"-"&amp;TEXT(Tabla1015[[#This Row],[FECHA]],"[$-C0A]dddd"))</f>
        <v/>
      </c>
      <c r="AU125" s="322">
        <f>COUNTIF($Z$4:Z125,Z125)</f>
        <v>0</v>
      </c>
    </row>
    <row r="126" spans="2:47" ht="12" customHeight="1">
      <c r="B126" s="779"/>
      <c r="C126" s="779"/>
      <c r="D126" s="779"/>
      <c r="E126" s="779"/>
      <c r="F126" s="779"/>
      <c r="G126" s="779"/>
      <c r="H126" s="779"/>
      <c r="I126" s="779"/>
      <c r="J126" s="779"/>
      <c r="K126" s="779"/>
      <c r="L126" s="779"/>
      <c r="M126" s="779"/>
      <c r="S126" s="184" t="str">
        <f t="shared" si="1"/>
        <v/>
      </c>
      <c r="T126" s="26"/>
      <c r="U126" s="10"/>
      <c r="V126" s="10"/>
      <c r="W126" s="19"/>
      <c r="X126" s="19"/>
      <c r="Y126" s="77"/>
      <c r="Z126" s="10"/>
      <c r="AA126" s="343" t="str">
        <f>IFERROR(VLOOKUP(Z126,DATOS!$M$2:$N$219,2,FALSE),"")</f>
        <v/>
      </c>
      <c r="AB126" s="114"/>
      <c r="AC126" s="114"/>
      <c r="AD126" s="114"/>
      <c r="AE126" s="25"/>
      <c r="AF126" s="25"/>
      <c r="AG126" s="35"/>
      <c r="AH126" s="35"/>
      <c r="AI126" s="35"/>
      <c r="AJ126" s="16"/>
      <c r="AK126" s="16"/>
      <c r="AL126" s="16"/>
      <c r="AM126" s="17"/>
      <c r="AN126" s="16"/>
      <c r="AO126" s="75"/>
      <c r="AP126" s="75"/>
      <c r="AQ126" s="27"/>
      <c r="AR126" s="319"/>
      <c r="AS126" s="10"/>
      <c r="AT126" s="5" t="str">
        <f>IF(Tabla1015[[#This Row],[FECHA]]="","",VLOOKUP(TEXT(Tabla1015[[#This Row],[FECHA]],"[$-C0A]dddd"),Tabla2[#All],2,FALSE)&amp;"-"&amp;TEXT(Tabla1015[[#This Row],[FECHA]],"[$-C0A]dddd"))</f>
        <v/>
      </c>
      <c r="AU126" s="322">
        <f>COUNTIF($Z$4:Z126,Z126)</f>
        <v>0</v>
      </c>
    </row>
    <row r="127" spans="2:47" ht="12" customHeight="1">
      <c r="B127" s="779"/>
      <c r="C127" s="779"/>
      <c r="D127" s="779"/>
      <c r="E127" s="779"/>
      <c r="F127" s="779"/>
      <c r="G127" s="779"/>
      <c r="H127" s="779"/>
      <c r="I127" s="779"/>
      <c r="J127" s="779"/>
      <c r="K127" s="779"/>
      <c r="L127" s="779"/>
      <c r="M127" s="779"/>
      <c r="S127" s="184" t="str">
        <f t="shared" si="1"/>
        <v/>
      </c>
      <c r="T127" s="26"/>
      <c r="U127" s="10"/>
      <c r="V127" s="10"/>
      <c r="W127" s="19"/>
      <c r="X127" s="19"/>
      <c r="Y127" s="77"/>
      <c r="Z127" s="10"/>
      <c r="AA127" s="343" t="str">
        <f>IFERROR(VLOOKUP(Z127,DATOS!$M$2:$N$219,2,FALSE),"")</f>
        <v/>
      </c>
      <c r="AB127" s="114"/>
      <c r="AC127" s="114"/>
      <c r="AD127" s="114"/>
      <c r="AE127" s="25"/>
      <c r="AF127" s="25"/>
      <c r="AG127" s="35"/>
      <c r="AH127" s="35"/>
      <c r="AI127" s="35"/>
      <c r="AJ127" s="16"/>
      <c r="AK127" s="16"/>
      <c r="AL127" s="16"/>
      <c r="AM127" s="17"/>
      <c r="AN127" s="16"/>
      <c r="AO127" s="75"/>
      <c r="AP127" s="75"/>
      <c r="AQ127" s="27"/>
      <c r="AR127" s="319"/>
      <c r="AS127" s="10"/>
      <c r="AT127" s="5" t="str">
        <f>IF(Tabla1015[[#This Row],[FECHA]]="","",VLOOKUP(TEXT(Tabla1015[[#This Row],[FECHA]],"[$-C0A]dddd"),Tabla2[#All],2,FALSE)&amp;"-"&amp;TEXT(Tabla1015[[#This Row],[FECHA]],"[$-C0A]dddd"))</f>
        <v/>
      </c>
      <c r="AU127" s="322">
        <f>COUNTIF($Z$4:Z127,Z127)</f>
        <v>0</v>
      </c>
    </row>
    <row r="128" spans="2:47" ht="12" customHeight="1">
      <c r="B128" s="779"/>
      <c r="C128" s="779"/>
      <c r="D128" s="779"/>
      <c r="E128" s="779"/>
      <c r="F128" s="779"/>
      <c r="G128" s="779"/>
      <c r="H128" s="779"/>
      <c r="I128" s="779"/>
      <c r="J128" s="779"/>
      <c r="K128" s="779"/>
      <c r="L128" s="779"/>
      <c r="M128" s="779"/>
      <c r="S128" s="184" t="str">
        <f t="shared" si="1"/>
        <v/>
      </c>
      <c r="T128" s="22"/>
      <c r="U128" s="16"/>
      <c r="V128" s="16"/>
      <c r="W128" s="23"/>
      <c r="X128" s="23"/>
      <c r="Y128" s="78"/>
      <c r="Z128" s="16"/>
      <c r="AA128" s="343" t="str">
        <f>IFERROR(VLOOKUP(Z128,DATOS!$M$2:$N$219,2,FALSE),"")</f>
        <v/>
      </c>
      <c r="AB128" s="115"/>
      <c r="AC128" s="115"/>
      <c r="AD128" s="114"/>
      <c r="AE128" s="35"/>
      <c r="AF128" s="35"/>
      <c r="AG128" s="35"/>
      <c r="AH128" s="35"/>
      <c r="AI128" s="35"/>
      <c r="AJ128" s="16"/>
      <c r="AK128" s="16"/>
      <c r="AL128" s="16"/>
      <c r="AM128" s="17"/>
      <c r="AN128" s="16"/>
      <c r="AO128" s="75"/>
      <c r="AP128" s="75"/>
      <c r="AQ128" s="27"/>
      <c r="AR128" s="319"/>
      <c r="AS128" s="10"/>
      <c r="AT128" s="5" t="str">
        <f>IF(Tabla1015[[#This Row],[FECHA]]="","",VLOOKUP(TEXT(Tabla1015[[#This Row],[FECHA]],"[$-C0A]dddd"),Tabla2[#All],2,FALSE)&amp;"-"&amp;TEXT(Tabla1015[[#This Row],[FECHA]],"[$-C0A]dddd"))</f>
        <v/>
      </c>
      <c r="AU128" s="322">
        <f>COUNTIF($Z$4:Z128,Z128)</f>
        <v>0</v>
      </c>
    </row>
    <row r="129" spans="2:47" ht="12" customHeight="1">
      <c r="B129" s="779"/>
      <c r="C129" s="779"/>
      <c r="D129" s="779"/>
      <c r="E129" s="779"/>
      <c r="F129" s="779"/>
      <c r="G129" s="779"/>
      <c r="H129" s="779"/>
      <c r="I129" s="779"/>
      <c r="J129" s="779"/>
      <c r="K129" s="779"/>
      <c r="L129" s="779"/>
      <c r="M129" s="779"/>
      <c r="N129"/>
      <c r="O129" s="62"/>
      <c r="S129" s="184" t="str">
        <f t="shared" si="1"/>
        <v/>
      </c>
      <c r="T129" s="344"/>
      <c r="U129" s="345"/>
      <c r="V129" s="345"/>
      <c r="W129" s="329"/>
      <c r="X129" s="329"/>
      <c r="Y129" s="346"/>
      <c r="Z129" s="16"/>
      <c r="AA129" s="343" t="str">
        <f>IFERROR(VLOOKUP(Z129,DATOS!$M$2:$N$219,2,FALSE),"")</f>
        <v/>
      </c>
      <c r="AB129" s="115"/>
      <c r="AC129" s="330"/>
      <c r="AD129" s="114"/>
      <c r="AE129" s="88"/>
      <c r="AF129" s="88"/>
      <c r="AG129" s="35"/>
      <c r="AH129" s="35"/>
      <c r="AI129" s="35"/>
      <c r="AJ129" s="16"/>
      <c r="AK129" s="16"/>
      <c r="AL129" s="16"/>
      <c r="AM129" s="17"/>
      <c r="AN129" s="16"/>
      <c r="AO129" s="75"/>
      <c r="AP129" s="75"/>
      <c r="AQ129" s="27"/>
      <c r="AR129" s="319"/>
      <c r="AS129" s="10"/>
      <c r="AT129" s="5" t="str">
        <f>IF(Tabla1015[[#This Row],[FECHA]]="","",VLOOKUP(TEXT(Tabla1015[[#This Row],[FECHA]],"[$-C0A]dddd"),Tabla2[#All],2,FALSE)&amp;"-"&amp;TEXT(Tabla1015[[#This Row],[FECHA]],"[$-C0A]dddd"))</f>
        <v/>
      </c>
      <c r="AU129" s="322">
        <f>COUNTIF($Z$4:Z129,Z129)</f>
        <v>0</v>
      </c>
    </row>
    <row r="130" spans="2:47" ht="12" customHeight="1">
      <c r="B130" s="779"/>
      <c r="C130" s="779"/>
      <c r="D130" s="779"/>
      <c r="E130" s="779"/>
      <c r="F130" s="779"/>
      <c r="G130" s="779"/>
      <c r="H130" s="779"/>
      <c r="I130" s="779"/>
      <c r="J130" s="779"/>
      <c r="K130" s="779"/>
      <c r="L130" s="779"/>
      <c r="M130" s="779"/>
      <c r="N130"/>
      <c r="O130" s="62"/>
      <c r="S130" s="184" t="str">
        <f t="shared" si="1"/>
        <v/>
      </c>
      <c r="T130" s="344"/>
      <c r="U130" s="345"/>
      <c r="V130" s="345"/>
      <c r="W130" s="329"/>
      <c r="X130" s="329"/>
      <c r="Y130" s="346"/>
      <c r="Z130" s="16"/>
      <c r="AA130" s="343" t="str">
        <f>IFERROR(VLOOKUP(Z130,DATOS!$M$2:$N$219,2,FALSE),"")</f>
        <v/>
      </c>
      <c r="AB130" s="115"/>
      <c r="AC130" s="330"/>
      <c r="AD130" s="114"/>
      <c r="AE130" s="88"/>
      <c r="AF130" s="88"/>
      <c r="AG130" s="35"/>
      <c r="AH130" s="35"/>
      <c r="AI130" s="35"/>
      <c r="AJ130" s="16"/>
      <c r="AK130" s="16"/>
      <c r="AL130" s="16"/>
      <c r="AM130" s="17"/>
      <c r="AN130" s="16"/>
      <c r="AO130" s="75"/>
      <c r="AP130" s="75"/>
      <c r="AQ130" s="27"/>
      <c r="AR130" s="319"/>
      <c r="AS130" s="10"/>
      <c r="AT130" s="5" t="str">
        <f>IF(Tabla1015[[#This Row],[FECHA]]="","",VLOOKUP(TEXT(Tabla1015[[#This Row],[FECHA]],"[$-C0A]dddd"),Tabla2[#All],2,FALSE)&amp;"-"&amp;TEXT(Tabla1015[[#This Row],[FECHA]],"[$-C0A]dddd"))</f>
        <v/>
      </c>
      <c r="AU130" s="322">
        <f>COUNTIF($Z$4:Z130,Z130)</f>
        <v>0</v>
      </c>
    </row>
    <row r="131" spans="2:47" ht="12" customHeight="1">
      <c r="B131" s="779"/>
      <c r="C131" s="779"/>
      <c r="D131" s="779"/>
      <c r="E131" s="779"/>
      <c r="F131" s="779"/>
      <c r="G131" s="779"/>
      <c r="H131" s="779"/>
      <c r="I131" s="779"/>
      <c r="J131" s="779"/>
      <c r="K131" s="779"/>
      <c r="L131" s="779"/>
      <c r="M131" s="779"/>
      <c r="N131"/>
      <c r="O131" s="62"/>
      <c r="S131" s="184" t="str">
        <f t="shared" si="1"/>
        <v/>
      </c>
      <c r="T131" s="344"/>
      <c r="U131" s="345"/>
      <c r="V131" s="345"/>
      <c r="W131" s="329"/>
      <c r="X131" s="329"/>
      <c r="Y131" s="346"/>
      <c r="Z131" s="16"/>
      <c r="AA131" s="343" t="str">
        <f>IFERROR(VLOOKUP(Z131,DATOS!$M$2:$N$219,2,FALSE),"")</f>
        <v/>
      </c>
      <c r="AB131" s="115"/>
      <c r="AC131" s="330"/>
      <c r="AD131" s="114"/>
      <c r="AE131" s="88"/>
      <c r="AF131" s="88"/>
      <c r="AG131" s="35"/>
      <c r="AH131" s="35"/>
      <c r="AI131" s="35"/>
      <c r="AJ131" s="16"/>
      <c r="AK131" s="16"/>
      <c r="AL131" s="16"/>
      <c r="AM131" s="17"/>
      <c r="AN131" s="16"/>
      <c r="AO131" s="75"/>
      <c r="AP131" s="75"/>
      <c r="AQ131" s="27"/>
      <c r="AR131" s="319"/>
      <c r="AS131" s="10"/>
      <c r="AT131" s="5" t="str">
        <f>IF(Tabla1015[[#This Row],[FECHA]]="","",VLOOKUP(TEXT(Tabla1015[[#This Row],[FECHA]],"[$-C0A]dddd"),Tabla2[#All],2,FALSE)&amp;"-"&amp;TEXT(Tabla1015[[#This Row],[FECHA]],"[$-C0A]dddd"))</f>
        <v/>
      </c>
      <c r="AU131" s="322">
        <f>COUNTIF($Z$4:Z131,Z131)</f>
        <v>0</v>
      </c>
    </row>
    <row r="132" spans="2:47" ht="12" customHeight="1">
      <c r="B132" s="779"/>
      <c r="C132" s="779"/>
      <c r="D132" s="779"/>
      <c r="E132" s="779"/>
      <c r="F132" s="779"/>
      <c r="G132" s="779"/>
      <c r="H132" s="779"/>
      <c r="I132" s="779"/>
      <c r="J132" s="779"/>
      <c r="K132" s="779"/>
      <c r="L132" s="779"/>
      <c r="M132" s="779"/>
      <c r="N132"/>
      <c r="O132" s="62"/>
      <c r="S132" s="184" t="str">
        <f t="shared" ref="S132:S195" si="2">IF(Z132="","",CONCATENATE(Z132,"-",AU132))</f>
        <v/>
      </c>
      <c r="T132" s="344"/>
      <c r="U132" s="345"/>
      <c r="V132" s="345"/>
      <c r="W132" s="329"/>
      <c r="X132" s="329"/>
      <c r="Y132" s="346"/>
      <c r="Z132" s="16"/>
      <c r="AA132" s="343" t="str">
        <f>IFERROR(VLOOKUP(Z132,DATOS!$M$2:$N$219,2,FALSE),"")</f>
        <v/>
      </c>
      <c r="AB132" s="115"/>
      <c r="AC132" s="330"/>
      <c r="AD132" s="114"/>
      <c r="AE132" s="88"/>
      <c r="AF132" s="88"/>
      <c r="AG132" s="35"/>
      <c r="AH132" s="35"/>
      <c r="AI132" s="35"/>
      <c r="AJ132" s="16"/>
      <c r="AK132" s="16"/>
      <c r="AL132" s="16"/>
      <c r="AM132" s="17"/>
      <c r="AN132" s="16"/>
      <c r="AO132" s="75"/>
      <c r="AP132" s="75"/>
      <c r="AQ132" s="27"/>
      <c r="AR132" s="319"/>
      <c r="AS132" s="10"/>
      <c r="AT132" s="5" t="str">
        <f>IF(Tabla1015[[#This Row],[FECHA]]="","",VLOOKUP(TEXT(Tabla1015[[#This Row],[FECHA]],"[$-C0A]dddd"),Tabla2[#All],2,FALSE)&amp;"-"&amp;TEXT(Tabla1015[[#This Row],[FECHA]],"[$-C0A]dddd"))</f>
        <v/>
      </c>
      <c r="AU132" s="322">
        <f>COUNTIF($Z$4:Z132,Z132)</f>
        <v>0</v>
      </c>
    </row>
    <row r="133" spans="2:47" ht="12" customHeight="1">
      <c r="N133"/>
      <c r="O133" s="62"/>
      <c r="S133" s="184" t="str">
        <f t="shared" si="2"/>
        <v/>
      </c>
      <c r="T133" s="344"/>
      <c r="U133" s="345"/>
      <c r="V133" s="345"/>
      <c r="W133" s="329"/>
      <c r="X133" s="329"/>
      <c r="Y133" s="346"/>
      <c r="Z133" s="16"/>
      <c r="AA133" s="343" t="str">
        <f>IFERROR(VLOOKUP(Z133,DATOS!$M$2:$N$219,2,FALSE),"")</f>
        <v/>
      </c>
      <c r="AB133" s="115"/>
      <c r="AC133" s="330"/>
      <c r="AD133" s="114"/>
      <c r="AE133" s="88"/>
      <c r="AF133" s="88"/>
      <c r="AG133" s="35"/>
      <c r="AH133" s="35"/>
      <c r="AI133" s="35"/>
      <c r="AJ133" s="16"/>
      <c r="AK133" s="16"/>
      <c r="AL133" s="16"/>
      <c r="AM133" s="17"/>
      <c r="AN133" s="16"/>
      <c r="AO133" s="75"/>
      <c r="AP133" s="75"/>
      <c r="AQ133" s="27"/>
      <c r="AR133" s="319"/>
      <c r="AS133" s="10"/>
      <c r="AT133" s="5" t="str">
        <f>IF(Tabla1015[[#This Row],[FECHA]]="","",VLOOKUP(TEXT(Tabla1015[[#This Row],[FECHA]],"[$-C0A]dddd"),Tabla2[#All],2,FALSE)&amp;"-"&amp;TEXT(Tabla1015[[#This Row],[FECHA]],"[$-C0A]dddd"))</f>
        <v/>
      </c>
      <c r="AU133" s="322">
        <f>COUNTIF($Z$4:Z133,Z133)</f>
        <v>0</v>
      </c>
    </row>
    <row r="134" spans="2:47" ht="12" customHeight="1">
      <c r="N134"/>
      <c r="O134" s="62"/>
      <c r="S134" s="184" t="str">
        <f t="shared" si="2"/>
        <v/>
      </c>
      <c r="T134" s="344"/>
      <c r="U134" s="345"/>
      <c r="V134" s="345"/>
      <c r="W134" s="329"/>
      <c r="X134" s="329"/>
      <c r="Y134" s="346"/>
      <c r="Z134" s="16"/>
      <c r="AA134" s="343" t="str">
        <f>IFERROR(VLOOKUP(Z134,DATOS!$M$2:$N$219,2,FALSE),"")</f>
        <v/>
      </c>
      <c r="AB134" s="115"/>
      <c r="AC134" s="330"/>
      <c r="AD134" s="114"/>
      <c r="AE134" s="88"/>
      <c r="AF134" s="88"/>
      <c r="AG134" s="35"/>
      <c r="AH134" s="35"/>
      <c r="AI134" s="35"/>
      <c r="AJ134" s="16"/>
      <c r="AK134" s="16"/>
      <c r="AL134" s="16"/>
      <c r="AM134" s="17"/>
      <c r="AN134" s="16"/>
      <c r="AO134" s="75"/>
      <c r="AP134" s="75"/>
      <c r="AQ134" s="27"/>
      <c r="AR134" s="319"/>
      <c r="AS134" s="10"/>
      <c r="AT134" s="5" t="str">
        <f>IF(Tabla1015[[#This Row],[FECHA]]="","",VLOOKUP(TEXT(Tabla1015[[#This Row],[FECHA]],"[$-C0A]dddd"),Tabla2[#All],2,FALSE)&amp;"-"&amp;TEXT(Tabla1015[[#This Row],[FECHA]],"[$-C0A]dddd"))</f>
        <v/>
      </c>
      <c r="AU134" s="322">
        <f>COUNTIF($Z$4:Z134,Z134)</f>
        <v>0</v>
      </c>
    </row>
    <row r="135" spans="2:47" ht="12" customHeight="1">
      <c r="N135"/>
      <c r="O135" s="62"/>
      <c r="S135" s="184" t="str">
        <f t="shared" si="2"/>
        <v/>
      </c>
      <c r="T135" s="344"/>
      <c r="U135" s="345"/>
      <c r="V135" s="345"/>
      <c r="W135" s="329"/>
      <c r="X135" s="329"/>
      <c r="Y135" s="346"/>
      <c r="Z135" s="16"/>
      <c r="AA135" s="343" t="str">
        <f>IFERROR(VLOOKUP(Z135,DATOS!$M$2:$N$219,2,FALSE),"")</f>
        <v/>
      </c>
      <c r="AB135" s="115"/>
      <c r="AC135" s="330"/>
      <c r="AD135" s="114"/>
      <c r="AE135" s="88"/>
      <c r="AF135" s="88"/>
      <c r="AG135" s="35"/>
      <c r="AH135" s="35"/>
      <c r="AI135" s="35"/>
      <c r="AJ135" s="16"/>
      <c r="AK135" s="16"/>
      <c r="AL135" s="16"/>
      <c r="AM135" s="17"/>
      <c r="AN135" s="16"/>
      <c r="AO135" s="75"/>
      <c r="AP135" s="75"/>
      <c r="AQ135" s="27"/>
      <c r="AR135" s="319"/>
      <c r="AS135" s="10"/>
      <c r="AT135" s="5" t="str">
        <f>IF(Tabla1015[[#This Row],[FECHA]]="","",VLOOKUP(TEXT(Tabla1015[[#This Row],[FECHA]],"[$-C0A]dddd"),Tabla2[#All],2,FALSE)&amp;"-"&amp;TEXT(Tabla1015[[#This Row],[FECHA]],"[$-C0A]dddd"))</f>
        <v/>
      </c>
      <c r="AU135" s="322">
        <f>COUNTIF($Z$4:Z135,Z135)</f>
        <v>0</v>
      </c>
    </row>
    <row r="136" spans="2:47" s="37" customFormat="1" ht="72">
      <c r="B136" s="68" t="s">
        <v>3732</v>
      </c>
      <c r="C136" s="68" t="s">
        <v>3733</v>
      </c>
      <c r="D136" s="68" t="s">
        <v>3687</v>
      </c>
      <c r="E136" s="70" t="s">
        <v>3734</v>
      </c>
      <c r="F136" s="71" t="s">
        <v>3735</v>
      </c>
      <c r="G136" s="69" t="s">
        <v>3736</v>
      </c>
      <c r="H136" s="69" t="s">
        <v>3737</v>
      </c>
      <c r="I136" s="69" t="s">
        <v>3738</v>
      </c>
      <c r="J136" s="69" t="s">
        <v>10</v>
      </c>
      <c r="K136" s="69" t="s">
        <v>11</v>
      </c>
      <c r="L136" s="92" t="s">
        <v>3739</v>
      </c>
      <c r="M136" s="93" t="s">
        <v>3740</v>
      </c>
      <c r="N136" s="94" t="s">
        <v>3741</v>
      </c>
      <c r="O136" s="99" t="s">
        <v>3742</v>
      </c>
      <c r="Q136" s="145"/>
      <c r="S136" s="184" t="str">
        <f t="shared" si="2"/>
        <v/>
      </c>
      <c r="T136" s="344"/>
      <c r="U136" s="345"/>
      <c r="V136" s="345"/>
      <c r="W136" s="329"/>
      <c r="X136" s="329"/>
      <c r="Y136" s="346"/>
      <c r="Z136" s="16"/>
      <c r="AA136" s="343" t="str">
        <f>IFERROR(VLOOKUP(Z136,DATOS!$M$2:$N$219,2,FALSE),"")</f>
        <v/>
      </c>
      <c r="AB136" s="115"/>
      <c r="AC136" s="330"/>
      <c r="AD136" s="114"/>
      <c r="AE136" s="88"/>
      <c r="AF136" s="88"/>
      <c r="AG136" s="35"/>
      <c r="AH136" s="35"/>
      <c r="AI136" s="35"/>
      <c r="AJ136" s="16"/>
      <c r="AK136" s="16"/>
      <c r="AL136" s="16"/>
      <c r="AM136" s="17"/>
      <c r="AN136" s="16"/>
      <c r="AO136" s="75"/>
      <c r="AP136" s="75"/>
      <c r="AQ136" s="27"/>
      <c r="AR136" s="319"/>
      <c r="AS136" s="10"/>
      <c r="AT136" s="5" t="str">
        <f>IF(Tabla1015[[#This Row],[FECHA]]="","",VLOOKUP(TEXT(Tabla1015[[#This Row],[FECHA]],"[$-C0A]dddd"),Tabla2[#All],2,FALSE)&amp;"-"&amp;TEXT(Tabla1015[[#This Row],[FECHA]],"[$-C0A]dddd"))</f>
        <v/>
      </c>
      <c r="AU136" s="322">
        <f>COUNTIF($Z$4:Z136,Z136)</f>
        <v>0</v>
      </c>
    </row>
    <row r="137" spans="2:47" s="2" customFormat="1" ht="57.75" customHeight="1">
      <c r="B137" s="786" t="str">
        <f>+'TABLA RES-SEMANA'!B68</f>
        <v>LINEA AUTOMATICA HACOS 1</v>
      </c>
      <c r="C137" s="169" t="str">
        <f t="shared" ref="C137:C200" si="3">IFERROR(VLOOKUP(O137,$S$3:$AU$306,9,FALSE),"")</f>
        <v>Maquinaria</v>
      </c>
      <c r="D137" s="257">
        <f t="shared" ref="D137:D200" si="4">IFERROR(VLOOKUP(O137,$S$3:$AU$306,2,FALSE),"")</f>
        <v>45943</v>
      </c>
      <c r="E137" s="191" t="str">
        <f t="shared" ref="E137:E200" si="5">IFERROR(VLOOKUP(O137,$S$3:$AU$306,4,FALSE),"")</f>
        <v>NOCHE</v>
      </c>
      <c r="F137" s="347" t="str">
        <f t="shared" ref="F137:F200" si="6">IFERROR(VLOOKUP(O137,$S$3:$AU$306,5,FALSE),"")</f>
        <v>22:00</v>
      </c>
      <c r="G137" s="347" t="str">
        <f t="shared" ref="G137:G200" si="7">IFERROR(VLOOKUP(O137,$S$3:$AU$306,6,FALSE),"")</f>
        <v>22:25</v>
      </c>
      <c r="H137" s="220">
        <f t="shared" ref="H137:H200" si="8">IFERROR(VLOOKUP(O137,$S$3:$AU$306,7,FALSE),"")</f>
        <v>1.736111111111116E-2</v>
      </c>
      <c r="I137" s="220" t="str">
        <f t="shared" ref="I137:I200" si="9">IFERROR(VLOOKUP(O137,$S$3:$AU$306,10,FALSE),"")</f>
        <v>Inspección</v>
      </c>
      <c r="J137" s="220" t="str">
        <f t="shared" ref="J137:J200" si="10">IFERROR(VLOOKUP(O137,$S$3:$AU$306,11,FALSE),"")</f>
        <v>PROGRAMADA</v>
      </c>
      <c r="K137" s="221" t="str">
        <f t="shared" ref="K137:K200" si="11">IFERROR(VLOOKUP(O137,$S$3:$AU$306,12,FALSE),"")</f>
        <v/>
      </c>
      <c r="L137" s="192" t="str">
        <f t="shared" ref="L137:L200" si="12">IFERROR(VLOOKUP(O137,$S$3:$AU$306,13,FALSE),"")</f>
        <v>Inspección de temperadora</v>
      </c>
      <c r="M137" s="193" t="str">
        <f t="shared" ref="M137:M200" si="13">IFERROR(IF(VLOOKUP(O137,$S$3:$AU$306,14,FALSE)="","",VLOOKUP(O137,$S$3:$AU$306,14,FALSE)),"")</f>
        <v>Se ajusto prensaestopa de columna y se reviso niveles de agua</v>
      </c>
      <c r="N137" s="97">
        <v>1</v>
      </c>
      <c r="O137" s="98" t="str">
        <f>CONCATENATE($B$137,"-",N137)</f>
        <v>LINEA AUTOMATICA HACOS 1-1</v>
      </c>
      <c r="P137" s="94">
        <f>COUNTIF(H137:H156,"&lt;&gt;**")</f>
        <v>20</v>
      </c>
      <c r="Q137" s="145"/>
      <c r="S137" s="184" t="str">
        <f t="shared" si="2"/>
        <v/>
      </c>
      <c r="T137" s="344"/>
      <c r="U137" s="345"/>
      <c r="V137" s="345"/>
      <c r="W137" s="329"/>
      <c r="X137" s="329"/>
      <c r="Y137" s="346"/>
      <c r="Z137" s="16"/>
      <c r="AA137" s="343" t="str">
        <f>IFERROR(VLOOKUP(Z137,DATOS!$M$2:$N$219,2,FALSE),"")</f>
        <v/>
      </c>
      <c r="AB137" s="115"/>
      <c r="AC137" s="330"/>
      <c r="AD137" s="114"/>
      <c r="AE137" s="88"/>
      <c r="AF137" s="88"/>
      <c r="AG137" s="35"/>
      <c r="AH137" s="35"/>
      <c r="AI137" s="35"/>
      <c r="AJ137" s="16"/>
      <c r="AK137" s="16"/>
      <c r="AL137" s="16"/>
      <c r="AM137" s="17"/>
      <c r="AN137" s="16"/>
      <c r="AO137" s="75"/>
      <c r="AP137" s="75"/>
      <c r="AQ137" s="27"/>
      <c r="AR137" s="319"/>
      <c r="AS137" s="10"/>
      <c r="AT137" s="5" t="str">
        <f>IF(Tabla1015[[#This Row],[FECHA]]="","",VLOOKUP(TEXT(Tabla1015[[#This Row],[FECHA]],"[$-C0A]dddd"),Tabla2[#All],2,FALSE)&amp;"-"&amp;TEXT(Tabla1015[[#This Row],[FECHA]],"[$-C0A]dddd"))</f>
        <v/>
      </c>
      <c r="AU137" s="322">
        <f>COUNTIF($Z$4:Z137,Z137)</f>
        <v>0</v>
      </c>
    </row>
    <row r="138" spans="2:47" s="2" customFormat="1" ht="57.75" customHeight="1">
      <c r="B138" s="784"/>
      <c r="C138" s="72" t="str">
        <f t="shared" si="3"/>
        <v>Maquinaria</v>
      </c>
      <c r="D138" s="258">
        <f t="shared" si="4"/>
        <v>45943</v>
      </c>
      <c r="E138" s="194" t="str">
        <f t="shared" si="5"/>
        <v>NOCHE</v>
      </c>
      <c r="F138" s="348" t="str">
        <f t="shared" si="6"/>
        <v>01:00</v>
      </c>
      <c r="G138" s="348" t="str">
        <f t="shared" si="7"/>
        <v>01:10</v>
      </c>
      <c r="H138" s="222">
        <f t="shared" si="8"/>
        <v>6.9444444444444475E-3</v>
      </c>
      <c r="I138" s="222" t="str">
        <f t="shared" si="9"/>
        <v>Capacitacion</v>
      </c>
      <c r="J138" s="222" t="str">
        <f t="shared" si="10"/>
        <v>PROGRAMADA</v>
      </c>
      <c r="K138" s="223" t="str">
        <f t="shared" si="11"/>
        <v/>
      </c>
      <c r="L138" s="195" t="str">
        <f t="shared" si="12"/>
        <v>Charla informativa sobre intercambiador de moldes</v>
      </c>
      <c r="M138" s="196" t="str">
        <f t="shared" si="13"/>
        <v/>
      </c>
      <c r="N138" s="95">
        <v>2</v>
      </c>
      <c r="O138" s="125" t="str">
        <f t="shared" ref="O138:O148" si="14">CONCATENATE($B$137,"-",N138)</f>
        <v>LINEA AUTOMATICA HACOS 1-2</v>
      </c>
      <c r="Q138" s="145"/>
      <c r="S138" s="184" t="str">
        <f t="shared" si="2"/>
        <v/>
      </c>
      <c r="T138" s="344"/>
      <c r="U138" s="345"/>
      <c r="V138" s="345"/>
      <c r="W138" s="329"/>
      <c r="X138" s="329"/>
      <c r="Y138" s="346"/>
      <c r="Z138" s="16"/>
      <c r="AA138" s="343" t="str">
        <f>IFERROR(VLOOKUP(Z138,DATOS!$M$2:$N$219,2,FALSE),"")</f>
        <v/>
      </c>
      <c r="AB138" s="115"/>
      <c r="AC138" s="330"/>
      <c r="AD138" s="114"/>
      <c r="AE138" s="88"/>
      <c r="AF138" s="88"/>
      <c r="AG138" s="35"/>
      <c r="AH138" s="35"/>
      <c r="AI138" s="35"/>
      <c r="AJ138" s="16"/>
      <c r="AK138" s="16"/>
      <c r="AL138" s="16"/>
      <c r="AM138" s="17"/>
      <c r="AN138" s="16"/>
      <c r="AO138" s="75"/>
      <c r="AP138" s="75"/>
      <c r="AQ138" s="27"/>
      <c r="AR138" s="319"/>
      <c r="AS138" s="10"/>
      <c r="AT138" s="5" t="str">
        <f>IF(Tabla1015[[#This Row],[FECHA]]="","",VLOOKUP(TEXT(Tabla1015[[#This Row],[FECHA]],"[$-C0A]dddd"),Tabla2[#All],2,FALSE)&amp;"-"&amp;TEXT(Tabla1015[[#This Row],[FECHA]],"[$-C0A]dddd"))</f>
        <v/>
      </c>
      <c r="AU138" s="322">
        <f>COUNTIF($Z$4:Z138,Z138)</f>
        <v>0</v>
      </c>
    </row>
    <row r="139" spans="2:47" s="2" customFormat="1" ht="57.75" customHeight="1">
      <c r="B139" s="784"/>
      <c r="C139" s="72" t="str">
        <f t="shared" si="3"/>
        <v>Maquinaria</v>
      </c>
      <c r="D139" s="258">
        <f t="shared" si="4"/>
        <v>45943</v>
      </c>
      <c r="E139" s="194" t="str">
        <f t="shared" si="5"/>
        <v>MAÑANA</v>
      </c>
      <c r="F139" s="348" t="str">
        <f t="shared" si="6"/>
        <v>08:44</v>
      </c>
      <c r="G139" s="348" t="str">
        <f t="shared" si="7"/>
        <v>08:53</v>
      </c>
      <c r="H139" s="222">
        <f t="shared" si="8"/>
        <v>6.2500000000000333E-3</v>
      </c>
      <c r="I139" s="222" t="str">
        <f t="shared" si="9"/>
        <v>Ajuste /Calibracion</v>
      </c>
      <c r="J139" s="222" t="str">
        <f t="shared" si="10"/>
        <v>NO PROGRAMADA</v>
      </c>
      <c r="K139" s="223" t="str">
        <f t="shared" si="11"/>
        <v>MECÁNICA</v>
      </c>
      <c r="L139" s="195" t="str">
        <f t="shared" si="12"/>
        <v>Falla en sensor A10</v>
      </c>
      <c r="M139" s="196" t="str">
        <f t="shared" si="13"/>
        <v xml:space="preserve">Se calibra posición de sensores y se regula flujo de aire en actuador </v>
      </c>
      <c r="N139" s="95">
        <v>3</v>
      </c>
      <c r="O139" s="125" t="str">
        <f t="shared" si="14"/>
        <v>LINEA AUTOMATICA HACOS 1-3</v>
      </c>
      <c r="Q139" s="145"/>
      <c r="S139" s="184" t="str">
        <f t="shared" si="2"/>
        <v/>
      </c>
      <c r="T139" s="344"/>
      <c r="U139" s="345"/>
      <c r="V139" s="345"/>
      <c r="W139" s="329"/>
      <c r="X139" s="329"/>
      <c r="Y139" s="346"/>
      <c r="Z139" s="16"/>
      <c r="AA139" s="343" t="str">
        <f>IFERROR(VLOOKUP(Z139,DATOS!$M$2:$N$219,2,FALSE),"")</f>
        <v/>
      </c>
      <c r="AB139" s="115"/>
      <c r="AC139" s="330"/>
      <c r="AD139" s="114"/>
      <c r="AE139" s="88"/>
      <c r="AF139" s="88"/>
      <c r="AG139" s="35"/>
      <c r="AH139" s="35"/>
      <c r="AI139" s="35"/>
      <c r="AJ139" s="16"/>
      <c r="AK139" s="16"/>
      <c r="AL139" s="16"/>
      <c r="AM139" s="17"/>
      <c r="AN139" s="16"/>
      <c r="AO139" s="75"/>
      <c r="AP139" s="75"/>
      <c r="AQ139" s="27"/>
      <c r="AR139" s="319"/>
      <c r="AS139" s="10"/>
      <c r="AT139" s="5" t="str">
        <f>IF(Tabla1015[[#This Row],[FECHA]]="","",VLOOKUP(TEXT(Tabla1015[[#This Row],[FECHA]],"[$-C0A]dddd"),Tabla2[#All],2,FALSE)&amp;"-"&amp;TEXT(Tabla1015[[#This Row],[FECHA]],"[$-C0A]dddd"))</f>
        <v/>
      </c>
      <c r="AU139" s="322">
        <f>COUNTIF($Z$4:Z139,Z139)</f>
        <v>0</v>
      </c>
    </row>
    <row r="140" spans="2:47" s="2" customFormat="1" ht="57.75" customHeight="1">
      <c r="B140" s="784"/>
      <c r="C140" s="72" t="str">
        <f t="shared" si="3"/>
        <v>Maquinaria</v>
      </c>
      <c r="D140" s="258">
        <f t="shared" si="4"/>
        <v>45943</v>
      </c>
      <c r="E140" s="194" t="str">
        <f t="shared" si="5"/>
        <v>MAÑANA</v>
      </c>
      <c r="F140" s="348" t="str">
        <f t="shared" si="6"/>
        <v>09:03</v>
      </c>
      <c r="G140" s="348" t="str">
        <f t="shared" si="7"/>
        <v>09:20</v>
      </c>
      <c r="H140" s="222">
        <f t="shared" si="8"/>
        <v>1.1805555555555569E-2</v>
      </c>
      <c r="I140" s="222" t="str">
        <f t="shared" si="9"/>
        <v>Inspección</v>
      </c>
      <c r="J140" s="222" t="str">
        <f t="shared" si="10"/>
        <v>PROGRAMADA</v>
      </c>
      <c r="K140" s="223" t="str">
        <f t="shared" si="11"/>
        <v/>
      </c>
      <c r="L140" s="195" t="str">
        <f t="shared" si="12"/>
        <v xml:space="preserve">Inspección de correcto funcionamiento de equipo </v>
      </c>
      <c r="M140" s="196" t="str">
        <f t="shared" si="13"/>
        <v/>
      </c>
      <c r="N140" s="95">
        <v>4</v>
      </c>
      <c r="O140" s="125" t="str">
        <f t="shared" si="14"/>
        <v>LINEA AUTOMATICA HACOS 1-4</v>
      </c>
      <c r="Q140" s="145"/>
      <c r="S140" s="184" t="str">
        <f t="shared" si="2"/>
        <v/>
      </c>
      <c r="T140" s="344"/>
      <c r="U140" s="345"/>
      <c r="V140" s="345"/>
      <c r="W140" s="329"/>
      <c r="X140" s="329"/>
      <c r="Y140" s="346"/>
      <c r="Z140" s="16"/>
      <c r="AA140" s="343" t="str">
        <f>IFERROR(VLOOKUP(Z140,DATOS!$M$2:$N$219,2,FALSE),"")</f>
        <v/>
      </c>
      <c r="AB140" s="115"/>
      <c r="AC140" s="330"/>
      <c r="AD140" s="114"/>
      <c r="AE140" s="88"/>
      <c r="AF140" s="88"/>
      <c r="AG140" s="35"/>
      <c r="AH140" s="35"/>
      <c r="AI140" s="35"/>
      <c r="AJ140" s="16"/>
      <c r="AK140" s="16"/>
      <c r="AL140" s="16"/>
      <c r="AM140" s="17"/>
      <c r="AN140" s="16"/>
      <c r="AO140" s="75"/>
      <c r="AP140" s="75"/>
      <c r="AQ140" s="27"/>
      <c r="AR140" s="319"/>
      <c r="AS140" s="10"/>
      <c r="AT140" s="5" t="str">
        <f>IF(Tabla1015[[#This Row],[FECHA]]="","",VLOOKUP(TEXT(Tabla1015[[#This Row],[FECHA]],"[$-C0A]dddd"),Tabla2[#All],2,FALSE)&amp;"-"&amp;TEXT(Tabla1015[[#This Row],[FECHA]],"[$-C0A]dddd"))</f>
        <v/>
      </c>
      <c r="AU140" s="322">
        <f>COUNTIF($Z$4:Z140,Z140)</f>
        <v>0</v>
      </c>
    </row>
    <row r="141" spans="2:47" s="2" customFormat="1" ht="57.75" customHeight="1">
      <c r="B141" s="784"/>
      <c r="C141" s="72" t="str">
        <f t="shared" si="3"/>
        <v>Maquinaria</v>
      </c>
      <c r="D141" s="258">
        <f t="shared" si="4"/>
        <v>45943</v>
      </c>
      <c r="E141" s="194" t="str">
        <f t="shared" si="5"/>
        <v>MAÑANA</v>
      </c>
      <c r="F141" s="348" t="str">
        <f t="shared" si="6"/>
        <v>11:41</v>
      </c>
      <c r="G141" s="348" t="str">
        <f t="shared" si="7"/>
        <v>12:12</v>
      </c>
      <c r="H141" s="222">
        <f t="shared" si="8"/>
        <v>2.1527777777777757E-2</v>
      </c>
      <c r="I141" s="222" t="str">
        <f t="shared" si="9"/>
        <v>SET UP</v>
      </c>
      <c r="J141" s="222" t="str">
        <f t="shared" si="10"/>
        <v>PROGRAMADA</v>
      </c>
      <c r="K141" s="223" t="str">
        <f t="shared" si="11"/>
        <v/>
      </c>
      <c r="L141" s="195" t="str">
        <f t="shared" si="12"/>
        <v xml:space="preserve">Se busca piezas y se arma MD para formato milky frambuesa </v>
      </c>
      <c r="M141" s="196" t="str">
        <f t="shared" si="13"/>
        <v/>
      </c>
      <c r="N141" s="95">
        <v>5</v>
      </c>
      <c r="O141" s="125" t="str">
        <f t="shared" si="14"/>
        <v>LINEA AUTOMATICA HACOS 1-5</v>
      </c>
      <c r="Q141" s="145"/>
      <c r="S141" s="184" t="str">
        <f t="shared" si="2"/>
        <v/>
      </c>
      <c r="T141" s="344"/>
      <c r="U141" s="345"/>
      <c r="V141" s="345"/>
      <c r="W141" s="329"/>
      <c r="X141" s="329"/>
      <c r="Y141" s="346"/>
      <c r="Z141" s="16"/>
      <c r="AA141" s="343" t="str">
        <f>IFERROR(VLOOKUP(Z141,DATOS!$M$2:$N$219,2,FALSE),"")</f>
        <v/>
      </c>
      <c r="AB141" s="115"/>
      <c r="AC141" s="330"/>
      <c r="AD141" s="114"/>
      <c r="AE141" s="88"/>
      <c r="AF141" s="88"/>
      <c r="AG141" s="35"/>
      <c r="AH141" s="35"/>
      <c r="AI141" s="35"/>
      <c r="AJ141" s="16"/>
      <c r="AK141" s="16"/>
      <c r="AL141" s="16"/>
      <c r="AM141" s="17"/>
      <c r="AN141" s="16"/>
      <c r="AO141" s="75"/>
      <c r="AP141" s="75"/>
      <c r="AQ141" s="27"/>
      <c r="AR141" s="319"/>
      <c r="AS141" s="10"/>
      <c r="AT141" s="5" t="str">
        <f>IF(Tabla1015[[#This Row],[FECHA]]="","",VLOOKUP(TEXT(Tabla1015[[#This Row],[FECHA]],"[$-C0A]dddd"),Tabla2[#All],2,FALSE)&amp;"-"&amp;TEXT(Tabla1015[[#This Row],[FECHA]],"[$-C0A]dddd"))</f>
        <v/>
      </c>
      <c r="AU141" s="322">
        <f>COUNTIF($Z$4:Z141,Z141)</f>
        <v>0</v>
      </c>
    </row>
    <row r="142" spans="2:47" s="2" customFormat="1" ht="57.75" customHeight="1">
      <c r="B142" s="784"/>
      <c r="C142" s="72" t="str">
        <f t="shared" si="3"/>
        <v>Maquinaria</v>
      </c>
      <c r="D142" s="258">
        <f t="shared" si="4"/>
        <v>45945</v>
      </c>
      <c r="E142" s="194" t="str">
        <f t="shared" si="5"/>
        <v>TARDE</v>
      </c>
      <c r="F142" s="348" t="str">
        <f t="shared" si="6"/>
        <v>13:28</v>
      </c>
      <c r="G142" s="348" t="str">
        <f t="shared" si="7"/>
        <v>13:50</v>
      </c>
      <c r="H142" s="222">
        <f t="shared" si="8"/>
        <v>1.5277777777777724E-2</v>
      </c>
      <c r="I142" s="222" t="str">
        <f t="shared" si="9"/>
        <v>Inspección</v>
      </c>
      <c r="J142" s="222" t="str">
        <f t="shared" si="10"/>
        <v>PROGRAMADA</v>
      </c>
      <c r="K142" s="223" t="str">
        <f t="shared" si="11"/>
        <v/>
      </c>
      <c r="L142" s="195" t="str">
        <f t="shared" si="12"/>
        <v xml:space="preserve">Revisión de funcionamiento de martillo, ajuste de ingreso de aire </v>
      </c>
      <c r="M142" s="196" t="str">
        <f t="shared" si="13"/>
        <v/>
      </c>
      <c r="N142" s="95">
        <v>6</v>
      </c>
      <c r="O142" s="125" t="str">
        <f t="shared" si="14"/>
        <v>LINEA AUTOMATICA HACOS 1-6</v>
      </c>
      <c r="Q142" s="145"/>
      <c r="S142" s="184" t="str">
        <f t="shared" si="2"/>
        <v/>
      </c>
      <c r="T142" s="344"/>
      <c r="U142" s="345"/>
      <c r="V142" s="345"/>
      <c r="W142" s="329"/>
      <c r="X142" s="329"/>
      <c r="Y142" s="346"/>
      <c r="Z142" s="16"/>
      <c r="AA142" s="343" t="str">
        <f>IFERROR(VLOOKUP(Z142,DATOS!$M$2:$N$219,2,FALSE),"")</f>
        <v/>
      </c>
      <c r="AB142" s="115"/>
      <c r="AC142" s="330"/>
      <c r="AD142" s="114"/>
      <c r="AE142" s="88"/>
      <c r="AF142" s="88"/>
      <c r="AG142" s="35"/>
      <c r="AH142" s="35"/>
      <c r="AI142" s="35"/>
      <c r="AJ142" s="16"/>
      <c r="AK142" s="16"/>
      <c r="AL142" s="16"/>
      <c r="AM142" s="17"/>
      <c r="AN142" s="16"/>
      <c r="AO142" s="75"/>
      <c r="AP142" s="75"/>
      <c r="AQ142" s="27"/>
      <c r="AR142" s="319"/>
      <c r="AS142" s="10"/>
      <c r="AT142" s="5" t="str">
        <f>IF(Tabla1015[[#This Row],[FECHA]]="","",VLOOKUP(TEXT(Tabla1015[[#This Row],[FECHA]],"[$-C0A]dddd"),Tabla2[#All],2,FALSE)&amp;"-"&amp;TEXT(Tabla1015[[#This Row],[FECHA]],"[$-C0A]dddd"))</f>
        <v/>
      </c>
      <c r="AU142" s="322">
        <f>COUNTIF($Z$4:Z142,Z142)</f>
        <v>0</v>
      </c>
    </row>
    <row r="143" spans="2:47" s="2" customFormat="1" ht="57.75" customHeight="1">
      <c r="B143" s="784"/>
      <c r="C143" s="72" t="str">
        <f t="shared" si="3"/>
        <v>Maquinaria</v>
      </c>
      <c r="D143" s="258">
        <f t="shared" si="4"/>
        <v>45945</v>
      </c>
      <c r="E143" s="194" t="str">
        <f t="shared" si="5"/>
        <v>TARDE</v>
      </c>
      <c r="F143" s="348" t="str">
        <f t="shared" si="6"/>
        <v>18:17</v>
      </c>
      <c r="G143" s="348" t="str">
        <f t="shared" si="7"/>
        <v>18:45</v>
      </c>
      <c r="H143" s="222">
        <f t="shared" si="8"/>
        <v>1.9444444444444486E-2</v>
      </c>
      <c r="I143" s="222" t="str">
        <f t="shared" si="9"/>
        <v>SET UP</v>
      </c>
      <c r="J143" s="222" t="str">
        <f t="shared" si="10"/>
        <v>PROGRAMADA</v>
      </c>
      <c r="K143" s="223" t="str">
        <f t="shared" si="11"/>
        <v/>
      </c>
      <c r="L143" s="195" t="str">
        <f t="shared" si="12"/>
        <v>Desarmado de formato agregados para limpieza</v>
      </c>
      <c r="M143" s="196" t="str">
        <f t="shared" si="13"/>
        <v/>
      </c>
      <c r="N143" s="95">
        <v>7</v>
      </c>
      <c r="O143" s="125" t="str">
        <f t="shared" si="14"/>
        <v>LINEA AUTOMATICA HACOS 1-7</v>
      </c>
      <c r="Q143" s="145"/>
      <c r="S143" s="184" t="str">
        <f t="shared" si="2"/>
        <v/>
      </c>
      <c r="T143" s="344"/>
      <c r="U143" s="345"/>
      <c r="V143" s="345"/>
      <c r="W143" s="329"/>
      <c r="X143" s="329"/>
      <c r="Y143" s="346"/>
      <c r="Z143" s="16"/>
      <c r="AA143" s="343" t="str">
        <f>IFERROR(VLOOKUP(Z143,DATOS!$M$2:$N$219,2,FALSE),"")</f>
        <v/>
      </c>
      <c r="AB143" s="115"/>
      <c r="AC143" s="330"/>
      <c r="AD143" s="114"/>
      <c r="AE143" s="88"/>
      <c r="AF143" s="88"/>
      <c r="AG143" s="35"/>
      <c r="AH143" s="35"/>
      <c r="AI143" s="35"/>
      <c r="AJ143" s="16"/>
      <c r="AK143" s="16"/>
      <c r="AL143" s="16"/>
      <c r="AM143" s="17"/>
      <c r="AN143" s="16"/>
      <c r="AO143" s="75"/>
      <c r="AP143" s="75"/>
      <c r="AQ143" s="27"/>
      <c r="AR143" s="319"/>
      <c r="AS143" s="10"/>
      <c r="AT143" s="5" t="str">
        <f>IF(Tabla1015[[#This Row],[FECHA]]="","",VLOOKUP(TEXT(Tabla1015[[#This Row],[FECHA]],"[$-C0A]dddd"),Tabla2[#All],2,FALSE)&amp;"-"&amp;TEXT(Tabla1015[[#This Row],[FECHA]],"[$-C0A]dddd"))</f>
        <v/>
      </c>
      <c r="AU143" s="322">
        <f>COUNTIF($Z$4:Z143,Z143)</f>
        <v>0</v>
      </c>
    </row>
    <row r="144" spans="2:47" s="2" customFormat="1" ht="57.75" customHeight="1">
      <c r="B144" s="784"/>
      <c r="C144" s="72" t="str">
        <f t="shared" si="3"/>
        <v>Maquinaria</v>
      </c>
      <c r="D144" s="258">
        <f t="shared" si="4"/>
        <v>45945</v>
      </c>
      <c r="E144" s="194" t="str">
        <f t="shared" si="5"/>
        <v>TARDE</v>
      </c>
      <c r="F144" s="348" t="str">
        <f t="shared" si="6"/>
        <v>18:50</v>
      </c>
      <c r="G144" s="348" t="str">
        <f t="shared" si="7"/>
        <v>19:24</v>
      </c>
      <c r="H144" s="222">
        <f t="shared" si="8"/>
        <v>2.3611111111111138E-2</v>
      </c>
      <c r="I144" s="222" t="str">
        <f t="shared" si="9"/>
        <v>SET UP</v>
      </c>
      <c r="J144" s="222" t="str">
        <f t="shared" si="10"/>
        <v>PROGRAMADA</v>
      </c>
      <c r="K144" s="223" t="str">
        <f t="shared" si="11"/>
        <v/>
      </c>
      <c r="L144" s="195" t="str">
        <f t="shared" si="12"/>
        <v>Armado de formato cremas y habilitación en mds</v>
      </c>
      <c r="M144" s="196" t="str">
        <f t="shared" si="13"/>
        <v/>
      </c>
      <c r="N144" s="95">
        <v>8</v>
      </c>
      <c r="O144" s="125" t="str">
        <f t="shared" si="14"/>
        <v>LINEA AUTOMATICA HACOS 1-8</v>
      </c>
      <c r="Q144" s="145"/>
      <c r="S144" s="184" t="str">
        <f t="shared" si="2"/>
        <v/>
      </c>
      <c r="T144" s="344"/>
      <c r="U144" s="345"/>
      <c r="V144" s="345"/>
      <c r="W144" s="329"/>
      <c r="X144" s="329"/>
      <c r="Y144" s="346"/>
      <c r="Z144" s="16"/>
      <c r="AA144" s="343" t="str">
        <f>IFERROR(VLOOKUP(Z144,DATOS!$M$2:$N$219,2,FALSE),"")</f>
        <v/>
      </c>
      <c r="AB144" s="115"/>
      <c r="AC144" s="330"/>
      <c r="AD144" s="114"/>
      <c r="AE144" s="88"/>
      <c r="AF144" s="88"/>
      <c r="AG144" s="35"/>
      <c r="AH144" s="35"/>
      <c r="AI144" s="35"/>
      <c r="AJ144" s="16"/>
      <c r="AK144" s="16"/>
      <c r="AL144" s="16"/>
      <c r="AM144" s="17"/>
      <c r="AN144" s="16"/>
      <c r="AO144" s="75"/>
      <c r="AP144" s="75"/>
      <c r="AQ144" s="27"/>
      <c r="AR144" s="319"/>
      <c r="AS144" s="10"/>
      <c r="AT144" s="5" t="str">
        <f>IF(Tabla1015[[#This Row],[FECHA]]="","",VLOOKUP(TEXT(Tabla1015[[#This Row],[FECHA]],"[$-C0A]dddd"),Tabla2[#All],2,FALSE)&amp;"-"&amp;TEXT(Tabla1015[[#This Row],[FECHA]],"[$-C0A]dddd"))</f>
        <v/>
      </c>
      <c r="AU144" s="322">
        <f>COUNTIF($Z$4:Z144,Z144)</f>
        <v>0</v>
      </c>
    </row>
    <row r="145" spans="2:47" s="2" customFormat="1" ht="57.75" customHeight="1">
      <c r="B145" s="784"/>
      <c r="C145" s="72" t="str">
        <f t="shared" si="3"/>
        <v>Maquinaria</v>
      </c>
      <c r="D145" s="258">
        <f t="shared" si="4"/>
        <v>45945</v>
      </c>
      <c r="E145" s="194" t="str">
        <f t="shared" si="5"/>
        <v>NOCHE</v>
      </c>
      <c r="F145" s="348" t="str">
        <f t="shared" si="6"/>
        <v>02:10</v>
      </c>
      <c r="G145" s="348" t="str">
        <f t="shared" si="7"/>
        <v>02:40</v>
      </c>
      <c r="H145" s="222">
        <f t="shared" si="8"/>
        <v>2.0833333333333329E-2</v>
      </c>
      <c r="I145" s="222" t="str">
        <f t="shared" si="9"/>
        <v>Inspección</v>
      </c>
      <c r="J145" s="222" t="str">
        <f t="shared" si="10"/>
        <v>PROGRAMADA</v>
      </c>
      <c r="K145" s="223" t="str">
        <f t="shared" si="11"/>
        <v/>
      </c>
      <c r="L145" s="195" t="str">
        <f t="shared" si="12"/>
        <v xml:space="preserve">Inspección de funcionamiento de actuador b6 y martillo </v>
      </c>
      <c r="M145" s="196" t="str">
        <f t="shared" si="13"/>
        <v/>
      </c>
      <c r="N145" s="95">
        <v>9</v>
      </c>
      <c r="O145" s="125" t="str">
        <f t="shared" si="14"/>
        <v>LINEA AUTOMATICA HACOS 1-9</v>
      </c>
      <c r="Q145" s="145"/>
      <c r="S145" s="184" t="str">
        <f t="shared" si="2"/>
        <v/>
      </c>
      <c r="T145" s="344"/>
      <c r="U145" s="345"/>
      <c r="V145" s="345"/>
      <c r="W145" s="329"/>
      <c r="X145" s="329"/>
      <c r="Y145" s="346"/>
      <c r="Z145" s="16"/>
      <c r="AA145" s="343" t="str">
        <f>IFERROR(VLOOKUP(Z145,DATOS!$M$2:$N$219,2,FALSE),"")</f>
        <v/>
      </c>
      <c r="AB145" s="115"/>
      <c r="AC145" s="330"/>
      <c r="AD145" s="114"/>
      <c r="AE145" s="88"/>
      <c r="AF145" s="88"/>
      <c r="AG145" s="35"/>
      <c r="AH145" s="35"/>
      <c r="AI145" s="35"/>
      <c r="AJ145" s="16"/>
      <c r="AK145" s="16"/>
      <c r="AL145" s="16"/>
      <c r="AM145" s="17"/>
      <c r="AN145" s="16"/>
      <c r="AO145" s="75"/>
      <c r="AP145" s="75"/>
      <c r="AQ145" s="27"/>
      <c r="AR145" s="319"/>
      <c r="AS145" s="10"/>
      <c r="AT145" s="5" t="str">
        <f>IF(Tabla1015[[#This Row],[FECHA]]="","",VLOOKUP(TEXT(Tabla1015[[#This Row],[FECHA]],"[$-C0A]dddd"),Tabla2[#All],2,FALSE)&amp;"-"&amp;TEXT(Tabla1015[[#This Row],[FECHA]],"[$-C0A]dddd"))</f>
        <v/>
      </c>
      <c r="AU145" s="322">
        <f>COUNTIF($Z$4:Z145,Z145)</f>
        <v>0</v>
      </c>
    </row>
    <row r="146" spans="2:47" s="2" customFormat="1" ht="57.75" customHeight="1">
      <c r="B146" s="784"/>
      <c r="C146" s="72" t="str">
        <f t="shared" si="3"/>
        <v>Maquinaria</v>
      </c>
      <c r="D146" s="258">
        <f t="shared" si="4"/>
        <v>45945</v>
      </c>
      <c r="E146" s="194" t="str">
        <f t="shared" si="5"/>
        <v>MAÑANA</v>
      </c>
      <c r="F146" s="348" t="str">
        <f t="shared" si="6"/>
        <v>08:15</v>
      </c>
      <c r="G146" s="348" t="str">
        <f t="shared" si="7"/>
        <v>08:35</v>
      </c>
      <c r="H146" s="222">
        <f t="shared" si="8"/>
        <v>1.3888888888888895E-2</v>
      </c>
      <c r="I146" s="222" t="str">
        <f t="shared" si="9"/>
        <v>Inspección</v>
      </c>
      <c r="J146" s="222" t="str">
        <f t="shared" si="10"/>
        <v>PROGRAMADA</v>
      </c>
      <c r="K146" s="223" t="str">
        <f t="shared" si="11"/>
        <v/>
      </c>
      <c r="L146" s="195" t="str">
        <f t="shared" si="12"/>
        <v xml:space="preserve">Inspección de equipo </v>
      </c>
      <c r="M146" s="196" t="str">
        <f t="shared" si="13"/>
        <v/>
      </c>
      <c r="N146" s="95">
        <v>10</v>
      </c>
      <c r="O146" s="125" t="str">
        <f t="shared" si="14"/>
        <v>LINEA AUTOMATICA HACOS 1-10</v>
      </c>
      <c r="Q146" s="145"/>
      <c r="S146" s="184" t="str">
        <f t="shared" si="2"/>
        <v/>
      </c>
      <c r="T146" s="344"/>
      <c r="U146" s="345"/>
      <c r="V146" s="345"/>
      <c r="W146" s="329"/>
      <c r="X146" s="329"/>
      <c r="Y146" s="346"/>
      <c r="Z146" s="16"/>
      <c r="AA146" s="343" t="str">
        <f>IFERROR(VLOOKUP(Z146,DATOS!$M$2:$N$219,2,FALSE),"")</f>
        <v/>
      </c>
      <c r="AB146" s="115"/>
      <c r="AC146" s="330"/>
      <c r="AD146" s="114"/>
      <c r="AE146" s="88"/>
      <c r="AF146" s="88"/>
      <c r="AG146" s="35"/>
      <c r="AH146" s="35"/>
      <c r="AI146" s="35"/>
      <c r="AJ146" s="16"/>
      <c r="AK146" s="16"/>
      <c r="AL146" s="16"/>
      <c r="AM146" s="17"/>
      <c r="AN146" s="16"/>
      <c r="AO146" s="75"/>
      <c r="AP146" s="75"/>
      <c r="AQ146" s="27"/>
      <c r="AR146" s="319"/>
      <c r="AS146" s="10"/>
      <c r="AT146" s="5" t="str">
        <f>IF(Tabla1015[[#This Row],[FECHA]]="","",VLOOKUP(TEXT(Tabla1015[[#This Row],[FECHA]],"[$-C0A]dddd"),Tabla2[#All],2,FALSE)&amp;"-"&amp;TEXT(Tabla1015[[#This Row],[FECHA]],"[$-C0A]dddd"))</f>
        <v/>
      </c>
      <c r="AU146" s="322">
        <f>COUNTIF($Z$4:Z146,Z146)</f>
        <v>0</v>
      </c>
    </row>
    <row r="147" spans="2:47" s="2" customFormat="1" ht="57.75" customHeight="1">
      <c r="B147" s="784"/>
      <c r="C147" s="72" t="str">
        <f t="shared" si="3"/>
        <v>Maquinaria</v>
      </c>
      <c r="D147" s="258">
        <f t="shared" si="4"/>
        <v>45945</v>
      </c>
      <c r="E147" s="194" t="str">
        <f t="shared" si="5"/>
        <v>MAÑANA</v>
      </c>
      <c r="F147" s="348" t="str">
        <f t="shared" si="6"/>
        <v>09:40</v>
      </c>
      <c r="G147" s="348" t="str">
        <f t="shared" si="7"/>
        <v>10:10</v>
      </c>
      <c r="H147" s="222">
        <f t="shared" si="8"/>
        <v>2.0833333333333315E-2</v>
      </c>
      <c r="I147" s="222" t="str">
        <f t="shared" si="9"/>
        <v>SET UP</v>
      </c>
      <c r="J147" s="222" t="str">
        <f t="shared" si="10"/>
        <v>PROGRAMADA</v>
      </c>
      <c r="K147" s="223" t="str">
        <f t="shared" si="11"/>
        <v/>
      </c>
      <c r="L147" s="195" t="str">
        <f t="shared" si="12"/>
        <v>Desarmar módulo de MDS para su limpieza.</v>
      </c>
      <c r="M147" s="196" t="str">
        <f t="shared" si="13"/>
        <v>Se desarmo módulo de MDS.</v>
      </c>
      <c r="N147" s="95">
        <v>11</v>
      </c>
      <c r="O147" s="125" t="str">
        <f t="shared" si="14"/>
        <v>LINEA AUTOMATICA HACOS 1-11</v>
      </c>
      <c r="Q147" s="145"/>
      <c r="S147" s="184" t="str">
        <f t="shared" si="2"/>
        <v/>
      </c>
      <c r="T147" s="344"/>
      <c r="U147" s="345"/>
      <c r="V147" s="345"/>
      <c r="W147" s="329"/>
      <c r="X147" s="329"/>
      <c r="Y147" s="346"/>
      <c r="Z147" s="16"/>
      <c r="AA147" s="343" t="str">
        <f>IFERROR(VLOOKUP(Z147,DATOS!$M$2:$N$219,2,FALSE),"")</f>
        <v/>
      </c>
      <c r="AB147" s="115"/>
      <c r="AC147" s="330"/>
      <c r="AD147" s="114"/>
      <c r="AE147" s="88"/>
      <c r="AF147" s="88"/>
      <c r="AG147" s="35"/>
      <c r="AH147" s="35"/>
      <c r="AI147" s="35"/>
      <c r="AJ147" s="16"/>
      <c r="AK147" s="16"/>
      <c r="AL147" s="16"/>
      <c r="AM147" s="17"/>
      <c r="AN147" s="16"/>
      <c r="AO147" s="75"/>
      <c r="AP147" s="75"/>
      <c r="AQ147" s="27"/>
      <c r="AR147" s="319"/>
      <c r="AS147" s="10"/>
      <c r="AT147" s="5" t="str">
        <f>IF(Tabla1015[[#This Row],[FECHA]]="","",VLOOKUP(TEXT(Tabla1015[[#This Row],[FECHA]],"[$-C0A]dddd"),Tabla2[#All],2,FALSE)&amp;"-"&amp;TEXT(Tabla1015[[#This Row],[FECHA]],"[$-C0A]dddd"))</f>
        <v/>
      </c>
      <c r="AU147" s="322">
        <f>COUNTIF($Z$4:Z147,Z147)</f>
        <v>0</v>
      </c>
    </row>
    <row r="148" spans="2:47" s="2" customFormat="1" ht="57.75" customHeight="1">
      <c r="B148" s="784"/>
      <c r="C148" s="101" t="str">
        <f t="shared" si="3"/>
        <v>Maquinaria</v>
      </c>
      <c r="D148" s="259">
        <f t="shared" si="4"/>
        <v>45945</v>
      </c>
      <c r="E148" s="197" t="str">
        <f t="shared" si="5"/>
        <v>MAÑANA</v>
      </c>
      <c r="F148" s="349" t="str">
        <f t="shared" si="6"/>
        <v>10:10</v>
      </c>
      <c r="G148" s="349" t="str">
        <f t="shared" si="7"/>
        <v>10:41</v>
      </c>
      <c r="H148" s="224">
        <f t="shared" si="8"/>
        <v>2.1527777777777757E-2</v>
      </c>
      <c r="I148" s="224" t="str">
        <f t="shared" si="9"/>
        <v>SET UP</v>
      </c>
      <c r="J148" s="224" t="str">
        <f t="shared" si="10"/>
        <v>PROGRAMADA</v>
      </c>
      <c r="K148" s="225" t="str">
        <f t="shared" si="11"/>
        <v/>
      </c>
      <c r="L148" s="198" t="str">
        <f t="shared" si="12"/>
        <v>Armar módulo MDS formato agregados x100gr</v>
      </c>
      <c r="M148" s="199" t="str">
        <f t="shared" si="13"/>
        <v>Se armó módulo de MDS.</v>
      </c>
      <c r="N148" s="102">
        <v>12</v>
      </c>
      <c r="O148" s="135" t="str">
        <f t="shared" si="14"/>
        <v>LINEA AUTOMATICA HACOS 1-12</v>
      </c>
      <c r="Q148" s="145"/>
      <c r="S148" s="184" t="str">
        <f t="shared" si="2"/>
        <v/>
      </c>
      <c r="T148" s="344"/>
      <c r="U148" s="345"/>
      <c r="V148" s="345"/>
      <c r="W148" s="329"/>
      <c r="X148" s="329"/>
      <c r="Y148" s="346"/>
      <c r="Z148" s="16"/>
      <c r="AA148" s="343" t="str">
        <f>IFERROR(VLOOKUP(Z148,DATOS!$M$2:$N$219,2,FALSE),"")</f>
        <v/>
      </c>
      <c r="AB148" s="115"/>
      <c r="AC148" s="330"/>
      <c r="AD148" s="114"/>
      <c r="AE148" s="88"/>
      <c r="AF148" s="88"/>
      <c r="AG148" s="35"/>
      <c r="AH148" s="35"/>
      <c r="AI148" s="35"/>
      <c r="AJ148" s="16"/>
      <c r="AK148" s="16"/>
      <c r="AL148" s="16"/>
      <c r="AM148" s="17"/>
      <c r="AN148" s="16"/>
      <c r="AO148" s="75"/>
      <c r="AP148" s="75"/>
      <c r="AQ148" s="27"/>
      <c r="AR148" s="319"/>
      <c r="AS148" s="10"/>
      <c r="AT148" s="5" t="str">
        <f>IF(Tabla1015[[#This Row],[FECHA]]="","",VLOOKUP(TEXT(Tabla1015[[#This Row],[FECHA]],"[$-C0A]dddd"),Tabla2[#All],2,FALSE)&amp;"-"&amp;TEXT(Tabla1015[[#This Row],[FECHA]],"[$-C0A]dddd"))</f>
        <v/>
      </c>
      <c r="AU148" s="322">
        <f>COUNTIF($Z$4:Z148,Z148)</f>
        <v>0</v>
      </c>
    </row>
    <row r="149" spans="2:47" s="2" customFormat="1" ht="57.75" customHeight="1">
      <c r="B149" s="784"/>
      <c r="C149" s="72" t="str">
        <f t="shared" si="3"/>
        <v>Maquinaria</v>
      </c>
      <c r="D149" s="258">
        <f t="shared" si="4"/>
        <v>45946</v>
      </c>
      <c r="E149" s="194" t="str">
        <f t="shared" si="5"/>
        <v>MAÑANA</v>
      </c>
      <c r="F149" s="348" t="str">
        <f t="shared" si="6"/>
        <v>11:00</v>
      </c>
      <c r="G149" s="348" t="str">
        <f t="shared" si="7"/>
        <v>11:15</v>
      </c>
      <c r="H149" s="222">
        <f t="shared" si="8"/>
        <v>1.0416666666666685E-2</v>
      </c>
      <c r="I149" s="222" t="str">
        <f t="shared" si="9"/>
        <v>Limpieza</v>
      </c>
      <c r="J149" s="222" t="str">
        <f t="shared" si="10"/>
        <v>PROGRAMADA</v>
      </c>
      <c r="K149" s="223" t="str">
        <f t="shared" si="11"/>
        <v/>
      </c>
      <c r="L149" s="195" t="str">
        <f t="shared" si="12"/>
        <v xml:space="preserve">Se retira husillo y plancha para limpieza </v>
      </c>
      <c r="M149" s="196" t="str">
        <f t="shared" si="13"/>
        <v/>
      </c>
      <c r="N149" s="95">
        <v>13</v>
      </c>
      <c r="O149" s="125" t="str">
        <f t="shared" ref="O149:O156" si="15">CONCATENATE($B$137,"-",N149)</f>
        <v>LINEA AUTOMATICA HACOS 1-13</v>
      </c>
      <c r="Q149" s="145"/>
      <c r="S149" s="184" t="str">
        <f t="shared" si="2"/>
        <v/>
      </c>
      <c r="T149" s="344"/>
      <c r="U149" s="345"/>
      <c r="V149" s="345"/>
      <c r="W149" s="329"/>
      <c r="X149" s="329"/>
      <c r="Y149" s="346"/>
      <c r="Z149" s="16"/>
      <c r="AA149" s="343" t="str">
        <f>IFERROR(VLOOKUP(Z149,DATOS!$M$2:$N$219,2,FALSE),"")</f>
        <v/>
      </c>
      <c r="AB149" s="115"/>
      <c r="AC149" s="330"/>
      <c r="AD149" s="114"/>
      <c r="AE149" s="88"/>
      <c r="AF149" s="88"/>
      <c r="AG149" s="35"/>
      <c r="AH149" s="35"/>
      <c r="AI149" s="35"/>
      <c r="AJ149" s="16"/>
      <c r="AK149" s="16"/>
      <c r="AL149" s="16"/>
      <c r="AM149" s="17"/>
      <c r="AN149" s="16"/>
      <c r="AO149" s="75"/>
      <c r="AP149" s="75"/>
      <c r="AQ149" s="27"/>
      <c r="AR149" s="319"/>
      <c r="AS149" s="10"/>
      <c r="AT149" s="5" t="str">
        <f>IF(Tabla1015[[#This Row],[FECHA]]="","",VLOOKUP(TEXT(Tabla1015[[#This Row],[FECHA]],"[$-C0A]dddd"),Tabla2[#All],2,FALSE)&amp;"-"&amp;TEXT(Tabla1015[[#This Row],[FECHA]],"[$-C0A]dddd"))</f>
        <v/>
      </c>
      <c r="AU149" s="322">
        <f>COUNTIF($Z$4:Z149,Z149)</f>
        <v>0</v>
      </c>
    </row>
    <row r="150" spans="2:47" s="2" customFormat="1" ht="57.75" customHeight="1">
      <c r="B150" s="784"/>
      <c r="C150" s="72" t="str">
        <f t="shared" si="3"/>
        <v>Maquinaria</v>
      </c>
      <c r="D150" s="258">
        <f t="shared" si="4"/>
        <v>45946</v>
      </c>
      <c r="E150" s="194" t="str">
        <f t="shared" si="5"/>
        <v>MAÑANA</v>
      </c>
      <c r="F150" s="348" t="str">
        <f t="shared" si="6"/>
        <v>11:40</v>
      </c>
      <c r="G150" s="348" t="str">
        <f t="shared" si="7"/>
        <v>11:55</v>
      </c>
      <c r="H150" s="222">
        <f t="shared" si="8"/>
        <v>1.0416666666666685E-2</v>
      </c>
      <c r="I150" s="222" t="str">
        <f t="shared" si="9"/>
        <v>SET UP</v>
      </c>
      <c r="J150" s="222" t="str">
        <f t="shared" si="10"/>
        <v>PROGRAMADA</v>
      </c>
      <c r="K150" s="223" t="str">
        <f t="shared" si="11"/>
        <v/>
      </c>
      <c r="L150" s="195" t="str">
        <f t="shared" si="12"/>
        <v xml:space="preserve">Se coloca husillo y plancha en MDS y se inicializa </v>
      </c>
      <c r="M150" s="196" t="str">
        <f t="shared" si="13"/>
        <v/>
      </c>
      <c r="N150" s="95">
        <v>14</v>
      </c>
      <c r="O150" s="125" t="str">
        <f t="shared" si="15"/>
        <v>LINEA AUTOMATICA HACOS 1-14</v>
      </c>
      <c r="Q150" s="145"/>
      <c r="S150" s="184" t="str">
        <f t="shared" si="2"/>
        <v/>
      </c>
      <c r="T150" s="344"/>
      <c r="U150" s="345"/>
      <c r="V150" s="345"/>
      <c r="W150" s="329"/>
      <c r="X150" s="329"/>
      <c r="Y150" s="346"/>
      <c r="Z150" s="16"/>
      <c r="AA150" s="343" t="str">
        <f>IFERROR(VLOOKUP(Z150,DATOS!$M$2:$N$219,2,FALSE),"")</f>
        <v/>
      </c>
      <c r="AB150" s="115"/>
      <c r="AC150" s="330"/>
      <c r="AD150" s="114"/>
      <c r="AE150" s="88"/>
      <c r="AF150" s="88"/>
      <c r="AG150" s="35"/>
      <c r="AH150" s="35"/>
      <c r="AI150" s="35"/>
      <c r="AJ150" s="16"/>
      <c r="AK150" s="16"/>
      <c r="AL150" s="16"/>
      <c r="AM150" s="17"/>
      <c r="AN150" s="16"/>
      <c r="AO150" s="75"/>
      <c r="AP150" s="75"/>
      <c r="AQ150" s="27"/>
      <c r="AR150" s="319"/>
      <c r="AS150" s="10"/>
      <c r="AT150" s="5" t="str">
        <f>IF(Tabla1015[[#This Row],[FECHA]]="","",VLOOKUP(TEXT(Tabla1015[[#This Row],[FECHA]],"[$-C0A]dddd"),Tabla2[#All],2,FALSE)&amp;"-"&amp;TEXT(Tabla1015[[#This Row],[FECHA]],"[$-C0A]dddd"))</f>
        <v/>
      </c>
      <c r="AU150" s="322">
        <f>COUNTIF($Z$4:Z150,Z150)</f>
        <v>0</v>
      </c>
    </row>
    <row r="151" spans="2:47" s="2" customFormat="1" ht="57.75" customHeight="1">
      <c r="B151" s="784"/>
      <c r="C151" s="72" t="str">
        <f t="shared" si="3"/>
        <v>Maquinaria</v>
      </c>
      <c r="D151" s="258">
        <f t="shared" si="4"/>
        <v>45946</v>
      </c>
      <c r="E151" s="194" t="str">
        <f t="shared" si="5"/>
        <v>MAÑANA</v>
      </c>
      <c r="F151" s="348" t="str">
        <f t="shared" si="6"/>
        <v>07:00</v>
      </c>
      <c r="G151" s="348" t="str">
        <f t="shared" si="7"/>
        <v>07:20</v>
      </c>
      <c r="H151" s="222">
        <f t="shared" si="8"/>
        <v>1.3888888888888895E-2</v>
      </c>
      <c r="I151" s="222" t="str">
        <f t="shared" si="9"/>
        <v>Inspección</v>
      </c>
      <c r="J151" s="222" t="str">
        <f t="shared" si="10"/>
        <v>PROGRAMADA</v>
      </c>
      <c r="K151" s="223" t="str">
        <f t="shared" si="11"/>
        <v/>
      </c>
      <c r="L151" s="195" t="str">
        <f t="shared" si="12"/>
        <v xml:space="preserve">Inspección de máquina en funcionamiento </v>
      </c>
      <c r="M151" s="196" t="str">
        <f t="shared" si="13"/>
        <v>Se dió seguimiento al funcionamiento de máquina.</v>
      </c>
      <c r="N151" s="102">
        <v>15</v>
      </c>
      <c r="O151" s="125" t="str">
        <f t="shared" si="15"/>
        <v>LINEA AUTOMATICA HACOS 1-15</v>
      </c>
      <c r="Q151" s="145"/>
      <c r="S151" s="184" t="str">
        <f t="shared" si="2"/>
        <v/>
      </c>
      <c r="T151" s="344"/>
      <c r="U151" s="345"/>
      <c r="V151" s="345"/>
      <c r="W151" s="329"/>
      <c r="X151" s="329"/>
      <c r="Y151" s="346"/>
      <c r="Z151" s="16"/>
      <c r="AA151" s="343" t="str">
        <f>IFERROR(VLOOKUP(Z151,DATOS!$M$2:$N$219,2,FALSE),"")</f>
        <v/>
      </c>
      <c r="AB151" s="115"/>
      <c r="AC151" s="330"/>
      <c r="AD151" s="114"/>
      <c r="AE151" s="88"/>
      <c r="AF151" s="88"/>
      <c r="AG151" s="35"/>
      <c r="AH151" s="35"/>
      <c r="AI151" s="35"/>
      <c r="AJ151" s="16"/>
      <c r="AK151" s="16"/>
      <c r="AL151" s="16"/>
      <c r="AM151" s="17"/>
      <c r="AN151" s="16"/>
      <c r="AO151" s="75"/>
      <c r="AP151" s="75"/>
      <c r="AQ151" s="27"/>
      <c r="AR151" s="319"/>
      <c r="AS151" s="10"/>
      <c r="AT151" s="5" t="str">
        <f>IF(Tabla1015[[#This Row],[FECHA]]="","",VLOOKUP(TEXT(Tabla1015[[#This Row],[FECHA]],"[$-C0A]dddd"),Tabla2[#All],2,FALSE)&amp;"-"&amp;TEXT(Tabla1015[[#This Row],[FECHA]],"[$-C0A]dddd"))</f>
        <v/>
      </c>
      <c r="AU151" s="322">
        <f>COUNTIF($Z$4:Z151,Z151)</f>
        <v>0</v>
      </c>
    </row>
    <row r="152" spans="2:47" s="2" customFormat="1" ht="57.75" customHeight="1">
      <c r="B152" s="784"/>
      <c r="C152" s="72" t="str">
        <f t="shared" si="3"/>
        <v>Maquinaria</v>
      </c>
      <c r="D152" s="258">
        <f t="shared" si="4"/>
        <v>45946</v>
      </c>
      <c r="E152" s="194" t="str">
        <f t="shared" si="5"/>
        <v>NOCHE</v>
      </c>
      <c r="F152" s="348" t="str">
        <f t="shared" si="6"/>
        <v>00:00</v>
      </c>
      <c r="G152" s="348" t="str">
        <f t="shared" si="7"/>
        <v>01:00</v>
      </c>
      <c r="H152" s="222">
        <f t="shared" si="8"/>
        <v>4.1666666666666664E-2</v>
      </c>
      <c r="I152" s="222" t="str">
        <f t="shared" si="9"/>
        <v>SET UP</v>
      </c>
      <c r="J152" s="222" t="str">
        <f t="shared" si="10"/>
        <v>PROGRAMADA</v>
      </c>
      <c r="K152" s="223" t="str">
        <f t="shared" si="11"/>
        <v/>
      </c>
      <c r="L152" s="195" t="str">
        <f t="shared" si="12"/>
        <v>Cambio de formato de mds</v>
      </c>
      <c r="M152" s="196" t="str">
        <f t="shared" si="13"/>
        <v>Se retiró rodillo, plancha y empujadores , se apoyó con el secado de piezas y se armó equipo</v>
      </c>
      <c r="N152" s="95">
        <v>16</v>
      </c>
      <c r="O152" s="125" t="str">
        <f t="shared" si="15"/>
        <v>LINEA AUTOMATICA HACOS 1-16</v>
      </c>
      <c r="Q152" s="145"/>
      <c r="S152" s="184" t="str">
        <f t="shared" si="2"/>
        <v/>
      </c>
      <c r="T152" s="344"/>
      <c r="U152" s="345"/>
      <c r="V152" s="345"/>
      <c r="W152" s="329"/>
      <c r="X152" s="329"/>
      <c r="Y152" s="346"/>
      <c r="Z152" s="16"/>
      <c r="AA152" s="343" t="str">
        <f>IFERROR(VLOOKUP(Z152,DATOS!$M$2:$N$219,2,FALSE),"")</f>
        <v/>
      </c>
      <c r="AB152" s="115"/>
      <c r="AC152" s="330"/>
      <c r="AD152" s="114"/>
      <c r="AE152" s="88"/>
      <c r="AF152" s="88"/>
      <c r="AG152" s="35"/>
      <c r="AH152" s="35"/>
      <c r="AI152" s="35"/>
      <c r="AJ152" s="16"/>
      <c r="AK152" s="16"/>
      <c r="AL152" s="16"/>
      <c r="AM152" s="17"/>
      <c r="AN152" s="16"/>
      <c r="AO152" s="75"/>
      <c r="AP152" s="75"/>
      <c r="AQ152" s="27"/>
      <c r="AR152" s="319"/>
      <c r="AS152" s="10"/>
      <c r="AT152" s="5" t="str">
        <f>IF(Tabla1015[[#This Row],[FECHA]]="","",VLOOKUP(TEXT(Tabla1015[[#This Row],[FECHA]],"[$-C0A]dddd"),Tabla2[#All],2,FALSE)&amp;"-"&amp;TEXT(Tabla1015[[#This Row],[FECHA]],"[$-C0A]dddd"))</f>
        <v/>
      </c>
      <c r="AU152" s="322">
        <f>COUNTIF($Z$4:Z152,Z152)</f>
        <v>0</v>
      </c>
    </row>
    <row r="153" spans="2:47" s="2" customFormat="1" ht="57.75" customHeight="1">
      <c r="B153" s="784"/>
      <c r="C153" s="72" t="str">
        <f t="shared" si="3"/>
        <v>Maquinaria</v>
      </c>
      <c r="D153" s="258">
        <f t="shared" si="4"/>
        <v>45946</v>
      </c>
      <c r="E153" s="194" t="str">
        <f t="shared" si="5"/>
        <v>NOCHE</v>
      </c>
      <c r="F153" s="348" t="str">
        <f t="shared" si="6"/>
        <v>01:07</v>
      </c>
      <c r="G153" s="348" t="str">
        <f t="shared" si="7"/>
        <v>01:20</v>
      </c>
      <c r="H153" s="222">
        <f>IFERROR(VLOOKUP(O153,$S$3:$AU$306,7,FALSE),"")</f>
        <v>9.0277777777777735E-3</v>
      </c>
      <c r="I153" s="222" t="str">
        <f t="shared" si="9"/>
        <v>Inspección</v>
      </c>
      <c r="J153" s="222" t="str">
        <f t="shared" si="10"/>
        <v>PROGRAMADA</v>
      </c>
      <c r="K153" s="223" t="str">
        <f t="shared" si="11"/>
        <v/>
      </c>
      <c r="L153" s="195" t="str">
        <f t="shared" si="12"/>
        <v xml:space="preserve">Inspección de robot </v>
      </c>
      <c r="M153" s="196" t="str">
        <f t="shared" si="13"/>
        <v/>
      </c>
      <c r="N153" s="95">
        <v>17</v>
      </c>
      <c r="O153" s="125" t="str">
        <f t="shared" si="15"/>
        <v>LINEA AUTOMATICA HACOS 1-17</v>
      </c>
      <c r="Q153" s="145"/>
      <c r="S153" s="184" t="str">
        <f t="shared" si="2"/>
        <v/>
      </c>
      <c r="T153" s="344"/>
      <c r="U153" s="345"/>
      <c r="V153" s="345"/>
      <c r="W153" s="329"/>
      <c r="X153" s="329"/>
      <c r="Y153" s="346"/>
      <c r="Z153" s="16"/>
      <c r="AA153" s="343" t="str">
        <f>IFERROR(VLOOKUP(Z153,DATOS!$M$2:$N$219,2,FALSE),"")</f>
        <v/>
      </c>
      <c r="AB153" s="115"/>
      <c r="AC153" s="330"/>
      <c r="AD153" s="114"/>
      <c r="AE153" s="88"/>
      <c r="AF153" s="88"/>
      <c r="AG153" s="35"/>
      <c r="AH153" s="35"/>
      <c r="AI153" s="35"/>
      <c r="AJ153" s="16"/>
      <c r="AK153" s="16"/>
      <c r="AL153" s="16"/>
      <c r="AM153" s="17"/>
      <c r="AN153" s="16"/>
      <c r="AO153" s="75"/>
      <c r="AP153" s="75"/>
      <c r="AQ153" s="27"/>
      <c r="AR153" s="319"/>
      <c r="AS153" s="10"/>
      <c r="AT153" s="5" t="str">
        <f>IF(Tabla1015[[#This Row],[FECHA]]="","",VLOOKUP(TEXT(Tabla1015[[#This Row],[FECHA]],"[$-C0A]dddd"),Tabla2[#All],2,FALSE)&amp;"-"&amp;TEXT(Tabla1015[[#This Row],[FECHA]],"[$-C0A]dddd"))</f>
        <v/>
      </c>
      <c r="AU153" s="322">
        <f>COUNTIF($Z$4:Z153,Z153)</f>
        <v>0</v>
      </c>
    </row>
    <row r="154" spans="2:47" s="2" customFormat="1" ht="57.75" customHeight="1">
      <c r="B154" s="784"/>
      <c r="C154" s="72" t="str">
        <f t="shared" si="3"/>
        <v>Maquinaria</v>
      </c>
      <c r="D154" s="258">
        <f t="shared" si="4"/>
        <v>45946</v>
      </c>
      <c r="E154" s="194" t="str">
        <f t="shared" si="5"/>
        <v>NOCHE</v>
      </c>
      <c r="F154" s="348" t="str">
        <f t="shared" si="6"/>
        <v>01:30</v>
      </c>
      <c r="G154" s="348" t="str">
        <f t="shared" si="7"/>
        <v>02:00</v>
      </c>
      <c r="H154" s="222">
        <f t="shared" si="8"/>
        <v>2.0833333333333329E-2</v>
      </c>
      <c r="I154" s="222" t="str">
        <f t="shared" si="9"/>
        <v>Inspección</v>
      </c>
      <c r="J154" s="222" t="str">
        <f t="shared" si="10"/>
        <v>PROGRAMADA</v>
      </c>
      <c r="K154" s="223" t="str">
        <f t="shared" si="11"/>
        <v/>
      </c>
      <c r="L154" s="195" t="str">
        <f t="shared" si="12"/>
        <v xml:space="preserve">Revisión de sensores y solenoides de sección 1 del túnel de enfriamiento </v>
      </c>
      <c r="M154" s="196" t="str">
        <f t="shared" si="13"/>
        <v/>
      </c>
      <c r="N154" s="102">
        <v>18</v>
      </c>
      <c r="O154" s="125" t="str">
        <f t="shared" si="15"/>
        <v>LINEA AUTOMATICA HACOS 1-18</v>
      </c>
      <c r="Q154" s="145"/>
      <c r="S154" s="184" t="str">
        <f t="shared" si="2"/>
        <v/>
      </c>
      <c r="T154" s="344"/>
      <c r="U154" s="345"/>
      <c r="V154" s="345"/>
      <c r="W154" s="329"/>
      <c r="X154" s="329"/>
      <c r="Y154" s="346"/>
      <c r="Z154" s="16"/>
      <c r="AA154" s="343" t="str">
        <f>IFERROR(VLOOKUP(Z154,DATOS!$M$2:$N$219,2,FALSE),"")</f>
        <v/>
      </c>
      <c r="AB154" s="115"/>
      <c r="AC154" s="330"/>
      <c r="AD154" s="114"/>
      <c r="AE154" s="88"/>
      <c r="AF154" s="88"/>
      <c r="AG154" s="35"/>
      <c r="AH154" s="35"/>
      <c r="AI154" s="35"/>
      <c r="AJ154" s="16"/>
      <c r="AK154" s="16"/>
      <c r="AL154" s="16"/>
      <c r="AM154" s="17"/>
      <c r="AN154" s="16"/>
      <c r="AO154" s="75"/>
      <c r="AP154" s="75"/>
      <c r="AQ154" s="27"/>
      <c r="AR154" s="319"/>
      <c r="AS154" s="10"/>
      <c r="AT154" s="5" t="str">
        <f>IF(Tabla1015[[#This Row],[FECHA]]="","",VLOOKUP(TEXT(Tabla1015[[#This Row],[FECHA]],"[$-C0A]dddd"),Tabla2[#All],2,FALSE)&amp;"-"&amp;TEXT(Tabla1015[[#This Row],[FECHA]],"[$-C0A]dddd"))</f>
        <v/>
      </c>
      <c r="AU154" s="322">
        <f>COUNTIF($Z$4:Z154,Z154)</f>
        <v>0</v>
      </c>
    </row>
    <row r="155" spans="2:47" s="2" customFormat="1" ht="57.75" customHeight="1">
      <c r="B155" s="784"/>
      <c r="C155" s="72" t="str">
        <f t="shared" si="3"/>
        <v>Maquinaria</v>
      </c>
      <c r="D155" s="258">
        <f t="shared" si="4"/>
        <v>45948</v>
      </c>
      <c r="E155" s="194" t="str">
        <f t="shared" si="5"/>
        <v>TARDE</v>
      </c>
      <c r="F155" s="348" t="str">
        <f t="shared" si="6"/>
        <v>13:12</v>
      </c>
      <c r="G155" s="348" t="str">
        <f t="shared" si="7"/>
        <v>13:44</v>
      </c>
      <c r="H155" s="222">
        <f t="shared" si="8"/>
        <v>2.2222222222222143E-2</v>
      </c>
      <c r="I155" s="222" t="str">
        <f t="shared" si="9"/>
        <v>SET UP</v>
      </c>
      <c r="J155" s="222" t="str">
        <f t="shared" si="10"/>
        <v>PROGRAMADA</v>
      </c>
      <c r="K155" s="223" t="str">
        <f t="shared" si="11"/>
        <v/>
      </c>
      <c r="L155" s="195" t="str">
        <f t="shared" si="12"/>
        <v xml:space="preserve">Desarmado de formato cremas de mds, para limpieza </v>
      </c>
      <c r="M155" s="196" t="str">
        <f t="shared" si="13"/>
        <v/>
      </c>
      <c r="N155" s="95">
        <v>19</v>
      </c>
      <c r="O155" s="125" t="str">
        <f t="shared" si="15"/>
        <v>LINEA AUTOMATICA HACOS 1-19</v>
      </c>
      <c r="Q155" s="145"/>
      <c r="S155" s="184" t="str">
        <f t="shared" si="2"/>
        <v/>
      </c>
      <c r="T155" s="344"/>
      <c r="U155" s="345"/>
      <c r="V155" s="345"/>
      <c r="W155" s="329"/>
      <c r="X155" s="329"/>
      <c r="Y155" s="346"/>
      <c r="Z155" s="16"/>
      <c r="AA155" s="343" t="str">
        <f>IFERROR(VLOOKUP(Z155,DATOS!$M$2:$N$219,2,FALSE),"")</f>
        <v/>
      </c>
      <c r="AB155" s="115"/>
      <c r="AC155" s="330"/>
      <c r="AD155" s="114"/>
      <c r="AE155" s="88"/>
      <c r="AF155" s="88"/>
      <c r="AG155" s="35"/>
      <c r="AH155" s="35"/>
      <c r="AI155" s="35"/>
      <c r="AJ155" s="16"/>
      <c r="AK155" s="16"/>
      <c r="AL155" s="16"/>
      <c r="AM155" s="17"/>
      <c r="AN155" s="16"/>
      <c r="AO155" s="75"/>
      <c r="AP155" s="75"/>
      <c r="AQ155" s="27"/>
      <c r="AR155" s="319"/>
      <c r="AS155" s="10"/>
      <c r="AT155" s="5" t="str">
        <f>IF(Tabla1015[[#This Row],[FECHA]]="","",VLOOKUP(TEXT(Tabla1015[[#This Row],[FECHA]],"[$-C0A]dddd"),Tabla2[#All],2,FALSE)&amp;"-"&amp;TEXT(Tabla1015[[#This Row],[FECHA]],"[$-C0A]dddd"))</f>
        <v/>
      </c>
      <c r="AU155" s="322">
        <f>COUNTIF($Z$4:Z155,Z155)</f>
        <v>0</v>
      </c>
    </row>
    <row r="156" spans="2:47" s="2" customFormat="1" ht="57.75" hidden="1" customHeight="1">
      <c r="B156" s="785"/>
      <c r="C156" s="101" t="str">
        <f t="shared" si="3"/>
        <v>Maquinaria</v>
      </c>
      <c r="D156" s="259">
        <f t="shared" si="4"/>
        <v>45947</v>
      </c>
      <c r="E156" s="197" t="str">
        <f t="shared" si="5"/>
        <v>TARDE</v>
      </c>
      <c r="F156" s="349" t="str">
        <f t="shared" si="6"/>
        <v>17:10</v>
      </c>
      <c r="G156" s="349" t="str">
        <f t="shared" si="7"/>
        <v>18:02</v>
      </c>
      <c r="H156" s="224">
        <f t="shared" si="8"/>
        <v>3.6111111111111094E-2</v>
      </c>
      <c r="I156" s="224" t="str">
        <f t="shared" si="9"/>
        <v>Limpieza</v>
      </c>
      <c r="J156" s="224" t="str">
        <f t="shared" si="10"/>
        <v>PROGRAMADA</v>
      </c>
      <c r="K156" s="225" t="str">
        <f t="shared" si="11"/>
        <v/>
      </c>
      <c r="L156" s="198" t="str">
        <f t="shared" si="12"/>
        <v>Polines con chocolate seco en banda, sensor con problemas en tina de samfill</v>
      </c>
      <c r="M156" s="199" t="str">
        <f t="shared" si="13"/>
        <v xml:space="preserve">Se realizó limpieza de polines de banda, se retiro sensor de tina se le realizó limpieza y se sello con silicona, se realizó pruebas de funcionamiento </v>
      </c>
      <c r="N156" s="95">
        <v>20</v>
      </c>
      <c r="O156" s="135" t="str">
        <f t="shared" si="15"/>
        <v>LINEA AUTOMATICA HACOS 1-20</v>
      </c>
      <c r="Q156" s="145"/>
      <c r="S156" s="184" t="str">
        <f t="shared" si="2"/>
        <v/>
      </c>
      <c r="T156" s="344"/>
      <c r="U156" s="345"/>
      <c r="V156" s="345"/>
      <c r="W156" s="329"/>
      <c r="X156" s="329"/>
      <c r="Y156" s="346"/>
      <c r="Z156" s="16"/>
      <c r="AA156" s="343" t="str">
        <f>IFERROR(VLOOKUP(Z156,DATOS!$M$2:$N$219,2,FALSE),"")</f>
        <v/>
      </c>
      <c r="AB156" s="115"/>
      <c r="AC156" s="330"/>
      <c r="AD156" s="114"/>
      <c r="AE156" s="88"/>
      <c r="AF156" s="88"/>
      <c r="AG156" s="35"/>
      <c r="AH156" s="35"/>
      <c r="AI156" s="35"/>
      <c r="AJ156" s="16"/>
      <c r="AK156" s="16"/>
      <c r="AL156" s="16"/>
      <c r="AM156" s="17"/>
      <c r="AN156" s="16"/>
      <c r="AO156" s="75"/>
      <c r="AP156" s="75"/>
      <c r="AQ156" s="27"/>
      <c r="AR156" s="319"/>
      <c r="AS156" s="10"/>
      <c r="AT156" s="5" t="str">
        <f>IF(Tabla1015[[#This Row],[FECHA]]="","",VLOOKUP(TEXT(Tabla1015[[#This Row],[FECHA]],"[$-C0A]dddd"),Tabla2[#All],2,FALSE)&amp;"-"&amp;TEXT(Tabla1015[[#This Row],[FECHA]],"[$-C0A]dddd"))</f>
        <v/>
      </c>
      <c r="AU156" s="322">
        <f>COUNTIF($Z$4:Z156,Z156)</f>
        <v>0</v>
      </c>
    </row>
    <row r="157" spans="2:47" ht="57.75" customHeight="1">
      <c r="B157" s="786" t="str">
        <f>+'TABLA RES-SEMANA'!B69</f>
        <v>EMP. FLOWPACK 2</v>
      </c>
      <c r="C157" s="169" t="str">
        <f t="shared" si="3"/>
        <v>Maquinaria</v>
      </c>
      <c r="D157" s="257">
        <f t="shared" si="4"/>
        <v>45945</v>
      </c>
      <c r="E157" s="191" t="str">
        <f t="shared" si="5"/>
        <v>TARDE</v>
      </c>
      <c r="F157" s="347" t="str">
        <f t="shared" si="6"/>
        <v>14:10</v>
      </c>
      <c r="G157" s="347" t="str">
        <f t="shared" si="7"/>
        <v>16:09</v>
      </c>
      <c r="H157" s="220">
        <f t="shared" si="8"/>
        <v>8.2638888888888928E-2</v>
      </c>
      <c r="I157" s="220" t="str">
        <f t="shared" si="9"/>
        <v>SET UP</v>
      </c>
      <c r="J157" s="220" t="str">
        <f t="shared" si="10"/>
        <v>PROGRAMADA</v>
      </c>
      <c r="K157" s="221" t="str">
        <f t="shared" si="11"/>
        <v/>
      </c>
      <c r="L157" s="192" t="str">
        <f t="shared" si="12"/>
        <v>Montaje de bandas alimentadoras y pruebas de funcionamiento, habilitación de equipo</v>
      </c>
      <c r="M157" s="193" t="str">
        <f t="shared" si="13"/>
        <v/>
      </c>
      <c r="N157" s="100">
        <v>1</v>
      </c>
      <c r="O157" s="98" t="str">
        <f>CONCATENATE($B$157,"-",N157)</f>
        <v>EMP. FLOWPACK 2-1</v>
      </c>
      <c r="P157" s="91">
        <f>COUNTIF(H157:H176,"&lt;&gt;**")</f>
        <v>8</v>
      </c>
      <c r="S157" s="184" t="str">
        <f t="shared" si="2"/>
        <v/>
      </c>
      <c r="T157" s="344"/>
      <c r="U157" s="345"/>
      <c r="V157" s="345"/>
      <c r="W157" s="329"/>
      <c r="X157" s="329"/>
      <c r="Y157" s="346"/>
      <c r="Z157" s="16"/>
      <c r="AA157" s="343" t="str">
        <f>IFERROR(VLOOKUP(Z157,DATOS!$M$2:$N$219,2,FALSE),"")</f>
        <v/>
      </c>
      <c r="AB157" s="115"/>
      <c r="AC157" s="330"/>
      <c r="AD157" s="114"/>
      <c r="AE157" s="88"/>
      <c r="AF157" s="88"/>
      <c r="AG157" s="35"/>
      <c r="AH157" s="35"/>
      <c r="AI157" s="35"/>
      <c r="AJ157" s="16"/>
      <c r="AK157" s="16"/>
      <c r="AL157" s="16"/>
      <c r="AM157" s="17"/>
      <c r="AN157" s="16"/>
      <c r="AO157" s="75"/>
      <c r="AP157" s="75"/>
      <c r="AQ157" s="27"/>
      <c r="AR157" s="319"/>
      <c r="AS157" s="10"/>
      <c r="AT157" s="5" t="str">
        <f>IF(Tabla1015[[#This Row],[FECHA]]="","",VLOOKUP(TEXT(Tabla1015[[#This Row],[FECHA]],"[$-C0A]dddd"),Tabla2[#All],2,FALSE)&amp;"-"&amp;TEXT(Tabla1015[[#This Row],[FECHA]],"[$-C0A]dddd"))</f>
        <v/>
      </c>
      <c r="AU157" s="322">
        <f>COUNTIF($Z$4:Z157,Z157)</f>
        <v>0</v>
      </c>
    </row>
    <row r="158" spans="2:47" ht="57.75" customHeight="1">
      <c r="B158" s="784"/>
      <c r="C158" s="72" t="str">
        <f t="shared" si="3"/>
        <v>Maquinaria</v>
      </c>
      <c r="D158" s="258">
        <f t="shared" si="4"/>
        <v>45945</v>
      </c>
      <c r="E158" s="194" t="str">
        <f t="shared" si="5"/>
        <v>TARDE</v>
      </c>
      <c r="F158" s="348" t="str">
        <f t="shared" si="6"/>
        <v>16:36</v>
      </c>
      <c r="G158" s="348" t="str">
        <f t="shared" si="7"/>
        <v>17:04</v>
      </c>
      <c r="H158" s="222">
        <f t="shared" si="8"/>
        <v>1.9444444444444486E-2</v>
      </c>
      <c r="I158" s="222" t="str">
        <f t="shared" si="9"/>
        <v>Ajuste /Calibracion</v>
      </c>
      <c r="J158" s="222" t="str">
        <f t="shared" si="10"/>
        <v>NO PROGRAMADA</v>
      </c>
      <c r="K158" s="223" t="str">
        <f t="shared" si="11"/>
        <v>MECÁNICA</v>
      </c>
      <c r="L158" s="195" t="str">
        <f t="shared" si="12"/>
        <v>Laminado se mueve, empaquetado sale mal</v>
      </c>
      <c r="M158" s="196" t="str">
        <f t="shared" si="13"/>
        <v>Se reviso, se regulo guías de plancha, se ajusto posición de plancha de discos y se realizó pruebas</v>
      </c>
      <c r="N158" s="120">
        <f>+N157+1</f>
        <v>2</v>
      </c>
      <c r="O158" s="125" t="str">
        <f t="shared" ref="O158:O166" si="16">CONCATENATE($B$157,"-",N158)</f>
        <v>EMP. FLOWPACK 2-2</v>
      </c>
      <c r="S158" s="184" t="str">
        <f t="shared" si="2"/>
        <v/>
      </c>
      <c r="T158" s="344"/>
      <c r="U158" s="345"/>
      <c r="V158" s="345"/>
      <c r="W158" s="329"/>
      <c r="X158" s="329"/>
      <c r="Y158" s="346"/>
      <c r="Z158" s="16"/>
      <c r="AA158" s="343" t="str">
        <f>IFERROR(VLOOKUP(Z158,DATOS!$M$2:$N$219,2,FALSE),"")</f>
        <v/>
      </c>
      <c r="AB158" s="115"/>
      <c r="AC158" s="330"/>
      <c r="AD158" s="114"/>
      <c r="AE158" s="88"/>
      <c r="AF158" s="88"/>
      <c r="AG158" s="35"/>
      <c r="AH158" s="35"/>
      <c r="AI158" s="35"/>
      <c r="AJ158" s="16"/>
      <c r="AK158" s="16"/>
      <c r="AL158" s="16"/>
      <c r="AM158" s="17"/>
      <c r="AN158" s="16"/>
      <c r="AO158" s="75"/>
      <c r="AP158" s="75"/>
      <c r="AQ158" s="27"/>
      <c r="AR158" s="319"/>
      <c r="AS158" s="10"/>
      <c r="AT158" s="5" t="str">
        <f>IF(Tabla1015[[#This Row],[FECHA]]="","",VLOOKUP(TEXT(Tabla1015[[#This Row],[FECHA]],"[$-C0A]dddd"),Tabla2[#All],2,FALSE)&amp;"-"&amp;TEXT(Tabla1015[[#This Row],[FECHA]],"[$-C0A]dddd"))</f>
        <v/>
      </c>
      <c r="AU158" s="322">
        <f>COUNTIF($Z$4:Z158,Z158)</f>
        <v>0</v>
      </c>
    </row>
    <row r="159" spans="2:47" ht="57.75" customHeight="1">
      <c r="B159" s="784"/>
      <c r="C159" s="72" t="str">
        <f t="shared" si="3"/>
        <v>Maquinaria</v>
      </c>
      <c r="D159" s="258">
        <f t="shared" si="4"/>
        <v>45945</v>
      </c>
      <c r="E159" s="194" t="str">
        <f t="shared" si="5"/>
        <v>TARDE</v>
      </c>
      <c r="F159" s="348" t="str">
        <f t="shared" si="6"/>
        <v>18:51</v>
      </c>
      <c r="G159" s="348" t="str">
        <f t="shared" si="7"/>
        <v>19:12</v>
      </c>
      <c r="H159" s="222">
        <f t="shared" si="8"/>
        <v>1.4583333333333393E-2</v>
      </c>
      <c r="I159" s="222" t="str">
        <f t="shared" si="9"/>
        <v>Ajuste /Calibracion</v>
      </c>
      <c r="J159" s="222" t="str">
        <f t="shared" si="10"/>
        <v>NO PROGRAMADA</v>
      </c>
      <c r="K159" s="223" t="str">
        <f t="shared" si="11"/>
        <v>MECÁNICA</v>
      </c>
      <c r="L159" s="195" t="str">
        <f t="shared" si="12"/>
        <v>Ruido en maquina</v>
      </c>
      <c r="M159" s="196" t="str">
        <f t="shared" si="13"/>
        <v>Se corrigió posición de rascador de bandas, se ajusto posición de guiadores de entrada</v>
      </c>
      <c r="N159" s="120">
        <f t="shared" ref="N159:N176" si="17">+N158+1</f>
        <v>3</v>
      </c>
      <c r="O159" s="125" t="str">
        <f t="shared" si="16"/>
        <v>EMP. FLOWPACK 2-3</v>
      </c>
      <c r="S159" s="184" t="str">
        <f t="shared" si="2"/>
        <v/>
      </c>
      <c r="T159" s="344"/>
      <c r="U159" s="345"/>
      <c r="V159" s="345"/>
      <c r="W159" s="329"/>
      <c r="X159" s="329"/>
      <c r="Y159" s="346"/>
      <c r="Z159" s="16"/>
      <c r="AA159" s="343" t="str">
        <f>IFERROR(VLOOKUP(Z159,DATOS!$M$2:$N$219,2,FALSE),"")</f>
        <v/>
      </c>
      <c r="AB159" s="115"/>
      <c r="AC159" s="330"/>
      <c r="AD159" s="114"/>
      <c r="AE159" s="88"/>
      <c r="AF159" s="88"/>
      <c r="AG159" s="35"/>
      <c r="AH159" s="35"/>
      <c r="AI159" s="35"/>
      <c r="AJ159" s="16"/>
      <c r="AK159" s="16"/>
      <c r="AL159" s="16"/>
      <c r="AM159" s="17"/>
      <c r="AN159" s="16"/>
      <c r="AO159" s="75"/>
      <c r="AP159" s="75"/>
      <c r="AQ159" s="27"/>
      <c r="AR159" s="319"/>
      <c r="AS159" s="10"/>
      <c r="AT159" s="5" t="str">
        <f>IF(Tabla1015[[#This Row],[FECHA]]="","",VLOOKUP(TEXT(Tabla1015[[#This Row],[FECHA]],"[$-C0A]dddd"),Tabla2[#All],2,FALSE)&amp;"-"&amp;TEXT(Tabla1015[[#This Row],[FECHA]],"[$-C0A]dddd"))</f>
        <v/>
      </c>
      <c r="AU159" s="322">
        <f>COUNTIF($Z$4:Z159,Z159)</f>
        <v>0</v>
      </c>
    </row>
    <row r="160" spans="2:47" ht="57.75" customHeight="1">
      <c r="B160" s="784"/>
      <c r="C160" s="72" t="str">
        <f t="shared" si="3"/>
        <v>Maquinaria</v>
      </c>
      <c r="D160" s="258">
        <f t="shared" si="4"/>
        <v>45945</v>
      </c>
      <c r="E160" s="194" t="str">
        <f t="shared" si="5"/>
        <v>MAÑANA</v>
      </c>
      <c r="F160" s="348" t="str">
        <f t="shared" si="6"/>
        <v>07:30</v>
      </c>
      <c r="G160" s="348" t="str">
        <f t="shared" si="7"/>
        <v>08:00</v>
      </c>
      <c r="H160" s="222">
        <f t="shared" si="8"/>
        <v>2.0833333333333315E-2</v>
      </c>
      <c r="I160" s="222" t="str">
        <f t="shared" si="9"/>
        <v>Ajuste /Calibracion</v>
      </c>
      <c r="J160" s="222" t="str">
        <f t="shared" si="10"/>
        <v>NO PROGRAMADA</v>
      </c>
      <c r="K160" s="223" t="str">
        <f t="shared" si="11"/>
        <v>MECÁNICA</v>
      </c>
      <c r="L160" s="195" t="str">
        <f t="shared" si="12"/>
        <v>Faja se desalinea y genera virutas, polín de arrastre tiene juego</v>
      </c>
      <c r="M160" s="196" t="str">
        <f t="shared" si="13"/>
        <v xml:space="preserve">Se informa para intervención con personal tercero </v>
      </c>
      <c r="N160" s="120">
        <f t="shared" si="17"/>
        <v>4</v>
      </c>
      <c r="O160" s="125" t="str">
        <f t="shared" si="16"/>
        <v>EMP. FLOWPACK 2-4</v>
      </c>
      <c r="S160" s="184" t="str">
        <f t="shared" si="2"/>
        <v/>
      </c>
      <c r="T160" s="344"/>
      <c r="U160" s="345"/>
      <c r="V160" s="345"/>
      <c r="W160" s="329"/>
      <c r="X160" s="329"/>
      <c r="Y160" s="346"/>
      <c r="Z160" s="16"/>
      <c r="AA160" s="343" t="str">
        <f>IFERROR(VLOOKUP(Z160,DATOS!$M$2:$N$219,2,FALSE),"")</f>
        <v/>
      </c>
      <c r="AB160" s="115"/>
      <c r="AC160" s="330"/>
      <c r="AD160" s="114"/>
      <c r="AE160" s="88"/>
      <c r="AF160" s="88"/>
      <c r="AG160" s="35"/>
      <c r="AH160" s="35"/>
      <c r="AI160" s="35"/>
      <c r="AJ160" s="16"/>
      <c r="AK160" s="16"/>
      <c r="AL160" s="16"/>
      <c r="AM160" s="17"/>
      <c r="AN160" s="16"/>
      <c r="AO160" s="75"/>
      <c r="AP160" s="75"/>
      <c r="AQ160" s="27"/>
      <c r="AR160" s="319"/>
      <c r="AS160" s="10"/>
      <c r="AT160" s="5" t="str">
        <f>IF(Tabla1015[[#This Row],[FECHA]]="","",VLOOKUP(TEXT(Tabla1015[[#This Row],[FECHA]],"[$-C0A]dddd"),Tabla2[#All],2,FALSE)&amp;"-"&amp;TEXT(Tabla1015[[#This Row],[FECHA]],"[$-C0A]dddd"))</f>
        <v/>
      </c>
      <c r="AU160" s="322">
        <f>COUNTIF($Z$4:Z160,Z160)</f>
        <v>0</v>
      </c>
    </row>
    <row r="161" spans="2:47" ht="57.75" customHeight="1">
      <c r="B161" s="784"/>
      <c r="C161" s="72" t="str">
        <f t="shared" si="3"/>
        <v>Maquinaria</v>
      </c>
      <c r="D161" s="258">
        <f t="shared" si="4"/>
        <v>45946</v>
      </c>
      <c r="E161" s="194" t="str">
        <f t="shared" si="5"/>
        <v>MAÑANA</v>
      </c>
      <c r="F161" s="348" t="str">
        <f t="shared" si="6"/>
        <v>08:45</v>
      </c>
      <c r="G161" s="348" t="str">
        <f t="shared" si="7"/>
        <v>09:00</v>
      </c>
      <c r="H161" s="222">
        <f t="shared" si="8"/>
        <v>1.0416666666666685E-2</v>
      </c>
      <c r="I161" s="222" t="str">
        <f t="shared" si="9"/>
        <v>Inspección</v>
      </c>
      <c r="J161" s="222" t="str">
        <f t="shared" si="10"/>
        <v>PROGRAMADA</v>
      </c>
      <c r="K161" s="223" t="str">
        <f t="shared" si="11"/>
        <v/>
      </c>
      <c r="L161" s="195" t="str">
        <f t="shared" si="12"/>
        <v>Inspección de alineación de fajas</v>
      </c>
      <c r="M161" s="196" t="str">
        <f t="shared" si="13"/>
        <v/>
      </c>
      <c r="N161" s="120">
        <f t="shared" si="17"/>
        <v>5</v>
      </c>
      <c r="O161" s="125" t="str">
        <f t="shared" si="16"/>
        <v>EMP. FLOWPACK 2-5</v>
      </c>
      <c r="S161" s="184" t="str">
        <f t="shared" si="2"/>
        <v/>
      </c>
      <c r="T161" s="344"/>
      <c r="U161" s="345"/>
      <c r="V161" s="345"/>
      <c r="W161" s="329"/>
      <c r="X161" s="329"/>
      <c r="Y161" s="346"/>
      <c r="Z161" s="16"/>
      <c r="AA161" s="343" t="str">
        <f>IFERROR(VLOOKUP(Z161,DATOS!$M$2:$N$219,2,FALSE),"")</f>
        <v/>
      </c>
      <c r="AB161" s="115"/>
      <c r="AC161" s="330"/>
      <c r="AD161" s="114"/>
      <c r="AE161" s="88"/>
      <c r="AF161" s="88"/>
      <c r="AG161" s="35"/>
      <c r="AH161" s="35"/>
      <c r="AI161" s="35"/>
      <c r="AJ161" s="16"/>
      <c r="AK161" s="16"/>
      <c r="AL161" s="16"/>
      <c r="AM161" s="17"/>
      <c r="AN161" s="16"/>
      <c r="AO161" s="75"/>
      <c r="AP161" s="75"/>
      <c r="AQ161" s="27"/>
      <c r="AR161" s="319"/>
      <c r="AS161" s="10"/>
      <c r="AT161" s="5" t="str">
        <f>IF(Tabla1015[[#This Row],[FECHA]]="","",VLOOKUP(TEXT(Tabla1015[[#This Row],[FECHA]],"[$-C0A]dddd"),Tabla2[#All],2,FALSE)&amp;"-"&amp;TEXT(Tabla1015[[#This Row],[FECHA]],"[$-C0A]dddd"))</f>
        <v/>
      </c>
      <c r="AU161" s="322">
        <f>COUNTIF($Z$4:Z161,Z161)</f>
        <v>0</v>
      </c>
    </row>
    <row r="162" spans="2:47" ht="57.75" customHeight="1">
      <c r="B162" s="784"/>
      <c r="C162" s="72" t="str">
        <f t="shared" si="3"/>
        <v>Maquinaria</v>
      </c>
      <c r="D162" s="258">
        <f t="shared" si="4"/>
        <v>45946</v>
      </c>
      <c r="E162" s="194" t="str">
        <f t="shared" si="5"/>
        <v>MAÑANA</v>
      </c>
      <c r="F162" s="348" t="str">
        <f t="shared" si="6"/>
        <v>11:20</v>
      </c>
      <c r="G162" s="348" t="str">
        <f t="shared" si="7"/>
        <v>11:35</v>
      </c>
      <c r="H162" s="222">
        <f t="shared" si="8"/>
        <v>1.0416666666666685E-2</v>
      </c>
      <c r="I162" s="222" t="str">
        <f t="shared" si="9"/>
        <v>SET UP</v>
      </c>
      <c r="J162" s="222" t="str">
        <f t="shared" si="10"/>
        <v>PROGRAMADA</v>
      </c>
      <c r="K162" s="223" t="str">
        <f t="shared" si="11"/>
        <v/>
      </c>
      <c r="L162" s="195" t="str">
        <f t="shared" si="12"/>
        <v xml:space="preserve">Cambio de formato de milky a mini milky </v>
      </c>
      <c r="M162" s="196" t="str">
        <f t="shared" si="13"/>
        <v xml:space="preserve">Se coloca empujadores y se carga recetas </v>
      </c>
      <c r="N162" s="120">
        <f t="shared" si="17"/>
        <v>6</v>
      </c>
      <c r="O162" s="125" t="str">
        <f t="shared" si="16"/>
        <v>EMP. FLOWPACK 2-6</v>
      </c>
      <c r="S162" s="184" t="str">
        <f t="shared" si="2"/>
        <v/>
      </c>
      <c r="T162" s="344"/>
      <c r="U162" s="345"/>
      <c r="V162" s="345"/>
      <c r="W162" s="329"/>
      <c r="X162" s="329"/>
      <c r="Y162" s="346"/>
      <c r="Z162" s="16"/>
      <c r="AA162" s="343" t="str">
        <f>IFERROR(VLOOKUP(Z162,DATOS!$M$2:$N$219,2,FALSE),"")</f>
        <v/>
      </c>
      <c r="AB162" s="115"/>
      <c r="AC162" s="330"/>
      <c r="AD162" s="114"/>
      <c r="AE162" s="88"/>
      <c r="AF162" s="88"/>
      <c r="AG162" s="35"/>
      <c r="AH162" s="35"/>
      <c r="AI162" s="35"/>
      <c r="AJ162" s="16"/>
      <c r="AK162" s="16"/>
      <c r="AL162" s="16"/>
      <c r="AM162" s="17"/>
      <c r="AN162" s="16"/>
      <c r="AO162" s="75"/>
      <c r="AP162" s="75"/>
      <c r="AQ162" s="27"/>
      <c r="AR162" s="319"/>
      <c r="AS162" s="10"/>
      <c r="AT162" s="5" t="str">
        <f>IF(Tabla1015[[#This Row],[FECHA]]="","",VLOOKUP(TEXT(Tabla1015[[#This Row],[FECHA]],"[$-C0A]dddd"),Tabla2[#All],2,FALSE)&amp;"-"&amp;TEXT(Tabla1015[[#This Row],[FECHA]],"[$-C0A]dddd"))</f>
        <v/>
      </c>
      <c r="AU162" s="322">
        <f>COUNTIF($Z$4:Z162,Z162)</f>
        <v>0</v>
      </c>
    </row>
    <row r="163" spans="2:47" ht="57.75" customHeight="1">
      <c r="B163" s="784"/>
      <c r="C163" s="72" t="str">
        <f t="shared" si="3"/>
        <v>Maquinaria</v>
      </c>
      <c r="D163" s="258">
        <f t="shared" si="4"/>
        <v>45946</v>
      </c>
      <c r="E163" s="194" t="str">
        <f t="shared" si="5"/>
        <v>NOCHE</v>
      </c>
      <c r="F163" s="348" t="str">
        <f t="shared" si="6"/>
        <v>22:30</v>
      </c>
      <c r="G163" s="348" t="str">
        <f t="shared" si="7"/>
        <v>23:30</v>
      </c>
      <c r="H163" s="222">
        <f t="shared" si="8"/>
        <v>4.166666666666663E-2</v>
      </c>
      <c r="I163" s="222" t="str">
        <f t="shared" si="9"/>
        <v>SET UP</v>
      </c>
      <c r="J163" s="222" t="str">
        <f t="shared" si="10"/>
        <v>PROGRAMADA</v>
      </c>
      <c r="K163" s="223" t="str">
        <f t="shared" si="11"/>
        <v/>
      </c>
      <c r="L163" s="195" t="str">
        <f t="shared" si="12"/>
        <v>Cambio de formato para chocolate a la taza</v>
      </c>
      <c r="M163" s="196" t="str">
        <f t="shared" si="13"/>
        <v>Se cambió formato y se preparó línea automática para el formato de chocolate a la taza</v>
      </c>
      <c r="N163" s="120">
        <f t="shared" si="17"/>
        <v>7</v>
      </c>
      <c r="O163" s="125" t="str">
        <f t="shared" si="16"/>
        <v>EMP. FLOWPACK 2-7</v>
      </c>
      <c r="S163" s="184" t="str">
        <f t="shared" si="2"/>
        <v/>
      </c>
      <c r="T163" s="344"/>
      <c r="U163" s="345"/>
      <c r="V163" s="345"/>
      <c r="W163" s="329"/>
      <c r="X163" s="329"/>
      <c r="Y163" s="346"/>
      <c r="Z163" s="16"/>
      <c r="AA163" s="343" t="str">
        <f>IFERROR(VLOOKUP(Z163,DATOS!$M$2:$N$219,2,FALSE),"")</f>
        <v/>
      </c>
      <c r="AB163" s="115"/>
      <c r="AC163" s="330"/>
      <c r="AD163" s="114"/>
      <c r="AE163" s="88"/>
      <c r="AF163" s="88"/>
      <c r="AG163" s="35"/>
      <c r="AH163" s="35"/>
      <c r="AI163" s="35"/>
      <c r="AJ163" s="16"/>
      <c r="AK163" s="16"/>
      <c r="AL163" s="16"/>
      <c r="AM163" s="17"/>
      <c r="AN163" s="16"/>
      <c r="AO163" s="75"/>
      <c r="AP163" s="75"/>
      <c r="AQ163" s="27"/>
      <c r="AR163" s="319"/>
      <c r="AS163" s="10"/>
      <c r="AT163" s="5" t="str">
        <f>IF(Tabla1015[[#This Row],[FECHA]]="","",VLOOKUP(TEXT(Tabla1015[[#This Row],[FECHA]],"[$-C0A]dddd"),Tabla2[#All],2,FALSE)&amp;"-"&amp;TEXT(Tabla1015[[#This Row],[FECHA]],"[$-C0A]dddd"))</f>
        <v/>
      </c>
      <c r="AU163" s="322">
        <f>COUNTIF($Z$4:Z163,Z163)</f>
        <v>0</v>
      </c>
    </row>
    <row r="164" spans="2:47" ht="57.75" customHeight="1">
      <c r="B164" s="784"/>
      <c r="C164" s="72" t="str">
        <f t="shared" si="3"/>
        <v>Maquinaria</v>
      </c>
      <c r="D164" s="258">
        <f t="shared" si="4"/>
        <v>45947</v>
      </c>
      <c r="E164" s="194" t="str">
        <f t="shared" si="5"/>
        <v>NOCHE</v>
      </c>
      <c r="F164" s="348" t="str">
        <f t="shared" si="6"/>
        <v>01:00</v>
      </c>
      <c r="G164" s="348" t="str">
        <f t="shared" si="7"/>
        <v>03:00</v>
      </c>
      <c r="H164" s="222">
        <f t="shared" si="8"/>
        <v>8.3333333333333343E-2</v>
      </c>
      <c r="I164" s="222" t="str">
        <f t="shared" si="9"/>
        <v>Ajuste /Calibracion</v>
      </c>
      <c r="J164" s="222" t="str">
        <f t="shared" si="10"/>
        <v>NO PROGRAMADA</v>
      </c>
      <c r="K164" s="223" t="str">
        <f t="shared" si="11"/>
        <v>MECÁNICA</v>
      </c>
      <c r="L164" s="195" t="str">
        <f t="shared" si="12"/>
        <v>Apoyó en maquina</v>
      </c>
      <c r="M164" s="196" t="str">
        <f t="shared" si="13"/>
        <v xml:space="preserve">Se apoyó con regulación de fajas guías para formato de chocolate a la taza, se corrigio provisionalmente la altura de par de bandas de ingreso , se dió seguimiento y se apoyó en operación </v>
      </c>
      <c r="N164" s="120">
        <f t="shared" si="17"/>
        <v>8</v>
      </c>
      <c r="O164" s="125" t="str">
        <f t="shared" si="16"/>
        <v>EMP. FLOWPACK 2-8</v>
      </c>
      <c r="S164" s="184" t="str">
        <f t="shared" si="2"/>
        <v/>
      </c>
      <c r="T164" s="344"/>
      <c r="U164" s="345"/>
      <c r="V164" s="345"/>
      <c r="W164" s="329"/>
      <c r="X164" s="329"/>
      <c r="Y164" s="346"/>
      <c r="Z164" s="16"/>
      <c r="AA164" s="343" t="str">
        <f>IFERROR(VLOOKUP(Z164,DATOS!$M$2:$N$219,2,FALSE),"")</f>
        <v/>
      </c>
      <c r="AB164" s="115"/>
      <c r="AC164" s="330"/>
      <c r="AD164" s="115"/>
      <c r="AE164" s="88"/>
      <c r="AF164" s="88"/>
      <c r="AG164" s="35"/>
      <c r="AH164" s="35"/>
      <c r="AI164" s="35"/>
      <c r="AJ164" s="16"/>
      <c r="AK164" s="16"/>
      <c r="AL164" s="16"/>
      <c r="AM164" s="17"/>
      <c r="AN164" s="16"/>
      <c r="AO164" s="75"/>
      <c r="AP164" s="75"/>
      <c r="AQ164" s="27"/>
      <c r="AR164" s="319"/>
      <c r="AS164" s="10"/>
      <c r="AT164" s="5" t="str">
        <f>IF(Tabla1015[[#This Row],[FECHA]]="","",VLOOKUP(TEXT(Tabla1015[[#This Row],[FECHA]],"[$-C0A]dddd"),Tabla2[#All],2,FALSE)&amp;"-"&amp;TEXT(Tabla1015[[#This Row],[FECHA]],"[$-C0A]dddd"))</f>
        <v/>
      </c>
      <c r="AU164" s="322">
        <f>COUNTIF($Z$4:Z164,Z164)</f>
        <v>0</v>
      </c>
    </row>
    <row r="165" spans="2:47" ht="57.75" hidden="1" customHeight="1">
      <c r="B165" s="784"/>
      <c r="C165" s="72" t="str">
        <f t="shared" si="3"/>
        <v/>
      </c>
      <c r="D165" s="258" t="str">
        <f t="shared" si="4"/>
        <v/>
      </c>
      <c r="E165" s="194" t="str">
        <f t="shared" si="5"/>
        <v/>
      </c>
      <c r="F165" s="348" t="str">
        <f t="shared" si="6"/>
        <v/>
      </c>
      <c r="G165" s="348" t="str">
        <f t="shared" si="7"/>
        <v/>
      </c>
      <c r="H165" s="222" t="str">
        <f t="shared" si="8"/>
        <v/>
      </c>
      <c r="I165" s="222" t="str">
        <f t="shared" si="9"/>
        <v/>
      </c>
      <c r="J165" s="222" t="str">
        <f t="shared" si="10"/>
        <v/>
      </c>
      <c r="K165" s="223" t="str">
        <f t="shared" si="11"/>
        <v/>
      </c>
      <c r="L165" s="195" t="str">
        <f t="shared" si="12"/>
        <v/>
      </c>
      <c r="M165" s="196" t="str">
        <f t="shared" si="13"/>
        <v/>
      </c>
      <c r="N165" s="120">
        <f t="shared" si="17"/>
        <v>9</v>
      </c>
      <c r="O165" s="125" t="str">
        <f t="shared" si="16"/>
        <v>EMP. FLOWPACK 2-9</v>
      </c>
      <c r="S165" s="184" t="str">
        <f t="shared" si="2"/>
        <v/>
      </c>
      <c r="T165" s="22"/>
      <c r="U165" s="16"/>
      <c r="V165" s="16"/>
      <c r="W165" s="23"/>
      <c r="X165" s="23"/>
      <c r="Y165" s="78"/>
      <c r="Z165" s="16"/>
      <c r="AA165" s="343" t="str">
        <f>IFERROR(VLOOKUP(Z165,DATOS!$M$2:$N$219,2,FALSE),"")</f>
        <v/>
      </c>
      <c r="AB165" s="115"/>
      <c r="AC165" s="115"/>
      <c r="AD165" s="115"/>
      <c r="AE165" s="35"/>
      <c r="AF165" s="35"/>
      <c r="AG165" s="35"/>
      <c r="AH165" s="35"/>
      <c r="AI165" s="35"/>
      <c r="AJ165" s="16"/>
      <c r="AK165" s="16"/>
      <c r="AL165" s="16"/>
      <c r="AM165" s="17"/>
      <c r="AN165" s="16"/>
      <c r="AO165" s="75"/>
      <c r="AP165" s="75"/>
      <c r="AQ165" s="27"/>
      <c r="AR165" s="319"/>
      <c r="AS165" s="10"/>
      <c r="AT165" s="5" t="str">
        <f>IF(Tabla1015[[#This Row],[FECHA]]="","",VLOOKUP(TEXT(Tabla1015[[#This Row],[FECHA]],"[$-C0A]dddd"),Tabla2[#All],2,FALSE)&amp;"-"&amp;TEXT(Tabla1015[[#This Row],[FECHA]],"[$-C0A]dddd"))</f>
        <v/>
      </c>
      <c r="AU165" s="322">
        <f>COUNTIF($Z$4:Z165,Z165)</f>
        <v>0</v>
      </c>
    </row>
    <row r="166" spans="2:47" ht="57.75" hidden="1" customHeight="1">
      <c r="B166" s="784"/>
      <c r="C166" s="101" t="str">
        <f t="shared" si="3"/>
        <v/>
      </c>
      <c r="D166" s="259" t="str">
        <f t="shared" si="4"/>
        <v/>
      </c>
      <c r="E166" s="197" t="str">
        <f t="shared" si="5"/>
        <v/>
      </c>
      <c r="F166" s="349" t="str">
        <f t="shared" si="6"/>
        <v/>
      </c>
      <c r="G166" s="349" t="str">
        <f t="shared" si="7"/>
        <v/>
      </c>
      <c r="H166" s="224" t="str">
        <f t="shared" si="8"/>
        <v/>
      </c>
      <c r="I166" s="224" t="str">
        <f t="shared" si="9"/>
        <v/>
      </c>
      <c r="J166" s="224" t="str">
        <f t="shared" si="10"/>
        <v/>
      </c>
      <c r="K166" s="225" t="str">
        <f t="shared" si="11"/>
        <v/>
      </c>
      <c r="L166" s="198" t="str">
        <f t="shared" si="12"/>
        <v/>
      </c>
      <c r="M166" s="199" t="str">
        <f t="shared" si="13"/>
        <v/>
      </c>
      <c r="N166" s="138">
        <f t="shared" si="17"/>
        <v>10</v>
      </c>
      <c r="O166" s="135" t="str">
        <f t="shared" si="16"/>
        <v>EMP. FLOWPACK 2-10</v>
      </c>
      <c r="S166" s="184" t="str">
        <f t="shared" si="2"/>
        <v/>
      </c>
      <c r="T166" s="22"/>
      <c r="U166" s="16"/>
      <c r="V166" s="16"/>
      <c r="W166" s="23"/>
      <c r="X166" s="23"/>
      <c r="Y166" s="78"/>
      <c r="Z166" s="16"/>
      <c r="AA166" s="343" t="str">
        <f>IFERROR(VLOOKUP(Z166,DATOS!$M$2:$N$219,2,FALSE),"")</f>
        <v/>
      </c>
      <c r="AB166" s="115"/>
      <c r="AC166" s="115"/>
      <c r="AD166" s="115"/>
      <c r="AE166" s="35"/>
      <c r="AF166" s="35"/>
      <c r="AG166" s="35"/>
      <c r="AH166" s="35"/>
      <c r="AI166" s="35"/>
      <c r="AJ166" s="16"/>
      <c r="AK166" s="16"/>
      <c r="AL166" s="16"/>
      <c r="AM166" s="17"/>
      <c r="AN166" s="16"/>
      <c r="AO166" s="75"/>
      <c r="AP166" s="75"/>
      <c r="AQ166" s="27"/>
      <c r="AR166" s="319"/>
      <c r="AS166" s="10"/>
      <c r="AT166" s="5" t="str">
        <f>IF(Tabla1015[[#This Row],[FECHA]]="","",VLOOKUP(TEXT(Tabla1015[[#This Row],[FECHA]],"[$-C0A]dddd"),Tabla2[#All],2,FALSE)&amp;"-"&amp;TEXT(Tabla1015[[#This Row],[FECHA]],"[$-C0A]dddd"))</f>
        <v/>
      </c>
      <c r="AU166" s="322">
        <f>COUNTIF($Z$4:Z166,Z166)</f>
        <v>0</v>
      </c>
    </row>
    <row r="167" spans="2:47" ht="57.75" hidden="1" customHeight="1">
      <c r="B167" s="784"/>
      <c r="C167" s="72" t="str">
        <f t="shared" si="3"/>
        <v/>
      </c>
      <c r="D167" s="258" t="str">
        <f t="shared" si="4"/>
        <v/>
      </c>
      <c r="E167" s="194" t="str">
        <f t="shared" si="5"/>
        <v/>
      </c>
      <c r="F167" s="348" t="str">
        <f t="shared" si="6"/>
        <v/>
      </c>
      <c r="G167" s="348" t="str">
        <f t="shared" si="7"/>
        <v/>
      </c>
      <c r="H167" s="222" t="str">
        <f t="shared" si="8"/>
        <v/>
      </c>
      <c r="I167" s="222" t="str">
        <f t="shared" si="9"/>
        <v/>
      </c>
      <c r="J167" s="222" t="str">
        <f t="shared" si="10"/>
        <v/>
      </c>
      <c r="K167" s="223" t="str">
        <f t="shared" si="11"/>
        <v/>
      </c>
      <c r="L167" s="195" t="str">
        <f t="shared" si="12"/>
        <v/>
      </c>
      <c r="M167" s="196" t="str">
        <f t="shared" si="13"/>
        <v/>
      </c>
      <c r="N167" s="120">
        <f>+N166+1</f>
        <v>11</v>
      </c>
      <c r="O167" s="125" t="str">
        <f t="shared" ref="O167:O175" si="18">CONCATENATE($B$157,"-",N167)</f>
        <v>EMP. FLOWPACK 2-11</v>
      </c>
      <c r="S167" s="184" t="str">
        <f t="shared" si="2"/>
        <v/>
      </c>
      <c r="T167" s="22"/>
      <c r="U167" s="16"/>
      <c r="V167" s="16"/>
      <c r="W167" s="23"/>
      <c r="X167" s="23"/>
      <c r="Y167" s="78"/>
      <c r="Z167" s="16"/>
      <c r="AA167" s="343" t="str">
        <f>IFERROR(VLOOKUP(Z167,DATOS!$M$2:$N$219,2,FALSE),"")</f>
        <v/>
      </c>
      <c r="AB167" s="115"/>
      <c r="AC167" s="115"/>
      <c r="AD167" s="115"/>
      <c r="AE167" s="35"/>
      <c r="AF167" s="35"/>
      <c r="AG167" s="35"/>
      <c r="AH167" s="35"/>
      <c r="AI167" s="35"/>
      <c r="AJ167" s="16"/>
      <c r="AK167" s="16"/>
      <c r="AL167" s="16"/>
      <c r="AM167" s="17"/>
      <c r="AN167" s="16"/>
      <c r="AO167" s="75"/>
      <c r="AP167" s="75"/>
      <c r="AQ167" s="27"/>
      <c r="AR167" s="319"/>
      <c r="AS167" s="10"/>
      <c r="AT167" s="5" t="str">
        <f>IF(Tabla1015[[#This Row],[FECHA]]="","",VLOOKUP(TEXT(Tabla1015[[#This Row],[FECHA]],"[$-C0A]dddd"),Tabla2[#All],2,FALSE)&amp;"-"&amp;TEXT(Tabla1015[[#This Row],[FECHA]],"[$-C0A]dddd"))</f>
        <v/>
      </c>
      <c r="AU167" s="322">
        <f>COUNTIF($Z$4:Z167,Z167)</f>
        <v>0</v>
      </c>
    </row>
    <row r="168" spans="2:47" ht="57.75" hidden="1" customHeight="1">
      <c r="B168" s="784"/>
      <c r="C168" s="72" t="str">
        <f t="shared" si="3"/>
        <v/>
      </c>
      <c r="D168" s="258" t="str">
        <f t="shared" si="4"/>
        <v/>
      </c>
      <c r="E168" s="194" t="str">
        <f t="shared" si="5"/>
        <v/>
      </c>
      <c r="F168" s="348" t="str">
        <f t="shared" si="6"/>
        <v/>
      </c>
      <c r="G168" s="348" t="str">
        <f t="shared" si="7"/>
        <v/>
      </c>
      <c r="H168" s="222" t="str">
        <f t="shared" si="8"/>
        <v/>
      </c>
      <c r="I168" s="222" t="str">
        <f t="shared" si="9"/>
        <v/>
      </c>
      <c r="J168" s="222" t="str">
        <f t="shared" si="10"/>
        <v/>
      </c>
      <c r="K168" s="223" t="str">
        <f t="shared" si="11"/>
        <v/>
      </c>
      <c r="L168" s="195" t="str">
        <f t="shared" si="12"/>
        <v/>
      </c>
      <c r="M168" s="196" t="str">
        <f t="shared" si="13"/>
        <v/>
      </c>
      <c r="N168" s="120">
        <f t="shared" si="17"/>
        <v>12</v>
      </c>
      <c r="O168" s="125" t="str">
        <f t="shared" si="18"/>
        <v>EMP. FLOWPACK 2-12</v>
      </c>
      <c r="S168" s="184" t="str">
        <f t="shared" si="2"/>
        <v/>
      </c>
      <c r="T168" s="22"/>
      <c r="U168" s="16"/>
      <c r="V168" s="16"/>
      <c r="W168" s="23"/>
      <c r="X168" s="23"/>
      <c r="Y168" s="78"/>
      <c r="Z168" s="16"/>
      <c r="AA168" s="343" t="str">
        <f>IFERROR(VLOOKUP(Z168,DATOS!$M$2:$N$219,2,FALSE),"")</f>
        <v/>
      </c>
      <c r="AB168" s="115"/>
      <c r="AC168" s="115"/>
      <c r="AD168" s="115"/>
      <c r="AE168" s="35"/>
      <c r="AF168" s="35"/>
      <c r="AG168" s="35"/>
      <c r="AH168" s="35"/>
      <c r="AI168" s="35"/>
      <c r="AJ168" s="16"/>
      <c r="AK168" s="16"/>
      <c r="AL168" s="16"/>
      <c r="AM168" s="17"/>
      <c r="AN168" s="16"/>
      <c r="AO168" s="75"/>
      <c r="AP168" s="75"/>
      <c r="AQ168" s="27"/>
      <c r="AR168" s="319"/>
      <c r="AS168" s="10"/>
      <c r="AT168" s="5" t="str">
        <f>IF(Tabla1015[[#This Row],[FECHA]]="","",VLOOKUP(TEXT(Tabla1015[[#This Row],[FECHA]],"[$-C0A]dddd"),Tabla2[#All],2,FALSE)&amp;"-"&amp;TEXT(Tabla1015[[#This Row],[FECHA]],"[$-C0A]dddd"))</f>
        <v/>
      </c>
      <c r="AU168" s="322">
        <f>COUNTIF($Z$4:Z168,Z168)</f>
        <v>0</v>
      </c>
    </row>
    <row r="169" spans="2:47" ht="57.75" hidden="1" customHeight="1">
      <c r="B169" s="784"/>
      <c r="C169" s="72" t="str">
        <f t="shared" si="3"/>
        <v/>
      </c>
      <c r="D169" s="258" t="str">
        <f t="shared" si="4"/>
        <v/>
      </c>
      <c r="E169" s="194" t="str">
        <f t="shared" si="5"/>
        <v/>
      </c>
      <c r="F169" s="348" t="str">
        <f t="shared" si="6"/>
        <v/>
      </c>
      <c r="G169" s="348" t="str">
        <f t="shared" si="7"/>
        <v/>
      </c>
      <c r="H169" s="222" t="str">
        <f t="shared" si="8"/>
        <v/>
      </c>
      <c r="I169" s="222" t="str">
        <f t="shared" si="9"/>
        <v/>
      </c>
      <c r="J169" s="222" t="str">
        <f t="shared" si="10"/>
        <v/>
      </c>
      <c r="K169" s="223" t="str">
        <f t="shared" si="11"/>
        <v/>
      </c>
      <c r="L169" s="195" t="str">
        <f t="shared" si="12"/>
        <v/>
      </c>
      <c r="M169" s="196" t="str">
        <f t="shared" si="13"/>
        <v/>
      </c>
      <c r="N169" s="120">
        <f t="shared" si="17"/>
        <v>13</v>
      </c>
      <c r="O169" s="125" t="str">
        <f t="shared" si="18"/>
        <v>EMP. FLOWPACK 2-13</v>
      </c>
      <c r="S169" s="184" t="str">
        <f t="shared" si="2"/>
        <v/>
      </c>
      <c r="T169" s="185"/>
      <c r="U169" s="182"/>
      <c r="V169" s="182"/>
      <c r="W169" s="186"/>
      <c r="X169" s="186"/>
      <c r="Y169" s="241"/>
      <c r="Z169" s="182"/>
      <c r="AA169" s="187" t="str">
        <f>IFERROR(VLOOKUP(Z169,DATOS!$M$2:$N$219,2,FALSE),"")</f>
        <v/>
      </c>
      <c r="AB169" s="182"/>
      <c r="AC169" s="182"/>
      <c r="AD169" s="182"/>
      <c r="AE169" s="182"/>
      <c r="AF169" s="182"/>
      <c r="AG169" s="181"/>
      <c r="AH169" s="181"/>
      <c r="AI169" s="181"/>
      <c r="AJ169" s="181"/>
      <c r="AK169" s="181"/>
      <c r="AL169" s="181"/>
      <c r="AM169" s="181"/>
      <c r="AN169" s="181"/>
      <c r="AO169" s="181"/>
      <c r="AP169" s="181"/>
      <c r="AQ169" s="320"/>
      <c r="AR169" s="181"/>
      <c r="AS169" s="181"/>
      <c r="AT169" s="5" t="str">
        <f>IF(Tabla1015[[#This Row],[FECHA]]="","",VLOOKUP(TEXT(Tabla1015[[#This Row],[FECHA]],"[$-C0A]dddd"),Tabla2[#All],2,FALSE)&amp;"-"&amp;TEXT(Tabla1015[[#This Row],[FECHA]],"[$-C0A]dddd"))</f>
        <v/>
      </c>
      <c r="AU169" s="322">
        <f>COUNTIF($Z$4:Z169,Z169)</f>
        <v>0</v>
      </c>
    </row>
    <row r="170" spans="2:47" ht="57.75" hidden="1" customHeight="1">
      <c r="B170" s="784"/>
      <c r="C170" s="72" t="str">
        <f t="shared" si="3"/>
        <v/>
      </c>
      <c r="D170" s="258" t="str">
        <f t="shared" si="4"/>
        <v/>
      </c>
      <c r="E170" s="194" t="str">
        <f t="shared" si="5"/>
        <v/>
      </c>
      <c r="F170" s="348" t="str">
        <f t="shared" si="6"/>
        <v/>
      </c>
      <c r="G170" s="348" t="str">
        <f t="shared" si="7"/>
        <v/>
      </c>
      <c r="H170" s="222" t="str">
        <f t="shared" si="8"/>
        <v/>
      </c>
      <c r="I170" s="222" t="str">
        <f t="shared" si="9"/>
        <v/>
      </c>
      <c r="J170" s="222" t="str">
        <f t="shared" si="10"/>
        <v/>
      </c>
      <c r="K170" s="223" t="str">
        <f t="shared" si="11"/>
        <v/>
      </c>
      <c r="L170" s="195" t="str">
        <f t="shared" si="12"/>
        <v/>
      </c>
      <c r="M170" s="196" t="str">
        <f t="shared" si="13"/>
        <v/>
      </c>
      <c r="N170" s="120">
        <f t="shared" si="17"/>
        <v>14</v>
      </c>
      <c r="O170" s="125" t="str">
        <f t="shared" si="18"/>
        <v>EMP. FLOWPACK 2-14</v>
      </c>
      <c r="S170" s="184" t="str">
        <f t="shared" si="2"/>
        <v/>
      </c>
      <c r="T170" s="185"/>
      <c r="U170" s="182"/>
      <c r="V170" s="182"/>
      <c r="W170" s="186"/>
      <c r="X170" s="186"/>
      <c r="Y170" s="241"/>
      <c r="Z170" s="182"/>
      <c r="AA170" s="187" t="str">
        <f>IFERROR(VLOOKUP(Z170,DATOS!$M$2:$N$219,2,FALSE),"")</f>
        <v/>
      </c>
      <c r="AB170" s="182"/>
      <c r="AC170" s="182"/>
      <c r="AD170" s="182"/>
      <c r="AE170" s="182"/>
      <c r="AF170" s="182"/>
      <c r="AG170" s="181"/>
      <c r="AH170" s="181"/>
      <c r="AI170" s="181"/>
      <c r="AJ170" s="181"/>
      <c r="AK170" s="181"/>
      <c r="AL170" s="181"/>
      <c r="AM170" s="181"/>
      <c r="AN170" s="181"/>
      <c r="AO170" s="181"/>
      <c r="AP170" s="181"/>
      <c r="AQ170" s="320"/>
      <c r="AR170" s="181"/>
      <c r="AS170" s="181"/>
      <c r="AT170" s="5" t="str">
        <f>IF(Tabla1015[[#This Row],[FECHA]]="","",VLOOKUP(TEXT(Tabla1015[[#This Row],[FECHA]],"[$-C0A]dddd"),Tabla2[#All],2,FALSE)&amp;"-"&amp;TEXT(Tabla1015[[#This Row],[FECHA]],"[$-C0A]dddd"))</f>
        <v/>
      </c>
      <c r="AU170" s="322">
        <f>COUNTIF($Z$4:Z170,Z170)</f>
        <v>0</v>
      </c>
    </row>
    <row r="171" spans="2:47" ht="57.75" hidden="1" customHeight="1">
      <c r="B171" s="784"/>
      <c r="C171" s="72" t="str">
        <f t="shared" si="3"/>
        <v/>
      </c>
      <c r="D171" s="258" t="str">
        <f t="shared" si="4"/>
        <v/>
      </c>
      <c r="E171" s="194" t="str">
        <f t="shared" si="5"/>
        <v/>
      </c>
      <c r="F171" s="348" t="str">
        <f t="shared" si="6"/>
        <v/>
      </c>
      <c r="G171" s="348" t="str">
        <f t="shared" si="7"/>
        <v/>
      </c>
      <c r="H171" s="222" t="str">
        <f t="shared" si="8"/>
        <v/>
      </c>
      <c r="I171" s="222" t="str">
        <f t="shared" si="9"/>
        <v/>
      </c>
      <c r="J171" s="222" t="str">
        <f t="shared" si="10"/>
        <v/>
      </c>
      <c r="K171" s="223" t="str">
        <f t="shared" si="11"/>
        <v/>
      </c>
      <c r="L171" s="195" t="str">
        <f t="shared" si="12"/>
        <v/>
      </c>
      <c r="M171" s="196" t="str">
        <f t="shared" si="13"/>
        <v/>
      </c>
      <c r="N171" s="120">
        <f t="shared" si="17"/>
        <v>15</v>
      </c>
      <c r="O171" s="125" t="str">
        <f t="shared" si="18"/>
        <v>EMP. FLOWPACK 2-15</v>
      </c>
      <c r="S171" s="184" t="str">
        <f t="shared" si="2"/>
        <v/>
      </c>
      <c r="T171" s="185"/>
      <c r="U171" s="182"/>
      <c r="V171" s="182"/>
      <c r="W171" s="186"/>
      <c r="X171" s="186"/>
      <c r="Y171" s="241"/>
      <c r="Z171" s="182"/>
      <c r="AA171" s="187" t="str">
        <f>IFERROR(VLOOKUP(Z171,DATOS!$M$2:$N$219,2,FALSE),"")</f>
        <v/>
      </c>
      <c r="AB171" s="182"/>
      <c r="AC171" s="182"/>
      <c r="AD171" s="182"/>
      <c r="AE171" s="182"/>
      <c r="AF171" s="182"/>
      <c r="AG171" s="181"/>
      <c r="AH171" s="181"/>
      <c r="AI171" s="181"/>
      <c r="AJ171" s="181"/>
      <c r="AK171" s="181"/>
      <c r="AL171" s="181"/>
      <c r="AM171" s="181"/>
      <c r="AN171" s="181"/>
      <c r="AO171" s="181"/>
      <c r="AP171" s="181"/>
      <c r="AQ171" s="320"/>
      <c r="AR171" s="181"/>
      <c r="AS171" s="181"/>
      <c r="AT171" s="5" t="str">
        <f>IF(Tabla1015[[#This Row],[FECHA]]="","",VLOOKUP(TEXT(Tabla1015[[#This Row],[FECHA]],"[$-C0A]dddd"),Tabla2[#All],2,FALSE)&amp;"-"&amp;TEXT(Tabla1015[[#This Row],[FECHA]],"[$-C0A]dddd"))</f>
        <v/>
      </c>
      <c r="AU171" s="322">
        <f>COUNTIF($Z$4:Z171,Z171)</f>
        <v>0</v>
      </c>
    </row>
    <row r="172" spans="2:47" ht="57.75" hidden="1" customHeight="1">
      <c r="B172" s="784"/>
      <c r="C172" s="72" t="str">
        <f t="shared" si="3"/>
        <v/>
      </c>
      <c r="D172" s="258" t="str">
        <f t="shared" si="4"/>
        <v/>
      </c>
      <c r="E172" s="194" t="str">
        <f t="shared" si="5"/>
        <v/>
      </c>
      <c r="F172" s="348" t="str">
        <f t="shared" si="6"/>
        <v/>
      </c>
      <c r="G172" s="348" t="str">
        <f t="shared" si="7"/>
        <v/>
      </c>
      <c r="H172" s="222" t="str">
        <f t="shared" si="8"/>
        <v/>
      </c>
      <c r="I172" s="222" t="str">
        <f t="shared" si="9"/>
        <v/>
      </c>
      <c r="J172" s="222" t="str">
        <f t="shared" si="10"/>
        <v/>
      </c>
      <c r="K172" s="223" t="str">
        <f t="shared" si="11"/>
        <v/>
      </c>
      <c r="L172" s="195" t="str">
        <f t="shared" si="12"/>
        <v/>
      </c>
      <c r="M172" s="196" t="str">
        <f t="shared" si="13"/>
        <v/>
      </c>
      <c r="N172" s="120">
        <f t="shared" si="17"/>
        <v>16</v>
      </c>
      <c r="O172" s="125" t="str">
        <f t="shared" si="18"/>
        <v>EMP. FLOWPACK 2-16</v>
      </c>
      <c r="S172" s="184" t="str">
        <f t="shared" si="2"/>
        <v/>
      </c>
      <c r="T172" s="185"/>
      <c r="U172" s="182"/>
      <c r="V172" s="182"/>
      <c r="W172" s="186"/>
      <c r="X172" s="186"/>
      <c r="Y172" s="241"/>
      <c r="Z172" s="182"/>
      <c r="AA172" s="187" t="str">
        <f>IFERROR(VLOOKUP(Z172,DATOS!$M$2:$N$219,2,FALSE),"")</f>
        <v/>
      </c>
      <c r="AB172" s="182"/>
      <c r="AC172" s="182"/>
      <c r="AD172" s="182"/>
      <c r="AE172" s="182"/>
      <c r="AF172" s="182"/>
      <c r="AG172" s="181"/>
      <c r="AH172" s="181"/>
      <c r="AI172" s="181"/>
      <c r="AJ172" s="181"/>
      <c r="AK172" s="181"/>
      <c r="AL172" s="181"/>
      <c r="AM172" s="181"/>
      <c r="AN172" s="181"/>
      <c r="AO172" s="181"/>
      <c r="AP172" s="181"/>
      <c r="AQ172" s="320"/>
      <c r="AR172" s="181"/>
      <c r="AS172" s="181"/>
      <c r="AT172" s="5" t="str">
        <f>IF(Tabla1015[[#This Row],[FECHA]]="","",VLOOKUP(TEXT(Tabla1015[[#This Row],[FECHA]],"[$-C0A]dddd"),Tabla2[#All],2,FALSE)&amp;"-"&amp;TEXT(Tabla1015[[#This Row],[FECHA]],"[$-C0A]dddd"))</f>
        <v/>
      </c>
      <c r="AU172" s="322">
        <f>COUNTIF($Z$4:Z172,Z172)</f>
        <v>0</v>
      </c>
    </row>
    <row r="173" spans="2:47" ht="57.75" hidden="1" customHeight="1">
      <c r="B173" s="784"/>
      <c r="C173" s="72" t="str">
        <f t="shared" si="3"/>
        <v/>
      </c>
      <c r="D173" s="258" t="str">
        <f t="shared" si="4"/>
        <v/>
      </c>
      <c r="E173" s="194" t="str">
        <f t="shared" si="5"/>
        <v/>
      </c>
      <c r="F173" s="348" t="str">
        <f t="shared" si="6"/>
        <v/>
      </c>
      <c r="G173" s="348" t="str">
        <f t="shared" si="7"/>
        <v/>
      </c>
      <c r="H173" s="222" t="str">
        <f t="shared" si="8"/>
        <v/>
      </c>
      <c r="I173" s="222" t="str">
        <f t="shared" si="9"/>
        <v/>
      </c>
      <c r="J173" s="222" t="str">
        <f t="shared" si="10"/>
        <v/>
      </c>
      <c r="K173" s="223" t="str">
        <f t="shared" si="11"/>
        <v/>
      </c>
      <c r="L173" s="195" t="str">
        <f t="shared" si="12"/>
        <v/>
      </c>
      <c r="M173" s="196" t="str">
        <f t="shared" si="13"/>
        <v/>
      </c>
      <c r="N173" s="120">
        <f t="shared" si="17"/>
        <v>17</v>
      </c>
      <c r="O173" s="125" t="str">
        <f t="shared" si="18"/>
        <v>EMP. FLOWPACK 2-17</v>
      </c>
      <c r="S173" s="184" t="str">
        <f t="shared" si="2"/>
        <v/>
      </c>
      <c r="T173" s="185"/>
      <c r="U173" s="182"/>
      <c r="V173" s="182"/>
      <c r="W173" s="186"/>
      <c r="X173" s="186"/>
      <c r="Y173" s="241"/>
      <c r="Z173" s="182"/>
      <c r="AA173" s="187" t="str">
        <f>IFERROR(VLOOKUP(Z173,DATOS!$M$2:$N$219,2,FALSE),"")</f>
        <v/>
      </c>
      <c r="AB173" s="182"/>
      <c r="AC173" s="182"/>
      <c r="AD173" s="182"/>
      <c r="AE173" s="182"/>
      <c r="AF173" s="182"/>
      <c r="AG173" s="181"/>
      <c r="AH173" s="181"/>
      <c r="AI173" s="181"/>
      <c r="AJ173" s="181"/>
      <c r="AK173" s="181"/>
      <c r="AL173" s="181"/>
      <c r="AM173" s="181"/>
      <c r="AN173" s="181"/>
      <c r="AO173" s="181"/>
      <c r="AP173" s="181"/>
      <c r="AQ173" s="320"/>
      <c r="AR173" s="181"/>
      <c r="AS173" s="181"/>
      <c r="AT173" s="5" t="str">
        <f>IF(Tabla1015[[#This Row],[FECHA]]="","",VLOOKUP(TEXT(Tabla1015[[#This Row],[FECHA]],"[$-C0A]dddd"),Tabla2[#All],2,FALSE)&amp;"-"&amp;TEXT(Tabla1015[[#This Row],[FECHA]],"[$-C0A]dddd"))</f>
        <v/>
      </c>
      <c r="AU173" s="322">
        <f>COUNTIF($Z$4:Z173,Z173)</f>
        <v>0</v>
      </c>
    </row>
    <row r="174" spans="2:47" ht="57.75" hidden="1" customHeight="1">
      <c r="B174" s="784"/>
      <c r="C174" s="72" t="str">
        <f t="shared" si="3"/>
        <v/>
      </c>
      <c r="D174" s="258" t="str">
        <f t="shared" si="4"/>
        <v/>
      </c>
      <c r="E174" s="194" t="str">
        <f t="shared" si="5"/>
        <v/>
      </c>
      <c r="F174" s="348" t="str">
        <f t="shared" si="6"/>
        <v/>
      </c>
      <c r="G174" s="348" t="str">
        <f t="shared" si="7"/>
        <v/>
      </c>
      <c r="H174" s="222" t="str">
        <f t="shared" si="8"/>
        <v/>
      </c>
      <c r="I174" s="222" t="str">
        <f t="shared" si="9"/>
        <v/>
      </c>
      <c r="J174" s="222" t="str">
        <f t="shared" si="10"/>
        <v/>
      </c>
      <c r="K174" s="223" t="str">
        <f t="shared" si="11"/>
        <v/>
      </c>
      <c r="L174" s="195" t="str">
        <f t="shared" si="12"/>
        <v/>
      </c>
      <c r="M174" s="196" t="str">
        <f t="shared" si="13"/>
        <v/>
      </c>
      <c r="N174" s="120">
        <f t="shared" si="17"/>
        <v>18</v>
      </c>
      <c r="O174" s="125" t="str">
        <f t="shared" si="18"/>
        <v>EMP. FLOWPACK 2-18</v>
      </c>
      <c r="S174" s="184" t="str">
        <f t="shared" si="2"/>
        <v/>
      </c>
      <c r="T174" s="185"/>
      <c r="U174" s="182"/>
      <c r="V174" s="182"/>
      <c r="W174" s="186"/>
      <c r="X174" s="186"/>
      <c r="Y174" s="241"/>
      <c r="Z174" s="182"/>
      <c r="AA174" s="187" t="str">
        <f>IFERROR(VLOOKUP(Z174,DATOS!$M$2:$N$219,2,FALSE),"")</f>
        <v/>
      </c>
      <c r="AB174" s="182"/>
      <c r="AC174" s="182"/>
      <c r="AD174" s="182"/>
      <c r="AE174" s="182"/>
      <c r="AF174" s="182"/>
      <c r="AG174" s="181"/>
      <c r="AH174" s="181"/>
      <c r="AI174" s="181"/>
      <c r="AJ174" s="181"/>
      <c r="AK174" s="181"/>
      <c r="AL174" s="181"/>
      <c r="AM174" s="181"/>
      <c r="AN174" s="181"/>
      <c r="AO174" s="181"/>
      <c r="AP174" s="181"/>
      <c r="AQ174" s="320"/>
      <c r="AR174" s="181"/>
      <c r="AS174" s="181"/>
      <c r="AT174" s="5" t="str">
        <f>IF(Tabla1015[[#This Row],[FECHA]]="","",VLOOKUP(TEXT(Tabla1015[[#This Row],[FECHA]],"[$-C0A]dddd"),Tabla2[#All],2,FALSE)&amp;"-"&amp;TEXT(Tabla1015[[#This Row],[FECHA]],"[$-C0A]dddd"))</f>
        <v/>
      </c>
      <c r="AU174" s="322">
        <f>COUNTIF($Z$4:Z174,Z174)</f>
        <v>0</v>
      </c>
    </row>
    <row r="175" spans="2:47" ht="57.75" hidden="1" customHeight="1">
      <c r="B175" s="784"/>
      <c r="C175" s="101" t="str">
        <f t="shared" si="3"/>
        <v/>
      </c>
      <c r="D175" s="259" t="str">
        <f t="shared" si="4"/>
        <v/>
      </c>
      <c r="E175" s="197" t="str">
        <f t="shared" si="5"/>
        <v/>
      </c>
      <c r="F175" s="349" t="str">
        <f t="shared" si="6"/>
        <v/>
      </c>
      <c r="G175" s="349" t="str">
        <f t="shared" si="7"/>
        <v/>
      </c>
      <c r="H175" s="224" t="str">
        <f t="shared" si="8"/>
        <v/>
      </c>
      <c r="I175" s="224" t="str">
        <f t="shared" si="9"/>
        <v/>
      </c>
      <c r="J175" s="224" t="str">
        <f t="shared" si="10"/>
        <v/>
      </c>
      <c r="K175" s="225" t="str">
        <f t="shared" si="11"/>
        <v/>
      </c>
      <c r="L175" s="198" t="str">
        <f t="shared" si="12"/>
        <v/>
      </c>
      <c r="M175" s="199" t="str">
        <f t="shared" si="13"/>
        <v/>
      </c>
      <c r="N175" s="138">
        <f t="shared" si="17"/>
        <v>19</v>
      </c>
      <c r="O175" s="135" t="str">
        <f t="shared" si="18"/>
        <v>EMP. FLOWPACK 2-19</v>
      </c>
      <c r="S175" s="184" t="str">
        <f t="shared" si="2"/>
        <v/>
      </c>
      <c r="T175" s="185"/>
      <c r="U175" s="182"/>
      <c r="V175" s="182"/>
      <c r="W175" s="186"/>
      <c r="X175" s="186"/>
      <c r="Y175" s="241"/>
      <c r="Z175" s="182"/>
      <c r="AA175" s="187" t="str">
        <f>IFERROR(VLOOKUP(Z175,DATOS!$M$2:$N$219,2,FALSE),"")</f>
        <v/>
      </c>
      <c r="AB175" s="182"/>
      <c r="AC175" s="182"/>
      <c r="AD175" s="182"/>
      <c r="AE175" s="182"/>
      <c r="AF175" s="182"/>
      <c r="AG175" s="181"/>
      <c r="AH175" s="181"/>
      <c r="AI175" s="181"/>
      <c r="AJ175" s="181"/>
      <c r="AK175" s="181"/>
      <c r="AL175" s="181"/>
      <c r="AM175" s="181"/>
      <c r="AN175" s="181"/>
      <c r="AO175" s="181"/>
      <c r="AP175" s="181"/>
      <c r="AQ175" s="320"/>
      <c r="AR175" s="181"/>
      <c r="AS175" s="181"/>
      <c r="AT175" s="5" t="str">
        <f>IF(Tabla1015[[#This Row],[FECHA]]="","",VLOOKUP(TEXT(Tabla1015[[#This Row],[FECHA]],"[$-C0A]dddd"),Tabla2[#All],2,FALSE)&amp;"-"&amp;TEXT(Tabla1015[[#This Row],[FECHA]],"[$-C0A]dddd"))</f>
        <v/>
      </c>
      <c r="AU175" s="322">
        <f>COUNTIF($Z$4:Z175,Z175)</f>
        <v>0</v>
      </c>
    </row>
    <row r="176" spans="2:47" ht="57.75" hidden="1" customHeight="1">
      <c r="B176" s="785"/>
      <c r="C176" s="101" t="str">
        <f t="shared" si="3"/>
        <v/>
      </c>
      <c r="D176" s="259" t="str">
        <f t="shared" si="4"/>
        <v/>
      </c>
      <c r="E176" s="197" t="str">
        <f t="shared" si="5"/>
        <v/>
      </c>
      <c r="F176" s="349" t="str">
        <f t="shared" si="6"/>
        <v/>
      </c>
      <c r="G176" s="349" t="str">
        <f t="shared" si="7"/>
        <v/>
      </c>
      <c r="H176" s="224" t="str">
        <f t="shared" si="8"/>
        <v/>
      </c>
      <c r="I176" s="224" t="str">
        <f t="shared" si="9"/>
        <v/>
      </c>
      <c r="J176" s="224" t="str">
        <f t="shared" si="10"/>
        <v/>
      </c>
      <c r="K176" s="225" t="str">
        <f t="shared" si="11"/>
        <v/>
      </c>
      <c r="L176" s="198" t="str">
        <f t="shared" si="12"/>
        <v/>
      </c>
      <c r="M176" s="199" t="str">
        <f t="shared" si="13"/>
        <v/>
      </c>
      <c r="N176" s="138">
        <f t="shared" si="17"/>
        <v>20</v>
      </c>
      <c r="O176" s="135" t="str">
        <f>CONCATENATE($B$157,"-",N176)</f>
        <v>EMP. FLOWPACK 2-20</v>
      </c>
      <c r="S176" s="184" t="str">
        <f t="shared" si="2"/>
        <v/>
      </c>
      <c r="T176" s="185"/>
      <c r="U176" s="182"/>
      <c r="V176" s="182"/>
      <c r="W176" s="186"/>
      <c r="X176" s="186"/>
      <c r="Y176" s="241"/>
      <c r="Z176" s="182"/>
      <c r="AA176" s="187" t="str">
        <f>IFERROR(VLOOKUP(Z176,DATOS!$M$2:$N$219,2,FALSE),"")</f>
        <v/>
      </c>
      <c r="AB176" s="182"/>
      <c r="AC176" s="182"/>
      <c r="AD176" s="182"/>
      <c r="AE176" s="182"/>
      <c r="AF176" s="182"/>
      <c r="AG176" s="181"/>
      <c r="AH176" s="181"/>
      <c r="AI176" s="181"/>
      <c r="AJ176" s="181"/>
      <c r="AK176" s="181"/>
      <c r="AL176" s="181"/>
      <c r="AM176" s="181"/>
      <c r="AN176" s="181"/>
      <c r="AO176" s="181"/>
      <c r="AP176" s="181"/>
      <c r="AQ176" s="320"/>
      <c r="AR176" s="181"/>
      <c r="AS176" s="181"/>
      <c r="AT176" s="5" t="str">
        <f>IF(Tabla1015[[#This Row],[FECHA]]="","",VLOOKUP(TEXT(Tabla1015[[#This Row],[FECHA]],"[$-C0A]dddd"),Tabla2[#All],2,FALSE)&amp;"-"&amp;TEXT(Tabla1015[[#This Row],[FECHA]],"[$-C0A]dddd"))</f>
        <v/>
      </c>
      <c r="AU176" s="322">
        <f>COUNTIF($Z$4:Z176,Z176)</f>
        <v>0</v>
      </c>
    </row>
    <row r="177" spans="2:47" ht="57.75" customHeight="1">
      <c r="B177" s="786" t="str">
        <f>+'TABLA RES-SEMANA'!B70</f>
        <v>EMP. SACMI</v>
      </c>
      <c r="C177" s="169" t="str">
        <f t="shared" si="3"/>
        <v>Maquinaria</v>
      </c>
      <c r="D177" s="257">
        <f t="shared" si="4"/>
        <v>45943</v>
      </c>
      <c r="E177" s="191" t="str">
        <f t="shared" si="5"/>
        <v>NOCHE</v>
      </c>
      <c r="F177" s="347" t="str">
        <f t="shared" si="6"/>
        <v>21:30</v>
      </c>
      <c r="G177" s="347" t="str">
        <f t="shared" si="7"/>
        <v>21:50</v>
      </c>
      <c r="H177" s="220">
        <f t="shared" si="8"/>
        <v>1.388888888888884E-2</v>
      </c>
      <c r="I177" s="220" t="str">
        <f t="shared" si="9"/>
        <v>Inspección</v>
      </c>
      <c r="J177" s="220" t="str">
        <f t="shared" si="10"/>
        <v>PROGRAMADA</v>
      </c>
      <c r="K177" s="221" t="str">
        <f t="shared" si="11"/>
        <v/>
      </c>
      <c r="L177" s="192" t="str">
        <f t="shared" si="12"/>
        <v xml:space="preserve">Inspección de equipo </v>
      </c>
      <c r="M177" s="193" t="str">
        <f t="shared" si="13"/>
        <v/>
      </c>
      <c r="N177" s="100">
        <v>1</v>
      </c>
      <c r="O177" s="98" t="str">
        <f>CONCATENATE($B$177,"-",N177)</f>
        <v>EMP. SACMI-1</v>
      </c>
      <c r="P177" s="91">
        <f>COUNTIF(H177:H196,"&lt;&gt;**")</f>
        <v>6</v>
      </c>
      <c r="S177" s="184" t="str">
        <f t="shared" si="2"/>
        <v/>
      </c>
      <c r="T177" s="22"/>
      <c r="U177" s="16"/>
      <c r="V177" s="16"/>
      <c r="W177" s="23"/>
      <c r="X177" s="23"/>
      <c r="Y177" s="78"/>
      <c r="Z177" s="16"/>
      <c r="AA177" s="343" t="str">
        <f>IFERROR(VLOOKUP(Z177,DATOS!$M$2:$N$219,2,FALSE),"")</f>
        <v/>
      </c>
      <c r="AB177" s="115"/>
      <c r="AC177" s="115"/>
      <c r="AD177" s="115"/>
      <c r="AE177" s="35"/>
      <c r="AF177" s="35"/>
      <c r="AG177" s="35"/>
      <c r="AH177" s="35"/>
      <c r="AI177" s="35"/>
      <c r="AJ177" s="16"/>
      <c r="AK177" s="16"/>
      <c r="AL177" s="16"/>
      <c r="AM177" s="17"/>
      <c r="AN177" s="16"/>
      <c r="AO177" s="75"/>
      <c r="AP177" s="75"/>
      <c r="AQ177" s="27"/>
      <c r="AR177" s="319"/>
      <c r="AS177" s="10"/>
      <c r="AT177" s="5" t="str">
        <f>IF(Tabla1015[[#This Row],[FECHA]]="","",VLOOKUP(TEXT(Tabla1015[[#This Row],[FECHA]],"[$-C0A]dddd"),Tabla2[#All],2,FALSE)&amp;"-"&amp;TEXT(Tabla1015[[#This Row],[FECHA]],"[$-C0A]dddd"))</f>
        <v/>
      </c>
      <c r="AU177" s="322">
        <f>COUNTIF($Z$4:Z177,Z177)</f>
        <v>0</v>
      </c>
    </row>
    <row r="178" spans="2:47" ht="57.75" customHeight="1">
      <c r="B178" s="784"/>
      <c r="C178" s="72" t="str">
        <f t="shared" si="3"/>
        <v>Maquinaria</v>
      </c>
      <c r="D178" s="258">
        <f t="shared" si="4"/>
        <v>45943</v>
      </c>
      <c r="E178" s="194" t="str">
        <f t="shared" si="5"/>
        <v>MAÑANA</v>
      </c>
      <c r="F178" s="348" t="str">
        <f t="shared" si="6"/>
        <v>10:00</v>
      </c>
      <c r="G178" s="348" t="str">
        <f t="shared" si="7"/>
        <v>10:30</v>
      </c>
      <c r="H178" s="222">
        <f t="shared" si="8"/>
        <v>2.0833333333333315E-2</v>
      </c>
      <c r="I178" s="222" t="str">
        <f t="shared" si="9"/>
        <v>SET UP</v>
      </c>
      <c r="J178" s="222" t="str">
        <f t="shared" si="10"/>
        <v>PROGRAMADA</v>
      </c>
      <c r="K178" s="223" t="str">
        <f t="shared" si="11"/>
        <v/>
      </c>
      <c r="L178" s="195" t="str">
        <f t="shared" si="12"/>
        <v>Armar y habilitar máquina.</v>
      </c>
      <c r="M178" s="196" t="str">
        <f t="shared" si="13"/>
        <v>Se buscó piezas para armar máquina, se le informó a supervisores de producción sobre las piezas de máquina para que puedan buscarlas. Se colocó piezas en cabina de máquina.</v>
      </c>
      <c r="N178" s="120">
        <f>+N177+1</f>
        <v>2</v>
      </c>
      <c r="O178" s="125" t="str">
        <f t="shared" ref="O178:O186" si="19">CONCATENATE($B$177,"-",N178)</f>
        <v>EMP. SACMI-2</v>
      </c>
      <c r="S178" s="184" t="str">
        <f t="shared" si="2"/>
        <v/>
      </c>
      <c r="T178" s="22"/>
      <c r="U178" s="16"/>
      <c r="V178" s="16"/>
      <c r="W178" s="23"/>
      <c r="X178" s="23"/>
      <c r="Y178" s="78"/>
      <c r="Z178" s="16"/>
      <c r="AA178" s="343" t="str">
        <f>IFERROR(VLOOKUP(Z178,DATOS!$M$2:$N$219,2,FALSE),"")</f>
        <v/>
      </c>
      <c r="AB178" s="115"/>
      <c r="AC178" s="115"/>
      <c r="AD178" s="115"/>
      <c r="AE178" s="35"/>
      <c r="AF178" s="35"/>
      <c r="AG178" s="35"/>
      <c r="AH178" s="35"/>
      <c r="AI178" s="35"/>
      <c r="AJ178" s="16"/>
      <c r="AK178" s="16"/>
      <c r="AL178" s="16"/>
      <c r="AM178" s="17"/>
      <c r="AN178" s="16"/>
      <c r="AO178" s="75"/>
      <c r="AP178" s="75"/>
      <c r="AQ178" s="27"/>
      <c r="AR178" s="319"/>
      <c r="AS178" s="10"/>
      <c r="AT178" s="5" t="str">
        <f>IF(Tabla1015[[#This Row],[FECHA]]="","",VLOOKUP(TEXT(Tabla1015[[#This Row],[FECHA]],"[$-C0A]dddd"),Tabla2[#All],2,FALSE)&amp;"-"&amp;TEXT(Tabla1015[[#This Row],[FECHA]],"[$-C0A]dddd"))</f>
        <v/>
      </c>
      <c r="AU178" s="322">
        <f>COUNTIF($Z$4:Z178,Z178)</f>
        <v>0</v>
      </c>
    </row>
    <row r="179" spans="2:47" ht="57.75" customHeight="1">
      <c r="B179" s="784"/>
      <c r="C179" s="72" t="str">
        <f t="shared" si="3"/>
        <v>Maquinaria</v>
      </c>
      <c r="D179" s="258">
        <f t="shared" si="4"/>
        <v>45943</v>
      </c>
      <c r="E179" s="194" t="str">
        <f t="shared" si="5"/>
        <v>MAÑANA</v>
      </c>
      <c r="F179" s="348" t="str">
        <f t="shared" si="6"/>
        <v>07:46</v>
      </c>
      <c r="G179" s="348" t="str">
        <f t="shared" si="7"/>
        <v>08:00</v>
      </c>
      <c r="H179" s="222">
        <f t="shared" si="8"/>
        <v>9.7222222222221877E-3</v>
      </c>
      <c r="I179" s="222" t="str">
        <f t="shared" si="9"/>
        <v>SET UP</v>
      </c>
      <c r="J179" s="222" t="str">
        <f t="shared" si="10"/>
        <v>PROGRAMADA</v>
      </c>
      <c r="K179" s="223" t="str">
        <f t="shared" si="11"/>
        <v/>
      </c>
      <c r="L179" s="195" t="str">
        <f t="shared" si="12"/>
        <v xml:space="preserve">Se retira guardas para realizar limpieza </v>
      </c>
      <c r="M179" s="196" t="str">
        <f t="shared" si="13"/>
        <v/>
      </c>
      <c r="N179" s="120">
        <f t="shared" ref="N179:N196" si="20">+N178+1</f>
        <v>3</v>
      </c>
      <c r="O179" s="125" t="str">
        <f t="shared" si="19"/>
        <v>EMP. SACMI-3</v>
      </c>
      <c r="S179" s="184" t="str">
        <f t="shared" si="2"/>
        <v/>
      </c>
      <c r="T179" s="22"/>
      <c r="U179" s="16"/>
      <c r="V179" s="16"/>
      <c r="W179" s="23"/>
      <c r="X179" s="23"/>
      <c r="Y179" s="78"/>
      <c r="Z179" s="16"/>
      <c r="AA179" s="343" t="str">
        <f>IFERROR(VLOOKUP(Z179,DATOS!$M$2:$N$219,2,FALSE),"")</f>
        <v/>
      </c>
      <c r="AB179" s="115"/>
      <c r="AC179" s="115"/>
      <c r="AD179" s="115"/>
      <c r="AE179" s="35"/>
      <c r="AF179" s="35"/>
      <c r="AG179" s="35"/>
      <c r="AH179" s="35"/>
      <c r="AI179" s="35"/>
      <c r="AJ179" s="16"/>
      <c r="AK179" s="16"/>
      <c r="AL179" s="16"/>
      <c r="AM179" s="17"/>
      <c r="AN179" s="16"/>
      <c r="AO179" s="75"/>
      <c r="AP179" s="75"/>
      <c r="AQ179" s="27"/>
      <c r="AR179" s="319"/>
      <c r="AS179" s="10"/>
      <c r="AT179" s="5" t="str">
        <f>IF(Tabla1015[[#This Row],[FECHA]]="","",VLOOKUP(TEXT(Tabla1015[[#This Row],[FECHA]],"[$-C0A]dddd"),Tabla2[#All],2,FALSE)&amp;"-"&amp;TEXT(Tabla1015[[#This Row],[FECHA]],"[$-C0A]dddd"))</f>
        <v/>
      </c>
      <c r="AU179" s="322">
        <f>COUNTIF($Z$4:Z179,Z179)</f>
        <v>0</v>
      </c>
    </row>
    <row r="180" spans="2:47" ht="57.75" customHeight="1">
      <c r="B180" s="784"/>
      <c r="C180" s="72" t="str">
        <f t="shared" si="3"/>
        <v>Maquinaria</v>
      </c>
      <c r="D180" s="258">
        <f t="shared" si="4"/>
        <v>45943</v>
      </c>
      <c r="E180" s="194" t="str">
        <f t="shared" si="5"/>
        <v>MAÑANA</v>
      </c>
      <c r="F180" s="348" t="str">
        <f t="shared" si="6"/>
        <v>11:00</v>
      </c>
      <c r="G180" s="348" t="str">
        <f t="shared" si="7"/>
        <v>11:27</v>
      </c>
      <c r="H180" s="222">
        <f t="shared" si="8"/>
        <v>1.8750000000000044E-2</v>
      </c>
      <c r="I180" s="222" t="str">
        <f t="shared" si="9"/>
        <v>SET UP</v>
      </c>
      <c r="J180" s="222" t="str">
        <f t="shared" si="10"/>
        <v>PROGRAMADA</v>
      </c>
      <c r="K180" s="223" t="str">
        <f t="shared" si="11"/>
        <v/>
      </c>
      <c r="L180" s="195" t="str">
        <f t="shared" si="12"/>
        <v xml:space="preserve">Armado de equipo, se coloca guardas fajas y se inicializa </v>
      </c>
      <c r="M180" s="196" t="str">
        <f t="shared" si="13"/>
        <v/>
      </c>
      <c r="N180" s="120">
        <f t="shared" si="20"/>
        <v>4</v>
      </c>
      <c r="O180" s="125" t="str">
        <f t="shared" si="19"/>
        <v>EMP. SACMI-4</v>
      </c>
      <c r="S180" s="184" t="str">
        <f t="shared" si="2"/>
        <v/>
      </c>
      <c r="T180" s="22"/>
      <c r="U180" s="16"/>
      <c r="V180" s="16"/>
      <c r="W180" s="23"/>
      <c r="X180" s="23"/>
      <c r="Y180" s="78"/>
      <c r="Z180" s="16"/>
      <c r="AA180" s="343" t="str">
        <f>IFERROR(VLOOKUP(Z180,DATOS!$M$2:$N$219,2,FALSE),"")</f>
        <v/>
      </c>
      <c r="AB180" s="115"/>
      <c r="AC180" s="115"/>
      <c r="AD180" s="115"/>
      <c r="AE180" s="35"/>
      <c r="AF180" s="35"/>
      <c r="AG180" s="35"/>
      <c r="AH180" s="35"/>
      <c r="AI180" s="35"/>
      <c r="AJ180" s="16"/>
      <c r="AK180" s="16"/>
      <c r="AL180" s="16"/>
      <c r="AM180" s="17"/>
      <c r="AN180" s="16"/>
      <c r="AO180" s="75"/>
      <c r="AP180" s="75"/>
      <c r="AQ180" s="27"/>
      <c r="AR180" s="319"/>
      <c r="AS180" s="10"/>
      <c r="AT180" s="5" t="str">
        <f>IF(Tabla1015[[#This Row],[FECHA]]="","",VLOOKUP(TEXT(Tabla1015[[#This Row],[FECHA]],"[$-C0A]dddd"),Tabla2[#All],2,FALSE)&amp;"-"&amp;TEXT(Tabla1015[[#This Row],[FECHA]],"[$-C0A]dddd"))</f>
        <v/>
      </c>
      <c r="AU180" s="322">
        <f>COUNTIF($Z$4:Z180,Z180)</f>
        <v>0</v>
      </c>
    </row>
    <row r="181" spans="2:47" ht="57.75" customHeight="1">
      <c r="B181" s="784"/>
      <c r="C181" s="72" t="str">
        <f t="shared" si="3"/>
        <v>Maquinaria</v>
      </c>
      <c r="D181" s="258">
        <f t="shared" si="4"/>
        <v>45943</v>
      </c>
      <c r="E181" s="194" t="str">
        <f t="shared" si="5"/>
        <v>MAÑANA</v>
      </c>
      <c r="F181" s="348" t="str">
        <f t="shared" si="6"/>
        <v>12:25</v>
      </c>
      <c r="G181" s="348" t="str">
        <f t="shared" si="7"/>
        <v>13:00</v>
      </c>
      <c r="H181" s="222">
        <f t="shared" si="8"/>
        <v>2.4305555555555469E-2</v>
      </c>
      <c r="I181" s="222" t="str">
        <f t="shared" si="9"/>
        <v>Ajuste /Calibracion</v>
      </c>
      <c r="J181" s="222" t="str">
        <f t="shared" si="10"/>
        <v>NO PROGRAMADA</v>
      </c>
      <c r="K181" s="223" t="str">
        <f t="shared" si="11"/>
        <v>MECÁNICA</v>
      </c>
      <c r="L181" s="195" t="str">
        <f t="shared" si="12"/>
        <v xml:space="preserve">Inspección de equipo </v>
      </c>
      <c r="M181" s="196" t="str">
        <f t="shared" si="13"/>
        <v xml:space="preserve">Faja de alimentación se frena por momentos, se tensa y se realiza pruebas </v>
      </c>
      <c r="N181" s="120">
        <f t="shared" si="20"/>
        <v>5</v>
      </c>
      <c r="O181" s="125" t="str">
        <f t="shared" si="19"/>
        <v>EMP. SACMI-5</v>
      </c>
      <c r="S181" s="184" t="str">
        <f t="shared" si="2"/>
        <v/>
      </c>
      <c r="T181" s="22"/>
      <c r="U181" s="16"/>
      <c r="V181" s="16"/>
      <c r="W181" s="23"/>
      <c r="X181" s="23"/>
      <c r="Y181" s="78"/>
      <c r="Z181" s="16"/>
      <c r="AA181" s="343" t="str">
        <f>IFERROR(VLOOKUP(Z181,DATOS!$M$2:$N$219,2,FALSE),"")</f>
        <v/>
      </c>
      <c r="AB181" s="115"/>
      <c r="AC181" s="115"/>
      <c r="AD181" s="115"/>
      <c r="AE181" s="35"/>
      <c r="AF181" s="35"/>
      <c r="AG181" s="35"/>
      <c r="AH181" s="35"/>
      <c r="AI181" s="35"/>
      <c r="AJ181" s="16"/>
      <c r="AK181" s="16"/>
      <c r="AL181" s="16"/>
      <c r="AM181" s="17"/>
      <c r="AN181" s="16"/>
      <c r="AO181" s="75"/>
      <c r="AP181" s="75"/>
      <c r="AQ181" s="27"/>
      <c r="AR181" s="319"/>
      <c r="AS181" s="10"/>
      <c r="AT181" s="5" t="str">
        <f>IF(Tabla1015[[#This Row],[FECHA]]="","",VLOOKUP(TEXT(Tabla1015[[#This Row],[FECHA]],"[$-C0A]dddd"),Tabla2[#All],2,FALSE)&amp;"-"&amp;TEXT(Tabla1015[[#This Row],[FECHA]],"[$-C0A]dddd"))</f>
        <v/>
      </c>
      <c r="AU181" s="322">
        <f>COUNTIF($Z$4:Z181,Z181)</f>
        <v>0</v>
      </c>
    </row>
    <row r="182" spans="2:47" ht="57.75" customHeight="1">
      <c r="B182" s="784"/>
      <c r="C182" s="72" t="str">
        <f t="shared" si="3"/>
        <v>Maquinaria</v>
      </c>
      <c r="D182" s="258">
        <f t="shared" si="4"/>
        <v>45945</v>
      </c>
      <c r="E182" s="194" t="str">
        <f t="shared" si="5"/>
        <v>NOCHE</v>
      </c>
      <c r="F182" s="348" t="str">
        <f t="shared" si="6"/>
        <v>01:03</v>
      </c>
      <c r="G182" s="348" t="str">
        <f t="shared" si="7"/>
        <v>01:10</v>
      </c>
      <c r="H182" s="222">
        <f t="shared" si="8"/>
        <v>4.8611111111111147E-3</v>
      </c>
      <c r="I182" s="222" t="str">
        <f t="shared" si="9"/>
        <v>SET UP</v>
      </c>
      <c r="J182" s="222" t="str">
        <f t="shared" si="10"/>
        <v>PROGRAMADA</v>
      </c>
      <c r="K182" s="223" t="str">
        <f t="shared" si="11"/>
        <v/>
      </c>
      <c r="L182" s="195" t="str">
        <f t="shared" si="12"/>
        <v>Cambio de pinzas</v>
      </c>
      <c r="M182" s="196" t="str">
        <f t="shared" si="13"/>
        <v/>
      </c>
      <c r="N182" s="120">
        <f t="shared" si="20"/>
        <v>6</v>
      </c>
      <c r="O182" s="125" t="str">
        <f t="shared" si="19"/>
        <v>EMP. SACMI-6</v>
      </c>
      <c r="S182" s="184" t="str">
        <f t="shared" si="2"/>
        <v/>
      </c>
      <c r="T182" s="22"/>
      <c r="U182" s="16"/>
      <c r="V182" s="16"/>
      <c r="W182" s="23"/>
      <c r="X182" s="23"/>
      <c r="Y182" s="78"/>
      <c r="Z182" s="16"/>
      <c r="AA182" s="343" t="str">
        <f>IFERROR(VLOOKUP(Z182,DATOS!$M$2:$N$219,2,FALSE),"")</f>
        <v/>
      </c>
      <c r="AB182" s="115"/>
      <c r="AC182" s="115"/>
      <c r="AD182" s="115"/>
      <c r="AE182" s="35"/>
      <c r="AF182" s="35"/>
      <c r="AG182" s="35"/>
      <c r="AH182" s="35"/>
      <c r="AI182" s="35"/>
      <c r="AJ182" s="16"/>
      <c r="AK182" s="16"/>
      <c r="AL182" s="16"/>
      <c r="AM182" s="17"/>
      <c r="AN182" s="16"/>
      <c r="AO182" s="75"/>
      <c r="AP182" s="75"/>
      <c r="AQ182" s="27"/>
      <c r="AR182" s="319"/>
      <c r="AS182" s="10"/>
      <c r="AT182" s="5" t="str">
        <f>IF(Tabla1015[[#This Row],[FECHA]]="","",VLOOKUP(TEXT(Tabla1015[[#This Row],[FECHA]],"[$-C0A]dddd"),Tabla2[#All],2,FALSE)&amp;"-"&amp;TEXT(Tabla1015[[#This Row],[FECHA]],"[$-C0A]dddd"))</f>
        <v/>
      </c>
      <c r="AU182" s="322">
        <f>COUNTIF($Z$4:Z182,Z182)</f>
        <v>0</v>
      </c>
    </row>
    <row r="183" spans="2:47" ht="57.75" hidden="1" customHeight="1">
      <c r="B183" s="784"/>
      <c r="C183" s="72" t="str">
        <f t="shared" si="3"/>
        <v/>
      </c>
      <c r="D183" s="258" t="str">
        <f t="shared" si="4"/>
        <v/>
      </c>
      <c r="E183" s="194" t="str">
        <f t="shared" si="5"/>
        <v/>
      </c>
      <c r="F183" s="348" t="str">
        <f t="shared" si="6"/>
        <v/>
      </c>
      <c r="G183" s="348" t="str">
        <f t="shared" si="7"/>
        <v/>
      </c>
      <c r="H183" s="222" t="str">
        <f t="shared" si="8"/>
        <v/>
      </c>
      <c r="I183" s="222" t="str">
        <f t="shared" si="9"/>
        <v/>
      </c>
      <c r="J183" s="222" t="str">
        <f t="shared" si="10"/>
        <v/>
      </c>
      <c r="K183" s="223" t="str">
        <f t="shared" si="11"/>
        <v/>
      </c>
      <c r="L183" s="195" t="str">
        <f t="shared" si="12"/>
        <v/>
      </c>
      <c r="M183" s="196" t="str">
        <f t="shared" si="13"/>
        <v/>
      </c>
      <c r="N183" s="120">
        <f t="shared" si="20"/>
        <v>7</v>
      </c>
      <c r="O183" s="125" t="str">
        <f t="shared" si="19"/>
        <v>EMP. SACMI-7</v>
      </c>
      <c r="S183" s="184" t="str">
        <f t="shared" si="2"/>
        <v/>
      </c>
      <c r="T183" s="22"/>
      <c r="U183" s="16"/>
      <c r="V183" s="16"/>
      <c r="W183" s="23"/>
      <c r="X183" s="23"/>
      <c r="Y183" s="78"/>
      <c r="Z183" s="16"/>
      <c r="AA183" s="343" t="str">
        <f>IFERROR(VLOOKUP(Z183,DATOS!$M$2:$N$219,2,FALSE),"")</f>
        <v/>
      </c>
      <c r="AB183" s="115"/>
      <c r="AC183" s="115"/>
      <c r="AD183" s="115"/>
      <c r="AE183" s="35"/>
      <c r="AF183" s="35"/>
      <c r="AG183" s="35"/>
      <c r="AH183" s="35"/>
      <c r="AI183" s="35"/>
      <c r="AJ183" s="16"/>
      <c r="AK183" s="16"/>
      <c r="AL183" s="16"/>
      <c r="AM183" s="17"/>
      <c r="AN183" s="16"/>
      <c r="AO183" s="75"/>
      <c r="AP183" s="75"/>
      <c r="AQ183" s="27"/>
      <c r="AR183" s="319"/>
      <c r="AS183" s="10"/>
      <c r="AT183" s="5" t="str">
        <f>IF(Tabla1015[[#This Row],[FECHA]]="","",VLOOKUP(TEXT(Tabla1015[[#This Row],[FECHA]],"[$-C0A]dddd"),Tabla2[#All],2,FALSE)&amp;"-"&amp;TEXT(Tabla1015[[#This Row],[FECHA]],"[$-C0A]dddd"))</f>
        <v/>
      </c>
      <c r="AU183" s="322">
        <f>COUNTIF($Z$4:Z183,Z183)</f>
        <v>0</v>
      </c>
    </row>
    <row r="184" spans="2:47" ht="52.5" hidden="1">
      <c r="B184" s="784"/>
      <c r="C184" s="72" t="str">
        <f t="shared" si="3"/>
        <v/>
      </c>
      <c r="D184" s="258" t="str">
        <f t="shared" si="4"/>
        <v/>
      </c>
      <c r="E184" s="194" t="str">
        <f t="shared" si="5"/>
        <v/>
      </c>
      <c r="F184" s="348" t="str">
        <f t="shared" si="6"/>
        <v/>
      </c>
      <c r="G184" s="348" t="str">
        <f t="shared" si="7"/>
        <v/>
      </c>
      <c r="H184" s="222" t="str">
        <f t="shared" si="8"/>
        <v/>
      </c>
      <c r="I184" s="222" t="str">
        <f t="shared" si="9"/>
        <v/>
      </c>
      <c r="J184" s="222" t="str">
        <f t="shared" si="10"/>
        <v/>
      </c>
      <c r="K184" s="223" t="str">
        <f t="shared" si="11"/>
        <v/>
      </c>
      <c r="L184" s="195" t="str">
        <f t="shared" si="12"/>
        <v/>
      </c>
      <c r="M184" s="196" t="str">
        <f t="shared" si="13"/>
        <v/>
      </c>
      <c r="N184" s="120">
        <f t="shared" si="20"/>
        <v>8</v>
      </c>
      <c r="O184" s="125" t="str">
        <f t="shared" si="19"/>
        <v>EMP. SACMI-8</v>
      </c>
      <c r="S184" s="184" t="str">
        <f t="shared" si="2"/>
        <v/>
      </c>
      <c r="T184" s="22"/>
      <c r="U184" s="16"/>
      <c r="V184" s="16"/>
      <c r="W184" s="23"/>
      <c r="X184" s="23"/>
      <c r="Y184" s="78"/>
      <c r="Z184" s="16"/>
      <c r="AA184" s="343" t="str">
        <f>IFERROR(VLOOKUP(Z184,DATOS!$M$2:$N$219,2,FALSE),"")</f>
        <v/>
      </c>
      <c r="AB184" s="115"/>
      <c r="AC184" s="115"/>
      <c r="AD184" s="115"/>
      <c r="AE184" s="35"/>
      <c r="AF184" s="35"/>
      <c r="AG184" s="35"/>
      <c r="AH184" s="35"/>
      <c r="AI184" s="35"/>
      <c r="AJ184" s="16"/>
      <c r="AK184" s="16"/>
      <c r="AL184" s="16"/>
      <c r="AM184" s="17"/>
      <c r="AN184" s="16"/>
      <c r="AO184" s="75"/>
      <c r="AP184" s="75"/>
      <c r="AQ184" s="27"/>
      <c r="AR184" s="319"/>
      <c r="AS184" s="10"/>
      <c r="AT184" s="5" t="str">
        <f>IF(Tabla1015[[#This Row],[FECHA]]="","",VLOOKUP(TEXT(Tabla1015[[#This Row],[FECHA]],"[$-C0A]dddd"),Tabla2[#All],2,FALSE)&amp;"-"&amp;TEXT(Tabla1015[[#This Row],[FECHA]],"[$-C0A]dddd"))</f>
        <v/>
      </c>
      <c r="AU184" s="322">
        <f>COUNTIF($Z$4:Z184,Z184)</f>
        <v>0</v>
      </c>
    </row>
    <row r="185" spans="2:47" ht="57.75" hidden="1" customHeight="1">
      <c r="B185" s="784"/>
      <c r="C185" s="72" t="str">
        <f t="shared" si="3"/>
        <v/>
      </c>
      <c r="D185" s="258" t="str">
        <f t="shared" si="4"/>
        <v/>
      </c>
      <c r="E185" s="194" t="str">
        <f t="shared" si="5"/>
        <v/>
      </c>
      <c r="F185" s="348" t="str">
        <f t="shared" si="6"/>
        <v/>
      </c>
      <c r="G185" s="348" t="str">
        <f t="shared" si="7"/>
        <v/>
      </c>
      <c r="H185" s="222" t="str">
        <f t="shared" si="8"/>
        <v/>
      </c>
      <c r="I185" s="222" t="str">
        <f t="shared" si="9"/>
        <v/>
      </c>
      <c r="J185" s="222" t="str">
        <f t="shared" si="10"/>
        <v/>
      </c>
      <c r="K185" s="223" t="str">
        <f t="shared" si="11"/>
        <v/>
      </c>
      <c r="L185" s="195" t="str">
        <f t="shared" si="12"/>
        <v/>
      </c>
      <c r="M185" s="196" t="str">
        <f t="shared" si="13"/>
        <v/>
      </c>
      <c r="N185" s="120">
        <f t="shared" si="20"/>
        <v>9</v>
      </c>
      <c r="O185" s="125" t="str">
        <f t="shared" si="19"/>
        <v>EMP. SACMI-9</v>
      </c>
      <c r="S185" s="184" t="str">
        <f t="shared" si="2"/>
        <v/>
      </c>
      <c r="T185" s="22"/>
      <c r="U185" s="16"/>
      <c r="V185" s="16"/>
      <c r="W185" s="23"/>
      <c r="X185" s="23"/>
      <c r="Y185" s="78"/>
      <c r="Z185" s="16"/>
      <c r="AA185" s="343" t="str">
        <f>IFERROR(VLOOKUP(Z185,DATOS!$M$2:$N$219,2,FALSE),"")</f>
        <v/>
      </c>
      <c r="AB185" s="115"/>
      <c r="AC185" s="115"/>
      <c r="AD185" s="115"/>
      <c r="AE185" s="35"/>
      <c r="AF185" s="35"/>
      <c r="AG185" s="35"/>
      <c r="AH185" s="35"/>
      <c r="AI185" s="35"/>
      <c r="AJ185" s="16"/>
      <c r="AK185" s="16"/>
      <c r="AL185" s="16"/>
      <c r="AM185" s="17"/>
      <c r="AN185" s="16"/>
      <c r="AO185" s="75"/>
      <c r="AP185" s="75"/>
      <c r="AQ185" s="27"/>
      <c r="AR185" s="319"/>
      <c r="AS185" s="10"/>
      <c r="AT185" s="5" t="str">
        <f>IF(Tabla1015[[#This Row],[FECHA]]="","",VLOOKUP(TEXT(Tabla1015[[#This Row],[FECHA]],"[$-C0A]dddd"),Tabla2[#All],2,FALSE)&amp;"-"&amp;TEXT(Tabla1015[[#This Row],[FECHA]],"[$-C0A]dddd"))</f>
        <v/>
      </c>
      <c r="AU185" s="322">
        <f>COUNTIF($Z$4:Z185,Z185)</f>
        <v>0</v>
      </c>
    </row>
    <row r="186" spans="2:47" ht="57.75" hidden="1" customHeight="1">
      <c r="B186" s="784"/>
      <c r="C186" s="101" t="str">
        <f t="shared" si="3"/>
        <v/>
      </c>
      <c r="D186" s="259" t="str">
        <f t="shared" si="4"/>
        <v/>
      </c>
      <c r="E186" s="197" t="str">
        <f t="shared" si="5"/>
        <v/>
      </c>
      <c r="F186" s="349" t="str">
        <f t="shared" si="6"/>
        <v/>
      </c>
      <c r="G186" s="349" t="str">
        <f t="shared" si="7"/>
        <v/>
      </c>
      <c r="H186" s="224" t="str">
        <f t="shared" si="8"/>
        <v/>
      </c>
      <c r="I186" s="224" t="str">
        <f t="shared" si="9"/>
        <v/>
      </c>
      <c r="J186" s="224" t="str">
        <f t="shared" si="10"/>
        <v/>
      </c>
      <c r="K186" s="225" t="str">
        <f t="shared" si="11"/>
        <v/>
      </c>
      <c r="L186" s="198" t="str">
        <f t="shared" si="12"/>
        <v/>
      </c>
      <c r="M186" s="199" t="str">
        <f t="shared" si="13"/>
        <v/>
      </c>
      <c r="N186" s="138">
        <f t="shared" si="20"/>
        <v>10</v>
      </c>
      <c r="O186" s="135" t="str">
        <f t="shared" si="19"/>
        <v>EMP. SACMI-10</v>
      </c>
      <c r="S186" s="184" t="str">
        <f t="shared" si="2"/>
        <v/>
      </c>
      <c r="T186" s="22"/>
      <c r="U186" s="16"/>
      <c r="V186" s="16"/>
      <c r="W186" s="23"/>
      <c r="X186" s="23"/>
      <c r="Y186" s="78"/>
      <c r="Z186" s="16"/>
      <c r="AA186" s="343" t="str">
        <f>IFERROR(VLOOKUP(Z186,DATOS!$M$2:$N$219,2,FALSE),"")</f>
        <v/>
      </c>
      <c r="AB186" s="115"/>
      <c r="AC186" s="115"/>
      <c r="AD186" s="115"/>
      <c r="AE186" s="35"/>
      <c r="AF186" s="35"/>
      <c r="AG186" s="35"/>
      <c r="AH186" s="35"/>
      <c r="AI186" s="35"/>
      <c r="AJ186" s="16"/>
      <c r="AK186" s="16"/>
      <c r="AL186" s="16"/>
      <c r="AM186" s="17"/>
      <c r="AN186" s="16"/>
      <c r="AO186" s="75"/>
      <c r="AP186" s="75"/>
      <c r="AQ186" s="27"/>
      <c r="AR186" s="319"/>
      <c r="AS186" s="10"/>
      <c r="AT186" s="5" t="str">
        <f>IF(Tabla1015[[#This Row],[FECHA]]="","",VLOOKUP(TEXT(Tabla1015[[#This Row],[FECHA]],"[$-C0A]dddd"),Tabla2[#All],2,FALSE)&amp;"-"&amp;TEXT(Tabla1015[[#This Row],[FECHA]],"[$-C0A]dddd"))</f>
        <v/>
      </c>
      <c r="AU186" s="322">
        <f>COUNTIF($Z$4:Z186,Z186)</f>
        <v>0</v>
      </c>
    </row>
    <row r="187" spans="2:47" ht="57.75" hidden="1" customHeight="1">
      <c r="B187" s="784"/>
      <c r="C187" s="72" t="str">
        <f t="shared" si="3"/>
        <v/>
      </c>
      <c r="D187" s="258" t="str">
        <f t="shared" si="4"/>
        <v/>
      </c>
      <c r="E187" s="194" t="str">
        <f t="shared" si="5"/>
        <v/>
      </c>
      <c r="F187" s="348" t="str">
        <f t="shared" si="6"/>
        <v/>
      </c>
      <c r="G187" s="348" t="str">
        <f t="shared" si="7"/>
        <v/>
      </c>
      <c r="H187" s="222" t="str">
        <f t="shared" si="8"/>
        <v/>
      </c>
      <c r="I187" s="222" t="str">
        <f t="shared" si="9"/>
        <v/>
      </c>
      <c r="J187" s="222" t="str">
        <f t="shared" si="10"/>
        <v/>
      </c>
      <c r="K187" s="223" t="str">
        <f t="shared" si="11"/>
        <v/>
      </c>
      <c r="L187" s="195" t="str">
        <f t="shared" si="12"/>
        <v/>
      </c>
      <c r="M187" s="196" t="str">
        <f t="shared" si="13"/>
        <v/>
      </c>
      <c r="N187" s="120">
        <f>+N186+1</f>
        <v>11</v>
      </c>
      <c r="O187" s="125" t="str">
        <f t="shared" ref="O187:O195" si="21">CONCATENATE($B$177,"-",N187)</f>
        <v>EMP. SACMI-11</v>
      </c>
      <c r="S187" s="184" t="str">
        <f t="shared" si="2"/>
        <v/>
      </c>
      <c r="T187" s="185"/>
      <c r="U187" s="182"/>
      <c r="V187" s="182"/>
      <c r="W187" s="186"/>
      <c r="X187" s="186"/>
      <c r="Y187" s="241"/>
      <c r="Z187" s="182"/>
      <c r="AA187" s="187" t="str">
        <f>IFERROR(VLOOKUP(Z187,DATOS!$M$2:$N$219,2,FALSE),"")</f>
        <v/>
      </c>
      <c r="AB187" s="182"/>
      <c r="AC187" s="182"/>
      <c r="AD187" s="182"/>
      <c r="AE187" s="182"/>
      <c r="AF187" s="182"/>
      <c r="AG187" s="181"/>
      <c r="AH187" s="181"/>
      <c r="AI187" s="181"/>
      <c r="AJ187" s="181"/>
      <c r="AK187" s="181"/>
      <c r="AL187" s="181"/>
      <c r="AM187" s="181"/>
      <c r="AN187" s="181"/>
      <c r="AO187" s="181"/>
      <c r="AP187" s="181"/>
      <c r="AQ187" s="320"/>
      <c r="AR187" s="181"/>
      <c r="AS187" s="181"/>
      <c r="AT187" s="5" t="str">
        <f>IF(Tabla1015[[#This Row],[FECHA]]="","",VLOOKUP(TEXT(Tabla1015[[#This Row],[FECHA]],"[$-C0A]dddd"),Tabla2[#All],2,FALSE)&amp;"-"&amp;TEXT(Tabla1015[[#This Row],[FECHA]],"[$-C0A]dddd"))</f>
        <v/>
      </c>
      <c r="AU187" s="322">
        <f>COUNTIF($Z$4:Z187,Z187)</f>
        <v>0</v>
      </c>
    </row>
    <row r="188" spans="2:47" ht="57.75" hidden="1" customHeight="1">
      <c r="B188" s="784"/>
      <c r="C188" s="72" t="str">
        <f t="shared" si="3"/>
        <v/>
      </c>
      <c r="D188" s="258" t="str">
        <f t="shared" si="4"/>
        <v/>
      </c>
      <c r="E188" s="194" t="str">
        <f t="shared" si="5"/>
        <v/>
      </c>
      <c r="F188" s="348" t="str">
        <f t="shared" si="6"/>
        <v/>
      </c>
      <c r="G188" s="348" t="str">
        <f t="shared" si="7"/>
        <v/>
      </c>
      <c r="H188" s="222" t="str">
        <f t="shared" si="8"/>
        <v/>
      </c>
      <c r="I188" s="222" t="str">
        <f t="shared" si="9"/>
        <v/>
      </c>
      <c r="J188" s="222" t="str">
        <f t="shared" si="10"/>
        <v/>
      </c>
      <c r="K188" s="223" t="str">
        <f t="shared" si="11"/>
        <v/>
      </c>
      <c r="L188" s="195" t="str">
        <f t="shared" si="12"/>
        <v/>
      </c>
      <c r="M188" s="196" t="str">
        <f t="shared" si="13"/>
        <v/>
      </c>
      <c r="N188" s="120">
        <f t="shared" si="20"/>
        <v>12</v>
      </c>
      <c r="O188" s="125" t="str">
        <f t="shared" si="21"/>
        <v>EMP. SACMI-12</v>
      </c>
      <c r="S188" s="184" t="str">
        <f t="shared" si="2"/>
        <v/>
      </c>
      <c r="T188" s="185"/>
      <c r="U188" s="182"/>
      <c r="V188" s="182"/>
      <c r="W188" s="186"/>
      <c r="X188" s="186"/>
      <c r="Y188" s="241"/>
      <c r="Z188" s="182"/>
      <c r="AA188" s="187" t="str">
        <f>IFERROR(VLOOKUP(Z188,DATOS!$M$2:$N$219,2,FALSE),"")</f>
        <v/>
      </c>
      <c r="AB188" s="182"/>
      <c r="AC188" s="182"/>
      <c r="AD188" s="182"/>
      <c r="AE188" s="182"/>
      <c r="AF188" s="182"/>
      <c r="AG188" s="181"/>
      <c r="AH188" s="181"/>
      <c r="AI188" s="181"/>
      <c r="AJ188" s="181"/>
      <c r="AK188" s="181"/>
      <c r="AL188" s="181"/>
      <c r="AM188" s="181"/>
      <c r="AN188" s="181"/>
      <c r="AO188" s="181"/>
      <c r="AP188" s="181"/>
      <c r="AQ188" s="320"/>
      <c r="AR188" s="181"/>
      <c r="AS188" s="181"/>
      <c r="AT188" s="5" t="str">
        <f>IF(Tabla1015[[#This Row],[FECHA]]="","",VLOOKUP(TEXT(Tabla1015[[#This Row],[FECHA]],"[$-C0A]dddd"),Tabla2[#All],2,FALSE)&amp;"-"&amp;TEXT(Tabla1015[[#This Row],[FECHA]],"[$-C0A]dddd"))</f>
        <v/>
      </c>
      <c r="AU188" s="322">
        <f>COUNTIF($Z$4:Z188,Z188)</f>
        <v>0</v>
      </c>
    </row>
    <row r="189" spans="2:47" ht="57.75" hidden="1" customHeight="1">
      <c r="B189" s="784"/>
      <c r="C189" s="72" t="str">
        <f t="shared" si="3"/>
        <v/>
      </c>
      <c r="D189" s="258" t="str">
        <f t="shared" si="4"/>
        <v/>
      </c>
      <c r="E189" s="194" t="str">
        <f t="shared" si="5"/>
        <v/>
      </c>
      <c r="F189" s="348" t="str">
        <f t="shared" si="6"/>
        <v/>
      </c>
      <c r="G189" s="348" t="str">
        <f t="shared" si="7"/>
        <v/>
      </c>
      <c r="H189" s="222" t="str">
        <f t="shared" si="8"/>
        <v/>
      </c>
      <c r="I189" s="222" t="str">
        <f t="shared" si="9"/>
        <v/>
      </c>
      <c r="J189" s="222" t="str">
        <f t="shared" si="10"/>
        <v/>
      </c>
      <c r="K189" s="223" t="str">
        <f t="shared" si="11"/>
        <v/>
      </c>
      <c r="L189" s="195" t="str">
        <f t="shared" si="12"/>
        <v/>
      </c>
      <c r="M189" s="196" t="str">
        <f t="shared" si="13"/>
        <v/>
      </c>
      <c r="N189" s="120">
        <f t="shared" si="20"/>
        <v>13</v>
      </c>
      <c r="O189" s="125" t="str">
        <f t="shared" si="21"/>
        <v>EMP. SACMI-13</v>
      </c>
      <c r="S189" s="184" t="str">
        <f t="shared" si="2"/>
        <v/>
      </c>
      <c r="T189" s="185"/>
      <c r="U189" s="182"/>
      <c r="V189" s="182"/>
      <c r="W189" s="186"/>
      <c r="X189" s="186"/>
      <c r="Y189" s="241"/>
      <c r="Z189" s="182"/>
      <c r="AA189" s="187" t="str">
        <f>IFERROR(VLOOKUP(Z189,DATOS!$M$2:$N$219,2,FALSE),"")</f>
        <v/>
      </c>
      <c r="AB189" s="182"/>
      <c r="AC189" s="182"/>
      <c r="AD189" s="182"/>
      <c r="AE189" s="182"/>
      <c r="AF189" s="182"/>
      <c r="AG189" s="181"/>
      <c r="AH189" s="181"/>
      <c r="AI189" s="181"/>
      <c r="AJ189" s="181"/>
      <c r="AK189" s="181"/>
      <c r="AL189" s="181"/>
      <c r="AM189" s="181"/>
      <c r="AN189" s="181"/>
      <c r="AO189" s="181"/>
      <c r="AP189" s="181"/>
      <c r="AQ189" s="320"/>
      <c r="AR189" s="181"/>
      <c r="AS189" s="181"/>
      <c r="AT189" s="5" t="str">
        <f>IF(Tabla1015[[#This Row],[FECHA]]="","",VLOOKUP(TEXT(Tabla1015[[#This Row],[FECHA]],"[$-C0A]dddd"),Tabla2[#All],2,FALSE)&amp;"-"&amp;TEXT(Tabla1015[[#This Row],[FECHA]],"[$-C0A]dddd"))</f>
        <v/>
      </c>
      <c r="AU189" s="322">
        <f>COUNTIF($Z$4:Z189,Z189)</f>
        <v>0</v>
      </c>
    </row>
    <row r="190" spans="2:47" ht="57.75" hidden="1" customHeight="1">
      <c r="B190" s="784"/>
      <c r="C190" s="72" t="str">
        <f t="shared" si="3"/>
        <v/>
      </c>
      <c r="D190" s="258" t="str">
        <f t="shared" si="4"/>
        <v/>
      </c>
      <c r="E190" s="194" t="str">
        <f t="shared" si="5"/>
        <v/>
      </c>
      <c r="F190" s="348" t="str">
        <f t="shared" si="6"/>
        <v/>
      </c>
      <c r="G190" s="348" t="str">
        <f t="shared" si="7"/>
        <v/>
      </c>
      <c r="H190" s="222" t="str">
        <f t="shared" si="8"/>
        <v/>
      </c>
      <c r="I190" s="222" t="str">
        <f t="shared" si="9"/>
        <v/>
      </c>
      <c r="J190" s="222" t="str">
        <f t="shared" si="10"/>
        <v/>
      </c>
      <c r="K190" s="223" t="str">
        <f t="shared" si="11"/>
        <v/>
      </c>
      <c r="L190" s="195" t="str">
        <f t="shared" si="12"/>
        <v/>
      </c>
      <c r="M190" s="196" t="str">
        <f t="shared" si="13"/>
        <v/>
      </c>
      <c r="N190" s="120">
        <f t="shared" si="20"/>
        <v>14</v>
      </c>
      <c r="O190" s="125" t="str">
        <f t="shared" si="21"/>
        <v>EMP. SACMI-14</v>
      </c>
      <c r="S190" s="184" t="str">
        <f t="shared" si="2"/>
        <v/>
      </c>
      <c r="T190" s="185"/>
      <c r="U190" s="182"/>
      <c r="V190" s="182"/>
      <c r="W190" s="186"/>
      <c r="X190" s="186"/>
      <c r="Y190" s="241"/>
      <c r="Z190" s="182"/>
      <c r="AA190" s="187" t="str">
        <f>IFERROR(VLOOKUP(Z190,DATOS!$M$2:$N$219,2,FALSE),"")</f>
        <v/>
      </c>
      <c r="AB190" s="182"/>
      <c r="AC190" s="182"/>
      <c r="AD190" s="182"/>
      <c r="AE190" s="182"/>
      <c r="AF190" s="182"/>
      <c r="AG190" s="181"/>
      <c r="AH190" s="181"/>
      <c r="AI190" s="181"/>
      <c r="AJ190" s="181"/>
      <c r="AK190" s="181"/>
      <c r="AL190" s="181"/>
      <c r="AM190" s="181"/>
      <c r="AN190" s="181"/>
      <c r="AO190" s="181"/>
      <c r="AP190" s="181"/>
      <c r="AQ190" s="320"/>
      <c r="AR190" s="181"/>
      <c r="AS190" s="181"/>
      <c r="AT190" s="5" t="str">
        <f>IF(Tabla1015[[#This Row],[FECHA]]="","",VLOOKUP(TEXT(Tabla1015[[#This Row],[FECHA]],"[$-C0A]dddd"),Tabla2[#All],2,FALSE)&amp;"-"&amp;TEXT(Tabla1015[[#This Row],[FECHA]],"[$-C0A]dddd"))</f>
        <v/>
      </c>
      <c r="AU190" s="322">
        <f>COUNTIF($Z$4:Z190,Z190)</f>
        <v>0</v>
      </c>
    </row>
    <row r="191" spans="2:47" ht="57.75" hidden="1" customHeight="1">
      <c r="B191" s="784"/>
      <c r="C191" s="72" t="str">
        <f t="shared" si="3"/>
        <v/>
      </c>
      <c r="D191" s="258" t="str">
        <f t="shared" si="4"/>
        <v/>
      </c>
      <c r="E191" s="194" t="str">
        <f t="shared" si="5"/>
        <v/>
      </c>
      <c r="F191" s="348" t="str">
        <f t="shared" si="6"/>
        <v/>
      </c>
      <c r="G191" s="348" t="str">
        <f t="shared" si="7"/>
        <v/>
      </c>
      <c r="H191" s="222" t="str">
        <f t="shared" si="8"/>
        <v/>
      </c>
      <c r="I191" s="222" t="str">
        <f t="shared" si="9"/>
        <v/>
      </c>
      <c r="J191" s="222" t="str">
        <f t="shared" si="10"/>
        <v/>
      </c>
      <c r="K191" s="223" t="str">
        <f t="shared" si="11"/>
        <v/>
      </c>
      <c r="L191" s="195" t="str">
        <f t="shared" si="12"/>
        <v/>
      </c>
      <c r="M191" s="196" t="str">
        <f t="shared" si="13"/>
        <v/>
      </c>
      <c r="N191" s="120">
        <f t="shared" si="20"/>
        <v>15</v>
      </c>
      <c r="O191" s="125" t="str">
        <f t="shared" si="21"/>
        <v>EMP. SACMI-15</v>
      </c>
      <c r="S191" s="184" t="str">
        <f t="shared" si="2"/>
        <v/>
      </c>
      <c r="T191" s="185"/>
      <c r="U191" s="182"/>
      <c r="V191" s="182"/>
      <c r="W191" s="186"/>
      <c r="X191" s="186"/>
      <c r="Y191" s="241"/>
      <c r="Z191" s="182"/>
      <c r="AA191" s="187" t="str">
        <f>IFERROR(VLOOKUP(Z191,DATOS!$M$2:$N$219,2,FALSE),"")</f>
        <v/>
      </c>
      <c r="AB191" s="182"/>
      <c r="AC191" s="182"/>
      <c r="AD191" s="182"/>
      <c r="AE191" s="182"/>
      <c r="AF191" s="182"/>
      <c r="AG191" s="181"/>
      <c r="AH191" s="181"/>
      <c r="AI191" s="181"/>
      <c r="AJ191" s="181"/>
      <c r="AK191" s="181"/>
      <c r="AL191" s="181"/>
      <c r="AM191" s="181"/>
      <c r="AN191" s="181"/>
      <c r="AO191" s="181"/>
      <c r="AP191" s="181"/>
      <c r="AQ191" s="320"/>
      <c r="AR191" s="181"/>
      <c r="AS191" s="181"/>
      <c r="AT191" s="5" t="str">
        <f>IF(Tabla1015[[#This Row],[FECHA]]="","",VLOOKUP(TEXT(Tabla1015[[#This Row],[FECHA]],"[$-C0A]dddd"),Tabla2[#All],2,FALSE)&amp;"-"&amp;TEXT(Tabla1015[[#This Row],[FECHA]],"[$-C0A]dddd"))</f>
        <v/>
      </c>
      <c r="AU191" s="322">
        <f>COUNTIF($Z$4:Z191,Z191)</f>
        <v>0</v>
      </c>
    </row>
    <row r="192" spans="2:47" ht="57.75" hidden="1" customHeight="1">
      <c r="B192" s="784"/>
      <c r="C192" s="72" t="str">
        <f t="shared" si="3"/>
        <v/>
      </c>
      <c r="D192" s="258" t="str">
        <f t="shared" si="4"/>
        <v/>
      </c>
      <c r="E192" s="194" t="str">
        <f t="shared" si="5"/>
        <v/>
      </c>
      <c r="F192" s="348" t="str">
        <f t="shared" si="6"/>
        <v/>
      </c>
      <c r="G192" s="348" t="str">
        <f t="shared" si="7"/>
        <v/>
      </c>
      <c r="H192" s="222" t="str">
        <f t="shared" si="8"/>
        <v/>
      </c>
      <c r="I192" s="222" t="str">
        <f t="shared" si="9"/>
        <v/>
      </c>
      <c r="J192" s="222" t="str">
        <f t="shared" si="10"/>
        <v/>
      </c>
      <c r="K192" s="223" t="str">
        <f t="shared" si="11"/>
        <v/>
      </c>
      <c r="L192" s="195" t="str">
        <f t="shared" si="12"/>
        <v/>
      </c>
      <c r="M192" s="196" t="str">
        <f t="shared" si="13"/>
        <v/>
      </c>
      <c r="N192" s="120">
        <f t="shared" si="20"/>
        <v>16</v>
      </c>
      <c r="O192" s="125" t="str">
        <f t="shared" si="21"/>
        <v>EMP. SACMI-16</v>
      </c>
      <c r="S192" s="184" t="str">
        <f t="shared" si="2"/>
        <v/>
      </c>
      <c r="T192" s="185"/>
      <c r="U192" s="182"/>
      <c r="V192" s="182"/>
      <c r="W192" s="186"/>
      <c r="X192" s="186"/>
      <c r="Y192" s="241"/>
      <c r="Z192" s="182"/>
      <c r="AA192" s="187" t="str">
        <f>IFERROR(VLOOKUP(Z192,DATOS!$M$2:$N$219,2,FALSE),"")</f>
        <v/>
      </c>
      <c r="AB192" s="182"/>
      <c r="AC192" s="182"/>
      <c r="AD192" s="182"/>
      <c r="AE192" s="182"/>
      <c r="AF192" s="182"/>
      <c r="AG192" s="181"/>
      <c r="AH192" s="181"/>
      <c r="AI192" s="181"/>
      <c r="AJ192" s="181"/>
      <c r="AK192" s="181"/>
      <c r="AL192" s="181"/>
      <c r="AM192" s="181"/>
      <c r="AN192" s="181"/>
      <c r="AO192" s="181"/>
      <c r="AP192" s="181"/>
      <c r="AQ192" s="320"/>
      <c r="AR192" s="181"/>
      <c r="AS192" s="181"/>
      <c r="AT192" s="5" t="str">
        <f>IF(Tabla1015[[#This Row],[FECHA]]="","",VLOOKUP(TEXT(Tabla1015[[#This Row],[FECHA]],"[$-C0A]dddd"),Tabla2[#All],2,FALSE)&amp;"-"&amp;TEXT(Tabla1015[[#This Row],[FECHA]],"[$-C0A]dddd"))</f>
        <v/>
      </c>
      <c r="AU192" s="322">
        <f>COUNTIF($Z$4:Z192,Z192)</f>
        <v>0</v>
      </c>
    </row>
    <row r="193" spans="2:47" ht="57.75" hidden="1" customHeight="1">
      <c r="B193" s="784"/>
      <c r="C193" s="72" t="str">
        <f t="shared" si="3"/>
        <v/>
      </c>
      <c r="D193" s="258" t="str">
        <f t="shared" si="4"/>
        <v/>
      </c>
      <c r="E193" s="194" t="str">
        <f t="shared" si="5"/>
        <v/>
      </c>
      <c r="F193" s="348" t="str">
        <f t="shared" si="6"/>
        <v/>
      </c>
      <c r="G193" s="348" t="str">
        <f t="shared" si="7"/>
        <v/>
      </c>
      <c r="H193" s="222" t="str">
        <f t="shared" si="8"/>
        <v/>
      </c>
      <c r="I193" s="222" t="str">
        <f t="shared" si="9"/>
        <v/>
      </c>
      <c r="J193" s="222" t="str">
        <f t="shared" si="10"/>
        <v/>
      </c>
      <c r="K193" s="223" t="str">
        <f t="shared" si="11"/>
        <v/>
      </c>
      <c r="L193" s="195" t="str">
        <f t="shared" si="12"/>
        <v/>
      </c>
      <c r="M193" s="196" t="str">
        <f t="shared" si="13"/>
        <v/>
      </c>
      <c r="N193" s="120">
        <f t="shared" si="20"/>
        <v>17</v>
      </c>
      <c r="O193" s="125" t="str">
        <f t="shared" si="21"/>
        <v>EMP. SACMI-17</v>
      </c>
      <c r="S193" s="184" t="str">
        <f t="shared" si="2"/>
        <v/>
      </c>
      <c r="T193" s="185"/>
      <c r="U193" s="182"/>
      <c r="V193" s="182"/>
      <c r="W193" s="186"/>
      <c r="X193" s="186"/>
      <c r="Y193" s="241"/>
      <c r="Z193" s="182"/>
      <c r="AA193" s="187" t="str">
        <f>IFERROR(VLOOKUP(Z193,DATOS!$M$2:$N$219,2,FALSE),"")</f>
        <v/>
      </c>
      <c r="AB193" s="182"/>
      <c r="AC193" s="182"/>
      <c r="AD193" s="182"/>
      <c r="AE193" s="182"/>
      <c r="AF193" s="182"/>
      <c r="AG193" s="181"/>
      <c r="AH193" s="181"/>
      <c r="AI193" s="181"/>
      <c r="AJ193" s="181"/>
      <c r="AK193" s="181"/>
      <c r="AL193" s="181"/>
      <c r="AM193" s="181"/>
      <c r="AN193" s="181"/>
      <c r="AO193" s="181"/>
      <c r="AP193" s="181"/>
      <c r="AQ193" s="320"/>
      <c r="AR193" s="181"/>
      <c r="AS193" s="181"/>
      <c r="AT193" s="5" t="str">
        <f>IF(Tabla1015[[#This Row],[FECHA]]="","",VLOOKUP(TEXT(Tabla1015[[#This Row],[FECHA]],"[$-C0A]dddd"),Tabla2[#All],2,FALSE)&amp;"-"&amp;TEXT(Tabla1015[[#This Row],[FECHA]],"[$-C0A]dddd"))</f>
        <v/>
      </c>
      <c r="AU193" s="322">
        <f>COUNTIF($Z$4:Z193,Z193)</f>
        <v>0</v>
      </c>
    </row>
    <row r="194" spans="2:47" ht="57.75" hidden="1" customHeight="1">
      <c r="B194" s="784"/>
      <c r="C194" s="72" t="str">
        <f t="shared" si="3"/>
        <v/>
      </c>
      <c r="D194" s="258" t="str">
        <f t="shared" si="4"/>
        <v/>
      </c>
      <c r="E194" s="194" t="str">
        <f t="shared" si="5"/>
        <v/>
      </c>
      <c r="F194" s="348" t="str">
        <f t="shared" si="6"/>
        <v/>
      </c>
      <c r="G194" s="348" t="str">
        <f t="shared" si="7"/>
        <v/>
      </c>
      <c r="H194" s="222" t="str">
        <f t="shared" si="8"/>
        <v/>
      </c>
      <c r="I194" s="222" t="str">
        <f t="shared" si="9"/>
        <v/>
      </c>
      <c r="J194" s="222" t="str">
        <f t="shared" si="10"/>
        <v/>
      </c>
      <c r="K194" s="223" t="str">
        <f t="shared" si="11"/>
        <v/>
      </c>
      <c r="L194" s="195" t="str">
        <f t="shared" si="12"/>
        <v/>
      </c>
      <c r="M194" s="196" t="str">
        <f t="shared" si="13"/>
        <v/>
      </c>
      <c r="N194" s="120">
        <f t="shared" si="20"/>
        <v>18</v>
      </c>
      <c r="O194" s="125" t="str">
        <f t="shared" si="21"/>
        <v>EMP. SACMI-18</v>
      </c>
      <c r="S194" s="184" t="str">
        <f t="shared" si="2"/>
        <v/>
      </c>
      <c r="T194" s="185"/>
      <c r="U194" s="182"/>
      <c r="V194" s="182"/>
      <c r="W194" s="186"/>
      <c r="X194" s="186"/>
      <c r="Y194" s="241"/>
      <c r="Z194" s="182"/>
      <c r="AA194" s="187" t="str">
        <f>IFERROR(VLOOKUP(Z194,DATOS!$M$2:$N$219,2,FALSE),"")</f>
        <v/>
      </c>
      <c r="AB194" s="182"/>
      <c r="AC194" s="182"/>
      <c r="AD194" s="182"/>
      <c r="AE194" s="182"/>
      <c r="AF194" s="182"/>
      <c r="AG194" s="181"/>
      <c r="AH194" s="181"/>
      <c r="AI194" s="181"/>
      <c r="AJ194" s="181"/>
      <c r="AK194" s="181"/>
      <c r="AL194" s="181"/>
      <c r="AM194" s="181"/>
      <c r="AN194" s="181"/>
      <c r="AO194" s="181"/>
      <c r="AP194" s="181"/>
      <c r="AQ194" s="320"/>
      <c r="AR194" s="181"/>
      <c r="AS194" s="181"/>
      <c r="AT194" s="5" t="str">
        <f>IF(Tabla1015[[#This Row],[FECHA]]="","",VLOOKUP(TEXT(Tabla1015[[#This Row],[FECHA]],"[$-C0A]dddd"),Tabla2[#All],2,FALSE)&amp;"-"&amp;TEXT(Tabla1015[[#This Row],[FECHA]],"[$-C0A]dddd"))</f>
        <v/>
      </c>
      <c r="AU194" s="322">
        <f>COUNTIF($Z$4:Z194,Z194)</f>
        <v>0</v>
      </c>
    </row>
    <row r="195" spans="2:47" ht="55.15" hidden="1" customHeight="1">
      <c r="B195" s="784"/>
      <c r="C195" s="101" t="str">
        <f t="shared" si="3"/>
        <v/>
      </c>
      <c r="D195" s="259" t="str">
        <f t="shared" si="4"/>
        <v/>
      </c>
      <c r="E195" s="197" t="str">
        <f t="shared" si="5"/>
        <v/>
      </c>
      <c r="F195" s="349" t="str">
        <f t="shared" si="6"/>
        <v/>
      </c>
      <c r="G195" s="349" t="str">
        <f t="shared" si="7"/>
        <v/>
      </c>
      <c r="H195" s="224" t="str">
        <f t="shared" si="8"/>
        <v/>
      </c>
      <c r="I195" s="224" t="str">
        <f t="shared" si="9"/>
        <v/>
      </c>
      <c r="J195" s="224" t="str">
        <f t="shared" si="10"/>
        <v/>
      </c>
      <c r="K195" s="225" t="str">
        <f t="shared" si="11"/>
        <v/>
      </c>
      <c r="L195" s="198" t="str">
        <f t="shared" si="12"/>
        <v/>
      </c>
      <c r="M195" s="199" t="str">
        <f t="shared" si="13"/>
        <v/>
      </c>
      <c r="N195" s="138">
        <f t="shared" si="20"/>
        <v>19</v>
      </c>
      <c r="O195" s="135" t="str">
        <f t="shared" si="21"/>
        <v>EMP. SACMI-19</v>
      </c>
      <c r="S195" s="184" t="str">
        <f t="shared" si="2"/>
        <v/>
      </c>
      <c r="T195" s="185"/>
      <c r="U195" s="182"/>
      <c r="V195" s="182"/>
      <c r="W195" s="186"/>
      <c r="X195" s="186"/>
      <c r="Y195" s="241"/>
      <c r="Z195" s="182"/>
      <c r="AA195" s="187" t="str">
        <f>IFERROR(VLOOKUP(Z195,DATOS!$M$2:$N$219,2,FALSE),"")</f>
        <v/>
      </c>
      <c r="AB195" s="182"/>
      <c r="AC195" s="182"/>
      <c r="AD195" s="182"/>
      <c r="AE195" s="182"/>
      <c r="AF195" s="182"/>
      <c r="AG195" s="181"/>
      <c r="AH195" s="181"/>
      <c r="AI195" s="181"/>
      <c r="AJ195" s="181"/>
      <c r="AK195" s="181"/>
      <c r="AL195" s="181"/>
      <c r="AM195" s="181"/>
      <c r="AN195" s="181"/>
      <c r="AO195" s="181"/>
      <c r="AP195" s="181"/>
      <c r="AQ195" s="320"/>
      <c r="AR195" s="181"/>
      <c r="AS195" s="181"/>
      <c r="AT195" s="5" t="str">
        <f>IF(Tabla1015[[#This Row],[FECHA]]="","",VLOOKUP(TEXT(Tabla1015[[#This Row],[FECHA]],"[$-C0A]dddd"),Tabla2[#All],2,FALSE)&amp;"-"&amp;TEXT(Tabla1015[[#This Row],[FECHA]],"[$-C0A]dddd"))</f>
        <v/>
      </c>
      <c r="AU195" s="322">
        <f>COUNTIF($Z$4:Z195,Z195)</f>
        <v>0</v>
      </c>
    </row>
    <row r="196" spans="2:47" ht="57.75" hidden="1" customHeight="1">
      <c r="B196" s="784"/>
      <c r="C196" s="101" t="str">
        <f t="shared" si="3"/>
        <v/>
      </c>
      <c r="D196" s="259" t="str">
        <f t="shared" si="4"/>
        <v/>
      </c>
      <c r="E196" s="197" t="str">
        <f t="shared" si="5"/>
        <v/>
      </c>
      <c r="F196" s="349" t="str">
        <f t="shared" si="6"/>
        <v/>
      </c>
      <c r="G196" s="349" t="str">
        <f t="shared" si="7"/>
        <v/>
      </c>
      <c r="H196" s="224" t="str">
        <f t="shared" si="8"/>
        <v/>
      </c>
      <c r="I196" s="224" t="str">
        <f t="shared" si="9"/>
        <v/>
      </c>
      <c r="J196" s="224" t="str">
        <f t="shared" si="10"/>
        <v/>
      </c>
      <c r="K196" s="225" t="str">
        <f t="shared" si="11"/>
        <v/>
      </c>
      <c r="L196" s="198" t="str">
        <f t="shared" si="12"/>
        <v/>
      </c>
      <c r="M196" s="199" t="str">
        <f t="shared" si="13"/>
        <v/>
      </c>
      <c r="N196" s="138">
        <f t="shared" si="20"/>
        <v>20</v>
      </c>
      <c r="O196" s="135" t="str">
        <f>CONCATENATE($B$177,"-",N196)</f>
        <v>EMP. SACMI-20</v>
      </c>
      <c r="S196" s="184" t="str">
        <f t="shared" ref="S196:S259" si="22">IF(Z196="","",CONCATENATE(Z196,"-",AU196))</f>
        <v/>
      </c>
      <c r="T196" s="185"/>
      <c r="U196" s="182"/>
      <c r="V196" s="182"/>
      <c r="W196" s="186"/>
      <c r="X196" s="186"/>
      <c r="Y196" s="241"/>
      <c r="Z196" s="182"/>
      <c r="AA196" s="187" t="str">
        <f>IFERROR(VLOOKUP(Z196,DATOS!$M$2:$N$219,2,FALSE),"")</f>
        <v/>
      </c>
      <c r="AB196" s="182"/>
      <c r="AC196" s="182"/>
      <c r="AD196" s="182"/>
      <c r="AE196" s="182"/>
      <c r="AF196" s="182"/>
      <c r="AG196" s="181"/>
      <c r="AH196" s="181"/>
      <c r="AI196" s="181"/>
      <c r="AJ196" s="181"/>
      <c r="AK196" s="181"/>
      <c r="AL196" s="181"/>
      <c r="AM196" s="181"/>
      <c r="AN196" s="181"/>
      <c r="AO196" s="181"/>
      <c r="AP196" s="181"/>
      <c r="AQ196" s="320"/>
      <c r="AR196" s="181"/>
      <c r="AS196" s="181"/>
      <c r="AT196" s="5" t="str">
        <f>IF(Tabla1015[[#This Row],[FECHA]]="","",VLOOKUP(TEXT(Tabla1015[[#This Row],[FECHA]],"[$-C0A]dddd"),Tabla2[#All],2,FALSE)&amp;"-"&amp;TEXT(Tabla1015[[#This Row],[FECHA]],"[$-C0A]dddd"))</f>
        <v/>
      </c>
      <c r="AU196" s="322">
        <f>COUNTIF($Z$4:Z196,Z196)</f>
        <v>0</v>
      </c>
    </row>
    <row r="197" spans="2:47" ht="57.75" customHeight="1">
      <c r="B197" s="787" t="str">
        <f>+'TABLA RES-SEMANA'!B71</f>
        <v>EMP. FLOWPACK 1</v>
      </c>
      <c r="C197" s="174" t="str">
        <f t="shared" si="3"/>
        <v>Maquinaria</v>
      </c>
      <c r="D197" s="260">
        <f t="shared" si="4"/>
        <v>45945</v>
      </c>
      <c r="E197" s="200" t="str">
        <f t="shared" si="5"/>
        <v>MAÑANA</v>
      </c>
      <c r="F197" s="350" t="str">
        <f t="shared" si="6"/>
        <v>12:50</v>
      </c>
      <c r="G197" s="350" t="str">
        <f t="shared" si="7"/>
        <v>13:20</v>
      </c>
      <c r="H197" s="226">
        <f t="shared" si="8"/>
        <v>2.083333333333337E-2</v>
      </c>
      <c r="I197" s="226" t="str">
        <f t="shared" si="9"/>
        <v>Inspección</v>
      </c>
      <c r="J197" s="226" t="str">
        <f t="shared" si="10"/>
        <v>PROGRAMADA</v>
      </c>
      <c r="K197" s="227" t="str">
        <f t="shared" si="11"/>
        <v/>
      </c>
      <c r="L197" s="201" t="str">
        <f t="shared" si="12"/>
        <v xml:space="preserve">Inspección de equipo </v>
      </c>
      <c r="M197" s="202" t="str">
        <f t="shared" si="13"/>
        <v/>
      </c>
      <c r="N197" s="156">
        <v>1</v>
      </c>
      <c r="O197" s="157" t="str">
        <f>CONCATENATE($B$197,"-",N197)</f>
        <v>EMP. FLOWPACK 1-1</v>
      </c>
      <c r="P197" s="91">
        <f>COUNTIF(H197:H216,"&lt;&gt;**")</f>
        <v>4</v>
      </c>
      <c r="S197" s="184" t="str">
        <f t="shared" si="22"/>
        <v/>
      </c>
      <c r="T197" s="22"/>
      <c r="U197" s="16"/>
      <c r="V197" s="16"/>
      <c r="W197" s="23"/>
      <c r="X197" s="23"/>
      <c r="Y197" s="78"/>
      <c r="Z197" s="16"/>
      <c r="AA197" s="343" t="str">
        <f>IFERROR(VLOOKUP(Z197,DATOS!$M$2:$N$219,2,FALSE),"")</f>
        <v/>
      </c>
      <c r="AB197" s="115"/>
      <c r="AC197" s="115"/>
      <c r="AD197" s="115"/>
      <c r="AE197" s="35"/>
      <c r="AF197" s="35"/>
      <c r="AG197" s="35"/>
      <c r="AH197" s="35"/>
      <c r="AI197" s="35"/>
      <c r="AJ197" s="16"/>
      <c r="AK197" s="16"/>
      <c r="AL197" s="16"/>
      <c r="AM197" s="17"/>
      <c r="AN197" s="16"/>
      <c r="AO197" s="75"/>
      <c r="AP197" s="75"/>
      <c r="AQ197" s="27"/>
      <c r="AR197" s="319"/>
      <c r="AS197" s="10"/>
      <c r="AT197" s="5" t="str">
        <f>IF(Tabla1015[[#This Row],[FECHA]]="","",VLOOKUP(TEXT(Tabla1015[[#This Row],[FECHA]],"[$-C0A]dddd"),Tabla2[#All],2,FALSE)&amp;"-"&amp;TEXT(Tabla1015[[#This Row],[FECHA]],"[$-C0A]dddd"))</f>
        <v/>
      </c>
      <c r="AU197" s="322">
        <f>COUNTIF($Z$4:Z197,Z197)</f>
        <v>0</v>
      </c>
    </row>
    <row r="198" spans="2:47" ht="57.75" customHeight="1">
      <c r="B198" s="788"/>
      <c r="C198" s="72" t="str">
        <f t="shared" si="3"/>
        <v>Maquinaria</v>
      </c>
      <c r="D198" s="259">
        <f t="shared" si="4"/>
        <v>45948</v>
      </c>
      <c r="E198" s="197" t="str">
        <f t="shared" si="5"/>
        <v>NOCHE</v>
      </c>
      <c r="F198" s="349" t="str">
        <f t="shared" si="6"/>
        <v>01:00</v>
      </c>
      <c r="G198" s="349" t="str">
        <f t="shared" si="7"/>
        <v>01:20</v>
      </c>
      <c r="H198" s="224">
        <f t="shared" si="8"/>
        <v>1.3888888888888888E-2</v>
      </c>
      <c r="I198" s="224" t="str">
        <f t="shared" si="9"/>
        <v>Inspección</v>
      </c>
      <c r="J198" s="224" t="str">
        <f t="shared" si="10"/>
        <v>PROGRAMADA</v>
      </c>
      <c r="K198" s="225" t="str">
        <f t="shared" si="11"/>
        <v/>
      </c>
      <c r="L198" s="198" t="str">
        <f t="shared" si="12"/>
        <v xml:space="preserve">Inspección de equipo </v>
      </c>
      <c r="M198" s="199" t="str">
        <f t="shared" si="13"/>
        <v xml:space="preserve">Se reviso parámetros de controlador de temperatura </v>
      </c>
      <c r="N198" s="138">
        <f>+N197+1</f>
        <v>2</v>
      </c>
      <c r="O198" s="158" t="str">
        <f t="shared" ref="O198:O206" si="23">CONCATENATE($B$197,"-",N198)</f>
        <v>EMP. FLOWPACK 1-2</v>
      </c>
      <c r="S198" s="184" t="str">
        <f t="shared" si="22"/>
        <v/>
      </c>
      <c r="T198" s="22"/>
      <c r="U198" s="16"/>
      <c r="V198" s="16"/>
      <c r="W198" s="23"/>
      <c r="X198" s="23"/>
      <c r="Y198" s="78"/>
      <c r="Z198" s="16"/>
      <c r="AA198" s="343" t="str">
        <f>IFERROR(VLOOKUP(Z198,DATOS!$M$2:$N$219,2,FALSE),"")</f>
        <v/>
      </c>
      <c r="AB198" s="115"/>
      <c r="AC198" s="115"/>
      <c r="AD198" s="115"/>
      <c r="AE198" s="35"/>
      <c r="AF198" s="35"/>
      <c r="AG198" s="35"/>
      <c r="AH198" s="35"/>
      <c r="AI198" s="35"/>
      <c r="AJ198" s="16"/>
      <c r="AK198" s="16"/>
      <c r="AL198" s="16"/>
      <c r="AM198" s="17"/>
      <c r="AN198" s="16"/>
      <c r="AO198" s="75"/>
      <c r="AP198" s="75"/>
      <c r="AQ198" s="27"/>
      <c r="AR198" s="319"/>
      <c r="AS198" s="10"/>
      <c r="AT198" s="5" t="str">
        <f>IF(Tabla1015[[#This Row],[FECHA]]="","",VLOOKUP(TEXT(Tabla1015[[#This Row],[FECHA]],"[$-C0A]dddd"),Tabla2[#All],2,FALSE)&amp;"-"&amp;TEXT(Tabla1015[[#This Row],[FECHA]],"[$-C0A]dddd"))</f>
        <v/>
      </c>
      <c r="AU198" s="322">
        <f>COUNTIF($Z$4:Z198,Z198)</f>
        <v>0</v>
      </c>
    </row>
    <row r="199" spans="2:47" ht="57.75" customHeight="1">
      <c r="B199" s="788"/>
      <c r="C199" s="170" t="str">
        <f t="shared" si="3"/>
        <v>Maquinaria</v>
      </c>
      <c r="D199" s="261">
        <f t="shared" si="4"/>
        <v>45947</v>
      </c>
      <c r="E199" s="203" t="str">
        <f t="shared" si="5"/>
        <v>TARDE</v>
      </c>
      <c r="F199" s="351" t="str">
        <f t="shared" si="6"/>
        <v>13:04</v>
      </c>
      <c r="G199" s="351" t="str">
        <f t="shared" si="7"/>
        <v>13:19</v>
      </c>
      <c r="H199" s="228">
        <f t="shared" si="8"/>
        <v>1.0416666666666741E-2</v>
      </c>
      <c r="I199" s="228" t="str">
        <f t="shared" si="9"/>
        <v>Limpieza</v>
      </c>
      <c r="J199" s="228" t="str">
        <f t="shared" si="10"/>
        <v>PROGRAMADA</v>
      </c>
      <c r="K199" s="229" t="str">
        <f t="shared" si="11"/>
        <v/>
      </c>
      <c r="L199" s="204" t="str">
        <f t="shared" si="12"/>
        <v>Variación de temperatura en mordazas</v>
      </c>
      <c r="M199" s="205" t="str">
        <f t="shared" si="13"/>
        <v xml:space="preserve">Se realizó limpieza de colector y carboncillos, se realizó pruebas de funcionamiento </v>
      </c>
      <c r="N199" s="155">
        <f t="shared" ref="N199:N216" si="24">+N198+1</f>
        <v>3</v>
      </c>
      <c r="O199" s="159" t="str">
        <f t="shared" si="23"/>
        <v>EMP. FLOWPACK 1-3</v>
      </c>
      <c r="S199" s="184" t="str">
        <f t="shared" si="22"/>
        <v/>
      </c>
      <c r="T199" s="22"/>
      <c r="U199" s="16"/>
      <c r="V199" s="16"/>
      <c r="W199" s="23"/>
      <c r="X199" s="23"/>
      <c r="Y199" s="78"/>
      <c r="Z199" s="16"/>
      <c r="AA199" s="343" t="str">
        <f>IFERROR(VLOOKUP(Z199,DATOS!$M$2:$N$219,2,FALSE),"")</f>
        <v/>
      </c>
      <c r="AB199" s="115"/>
      <c r="AC199" s="115"/>
      <c r="AD199" s="115"/>
      <c r="AE199" s="35"/>
      <c r="AF199" s="35"/>
      <c r="AG199" s="35"/>
      <c r="AH199" s="35"/>
      <c r="AI199" s="35"/>
      <c r="AJ199" s="16"/>
      <c r="AK199" s="16"/>
      <c r="AL199" s="16"/>
      <c r="AM199" s="17"/>
      <c r="AN199" s="16"/>
      <c r="AO199" s="75"/>
      <c r="AP199" s="75"/>
      <c r="AQ199" s="27"/>
      <c r="AR199" s="319"/>
      <c r="AS199" s="10"/>
      <c r="AT199" s="5" t="str">
        <f>IF(Tabla1015[[#This Row],[FECHA]]="","",VLOOKUP(TEXT(Tabla1015[[#This Row],[FECHA]],"[$-C0A]dddd"),Tabla2[#All],2,FALSE)&amp;"-"&amp;TEXT(Tabla1015[[#This Row],[FECHA]],"[$-C0A]dddd"))</f>
        <v/>
      </c>
      <c r="AU199" s="322">
        <f>COUNTIF($Z$4:Z199,Z199)</f>
        <v>0</v>
      </c>
    </row>
    <row r="200" spans="2:47" ht="57.75" customHeight="1">
      <c r="B200" s="788"/>
      <c r="C200" s="170" t="str">
        <f t="shared" si="3"/>
        <v>Maquinaria</v>
      </c>
      <c r="D200" s="261">
        <f t="shared" si="4"/>
        <v>45947</v>
      </c>
      <c r="E200" s="203" t="str">
        <f t="shared" si="5"/>
        <v>TARDE</v>
      </c>
      <c r="F200" s="351" t="str">
        <f t="shared" si="6"/>
        <v>18:54</v>
      </c>
      <c r="G200" s="351" t="str">
        <f t="shared" si="7"/>
        <v>19:26</v>
      </c>
      <c r="H200" s="228">
        <f t="shared" si="8"/>
        <v>2.2222222222222254E-2</v>
      </c>
      <c r="I200" s="228" t="str">
        <f t="shared" si="9"/>
        <v>Sustitucion</v>
      </c>
      <c r="J200" s="228" t="str">
        <f t="shared" si="10"/>
        <v>NO PROGRAMADA</v>
      </c>
      <c r="K200" s="229" t="str">
        <f t="shared" si="11"/>
        <v>ELÉCTRICA</v>
      </c>
      <c r="L200" s="204" t="str">
        <f t="shared" si="12"/>
        <v>Controlador de temperatura con botones dañados</v>
      </c>
      <c r="M200" s="205" t="str">
        <f t="shared" si="13"/>
        <v xml:space="preserve">Se realizó cambio de controlador, se realizó configuración según temperatura </v>
      </c>
      <c r="N200" s="155">
        <f t="shared" si="24"/>
        <v>4</v>
      </c>
      <c r="O200" s="159" t="str">
        <f t="shared" si="23"/>
        <v>EMP. FLOWPACK 1-4</v>
      </c>
      <c r="S200" s="184" t="str">
        <f t="shared" si="22"/>
        <v/>
      </c>
      <c r="T200" s="22"/>
      <c r="U200" s="16"/>
      <c r="V200" s="16"/>
      <c r="W200" s="23"/>
      <c r="X200" s="23"/>
      <c r="Y200" s="78"/>
      <c r="Z200" s="16"/>
      <c r="AA200" s="343" t="str">
        <f>IFERROR(VLOOKUP(Z200,DATOS!$M$2:$N$219,2,FALSE),"")</f>
        <v/>
      </c>
      <c r="AB200" s="115"/>
      <c r="AC200" s="115"/>
      <c r="AD200" s="115"/>
      <c r="AE200" s="35"/>
      <c r="AF200" s="35"/>
      <c r="AG200" s="35"/>
      <c r="AH200" s="35"/>
      <c r="AI200" s="35"/>
      <c r="AJ200" s="16"/>
      <c r="AK200" s="16"/>
      <c r="AL200" s="16"/>
      <c r="AM200" s="17"/>
      <c r="AN200" s="16"/>
      <c r="AO200" s="75"/>
      <c r="AP200" s="75"/>
      <c r="AQ200" s="27"/>
      <c r="AR200" s="319"/>
      <c r="AS200" s="10"/>
      <c r="AT200" s="5" t="str">
        <f>IF(Tabla1015[[#This Row],[FECHA]]="","",VLOOKUP(TEXT(Tabla1015[[#This Row],[FECHA]],"[$-C0A]dddd"),Tabla2[#All],2,FALSE)&amp;"-"&amp;TEXT(Tabla1015[[#This Row],[FECHA]],"[$-C0A]dddd"))</f>
        <v/>
      </c>
      <c r="AU200" s="322">
        <f>COUNTIF($Z$4:Z200,Z200)</f>
        <v>0</v>
      </c>
    </row>
    <row r="201" spans="2:47" ht="57.75" hidden="1" customHeight="1">
      <c r="B201" s="788"/>
      <c r="C201" s="170" t="str">
        <f t="shared" ref="C201:C264" si="25">IFERROR(VLOOKUP(O201,$S$3:$AU$306,9,FALSE),"")</f>
        <v/>
      </c>
      <c r="D201" s="261" t="str">
        <f t="shared" ref="D201:D264" si="26">IFERROR(VLOOKUP(O201,$S$3:$AU$306,2,FALSE),"")</f>
        <v/>
      </c>
      <c r="E201" s="203" t="str">
        <f t="shared" ref="E201:E264" si="27">IFERROR(VLOOKUP(O201,$S$3:$AU$306,4,FALSE),"")</f>
        <v/>
      </c>
      <c r="F201" s="351" t="str">
        <f t="shared" ref="F201:F264" si="28">IFERROR(VLOOKUP(O201,$S$3:$AU$306,5,FALSE),"")</f>
        <v/>
      </c>
      <c r="G201" s="351" t="str">
        <f t="shared" ref="G201:G264" si="29">IFERROR(VLOOKUP(O201,$S$3:$AU$306,6,FALSE),"")</f>
        <v/>
      </c>
      <c r="H201" s="228" t="str">
        <f t="shared" ref="H201:H264" si="30">IFERROR(VLOOKUP(O201,$S$3:$AU$306,7,FALSE),"")</f>
        <v/>
      </c>
      <c r="I201" s="228" t="str">
        <f t="shared" ref="I201:I264" si="31">IFERROR(VLOOKUP(O201,$S$3:$AU$306,10,FALSE),"")</f>
        <v/>
      </c>
      <c r="J201" s="228" t="str">
        <f t="shared" ref="J201:J264" si="32">IFERROR(VLOOKUP(O201,$S$3:$AU$306,11,FALSE),"")</f>
        <v/>
      </c>
      <c r="K201" s="229" t="str">
        <f t="shared" ref="K201:K264" si="33">IFERROR(VLOOKUP(O201,$S$3:$AU$306,12,FALSE),"")</f>
        <v/>
      </c>
      <c r="L201" s="204" t="str">
        <f t="shared" ref="L201:L264" si="34">IFERROR(VLOOKUP(O201,$S$3:$AU$306,13,FALSE),"")</f>
        <v/>
      </c>
      <c r="M201" s="205" t="str">
        <f t="shared" ref="M201:M264" si="35">IFERROR(IF(VLOOKUP(O201,$S$3:$AU$306,14,FALSE)="","",VLOOKUP(O201,$S$3:$AU$306,14,FALSE)),"")</f>
        <v/>
      </c>
      <c r="N201" s="155">
        <f t="shared" si="24"/>
        <v>5</v>
      </c>
      <c r="O201" s="159" t="str">
        <f t="shared" si="23"/>
        <v>EMP. FLOWPACK 1-5</v>
      </c>
      <c r="S201" s="184" t="str">
        <f t="shared" si="22"/>
        <v/>
      </c>
      <c r="T201" s="22"/>
      <c r="U201" s="16"/>
      <c r="V201" s="16"/>
      <c r="W201" s="23"/>
      <c r="X201" s="23"/>
      <c r="Y201" s="78"/>
      <c r="Z201" s="16"/>
      <c r="AA201" s="343" t="str">
        <f>IFERROR(VLOOKUP(Z201,DATOS!$M$2:$N$219,2,FALSE),"")</f>
        <v/>
      </c>
      <c r="AB201" s="115"/>
      <c r="AC201" s="115"/>
      <c r="AD201" s="115"/>
      <c r="AE201" s="35"/>
      <c r="AF201" s="35"/>
      <c r="AG201" s="35"/>
      <c r="AH201" s="35"/>
      <c r="AI201" s="35"/>
      <c r="AJ201" s="16"/>
      <c r="AK201" s="16"/>
      <c r="AL201" s="16"/>
      <c r="AM201" s="17"/>
      <c r="AN201" s="16"/>
      <c r="AO201" s="75"/>
      <c r="AP201" s="75"/>
      <c r="AQ201" s="27"/>
      <c r="AR201" s="319"/>
      <c r="AS201" s="10"/>
      <c r="AT201" s="5" t="str">
        <f>IF(Tabla1015[[#This Row],[FECHA]]="","",VLOOKUP(TEXT(Tabla1015[[#This Row],[FECHA]],"[$-C0A]dddd"),Tabla2[#All],2,FALSE)&amp;"-"&amp;TEXT(Tabla1015[[#This Row],[FECHA]],"[$-C0A]dddd"))</f>
        <v/>
      </c>
      <c r="AU201" s="322">
        <f>COUNTIF($Z$4:Z201,Z201)</f>
        <v>0</v>
      </c>
    </row>
    <row r="202" spans="2:47" ht="57.75" hidden="1" customHeight="1">
      <c r="B202" s="788"/>
      <c r="C202" s="170" t="str">
        <f t="shared" si="25"/>
        <v/>
      </c>
      <c r="D202" s="261" t="str">
        <f t="shared" si="26"/>
        <v/>
      </c>
      <c r="E202" s="203" t="str">
        <f t="shared" si="27"/>
        <v/>
      </c>
      <c r="F202" s="351" t="str">
        <f t="shared" si="28"/>
        <v/>
      </c>
      <c r="G202" s="351" t="str">
        <f t="shared" si="29"/>
        <v/>
      </c>
      <c r="H202" s="228" t="str">
        <f t="shared" si="30"/>
        <v/>
      </c>
      <c r="I202" s="228" t="str">
        <f t="shared" si="31"/>
        <v/>
      </c>
      <c r="J202" s="228" t="str">
        <f t="shared" si="32"/>
        <v/>
      </c>
      <c r="K202" s="229" t="str">
        <f t="shared" si="33"/>
        <v/>
      </c>
      <c r="L202" s="204" t="str">
        <f t="shared" si="34"/>
        <v/>
      </c>
      <c r="M202" s="205" t="str">
        <f t="shared" si="35"/>
        <v/>
      </c>
      <c r="N202" s="155">
        <f t="shared" si="24"/>
        <v>6</v>
      </c>
      <c r="O202" s="159" t="str">
        <f t="shared" si="23"/>
        <v>EMP. FLOWPACK 1-6</v>
      </c>
      <c r="S202" s="184" t="str">
        <f t="shared" si="22"/>
        <v/>
      </c>
      <c r="T202" s="22"/>
      <c r="U202" s="16"/>
      <c r="V202" s="16"/>
      <c r="W202" s="23"/>
      <c r="X202" s="23"/>
      <c r="Y202" s="78"/>
      <c r="Z202" s="16"/>
      <c r="AA202" s="343" t="str">
        <f>IFERROR(VLOOKUP(Z202,DATOS!$M$2:$N$219,2,FALSE),"")</f>
        <v/>
      </c>
      <c r="AB202" s="115"/>
      <c r="AC202" s="115"/>
      <c r="AD202" s="115"/>
      <c r="AE202" s="35"/>
      <c r="AF202" s="35"/>
      <c r="AG202" s="35"/>
      <c r="AH202" s="35"/>
      <c r="AI202" s="35"/>
      <c r="AJ202" s="16"/>
      <c r="AK202" s="16"/>
      <c r="AL202" s="16"/>
      <c r="AM202" s="17"/>
      <c r="AN202" s="16"/>
      <c r="AO202" s="75"/>
      <c r="AP202" s="75"/>
      <c r="AQ202" s="27"/>
      <c r="AR202" s="319"/>
      <c r="AS202" s="10"/>
      <c r="AT202" s="5" t="str">
        <f>IF(Tabla1015[[#This Row],[FECHA]]="","",VLOOKUP(TEXT(Tabla1015[[#This Row],[FECHA]],"[$-C0A]dddd"),Tabla2[#All],2,FALSE)&amp;"-"&amp;TEXT(Tabla1015[[#This Row],[FECHA]],"[$-C0A]dddd"))</f>
        <v/>
      </c>
      <c r="AU202" s="322">
        <f>COUNTIF($Z$4:Z202,Z202)</f>
        <v>0</v>
      </c>
    </row>
    <row r="203" spans="2:47" ht="57.75" hidden="1" customHeight="1">
      <c r="B203" s="788"/>
      <c r="C203" s="170" t="str">
        <f t="shared" si="25"/>
        <v/>
      </c>
      <c r="D203" s="261" t="str">
        <f t="shared" si="26"/>
        <v/>
      </c>
      <c r="E203" s="203" t="str">
        <f t="shared" si="27"/>
        <v/>
      </c>
      <c r="F203" s="351" t="str">
        <f t="shared" si="28"/>
        <v/>
      </c>
      <c r="G203" s="351" t="str">
        <f t="shared" si="29"/>
        <v/>
      </c>
      <c r="H203" s="228" t="str">
        <f t="shared" si="30"/>
        <v/>
      </c>
      <c r="I203" s="228" t="str">
        <f t="shared" si="31"/>
        <v/>
      </c>
      <c r="J203" s="228" t="str">
        <f t="shared" si="32"/>
        <v/>
      </c>
      <c r="K203" s="229" t="str">
        <f t="shared" si="33"/>
        <v/>
      </c>
      <c r="L203" s="204" t="str">
        <f t="shared" si="34"/>
        <v/>
      </c>
      <c r="M203" s="205" t="str">
        <f t="shared" si="35"/>
        <v/>
      </c>
      <c r="N203" s="155">
        <f t="shared" si="24"/>
        <v>7</v>
      </c>
      <c r="O203" s="159" t="str">
        <f t="shared" si="23"/>
        <v>EMP. FLOWPACK 1-7</v>
      </c>
      <c r="S203" s="184" t="str">
        <f t="shared" si="22"/>
        <v/>
      </c>
      <c r="T203" s="22"/>
      <c r="U203" s="16"/>
      <c r="V203" s="16"/>
      <c r="W203" s="23"/>
      <c r="X203" s="23"/>
      <c r="Y203" s="78"/>
      <c r="Z203" s="16"/>
      <c r="AA203" s="343" t="str">
        <f>IFERROR(VLOOKUP(Z203,DATOS!$M$2:$N$219,2,FALSE),"")</f>
        <v/>
      </c>
      <c r="AB203" s="115"/>
      <c r="AC203" s="115"/>
      <c r="AD203" s="115"/>
      <c r="AE203" s="35"/>
      <c r="AF203" s="35"/>
      <c r="AG203" s="35"/>
      <c r="AH203" s="35"/>
      <c r="AI203" s="35"/>
      <c r="AJ203" s="16"/>
      <c r="AK203" s="16"/>
      <c r="AL203" s="16"/>
      <c r="AM203" s="17"/>
      <c r="AN203" s="16"/>
      <c r="AO203" s="75"/>
      <c r="AP203" s="75"/>
      <c r="AQ203" s="27"/>
      <c r="AR203" s="319"/>
      <c r="AS203" s="10"/>
      <c r="AT203" s="5" t="str">
        <f>IF(Tabla1015[[#This Row],[FECHA]]="","",VLOOKUP(TEXT(Tabla1015[[#This Row],[FECHA]],"[$-C0A]dddd"),Tabla2[#All],2,FALSE)&amp;"-"&amp;TEXT(Tabla1015[[#This Row],[FECHA]],"[$-C0A]dddd"))</f>
        <v/>
      </c>
      <c r="AU203" s="322">
        <f>COUNTIF($Z$4:Z203,Z203)</f>
        <v>0</v>
      </c>
    </row>
    <row r="204" spans="2:47" ht="57.75" hidden="1" customHeight="1">
      <c r="B204" s="788"/>
      <c r="C204" s="170" t="str">
        <f t="shared" si="25"/>
        <v/>
      </c>
      <c r="D204" s="261" t="str">
        <f t="shared" si="26"/>
        <v/>
      </c>
      <c r="E204" s="203" t="str">
        <f t="shared" si="27"/>
        <v/>
      </c>
      <c r="F204" s="351" t="str">
        <f t="shared" si="28"/>
        <v/>
      </c>
      <c r="G204" s="351" t="str">
        <f t="shared" si="29"/>
        <v/>
      </c>
      <c r="H204" s="228" t="str">
        <f t="shared" si="30"/>
        <v/>
      </c>
      <c r="I204" s="228" t="str">
        <f t="shared" si="31"/>
        <v/>
      </c>
      <c r="J204" s="228" t="str">
        <f t="shared" si="32"/>
        <v/>
      </c>
      <c r="K204" s="229" t="str">
        <f t="shared" si="33"/>
        <v/>
      </c>
      <c r="L204" s="204" t="str">
        <f t="shared" si="34"/>
        <v/>
      </c>
      <c r="M204" s="205" t="str">
        <f t="shared" si="35"/>
        <v/>
      </c>
      <c r="N204" s="155">
        <f t="shared" si="24"/>
        <v>8</v>
      </c>
      <c r="O204" s="159" t="str">
        <f t="shared" si="23"/>
        <v>EMP. FLOWPACK 1-8</v>
      </c>
      <c r="S204" s="184" t="str">
        <f t="shared" si="22"/>
        <v/>
      </c>
      <c r="T204" s="22"/>
      <c r="U204" s="16"/>
      <c r="V204" s="16"/>
      <c r="W204" s="23"/>
      <c r="X204" s="23"/>
      <c r="Y204" s="78"/>
      <c r="Z204" s="16"/>
      <c r="AA204" s="343" t="str">
        <f>IFERROR(VLOOKUP(Z204,DATOS!$M$2:$N$219,2,FALSE),"")</f>
        <v/>
      </c>
      <c r="AB204" s="115"/>
      <c r="AC204" s="115"/>
      <c r="AD204" s="115"/>
      <c r="AE204" s="35"/>
      <c r="AF204" s="35"/>
      <c r="AG204" s="35"/>
      <c r="AH204" s="35"/>
      <c r="AI204" s="35"/>
      <c r="AJ204" s="16"/>
      <c r="AK204" s="16"/>
      <c r="AL204" s="16"/>
      <c r="AM204" s="17"/>
      <c r="AN204" s="16"/>
      <c r="AO204" s="75"/>
      <c r="AP204" s="75"/>
      <c r="AQ204" s="27"/>
      <c r="AR204" s="319"/>
      <c r="AS204" s="10"/>
      <c r="AT204" s="5" t="str">
        <f>IF(Tabla1015[[#This Row],[FECHA]]="","",VLOOKUP(TEXT(Tabla1015[[#This Row],[FECHA]],"[$-C0A]dddd"),Tabla2[#All],2,FALSE)&amp;"-"&amp;TEXT(Tabla1015[[#This Row],[FECHA]],"[$-C0A]dddd"))</f>
        <v/>
      </c>
      <c r="AU204" s="322">
        <f>COUNTIF($Z$4:Z204,Z204)</f>
        <v>0</v>
      </c>
    </row>
    <row r="205" spans="2:47" ht="57.75" hidden="1" customHeight="1">
      <c r="B205" s="788"/>
      <c r="C205" s="170" t="str">
        <f t="shared" si="25"/>
        <v/>
      </c>
      <c r="D205" s="261" t="str">
        <f t="shared" si="26"/>
        <v/>
      </c>
      <c r="E205" s="203" t="str">
        <f t="shared" si="27"/>
        <v/>
      </c>
      <c r="F205" s="351" t="str">
        <f t="shared" si="28"/>
        <v/>
      </c>
      <c r="G205" s="351" t="str">
        <f t="shared" si="29"/>
        <v/>
      </c>
      <c r="H205" s="228" t="str">
        <f t="shared" si="30"/>
        <v/>
      </c>
      <c r="I205" s="228" t="str">
        <f t="shared" si="31"/>
        <v/>
      </c>
      <c r="J205" s="228" t="str">
        <f t="shared" si="32"/>
        <v/>
      </c>
      <c r="K205" s="229" t="str">
        <f t="shared" si="33"/>
        <v/>
      </c>
      <c r="L205" s="204" t="str">
        <f t="shared" si="34"/>
        <v/>
      </c>
      <c r="M205" s="205" t="str">
        <f t="shared" si="35"/>
        <v/>
      </c>
      <c r="N205" s="155">
        <f t="shared" si="24"/>
        <v>9</v>
      </c>
      <c r="O205" s="159" t="str">
        <f t="shared" si="23"/>
        <v>EMP. FLOWPACK 1-9</v>
      </c>
      <c r="S205" s="184" t="str">
        <f t="shared" si="22"/>
        <v/>
      </c>
      <c r="T205" s="22"/>
      <c r="U205" s="16"/>
      <c r="V205" s="16"/>
      <c r="W205" s="23"/>
      <c r="X205" s="23"/>
      <c r="Y205" s="78"/>
      <c r="Z205" s="16"/>
      <c r="AA205" s="343" t="str">
        <f>IFERROR(VLOOKUP(Z205,DATOS!$M$2:$N$219,2,FALSE),"")</f>
        <v/>
      </c>
      <c r="AB205" s="115"/>
      <c r="AC205" s="115"/>
      <c r="AD205" s="115"/>
      <c r="AE205" s="35"/>
      <c r="AF205" s="35"/>
      <c r="AG205" s="35"/>
      <c r="AH205" s="35"/>
      <c r="AI205" s="35"/>
      <c r="AJ205" s="16"/>
      <c r="AK205" s="16"/>
      <c r="AL205" s="16"/>
      <c r="AM205" s="17"/>
      <c r="AN205" s="16"/>
      <c r="AO205" s="75"/>
      <c r="AP205" s="75"/>
      <c r="AQ205" s="27"/>
      <c r="AR205" s="319"/>
      <c r="AS205" s="10"/>
      <c r="AT205" s="5" t="str">
        <f>IF(Tabla1015[[#This Row],[FECHA]]="","",VLOOKUP(TEXT(Tabla1015[[#This Row],[FECHA]],"[$-C0A]dddd"),Tabla2[#All],2,FALSE)&amp;"-"&amp;TEXT(Tabla1015[[#This Row],[FECHA]],"[$-C0A]dddd"))</f>
        <v/>
      </c>
      <c r="AU205" s="322">
        <f>COUNTIF($Z$4:Z205,Z205)</f>
        <v>0</v>
      </c>
    </row>
    <row r="206" spans="2:47" ht="57.75" hidden="1" customHeight="1">
      <c r="B206" s="788"/>
      <c r="C206" s="173" t="str">
        <f t="shared" si="25"/>
        <v/>
      </c>
      <c r="D206" s="261" t="str">
        <f t="shared" si="26"/>
        <v/>
      </c>
      <c r="E206" s="203" t="str">
        <f t="shared" si="27"/>
        <v/>
      </c>
      <c r="F206" s="351" t="str">
        <f t="shared" si="28"/>
        <v/>
      </c>
      <c r="G206" s="351" t="str">
        <f t="shared" si="29"/>
        <v/>
      </c>
      <c r="H206" s="228" t="str">
        <f t="shared" si="30"/>
        <v/>
      </c>
      <c r="I206" s="228" t="str">
        <f t="shared" si="31"/>
        <v/>
      </c>
      <c r="J206" s="228" t="str">
        <f t="shared" si="32"/>
        <v/>
      </c>
      <c r="K206" s="229" t="str">
        <f t="shared" si="33"/>
        <v/>
      </c>
      <c r="L206" s="204" t="str">
        <f t="shared" si="34"/>
        <v/>
      </c>
      <c r="M206" s="205" t="str">
        <f t="shared" si="35"/>
        <v/>
      </c>
      <c r="N206" s="155">
        <f t="shared" si="24"/>
        <v>10</v>
      </c>
      <c r="O206" s="159" t="str">
        <f t="shared" si="23"/>
        <v>EMP. FLOWPACK 1-10</v>
      </c>
      <c r="S206" s="184" t="str">
        <f t="shared" si="22"/>
        <v/>
      </c>
      <c r="T206" s="22"/>
      <c r="U206" s="16"/>
      <c r="V206" s="16"/>
      <c r="W206" s="23"/>
      <c r="X206" s="23"/>
      <c r="Y206" s="78"/>
      <c r="Z206" s="16"/>
      <c r="AA206" s="343" t="str">
        <f>IFERROR(VLOOKUP(Z206,DATOS!$M$2:$N$219,2,FALSE),"")</f>
        <v/>
      </c>
      <c r="AB206" s="115"/>
      <c r="AC206" s="115"/>
      <c r="AD206" s="115"/>
      <c r="AE206" s="35"/>
      <c r="AF206" s="35"/>
      <c r="AG206" s="35"/>
      <c r="AH206" s="35"/>
      <c r="AI206" s="35"/>
      <c r="AJ206" s="16"/>
      <c r="AK206" s="16"/>
      <c r="AL206" s="16"/>
      <c r="AM206" s="17"/>
      <c r="AN206" s="16"/>
      <c r="AO206" s="75"/>
      <c r="AP206" s="75"/>
      <c r="AQ206" s="27"/>
      <c r="AR206" s="319"/>
      <c r="AS206" s="10"/>
      <c r="AT206" s="5" t="str">
        <f>IF(Tabla1015[[#This Row],[FECHA]]="","",VLOOKUP(TEXT(Tabla1015[[#This Row],[FECHA]],"[$-C0A]dddd"),Tabla2[#All],2,FALSE)&amp;"-"&amp;TEXT(Tabla1015[[#This Row],[FECHA]],"[$-C0A]dddd"))</f>
        <v/>
      </c>
      <c r="AU206" s="322">
        <f>COUNTIF($Z$4:Z206,Z206)</f>
        <v>0</v>
      </c>
    </row>
    <row r="207" spans="2:47" ht="57.75" hidden="1" customHeight="1">
      <c r="B207" s="788"/>
      <c r="C207" s="170" t="str">
        <f t="shared" si="25"/>
        <v/>
      </c>
      <c r="D207" s="261" t="str">
        <f t="shared" si="26"/>
        <v/>
      </c>
      <c r="E207" s="203" t="str">
        <f t="shared" si="27"/>
        <v/>
      </c>
      <c r="F207" s="351" t="str">
        <f t="shared" si="28"/>
        <v/>
      </c>
      <c r="G207" s="351" t="str">
        <f t="shared" si="29"/>
        <v/>
      </c>
      <c r="H207" s="228" t="str">
        <f t="shared" si="30"/>
        <v/>
      </c>
      <c r="I207" s="228" t="str">
        <f t="shared" si="31"/>
        <v/>
      </c>
      <c r="J207" s="228" t="str">
        <f t="shared" si="32"/>
        <v/>
      </c>
      <c r="K207" s="229" t="str">
        <f t="shared" si="33"/>
        <v/>
      </c>
      <c r="L207" s="204" t="str">
        <f t="shared" si="34"/>
        <v/>
      </c>
      <c r="M207" s="205" t="str">
        <f t="shared" si="35"/>
        <v/>
      </c>
      <c r="N207" s="155">
        <f>+N206+1</f>
        <v>11</v>
      </c>
      <c r="O207" s="159" t="str">
        <f t="shared" ref="O207:O214" si="36">CONCATENATE($B$197,"-",N207)</f>
        <v>EMP. FLOWPACK 1-11</v>
      </c>
      <c r="S207" s="184" t="str">
        <f t="shared" si="22"/>
        <v/>
      </c>
      <c r="T207" s="185"/>
      <c r="U207" s="182"/>
      <c r="V207" s="182"/>
      <c r="W207" s="186"/>
      <c r="X207" s="186"/>
      <c r="Y207" s="241"/>
      <c r="Z207" s="182"/>
      <c r="AA207" s="187" t="str">
        <f>IFERROR(VLOOKUP(Z207,DATOS!$M$2:$N$219,2,FALSE),"")</f>
        <v/>
      </c>
      <c r="AB207" s="182"/>
      <c r="AC207" s="182"/>
      <c r="AD207" s="182"/>
      <c r="AE207" s="182"/>
      <c r="AF207" s="182"/>
      <c r="AG207" s="181"/>
      <c r="AH207" s="181"/>
      <c r="AI207" s="181"/>
      <c r="AJ207" s="181"/>
      <c r="AK207" s="181"/>
      <c r="AL207" s="181"/>
      <c r="AM207" s="181"/>
      <c r="AN207" s="181"/>
      <c r="AO207" s="181"/>
      <c r="AP207" s="181"/>
      <c r="AQ207" s="320"/>
      <c r="AR207" s="181"/>
      <c r="AS207" s="181"/>
      <c r="AT207" s="5" t="str">
        <f>IF(Tabla1015[[#This Row],[FECHA]]="","",VLOOKUP(TEXT(Tabla1015[[#This Row],[FECHA]],"[$-C0A]dddd"),Tabla2[#All],2,FALSE)&amp;"-"&amp;TEXT(Tabla1015[[#This Row],[FECHA]],"[$-C0A]dddd"))</f>
        <v/>
      </c>
      <c r="AU207" s="322">
        <f>COUNTIF($Z$4:Z207,Z207)</f>
        <v>0</v>
      </c>
    </row>
    <row r="208" spans="2:47" ht="57.75" hidden="1" customHeight="1">
      <c r="B208" s="788"/>
      <c r="C208" s="170" t="str">
        <f t="shared" si="25"/>
        <v/>
      </c>
      <c r="D208" s="261" t="str">
        <f t="shared" si="26"/>
        <v/>
      </c>
      <c r="E208" s="203" t="str">
        <f t="shared" si="27"/>
        <v/>
      </c>
      <c r="F208" s="351" t="str">
        <f t="shared" si="28"/>
        <v/>
      </c>
      <c r="G208" s="351" t="str">
        <f t="shared" si="29"/>
        <v/>
      </c>
      <c r="H208" s="228" t="str">
        <f t="shared" si="30"/>
        <v/>
      </c>
      <c r="I208" s="228" t="str">
        <f t="shared" si="31"/>
        <v/>
      </c>
      <c r="J208" s="228" t="str">
        <f t="shared" si="32"/>
        <v/>
      </c>
      <c r="K208" s="229" t="str">
        <f t="shared" si="33"/>
        <v/>
      </c>
      <c r="L208" s="204" t="str">
        <f t="shared" si="34"/>
        <v/>
      </c>
      <c r="M208" s="205" t="str">
        <f t="shared" si="35"/>
        <v/>
      </c>
      <c r="N208" s="155">
        <f t="shared" si="24"/>
        <v>12</v>
      </c>
      <c r="O208" s="159" t="str">
        <f t="shared" si="36"/>
        <v>EMP. FLOWPACK 1-12</v>
      </c>
      <c r="S208" s="184" t="str">
        <f t="shared" si="22"/>
        <v/>
      </c>
      <c r="T208" s="185"/>
      <c r="U208" s="182"/>
      <c r="V208" s="182"/>
      <c r="W208" s="186"/>
      <c r="X208" s="186"/>
      <c r="Y208" s="241"/>
      <c r="Z208" s="182"/>
      <c r="AA208" s="187" t="str">
        <f>IFERROR(VLOOKUP(Z208,DATOS!$M$2:$N$219,2,FALSE),"")</f>
        <v/>
      </c>
      <c r="AB208" s="182"/>
      <c r="AC208" s="182"/>
      <c r="AD208" s="182"/>
      <c r="AE208" s="182"/>
      <c r="AF208" s="182"/>
      <c r="AG208" s="181"/>
      <c r="AH208" s="181"/>
      <c r="AI208" s="181"/>
      <c r="AJ208" s="181"/>
      <c r="AK208" s="181"/>
      <c r="AL208" s="181"/>
      <c r="AM208" s="181"/>
      <c r="AN208" s="181"/>
      <c r="AO208" s="181"/>
      <c r="AP208" s="181"/>
      <c r="AQ208" s="320"/>
      <c r="AR208" s="181"/>
      <c r="AS208" s="181"/>
      <c r="AT208" s="5" t="str">
        <f>IF(Tabla1015[[#This Row],[FECHA]]="","",VLOOKUP(TEXT(Tabla1015[[#This Row],[FECHA]],"[$-C0A]dddd"),Tabla2[#All],2,FALSE)&amp;"-"&amp;TEXT(Tabla1015[[#This Row],[FECHA]],"[$-C0A]dddd"))</f>
        <v/>
      </c>
      <c r="AU208" s="322">
        <f>COUNTIF($Z$4:Z208,Z208)</f>
        <v>0</v>
      </c>
    </row>
    <row r="209" spans="2:47" ht="57.75" hidden="1" customHeight="1">
      <c r="B209" s="788"/>
      <c r="C209" s="170" t="str">
        <f t="shared" si="25"/>
        <v/>
      </c>
      <c r="D209" s="261" t="str">
        <f t="shared" si="26"/>
        <v/>
      </c>
      <c r="E209" s="203" t="str">
        <f t="shared" si="27"/>
        <v/>
      </c>
      <c r="F209" s="351" t="str">
        <f t="shared" si="28"/>
        <v/>
      </c>
      <c r="G209" s="351" t="str">
        <f t="shared" si="29"/>
        <v/>
      </c>
      <c r="H209" s="228" t="str">
        <f t="shared" si="30"/>
        <v/>
      </c>
      <c r="I209" s="228" t="str">
        <f t="shared" si="31"/>
        <v/>
      </c>
      <c r="J209" s="228" t="str">
        <f t="shared" si="32"/>
        <v/>
      </c>
      <c r="K209" s="229" t="str">
        <f t="shared" si="33"/>
        <v/>
      </c>
      <c r="L209" s="204" t="str">
        <f t="shared" si="34"/>
        <v/>
      </c>
      <c r="M209" s="205" t="str">
        <f t="shared" si="35"/>
        <v/>
      </c>
      <c r="N209" s="155">
        <f t="shared" si="24"/>
        <v>13</v>
      </c>
      <c r="O209" s="159" t="str">
        <f t="shared" si="36"/>
        <v>EMP. FLOWPACK 1-13</v>
      </c>
      <c r="S209" s="184" t="str">
        <f t="shared" si="22"/>
        <v/>
      </c>
      <c r="T209" s="185"/>
      <c r="U209" s="182"/>
      <c r="V209" s="182"/>
      <c r="W209" s="186"/>
      <c r="X209" s="186"/>
      <c r="Y209" s="241"/>
      <c r="Z209" s="182"/>
      <c r="AA209" s="187" t="str">
        <f>IFERROR(VLOOKUP(Z209,DATOS!$M$2:$N$219,2,FALSE),"")</f>
        <v/>
      </c>
      <c r="AB209" s="182"/>
      <c r="AC209" s="182"/>
      <c r="AD209" s="182"/>
      <c r="AE209" s="182"/>
      <c r="AF209" s="182"/>
      <c r="AG209" s="181"/>
      <c r="AH209" s="181"/>
      <c r="AI209" s="181"/>
      <c r="AJ209" s="181"/>
      <c r="AK209" s="181"/>
      <c r="AL209" s="181"/>
      <c r="AM209" s="181"/>
      <c r="AN209" s="181"/>
      <c r="AO209" s="181"/>
      <c r="AP209" s="181"/>
      <c r="AQ209" s="320"/>
      <c r="AR209" s="181"/>
      <c r="AS209" s="181"/>
      <c r="AT209" s="5" t="str">
        <f>IF(Tabla1015[[#This Row],[FECHA]]="","",VLOOKUP(TEXT(Tabla1015[[#This Row],[FECHA]],"[$-C0A]dddd"),Tabla2[#All],2,FALSE)&amp;"-"&amp;TEXT(Tabla1015[[#This Row],[FECHA]],"[$-C0A]dddd"))</f>
        <v/>
      </c>
      <c r="AU209" s="322">
        <f>COUNTIF($Z$4:Z209,Z209)</f>
        <v>0</v>
      </c>
    </row>
    <row r="210" spans="2:47" ht="57.75" hidden="1" customHeight="1">
      <c r="B210" s="788"/>
      <c r="C210" s="170" t="str">
        <f t="shared" si="25"/>
        <v/>
      </c>
      <c r="D210" s="261" t="str">
        <f t="shared" si="26"/>
        <v/>
      </c>
      <c r="E210" s="203" t="str">
        <f t="shared" si="27"/>
        <v/>
      </c>
      <c r="F210" s="351" t="str">
        <f t="shared" si="28"/>
        <v/>
      </c>
      <c r="G210" s="351" t="str">
        <f t="shared" si="29"/>
        <v/>
      </c>
      <c r="H210" s="228" t="str">
        <f t="shared" si="30"/>
        <v/>
      </c>
      <c r="I210" s="228" t="str">
        <f t="shared" si="31"/>
        <v/>
      </c>
      <c r="J210" s="228" t="str">
        <f t="shared" si="32"/>
        <v/>
      </c>
      <c r="K210" s="229" t="str">
        <f t="shared" si="33"/>
        <v/>
      </c>
      <c r="L210" s="204" t="str">
        <f t="shared" si="34"/>
        <v/>
      </c>
      <c r="M210" s="205" t="str">
        <f t="shared" si="35"/>
        <v/>
      </c>
      <c r="N210" s="155">
        <f t="shared" si="24"/>
        <v>14</v>
      </c>
      <c r="O210" s="159" t="str">
        <f t="shared" si="36"/>
        <v>EMP. FLOWPACK 1-14</v>
      </c>
      <c r="S210" s="184" t="str">
        <f t="shared" si="22"/>
        <v/>
      </c>
      <c r="T210" s="185"/>
      <c r="U210" s="182"/>
      <c r="V210" s="182"/>
      <c r="W210" s="186"/>
      <c r="X210" s="186"/>
      <c r="Y210" s="241"/>
      <c r="Z210" s="182"/>
      <c r="AA210" s="187" t="str">
        <f>IFERROR(VLOOKUP(Z210,DATOS!$M$2:$N$219,2,FALSE),"")</f>
        <v/>
      </c>
      <c r="AB210" s="182"/>
      <c r="AC210" s="182"/>
      <c r="AD210" s="182"/>
      <c r="AE210" s="182"/>
      <c r="AF210" s="182"/>
      <c r="AG210" s="181"/>
      <c r="AH210" s="181"/>
      <c r="AI210" s="181"/>
      <c r="AJ210" s="181"/>
      <c r="AK210" s="181"/>
      <c r="AL210" s="181"/>
      <c r="AM210" s="181"/>
      <c r="AN210" s="181"/>
      <c r="AO210" s="181"/>
      <c r="AP210" s="181"/>
      <c r="AQ210" s="320"/>
      <c r="AR210" s="181"/>
      <c r="AS210" s="181"/>
      <c r="AT210" s="5" t="str">
        <f>IF(Tabla1015[[#This Row],[FECHA]]="","",VLOOKUP(TEXT(Tabla1015[[#This Row],[FECHA]],"[$-C0A]dddd"),Tabla2[#All],2,FALSE)&amp;"-"&amp;TEXT(Tabla1015[[#This Row],[FECHA]],"[$-C0A]dddd"))</f>
        <v/>
      </c>
      <c r="AU210" s="322">
        <f>COUNTIF($Z$4:Z210,Z210)</f>
        <v>0</v>
      </c>
    </row>
    <row r="211" spans="2:47" ht="57.75" hidden="1" customHeight="1">
      <c r="B211" s="788"/>
      <c r="C211" s="170" t="str">
        <f t="shared" si="25"/>
        <v/>
      </c>
      <c r="D211" s="261" t="str">
        <f t="shared" si="26"/>
        <v/>
      </c>
      <c r="E211" s="203" t="str">
        <f t="shared" si="27"/>
        <v/>
      </c>
      <c r="F211" s="351" t="str">
        <f t="shared" si="28"/>
        <v/>
      </c>
      <c r="G211" s="351" t="str">
        <f t="shared" si="29"/>
        <v/>
      </c>
      <c r="H211" s="228" t="str">
        <f t="shared" si="30"/>
        <v/>
      </c>
      <c r="I211" s="228" t="str">
        <f t="shared" si="31"/>
        <v/>
      </c>
      <c r="J211" s="228" t="str">
        <f t="shared" si="32"/>
        <v/>
      </c>
      <c r="K211" s="229" t="str">
        <f t="shared" si="33"/>
        <v/>
      </c>
      <c r="L211" s="204" t="str">
        <f t="shared" si="34"/>
        <v/>
      </c>
      <c r="M211" s="205" t="str">
        <f t="shared" si="35"/>
        <v/>
      </c>
      <c r="N211" s="155">
        <f t="shared" si="24"/>
        <v>15</v>
      </c>
      <c r="O211" s="159" t="str">
        <f t="shared" si="36"/>
        <v>EMP. FLOWPACK 1-15</v>
      </c>
      <c r="S211" s="184" t="str">
        <f t="shared" si="22"/>
        <v/>
      </c>
      <c r="T211" s="185"/>
      <c r="U211" s="182"/>
      <c r="V211" s="182"/>
      <c r="W211" s="186"/>
      <c r="X211" s="186"/>
      <c r="Y211" s="241"/>
      <c r="Z211" s="182"/>
      <c r="AA211" s="187" t="str">
        <f>IFERROR(VLOOKUP(Z211,DATOS!$M$2:$N$219,2,FALSE),"")</f>
        <v/>
      </c>
      <c r="AB211" s="182"/>
      <c r="AC211" s="182"/>
      <c r="AD211" s="182"/>
      <c r="AE211" s="182"/>
      <c r="AF211" s="182"/>
      <c r="AG211" s="181"/>
      <c r="AH211" s="181"/>
      <c r="AI211" s="181"/>
      <c r="AJ211" s="181"/>
      <c r="AK211" s="181"/>
      <c r="AL211" s="181"/>
      <c r="AM211" s="181"/>
      <c r="AN211" s="181"/>
      <c r="AO211" s="181"/>
      <c r="AP211" s="181"/>
      <c r="AQ211" s="320"/>
      <c r="AR211" s="181"/>
      <c r="AS211" s="181"/>
      <c r="AT211" s="5" t="str">
        <f>IF(Tabla1015[[#This Row],[FECHA]]="","",VLOOKUP(TEXT(Tabla1015[[#This Row],[FECHA]],"[$-C0A]dddd"),Tabla2[#All],2,FALSE)&amp;"-"&amp;TEXT(Tabla1015[[#This Row],[FECHA]],"[$-C0A]dddd"))</f>
        <v/>
      </c>
      <c r="AU211" s="322">
        <f>COUNTIF($Z$4:Z211,Z211)</f>
        <v>0</v>
      </c>
    </row>
    <row r="212" spans="2:47" ht="57.75" hidden="1" customHeight="1">
      <c r="B212" s="788"/>
      <c r="C212" s="170" t="str">
        <f t="shared" si="25"/>
        <v/>
      </c>
      <c r="D212" s="261" t="str">
        <f t="shared" si="26"/>
        <v/>
      </c>
      <c r="E212" s="203" t="str">
        <f t="shared" si="27"/>
        <v/>
      </c>
      <c r="F212" s="351" t="str">
        <f t="shared" si="28"/>
        <v/>
      </c>
      <c r="G212" s="351" t="str">
        <f t="shared" si="29"/>
        <v/>
      </c>
      <c r="H212" s="228" t="str">
        <f t="shared" si="30"/>
        <v/>
      </c>
      <c r="I212" s="228" t="str">
        <f t="shared" si="31"/>
        <v/>
      </c>
      <c r="J212" s="228" t="str">
        <f t="shared" si="32"/>
        <v/>
      </c>
      <c r="K212" s="229" t="str">
        <f t="shared" si="33"/>
        <v/>
      </c>
      <c r="L212" s="204" t="str">
        <f t="shared" si="34"/>
        <v/>
      </c>
      <c r="M212" s="205" t="str">
        <f t="shared" si="35"/>
        <v/>
      </c>
      <c r="N212" s="155">
        <f t="shared" si="24"/>
        <v>16</v>
      </c>
      <c r="O212" s="159" t="str">
        <f t="shared" si="36"/>
        <v>EMP. FLOWPACK 1-16</v>
      </c>
      <c r="S212" s="184" t="str">
        <f t="shared" si="22"/>
        <v/>
      </c>
      <c r="T212" s="185"/>
      <c r="U212" s="182"/>
      <c r="V212" s="182"/>
      <c r="W212" s="186"/>
      <c r="X212" s="186"/>
      <c r="Y212" s="241"/>
      <c r="Z212" s="182"/>
      <c r="AA212" s="187" t="str">
        <f>IFERROR(VLOOKUP(Z212,DATOS!$M$2:$N$219,2,FALSE),"")</f>
        <v/>
      </c>
      <c r="AB212" s="182"/>
      <c r="AC212" s="182"/>
      <c r="AD212" s="182"/>
      <c r="AE212" s="182"/>
      <c r="AF212" s="182"/>
      <c r="AG212" s="181"/>
      <c r="AH212" s="181"/>
      <c r="AI212" s="181"/>
      <c r="AJ212" s="181"/>
      <c r="AK212" s="181"/>
      <c r="AL212" s="181"/>
      <c r="AM212" s="181"/>
      <c r="AN212" s="181"/>
      <c r="AO212" s="181"/>
      <c r="AP212" s="181"/>
      <c r="AQ212" s="320"/>
      <c r="AR212" s="181"/>
      <c r="AS212" s="181"/>
      <c r="AT212" s="5" t="str">
        <f>IF(Tabla1015[[#This Row],[FECHA]]="","",VLOOKUP(TEXT(Tabla1015[[#This Row],[FECHA]],"[$-C0A]dddd"),Tabla2[#All],2,FALSE)&amp;"-"&amp;TEXT(Tabla1015[[#This Row],[FECHA]],"[$-C0A]dddd"))</f>
        <v/>
      </c>
      <c r="AU212" s="322">
        <f>COUNTIF($Z$4:Z212,Z212)</f>
        <v>0</v>
      </c>
    </row>
    <row r="213" spans="2:47" ht="57.75" hidden="1" customHeight="1">
      <c r="B213" s="788"/>
      <c r="C213" s="170" t="str">
        <f t="shared" si="25"/>
        <v/>
      </c>
      <c r="D213" s="261" t="str">
        <f t="shared" si="26"/>
        <v/>
      </c>
      <c r="E213" s="203" t="str">
        <f t="shared" si="27"/>
        <v/>
      </c>
      <c r="F213" s="351" t="str">
        <f t="shared" si="28"/>
        <v/>
      </c>
      <c r="G213" s="351" t="str">
        <f t="shared" si="29"/>
        <v/>
      </c>
      <c r="H213" s="228" t="str">
        <f t="shared" si="30"/>
        <v/>
      </c>
      <c r="I213" s="228" t="str">
        <f t="shared" si="31"/>
        <v/>
      </c>
      <c r="J213" s="228" t="str">
        <f t="shared" si="32"/>
        <v/>
      </c>
      <c r="K213" s="229" t="str">
        <f t="shared" si="33"/>
        <v/>
      </c>
      <c r="L213" s="204" t="str">
        <f t="shared" si="34"/>
        <v/>
      </c>
      <c r="M213" s="205" t="str">
        <f t="shared" si="35"/>
        <v/>
      </c>
      <c r="N213" s="155">
        <f t="shared" si="24"/>
        <v>17</v>
      </c>
      <c r="O213" s="159" t="str">
        <f t="shared" si="36"/>
        <v>EMP. FLOWPACK 1-17</v>
      </c>
      <c r="S213" s="184" t="str">
        <f t="shared" si="22"/>
        <v/>
      </c>
      <c r="T213" s="185"/>
      <c r="U213" s="182"/>
      <c r="V213" s="182"/>
      <c r="W213" s="186"/>
      <c r="X213" s="186"/>
      <c r="Y213" s="241"/>
      <c r="Z213" s="182"/>
      <c r="AA213" s="187" t="str">
        <f>IFERROR(VLOOKUP(Z213,DATOS!$M$2:$N$219,2,FALSE),"")</f>
        <v/>
      </c>
      <c r="AB213" s="182"/>
      <c r="AC213" s="182"/>
      <c r="AD213" s="182"/>
      <c r="AE213" s="182"/>
      <c r="AF213" s="182"/>
      <c r="AG213" s="181"/>
      <c r="AH213" s="181"/>
      <c r="AI213" s="181"/>
      <c r="AJ213" s="181"/>
      <c r="AK213" s="181"/>
      <c r="AL213" s="181"/>
      <c r="AM213" s="181"/>
      <c r="AN213" s="181"/>
      <c r="AO213" s="181"/>
      <c r="AP213" s="181"/>
      <c r="AQ213" s="320"/>
      <c r="AR213" s="181"/>
      <c r="AS213" s="181"/>
      <c r="AT213" s="5" t="str">
        <f>IF(Tabla1015[[#This Row],[FECHA]]="","",VLOOKUP(TEXT(Tabla1015[[#This Row],[FECHA]],"[$-C0A]dddd"),Tabla2[#All],2,FALSE)&amp;"-"&amp;TEXT(Tabla1015[[#This Row],[FECHA]],"[$-C0A]dddd"))</f>
        <v/>
      </c>
      <c r="AU213" s="322">
        <f>COUNTIF($Z$4:Z213,Z213)</f>
        <v>0</v>
      </c>
    </row>
    <row r="214" spans="2:47" ht="57.75" hidden="1" customHeight="1">
      <c r="B214" s="788"/>
      <c r="C214" s="170" t="str">
        <f t="shared" si="25"/>
        <v/>
      </c>
      <c r="D214" s="261" t="str">
        <f t="shared" si="26"/>
        <v/>
      </c>
      <c r="E214" s="203" t="str">
        <f t="shared" si="27"/>
        <v/>
      </c>
      <c r="F214" s="351" t="str">
        <f t="shared" si="28"/>
        <v/>
      </c>
      <c r="G214" s="351" t="str">
        <f t="shared" si="29"/>
        <v/>
      </c>
      <c r="H214" s="228" t="str">
        <f t="shared" si="30"/>
        <v/>
      </c>
      <c r="I214" s="228" t="str">
        <f t="shared" si="31"/>
        <v/>
      </c>
      <c r="J214" s="228" t="str">
        <f t="shared" si="32"/>
        <v/>
      </c>
      <c r="K214" s="229" t="str">
        <f t="shared" si="33"/>
        <v/>
      </c>
      <c r="L214" s="204" t="str">
        <f t="shared" si="34"/>
        <v/>
      </c>
      <c r="M214" s="205" t="str">
        <f t="shared" si="35"/>
        <v/>
      </c>
      <c r="N214" s="155">
        <f t="shared" si="24"/>
        <v>18</v>
      </c>
      <c r="O214" s="159" t="str">
        <f t="shared" si="36"/>
        <v>EMP. FLOWPACK 1-18</v>
      </c>
      <c r="S214" s="184" t="str">
        <f t="shared" si="22"/>
        <v/>
      </c>
      <c r="T214" s="185"/>
      <c r="U214" s="182"/>
      <c r="V214" s="182"/>
      <c r="W214" s="186"/>
      <c r="X214" s="186"/>
      <c r="Y214" s="241"/>
      <c r="Z214" s="182"/>
      <c r="AA214" s="187" t="str">
        <f>IFERROR(VLOOKUP(Z214,DATOS!$M$2:$N$219,2,FALSE),"")</f>
        <v/>
      </c>
      <c r="AB214" s="182"/>
      <c r="AC214" s="182"/>
      <c r="AD214" s="182"/>
      <c r="AE214" s="182"/>
      <c r="AF214" s="182"/>
      <c r="AG214" s="181"/>
      <c r="AH214" s="181"/>
      <c r="AI214" s="181"/>
      <c r="AJ214" s="181"/>
      <c r="AK214" s="181"/>
      <c r="AL214" s="181"/>
      <c r="AM214" s="181"/>
      <c r="AN214" s="181"/>
      <c r="AO214" s="181"/>
      <c r="AP214" s="181"/>
      <c r="AQ214" s="320"/>
      <c r="AR214" s="181"/>
      <c r="AS214" s="181"/>
      <c r="AT214" s="5" t="str">
        <f>IF(Tabla1015[[#This Row],[FECHA]]="","",VLOOKUP(TEXT(Tabla1015[[#This Row],[FECHA]],"[$-C0A]dddd"),Tabla2[#All],2,FALSE)&amp;"-"&amp;TEXT(Tabla1015[[#This Row],[FECHA]],"[$-C0A]dddd"))</f>
        <v/>
      </c>
      <c r="AU214" s="322">
        <f>COUNTIF($Z$4:Z214,Z214)</f>
        <v>0</v>
      </c>
    </row>
    <row r="215" spans="2:47" ht="57.75" hidden="1" customHeight="1">
      <c r="B215" s="788"/>
      <c r="C215" s="170" t="str">
        <f t="shared" si="25"/>
        <v/>
      </c>
      <c r="D215" s="261" t="str">
        <f t="shared" si="26"/>
        <v/>
      </c>
      <c r="E215" s="203" t="str">
        <f t="shared" si="27"/>
        <v/>
      </c>
      <c r="F215" s="351" t="str">
        <f t="shared" si="28"/>
        <v/>
      </c>
      <c r="G215" s="351" t="str">
        <f t="shared" si="29"/>
        <v/>
      </c>
      <c r="H215" s="228" t="str">
        <f t="shared" si="30"/>
        <v/>
      </c>
      <c r="I215" s="228" t="str">
        <f t="shared" si="31"/>
        <v/>
      </c>
      <c r="J215" s="228" t="str">
        <f t="shared" si="32"/>
        <v/>
      </c>
      <c r="K215" s="229" t="str">
        <f t="shared" si="33"/>
        <v/>
      </c>
      <c r="L215" s="204" t="str">
        <f t="shared" si="34"/>
        <v/>
      </c>
      <c r="M215" s="205" t="str">
        <f t="shared" si="35"/>
        <v/>
      </c>
      <c r="N215" s="155">
        <f t="shared" si="24"/>
        <v>19</v>
      </c>
      <c r="O215" s="159" t="str">
        <f>CONCATENATE($B$197,"-",N215)</f>
        <v>EMP. FLOWPACK 1-19</v>
      </c>
      <c r="S215" s="184" t="str">
        <f t="shared" si="22"/>
        <v/>
      </c>
      <c r="T215" s="185"/>
      <c r="U215" s="182"/>
      <c r="V215" s="182"/>
      <c r="W215" s="186"/>
      <c r="X215" s="186"/>
      <c r="Y215" s="241"/>
      <c r="Z215" s="182"/>
      <c r="AA215" s="187" t="str">
        <f>IFERROR(VLOOKUP(Z215,DATOS!$M$2:$N$219,2,FALSE),"")</f>
        <v/>
      </c>
      <c r="AB215" s="182"/>
      <c r="AC215" s="182"/>
      <c r="AD215" s="182"/>
      <c r="AE215" s="182"/>
      <c r="AF215" s="182"/>
      <c r="AG215" s="181"/>
      <c r="AH215" s="181"/>
      <c r="AI215" s="181"/>
      <c r="AJ215" s="181"/>
      <c r="AK215" s="181"/>
      <c r="AL215" s="181"/>
      <c r="AM215" s="181"/>
      <c r="AN215" s="181"/>
      <c r="AO215" s="181"/>
      <c r="AP215" s="181"/>
      <c r="AQ215" s="320"/>
      <c r="AR215" s="181"/>
      <c r="AS215" s="181"/>
      <c r="AT215" s="5" t="str">
        <f>IF(Tabla1015[[#This Row],[FECHA]]="","",VLOOKUP(TEXT(Tabla1015[[#This Row],[FECHA]],"[$-C0A]dddd"),Tabla2[#All],2,FALSE)&amp;"-"&amp;TEXT(Tabla1015[[#This Row],[FECHA]],"[$-C0A]dddd"))</f>
        <v/>
      </c>
      <c r="AU215" s="322">
        <f>COUNTIF($Z$4:Z215,Z215)</f>
        <v>0</v>
      </c>
    </row>
    <row r="216" spans="2:47" ht="57.75" hidden="1" customHeight="1">
      <c r="B216" s="789"/>
      <c r="C216" s="171" t="str">
        <f t="shared" si="25"/>
        <v/>
      </c>
      <c r="D216" s="262" t="str">
        <f t="shared" si="26"/>
        <v/>
      </c>
      <c r="E216" s="206" t="str">
        <f t="shared" si="27"/>
        <v/>
      </c>
      <c r="F216" s="352" t="str">
        <f t="shared" si="28"/>
        <v/>
      </c>
      <c r="G216" s="352" t="str">
        <f t="shared" si="29"/>
        <v/>
      </c>
      <c r="H216" s="230" t="str">
        <f t="shared" si="30"/>
        <v/>
      </c>
      <c r="I216" s="230" t="str">
        <f t="shared" si="31"/>
        <v/>
      </c>
      <c r="J216" s="230" t="str">
        <f t="shared" si="32"/>
        <v/>
      </c>
      <c r="K216" s="231" t="str">
        <f t="shared" si="33"/>
        <v/>
      </c>
      <c r="L216" s="207" t="str">
        <f t="shared" si="34"/>
        <v/>
      </c>
      <c r="M216" s="208" t="str">
        <f t="shared" si="35"/>
        <v/>
      </c>
      <c r="N216" s="160">
        <f t="shared" si="24"/>
        <v>20</v>
      </c>
      <c r="O216" s="161" t="str">
        <f>CONCATENATE($B$197,"-",N216)</f>
        <v>EMP. FLOWPACK 1-20</v>
      </c>
      <c r="S216" s="184" t="str">
        <f t="shared" si="22"/>
        <v/>
      </c>
      <c r="T216" s="185"/>
      <c r="U216" s="182"/>
      <c r="V216" s="182"/>
      <c r="W216" s="186"/>
      <c r="X216" s="186"/>
      <c r="Y216" s="241"/>
      <c r="Z216" s="182"/>
      <c r="AA216" s="187" t="str">
        <f>IFERROR(VLOOKUP(Z216,DATOS!$M$2:$N$219,2,FALSE),"")</f>
        <v/>
      </c>
      <c r="AB216" s="182"/>
      <c r="AC216" s="182"/>
      <c r="AD216" s="182"/>
      <c r="AE216" s="182"/>
      <c r="AF216" s="182"/>
      <c r="AG216" s="181"/>
      <c r="AH216" s="181"/>
      <c r="AI216" s="181"/>
      <c r="AJ216" s="181"/>
      <c r="AK216" s="181"/>
      <c r="AL216" s="181"/>
      <c r="AM216" s="181"/>
      <c r="AN216" s="181"/>
      <c r="AO216" s="181"/>
      <c r="AP216" s="181"/>
      <c r="AQ216" s="320"/>
      <c r="AR216" s="181"/>
      <c r="AS216" s="181"/>
      <c r="AT216" s="5" t="str">
        <f>IF(Tabla1015[[#This Row],[FECHA]]="","",VLOOKUP(TEXT(Tabla1015[[#This Row],[FECHA]],"[$-C0A]dddd"),Tabla2[#All],2,FALSE)&amp;"-"&amp;TEXT(Tabla1015[[#This Row],[FECHA]],"[$-C0A]dddd"))</f>
        <v/>
      </c>
      <c r="AU216" s="322">
        <f>COUNTIF($Z$4:Z216,Z216)</f>
        <v>0</v>
      </c>
    </row>
    <row r="217" spans="2:47" ht="57.75" customHeight="1">
      <c r="B217" s="783" t="str">
        <f>+'TABLA RES-SEMANA'!B72</f>
        <v>QUEBRANTADOR DE CACAO  01 JAF INOX</v>
      </c>
      <c r="C217" s="172" t="str">
        <f t="shared" si="25"/>
        <v>Maquinaria</v>
      </c>
      <c r="D217" s="263">
        <f t="shared" si="26"/>
        <v>45943</v>
      </c>
      <c r="E217" s="209" t="str">
        <f t="shared" si="27"/>
        <v>MAÑANA</v>
      </c>
      <c r="F217" s="353" t="str">
        <f t="shared" si="28"/>
        <v>06:30</v>
      </c>
      <c r="G217" s="353" t="str">
        <f t="shared" si="29"/>
        <v>07:00</v>
      </c>
      <c r="H217" s="232">
        <f t="shared" si="30"/>
        <v>2.083333333333337E-2</v>
      </c>
      <c r="I217" s="232" t="str">
        <f t="shared" si="31"/>
        <v>SET UP</v>
      </c>
      <c r="J217" s="232" t="str">
        <f t="shared" si="32"/>
        <v>PROGRAMADA</v>
      </c>
      <c r="K217" s="233" t="str">
        <f t="shared" si="33"/>
        <v/>
      </c>
      <c r="L217" s="210" t="str">
        <f t="shared" si="34"/>
        <v>Desarmar máquina para su limpieza.</v>
      </c>
      <c r="M217" s="211" t="str">
        <f t="shared" si="35"/>
        <v>Se retiró guardas, rejillas y piezas de máquina para su respectiva limpieza.</v>
      </c>
      <c r="N217" s="162">
        <v>1</v>
      </c>
      <c r="O217" s="163" t="str">
        <f>CONCATENATE($B$217,"-",N217)</f>
        <v>QUEBRANTADOR DE CACAO  01 JAF INOX-1</v>
      </c>
      <c r="P217" s="91">
        <f>COUNTIF(H217:H234,"&lt;&gt;**")</f>
        <v>3</v>
      </c>
      <c r="S217" s="184" t="str">
        <f t="shared" si="22"/>
        <v/>
      </c>
      <c r="T217" s="22"/>
      <c r="U217" s="16"/>
      <c r="V217" s="16"/>
      <c r="W217" s="23"/>
      <c r="X217" s="23"/>
      <c r="Y217" s="78"/>
      <c r="Z217" s="16"/>
      <c r="AA217" s="343" t="str">
        <f>IFERROR(VLOOKUP(Z217,DATOS!$M$2:$N$219,2,FALSE),"")</f>
        <v/>
      </c>
      <c r="AB217" s="115"/>
      <c r="AC217" s="115"/>
      <c r="AD217" s="115"/>
      <c r="AE217" s="35"/>
      <c r="AF217" s="35"/>
      <c r="AG217" s="35"/>
      <c r="AH217" s="35"/>
      <c r="AI217" s="35"/>
      <c r="AJ217" s="16"/>
      <c r="AK217" s="16"/>
      <c r="AL217" s="16"/>
      <c r="AM217" s="17"/>
      <c r="AN217" s="16"/>
      <c r="AO217" s="75"/>
      <c r="AP217" s="75"/>
      <c r="AQ217" s="27"/>
      <c r="AR217" s="319"/>
      <c r="AS217" s="10"/>
      <c r="AT217" s="5" t="str">
        <f>IF(Tabla1015[[#This Row],[FECHA]]="","",VLOOKUP(TEXT(Tabla1015[[#This Row],[FECHA]],"[$-C0A]dddd"),Tabla2[#All],2,FALSE)&amp;"-"&amp;TEXT(Tabla1015[[#This Row],[FECHA]],"[$-C0A]dddd"))</f>
        <v/>
      </c>
      <c r="AU217" s="322">
        <f>COUNTIF($Z$4:Z217,Z217)</f>
        <v>0</v>
      </c>
    </row>
    <row r="218" spans="2:47" ht="57.75" customHeight="1">
      <c r="B218" s="784"/>
      <c r="C218" s="170" t="str">
        <f t="shared" si="25"/>
        <v>Maquinaria</v>
      </c>
      <c r="D218" s="264">
        <f t="shared" si="26"/>
        <v>45943</v>
      </c>
      <c r="E218" s="212" t="str">
        <f t="shared" si="27"/>
        <v>MAÑANA</v>
      </c>
      <c r="F218" s="351" t="str">
        <f t="shared" si="28"/>
        <v>12:40</v>
      </c>
      <c r="G218" s="351" t="str">
        <f t="shared" si="29"/>
        <v>13:20</v>
      </c>
      <c r="H218" s="228">
        <f t="shared" si="30"/>
        <v>2.777777777777779E-2</v>
      </c>
      <c r="I218" s="228" t="str">
        <f t="shared" si="31"/>
        <v>SET UP</v>
      </c>
      <c r="J218" s="228" t="str">
        <f t="shared" si="32"/>
        <v>PROGRAMADA</v>
      </c>
      <c r="K218" s="229" t="str">
        <f t="shared" si="33"/>
        <v/>
      </c>
      <c r="L218" s="204" t="str">
        <f t="shared" si="34"/>
        <v>Armar máquina.</v>
      </c>
      <c r="M218" s="205" t="str">
        <f t="shared" si="35"/>
        <v>Se colocó piezas en posición y se habilitó máquina.</v>
      </c>
      <c r="N218" s="155">
        <f>+N217+1</f>
        <v>2</v>
      </c>
      <c r="O218" s="159" t="str">
        <f t="shared" ref="O218:O226" si="37">CONCATENATE($B$217,"-",N218)</f>
        <v>QUEBRANTADOR DE CACAO  01 JAF INOX-2</v>
      </c>
      <c r="S218" s="184" t="str">
        <f t="shared" si="22"/>
        <v/>
      </c>
      <c r="T218" s="22"/>
      <c r="U218" s="16"/>
      <c r="V218" s="16"/>
      <c r="W218" s="23"/>
      <c r="X218" s="23"/>
      <c r="Y218" s="78"/>
      <c r="Z218" s="16"/>
      <c r="AA218" s="343" t="str">
        <f>IFERROR(VLOOKUP(Z218,DATOS!$M$2:$N$219,2,FALSE),"")</f>
        <v/>
      </c>
      <c r="AB218" s="115"/>
      <c r="AC218" s="115"/>
      <c r="AD218" s="115"/>
      <c r="AE218" s="35"/>
      <c r="AF218" s="35"/>
      <c r="AG218" s="35"/>
      <c r="AH218" s="35"/>
      <c r="AI218" s="35"/>
      <c r="AJ218" s="16"/>
      <c r="AK218" s="16"/>
      <c r="AL218" s="16"/>
      <c r="AM218" s="17"/>
      <c r="AN218" s="16"/>
      <c r="AO218" s="75"/>
      <c r="AP218" s="75"/>
      <c r="AQ218" s="27"/>
      <c r="AR218" s="319"/>
      <c r="AS218" s="10"/>
      <c r="AT218" s="5" t="str">
        <f>IF(Tabla1015[[#This Row],[FECHA]]="","",VLOOKUP(TEXT(Tabla1015[[#This Row],[FECHA]],"[$-C0A]dddd"),Tabla2[#All],2,FALSE)&amp;"-"&amp;TEXT(Tabla1015[[#This Row],[FECHA]],"[$-C0A]dddd"))</f>
        <v/>
      </c>
      <c r="AU218" s="322">
        <f>COUNTIF($Z$4:Z218,Z218)</f>
        <v>0</v>
      </c>
    </row>
    <row r="219" spans="2:47" ht="57.75" customHeight="1">
      <c r="B219" s="784"/>
      <c r="C219" s="170" t="str">
        <f t="shared" si="25"/>
        <v>Maquinaria</v>
      </c>
      <c r="D219" s="264">
        <f t="shared" si="26"/>
        <v>45943</v>
      </c>
      <c r="E219" s="212" t="str">
        <f t="shared" si="27"/>
        <v>MAÑANA</v>
      </c>
      <c r="F219" s="351" t="str">
        <f t="shared" si="28"/>
        <v>06:35</v>
      </c>
      <c r="G219" s="351" t="str">
        <f t="shared" si="29"/>
        <v>06:54</v>
      </c>
      <c r="H219" s="228">
        <f t="shared" si="30"/>
        <v>1.3194444444444398E-2</v>
      </c>
      <c r="I219" s="228" t="str">
        <f t="shared" si="31"/>
        <v>SET UP</v>
      </c>
      <c r="J219" s="228" t="str">
        <f t="shared" si="32"/>
        <v>PROGRAMADA</v>
      </c>
      <c r="K219" s="229" t="str">
        <f t="shared" si="33"/>
        <v/>
      </c>
      <c r="L219" s="204" t="str">
        <f t="shared" si="34"/>
        <v xml:space="preserve">Se desarma equipo para limpieza </v>
      </c>
      <c r="M219" s="205" t="str">
        <f t="shared" si="35"/>
        <v/>
      </c>
      <c r="N219" s="155">
        <f t="shared" ref="N219:N234" si="38">+N218+1</f>
        <v>3</v>
      </c>
      <c r="O219" s="159" t="str">
        <f t="shared" si="37"/>
        <v>QUEBRANTADOR DE CACAO  01 JAF INOX-3</v>
      </c>
      <c r="S219" s="184" t="str">
        <f t="shared" si="22"/>
        <v/>
      </c>
      <c r="T219" s="22"/>
      <c r="U219" s="16"/>
      <c r="V219" s="16"/>
      <c r="W219" s="23"/>
      <c r="X219" s="23"/>
      <c r="Y219" s="78"/>
      <c r="Z219" s="16"/>
      <c r="AA219" s="343" t="str">
        <f>IFERROR(VLOOKUP(Z219,DATOS!$M$2:$N$219,2,FALSE),"")</f>
        <v/>
      </c>
      <c r="AB219" s="115"/>
      <c r="AC219" s="115"/>
      <c r="AD219" s="115"/>
      <c r="AE219" s="35"/>
      <c r="AF219" s="35"/>
      <c r="AG219" s="35"/>
      <c r="AH219" s="35"/>
      <c r="AI219" s="35"/>
      <c r="AJ219" s="16"/>
      <c r="AK219" s="16"/>
      <c r="AL219" s="16"/>
      <c r="AM219" s="17"/>
      <c r="AN219" s="16"/>
      <c r="AO219" s="75"/>
      <c r="AP219" s="75"/>
      <c r="AQ219" s="27"/>
      <c r="AR219" s="319"/>
      <c r="AS219" s="10"/>
      <c r="AT219" s="5" t="str">
        <f>IF(Tabla1015[[#This Row],[FECHA]]="","",VLOOKUP(TEXT(Tabla1015[[#This Row],[FECHA]],"[$-C0A]dddd"),Tabla2[#All],2,FALSE)&amp;"-"&amp;TEXT(Tabla1015[[#This Row],[FECHA]],"[$-C0A]dddd"))</f>
        <v/>
      </c>
      <c r="AU219" s="322">
        <f>COUNTIF($Z$4:Z219,Z219)</f>
        <v>0</v>
      </c>
    </row>
    <row r="220" spans="2:47" ht="57.75" hidden="1" customHeight="1">
      <c r="B220" s="784"/>
      <c r="C220" s="170" t="str">
        <f t="shared" si="25"/>
        <v/>
      </c>
      <c r="D220" s="264" t="str">
        <f t="shared" si="26"/>
        <v/>
      </c>
      <c r="E220" s="212" t="str">
        <f t="shared" si="27"/>
        <v/>
      </c>
      <c r="F220" s="351" t="str">
        <f t="shared" si="28"/>
        <v/>
      </c>
      <c r="G220" s="351" t="str">
        <f t="shared" si="29"/>
        <v/>
      </c>
      <c r="H220" s="228" t="str">
        <f t="shared" si="30"/>
        <v/>
      </c>
      <c r="I220" s="228" t="str">
        <f t="shared" si="31"/>
        <v/>
      </c>
      <c r="J220" s="228" t="str">
        <f t="shared" si="32"/>
        <v/>
      </c>
      <c r="K220" s="229" t="str">
        <f t="shared" si="33"/>
        <v/>
      </c>
      <c r="L220" s="204" t="str">
        <f t="shared" si="34"/>
        <v/>
      </c>
      <c r="M220" s="205" t="str">
        <f t="shared" si="35"/>
        <v/>
      </c>
      <c r="N220" s="155">
        <f t="shared" si="38"/>
        <v>4</v>
      </c>
      <c r="O220" s="159" t="str">
        <f t="shared" si="37"/>
        <v>QUEBRANTADOR DE CACAO  01 JAF INOX-4</v>
      </c>
      <c r="S220" s="184" t="str">
        <f t="shared" si="22"/>
        <v/>
      </c>
      <c r="T220" s="22"/>
      <c r="U220" s="16"/>
      <c r="V220" s="16"/>
      <c r="W220" s="23"/>
      <c r="X220" s="23"/>
      <c r="Y220" s="78"/>
      <c r="Z220" s="16"/>
      <c r="AA220" s="343" t="str">
        <f>IFERROR(VLOOKUP(Z220,DATOS!$M$2:$N$219,2,FALSE),"")</f>
        <v/>
      </c>
      <c r="AB220" s="115"/>
      <c r="AC220" s="115"/>
      <c r="AD220" s="115"/>
      <c r="AE220" s="35"/>
      <c r="AF220" s="35"/>
      <c r="AG220" s="35"/>
      <c r="AH220" s="35"/>
      <c r="AI220" s="35"/>
      <c r="AJ220" s="16"/>
      <c r="AK220" s="16"/>
      <c r="AL220" s="16"/>
      <c r="AM220" s="17"/>
      <c r="AN220" s="16"/>
      <c r="AO220" s="75"/>
      <c r="AP220" s="75"/>
      <c r="AQ220" s="27"/>
      <c r="AR220" s="319"/>
      <c r="AS220" s="10"/>
      <c r="AT220" s="5" t="str">
        <f>IF(Tabla1015[[#This Row],[FECHA]]="","",VLOOKUP(TEXT(Tabla1015[[#This Row],[FECHA]],"[$-C0A]dddd"),Tabla2[#All],2,FALSE)&amp;"-"&amp;TEXT(Tabla1015[[#This Row],[FECHA]],"[$-C0A]dddd"))</f>
        <v/>
      </c>
      <c r="AU220" s="322">
        <f>COUNTIF($Z$4:Z220,Z220)</f>
        <v>0</v>
      </c>
    </row>
    <row r="221" spans="2:47" ht="57.75" hidden="1" customHeight="1">
      <c r="B221" s="784"/>
      <c r="C221" s="170" t="str">
        <f t="shared" si="25"/>
        <v/>
      </c>
      <c r="D221" s="264" t="str">
        <f t="shared" si="26"/>
        <v/>
      </c>
      <c r="E221" s="212" t="str">
        <f t="shared" si="27"/>
        <v/>
      </c>
      <c r="F221" s="351" t="str">
        <f t="shared" si="28"/>
        <v/>
      </c>
      <c r="G221" s="351" t="str">
        <f t="shared" si="29"/>
        <v/>
      </c>
      <c r="H221" s="228" t="str">
        <f t="shared" si="30"/>
        <v/>
      </c>
      <c r="I221" s="228" t="str">
        <f t="shared" si="31"/>
        <v/>
      </c>
      <c r="J221" s="228" t="str">
        <f t="shared" si="32"/>
        <v/>
      </c>
      <c r="K221" s="229" t="str">
        <f t="shared" si="33"/>
        <v/>
      </c>
      <c r="L221" s="204" t="str">
        <f t="shared" si="34"/>
        <v/>
      </c>
      <c r="M221" s="205" t="str">
        <f t="shared" si="35"/>
        <v/>
      </c>
      <c r="N221" s="155">
        <f t="shared" si="38"/>
        <v>5</v>
      </c>
      <c r="O221" s="159" t="str">
        <f t="shared" si="37"/>
        <v>QUEBRANTADOR DE CACAO  01 JAF INOX-5</v>
      </c>
      <c r="S221" s="184" t="str">
        <f t="shared" si="22"/>
        <v/>
      </c>
      <c r="T221" s="22"/>
      <c r="U221" s="16"/>
      <c r="V221" s="16"/>
      <c r="W221" s="23"/>
      <c r="X221" s="23"/>
      <c r="Y221" s="78"/>
      <c r="Z221" s="16"/>
      <c r="AA221" s="343" t="str">
        <f>IFERROR(VLOOKUP(Z221,DATOS!$M$2:$N$219,2,FALSE),"")</f>
        <v/>
      </c>
      <c r="AB221" s="115"/>
      <c r="AC221" s="115"/>
      <c r="AD221" s="115"/>
      <c r="AE221" s="35"/>
      <c r="AF221" s="35"/>
      <c r="AG221" s="35"/>
      <c r="AH221" s="35"/>
      <c r="AI221" s="35"/>
      <c r="AJ221" s="16"/>
      <c r="AK221" s="16"/>
      <c r="AL221" s="16"/>
      <c r="AM221" s="17"/>
      <c r="AN221" s="16"/>
      <c r="AO221" s="75"/>
      <c r="AP221" s="75"/>
      <c r="AQ221" s="27"/>
      <c r="AR221" s="319"/>
      <c r="AS221" s="10"/>
      <c r="AT221" s="5" t="str">
        <f>IF(Tabla1015[[#This Row],[FECHA]]="","",VLOOKUP(TEXT(Tabla1015[[#This Row],[FECHA]],"[$-C0A]dddd"),Tabla2[#All],2,FALSE)&amp;"-"&amp;TEXT(Tabla1015[[#This Row],[FECHA]],"[$-C0A]dddd"))</f>
        <v/>
      </c>
      <c r="AU221" s="322">
        <f>COUNTIF($Z$4:Z221,Z221)</f>
        <v>0</v>
      </c>
    </row>
    <row r="222" spans="2:47" ht="57.75" hidden="1" customHeight="1">
      <c r="B222" s="784"/>
      <c r="C222" s="170" t="str">
        <f t="shared" si="25"/>
        <v/>
      </c>
      <c r="D222" s="264" t="str">
        <f t="shared" si="26"/>
        <v/>
      </c>
      <c r="E222" s="212" t="str">
        <f t="shared" si="27"/>
        <v/>
      </c>
      <c r="F222" s="351" t="str">
        <f t="shared" si="28"/>
        <v/>
      </c>
      <c r="G222" s="351" t="str">
        <f t="shared" si="29"/>
        <v/>
      </c>
      <c r="H222" s="228" t="str">
        <f t="shared" si="30"/>
        <v/>
      </c>
      <c r="I222" s="228" t="str">
        <f t="shared" si="31"/>
        <v/>
      </c>
      <c r="J222" s="228" t="str">
        <f t="shared" si="32"/>
        <v/>
      </c>
      <c r="K222" s="229" t="str">
        <f t="shared" si="33"/>
        <v/>
      </c>
      <c r="L222" s="204" t="str">
        <f t="shared" si="34"/>
        <v/>
      </c>
      <c r="M222" s="205" t="str">
        <f t="shared" si="35"/>
        <v/>
      </c>
      <c r="N222" s="155">
        <f t="shared" si="38"/>
        <v>6</v>
      </c>
      <c r="O222" s="159" t="str">
        <f t="shared" si="37"/>
        <v>QUEBRANTADOR DE CACAO  01 JAF INOX-6</v>
      </c>
      <c r="S222" s="184" t="str">
        <f t="shared" si="22"/>
        <v/>
      </c>
      <c r="T222" s="22"/>
      <c r="U222" s="16"/>
      <c r="V222" s="16"/>
      <c r="W222" s="23"/>
      <c r="X222" s="23"/>
      <c r="Y222" s="78"/>
      <c r="Z222" s="16"/>
      <c r="AA222" s="343" t="str">
        <f>IFERROR(VLOOKUP(Z222,DATOS!$M$2:$N$219,2,FALSE),"")</f>
        <v/>
      </c>
      <c r="AB222" s="115"/>
      <c r="AC222" s="115"/>
      <c r="AD222" s="115"/>
      <c r="AE222" s="35"/>
      <c r="AF222" s="35"/>
      <c r="AG222" s="35"/>
      <c r="AH222" s="35"/>
      <c r="AI222" s="35"/>
      <c r="AJ222" s="16"/>
      <c r="AK222" s="16"/>
      <c r="AL222" s="16"/>
      <c r="AM222" s="17"/>
      <c r="AN222" s="16"/>
      <c r="AO222" s="75"/>
      <c r="AP222" s="75"/>
      <c r="AQ222" s="27"/>
      <c r="AR222" s="319"/>
      <c r="AS222" s="10"/>
      <c r="AT222" s="5" t="str">
        <f>IF(Tabla1015[[#This Row],[FECHA]]="","",VLOOKUP(TEXT(Tabla1015[[#This Row],[FECHA]],"[$-C0A]dddd"),Tabla2[#All],2,FALSE)&amp;"-"&amp;TEXT(Tabla1015[[#This Row],[FECHA]],"[$-C0A]dddd"))</f>
        <v/>
      </c>
      <c r="AU222" s="322">
        <f>COUNTIF($Z$4:Z222,Z222)</f>
        <v>0</v>
      </c>
    </row>
    <row r="223" spans="2:47" ht="57.75" hidden="1" customHeight="1">
      <c r="B223" s="784"/>
      <c r="C223" s="170" t="str">
        <f t="shared" si="25"/>
        <v/>
      </c>
      <c r="D223" s="264" t="str">
        <f t="shared" si="26"/>
        <v/>
      </c>
      <c r="E223" s="212" t="str">
        <f t="shared" si="27"/>
        <v/>
      </c>
      <c r="F223" s="351" t="str">
        <f t="shared" si="28"/>
        <v/>
      </c>
      <c r="G223" s="351" t="str">
        <f t="shared" si="29"/>
        <v/>
      </c>
      <c r="H223" s="228" t="str">
        <f t="shared" si="30"/>
        <v/>
      </c>
      <c r="I223" s="228" t="str">
        <f t="shared" si="31"/>
        <v/>
      </c>
      <c r="J223" s="228" t="str">
        <f t="shared" si="32"/>
        <v/>
      </c>
      <c r="K223" s="229" t="str">
        <f t="shared" si="33"/>
        <v/>
      </c>
      <c r="L223" s="204" t="str">
        <f t="shared" si="34"/>
        <v/>
      </c>
      <c r="M223" s="205" t="str">
        <f t="shared" si="35"/>
        <v/>
      </c>
      <c r="N223" s="155">
        <f t="shared" si="38"/>
        <v>7</v>
      </c>
      <c r="O223" s="159" t="str">
        <f t="shared" si="37"/>
        <v>QUEBRANTADOR DE CACAO  01 JAF INOX-7</v>
      </c>
      <c r="S223" s="184" t="str">
        <f t="shared" si="22"/>
        <v/>
      </c>
      <c r="T223" s="22"/>
      <c r="U223" s="16"/>
      <c r="V223" s="16"/>
      <c r="W223" s="23"/>
      <c r="X223" s="23"/>
      <c r="Y223" s="78"/>
      <c r="Z223" s="16"/>
      <c r="AA223" s="343" t="str">
        <f>IFERROR(VLOOKUP(Z223,DATOS!$M$2:$N$219,2,FALSE),"")</f>
        <v/>
      </c>
      <c r="AB223" s="115"/>
      <c r="AC223" s="115"/>
      <c r="AD223" s="115"/>
      <c r="AE223" s="35"/>
      <c r="AF223" s="35"/>
      <c r="AG223" s="35"/>
      <c r="AH223" s="35"/>
      <c r="AI223" s="35"/>
      <c r="AJ223" s="16"/>
      <c r="AK223" s="16"/>
      <c r="AL223" s="16"/>
      <c r="AM223" s="17"/>
      <c r="AN223" s="16"/>
      <c r="AO223" s="75"/>
      <c r="AP223" s="75"/>
      <c r="AQ223" s="27"/>
      <c r="AR223" s="319"/>
      <c r="AS223" s="10"/>
      <c r="AT223" s="5" t="str">
        <f>IF(Tabla1015[[#This Row],[FECHA]]="","",VLOOKUP(TEXT(Tabla1015[[#This Row],[FECHA]],"[$-C0A]dddd"),Tabla2[#All],2,FALSE)&amp;"-"&amp;TEXT(Tabla1015[[#This Row],[FECHA]],"[$-C0A]dddd"))</f>
        <v/>
      </c>
      <c r="AU223" s="322">
        <f>COUNTIF($Z$4:Z223,Z223)</f>
        <v>0</v>
      </c>
    </row>
    <row r="224" spans="2:47" ht="57.75" hidden="1" customHeight="1">
      <c r="B224" s="784"/>
      <c r="C224" s="170" t="str">
        <f t="shared" si="25"/>
        <v/>
      </c>
      <c r="D224" s="264" t="str">
        <f t="shared" si="26"/>
        <v/>
      </c>
      <c r="E224" s="212" t="str">
        <f t="shared" si="27"/>
        <v/>
      </c>
      <c r="F224" s="351" t="str">
        <f t="shared" si="28"/>
        <v/>
      </c>
      <c r="G224" s="351" t="str">
        <f t="shared" si="29"/>
        <v/>
      </c>
      <c r="H224" s="228" t="str">
        <f t="shared" si="30"/>
        <v/>
      </c>
      <c r="I224" s="228" t="str">
        <f t="shared" si="31"/>
        <v/>
      </c>
      <c r="J224" s="228" t="str">
        <f t="shared" si="32"/>
        <v/>
      </c>
      <c r="K224" s="229" t="str">
        <f t="shared" si="33"/>
        <v/>
      </c>
      <c r="L224" s="204" t="str">
        <f t="shared" si="34"/>
        <v/>
      </c>
      <c r="M224" s="205" t="str">
        <f t="shared" si="35"/>
        <v/>
      </c>
      <c r="N224" s="155">
        <f t="shared" si="38"/>
        <v>8</v>
      </c>
      <c r="O224" s="159" t="str">
        <f t="shared" si="37"/>
        <v>QUEBRANTADOR DE CACAO  01 JAF INOX-8</v>
      </c>
      <c r="S224" s="184" t="str">
        <f t="shared" si="22"/>
        <v/>
      </c>
      <c r="T224" s="22"/>
      <c r="U224" s="16"/>
      <c r="V224" s="16"/>
      <c r="W224" s="23"/>
      <c r="X224" s="23"/>
      <c r="Y224" s="78"/>
      <c r="Z224" s="16"/>
      <c r="AA224" s="343" t="str">
        <f>IFERROR(VLOOKUP(Z224,DATOS!$M$2:$N$219,2,FALSE),"")</f>
        <v/>
      </c>
      <c r="AB224" s="115"/>
      <c r="AC224" s="115"/>
      <c r="AD224" s="115"/>
      <c r="AE224" s="35"/>
      <c r="AF224" s="35"/>
      <c r="AG224" s="35"/>
      <c r="AH224" s="35"/>
      <c r="AI224" s="35"/>
      <c r="AJ224" s="16"/>
      <c r="AK224" s="16"/>
      <c r="AL224" s="16"/>
      <c r="AM224" s="17"/>
      <c r="AN224" s="16"/>
      <c r="AO224" s="75"/>
      <c r="AP224" s="75"/>
      <c r="AQ224" s="27"/>
      <c r="AR224" s="319"/>
      <c r="AS224" s="10"/>
      <c r="AT224" s="5" t="str">
        <f>IF(Tabla1015[[#This Row],[FECHA]]="","",VLOOKUP(TEXT(Tabla1015[[#This Row],[FECHA]],"[$-C0A]dddd"),Tabla2[#All],2,FALSE)&amp;"-"&amp;TEXT(Tabla1015[[#This Row],[FECHA]],"[$-C0A]dddd"))</f>
        <v/>
      </c>
      <c r="AU224" s="322">
        <f>COUNTIF($Z$4:Z224,Z224)</f>
        <v>0</v>
      </c>
    </row>
    <row r="225" spans="2:47" ht="57.75" hidden="1" customHeight="1">
      <c r="B225" s="784"/>
      <c r="C225" s="170" t="str">
        <f t="shared" si="25"/>
        <v/>
      </c>
      <c r="D225" s="264" t="str">
        <f t="shared" si="26"/>
        <v/>
      </c>
      <c r="E225" s="212" t="str">
        <f t="shared" si="27"/>
        <v/>
      </c>
      <c r="F225" s="351" t="str">
        <f t="shared" si="28"/>
        <v/>
      </c>
      <c r="G225" s="351" t="str">
        <f t="shared" si="29"/>
        <v/>
      </c>
      <c r="H225" s="228" t="str">
        <f t="shared" si="30"/>
        <v/>
      </c>
      <c r="I225" s="228" t="str">
        <f t="shared" si="31"/>
        <v/>
      </c>
      <c r="J225" s="228" t="str">
        <f t="shared" si="32"/>
        <v/>
      </c>
      <c r="K225" s="229" t="str">
        <f t="shared" si="33"/>
        <v/>
      </c>
      <c r="L225" s="204" t="str">
        <f t="shared" si="34"/>
        <v/>
      </c>
      <c r="M225" s="205" t="str">
        <f t="shared" si="35"/>
        <v/>
      </c>
      <c r="N225" s="155">
        <f t="shared" si="38"/>
        <v>9</v>
      </c>
      <c r="O225" s="159" t="str">
        <f t="shared" si="37"/>
        <v>QUEBRANTADOR DE CACAO  01 JAF INOX-9</v>
      </c>
      <c r="S225" s="184" t="str">
        <f t="shared" si="22"/>
        <v/>
      </c>
      <c r="T225" s="22"/>
      <c r="U225" s="16"/>
      <c r="V225" s="16"/>
      <c r="W225" s="23"/>
      <c r="X225" s="23"/>
      <c r="Y225" s="78"/>
      <c r="Z225" s="16"/>
      <c r="AA225" s="343" t="str">
        <f>IFERROR(VLOOKUP(Z225,DATOS!$M$2:$N$219,2,FALSE),"")</f>
        <v/>
      </c>
      <c r="AB225" s="115"/>
      <c r="AC225" s="115"/>
      <c r="AD225" s="115"/>
      <c r="AE225" s="35"/>
      <c r="AF225" s="35"/>
      <c r="AG225" s="35"/>
      <c r="AH225" s="35"/>
      <c r="AI225" s="35"/>
      <c r="AJ225" s="16"/>
      <c r="AK225" s="16"/>
      <c r="AL225" s="16"/>
      <c r="AM225" s="17"/>
      <c r="AN225" s="16"/>
      <c r="AO225" s="75"/>
      <c r="AP225" s="75"/>
      <c r="AQ225" s="27"/>
      <c r="AR225" s="319"/>
      <c r="AS225" s="10"/>
      <c r="AT225" s="5" t="str">
        <f>IF(Tabla1015[[#This Row],[FECHA]]="","",VLOOKUP(TEXT(Tabla1015[[#This Row],[FECHA]],"[$-C0A]dddd"),Tabla2[#All],2,FALSE)&amp;"-"&amp;TEXT(Tabla1015[[#This Row],[FECHA]],"[$-C0A]dddd"))</f>
        <v/>
      </c>
      <c r="AU225" s="322">
        <f>COUNTIF($Z$4:Z225,Z225)</f>
        <v>0</v>
      </c>
    </row>
    <row r="226" spans="2:47" ht="57.75" hidden="1" customHeight="1">
      <c r="B226" s="784"/>
      <c r="C226" s="173" t="str">
        <f t="shared" si="25"/>
        <v/>
      </c>
      <c r="D226" s="264" t="str">
        <f t="shared" si="26"/>
        <v/>
      </c>
      <c r="E226" s="212" t="str">
        <f t="shared" si="27"/>
        <v/>
      </c>
      <c r="F226" s="351" t="str">
        <f t="shared" si="28"/>
        <v/>
      </c>
      <c r="G226" s="351" t="str">
        <f t="shared" si="29"/>
        <v/>
      </c>
      <c r="H226" s="228" t="str">
        <f t="shared" si="30"/>
        <v/>
      </c>
      <c r="I226" s="228" t="str">
        <f t="shared" si="31"/>
        <v/>
      </c>
      <c r="J226" s="228" t="str">
        <f t="shared" si="32"/>
        <v/>
      </c>
      <c r="K226" s="229" t="str">
        <f t="shared" si="33"/>
        <v/>
      </c>
      <c r="L226" s="204" t="str">
        <f t="shared" si="34"/>
        <v/>
      </c>
      <c r="M226" s="205" t="str">
        <f t="shared" si="35"/>
        <v/>
      </c>
      <c r="N226" s="155">
        <f t="shared" si="38"/>
        <v>10</v>
      </c>
      <c r="O226" s="159" t="str">
        <f t="shared" si="37"/>
        <v>QUEBRANTADOR DE CACAO  01 JAF INOX-10</v>
      </c>
      <c r="S226" s="184" t="str">
        <f t="shared" si="22"/>
        <v/>
      </c>
      <c r="T226" s="22"/>
      <c r="U226" s="16"/>
      <c r="V226" s="16"/>
      <c r="W226" s="23"/>
      <c r="X226" s="23"/>
      <c r="Y226" s="78"/>
      <c r="Z226" s="16"/>
      <c r="AA226" s="343" t="str">
        <f>IFERROR(VLOOKUP(Z226,DATOS!$M$2:$N$219,2,FALSE),"")</f>
        <v/>
      </c>
      <c r="AB226" s="115"/>
      <c r="AC226" s="115"/>
      <c r="AD226" s="115"/>
      <c r="AE226" s="35"/>
      <c r="AF226" s="35"/>
      <c r="AG226" s="35"/>
      <c r="AH226" s="35"/>
      <c r="AI226" s="35"/>
      <c r="AJ226" s="16"/>
      <c r="AK226" s="16"/>
      <c r="AL226" s="16"/>
      <c r="AM226" s="17"/>
      <c r="AN226" s="16"/>
      <c r="AO226" s="75"/>
      <c r="AP226" s="75"/>
      <c r="AQ226" s="27"/>
      <c r="AR226" s="319"/>
      <c r="AS226" s="10"/>
      <c r="AT226" s="5" t="str">
        <f>IF(Tabla1015[[#This Row],[FECHA]]="","",VLOOKUP(TEXT(Tabla1015[[#This Row],[FECHA]],"[$-C0A]dddd"),Tabla2[#All],2,FALSE)&amp;"-"&amp;TEXT(Tabla1015[[#This Row],[FECHA]],"[$-C0A]dddd"))</f>
        <v/>
      </c>
      <c r="AU226" s="322">
        <f>COUNTIF($Z$4:Z226,Z226)</f>
        <v>0</v>
      </c>
    </row>
    <row r="227" spans="2:47" ht="57.75" hidden="1" customHeight="1">
      <c r="B227" s="784"/>
      <c r="C227" s="170" t="str">
        <f t="shared" si="25"/>
        <v/>
      </c>
      <c r="D227" s="264" t="str">
        <f t="shared" si="26"/>
        <v/>
      </c>
      <c r="E227" s="212" t="str">
        <f t="shared" si="27"/>
        <v/>
      </c>
      <c r="F227" s="351" t="str">
        <f t="shared" si="28"/>
        <v/>
      </c>
      <c r="G227" s="351" t="str">
        <f t="shared" si="29"/>
        <v/>
      </c>
      <c r="H227" s="228" t="str">
        <f t="shared" si="30"/>
        <v/>
      </c>
      <c r="I227" s="228" t="str">
        <f t="shared" si="31"/>
        <v/>
      </c>
      <c r="J227" s="228" t="str">
        <f t="shared" si="32"/>
        <v/>
      </c>
      <c r="K227" s="229" t="str">
        <f t="shared" si="33"/>
        <v/>
      </c>
      <c r="L227" s="204" t="str">
        <f t="shared" si="34"/>
        <v/>
      </c>
      <c r="M227" s="205" t="str">
        <f t="shared" si="35"/>
        <v/>
      </c>
      <c r="N227" s="155">
        <f>+N226+1</f>
        <v>11</v>
      </c>
      <c r="O227" s="159" t="str">
        <f t="shared" ref="O227:O234" si="39">CONCATENATE($B$217,"-",N227)</f>
        <v>QUEBRANTADOR DE CACAO  01 JAF INOX-11</v>
      </c>
      <c r="S227" s="184" t="str">
        <f t="shared" si="22"/>
        <v/>
      </c>
      <c r="T227" s="185"/>
      <c r="U227" s="182"/>
      <c r="V227" s="182"/>
      <c r="W227" s="186"/>
      <c r="X227" s="186"/>
      <c r="Y227" s="241"/>
      <c r="Z227" s="182"/>
      <c r="AA227" s="187" t="str">
        <f>IFERROR(VLOOKUP(Z227,DATOS!$M$2:$N$219,2,FALSE),"")</f>
        <v/>
      </c>
      <c r="AB227" s="182"/>
      <c r="AC227" s="182"/>
      <c r="AD227" s="182"/>
      <c r="AE227" s="182"/>
      <c r="AF227" s="182"/>
      <c r="AG227" s="181"/>
      <c r="AH227" s="181"/>
      <c r="AI227" s="181"/>
      <c r="AJ227" s="181"/>
      <c r="AK227" s="181"/>
      <c r="AL227" s="181"/>
      <c r="AM227" s="181"/>
      <c r="AN227" s="181"/>
      <c r="AO227" s="181"/>
      <c r="AP227" s="181"/>
      <c r="AQ227" s="320"/>
      <c r="AR227" s="181"/>
      <c r="AS227" s="181"/>
      <c r="AT227" s="5" t="str">
        <f>IF(Tabla1015[[#This Row],[FECHA]]="","",VLOOKUP(TEXT(Tabla1015[[#This Row],[FECHA]],"[$-C0A]dddd"),Tabla2[#All],2,FALSE)&amp;"-"&amp;TEXT(Tabla1015[[#This Row],[FECHA]],"[$-C0A]dddd"))</f>
        <v/>
      </c>
      <c r="AU227" s="322">
        <f>COUNTIF($Z$4:Z227,Z227)</f>
        <v>0</v>
      </c>
    </row>
    <row r="228" spans="2:47" ht="57.75" hidden="1" customHeight="1">
      <c r="B228" s="784"/>
      <c r="C228" s="170" t="str">
        <f t="shared" si="25"/>
        <v/>
      </c>
      <c r="D228" s="264" t="str">
        <f t="shared" si="26"/>
        <v/>
      </c>
      <c r="E228" s="212" t="str">
        <f t="shared" si="27"/>
        <v/>
      </c>
      <c r="F228" s="351" t="str">
        <f t="shared" si="28"/>
        <v/>
      </c>
      <c r="G228" s="351" t="str">
        <f t="shared" si="29"/>
        <v/>
      </c>
      <c r="H228" s="228" t="str">
        <f t="shared" si="30"/>
        <v/>
      </c>
      <c r="I228" s="228" t="str">
        <f t="shared" si="31"/>
        <v/>
      </c>
      <c r="J228" s="228" t="str">
        <f t="shared" si="32"/>
        <v/>
      </c>
      <c r="K228" s="229" t="str">
        <f t="shared" si="33"/>
        <v/>
      </c>
      <c r="L228" s="204" t="str">
        <f t="shared" si="34"/>
        <v/>
      </c>
      <c r="M228" s="205" t="str">
        <f t="shared" si="35"/>
        <v/>
      </c>
      <c r="N228" s="155">
        <f t="shared" si="38"/>
        <v>12</v>
      </c>
      <c r="O228" s="159" t="str">
        <f t="shared" si="39"/>
        <v>QUEBRANTADOR DE CACAO  01 JAF INOX-12</v>
      </c>
      <c r="S228" s="184" t="str">
        <f t="shared" si="22"/>
        <v/>
      </c>
      <c r="T228" s="185"/>
      <c r="U228" s="182"/>
      <c r="V228" s="182"/>
      <c r="W228" s="186"/>
      <c r="X228" s="186"/>
      <c r="Y228" s="241"/>
      <c r="Z228" s="182"/>
      <c r="AA228" s="187" t="str">
        <f>IFERROR(VLOOKUP(Z228,DATOS!$M$2:$N$219,2,FALSE),"")</f>
        <v/>
      </c>
      <c r="AB228" s="182"/>
      <c r="AC228" s="182"/>
      <c r="AD228" s="182"/>
      <c r="AE228" s="182"/>
      <c r="AF228" s="182"/>
      <c r="AG228" s="181"/>
      <c r="AH228" s="181"/>
      <c r="AI228" s="181"/>
      <c r="AJ228" s="181"/>
      <c r="AK228" s="181"/>
      <c r="AL228" s="181"/>
      <c r="AM228" s="181"/>
      <c r="AN228" s="181"/>
      <c r="AO228" s="181"/>
      <c r="AP228" s="181"/>
      <c r="AQ228" s="320"/>
      <c r="AR228" s="181"/>
      <c r="AS228" s="181"/>
      <c r="AT228" s="5" t="str">
        <f>IF(Tabla1015[[#This Row],[FECHA]]="","",VLOOKUP(TEXT(Tabla1015[[#This Row],[FECHA]],"[$-C0A]dddd"),Tabla2[#All],2,FALSE)&amp;"-"&amp;TEXT(Tabla1015[[#This Row],[FECHA]],"[$-C0A]dddd"))</f>
        <v/>
      </c>
      <c r="AU228" s="322">
        <f>COUNTIF($Z$4:Z228,Z228)</f>
        <v>0</v>
      </c>
    </row>
    <row r="229" spans="2:47" ht="57.75" hidden="1" customHeight="1">
      <c r="B229" s="784"/>
      <c r="C229" s="170" t="str">
        <f t="shared" si="25"/>
        <v/>
      </c>
      <c r="D229" s="264" t="str">
        <f t="shared" si="26"/>
        <v/>
      </c>
      <c r="E229" s="212" t="str">
        <f t="shared" si="27"/>
        <v/>
      </c>
      <c r="F229" s="351" t="str">
        <f t="shared" si="28"/>
        <v/>
      </c>
      <c r="G229" s="351" t="str">
        <f t="shared" si="29"/>
        <v/>
      </c>
      <c r="H229" s="228" t="str">
        <f t="shared" si="30"/>
        <v/>
      </c>
      <c r="I229" s="228" t="str">
        <f t="shared" si="31"/>
        <v/>
      </c>
      <c r="J229" s="228" t="str">
        <f t="shared" si="32"/>
        <v/>
      </c>
      <c r="K229" s="229" t="str">
        <f t="shared" si="33"/>
        <v/>
      </c>
      <c r="L229" s="204" t="str">
        <f t="shared" si="34"/>
        <v/>
      </c>
      <c r="M229" s="205" t="str">
        <f t="shared" si="35"/>
        <v/>
      </c>
      <c r="N229" s="155">
        <f t="shared" si="38"/>
        <v>13</v>
      </c>
      <c r="O229" s="159" t="str">
        <f t="shared" si="39"/>
        <v>QUEBRANTADOR DE CACAO  01 JAF INOX-13</v>
      </c>
      <c r="S229" s="184" t="str">
        <f t="shared" si="22"/>
        <v/>
      </c>
      <c r="T229" s="185"/>
      <c r="U229" s="182"/>
      <c r="V229" s="182"/>
      <c r="W229" s="186"/>
      <c r="X229" s="186"/>
      <c r="Y229" s="241"/>
      <c r="Z229" s="182"/>
      <c r="AA229" s="187" t="str">
        <f>IFERROR(VLOOKUP(Z229,DATOS!$M$2:$N$219,2,FALSE),"")</f>
        <v/>
      </c>
      <c r="AB229" s="182"/>
      <c r="AC229" s="182"/>
      <c r="AD229" s="182"/>
      <c r="AE229" s="182"/>
      <c r="AF229" s="182"/>
      <c r="AG229" s="181"/>
      <c r="AH229" s="181"/>
      <c r="AI229" s="181"/>
      <c r="AJ229" s="181"/>
      <c r="AK229" s="181"/>
      <c r="AL229" s="181"/>
      <c r="AM229" s="181"/>
      <c r="AN229" s="181"/>
      <c r="AO229" s="181"/>
      <c r="AP229" s="181"/>
      <c r="AQ229" s="320"/>
      <c r="AR229" s="181"/>
      <c r="AS229" s="181"/>
      <c r="AT229" s="5" t="str">
        <f>IF(Tabla1015[[#This Row],[FECHA]]="","",VLOOKUP(TEXT(Tabla1015[[#This Row],[FECHA]],"[$-C0A]dddd"),Tabla2[#All],2,FALSE)&amp;"-"&amp;TEXT(Tabla1015[[#This Row],[FECHA]],"[$-C0A]dddd"))</f>
        <v/>
      </c>
      <c r="AU229" s="322">
        <f>COUNTIF($Z$4:Z229,Z229)</f>
        <v>0</v>
      </c>
    </row>
    <row r="230" spans="2:47" ht="57.75" hidden="1" customHeight="1">
      <c r="B230" s="784"/>
      <c r="C230" s="170" t="str">
        <f t="shared" si="25"/>
        <v/>
      </c>
      <c r="D230" s="264" t="str">
        <f t="shared" si="26"/>
        <v/>
      </c>
      <c r="E230" s="212" t="str">
        <f t="shared" si="27"/>
        <v/>
      </c>
      <c r="F230" s="351" t="str">
        <f t="shared" si="28"/>
        <v/>
      </c>
      <c r="G230" s="351" t="str">
        <f t="shared" si="29"/>
        <v/>
      </c>
      <c r="H230" s="228" t="str">
        <f t="shared" si="30"/>
        <v/>
      </c>
      <c r="I230" s="228" t="str">
        <f t="shared" si="31"/>
        <v/>
      </c>
      <c r="J230" s="228" t="str">
        <f t="shared" si="32"/>
        <v/>
      </c>
      <c r="K230" s="229" t="str">
        <f t="shared" si="33"/>
        <v/>
      </c>
      <c r="L230" s="204" t="str">
        <f t="shared" si="34"/>
        <v/>
      </c>
      <c r="M230" s="205" t="str">
        <f t="shared" si="35"/>
        <v/>
      </c>
      <c r="N230" s="155">
        <f t="shared" si="38"/>
        <v>14</v>
      </c>
      <c r="O230" s="159" t="str">
        <f t="shared" si="39"/>
        <v>QUEBRANTADOR DE CACAO  01 JAF INOX-14</v>
      </c>
      <c r="S230" s="184" t="str">
        <f t="shared" si="22"/>
        <v/>
      </c>
      <c r="T230" s="185"/>
      <c r="U230" s="182"/>
      <c r="V230" s="182"/>
      <c r="W230" s="186"/>
      <c r="X230" s="186"/>
      <c r="Y230" s="241"/>
      <c r="Z230" s="182"/>
      <c r="AA230" s="187" t="str">
        <f>IFERROR(VLOOKUP(Z230,DATOS!$M$2:$N$219,2,FALSE),"")</f>
        <v/>
      </c>
      <c r="AB230" s="182"/>
      <c r="AC230" s="182"/>
      <c r="AD230" s="182"/>
      <c r="AE230" s="182"/>
      <c r="AF230" s="182"/>
      <c r="AG230" s="181"/>
      <c r="AH230" s="181"/>
      <c r="AI230" s="181"/>
      <c r="AJ230" s="181"/>
      <c r="AK230" s="181"/>
      <c r="AL230" s="181"/>
      <c r="AM230" s="181"/>
      <c r="AN230" s="181"/>
      <c r="AO230" s="181"/>
      <c r="AP230" s="181"/>
      <c r="AQ230" s="320"/>
      <c r="AR230" s="181"/>
      <c r="AS230" s="181"/>
      <c r="AT230" s="5" t="str">
        <f>IF(Tabla1015[[#This Row],[FECHA]]="","",VLOOKUP(TEXT(Tabla1015[[#This Row],[FECHA]],"[$-C0A]dddd"),Tabla2[#All],2,FALSE)&amp;"-"&amp;TEXT(Tabla1015[[#This Row],[FECHA]],"[$-C0A]dddd"))</f>
        <v/>
      </c>
      <c r="AU230" s="322">
        <f>COUNTIF($Z$4:Z230,Z230)</f>
        <v>0</v>
      </c>
    </row>
    <row r="231" spans="2:47" ht="57.75" hidden="1" customHeight="1">
      <c r="B231" s="784"/>
      <c r="C231" s="170" t="str">
        <f t="shared" si="25"/>
        <v/>
      </c>
      <c r="D231" s="264" t="str">
        <f t="shared" si="26"/>
        <v/>
      </c>
      <c r="E231" s="212" t="str">
        <f t="shared" si="27"/>
        <v/>
      </c>
      <c r="F231" s="351" t="str">
        <f t="shared" si="28"/>
        <v/>
      </c>
      <c r="G231" s="351" t="str">
        <f t="shared" si="29"/>
        <v/>
      </c>
      <c r="H231" s="228" t="str">
        <f t="shared" si="30"/>
        <v/>
      </c>
      <c r="I231" s="228" t="str">
        <f t="shared" si="31"/>
        <v/>
      </c>
      <c r="J231" s="228" t="str">
        <f t="shared" si="32"/>
        <v/>
      </c>
      <c r="K231" s="229" t="str">
        <f t="shared" si="33"/>
        <v/>
      </c>
      <c r="L231" s="204" t="str">
        <f t="shared" si="34"/>
        <v/>
      </c>
      <c r="M231" s="205" t="str">
        <f t="shared" si="35"/>
        <v/>
      </c>
      <c r="N231" s="155">
        <f t="shared" si="38"/>
        <v>15</v>
      </c>
      <c r="O231" s="159" t="str">
        <f t="shared" si="39"/>
        <v>QUEBRANTADOR DE CACAO  01 JAF INOX-15</v>
      </c>
      <c r="S231" s="184" t="str">
        <f t="shared" si="22"/>
        <v/>
      </c>
      <c r="T231" s="185"/>
      <c r="U231" s="182"/>
      <c r="V231" s="182"/>
      <c r="W231" s="186"/>
      <c r="X231" s="186"/>
      <c r="Y231" s="241"/>
      <c r="Z231" s="182"/>
      <c r="AA231" s="187" t="str">
        <f>IFERROR(VLOOKUP(Z231,DATOS!$M$2:$N$219,2,FALSE),"")</f>
        <v/>
      </c>
      <c r="AB231" s="182"/>
      <c r="AC231" s="182"/>
      <c r="AD231" s="182"/>
      <c r="AE231" s="182"/>
      <c r="AF231" s="182"/>
      <c r="AG231" s="181"/>
      <c r="AH231" s="181"/>
      <c r="AI231" s="181"/>
      <c r="AJ231" s="181"/>
      <c r="AK231" s="181"/>
      <c r="AL231" s="181"/>
      <c r="AM231" s="181"/>
      <c r="AN231" s="181"/>
      <c r="AO231" s="181"/>
      <c r="AP231" s="181"/>
      <c r="AQ231" s="320"/>
      <c r="AR231" s="181"/>
      <c r="AS231" s="181"/>
      <c r="AT231" s="5" t="str">
        <f>IF(Tabla1015[[#This Row],[FECHA]]="","",VLOOKUP(TEXT(Tabla1015[[#This Row],[FECHA]],"[$-C0A]dddd"),Tabla2[#All],2,FALSE)&amp;"-"&amp;TEXT(Tabla1015[[#This Row],[FECHA]],"[$-C0A]dddd"))</f>
        <v/>
      </c>
      <c r="AU231" s="322">
        <f>COUNTIF($Z$4:Z231,Z231)</f>
        <v>0</v>
      </c>
    </row>
    <row r="232" spans="2:47" ht="57.75" hidden="1" customHeight="1">
      <c r="B232" s="784"/>
      <c r="C232" s="170" t="str">
        <f t="shared" si="25"/>
        <v/>
      </c>
      <c r="D232" s="264" t="str">
        <f t="shared" si="26"/>
        <v/>
      </c>
      <c r="E232" s="212" t="str">
        <f t="shared" si="27"/>
        <v/>
      </c>
      <c r="F232" s="351" t="str">
        <f t="shared" si="28"/>
        <v/>
      </c>
      <c r="G232" s="351" t="str">
        <f t="shared" si="29"/>
        <v/>
      </c>
      <c r="H232" s="228" t="str">
        <f t="shared" si="30"/>
        <v/>
      </c>
      <c r="I232" s="228" t="str">
        <f t="shared" si="31"/>
        <v/>
      </c>
      <c r="J232" s="228" t="str">
        <f t="shared" si="32"/>
        <v/>
      </c>
      <c r="K232" s="229" t="str">
        <f t="shared" si="33"/>
        <v/>
      </c>
      <c r="L232" s="204" t="str">
        <f t="shared" si="34"/>
        <v/>
      </c>
      <c r="M232" s="205" t="str">
        <f t="shared" si="35"/>
        <v/>
      </c>
      <c r="N232" s="155">
        <f t="shared" si="38"/>
        <v>16</v>
      </c>
      <c r="O232" s="159" t="str">
        <f t="shared" si="39"/>
        <v>QUEBRANTADOR DE CACAO  01 JAF INOX-16</v>
      </c>
      <c r="S232" s="184" t="str">
        <f t="shared" si="22"/>
        <v/>
      </c>
      <c r="T232" s="185"/>
      <c r="U232" s="182"/>
      <c r="V232" s="182"/>
      <c r="W232" s="186"/>
      <c r="X232" s="186"/>
      <c r="Y232" s="241"/>
      <c r="Z232" s="182"/>
      <c r="AA232" s="187" t="str">
        <f>IFERROR(VLOOKUP(Z232,DATOS!$M$2:$N$219,2,FALSE),"")</f>
        <v/>
      </c>
      <c r="AB232" s="182"/>
      <c r="AC232" s="182"/>
      <c r="AD232" s="182"/>
      <c r="AE232" s="182"/>
      <c r="AF232" s="182"/>
      <c r="AG232" s="181"/>
      <c r="AH232" s="181"/>
      <c r="AI232" s="181"/>
      <c r="AJ232" s="181"/>
      <c r="AK232" s="181"/>
      <c r="AL232" s="181"/>
      <c r="AM232" s="181"/>
      <c r="AN232" s="181"/>
      <c r="AO232" s="181"/>
      <c r="AP232" s="181"/>
      <c r="AQ232" s="320"/>
      <c r="AR232" s="181"/>
      <c r="AS232" s="181"/>
      <c r="AT232" s="5" t="str">
        <f>IF(Tabla1015[[#This Row],[FECHA]]="","",VLOOKUP(TEXT(Tabla1015[[#This Row],[FECHA]],"[$-C0A]dddd"),Tabla2[#All],2,FALSE)&amp;"-"&amp;TEXT(Tabla1015[[#This Row],[FECHA]],"[$-C0A]dddd"))</f>
        <v/>
      </c>
      <c r="AU232" s="322">
        <f>COUNTIF($Z$4:Z232,Z232)</f>
        <v>0</v>
      </c>
    </row>
    <row r="233" spans="2:47" ht="57.75" hidden="1" customHeight="1">
      <c r="B233" s="784"/>
      <c r="C233" s="170" t="str">
        <f t="shared" si="25"/>
        <v/>
      </c>
      <c r="D233" s="264" t="str">
        <f t="shared" si="26"/>
        <v/>
      </c>
      <c r="E233" s="212" t="str">
        <f t="shared" si="27"/>
        <v/>
      </c>
      <c r="F233" s="351" t="str">
        <f t="shared" si="28"/>
        <v/>
      </c>
      <c r="G233" s="351" t="str">
        <f t="shared" si="29"/>
        <v/>
      </c>
      <c r="H233" s="228" t="str">
        <f t="shared" si="30"/>
        <v/>
      </c>
      <c r="I233" s="228" t="str">
        <f t="shared" si="31"/>
        <v/>
      </c>
      <c r="J233" s="228" t="str">
        <f t="shared" si="32"/>
        <v/>
      </c>
      <c r="K233" s="229" t="str">
        <f t="shared" si="33"/>
        <v/>
      </c>
      <c r="L233" s="204" t="str">
        <f t="shared" si="34"/>
        <v/>
      </c>
      <c r="M233" s="205" t="str">
        <f t="shared" si="35"/>
        <v/>
      </c>
      <c r="N233" s="155">
        <f t="shared" si="38"/>
        <v>17</v>
      </c>
      <c r="O233" s="159" t="str">
        <f t="shared" si="39"/>
        <v>QUEBRANTADOR DE CACAO  01 JAF INOX-17</v>
      </c>
      <c r="S233" s="184" t="str">
        <f t="shared" si="22"/>
        <v/>
      </c>
      <c r="T233" s="185"/>
      <c r="U233" s="182"/>
      <c r="V233" s="182"/>
      <c r="W233" s="186"/>
      <c r="X233" s="186"/>
      <c r="Y233" s="241"/>
      <c r="Z233" s="182"/>
      <c r="AA233" s="187" t="str">
        <f>IFERROR(VLOOKUP(Z233,DATOS!$M$2:$N$219,2,FALSE),"")</f>
        <v/>
      </c>
      <c r="AB233" s="182"/>
      <c r="AC233" s="182"/>
      <c r="AD233" s="182"/>
      <c r="AE233" s="182"/>
      <c r="AF233" s="182"/>
      <c r="AG233" s="181"/>
      <c r="AH233" s="181"/>
      <c r="AI233" s="181"/>
      <c r="AJ233" s="181"/>
      <c r="AK233" s="181"/>
      <c r="AL233" s="181"/>
      <c r="AM233" s="181"/>
      <c r="AN233" s="181"/>
      <c r="AO233" s="181"/>
      <c r="AP233" s="181"/>
      <c r="AQ233" s="320"/>
      <c r="AR233" s="181"/>
      <c r="AS233" s="181"/>
      <c r="AT233" s="5" t="str">
        <f>IF(Tabla1015[[#This Row],[FECHA]]="","",VLOOKUP(TEXT(Tabla1015[[#This Row],[FECHA]],"[$-C0A]dddd"),Tabla2[#All],2,FALSE)&amp;"-"&amp;TEXT(Tabla1015[[#This Row],[FECHA]],"[$-C0A]dddd"))</f>
        <v/>
      </c>
      <c r="AU233" s="322">
        <f>COUNTIF($Z$4:Z233,Z233)</f>
        <v>0</v>
      </c>
    </row>
    <row r="234" spans="2:47" ht="57.75" hidden="1" customHeight="1">
      <c r="B234" s="785"/>
      <c r="C234" s="170" t="str">
        <f t="shared" si="25"/>
        <v/>
      </c>
      <c r="D234" s="265" t="str">
        <f t="shared" si="26"/>
        <v/>
      </c>
      <c r="E234" s="213" t="str">
        <f t="shared" si="27"/>
        <v/>
      </c>
      <c r="F234" s="352" t="str">
        <f t="shared" si="28"/>
        <v/>
      </c>
      <c r="G234" s="352" t="str">
        <f t="shared" si="29"/>
        <v/>
      </c>
      <c r="H234" s="230" t="str">
        <f t="shared" si="30"/>
        <v/>
      </c>
      <c r="I234" s="230" t="str">
        <f t="shared" si="31"/>
        <v/>
      </c>
      <c r="J234" s="230" t="str">
        <f t="shared" si="32"/>
        <v/>
      </c>
      <c r="K234" s="231" t="str">
        <f t="shared" si="33"/>
        <v/>
      </c>
      <c r="L234" s="207" t="str">
        <f t="shared" si="34"/>
        <v/>
      </c>
      <c r="M234" s="208" t="str">
        <f t="shared" si="35"/>
        <v/>
      </c>
      <c r="N234" s="160">
        <f t="shared" si="38"/>
        <v>18</v>
      </c>
      <c r="O234" s="161" t="str">
        <f t="shared" si="39"/>
        <v>QUEBRANTADOR DE CACAO  01 JAF INOX-18</v>
      </c>
      <c r="S234" s="184" t="str">
        <f t="shared" si="22"/>
        <v/>
      </c>
      <c r="T234" s="185"/>
      <c r="U234" s="182"/>
      <c r="V234" s="182"/>
      <c r="W234" s="186"/>
      <c r="X234" s="186"/>
      <c r="Y234" s="241"/>
      <c r="Z234" s="182"/>
      <c r="AA234" s="187" t="str">
        <f>IFERROR(VLOOKUP(Z234,DATOS!$M$2:$N$219,2,FALSE),"")</f>
        <v/>
      </c>
      <c r="AB234" s="182"/>
      <c r="AC234" s="182"/>
      <c r="AD234" s="182"/>
      <c r="AE234" s="182"/>
      <c r="AF234" s="182"/>
      <c r="AG234" s="181"/>
      <c r="AH234" s="181"/>
      <c r="AI234" s="181"/>
      <c r="AJ234" s="181"/>
      <c r="AK234" s="181"/>
      <c r="AL234" s="181"/>
      <c r="AM234" s="181"/>
      <c r="AN234" s="181"/>
      <c r="AO234" s="181"/>
      <c r="AP234" s="181"/>
      <c r="AQ234" s="320"/>
      <c r="AR234" s="181"/>
      <c r="AS234" s="181"/>
      <c r="AT234" s="5" t="str">
        <f>IF(Tabla1015[[#This Row],[FECHA]]="","",VLOOKUP(TEXT(Tabla1015[[#This Row],[FECHA]],"[$-C0A]dddd"),Tabla2[#All],2,FALSE)&amp;"-"&amp;TEXT(Tabla1015[[#This Row],[FECHA]],"[$-C0A]dddd"))</f>
        <v/>
      </c>
      <c r="AU234" s="322">
        <f>COUNTIF($Z$4:Z234,Z234)</f>
        <v>0</v>
      </c>
    </row>
    <row r="235" spans="2:47" ht="57.75" customHeight="1">
      <c r="B235" s="786" t="str">
        <f>+'TABLA RES-SEMANA'!B73</f>
        <v>ENVASADORA TEPACK</v>
      </c>
      <c r="C235" s="169" t="str">
        <f t="shared" si="25"/>
        <v>Maquinaria</v>
      </c>
      <c r="D235" s="266">
        <f t="shared" si="26"/>
        <v>45946</v>
      </c>
      <c r="E235" s="214" t="str">
        <f t="shared" si="27"/>
        <v>NOCHE</v>
      </c>
      <c r="F235" s="354" t="str">
        <f t="shared" si="28"/>
        <v>21:45</v>
      </c>
      <c r="G235" s="354" t="str">
        <f t="shared" si="29"/>
        <v>22:00</v>
      </c>
      <c r="H235" s="234">
        <f t="shared" si="30"/>
        <v>1.041666666666663E-2</v>
      </c>
      <c r="I235" s="234" t="str">
        <f t="shared" si="31"/>
        <v>SET UP</v>
      </c>
      <c r="J235" s="234" t="str">
        <f t="shared" si="32"/>
        <v>PROGRAMADA</v>
      </c>
      <c r="K235" s="235" t="str">
        <f t="shared" si="33"/>
        <v/>
      </c>
      <c r="L235" s="215" t="str">
        <f t="shared" si="34"/>
        <v>Fallo en impresor, rotura de cinta</v>
      </c>
      <c r="M235" s="216" t="str">
        <f t="shared" si="35"/>
        <v>Se coloco cinta , se restableció impresor y se hizo pruebas</v>
      </c>
      <c r="N235" s="73">
        <v>1</v>
      </c>
      <c r="O235" s="154" t="str">
        <f>CONCATENATE($B$235,"-",N235)</f>
        <v>ENVASADORA TEPACK-1</v>
      </c>
      <c r="P235" s="91">
        <f>COUNTIF(H235:H244,"&lt;&gt;**")</f>
        <v>3</v>
      </c>
      <c r="S235" s="184" t="str">
        <f t="shared" si="22"/>
        <v/>
      </c>
      <c r="T235" s="22"/>
      <c r="U235" s="16"/>
      <c r="V235" s="16"/>
      <c r="W235" s="23"/>
      <c r="X235" s="23"/>
      <c r="Y235" s="78"/>
      <c r="Z235" s="16"/>
      <c r="AA235" s="343" t="str">
        <f>IFERROR(VLOOKUP(Z235,DATOS!$M$2:$N$219,2,FALSE),"")</f>
        <v/>
      </c>
      <c r="AB235" s="115"/>
      <c r="AC235" s="115"/>
      <c r="AD235" s="115"/>
      <c r="AE235" s="35"/>
      <c r="AF235" s="35"/>
      <c r="AG235" s="35"/>
      <c r="AH235" s="35"/>
      <c r="AI235" s="35"/>
      <c r="AJ235" s="16"/>
      <c r="AK235" s="16"/>
      <c r="AL235" s="16"/>
      <c r="AM235" s="17"/>
      <c r="AN235" s="16"/>
      <c r="AO235" s="75"/>
      <c r="AP235" s="75"/>
      <c r="AQ235" s="27"/>
      <c r="AR235" s="319"/>
      <c r="AS235" s="10"/>
      <c r="AT235" s="5" t="str">
        <f>IF(Tabla1015[[#This Row],[FECHA]]="","",VLOOKUP(TEXT(Tabla1015[[#This Row],[FECHA]],"[$-C0A]dddd"),Tabla2[#All],2,FALSE)&amp;"-"&amp;TEXT(Tabla1015[[#This Row],[FECHA]],"[$-C0A]dddd"))</f>
        <v/>
      </c>
      <c r="AU235" s="322">
        <f>COUNTIF($Z$4:Z235,Z235)</f>
        <v>0</v>
      </c>
    </row>
    <row r="236" spans="2:47" ht="57.75" customHeight="1">
      <c r="B236" s="784"/>
      <c r="C236" s="72" t="str">
        <f t="shared" si="25"/>
        <v>Maquinaria</v>
      </c>
      <c r="D236" s="258">
        <f t="shared" si="26"/>
        <v>45947</v>
      </c>
      <c r="E236" s="194" t="str">
        <f t="shared" si="27"/>
        <v>NOCHE</v>
      </c>
      <c r="F236" s="348" t="str">
        <f t="shared" si="28"/>
        <v>00:15</v>
      </c>
      <c r="G236" s="348" t="str">
        <f t="shared" si="29"/>
        <v>00:35</v>
      </c>
      <c r="H236" s="222">
        <f t="shared" si="30"/>
        <v>1.388888888888889E-2</v>
      </c>
      <c r="I236" s="222" t="str">
        <f t="shared" si="31"/>
        <v>Inspección</v>
      </c>
      <c r="J236" s="222" t="str">
        <f t="shared" si="32"/>
        <v>PROGRAMADA</v>
      </c>
      <c r="K236" s="223" t="str">
        <f t="shared" si="33"/>
        <v/>
      </c>
      <c r="L236" s="195" t="str">
        <f t="shared" si="34"/>
        <v xml:space="preserve">Inspección de funcionamiento </v>
      </c>
      <c r="M236" s="196" t="str">
        <f t="shared" si="35"/>
        <v/>
      </c>
      <c r="N236" s="120">
        <f>+N235+1</f>
        <v>2</v>
      </c>
      <c r="O236" s="125" t="str">
        <f t="shared" ref="O236:O244" si="40">CONCATENATE($B$235,"-",N236)</f>
        <v>ENVASADORA TEPACK-2</v>
      </c>
      <c r="S236" s="184" t="str">
        <f t="shared" si="22"/>
        <v/>
      </c>
      <c r="T236" s="22"/>
      <c r="U236" s="16"/>
      <c r="V236" s="16"/>
      <c r="W236" s="23"/>
      <c r="X236" s="23"/>
      <c r="Y236" s="78"/>
      <c r="Z236" s="16"/>
      <c r="AA236" s="343" t="str">
        <f>IFERROR(VLOOKUP(Z236,DATOS!$M$2:$N$219,2,FALSE),"")</f>
        <v/>
      </c>
      <c r="AB236" s="115"/>
      <c r="AC236" s="115"/>
      <c r="AD236" s="115"/>
      <c r="AE236" s="35"/>
      <c r="AF236" s="35"/>
      <c r="AG236" s="35"/>
      <c r="AH236" s="35"/>
      <c r="AI236" s="35"/>
      <c r="AJ236" s="16"/>
      <c r="AK236" s="16"/>
      <c r="AL236" s="16"/>
      <c r="AM236" s="17"/>
      <c r="AN236" s="16"/>
      <c r="AO236" s="75"/>
      <c r="AP236" s="75"/>
      <c r="AQ236" s="27"/>
      <c r="AR236" s="319"/>
      <c r="AS236" s="10"/>
      <c r="AT236" s="5" t="str">
        <f>IF(Tabla1015[[#This Row],[FECHA]]="","",VLOOKUP(TEXT(Tabla1015[[#This Row],[FECHA]],"[$-C0A]dddd"),Tabla2[#All],2,FALSE)&amp;"-"&amp;TEXT(Tabla1015[[#This Row],[FECHA]],"[$-C0A]dddd"))</f>
        <v/>
      </c>
      <c r="AU236" s="322">
        <f>COUNTIF($Z$4:Z236,Z236)</f>
        <v>0</v>
      </c>
    </row>
    <row r="237" spans="2:47" ht="57.75" customHeight="1">
      <c r="B237" s="784"/>
      <c r="C237" s="72" t="str">
        <f t="shared" si="25"/>
        <v>Maquinaria</v>
      </c>
      <c r="D237" s="258">
        <f t="shared" si="26"/>
        <v>45947</v>
      </c>
      <c r="E237" s="194" t="str">
        <f t="shared" si="27"/>
        <v>TARDE</v>
      </c>
      <c r="F237" s="348" t="str">
        <f t="shared" si="28"/>
        <v>18:20</v>
      </c>
      <c r="G237" s="348" t="str">
        <f t="shared" si="29"/>
        <v>18:49</v>
      </c>
      <c r="H237" s="222">
        <f t="shared" si="30"/>
        <v>2.0138888888888928E-2</v>
      </c>
      <c r="I237" s="222" t="str">
        <f t="shared" si="31"/>
        <v>Ajuste /Calibracion</v>
      </c>
      <c r="J237" s="222" t="str">
        <f t="shared" si="32"/>
        <v>NO PROGRAMADA</v>
      </c>
      <c r="K237" s="223" t="str">
        <f t="shared" si="33"/>
        <v>MECÁNICA</v>
      </c>
      <c r="L237" s="195" t="str">
        <f t="shared" si="34"/>
        <v>Problemas en el envasado de producto</v>
      </c>
      <c r="M237" s="196" t="str">
        <f t="shared" si="35"/>
        <v xml:space="preserve">Se reviso funcionamiento y se regulo brazos de salida </v>
      </c>
      <c r="N237" s="120">
        <f t="shared" ref="N237:N244" si="41">+N236+1</f>
        <v>3</v>
      </c>
      <c r="O237" s="125" t="str">
        <f t="shared" si="40"/>
        <v>ENVASADORA TEPACK-3</v>
      </c>
      <c r="S237" s="184" t="str">
        <f t="shared" si="22"/>
        <v/>
      </c>
      <c r="T237" s="22"/>
      <c r="U237" s="16"/>
      <c r="V237" s="16"/>
      <c r="W237" s="23"/>
      <c r="X237" s="23"/>
      <c r="Y237" s="78"/>
      <c r="Z237" s="16"/>
      <c r="AA237" s="343" t="str">
        <f>IFERROR(VLOOKUP(Z237,DATOS!$M$2:$N$219,2,FALSE),"")</f>
        <v/>
      </c>
      <c r="AB237" s="115"/>
      <c r="AC237" s="115"/>
      <c r="AD237" s="115"/>
      <c r="AE237" s="35"/>
      <c r="AF237" s="35"/>
      <c r="AG237" s="35"/>
      <c r="AH237" s="35"/>
      <c r="AI237" s="35"/>
      <c r="AJ237" s="16"/>
      <c r="AK237" s="16"/>
      <c r="AL237" s="16"/>
      <c r="AM237" s="17"/>
      <c r="AN237" s="16"/>
      <c r="AO237" s="75"/>
      <c r="AP237" s="75"/>
      <c r="AQ237" s="27"/>
      <c r="AR237" s="319"/>
      <c r="AS237" s="10"/>
      <c r="AT237" s="5" t="str">
        <f>IF(Tabla1015[[#This Row],[FECHA]]="","",VLOOKUP(TEXT(Tabla1015[[#This Row],[FECHA]],"[$-C0A]dddd"),Tabla2[#All],2,FALSE)&amp;"-"&amp;TEXT(Tabla1015[[#This Row],[FECHA]],"[$-C0A]dddd"))</f>
        <v/>
      </c>
      <c r="AU237" s="322">
        <f>COUNTIF($Z$4:Z237,Z237)</f>
        <v>0</v>
      </c>
    </row>
    <row r="238" spans="2:47" ht="57.75" hidden="1" customHeight="1">
      <c r="B238" s="784"/>
      <c r="C238" s="72" t="str">
        <f t="shared" si="25"/>
        <v/>
      </c>
      <c r="D238" s="258" t="str">
        <f t="shared" si="26"/>
        <v/>
      </c>
      <c r="E238" s="194" t="str">
        <f t="shared" si="27"/>
        <v/>
      </c>
      <c r="F238" s="348" t="str">
        <f t="shared" si="28"/>
        <v/>
      </c>
      <c r="G238" s="348" t="str">
        <f t="shared" si="29"/>
        <v/>
      </c>
      <c r="H238" s="222" t="str">
        <f t="shared" si="30"/>
        <v/>
      </c>
      <c r="I238" s="222" t="str">
        <f t="shared" si="31"/>
        <v/>
      </c>
      <c r="J238" s="222" t="str">
        <f t="shared" si="32"/>
        <v/>
      </c>
      <c r="K238" s="223" t="str">
        <f t="shared" si="33"/>
        <v/>
      </c>
      <c r="L238" s="195" t="str">
        <f t="shared" si="34"/>
        <v/>
      </c>
      <c r="M238" s="196" t="str">
        <f t="shared" si="35"/>
        <v/>
      </c>
      <c r="N238" s="120">
        <f t="shared" si="41"/>
        <v>4</v>
      </c>
      <c r="O238" s="125" t="str">
        <f t="shared" si="40"/>
        <v>ENVASADORA TEPACK-4</v>
      </c>
      <c r="S238" s="184" t="str">
        <f t="shared" si="22"/>
        <v/>
      </c>
      <c r="T238" s="22"/>
      <c r="U238" s="16"/>
      <c r="V238" s="16"/>
      <c r="W238" s="23"/>
      <c r="X238" s="23"/>
      <c r="Y238" s="78"/>
      <c r="Z238" s="16"/>
      <c r="AA238" s="343" t="str">
        <f>IFERROR(VLOOKUP(Z238,DATOS!$M$2:$N$219,2,FALSE),"")</f>
        <v/>
      </c>
      <c r="AB238" s="115"/>
      <c r="AC238" s="115"/>
      <c r="AD238" s="115"/>
      <c r="AE238" s="35"/>
      <c r="AF238" s="35"/>
      <c r="AG238" s="35"/>
      <c r="AH238" s="35"/>
      <c r="AI238" s="35"/>
      <c r="AJ238" s="16"/>
      <c r="AK238" s="16"/>
      <c r="AL238" s="16"/>
      <c r="AM238" s="17"/>
      <c r="AN238" s="16"/>
      <c r="AO238" s="75"/>
      <c r="AP238" s="75"/>
      <c r="AQ238" s="27"/>
      <c r="AR238" s="319"/>
      <c r="AS238" s="10"/>
      <c r="AT238" s="5" t="str">
        <f>IF(Tabla1015[[#This Row],[FECHA]]="","",VLOOKUP(TEXT(Tabla1015[[#This Row],[FECHA]],"[$-C0A]dddd"),Tabla2[#All],2,FALSE)&amp;"-"&amp;TEXT(Tabla1015[[#This Row],[FECHA]],"[$-C0A]dddd"))</f>
        <v/>
      </c>
      <c r="AU238" s="322">
        <f>COUNTIF($Z$4:Z238,Z238)</f>
        <v>0</v>
      </c>
    </row>
    <row r="239" spans="2:47" ht="57.75" hidden="1" customHeight="1">
      <c r="B239" s="784"/>
      <c r="C239" s="72" t="str">
        <f t="shared" si="25"/>
        <v/>
      </c>
      <c r="D239" s="258" t="str">
        <f t="shared" si="26"/>
        <v/>
      </c>
      <c r="E239" s="194" t="str">
        <f t="shared" si="27"/>
        <v/>
      </c>
      <c r="F239" s="348" t="str">
        <f t="shared" si="28"/>
        <v/>
      </c>
      <c r="G239" s="348" t="str">
        <f t="shared" si="29"/>
        <v/>
      </c>
      <c r="H239" s="222" t="str">
        <f t="shared" si="30"/>
        <v/>
      </c>
      <c r="I239" s="222" t="str">
        <f t="shared" si="31"/>
        <v/>
      </c>
      <c r="J239" s="222" t="str">
        <f t="shared" si="32"/>
        <v/>
      </c>
      <c r="K239" s="223" t="str">
        <f t="shared" si="33"/>
        <v/>
      </c>
      <c r="L239" s="195" t="str">
        <f t="shared" si="34"/>
        <v/>
      </c>
      <c r="M239" s="196" t="str">
        <f t="shared" si="35"/>
        <v/>
      </c>
      <c r="N239" s="120">
        <f t="shared" si="41"/>
        <v>5</v>
      </c>
      <c r="O239" s="125" t="str">
        <f t="shared" si="40"/>
        <v>ENVASADORA TEPACK-5</v>
      </c>
      <c r="S239" s="184" t="str">
        <f t="shared" si="22"/>
        <v/>
      </c>
      <c r="T239" s="22"/>
      <c r="U239" s="16"/>
      <c r="V239" s="16"/>
      <c r="W239" s="23"/>
      <c r="X239" s="23"/>
      <c r="Y239" s="78"/>
      <c r="Z239" s="16"/>
      <c r="AA239" s="343" t="str">
        <f>IFERROR(VLOOKUP(Z239,DATOS!$M$2:$N$219,2,FALSE),"")</f>
        <v/>
      </c>
      <c r="AB239" s="115"/>
      <c r="AC239" s="115"/>
      <c r="AD239" s="115"/>
      <c r="AE239" s="35"/>
      <c r="AF239" s="35"/>
      <c r="AG239" s="35"/>
      <c r="AH239" s="35"/>
      <c r="AI239" s="35"/>
      <c r="AJ239" s="16"/>
      <c r="AK239" s="16"/>
      <c r="AL239" s="16"/>
      <c r="AM239" s="17"/>
      <c r="AN239" s="16"/>
      <c r="AO239" s="75"/>
      <c r="AP239" s="75"/>
      <c r="AQ239" s="27"/>
      <c r="AR239" s="319"/>
      <c r="AS239" s="10"/>
      <c r="AT239" s="5" t="str">
        <f>IF(Tabla1015[[#This Row],[FECHA]]="","",VLOOKUP(TEXT(Tabla1015[[#This Row],[FECHA]],"[$-C0A]dddd"),Tabla2[#All],2,FALSE)&amp;"-"&amp;TEXT(Tabla1015[[#This Row],[FECHA]],"[$-C0A]dddd"))</f>
        <v/>
      </c>
      <c r="AU239" s="322">
        <f>COUNTIF($Z$4:Z239,Z239)</f>
        <v>0</v>
      </c>
    </row>
    <row r="240" spans="2:47" ht="57.75" hidden="1" customHeight="1">
      <c r="B240" s="784"/>
      <c r="C240" s="72" t="str">
        <f t="shared" si="25"/>
        <v/>
      </c>
      <c r="D240" s="258" t="str">
        <f t="shared" si="26"/>
        <v/>
      </c>
      <c r="E240" s="194" t="str">
        <f t="shared" si="27"/>
        <v/>
      </c>
      <c r="F240" s="348" t="str">
        <f t="shared" si="28"/>
        <v/>
      </c>
      <c r="G240" s="348" t="str">
        <f t="shared" si="29"/>
        <v/>
      </c>
      <c r="H240" s="222" t="str">
        <f t="shared" si="30"/>
        <v/>
      </c>
      <c r="I240" s="222" t="str">
        <f t="shared" si="31"/>
        <v/>
      </c>
      <c r="J240" s="222" t="str">
        <f t="shared" si="32"/>
        <v/>
      </c>
      <c r="K240" s="223" t="str">
        <f t="shared" si="33"/>
        <v/>
      </c>
      <c r="L240" s="195" t="str">
        <f t="shared" si="34"/>
        <v/>
      </c>
      <c r="M240" s="196" t="str">
        <f t="shared" si="35"/>
        <v/>
      </c>
      <c r="N240" s="120">
        <f t="shared" si="41"/>
        <v>6</v>
      </c>
      <c r="O240" s="125" t="str">
        <f t="shared" si="40"/>
        <v>ENVASADORA TEPACK-6</v>
      </c>
      <c r="S240" s="184" t="str">
        <f t="shared" si="22"/>
        <v/>
      </c>
      <c r="T240" s="22"/>
      <c r="U240" s="16"/>
      <c r="V240" s="16"/>
      <c r="W240" s="23"/>
      <c r="X240" s="23"/>
      <c r="Y240" s="78"/>
      <c r="Z240" s="16"/>
      <c r="AA240" s="343" t="str">
        <f>IFERROR(VLOOKUP(Z240,DATOS!$M$2:$N$219,2,FALSE),"")</f>
        <v/>
      </c>
      <c r="AB240" s="115"/>
      <c r="AC240" s="115"/>
      <c r="AD240" s="115"/>
      <c r="AE240" s="35"/>
      <c r="AF240" s="35"/>
      <c r="AG240" s="35"/>
      <c r="AH240" s="35"/>
      <c r="AI240" s="35"/>
      <c r="AJ240" s="16"/>
      <c r="AK240" s="16"/>
      <c r="AL240" s="16"/>
      <c r="AM240" s="17"/>
      <c r="AN240" s="16"/>
      <c r="AO240" s="75"/>
      <c r="AP240" s="75"/>
      <c r="AQ240" s="27"/>
      <c r="AR240" s="319"/>
      <c r="AS240" s="10"/>
      <c r="AT240" s="5" t="str">
        <f>IF(Tabla1015[[#This Row],[FECHA]]="","",VLOOKUP(TEXT(Tabla1015[[#This Row],[FECHA]],"[$-C0A]dddd"),Tabla2[#All],2,FALSE)&amp;"-"&amp;TEXT(Tabla1015[[#This Row],[FECHA]],"[$-C0A]dddd"))</f>
        <v/>
      </c>
      <c r="AU240" s="322">
        <f>COUNTIF($Z$4:Z240,Z240)</f>
        <v>0</v>
      </c>
    </row>
    <row r="241" spans="2:47" ht="57.75" hidden="1" customHeight="1">
      <c r="B241" s="784"/>
      <c r="C241" s="72" t="str">
        <f t="shared" si="25"/>
        <v/>
      </c>
      <c r="D241" s="258" t="str">
        <f t="shared" si="26"/>
        <v/>
      </c>
      <c r="E241" s="194" t="str">
        <f t="shared" si="27"/>
        <v/>
      </c>
      <c r="F241" s="348" t="str">
        <f t="shared" si="28"/>
        <v/>
      </c>
      <c r="G241" s="348" t="str">
        <f t="shared" si="29"/>
        <v/>
      </c>
      <c r="H241" s="222" t="str">
        <f t="shared" si="30"/>
        <v/>
      </c>
      <c r="I241" s="222" t="str">
        <f t="shared" si="31"/>
        <v/>
      </c>
      <c r="J241" s="222" t="str">
        <f t="shared" si="32"/>
        <v/>
      </c>
      <c r="K241" s="223" t="str">
        <f t="shared" si="33"/>
        <v/>
      </c>
      <c r="L241" s="195" t="str">
        <f t="shared" si="34"/>
        <v/>
      </c>
      <c r="M241" s="196" t="str">
        <f t="shared" si="35"/>
        <v/>
      </c>
      <c r="N241" s="120">
        <f t="shared" si="41"/>
        <v>7</v>
      </c>
      <c r="O241" s="125" t="str">
        <f t="shared" si="40"/>
        <v>ENVASADORA TEPACK-7</v>
      </c>
      <c r="S241" s="184" t="str">
        <f t="shared" si="22"/>
        <v/>
      </c>
      <c r="T241" s="185"/>
      <c r="U241" s="182"/>
      <c r="V241" s="182"/>
      <c r="W241" s="186"/>
      <c r="X241" s="186"/>
      <c r="Y241" s="240"/>
      <c r="Z241" s="182"/>
      <c r="AA241" s="187" t="str">
        <f>IFERROR(VLOOKUP(Z241,DATOS!$M$2:$N$219,2,FALSE),"")</f>
        <v/>
      </c>
      <c r="AB241" s="182"/>
      <c r="AC241" s="182"/>
      <c r="AD241" s="182"/>
      <c r="AE241" s="182"/>
      <c r="AF241" s="182"/>
      <c r="AG241" s="181"/>
      <c r="AH241" s="181"/>
      <c r="AI241" s="181"/>
      <c r="AJ241" s="181"/>
      <c r="AK241" s="181"/>
      <c r="AL241" s="181"/>
      <c r="AM241" s="181"/>
      <c r="AN241" s="181"/>
      <c r="AO241" s="181"/>
      <c r="AP241" s="181"/>
      <c r="AQ241" s="320"/>
      <c r="AR241" s="181"/>
      <c r="AS241" s="181"/>
      <c r="AT241" s="5" t="str">
        <f>IF(Tabla1015[[#This Row],[FECHA]]="","",VLOOKUP(TEXT(Tabla1015[[#This Row],[FECHA]],"[$-C0A]dddd"),Tabla2[#All],2,FALSE)&amp;"-"&amp;TEXT(Tabla1015[[#This Row],[FECHA]],"[$-C0A]dddd"))</f>
        <v/>
      </c>
      <c r="AU241" s="322">
        <f>COUNTIF($Z$4:Z241,Z241)</f>
        <v>0</v>
      </c>
    </row>
    <row r="242" spans="2:47" ht="57.75" hidden="1" customHeight="1">
      <c r="B242" s="784"/>
      <c r="C242" s="72" t="str">
        <f t="shared" si="25"/>
        <v/>
      </c>
      <c r="D242" s="258" t="str">
        <f t="shared" si="26"/>
        <v/>
      </c>
      <c r="E242" s="194" t="str">
        <f t="shared" si="27"/>
        <v/>
      </c>
      <c r="F242" s="348" t="str">
        <f t="shared" si="28"/>
        <v/>
      </c>
      <c r="G242" s="348" t="str">
        <f t="shared" si="29"/>
        <v/>
      </c>
      <c r="H242" s="222" t="str">
        <f t="shared" si="30"/>
        <v/>
      </c>
      <c r="I242" s="222" t="str">
        <f t="shared" si="31"/>
        <v/>
      </c>
      <c r="J242" s="222" t="str">
        <f t="shared" si="32"/>
        <v/>
      </c>
      <c r="K242" s="223" t="str">
        <f t="shared" si="33"/>
        <v/>
      </c>
      <c r="L242" s="195" t="str">
        <f t="shared" si="34"/>
        <v/>
      </c>
      <c r="M242" s="196" t="str">
        <f t="shared" si="35"/>
        <v/>
      </c>
      <c r="N242" s="120">
        <f t="shared" si="41"/>
        <v>8</v>
      </c>
      <c r="O242" s="125" t="str">
        <f t="shared" si="40"/>
        <v>ENVASADORA TEPACK-8</v>
      </c>
      <c r="S242" s="184" t="str">
        <f t="shared" si="22"/>
        <v/>
      </c>
      <c r="T242" s="185"/>
      <c r="U242" s="182"/>
      <c r="V242" s="182"/>
      <c r="W242" s="186"/>
      <c r="X242" s="186"/>
      <c r="Y242" s="241"/>
      <c r="Z242" s="182"/>
      <c r="AA242" s="187" t="str">
        <f>IFERROR(VLOOKUP(Z242,DATOS!$M$2:$N$219,2,FALSE),"")</f>
        <v/>
      </c>
      <c r="AB242" s="182"/>
      <c r="AC242" s="182"/>
      <c r="AD242" s="182"/>
      <c r="AE242" s="182"/>
      <c r="AF242" s="182"/>
      <c r="AG242" s="181"/>
      <c r="AH242" s="181"/>
      <c r="AI242" s="181"/>
      <c r="AJ242" s="181"/>
      <c r="AK242" s="181"/>
      <c r="AL242" s="181"/>
      <c r="AM242" s="181"/>
      <c r="AN242" s="181"/>
      <c r="AO242" s="181"/>
      <c r="AP242" s="181"/>
      <c r="AQ242" s="320"/>
      <c r="AR242" s="181"/>
      <c r="AS242" s="181"/>
      <c r="AT242" s="5" t="str">
        <f>IF(Tabla1015[[#This Row],[FECHA]]="","",VLOOKUP(TEXT(Tabla1015[[#This Row],[FECHA]],"[$-C0A]dddd"),Tabla2[#All],2,FALSE)&amp;"-"&amp;TEXT(Tabla1015[[#This Row],[FECHA]],"[$-C0A]dddd"))</f>
        <v/>
      </c>
      <c r="AU242" s="322">
        <f>COUNTIF($Z$4:Z242,Z242)</f>
        <v>0</v>
      </c>
    </row>
    <row r="243" spans="2:47" ht="57.75" hidden="1" customHeight="1">
      <c r="B243" s="784"/>
      <c r="C243" s="72" t="str">
        <f t="shared" si="25"/>
        <v/>
      </c>
      <c r="D243" s="258" t="str">
        <f t="shared" si="26"/>
        <v/>
      </c>
      <c r="E243" s="194" t="str">
        <f t="shared" si="27"/>
        <v/>
      </c>
      <c r="F243" s="348" t="str">
        <f t="shared" si="28"/>
        <v/>
      </c>
      <c r="G243" s="348" t="str">
        <f t="shared" si="29"/>
        <v/>
      </c>
      <c r="H243" s="222" t="str">
        <f t="shared" si="30"/>
        <v/>
      </c>
      <c r="I243" s="222" t="str">
        <f t="shared" si="31"/>
        <v/>
      </c>
      <c r="J243" s="222" t="str">
        <f t="shared" si="32"/>
        <v/>
      </c>
      <c r="K243" s="223" t="str">
        <f t="shared" si="33"/>
        <v/>
      </c>
      <c r="L243" s="195" t="str">
        <f t="shared" si="34"/>
        <v/>
      </c>
      <c r="M243" s="196" t="str">
        <f t="shared" si="35"/>
        <v/>
      </c>
      <c r="N243" s="120">
        <f t="shared" si="41"/>
        <v>9</v>
      </c>
      <c r="O243" s="125" t="str">
        <f t="shared" si="40"/>
        <v>ENVASADORA TEPACK-9</v>
      </c>
      <c r="S243" s="184" t="str">
        <f t="shared" si="22"/>
        <v/>
      </c>
      <c r="T243" s="185"/>
      <c r="U243" s="182"/>
      <c r="V243" s="182"/>
      <c r="W243" s="186"/>
      <c r="X243" s="186"/>
      <c r="Y243" s="241"/>
      <c r="Z243" s="182"/>
      <c r="AA243" s="187" t="str">
        <f>IFERROR(VLOOKUP(Z243,DATOS!$M$2:$N$219,2,FALSE),"")</f>
        <v/>
      </c>
      <c r="AB243" s="182"/>
      <c r="AC243" s="182"/>
      <c r="AD243" s="182"/>
      <c r="AE243" s="182"/>
      <c r="AF243" s="182"/>
      <c r="AG243" s="181"/>
      <c r="AH243" s="181"/>
      <c r="AI243" s="181"/>
      <c r="AJ243" s="181"/>
      <c r="AK243" s="181"/>
      <c r="AL243" s="181"/>
      <c r="AM243" s="181"/>
      <c r="AN243" s="181"/>
      <c r="AO243" s="181"/>
      <c r="AP243" s="181"/>
      <c r="AQ243" s="320"/>
      <c r="AR243" s="181"/>
      <c r="AS243" s="181"/>
      <c r="AT243" s="5" t="str">
        <f>IF(Tabla1015[[#This Row],[FECHA]]="","",VLOOKUP(TEXT(Tabla1015[[#This Row],[FECHA]],"[$-C0A]dddd"),Tabla2[#All],2,FALSE)&amp;"-"&amp;TEXT(Tabla1015[[#This Row],[FECHA]],"[$-C0A]dddd"))</f>
        <v/>
      </c>
      <c r="AU243" s="322">
        <f>COUNTIF($Z$4:Z243,Z243)</f>
        <v>0</v>
      </c>
    </row>
    <row r="244" spans="2:47" ht="57.75" hidden="1" customHeight="1">
      <c r="B244" s="785"/>
      <c r="C244" s="168" t="str">
        <f t="shared" si="25"/>
        <v/>
      </c>
      <c r="D244" s="267" t="str">
        <f t="shared" si="26"/>
        <v/>
      </c>
      <c r="E244" s="217" t="str">
        <f t="shared" si="27"/>
        <v/>
      </c>
      <c r="F244" s="355" t="str">
        <f t="shared" si="28"/>
        <v/>
      </c>
      <c r="G244" s="355" t="str">
        <f t="shared" si="29"/>
        <v/>
      </c>
      <c r="H244" s="236" t="str">
        <f t="shared" si="30"/>
        <v/>
      </c>
      <c r="I244" s="236" t="str">
        <f t="shared" si="31"/>
        <v/>
      </c>
      <c r="J244" s="236" t="str">
        <f t="shared" si="32"/>
        <v/>
      </c>
      <c r="K244" s="237" t="str">
        <f t="shared" si="33"/>
        <v/>
      </c>
      <c r="L244" s="218" t="str">
        <f t="shared" si="34"/>
        <v/>
      </c>
      <c r="M244" s="219" t="str">
        <f t="shared" si="35"/>
        <v/>
      </c>
      <c r="N244" s="136">
        <f t="shared" si="41"/>
        <v>10</v>
      </c>
      <c r="O244" s="130" t="str">
        <f t="shared" si="40"/>
        <v>ENVASADORA TEPACK-10</v>
      </c>
      <c r="S244" s="184" t="str">
        <f t="shared" si="22"/>
        <v/>
      </c>
      <c r="T244" s="185"/>
      <c r="U244" s="182"/>
      <c r="V244" s="182"/>
      <c r="W244" s="186"/>
      <c r="X244" s="186"/>
      <c r="Y244" s="241"/>
      <c r="Z244" s="182"/>
      <c r="AA244" s="187" t="str">
        <f>IFERROR(VLOOKUP(Z244,DATOS!$M$2:$N$219,2,FALSE),"")</f>
        <v/>
      </c>
      <c r="AB244" s="182"/>
      <c r="AC244" s="182"/>
      <c r="AD244" s="182"/>
      <c r="AE244" s="182"/>
      <c r="AF244" s="182"/>
      <c r="AG244" s="181"/>
      <c r="AH244" s="181"/>
      <c r="AI244" s="181"/>
      <c r="AJ244" s="181"/>
      <c r="AK244" s="181"/>
      <c r="AL244" s="181"/>
      <c r="AM244" s="181"/>
      <c r="AN244" s="181"/>
      <c r="AO244" s="181"/>
      <c r="AP244" s="181"/>
      <c r="AQ244" s="320"/>
      <c r="AR244" s="181"/>
      <c r="AS244" s="181"/>
      <c r="AT244" s="5" t="str">
        <f>IF(Tabla1015[[#This Row],[FECHA]]="","",VLOOKUP(TEXT(Tabla1015[[#This Row],[FECHA]],"[$-C0A]dddd"),Tabla2[#All],2,FALSE)&amp;"-"&amp;TEXT(Tabla1015[[#This Row],[FECHA]],"[$-C0A]dddd"))</f>
        <v/>
      </c>
      <c r="AU244" s="322">
        <f>COUNTIF($Z$4:Z244,Z244)</f>
        <v>0</v>
      </c>
    </row>
    <row r="245" spans="2:47" ht="57.75" customHeight="1">
      <c r="B245" s="786" t="str">
        <f>+'TABLA RES-SEMANA'!B74</f>
        <v>ENCELOFANADORA ECCOPAC</v>
      </c>
      <c r="C245" s="169" t="str">
        <f t="shared" si="25"/>
        <v>Maquinaria</v>
      </c>
      <c r="D245" s="257">
        <f t="shared" si="26"/>
        <v>45946</v>
      </c>
      <c r="E245" s="191" t="str">
        <f t="shared" si="27"/>
        <v>MAÑANA</v>
      </c>
      <c r="F245" s="347" t="str">
        <f t="shared" si="28"/>
        <v>07:07</v>
      </c>
      <c r="G245" s="347" t="str">
        <f t="shared" si="29"/>
        <v>08:36</v>
      </c>
      <c r="H245" s="220">
        <f t="shared" si="30"/>
        <v>6.1805555555555558E-2</v>
      </c>
      <c r="I245" s="220" t="str">
        <f t="shared" si="31"/>
        <v>SET UP</v>
      </c>
      <c r="J245" s="220" t="str">
        <f t="shared" si="32"/>
        <v>PROGRAMADA</v>
      </c>
      <c r="K245" s="221" t="str">
        <f t="shared" si="33"/>
        <v/>
      </c>
      <c r="L245" s="192" t="str">
        <f t="shared" si="34"/>
        <v>Cambio de formato de milky a pisco x9</v>
      </c>
      <c r="M245" s="193" t="str">
        <f t="shared" si="35"/>
        <v xml:space="preserve">Cambio de piezas y calibración de equipo </v>
      </c>
      <c r="N245" s="100">
        <v>1</v>
      </c>
      <c r="O245" s="98" t="str">
        <f>CONCATENATE($B$245,"-",N245)</f>
        <v>ENCELOFANADORA ECCOPAC-1</v>
      </c>
      <c r="P245" s="91">
        <f>COUNTIF(H245:H254,"&lt;&gt;**")</f>
        <v>3</v>
      </c>
      <c r="S245" s="184" t="str">
        <f t="shared" si="22"/>
        <v/>
      </c>
      <c r="T245" s="182"/>
      <c r="U245" s="182"/>
      <c r="V245" s="182"/>
      <c r="W245" s="182"/>
      <c r="X245" s="182"/>
      <c r="Y245" s="240"/>
      <c r="Z245" s="182"/>
      <c r="AA245" s="401" t="str">
        <f>IFERROR(VLOOKUP(Z245,DATOS!$M$2:$N$219,2,FALSE),"")</f>
        <v/>
      </c>
      <c r="AB245" s="182"/>
      <c r="AC245" s="182"/>
      <c r="AD245" s="182"/>
      <c r="AE245" s="182"/>
      <c r="AF245" s="182"/>
      <c r="AG245" s="181"/>
      <c r="AH245" s="181"/>
      <c r="AI245" s="181"/>
      <c r="AJ245" s="181"/>
      <c r="AK245" s="181"/>
      <c r="AL245" s="181"/>
      <c r="AM245" s="181"/>
      <c r="AN245" s="181"/>
      <c r="AO245" s="181"/>
      <c r="AP245" s="181"/>
      <c r="AQ245" s="320"/>
      <c r="AR245" s="181"/>
      <c r="AS245" s="181"/>
      <c r="AT245" s="5" t="str">
        <f>IF(Tabla1015[[#This Row],[FECHA]]="","",VLOOKUP(TEXT(Tabla1015[[#This Row],[FECHA]],"[$-C0A]dddd"),Tabla2[#All],2,FALSE)&amp;"-"&amp;TEXT(Tabla1015[[#This Row],[FECHA]],"[$-C0A]dddd"))</f>
        <v/>
      </c>
      <c r="AU245" s="322">
        <f>COUNTIF($Z$4:Z245,Z245)</f>
        <v>0</v>
      </c>
    </row>
    <row r="246" spans="2:47" ht="57.75" customHeight="1">
      <c r="B246" s="784"/>
      <c r="C246" s="72" t="str">
        <f t="shared" si="25"/>
        <v>Maquinaria</v>
      </c>
      <c r="D246" s="258">
        <f t="shared" si="26"/>
        <v>45947</v>
      </c>
      <c r="E246" s="194" t="str">
        <f t="shared" si="27"/>
        <v>NOCHE</v>
      </c>
      <c r="F246" s="348" t="str">
        <f t="shared" si="28"/>
        <v>23:30</v>
      </c>
      <c r="G246" s="348">
        <f t="shared" si="29"/>
        <v>1.0208333333333333</v>
      </c>
      <c r="H246" s="222">
        <f t="shared" si="30"/>
        <v>4.1666666666664298E-2</v>
      </c>
      <c r="I246" s="222" t="str">
        <f t="shared" si="31"/>
        <v>SET UP</v>
      </c>
      <c r="J246" s="222" t="str">
        <f t="shared" si="32"/>
        <v>PROGRAMADA</v>
      </c>
      <c r="K246" s="223" t="str">
        <f t="shared" si="33"/>
        <v/>
      </c>
      <c r="L246" s="195" t="str">
        <f t="shared" si="34"/>
        <v>Calibración para formato de pisco x 18</v>
      </c>
      <c r="M246" s="196" t="str">
        <f t="shared" si="35"/>
        <v xml:space="preserve">Se calibro laminado, abrefacil corte , sellado y plegado , se hizo pruebas y se dejó producto de muestra </v>
      </c>
      <c r="N246" s="120">
        <f>+N245+1</f>
        <v>2</v>
      </c>
      <c r="O246" s="125" t="str">
        <f t="shared" ref="O246:O254" si="42">CONCATENATE($B$245,"-",N246)</f>
        <v>ENCELOFANADORA ECCOPAC-2</v>
      </c>
      <c r="S246" s="184" t="str">
        <f t="shared" si="22"/>
        <v/>
      </c>
      <c r="T246" s="182"/>
      <c r="U246" s="182"/>
      <c r="V246" s="182"/>
      <c r="W246" s="182"/>
      <c r="X246" s="182"/>
      <c r="Y246" s="240"/>
      <c r="Z246" s="182"/>
      <c r="AA246" s="401" t="str">
        <f>IFERROR(VLOOKUP(Z246,DATOS!$M$2:$N$219,2,FALSE),"")</f>
        <v/>
      </c>
      <c r="AB246" s="182"/>
      <c r="AC246" s="182"/>
      <c r="AD246" s="182"/>
      <c r="AE246" s="182"/>
      <c r="AF246" s="182"/>
      <c r="AG246" s="181"/>
      <c r="AH246" s="181"/>
      <c r="AI246" s="181"/>
      <c r="AJ246" s="181"/>
      <c r="AK246" s="181"/>
      <c r="AL246" s="181"/>
      <c r="AM246" s="181"/>
      <c r="AN246" s="181"/>
      <c r="AO246" s="181"/>
      <c r="AP246" s="181"/>
      <c r="AQ246" s="320"/>
      <c r="AR246" s="181"/>
      <c r="AS246" s="181"/>
      <c r="AT246" s="5" t="str">
        <f>IF(Tabla1015[[#This Row],[FECHA]]="","",VLOOKUP(TEXT(Tabla1015[[#This Row],[FECHA]],"[$-C0A]dddd"),Tabla2[#All],2,FALSE)&amp;"-"&amp;TEXT(Tabla1015[[#This Row],[FECHA]],"[$-C0A]dddd"))</f>
        <v/>
      </c>
      <c r="AU246" s="322">
        <f>COUNTIF($Z$4:Z246,Z246)</f>
        <v>0</v>
      </c>
    </row>
    <row r="247" spans="2:47" ht="57.75" customHeight="1">
      <c r="B247" s="784"/>
      <c r="C247" s="72" t="str">
        <f t="shared" si="25"/>
        <v>Maquinaria</v>
      </c>
      <c r="D247" s="258">
        <f t="shared" si="26"/>
        <v>45947</v>
      </c>
      <c r="E247" s="194" t="str">
        <f t="shared" si="27"/>
        <v>TARDE</v>
      </c>
      <c r="F247" s="348" t="str">
        <f t="shared" si="28"/>
        <v>19:39</v>
      </c>
      <c r="G247" s="348" t="str">
        <f t="shared" si="29"/>
        <v>20:57</v>
      </c>
      <c r="H247" s="222">
        <f t="shared" si="30"/>
        <v>5.4166666666666696E-2</v>
      </c>
      <c r="I247" s="222" t="str">
        <f t="shared" si="31"/>
        <v>SET UP</v>
      </c>
      <c r="J247" s="222" t="str">
        <f t="shared" si="32"/>
        <v>PROGRAMADA</v>
      </c>
      <c r="K247" s="223" t="str">
        <f t="shared" si="33"/>
        <v/>
      </c>
      <c r="L247" s="195" t="str">
        <f t="shared" si="34"/>
        <v>Cambio de medidas y piezas para formato pisco x18</v>
      </c>
      <c r="M247" s="196" t="str">
        <f t="shared" si="35"/>
        <v/>
      </c>
      <c r="N247" s="120">
        <f t="shared" ref="N247:N254" si="43">+N246+1</f>
        <v>3</v>
      </c>
      <c r="O247" s="125" t="str">
        <f t="shared" si="42"/>
        <v>ENCELOFANADORA ECCOPAC-3</v>
      </c>
      <c r="S247" s="184" t="str">
        <f t="shared" si="22"/>
        <v/>
      </c>
      <c r="T247" s="182"/>
      <c r="U247" s="182"/>
      <c r="V247" s="182"/>
      <c r="W247" s="182"/>
      <c r="X247" s="182"/>
      <c r="Y247" s="240"/>
      <c r="Z247" s="182"/>
      <c r="AA247" s="401" t="str">
        <f>IFERROR(VLOOKUP(Z247,DATOS!$M$2:$N$219,2,FALSE),"")</f>
        <v/>
      </c>
      <c r="AB247" s="182"/>
      <c r="AC247" s="182"/>
      <c r="AD247" s="182"/>
      <c r="AE247" s="182"/>
      <c r="AF247" s="182"/>
      <c r="AG247" s="181"/>
      <c r="AH247" s="181"/>
      <c r="AI247" s="181"/>
      <c r="AJ247" s="181"/>
      <c r="AK247" s="181"/>
      <c r="AL247" s="181"/>
      <c r="AM247" s="181"/>
      <c r="AN247" s="181"/>
      <c r="AO247" s="181"/>
      <c r="AP247" s="181"/>
      <c r="AQ247" s="320"/>
      <c r="AR247" s="181"/>
      <c r="AS247" s="181"/>
      <c r="AT247" s="5" t="str">
        <f>IF(Tabla1015[[#This Row],[FECHA]]="","",VLOOKUP(TEXT(Tabla1015[[#This Row],[FECHA]],"[$-C0A]dddd"),Tabla2[#All],2,FALSE)&amp;"-"&amp;TEXT(Tabla1015[[#This Row],[FECHA]],"[$-C0A]dddd"))</f>
        <v/>
      </c>
      <c r="AU247" s="322">
        <f>COUNTIF($Z$4:Z247,Z247)</f>
        <v>0</v>
      </c>
    </row>
    <row r="248" spans="2:47" ht="57.75" hidden="1" customHeight="1">
      <c r="B248" s="784"/>
      <c r="C248" s="72" t="str">
        <f t="shared" si="25"/>
        <v/>
      </c>
      <c r="D248" s="258" t="str">
        <f t="shared" si="26"/>
        <v/>
      </c>
      <c r="E248" s="194" t="str">
        <f t="shared" si="27"/>
        <v/>
      </c>
      <c r="F248" s="348" t="str">
        <f t="shared" si="28"/>
        <v/>
      </c>
      <c r="G248" s="348" t="str">
        <f t="shared" si="29"/>
        <v/>
      </c>
      <c r="H248" s="222" t="str">
        <f t="shared" si="30"/>
        <v/>
      </c>
      <c r="I248" s="222" t="str">
        <f t="shared" si="31"/>
        <v/>
      </c>
      <c r="J248" s="222" t="str">
        <f t="shared" si="32"/>
        <v/>
      </c>
      <c r="K248" s="223" t="str">
        <f t="shared" si="33"/>
        <v/>
      </c>
      <c r="L248" s="195" t="str">
        <f t="shared" si="34"/>
        <v/>
      </c>
      <c r="M248" s="196" t="str">
        <f t="shared" si="35"/>
        <v/>
      </c>
      <c r="N248" s="120">
        <f t="shared" si="43"/>
        <v>4</v>
      </c>
      <c r="O248" s="125" t="str">
        <f t="shared" si="42"/>
        <v>ENCELOFANADORA ECCOPAC-4</v>
      </c>
      <c r="S248" s="184" t="str">
        <f t="shared" si="22"/>
        <v/>
      </c>
      <c r="T248" s="182"/>
      <c r="U248" s="182"/>
      <c r="V248" s="182"/>
      <c r="W248" s="182"/>
      <c r="X248" s="182"/>
      <c r="Y248" s="240"/>
      <c r="Z248" s="182"/>
      <c r="AA248" s="401" t="str">
        <f>IFERROR(VLOOKUP(Z248,DATOS!$M$2:$N$219,2,FALSE),"")</f>
        <v/>
      </c>
      <c r="AB248" s="182"/>
      <c r="AC248" s="182"/>
      <c r="AD248" s="182"/>
      <c r="AE248" s="182"/>
      <c r="AF248" s="182"/>
      <c r="AG248" s="181"/>
      <c r="AH248" s="181"/>
      <c r="AI248" s="181"/>
      <c r="AJ248" s="181"/>
      <c r="AK248" s="181"/>
      <c r="AL248" s="181"/>
      <c r="AM248" s="181"/>
      <c r="AN248" s="181"/>
      <c r="AO248" s="181"/>
      <c r="AP248" s="181"/>
      <c r="AQ248" s="320"/>
      <c r="AR248" s="181"/>
      <c r="AS248" s="181"/>
      <c r="AT248" s="5" t="str">
        <f>IF(Tabla1015[[#This Row],[FECHA]]="","",VLOOKUP(TEXT(Tabla1015[[#This Row],[FECHA]],"[$-C0A]dddd"),Tabla2[#All],2,FALSE)&amp;"-"&amp;TEXT(Tabla1015[[#This Row],[FECHA]],"[$-C0A]dddd"))</f>
        <v/>
      </c>
      <c r="AU248" s="322">
        <f>COUNTIF($Z$4:Z248,Z248)</f>
        <v>0</v>
      </c>
    </row>
    <row r="249" spans="2:47" ht="57.75" hidden="1" customHeight="1">
      <c r="B249" s="784"/>
      <c r="C249" s="72" t="str">
        <f t="shared" si="25"/>
        <v/>
      </c>
      <c r="D249" s="258" t="str">
        <f t="shared" si="26"/>
        <v/>
      </c>
      <c r="E249" s="194" t="str">
        <f t="shared" si="27"/>
        <v/>
      </c>
      <c r="F249" s="348" t="str">
        <f t="shared" si="28"/>
        <v/>
      </c>
      <c r="G249" s="348" t="str">
        <f t="shared" si="29"/>
        <v/>
      </c>
      <c r="H249" s="222" t="str">
        <f t="shared" si="30"/>
        <v/>
      </c>
      <c r="I249" s="222" t="str">
        <f t="shared" si="31"/>
        <v/>
      </c>
      <c r="J249" s="222" t="str">
        <f t="shared" si="32"/>
        <v/>
      </c>
      <c r="K249" s="223" t="str">
        <f t="shared" si="33"/>
        <v/>
      </c>
      <c r="L249" s="195" t="str">
        <f t="shared" si="34"/>
        <v/>
      </c>
      <c r="M249" s="196" t="str">
        <f t="shared" si="35"/>
        <v/>
      </c>
      <c r="N249" s="120">
        <f t="shared" si="43"/>
        <v>5</v>
      </c>
      <c r="O249" s="125" t="str">
        <f t="shared" si="42"/>
        <v>ENCELOFANADORA ECCOPAC-5</v>
      </c>
      <c r="S249" s="184" t="str">
        <f t="shared" si="22"/>
        <v/>
      </c>
      <c r="T249" s="182"/>
      <c r="U249" s="182"/>
      <c r="V249" s="182"/>
      <c r="W249" s="182"/>
      <c r="X249" s="182"/>
      <c r="Y249" s="241"/>
      <c r="Z249" s="182"/>
      <c r="AA249" s="401" t="str">
        <f>IFERROR(VLOOKUP(Z249,DATOS!$M$2:$N$219,2,FALSE),"")</f>
        <v/>
      </c>
      <c r="AB249" s="182"/>
      <c r="AC249" s="182"/>
      <c r="AD249" s="182"/>
      <c r="AE249" s="182"/>
      <c r="AF249" s="182"/>
      <c r="AG249" s="181"/>
      <c r="AH249" s="181"/>
      <c r="AI249" s="181"/>
      <c r="AJ249" s="181"/>
      <c r="AK249" s="181"/>
      <c r="AL249" s="181"/>
      <c r="AM249" s="181"/>
      <c r="AN249" s="181"/>
      <c r="AO249" s="181"/>
      <c r="AP249" s="181"/>
      <c r="AQ249" s="320"/>
      <c r="AR249" s="181"/>
      <c r="AS249" s="181"/>
      <c r="AT249" s="5" t="str">
        <f>IF(Tabla1015[[#This Row],[FECHA]]="","",VLOOKUP(TEXT(Tabla1015[[#This Row],[FECHA]],"[$-C0A]dddd"),Tabla2[#All],2,FALSE)&amp;"-"&amp;TEXT(Tabla1015[[#This Row],[FECHA]],"[$-C0A]dddd"))</f>
        <v/>
      </c>
      <c r="AU249" s="322">
        <f>COUNTIF($Z$4:Z249,Z249)</f>
        <v>0</v>
      </c>
    </row>
    <row r="250" spans="2:47" ht="57.75" hidden="1" customHeight="1">
      <c r="B250" s="784"/>
      <c r="C250" s="72" t="str">
        <f t="shared" si="25"/>
        <v/>
      </c>
      <c r="D250" s="258" t="str">
        <f t="shared" si="26"/>
        <v/>
      </c>
      <c r="E250" s="194" t="str">
        <f t="shared" si="27"/>
        <v/>
      </c>
      <c r="F250" s="348" t="str">
        <f t="shared" si="28"/>
        <v/>
      </c>
      <c r="G250" s="348" t="str">
        <f t="shared" si="29"/>
        <v/>
      </c>
      <c r="H250" s="222" t="str">
        <f t="shared" si="30"/>
        <v/>
      </c>
      <c r="I250" s="222" t="str">
        <f t="shared" si="31"/>
        <v/>
      </c>
      <c r="J250" s="222" t="str">
        <f t="shared" si="32"/>
        <v/>
      </c>
      <c r="K250" s="223" t="str">
        <f t="shared" si="33"/>
        <v/>
      </c>
      <c r="L250" s="195" t="str">
        <f t="shared" si="34"/>
        <v/>
      </c>
      <c r="M250" s="196" t="str">
        <f t="shared" si="35"/>
        <v/>
      </c>
      <c r="N250" s="120">
        <f t="shared" si="43"/>
        <v>6</v>
      </c>
      <c r="O250" s="125" t="str">
        <f t="shared" si="42"/>
        <v>ENCELOFANADORA ECCOPAC-6</v>
      </c>
      <c r="S250" s="184" t="str">
        <f t="shared" si="22"/>
        <v/>
      </c>
      <c r="T250" s="185"/>
      <c r="U250" s="182"/>
      <c r="V250" s="182"/>
      <c r="W250" s="186"/>
      <c r="X250" s="186"/>
      <c r="Y250" s="241"/>
      <c r="Z250" s="182"/>
      <c r="AA250" s="187" t="str">
        <f>IFERROR(VLOOKUP(Z250,DATOS!$M$2:$N$219,2,FALSE),"")</f>
        <v/>
      </c>
      <c r="AB250" s="182"/>
      <c r="AC250" s="182"/>
      <c r="AD250" s="182"/>
      <c r="AE250" s="182"/>
      <c r="AF250" s="182"/>
      <c r="AG250" s="181"/>
      <c r="AH250" s="181"/>
      <c r="AI250" s="181"/>
      <c r="AJ250" s="181"/>
      <c r="AK250" s="181"/>
      <c r="AL250" s="181"/>
      <c r="AM250" s="181"/>
      <c r="AN250" s="181"/>
      <c r="AO250" s="181"/>
      <c r="AP250" s="181"/>
      <c r="AQ250" s="320"/>
      <c r="AR250" s="181"/>
      <c r="AS250" s="181"/>
      <c r="AT250" s="5" t="str">
        <f>IF(Tabla1015[[#This Row],[FECHA]]="","",VLOOKUP(TEXT(Tabla1015[[#This Row],[FECHA]],"[$-C0A]dddd"),Tabla2[#All],2,FALSE)&amp;"-"&amp;TEXT(Tabla1015[[#This Row],[FECHA]],"[$-C0A]dddd"))</f>
        <v/>
      </c>
      <c r="AU250" s="322">
        <f>COUNTIF($Z$4:Z250,Z250)</f>
        <v>0</v>
      </c>
    </row>
    <row r="251" spans="2:47" ht="57.75" hidden="1" customHeight="1">
      <c r="B251" s="784"/>
      <c r="C251" s="72" t="str">
        <f t="shared" si="25"/>
        <v/>
      </c>
      <c r="D251" s="258" t="str">
        <f t="shared" si="26"/>
        <v/>
      </c>
      <c r="E251" s="194" t="str">
        <f t="shared" si="27"/>
        <v/>
      </c>
      <c r="F251" s="348" t="str">
        <f t="shared" si="28"/>
        <v/>
      </c>
      <c r="G251" s="348" t="str">
        <f t="shared" si="29"/>
        <v/>
      </c>
      <c r="H251" s="222" t="str">
        <f t="shared" si="30"/>
        <v/>
      </c>
      <c r="I251" s="222" t="str">
        <f t="shared" si="31"/>
        <v/>
      </c>
      <c r="J251" s="222" t="str">
        <f t="shared" si="32"/>
        <v/>
      </c>
      <c r="K251" s="223" t="str">
        <f t="shared" si="33"/>
        <v/>
      </c>
      <c r="L251" s="195" t="str">
        <f t="shared" si="34"/>
        <v/>
      </c>
      <c r="M251" s="196" t="str">
        <f t="shared" si="35"/>
        <v/>
      </c>
      <c r="N251" s="120">
        <f t="shared" si="43"/>
        <v>7</v>
      </c>
      <c r="O251" s="125" t="str">
        <f t="shared" si="42"/>
        <v>ENCELOFANADORA ECCOPAC-7</v>
      </c>
      <c r="S251" s="184" t="str">
        <f t="shared" si="22"/>
        <v/>
      </c>
      <c r="T251" s="185"/>
      <c r="U251" s="182"/>
      <c r="V251" s="182"/>
      <c r="W251" s="186"/>
      <c r="X251" s="186"/>
      <c r="Y251" s="241"/>
      <c r="Z251" s="182"/>
      <c r="AA251" s="187" t="str">
        <f>IFERROR(VLOOKUP(Z251,DATOS!$M$2:$N$219,2,FALSE),"")</f>
        <v/>
      </c>
      <c r="AB251" s="182"/>
      <c r="AC251" s="182"/>
      <c r="AD251" s="182"/>
      <c r="AE251" s="182"/>
      <c r="AF251" s="182"/>
      <c r="AG251" s="181"/>
      <c r="AH251" s="181"/>
      <c r="AI251" s="181"/>
      <c r="AJ251" s="181"/>
      <c r="AK251" s="181"/>
      <c r="AL251" s="181"/>
      <c r="AM251" s="181"/>
      <c r="AN251" s="181"/>
      <c r="AO251" s="181"/>
      <c r="AP251" s="181"/>
      <c r="AQ251" s="320"/>
      <c r="AR251" s="181"/>
      <c r="AS251" s="181"/>
      <c r="AT251" s="5" t="str">
        <f>IF(Tabla1015[[#This Row],[FECHA]]="","",VLOOKUP(TEXT(Tabla1015[[#This Row],[FECHA]],"[$-C0A]dddd"),Tabla2[#All],2,FALSE)&amp;"-"&amp;TEXT(Tabla1015[[#This Row],[FECHA]],"[$-C0A]dddd"))</f>
        <v/>
      </c>
      <c r="AU251" s="322">
        <f>COUNTIF($Z$4:Z251,Z251)</f>
        <v>0</v>
      </c>
    </row>
    <row r="252" spans="2:47" ht="57.75" hidden="1" customHeight="1">
      <c r="B252" s="784"/>
      <c r="C252" s="72" t="str">
        <f t="shared" si="25"/>
        <v/>
      </c>
      <c r="D252" s="258" t="str">
        <f t="shared" si="26"/>
        <v/>
      </c>
      <c r="E252" s="194" t="str">
        <f t="shared" si="27"/>
        <v/>
      </c>
      <c r="F252" s="348" t="str">
        <f t="shared" si="28"/>
        <v/>
      </c>
      <c r="G252" s="348" t="str">
        <f t="shared" si="29"/>
        <v/>
      </c>
      <c r="H252" s="222" t="str">
        <f t="shared" si="30"/>
        <v/>
      </c>
      <c r="I252" s="222" t="str">
        <f t="shared" si="31"/>
        <v/>
      </c>
      <c r="J252" s="222" t="str">
        <f t="shared" si="32"/>
        <v/>
      </c>
      <c r="K252" s="223" t="str">
        <f t="shared" si="33"/>
        <v/>
      </c>
      <c r="L252" s="195" t="str">
        <f t="shared" si="34"/>
        <v/>
      </c>
      <c r="M252" s="196" t="str">
        <f t="shared" si="35"/>
        <v/>
      </c>
      <c r="N252" s="120">
        <f t="shared" si="43"/>
        <v>8</v>
      </c>
      <c r="O252" s="125" t="str">
        <f t="shared" si="42"/>
        <v>ENCELOFANADORA ECCOPAC-8</v>
      </c>
      <c r="S252" s="184" t="str">
        <f t="shared" si="22"/>
        <v/>
      </c>
      <c r="T252" s="185"/>
      <c r="U252" s="182"/>
      <c r="V252" s="182"/>
      <c r="W252" s="186"/>
      <c r="X252" s="186"/>
      <c r="Y252" s="241"/>
      <c r="Z252" s="182"/>
      <c r="AA252" s="187" t="str">
        <f>IFERROR(VLOOKUP(Z252,DATOS!$M$2:$N$219,2,FALSE),"")</f>
        <v/>
      </c>
      <c r="AB252" s="182"/>
      <c r="AC252" s="182"/>
      <c r="AD252" s="182"/>
      <c r="AE252" s="182"/>
      <c r="AF252" s="182"/>
      <c r="AG252" s="181"/>
      <c r="AH252" s="181"/>
      <c r="AI252" s="181"/>
      <c r="AJ252" s="181"/>
      <c r="AK252" s="181"/>
      <c r="AL252" s="181"/>
      <c r="AM252" s="181"/>
      <c r="AN252" s="181"/>
      <c r="AO252" s="181"/>
      <c r="AP252" s="181"/>
      <c r="AQ252" s="320"/>
      <c r="AR252" s="181"/>
      <c r="AS252" s="181"/>
      <c r="AT252" s="5" t="str">
        <f>IF(Tabla1015[[#This Row],[FECHA]]="","",VLOOKUP(TEXT(Tabla1015[[#This Row],[FECHA]],"[$-C0A]dddd"),Tabla2[#All],2,FALSE)&amp;"-"&amp;TEXT(Tabla1015[[#This Row],[FECHA]],"[$-C0A]dddd"))</f>
        <v/>
      </c>
      <c r="AU252" s="322">
        <f>COUNTIF($Z$4:Z252,Z252)</f>
        <v>0</v>
      </c>
    </row>
    <row r="253" spans="2:47" ht="57.75" hidden="1" customHeight="1">
      <c r="B253" s="784"/>
      <c r="C253" s="72" t="str">
        <f t="shared" si="25"/>
        <v/>
      </c>
      <c r="D253" s="258" t="str">
        <f t="shared" si="26"/>
        <v/>
      </c>
      <c r="E253" s="194" t="str">
        <f t="shared" si="27"/>
        <v/>
      </c>
      <c r="F253" s="348" t="str">
        <f t="shared" si="28"/>
        <v/>
      </c>
      <c r="G253" s="348" t="str">
        <f t="shared" si="29"/>
        <v/>
      </c>
      <c r="H253" s="222" t="str">
        <f t="shared" si="30"/>
        <v/>
      </c>
      <c r="I253" s="222" t="str">
        <f t="shared" si="31"/>
        <v/>
      </c>
      <c r="J253" s="222" t="str">
        <f t="shared" si="32"/>
        <v/>
      </c>
      <c r="K253" s="223" t="str">
        <f t="shared" si="33"/>
        <v/>
      </c>
      <c r="L253" s="195" t="str">
        <f t="shared" si="34"/>
        <v/>
      </c>
      <c r="M253" s="196" t="str">
        <f t="shared" si="35"/>
        <v/>
      </c>
      <c r="N253" s="120">
        <f t="shared" si="43"/>
        <v>9</v>
      </c>
      <c r="O253" s="125" t="str">
        <f t="shared" si="42"/>
        <v>ENCELOFANADORA ECCOPAC-9</v>
      </c>
      <c r="S253" s="184" t="str">
        <f t="shared" si="22"/>
        <v/>
      </c>
      <c r="T253" s="185"/>
      <c r="U253" s="182"/>
      <c r="V253" s="182"/>
      <c r="W253" s="186"/>
      <c r="X253" s="186"/>
      <c r="Y253" s="241"/>
      <c r="Z253" s="182"/>
      <c r="AA253" s="187" t="str">
        <f>IFERROR(VLOOKUP(Z253,DATOS!$M$2:$N$219,2,FALSE),"")</f>
        <v/>
      </c>
      <c r="AB253" s="182"/>
      <c r="AC253" s="182"/>
      <c r="AD253" s="182"/>
      <c r="AE253" s="182"/>
      <c r="AF253" s="182"/>
      <c r="AG253" s="181"/>
      <c r="AH253" s="181"/>
      <c r="AI253" s="181"/>
      <c r="AJ253" s="181"/>
      <c r="AK253" s="181"/>
      <c r="AL253" s="181"/>
      <c r="AM253" s="181"/>
      <c r="AN253" s="181"/>
      <c r="AO253" s="181"/>
      <c r="AP253" s="181"/>
      <c r="AQ253" s="320"/>
      <c r="AR253" s="181"/>
      <c r="AS253" s="181"/>
      <c r="AT253" s="5" t="str">
        <f>IF(Tabla1015[[#This Row],[FECHA]]="","",VLOOKUP(TEXT(Tabla1015[[#This Row],[FECHA]],"[$-C0A]dddd"),Tabla2[#All],2,FALSE)&amp;"-"&amp;TEXT(Tabla1015[[#This Row],[FECHA]],"[$-C0A]dddd"))</f>
        <v/>
      </c>
      <c r="AU253" s="322">
        <f>COUNTIF($Z$4:Z253,Z253)</f>
        <v>0</v>
      </c>
    </row>
    <row r="254" spans="2:47" ht="57.75" hidden="1" customHeight="1">
      <c r="B254" s="785"/>
      <c r="C254" s="168" t="str">
        <f t="shared" si="25"/>
        <v/>
      </c>
      <c r="D254" s="267" t="str">
        <f t="shared" si="26"/>
        <v/>
      </c>
      <c r="E254" s="217" t="str">
        <f t="shared" si="27"/>
        <v/>
      </c>
      <c r="F254" s="355" t="str">
        <f t="shared" si="28"/>
        <v/>
      </c>
      <c r="G254" s="355" t="str">
        <f t="shared" si="29"/>
        <v/>
      </c>
      <c r="H254" s="236" t="str">
        <f t="shared" si="30"/>
        <v/>
      </c>
      <c r="I254" s="236" t="str">
        <f t="shared" si="31"/>
        <v/>
      </c>
      <c r="J254" s="236" t="str">
        <f t="shared" si="32"/>
        <v/>
      </c>
      <c r="K254" s="237" t="str">
        <f t="shared" si="33"/>
        <v/>
      </c>
      <c r="L254" s="218" t="str">
        <f t="shared" si="34"/>
        <v/>
      </c>
      <c r="M254" s="219" t="str">
        <f t="shared" si="35"/>
        <v/>
      </c>
      <c r="N254" s="136">
        <f t="shared" si="43"/>
        <v>10</v>
      </c>
      <c r="O254" s="130" t="str">
        <f t="shared" si="42"/>
        <v>ENCELOFANADORA ECCOPAC-10</v>
      </c>
      <c r="S254" s="184" t="str">
        <f t="shared" si="22"/>
        <v/>
      </c>
      <c r="T254" s="185"/>
      <c r="U254" s="182"/>
      <c r="V254" s="182"/>
      <c r="W254" s="186"/>
      <c r="X254" s="186"/>
      <c r="Y254" s="241"/>
      <c r="Z254" s="182"/>
      <c r="AA254" s="187" t="str">
        <f>IFERROR(VLOOKUP(Z254,DATOS!$M$2:$N$219,2,FALSE),"")</f>
        <v/>
      </c>
      <c r="AB254" s="182"/>
      <c r="AC254" s="182"/>
      <c r="AD254" s="182"/>
      <c r="AE254" s="182"/>
      <c r="AF254" s="182"/>
      <c r="AG254" s="181"/>
      <c r="AH254" s="181"/>
      <c r="AI254" s="181"/>
      <c r="AJ254" s="181"/>
      <c r="AK254" s="181"/>
      <c r="AL254" s="181"/>
      <c r="AM254" s="181"/>
      <c r="AN254" s="181"/>
      <c r="AO254" s="181"/>
      <c r="AP254" s="181"/>
      <c r="AQ254" s="320"/>
      <c r="AR254" s="181"/>
      <c r="AS254" s="181"/>
      <c r="AT254" s="5" t="str">
        <f>IF(Tabla1015[[#This Row],[FECHA]]="","",VLOOKUP(TEXT(Tabla1015[[#This Row],[FECHA]],"[$-C0A]dddd"),Tabla2[#All],2,FALSE)&amp;"-"&amp;TEXT(Tabla1015[[#This Row],[FECHA]],"[$-C0A]dddd"))</f>
        <v/>
      </c>
      <c r="AU254" s="322">
        <f>COUNTIF($Z$4:Z254,Z254)</f>
        <v>0</v>
      </c>
    </row>
    <row r="255" spans="2:47" ht="57.75" customHeight="1">
      <c r="B255" s="786" t="str">
        <f>+'TABLA RES-SEMANA'!B75</f>
        <v>FORRADORA AUTOMATICA 03</v>
      </c>
      <c r="C255" s="169" t="str">
        <f t="shared" si="25"/>
        <v>Maquinaria</v>
      </c>
      <c r="D255" s="257">
        <f t="shared" si="26"/>
        <v>45946</v>
      </c>
      <c r="E255" s="191" t="str">
        <f t="shared" si="27"/>
        <v>NOCHE</v>
      </c>
      <c r="F255" s="347" t="str">
        <f t="shared" si="28"/>
        <v>23:40</v>
      </c>
      <c r="G255" s="347">
        <f t="shared" si="29"/>
        <v>1.0034722222222223</v>
      </c>
      <c r="H255" s="220">
        <f t="shared" si="30"/>
        <v>1.7361111111110716E-2</v>
      </c>
      <c r="I255" s="220" t="str">
        <f t="shared" si="31"/>
        <v>Ajuste /Calibracion</v>
      </c>
      <c r="J255" s="220" t="str">
        <f t="shared" si="32"/>
        <v>NO PROGRAMADA</v>
      </c>
      <c r="K255" s="221" t="str">
        <f t="shared" si="33"/>
        <v>MECÁNICA</v>
      </c>
      <c r="L255" s="192" t="str">
        <f t="shared" si="34"/>
        <v>Problemas con el corte , hace hueco la bolsa</v>
      </c>
      <c r="M255" s="193" t="str">
        <f t="shared" si="35"/>
        <v>Se regulo angulo de corte de cuchilla , se calibro corte y sellado y se hizo pruebas</v>
      </c>
      <c r="N255" s="100">
        <v>1</v>
      </c>
      <c r="O255" s="98" t="str">
        <f>CONCATENATE($B$255,"-",N255)</f>
        <v>FORRADORA AUTOMATICA 03-1</v>
      </c>
      <c r="P255" s="91">
        <f>COUNTIF(H255:H264,"&lt;&gt;**")</f>
        <v>3</v>
      </c>
      <c r="S255" s="184" t="str">
        <f t="shared" si="22"/>
        <v/>
      </c>
      <c r="T255" s="185"/>
      <c r="U255" s="182"/>
      <c r="V255" s="182"/>
      <c r="W255" s="186"/>
      <c r="X255" s="186"/>
      <c r="Y255" s="240"/>
      <c r="Z255" s="182"/>
      <c r="AA255" s="401" t="str">
        <f>IFERROR(VLOOKUP(Z255,DATOS!$M$2:$N$219,2,FALSE),"")</f>
        <v/>
      </c>
      <c r="AB255" s="182"/>
      <c r="AC255" s="182"/>
      <c r="AD255" s="182"/>
      <c r="AE255" s="182"/>
      <c r="AF255" s="182"/>
      <c r="AG255" s="181"/>
      <c r="AH255" s="181"/>
      <c r="AI255" s="181"/>
      <c r="AJ255" s="181"/>
      <c r="AK255" s="181"/>
      <c r="AL255" s="181"/>
      <c r="AM255" s="181"/>
      <c r="AN255" s="181"/>
      <c r="AO255" s="181"/>
      <c r="AP255" s="181"/>
      <c r="AQ255" s="320"/>
      <c r="AR255" s="181"/>
      <c r="AS255" s="181"/>
      <c r="AT255" s="5" t="str">
        <f>IF(Tabla1015[[#This Row],[FECHA]]="","",VLOOKUP(TEXT(Tabla1015[[#This Row],[FECHA]],"[$-C0A]dddd"),Tabla2[#All],2,FALSE)&amp;"-"&amp;TEXT(Tabla1015[[#This Row],[FECHA]],"[$-C0A]dddd"))</f>
        <v/>
      </c>
      <c r="AU255" s="322">
        <f>COUNTIF($Z$4:Z255,Z255)</f>
        <v>0</v>
      </c>
    </row>
    <row r="256" spans="2:47" ht="57.75" customHeight="1">
      <c r="B256" s="784"/>
      <c r="C256" s="72" t="str">
        <f t="shared" si="25"/>
        <v>Maquinaria</v>
      </c>
      <c r="D256" s="258">
        <f t="shared" si="26"/>
        <v>45947</v>
      </c>
      <c r="E256" s="194" t="str">
        <f t="shared" si="27"/>
        <v>NOCHE</v>
      </c>
      <c r="F256" s="348" t="str">
        <f t="shared" si="28"/>
        <v>22:08</v>
      </c>
      <c r="G256" s="348" t="str">
        <f t="shared" si="29"/>
        <v>23:03</v>
      </c>
      <c r="H256" s="222">
        <f t="shared" si="30"/>
        <v>3.819444444444442E-2</v>
      </c>
      <c r="I256" s="222" t="str">
        <f t="shared" si="31"/>
        <v>Ajuste /Calibracion</v>
      </c>
      <c r="J256" s="222" t="str">
        <f t="shared" si="32"/>
        <v>NO PROGRAMADA</v>
      </c>
      <c r="K256" s="223" t="str">
        <f t="shared" si="33"/>
        <v>MECÁNICA</v>
      </c>
      <c r="L256" s="195" t="str">
        <f t="shared" si="34"/>
        <v>Rotura del vástago del pistón</v>
      </c>
      <c r="M256" s="196" t="str">
        <f t="shared" si="35"/>
        <v xml:space="preserve">Se retiró pistón y vástago del equipo, se hizo el soldeo en taller de mantenimiento, se montó pisto reparado y se hizo pruebas </v>
      </c>
      <c r="N256" s="120">
        <f>+N255+1</f>
        <v>2</v>
      </c>
      <c r="O256" s="125" t="str">
        <f t="shared" ref="O256:O263" si="44">CONCATENATE($B$255,"-",N256)</f>
        <v>FORRADORA AUTOMATICA 03-2</v>
      </c>
      <c r="S256" s="184" t="str">
        <f t="shared" si="22"/>
        <v/>
      </c>
      <c r="T256" s="185"/>
      <c r="U256" s="182"/>
      <c r="V256" s="182"/>
      <c r="W256" s="186"/>
      <c r="X256" s="186"/>
      <c r="Y256" s="240"/>
      <c r="Z256" s="182"/>
      <c r="AA256" s="401" t="str">
        <f>IFERROR(VLOOKUP(Z256,DATOS!$M$2:$N$219,2,FALSE),"")</f>
        <v/>
      </c>
      <c r="AB256" s="182"/>
      <c r="AC256" s="182"/>
      <c r="AD256" s="182"/>
      <c r="AE256" s="182"/>
      <c r="AF256" s="182"/>
      <c r="AG256" s="181"/>
      <c r="AH256" s="181"/>
      <c r="AI256" s="181"/>
      <c r="AJ256" s="181"/>
      <c r="AK256" s="181"/>
      <c r="AL256" s="181"/>
      <c r="AM256" s="181"/>
      <c r="AN256" s="181"/>
      <c r="AO256" s="181"/>
      <c r="AP256" s="181"/>
      <c r="AQ256" s="320"/>
      <c r="AR256" s="181"/>
      <c r="AS256" s="181"/>
      <c r="AT256" s="5" t="str">
        <f>IF(Tabla1015[[#This Row],[FECHA]]="","",VLOOKUP(TEXT(Tabla1015[[#This Row],[FECHA]],"[$-C0A]dddd"),Tabla2[#All],2,FALSE)&amp;"-"&amp;TEXT(Tabla1015[[#This Row],[FECHA]],"[$-C0A]dddd"))</f>
        <v/>
      </c>
      <c r="AU256" s="322">
        <f>COUNTIF($Z$4:Z256,Z256)</f>
        <v>0</v>
      </c>
    </row>
    <row r="257" spans="2:47" ht="57.75" customHeight="1">
      <c r="B257" s="784"/>
      <c r="C257" s="72" t="str">
        <f t="shared" si="25"/>
        <v>Maquinaria</v>
      </c>
      <c r="D257" s="258">
        <f t="shared" si="26"/>
        <v>45948</v>
      </c>
      <c r="E257" s="194" t="str">
        <f t="shared" si="27"/>
        <v>NOCHE</v>
      </c>
      <c r="F257" s="348" t="str">
        <f t="shared" si="28"/>
        <v>01:30</v>
      </c>
      <c r="G257" s="348" t="str">
        <f t="shared" si="29"/>
        <v>01:40</v>
      </c>
      <c r="H257" s="222">
        <f t="shared" si="30"/>
        <v>6.9444444444444475E-3</v>
      </c>
      <c r="I257" s="222" t="str">
        <f t="shared" si="31"/>
        <v>Inspección</v>
      </c>
      <c r="J257" s="222" t="str">
        <f t="shared" si="32"/>
        <v>PROGRAMADA</v>
      </c>
      <c r="K257" s="223" t="str">
        <f t="shared" si="33"/>
        <v/>
      </c>
      <c r="L257" s="195" t="str">
        <f t="shared" si="34"/>
        <v xml:space="preserve">Inspección de equipo </v>
      </c>
      <c r="M257" s="196" t="str">
        <f t="shared" si="35"/>
        <v/>
      </c>
      <c r="N257" s="120">
        <f t="shared" ref="N257:N264" si="45">+N256+1</f>
        <v>3</v>
      </c>
      <c r="O257" s="125" t="str">
        <f t="shared" si="44"/>
        <v>FORRADORA AUTOMATICA 03-3</v>
      </c>
      <c r="S257" s="184" t="str">
        <f t="shared" si="22"/>
        <v/>
      </c>
      <c r="T257" s="185"/>
      <c r="U257" s="182"/>
      <c r="V257" s="182"/>
      <c r="W257" s="186"/>
      <c r="X257" s="186"/>
      <c r="Y257" s="240"/>
      <c r="Z257" s="182"/>
      <c r="AA257" s="401" t="str">
        <f>IFERROR(VLOOKUP(Z257,DATOS!$M$2:$N$219,2,FALSE),"")</f>
        <v/>
      </c>
      <c r="AB257" s="182"/>
      <c r="AC257" s="182"/>
      <c r="AD257" s="182"/>
      <c r="AE257" s="182"/>
      <c r="AF257" s="182"/>
      <c r="AG257" s="181"/>
      <c r="AH257" s="181"/>
      <c r="AI257" s="181"/>
      <c r="AJ257" s="181"/>
      <c r="AK257" s="181"/>
      <c r="AL257" s="181"/>
      <c r="AM257" s="181"/>
      <c r="AN257" s="181"/>
      <c r="AO257" s="181"/>
      <c r="AP257" s="181"/>
      <c r="AQ257" s="320"/>
      <c r="AR257" s="181"/>
      <c r="AS257" s="181"/>
      <c r="AT257" s="5" t="str">
        <f>IF(Tabla1015[[#This Row],[FECHA]]="","",VLOOKUP(TEXT(Tabla1015[[#This Row],[FECHA]],"[$-C0A]dddd"),Tabla2[#All],2,FALSE)&amp;"-"&amp;TEXT(Tabla1015[[#This Row],[FECHA]],"[$-C0A]dddd"))</f>
        <v/>
      </c>
      <c r="AU257" s="322">
        <f>COUNTIF($Z$4:Z257,Z257)</f>
        <v>0</v>
      </c>
    </row>
    <row r="258" spans="2:47" ht="57.75" hidden="1" customHeight="1">
      <c r="B258" s="784"/>
      <c r="C258" s="72" t="str">
        <f t="shared" si="25"/>
        <v/>
      </c>
      <c r="D258" s="258" t="str">
        <f t="shared" si="26"/>
        <v/>
      </c>
      <c r="E258" s="194" t="str">
        <f t="shared" si="27"/>
        <v/>
      </c>
      <c r="F258" s="348" t="str">
        <f t="shared" si="28"/>
        <v/>
      </c>
      <c r="G258" s="348" t="str">
        <f t="shared" si="29"/>
        <v/>
      </c>
      <c r="H258" s="222" t="str">
        <f t="shared" si="30"/>
        <v/>
      </c>
      <c r="I258" s="222" t="str">
        <f t="shared" si="31"/>
        <v/>
      </c>
      <c r="J258" s="222" t="str">
        <f t="shared" si="32"/>
        <v/>
      </c>
      <c r="K258" s="223" t="str">
        <f t="shared" si="33"/>
        <v/>
      </c>
      <c r="L258" s="195" t="str">
        <f t="shared" si="34"/>
        <v/>
      </c>
      <c r="M258" s="196" t="str">
        <f t="shared" si="35"/>
        <v/>
      </c>
      <c r="N258" s="120">
        <f t="shared" si="45"/>
        <v>4</v>
      </c>
      <c r="O258" s="125" t="str">
        <f t="shared" si="44"/>
        <v>FORRADORA AUTOMATICA 03-4</v>
      </c>
      <c r="S258" s="184" t="str">
        <f t="shared" si="22"/>
        <v/>
      </c>
      <c r="T258" s="185"/>
      <c r="U258" s="182"/>
      <c r="V258" s="182"/>
      <c r="W258" s="186"/>
      <c r="X258" s="186"/>
      <c r="Y258" s="240"/>
      <c r="Z258" s="182"/>
      <c r="AA258" s="401" t="str">
        <f>IFERROR(VLOOKUP(Z258,DATOS!$M$2:$N$219,2,FALSE),"")</f>
        <v/>
      </c>
      <c r="AB258" s="182"/>
      <c r="AC258" s="182"/>
      <c r="AD258" s="182"/>
      <c r="AE258" s="182"/>
      <c r="AF258" s="182"/>
      <c r="AG258" s="181"/>
      <c r="AH258" s="181"/>
      <c r="AI258" s="181"/>
      <c r="AJ258" s="181"/>
      <c r="AK258" s="181"/>
      <c r="AL258" s="181"/>
      <c r="AM258" s="181"/>
      <c r="AN258" s="181"/>
      <c r="AO258" s="181"/>
      <c r="AP258" s="181"/>
      <c r="AQ258" s="320"/>
      <c r="AR258" s="181"/>
      <c r="AS258" s="181"/>
      <c r="AT258" s="5" t="str">
        <f>IF(Tabla1015[[#This Row],[FECHA]]="","",VLOOKUP(TEXT(Tabla1015[[#This Row],[FECHA]],"[$-C0A]dddd"),Tabla2[#All],2,FALSE)&amp;"-"&amp;TEXT(Tabla1015[[#This Row],[FECHA]],"[$-C0A]dddd"))</f>
        <v/>
      </c>
      <c r="AU258" s="322">
        <f>COUNTIF($Z$4:Z258,Z258)</f>
        <v>0</v>
      </c>
    </row>
    <row r="259" spans="2:47" ht="57.75" hidden="1" customHeight="1">
      <c r="B259" s="784"/>
      <c r="C259" s="72" t="str">
        <f t="shared" si="25"/>
        <v/>
      </c>
      <c r="D259" s="258" t="str">
        <f t="shared" si="26"/>
        <v/>
      </c>
      <c r="E259" s="194" t="str">
        <f t="shared" si="27"/>
        <v/>
      </c>
      <c r="F259" s="348" t="str">
        <f t="shared" si="28"/>
        <v/>
      </c>
      <c r="G259" s="348" t="str">
        <f t="shared" si="29"/>
        <v/>
      </c>
      <c r="H259" s="222" t="str">
        <f t="shared" si="30"/>
        <v/>
      </c>
      <c r="I259" s="222" t="str">
        <f t="shared" si="31"/>
        <v/>
      </c>
      <c r="J259" s="222" t="str">
        <f t="shared" si="32"/>
        <v/>
      </c>
      <c r="K259" s="223" t="str">
        <f t="shared" si="33"/>
        <v/>
      </c>
      <c r="L259" s="195" t="str">
        <f t="shared" si="34"/>
        <v/>
      </c>
      <c r="M259" s="196" t="str">
        <f t="shared" si="35"/>
        <v/>
      </c>
      <c r="N259" s="120">
        <f t="shared" si="45"/>
        <v>5</v>
      </c>
      <c r="O259" s="125" t="str">
        <f t="shared" si="44"/>
        <v>FORRADORA AUTOMATICA 03-5</v>
      </c>
      <c r="S259" s="184" t="str">
        <f t="shared" si="22"/>
        <v/>
      </c>
      <c r="T259" s="185"/>
      <c r="U259" s="182"/>
      <c r="V259" s="182"/>
      <c r="W259" s="186"/>
      <c r="X259" s="186"/>
      <c r="Y259" s="241"/>
      <c r="Z259" s="182"/>
      <c r="AA259" s="187" t="str">
        <f>IFERROR(VLOOKUP(Z259,DATOS!$M$2:$N$219,2,FALSE),"")</f>
        <v/>
      </c>
      <c r="AB259" s="182"/>
      <c r="AC259" s="182"/>
      <c r="AD259" s="182"/>
      <c r="AE259" s="182"/>
      <c r="AF259" s="182"/>
      <c r="AG259" s="181"/>
      <c r="AH259" s="181"/>
      <c r="AI259" s="181"/>
      <c r="AJ259" s="181"/>
      <c r="AK259" s="181"/>
      <c r="AL259" s="181"/>
      <c r="AM259" s="181"/>
      <c r="AN259" s="181"/>
      <c r="AO259" s="181"/>
      <c r="AP259" s="181"/>
      <c r="AQ259" s="320"/>
      <c r="AR259" s="181"/>
      <c r="AS259" s="181"/>
      <c r="AT259" s="5" t="str">
        <f>IF(Tabla1015[[#This Row],[FECHA]]="","",VLOOKUP(TEXT(Tabla1015[[#This Row],[FECHA]],"[$-C0A]dddd"),Tabla2[#All],2,FALSE)&amp;"-"&amp;TEXT(Tabla1015[[#This Row],[FECHA]],"[$-C0A]dddd"))</f>
        <v/>
      </c>
      <c r="AU259" s="322">
        <f>COUNTIF($Z$4:Z259,Z259)</f>
        <v>0</v>
      </c>
    </row>
    <row r="260" spans="2:47" ht="57.75" hidden="1" customHeight="1">
      <c r="B260" s="784"/>
      <c r="C260" s="72" t="str">
        <f t="shared" si="25"/>
        <v/>
      </c>
      <c r="D260" s="258" t="str">
        <f t="shared" si="26"/>
        <v/>
      </c>
      <c r="E260" s="194" t="str">
        <f t="shared" si="27"/>
        <v/>
      </c>
      <c r="F260" s="348" t="str">
        <f t="shared" si="28"/>
        <v/>
      </c>
      <c r="G260" s="348" t="str">
        <f t="shared" si="29"/>
        <v/>
      </c>
      <c r="H260" s="222" t="str">
        <f t="shared" si="30"/>
        <v/>
      </c>
      <c r="I260" s="222" t="str">
        <f t="shared" si="31"/>
        <v/>
      </c>
      <c r="J260" s="222" t="str">
        <f t="shared" si="32"/>
        <v/>
      </c>
      <c r="K260" s="223" t="str">
        <f t="shared" si="33"/>
        <v/>
      </c>
      <c r="L260" s="195" t="str">
        <f t="shared" si="34"/>
        <v/>
      </c>
      <c r="M260" s="196" t="str">
        <f t="shared" si="35"/>
        <v/>
      </c>
      <c r="N260" s="120">
        <f t="shared" si="45"/>
        <v>6</v>
      </c>
      <c r="O260" s="125" t="str">
        <f t="shared" si="44"/>
        <v>FORRADORA AUTOMATICA 03-6</v>
      </c>
      <c r="S260" s="184" t="str">
        <f t="shared" ref="S260:S306" si="46">IF(Z260="","",CONCATENATE(Z260,"-",AU260))</f>
        <v/>
      </c>
      <c r="T260" s="185"/>
      <c r="U260" s="182"/>
      <c r="V260" s="182"/>
      <c r="W260" s="186"/>
      <c r="X260" s="186"/>
      <c r="Y260" s="241"/>
      <c r="Z260" s="182"/>
      <c r="AA260" s="187" t="str">
        <f>IFERROR(VLOOKUP(Z260,DATOS!$M$2:$N$219,2,FALSE),"")</f>
        <v/>
      </c>
      <c r="AB260" s="182"/>
      <c r="AC260" s="182"/>
      <c r="AD260" s="182"/>
      <c r="AE260" s="182"/>
      <c r="AF260" s="182"/>
      <c r="AG260" s="181"/>
      <c r="AH260" s="181"/>
      <c r="AI260" s="181"/>
      <c r="AJ260" s="181"/>
      <c r="AK260" s="181"/>
      <c r="AL260" s="181"/>
      <c r="AM260" s="181"/>
      <c r="AN260" s="181"/>
      <c r="AO260" s="181"/>
      <c r="AP260" s="181"/>
      <c r="AQ260" s="320"/>
      <c r="AR260" s="181"/>
      <c r="AS260" s="181"/>
      <c r="AT260" s="5" t="str">
        <f>IF(Tabla1015[[#This Row],[FECHA]]="","",VLOOKUP(TEXT(Tabla1015[[#This Row],[FECHA]],"[$-C0A]dddd"),Tabla2[#All],2,FALSE)&amp;"-"&amp;TEXT(Tabla1015[[#This Row],[FECHA]],"[$-C0A]dddd"))</f>
        <v/>
      </c>
      <c r="AU260" s="322">
        <f>COUNTIF($Z$4:Z260,Z260)</f>
        <v>0</v>
      </c>
    </row>
    <row r="261" spans="2:47" ht="57.75" hidden="1" customHeight="1">
      <c r="B261" s="784"/>
      <c r="C261" s="72" t="str">
        <f t="shared" si="25"/>
        <v/>
      </c>
      <c r="D261" s="258" t="str">
        <f t="shared" si="26"/>
        <v/>
      </c>
      <c r="E261" s="194" t="str">
        <f t="shared" si="27"/>
        <v/>
      </c>
      <c r="F261" s="348" t="str">
        <f t="shared" si="28"/>
        <v/>
      </c>
      <c r="G261" s="348" t="str">
        <f t="shared" si="29"/>
        <v/>
      </c>
      <c r="H261" s="222" t="str">
        <f t="shared" si="30"/>
        <v/>
      </c>
      <c r="I261" s="222" t="str">
        <f t="shared" si="31"/>
        <v/>
      </c>
      <c r="J261" s="222" t="str">
        <f t="shared" si="32"/>
        <v/>
      </c>
      <c r="K261" s="223" t="str">
        <f t="shared" si="33"/>
        <v/>
      </c>
      <c r="L261" s="195" t="str">
        <f t="shared" si="34"/>
        <v/>
      </c>
      <c r="M261" s="196" t="str">
        <f t="shared" si="35"/>
        <v/>
      </c>
      <c r="N261" s="120">
        <f t="shared" si="45"/>
        <v>7</v>
      </c>
      <c r="O261" s="125" t="str">
        <f t="shared" si="44"/>
        <v>FORRADORA AUTOMATICA 03-7</v>
      </c>
      <c r="S261" s="184" t="str">
        <f t="shared" si="46"/>
        <v/>
      </c>
      <c r="T261" s="185"/>
      <c r="U261" s="182"/>
      <c r="V261" s="182"/>
      <c r="W261" s="186"/>
      <c r="X261" s="186"/>
      <c r="Y261" s="241"/>
      <c r="Z261" s="182"/>
      <c r="AA261" s="187" t="str">
        <f>IFERROR(VLOOKUP(Z261,DATOS!$M$2:$N$219,2,FALSE),"")</f>
        <v/>
      </c>
      <c r="AB261" s="182"/>
      <c r="AC261" s="182"/>
      <c r="AD261" s="182"/>
      <c r="AE261" s="182"/>
      <c r="AF261" s="182"/>
      <c r="AG261" s="181"/>
      <c r="AH261" s="181"/>
      <c r="AI261" s="181"/>
      <c r="AJ261" s="181"/>
      <c r="AK261" s="181"/>
      <c r="AL261" s="181"/>
      <c r="AM261" s="181"/>
      <c r="AN261" s="181"/>
      <c r="AO261" s="181"/>
      <c r="AP261" s="181"/>
      <c r="AQ261" s="320"/>
      <c r="AR261" s="181"/>
      <c r="AS261" s="181"/>
      <c r="AT261" s="5" t="str">
        <f>IF(Tabla1015[[#This Row],[FECHA]]="","",VLOOKUP(TEXT(Tabla1015[[#This Row],[FECHA]],"[$-C0A]dddd"),Tabla2[#All],2,FALSE)&amp;"-"&amp;TEXT(Tabla1015[[#This Row],[FECHA]],"[$-C0A]dddd"))</f>
        <v/>
      </c>
      <c r="AU261" s="322">
        <f>COUNTIF($Z$4:Z261,Z261)</f>
        <v>0</v>
      </c>
    </row>
    <row r="262" spans="2:47" ht="57.75" hidden="1" customHeight="1">
      <c r="B262" s="784"/>
      <c r="C262" s="72" t="str">
        <f t="shared" si="25"/>
        <v/>
      </c>
      <c r="D262" s="258" t="str">
        <f t="shared" si="26"/>
        <v/>
      </c>
      <c r="E262" s="194" t="str">
        <f t="shared" si="27"/>
        <v/>
      </c>
      <c r="F262" s="348" t="str">
        <f t="shared" si="28"/>
        <v/>
      </c>
      <c r="G262" s="348" t="str">
        <f t="shared" si="29"/>
        <v/>
      </c>
      <c r="H262" s="222" t="str">
        <f t="shared" si="30"/>
        <v/>
      </c>
      <c r="I262" s="222" t="str">
        <f t="shared" si="31"/>
        <v/>
      </c>
      <c r="J262" s="222" t="str">
        <f t="shared" si="32"/>
        <v/>
      </c>
      <c r="K262" s="223" t="str">
        <f t="shared" si="33"/>
        <v/>
      </c>
      <c r="L262" s="195" t="str">
        <f t="shared" si="34"/>
        <v/>
      </c>
      <c r="M262" s="196" t="str">
        <f t="shared" si="35"/>
        <v/>
      </c>
      <c r="N262" s="120">
        <f t="shared" si="45"/>
        <v>8</v>
      </c>
      <c r="O262" s="125" t="str">
        <f t="shared" si="44"/>
        <v>FORRADORA AUTOMATICA 03-8</v>
      </c>
      <c r="S262" s="184" t="str">
        <f t="shared" si="46"/>
        <v/>
      </c>
      <c r="T262" s="185"/>
      <c r="U262" s="182"/>
      <c r="V262" s="182"/>
      <c r="W262" s="186"/>
      <c r="X262" s="186"/>
      <c r="Y262" s="241"/>
      <c r="Z262" s="182"/>
      <c r="AA262" s="187" t="str">
        <f>IFERROR(VLOOKUP(Z262,DATOS!$M$2:$N$219,2,FALSE),"")</f>
        <v/>
      </c>
      <c r="AB262" s="182"/>
      <c r="AC262" s="182"/>
      <c r="AD262" s="182"/>
      <c r="AE262" s="182"/>
      <c r="AF262" s="182"/>
      <c r="AG262" s="181"/>
      <c r="AH262" s="181"/>
      <c r="AI262" s="181"/>
      <c r="AJ262" s="181"/>
      <c r="AK262" s="181"/>
      <c r="AL262" s="181"/>
      <c r="AM262" s="181"/>
      <c r="AN262" s="181"/>
      <c r="AO262" s="181"/>
      <c r="AP262" s="181"/>
      <c r="AQ262" s="320"/>
      <c r="AR262" s="181"/>
      <c r="AS262" s="181"/>
      <c r="AT262" s="5" t="str">
        <f>IF(Tabla1015[[#This Row],[FECHA]]="","",VLOOKUP(TEXT(Tabla1015[[#This Row],[FECHA]],"[$-C0A]dddd"),Tabla2[#All],2,FALSE)&amp;"-"&amp;TEXT(Tabla1015[[#This Row],[FECHA]],"[$-C0A]dddd"))</f>
        <v/>
      </c>
      <c r="AU262" s="322">
        <f>COUNTIF($Z$4:Z262,Z262)</f>
        <v>0</v>
      </c>
    </row>
    <row r="263" spans="2:47" ht="57.75" hidden="1" customHeight="1">
      <c r="B263" s="784"/>
      <c r="C263" s="72" t="str">
        <f t="shared" si="25"/>
        <v/>
      </c>
      <c r="D263" s="258" t="str">
        <f t="shared" si="26"/>
        <v/>
      </c>
      <c r="E263" s="194" t="str">
        <f t="shared" si="27"/>
        <v/>
      </c>
      <c r="F263" s="348" t="str">
        <f t="shared" si="28"/>
        <v/>
      </c>
      <c r="G263" s="348" t="str">
        <f t="shared" si="29"/>
        <v/>
      </c>
      <c r="H263" s="222" t="str">
        <f t="shared" si="30"/>
        <v/>
      </c>
      <c r="I263" s="222" t="str">
        <f t="shared" si="31"/>
        <v/>
      </c>
      <c r="J263" s="222" t="str">
        <f t="shared" si="32"/>
        <v/>
      </c>
      <c r="K263" s="223" t="str">
        <f t="shared" si="33"/>
        <v/>
      </c>
      <c r="L263" s="195" t="str">
        <f t="shared" si="34"/>
        <v/>
      </c>
      <c r="M263" s="196" t="str">
        <f t="shared" si="35"/>
        <v/>
      </c>
      <c r="N263" s="120">
        <f t="shared" si="45"/>
        <v>9</v>
      </c>
      <c r="O263" s="125" t="str">
        <f t="shared" si="44"/>
        <v>FORRADORA AUTOMATICA 03-9</v>
      </c>
      <c r="S263" s="184" t="str">
        <f t="shared" si="46"/>
        <v/>
      </c>
      <c r="T263" s="185"/>
      <c r="U263" s="182"/>
      <c r="V263" s="182"/>
      <c r="W263" s="186"/>
      <c r="X263" s="186"/>
      <c r="Y263" s="241"/>
      <c r="Z263" s="182"/>
      <c r="AA263" s="187" t="str">
        <f>IFERROR(VLOOKUP(Z263,DATOS!$M$2:$N$219,2,FALSE),"")</f>
        <v/>
      </c>
      <c r="AB263" s="182"/>
      <c r="AC263" s="182"/>
      <c r="AD263" s="182"/>
      <c r="AE263" s="182"/>
      <c r="AF263" s="182"/>
      <c r="AG263" s="181"/>
      <c r="AH263" s="181"/>
      <c r="AI263" s="181"/>
      <c r="AJ263" s="181"/>
      <c r="AK263" s="181"/>
      <c r="AL263" s="181"/>
      <c r="AM263" s="181"/>
      <c r="AN263" s="181"/>
      <c r="AO263" s="181"/>
      <c r="AP263" s="181"/>
      <c r="AQ263" s="320"/>
      <c r="AR263" s="181"/>
      <c r="AS263" s="181"/>
      <c r="AT263" s="5" t="str">
        <f>IF(Tabla1015[[#This Row],[FECHA]]="","",VLOOKUP(TEXT(Tabla1015[[#This Row],[FECHA]],"[$-C0A]dddd"),Tabla2[#All],2,FALSE)&amp;"-"&amp;TEXT(Tabla1015[[#This Row],[FECHA]],"[$-C0A]dddd"))</f>
        <v/>
      </c>
      <c r="AU263" s="322">
        <f>COUNTIF($Z$4:Z263,Z263)</f>
        <v>0</v>
      </c>
    </row>
    <row r="264" spans="2:47" ht="57.75" hidden="1" customHeight="1">
      <c r="B264" s="785"/>
      <c r="C264" s="168" t="str">
        <f t="shared" si="25"/>
        <v/>
      </c>
      <c r="D264" s="267" t="str">
        <f t="shared" si="26"/>
        <v/>
      </c>
      <c r="E264" s="217" t="str">
        <f t="shared" si="27"/>
        <v/>
      </c>
      <c r="F264" s="355" t="str">
        <f t="shared" si="28"/>
        <v/>
      </c>
      <c r="G264" s="355" t="str">
        <f t="shared" si="29"/>
        <v/>
      </c>
      <c r="H264" s="236" t="str">
        <f t="shared" si="30"/>
        <v/>
      </c>
      <c r="I264" s="236" t="str">
        <f t="shared" si="31"/>
        <v/>
      </c>
      <c r="J264" s="236" t="str">
        <f t="shared" si="32"/>
        <v/>
      </c>
      <c r="K264" s="237" t="str">
        <f t="shared" si="33"/>
        <v/>
      </c>
      <c r="L264" s="218" t="str">
        <f t="shared" si="34"/>
        <v/>
      </c>
      <c r="M264" s="219" t="str">
        <f t="shared" si="35"/>
        <v/>
      </c>
      <c r="N264" s="136">
        <f t="shared" si="45"/>
        <v>10</v>
      </c>
      <c r="O264" s="130" t="str">
        <f>CONCATENATE($B$255,"-",N264)</f>
        <v>FORRADORA AUTOMATICA 03-10</v>
      </c>
      <c r="S264" s="184" t="str">
        <f t="shared" si="46"/>
        <v/>
      </c>
      <c r="T264" s="185"/>
      <c r="U264" s="182"/>
      <c r="V264" s="182"/>
      <c r="W264" s="186"/>
      <c r="X264" s="186"/>
      <c r="Y264" s="241"/>
      <c r="Z264" s="182"/>
      <c r="AA264" s="187" t="str">
        <f>IFERROR(VLOOKUP(Z264,DATOS!$M$2:$N$219,2,FALSE),"")</f>
        <v/>
      </c>
      <c r="AB264" s="182"/>
      <c r="AC264" s="182"/>
      <c r="AD264" s="182"/>
      <c r="AE264" s="182"/>
      <c r="AF264" s="182"/>
      <c r="AG264" s="181"/>
      <c r="AH264" s="181"/>
      <c r="AI264" s="181"/>
      <c r="AJ264" s="181"/>
      <c r="AK264" s="181"/>
      <c r="AL264" s="181"/>
      <c r="AM264" s="181"/>
      <c r="AN264" s="181"/>
      <c r="AO264" s="181"/>
      <c r="AP264" s="181"/>
      <c r="AQ264" s="320"/>
      <c r="AR264" s="181"/>
      <c r="AS264" s="181"/>
      <c r="AT264" s="5" t="str">
        <f>IF(Tabla1015[[#This Row],[FECHA]]="","",VLOOKUP(TEXT(Tabla1015[[#This Row],[FECHA]],"[$-C0A]dddd"),Tabla2[#All],2,FALSE)&amp;"-"&amp;TEXT(Tabla1015[[#This Row],[FECHA]],"[$-C0A]dddd"))</f>
        <v/>
      </c>
      <c r="AU264" s="322">
        <f>COUNTIF($Z$4:Z264,Z264)</f>
        <v>0</v>
      </c>
    </row>
    <row r="265" spans="2:47" ht="57.75" customHeight="1">
      <c r="B265" s="786" t="str">
        <f>+'TABLA RES-SEMANA'!B76</f>
        <v>LINEA AUTOMATICA HACOS 2</v>
      </c>
      <c r="C265" s="169" t="str">
        <f t="shared" ref="C265:C328" si="47">IFERROR(VLOOKUP(O265,$S$3:$AU$306,9,FALSE),"")</f>
        <v>Maquinaria</v>
      </c>
      <c r="D265" s="257">
        <f t="shared" ref="D265:D328" si="48">IFERROR(VLOOKUP(O265,$S$3:$AU$306,2,FALSE),"")</f>
        <v>45943</v>
      </c>
      <c r="E265" s="191" t="str">
        <f t="shared" ref="E265:E328" si="49">IFERROR(VLOOKUP(O265,$S$3:$AU$306,4,FALSE),"")</f>
        <v>NOCHE</v>
      </c>
      <c r="F265" s="347" t="str">
        <f t="shared" ref="F265:F328" si="50">IFERROR(VLOOKUP(O265,$S$3:$AU$306,5,FALSE),"")</f>
        <v>22:35</v>
      </c>
      <c r="G265" s="347" t="str">
        <f t="shared" ref="G265:G328" si="51">IFERROR(VLOOKUP(O265,$S$3:$AU$306,6,FALSE),"")</f>
        <v>23:10</v>
      </c>
      <c r="H265" s="220">
        <f t="shared" ref="H265:H328" si="52">IFERROR(VLOOKUP(O265,$S$3:$AU$306,7,FALSE),"")</f>
        <v>2.430555555555558E-2</v>
      </c>
      <c r="I265" s="220" t="str">
        <f t="shared" ref="I265:I328" si="53">IFERROR(VLOOKUP(O265,$S$3:$AU$306,10,FALSE),"")</f>
        <v>Ajuste /Calibracion</v>
      </c>
      <c r="J265" s="220" t="str">
        <f t="shared" ref="J265:J328" si="54">IFERROR(VLOOKUP(O265,$S$3:$AU$306,11,FALSE),"")</f>
        <v>NO PROGRAMADA</v>
      </c>
      <c r="K265" s="221" t="str">
        <f t="shared" ref="K265:K328" si="55">IFERROR(VLOOKUP(O265,$S$3:$AU$306,12,FALSE),"")</f>
        <v>MECÁNICA</v>
      </c>
      <c r="L265" s="192" t="str">
        <f t="shared" ref="L265:L328" si="56">IFERROR(VLOOKUP(O265,$S$3:$AU$306,13,FALSE),"")</f>
        <v xml:space="preserve">Robot no desmolda correctamente </v>
      </c>
      <c r="M265" s="193" t="str">
        <f t="shared" ref="M265:M328" si="57">IFERROR(IF(VLOOKUP(O265,$S$3:$AU$306,14,FALSE)="","",VLOOKUP(O265,$S$3:$AU$306,14,FALSE)),"")</f>
        <v>Se aumento fuerza de torsión, se apoyó en el cambio de ventosas dañadas y se configuro parámetros del robot</v>
      </c>
      <c r="N265" s="100">
        <v>1</v>
      </c>
      <c r="O265" s="98" t="str">
        <f>CONCATENATE($B$265,"-",N265)</f>
        <v>LINEA AUTOMATICA HACOS 2-1</v>
      </c>
      <c r="P265" s="91">
        <f>COUNTIF(H265:H274,"&lt;&gt;**")</f>
        <v>3</v>
      </c>
      <c r="S265" s="184" t="str">
        <f t="shared" si="46"/>
        <v/>
      </c>
      <c r="T265" s="185"/>
      <c r="U265" s="182"/>
      <c r="V265" s="182"/>
      <c r="W265" s="186"/>
      <c r="X265" s="186"/>
      <c r="Y265" s="240"/>
      <c r="Z265" s="182"/>
      <c r="AA265" s="401" t="str">
        <f>IFERROR(VLOOKUP(Z265,DATOS!$M$2:$N$219,2,FALSE),"")</f>
        <v/>
      </c>
      <c r="AB265" s="182"/>
      <c r="AC265" s="182"/>
      <c r="AD265" s="182"/>
      <c r="AE265" s="182"/>
      <c r="AF265" s="182"/>
      <c r="AG265" s="181"/>
      <c r="AH265" s="181"/>
      <c r="AI265" s="181"/>
      <c r="AJ265" s="181"/>
      <c r="AK265" s="181"/>
      <c r="AL265" s="181"/>
      <c r="AM265" s="181"/>
      <c r="AN265" s="181"/>
      <c r="AO265" s="181"/>
      <c r="AP265" s="181"/>
      <c r="AQ265" s="320"/>
      <c r="AR265" s="181"/>
      <c r="AS265" s="181"/>
      <c r="AT265" s="5" t="str">
        <f>IF(Tabla1015[[#This Row],[FECHA]]="","",VLOOKUP(TEXT(Tabla1015[[#This Row],[FECHA]],"[$-C0A]dddd"),Tabla2[#All],2,FALSE)&amp;"-"&amp;TEXT(Tabla1015[[#This Row],[FECHA]],"[$-C0A]dddd"))</f>
        <v/>
      </c>
      <c r="AU265" s="322">
        <f>COUNTIF($Z$4:Z265,Z265)</f>
        <v>0</v>
      </c>
    </row>
    <row r="266" spans="2:47" ht="57.75" customHeight="1">
      <c r="B266" s="784"/>
      <c r="C266" s="72" t="str">
        <f t="shared" si="47"/>
        <v>Maquinaria</v>
      </c>
      <c r="D266" s="258">
        <f t="shared" si="48"/>
        <v>45946</v>
      </c>
      <c r="E266" s="194" t="str">
        <f t="shared" si="49"/>
        <v>MAÑANA</v>
      </c>
      <c r="F266" s="348" t="str">
        <f t="shared" si="50"/>
        <v>07:40</v>
      </c>
      <c r="G266" s="348" t="str">
        <f t="shared" si="51"/>
        <v>08:00</v>
      </c>
      <c r="H266" s="222">
        <f t="shared" si="52"/>
        <v>1.3888888888888895E-2</v>
      </c>
      <c r="I266" s="222" t="str">
        <f t="shared" si="53"/>
        <v>Ajuste /Calibracion</v>
      </c>
      <c r="J266" s="222" t="str">
        <f t="shared" si="54"/>
        <v>NO PROGRAMADA</v>
      </c>
      <c r="K266" s="223" t="str">
        <f t="shared" si="55"/>
        <v>MECÁNICA</v>
      </c>
      <c r="L266" s="195" t="str">
        <f t="shared" si="56"/>
        <v>Apoyo en máquina.</v>
      </c>
      <c r="M266" s="196" t="str">
        <f t="shared" si="57"/>
        <v>Se ajusto pernos de guardas y se apoyo con el levantamiento de imán.</v>
      </c>
      <c r="N266" s="120">
        <f>+N265+1</f>
        <v>2</v>
      </c>
      <c r="O266" s="125" t="str">
        <f t="shared" ref="O266:O274" si="58">CONCATENATE($B$265,"-",N266)</f>
        <v>LINEA AUTOMATICA HACOS 2-2</v>
      </c>
      <c r="S266" s="184" t="str">
        <f t="shared" si="46"/>
        <v/>
      </c>
      <c r="T266" s="185"/>
      <c r="U266" s="182"/>
      <c r="V266" s="182"/>
      <c r="W266" s="186"/>
      <c r="X266" s="186"/>
      <c r="Y266" s="240"/>
      <c r="Z266" s="182"/>
      <c r="AA266" s="401" t="str">
        <f>IFERROR(VLOOKUP(Z266,DATOS!$M$2:$N$219,2,FALSE),"")</f>
        <v/>
      </c>
      <c r="AB266" s="182"/>
      <c r="AC266" s="182"/>
      <c r="AD266" s="182"/>
      <c r="AE266" s="182"/>
      <c r="AF266" s="182"/>
      <c r="AG266" s="181"/>
      <c r="AH266" s="181"/>
      <c r="AI266" s="181"/>
      <c r="AJ266" s="181"/>
      <c r="AK266" s="181"/>
      <c r="AL266" s="181"/>
      <c r="AM266" s="181"/>
      <c r="AN266" s="181"/>
      <c r="AO266" s="181"/>
      <c r="AP266" s="181"/>
      <c r="AQ266" s="320"/>
      <c r="AR266" s="181"/>
      <c r="AS266" s="181"/>
      <c r="AT266" s="5" t="str">
        <f>IF(Tabla1015[[#This Row],[FECHA]]="","",VLOOKUP(TEXT(Tabla1015[[#This Row],[FECHA]],"[$-C0A]dddd"),Tabla2[#All],2,FALSE)&amp;"-"&amp;TEXT(Tabla1015[[#This Row],[FECHA]],"[$-C0A]dddd"))</f>
        <v/>
      </c>
      <c r="AU266" s="322">
        <f>COUNTIF($Z$4:Z266,Z266)</f>
        <v>0</v>
      </c>
    </row>
    <row r="267" spans="2:47" ht="57.75" customHeight="1">
      <c r="B267" s="784"/>
      <c r="C267" s="72" t="str">
        <f t="shared" si="47"/>
        <v>Maquinaria</v>
      </c>
      <c r="D267" s="258">
        <f t="shared" si="48"/>
        <v>45947</v>
      </c>
      <c r="E267" s="194" t="str">
        <f t="shared" si="49"/>
        <v>TARDE</v>
      </c>
      <c r="F267" s="348" t="str">
        <f t="shared" si="50"/>
        <v>14:49</v>
      </c>
      <c r="G267" s="348" t="str">
        <f t="shared" si="51"/>
        <v>15:09</v>
      </c>
      <c r="H267" s="222">
        <f t="shared" si="52"/>
        <v>1.388888888888884E-2</v>
      </c>
      <c r="I267" s="222" t="str">
        <f t="shared" si="53"/>
        <v>Ajuste /Calibracion</v>
      </c>
      <c r="J267" s="222" t="str">
        <f t="shared" si="54"/>
        <v>NO PROGRAMADA</v>
      </c>
      <c r="K267" s="223" t="str">
        <f t="shared" si="55"/>
        <v>MECÁNICA</v>
      </c>
      <c r="L267" s="195" t="str">
        <f t="shared" si="56"/>
        <v>Tubería desajustada, plancha no ajusta bien</v>
      </c>
      <c r="M267" s="196" t="str">
        <f t="shared" si="57"/>
        <v>Se ajusto tubería y se apoyo ajustando plancha de dosificador</v>
      </c>
      <c r="N267" s="120">
        <f t="shared" ref="N267:N274" si="59">+N266+1</f>
        <v>3</v>
      </c>
      <c r="O267" s="125" t="str">
        <f t="shared" si="58"/>
        <v>LINEA AUTOMATICA HACOS 2-3</v>
      </c>
      <c r="S267" s="184" t="str">
        <f t="shared" si="46"/>
        <v/>
      </c>
      <c r="T267" s="185"/>
      <c r="U267" s="182"/>
      <c r="V267" s="182"/>
      <c r="W267" s="186"/>
      <c r="X267" s="186"/>
      <c r="Y267" s="240"/>
      <c r="Z267" s="182"/>
      <c r="AA267" s="401" t="str">
        <f>IFERROR(VLOOKUP(Z267,DATOS!$M$2:$N$219,2,FALSE),"")</f>
        <v/>
      </c>
      <c r="AB267" s="182"/>
      <c r="AC267" s="182"/>
      <c r="AD267" s="182"/>
      <c r="AE267" s="182"/>
      <c r="AF267" s="182"/>
      <c r="AG267" s="181"/>
      <c r="AH267" s="181"/>
      <c r="AI267" s="181"/>
      <c r="AJ267" s="181"/>
      <c r="AK267" s="181"/>
      <c r="AL267" s="181"/>
      <c r="AM267" s="181"/>
      <c r="AN267" s="181"/>
      <c r="AO267" s="181"/>
      <c r="AP267" s="181"/>
      <c r="AQ267" s="320"/>
      <c r="AR267" s="181"/>
      <c r="AS267" s="181"/>
      <c r="AT267" s="5" t="str">
        <f>IF(Tabla1015[[#This Row],[FECHA]]="","",VLOOKUP(TEXT(Tabla1015[[#This Row],[FECHA]],"[$-C0A]dddd"),Tabla2[#All],2,FALSE)&amp;"-"&amp;TEXT(Tabla1015[[#This Row],[FECHA]],"[$-C0A]dddd"))</f>
        <v/>
      </c>
      <c r="AU267" s="322">
        <f>COUNTIF($Z$4:Z267,Z267)</f>
        <v>0</v>
      </c>
    </row>
    <row r="268" spans="2:47" ht="57.75" hidden="1" customHeight="1">
      <c r="B268" s="784"/>
      <c r="C268" s="72" t="str">
        <f t="shared" si="47"/>
        <v/>
      </c>
      <c r="D268" s="258" t="str">
        <f t="shared" si="48"/>
        <v/>
      </c>
      <c r="E268" s="194" t="str">
        <f t="shared" si="49"/>
        <v/>
      </c>
      <c r="F268" s="348" t="str">
        <f t="shared" si="50"/>
        <v/>
      </c>
      <c r="G268" s="348" t="str">
        <f t="shared" si="51"/>
        <v/>
      </c>
      <c r="H268" s="222" t="str">
        <f t="shared" si="52"/>
        <v/>
      </c>
      <c r="I268" s="222" t="str">
        <f t="shared" si="53"/>
        <v/>
      </c>
      <c r="J268" s="222" t="str">
        <f t="shared" si="54"/>
        <v/>
      </c>
      <c r="K268" s="223" t="str">
        <f t="shared" si="55"/>
        <v/>
      </c>
      <c r="L268" s="195" t="str">
        <f t="shared" si="56"/>
        <v/>
      </c>
      <c r="M268" s="196" t="str">
        <f t="shared" si="57"/>
        <v/>
      </c>
      <c r="N268" s="120">
        <f t="shared" si="59"/>
        <v>4</v>
      </c>
      <c r="O268" s="125" t="str">
        <f t="shared" si="58"/>
        <v>LINEA AUTOMATICA HACOS 2-4</v>
      </c>
      <c r="S268" s="184" t="str">
        <f t="shared" si="46"/>
        <v/>
      </c>
      <c r="T268" s="185"/>
      <c r="U268" s="182"/>
      <c r="V268" s="182"/>
      <c r="W268" s="186"/>
      <c r="X268" s="186"/>
      <c r="Y268" s="241"/>
      <c r="Z268" s="182"/>
      <c r="AA268" s="401" t="str">
        <f>IFERROR(VLOOKUP(Z268,DATOS!$M$2:$N$219,2,FALSE),"")</f>
        <v/>
      </c>
      <c r="AB268" s="182"/>
      <c r="AC268" s="182"/>
      <c r="AD268" s="182"/>
      <c r="AE268" s="182"/>
      <c r="AF268" s="182"/>
      <c r="AG268" s="181"/>
      <c r="AH268" s="181"/>
      <c r="AI268" s="181"/>
      <c r="AJ268" s="181"/>
      <c r="AK268" s="181"/>
      <c r="AL268" s="181"/>
      <c r="AM268" s="181"/>
      <c r="AN268" s="181"/>
      <c r="AO268" s="181"/>
      <c r="AP268" s="181"/>
      <c r="AQ268" s="320"/>
      <c r="AR268" s="181"/>
      <c r="AS268" s="181"/>
      <c r="AT268" s="5" t="str">
        <f>IF(Tabla1015[[#This Row],[FECHA]]="","",VLOOKUP(TEXT(Tabla1015[[#This Row],[FECHA]],"[$-C0A]dddd"),Tabla2[#All],2,FALSE)&amp;"-"&amp;TEXT(Tabla1015[[#This Row],[FECHA]],"[$-C0A]dddd"))</f>
        <v/>
      </c>
      <c r="AU268" s="322">
        <f>COUNTIF($Z$4:Z268,Z268)</f>
        <v>0</v>
      </c>
    </row>
    <row r="269" spans="2:47" ht="57.75" hidden="1" customHeight="1">
      <c r="B269" s="784"/>
      <c r="C269" s="72" t="str">
        <f t="shared" si="47"/>
        <v/>
      </c>
      <c r="D269" s="258" t="str">
        <f t="shared" si="48"/>
        <v/>
      </c>
      <c r="E269" s="194" t="str">
        <f t="shared" si="49"/>
        <v/>
      </c>
      <c r="F269" s="348" t="str">
        <f t="shared" si="50"/>
        <v/>
      </c>
      <c r="G269" s="348" t="str">
        <f t="shared" si="51"/>
        <v/>
      </c>
      <c r="H269" s="222" t="str">
        <f t="shared" si="52"/>
        <v/>
      </c>
      <c r="I269" s="222" t="str">
        <f t="shared" si="53"/>
        <v/>
      </c>
      <c r="J269" s="222" t="str">
        <f t="shared" si="54"/>
        <v/>
      </c>
      <c r="K269" s="223" t="str">
        <f t="shared" si="55"/>
        <v/>
      </c>
      <c r="L269" s="195" t="str">
        <f t="shared" si="56"/>
        <v/>
      </c>
      <c r="M269" s="196" t="str">
        <f t="shared" si="57"/>
        <v/>
      </c>
      <c r="N269" s="120">
        <f t="shared" si="59"/>
        <v>5</v>
      </c>
      <c r="O269" s="125" t="str">
        <f t="shared" si="58"/>
        <v>LINEA AUTOMATICA HACOS 2-5</v>
      </c>
      <c r="S269" s="184" t="str">
        <f t="shared" si="46"/>
        <v/>
      </c>
      <c r="T269" s="185"/>
      <c r="U269" s="182"/>
      <c r="V269" s="182"/>
      <c r="W269" s="186"/>
      <c r="X269" s="186"/>
      <c r="Y269" s="241"/>
      <c r="Z269" s="182"/>
      <c r="AA269" s="187" t="str">
        <f>IFERROR(VLOOKUP(Z269,DATOS!$M$2:$N$219,2,FALSE),"")</f>
        <v/>
      </c>
      <c r="AB269" s="182"/>
      <c r="AC269" s="182"/>
      <c r="AD269" s="182"/>
      <c r="AE269" s="182"/>
      <c r="AF269" s="182"/>
      <c r="AG269" s="181"/>
      <c r="AH269" s="181"/>
      <c r="AI269" s="181"/>
      <c r="AJ269" s="181"/>
      <c r="AK269" s="181"/>
      <c r="AL269" s="181"/>
      <c r="AM269" s="181"/>
      <c r="AN269" s="181"/>
      <c r="AO269" s="181"/>
      <c r="AP269" s="181"/>
      <c r="AQ269" s="320"/>
      <c r="AR269" s="181"/>
      <c r="AS269" s="181"/>
      <c r="AT269" s="5" t="str">
        <f>IF(Tabla1015[[#This Row],[FECHA]]="","",VLOOKUP(TEXT(Tabla1015[[#This Row],[FECHA]],"[$-C0A]dddd"),Tabla2[#All],2,FALSE)&amp;"-"&amp;TEXT(Tabla1015[[#This Row],[FECHA]],"[$-C0A]dddd"))</f>
        <v/>
      </c>
      <c r="AU269" s="322">
        <f>COUNTIF($Z$4:Z269,Z269)</f>
        <v>0</v>
      </c>
    </row>
    <row r="270" spans="2:47" ht="57.75" hidden="1" customHeight="1">
      <c r="B270" s="784"/>
      <c r="C270" s="72" t="str">
        <f t="shared" si="47"/>
        <v/>
      </c>
      <c r="D270" s="258" t="str">
        <f t="shared" si="48"/>
        <v/>
      </c>
      <c r="E270" s="194" t="str">
        <f t="shared" si="49"/>
        <v/>
      </c>
      <c r="F270" s="348" t="str">
        <f t="shared" si="50"/>
        <v/>
      </c>
      <c r="G270" s="348" t="str">
        <f t="shared" si="51"/>
        <v/>
      </c>
      <c r="H270" s="222" t="str">
        <f t="shared" si="52"/>
        <v/>
      </c>
      <c r="I270" s="222" t="str">
        <f t="shared" si="53"/>
        <v/>
      </c>
      <c r="J270" s="222" t="str">
        <f t="shared" si="54"/>
        <v/>
      </c>
      <c r="K270" s="223" t="str">
        <f t="shared" si="55"/>
        <v/>
      </c>
      <c r="L270" s="195" t="str">
        <f t="shared" si="56"/>
        <v/>
      </c>
      <c r="M270" s="196" t="str">
        <f t="shared" si="57"/>
        <v/>
      </c>
      <c r="N270" s="120">
        <f t="shared" si="59"/>
        <v>6</v>
      </c>
      <c r="O270" s="125" t="str">
        <f t="shared" si="58"/>
        <v>LINEA AUTOMATICA HACOS 2-6</v>
      </c>
      <c r="S270" s="184" t="str">
        <f t="shared" si="46"/>
        <v/>
      </c>
      <c r="T270" s="185"/>
      <c r="U270" s="182"/>
      <c r="V270" s="182"/>
      <c r="W270" s="186"/>
      <c r="X270" s="186"/>
      <c r="Y270" s="241"/>
      <c r="Z270" s="182"/>
      <c r="AA270" s="187" t="str">
        <f>IFERROR(VLOOKUP(Z270,DATOS!$M$2:$N$219,2,FALSE),"")</f>
        <v/>
      </c>
      <c r="AB270" s="182"/>
      <c r="AC270" s="182"/>
      <c r="AD270" s="182"/>
      <c r="AE270" s="182"/>
      <c r="AF270" s="182"/>
      <c r="AG270" s="181"/>
      <c r="AH270" s="181"/>
      <c r="AI270" s="181"/>
      <c r="AJ270" s="181"/>
      <c r="AK270" s="181"/>
      <c r="AL270" s="181"/>
      <c r="AM270" s="181"/>
      <c r="AN270" s="181"/>
      <c r="AO270" s="181"/>
      <c r="AP270" s="181"/>
      <c r="AQ270" s="320"/>
      <c r="AR270" s="181"/>
      <c r="AS270" s="181"/>
      <c r="AT270" s="5" t="str">
        <f>IF(Tabla1015[[#This Row],[FECHA]]="","",VLOOKUP(TEXT(Tabla1015[[#This Row],[FECHA]],"[$-C0A]dddd"),Tabla2[#All],2,FALSE)&amp;"-"&amp;TEXT(Tabla1015[[#This Row],[FECHA]],"[$-C0A]dddd"))</f>
        <v/>
      </c>
      <c r="AU270" s="322">
        <f>COUNTIF($Z$4:Z270,Z270)</f>
        <v>0</v>
      </c>
    </row>
    <row r="271" spans="2:47" ht="57.75" hidden="1" customHeight="1">
      <c r="B271" s="784"/>
      <c r="C271" s="72" t="str">
        <f t="shared" si="47"/>
        <v/>
      </c>
      <c r="D271" s="258" t="str">
        <f t="shared" si="48"/>
        <v/>
      </c>
      <c r="E271" s="194" t="str">
        <f t="shared" si="49"/>
        <v/>
      </c>
      <c r="F271" s="348" t="str">
        <f t="shared" si="50"/>
        <v/>
      </c>
      <c r="G271" s="348" t="str">
        <f t="shared" si="51"/>
        <v/>
      </c>
      <c r="H271" s="222" t="str">
        <f t="shared" si="52"/>
        <v/>
      </c>
      <c r="I271" s="222" t="str">
        <f t="shared" si="53"/>
        <v/>
      </c>
      <c r="J271" s="222" t="str">
        <f t="shared" si="54"/>
        <v/>
      </c>
      <c r="K271" s="223" t="str">
        <f t="shared" si="55"/>
        <v/>
      </c>
      <c r="L271" s="195" t="str">
        <f t="shared" si="56"/>
        <v/>
      </c>
      <c r="M271" s="196" t="str">
        <f t="shared" si="57"/>
        <v/>
      </c>
      <c r="N271" s="120">
        <f t="shared" si="59"/>
        <v>7</v>
      </c>
      <c r="O271" s="125" t="str">
        <f t="shared" si="58"/>
        <v>LINEA AUTOMATICA HACOS 2-7</v>
      </c>
      <c r="S271" s="184" t="str">
        <f t="shared" si="46"/>
        <v/>
      </c>
      <c r="T271" s="185"/>
      <c r="U271" s="182"/>
      <c r="V271" s="182"/>
      <c r="W271" s="186"/>
      <c r="X271" s="186"/>
      <c r="Y271" s="241"/>
      <c r="Z271" s="182"/>
      <c r="AA271" s="187" t="str">
        <f>IFERROR(VLOOKUP(Z271,DATOS!$M$2:$N$219,2,FALSE),"")</f>
        <v/>
      </c>
      <c r="AB271" s="182"/>
      <c r="AC271" s="182"/>
      <c r="AD271" s="182"/>
      <c r="AE271" s="182"/>
      <c r="AF271" s="182"/>
      <c r="AG271" s="181"/>
      <c r="AH271" s="181"/>
      <c r="AI271" s="181"/>
      <c r="AJ271" s="181"/>
      <c r="AK271" s="181"/>
      <c r="AL271" s="181"/>
      <c r="AM271" s="181"/>
      <c r="AN271" s="181"/>
      <c r="AO271" s="181"/>
      <c r="AP271" s="181"/>
      <c r="AQ271" s="320"/>
      <c r="AR271" s="181"/>
      <c r="AS271" s="181"/>
      <c r="AT271" s="5" t="str">
        <f>IF(Tabla1015[[#This Row],[FECHA]]="","",VLOOKUP(TEXT(Tabla1015[[#This Row],[FECHA]],"[$-C0A]dddd"),Tabla2[#All],2,FALSE)&amp;"-"&amp;TEXT(Tabla1015[[#This Row],[FECHA]],"[$-C0A]dddd"))</f>
        <v/>
      </c>
      <c r="AU271" s="322">
        <f>COUNTIF($Z$4:Z271,Z271)</f>
        <v>0</v>
      </c>
    </row>
    <row r="272" spans="2:47" ht="57.75" hidden="1" customHeight="1">
      <c r="B272" s="784"/>
      <c r="C272" s="72" t="str">
        <f t="shared" si="47"/>
        <v/>
      </c>
      <c r="D272" s="258" t="str">
        <f t="shared" si="48"/>
        <v/>
      </c>
      <c r="E272" s="194" t="str">
        <f t="shared" si="49"/>
        <v/>
      </c>
      <c r="F272" s="348" t="str">
        <f t="shared" si="50"/>
        <v/>
      </c>
      <c r="G272" s="348" t="str">
        <f t="shared" si="51"/>
        <v/>
      </c>
      <c r="H272" s="222" t="str">
        <f t="shared" si="52"/>
        <v/>
      </c>
      <c r="I272" s="222" t="str">
        <f t="shared" si="53"/>
        <v/>
      </c>
      <c r="J272" s="222" t="str">
        <f t="shared" si="54"/>
        <v/>
      </c>
      <c r="K272" s="223" t="str">
        <f t="shared" si="55"/>
        <v/>
      </c>
      <c r="L272" s="195" t="str">
        <f t="shared" si="56"/>
        <v/>
      </c>
      <c r="M272" s="196" t="str">
        <f t="shared" si="57"/>
        <v/>
      </c>
      <c r="N272" s="120">
        <f t="shared" si="59"/>
        <v>8</v>
      </c>
      <c r="O272" s="125" t="str">
        <f t="shared" si="58"/>
        <v>LINEA AUTOMATICA HACOS 2-8</v>
      </c>
      <c r="S272" s="184" t="str">
        <f t="shared" si="46"/>
        <v/>
      </c>
      <c r="T272" s="185"/>
      <c r="U272" s="182"/>
      <c r="V272" s="182"/>
      <c r="W272" s="186"/>
      <c r="X272" s="186"/>
      <c r="Y272" s="241"/>
      <c r="Z272" s="182"/>
      <c r="AA272" s="187" t="str">
        <f>IFERROR(VLOOKUP(Z272,DATOS!$M$2:$N$219,2,FALSE),"")</f>
        <v/>
      </c>
      <c r="AB272" s="182"/>
      <c r="AC272" s="182"/>
      <c r="AD272" s="182"/>
      <c r="AE272" s="182"/>
      <c r="AF272" s="182"/>
      <c r="AG272" s="181"/>
      <c r="AH272" s="181"/>
      <c r="AI272" s="181"/>
      <c r="AJ272" s="181"/>
      <c r="AK272" s="181"/>
      <c r="AL272" s="181"/>
      <c r="AM272" s="181"/>
      <c r="AN272" s="181"/>
      <c r="AO272" s="181"/>
      <c r="AP272" s="181"/>
      <c r="AQ272" s="320"/>
      <c r="AR272" s="181"/>
      <c r="AS272" s="181"/>
      <c r="AT272" s="5" t="str">
        <f>IF(Tabla1015[[#This Row],[FECHA]]="","",VLOOKUP(TEXT(Tabla1015[[#This Row],[FECHA]],"[$-C0A]dddd"),Tabla2[#All],2,FALSE)&amp;"-"&amp;TEXT(Tabla1015[[#This Row],[FECHA]],"[$-C0A]dddd"))</f>
        <v/>
      </c>
      <c r="AU272" s="322">
        <f>COUNTIF($Z$4:Z272,Z272)</f>
        <v>0</v>
      </c>
    </row>
    <row r="273" spans="2:47" ht="57.75" hidden="1" customHeight="1">
      <c r="B273" s="784"/>
      <c r="C273" s="72" t="str">
        <f t="shared" si="47"/>
        <v/>
      </c>
      <c r="D273" s="258" t="str">
        <f t="shared" si="48"/>
        <v/>
      </c>
      <c r="E273" s="194" t="str">
        <f t="shared" si="49"/>
        <v/>
      </c>
      <c r="F273" s="348" t="str">
        <f t="shared" si="50"/>
        <v/>
      </c>
      <c r="G273" s="348" t="str">
        <f t="shared" si="51"/>
        <v/>
      </c>
      <c r="H273" s="222" t="str">
        <f t="shared" si="52"/>
        <v/>
      </c>
      <c r="I273" s="222" t="str">
        <f t="shared" si="53"/>
        <v/>
      </c>
      <c r="J273" s="222" t="str">
        <f t="shared" si="54"/>
        <v/>
      </c>
      <c r="K273" s="223" t="str">
        <f t="shared" si="55"/>
        <v/>
      </c>
      <c r="L273" s="195" t="str">
        <f t="shared" si="56"/>
        <v/>
      </c>
      <c r="M273" s="196" t="str">
        <f t="shared" si="57"/>
        <v/>
      </c>
      <c r="N273" s="120">
        <f t="shared" si="59"/>
        <v>9</v>
      </c>
      <c r="O273" s="125" t="str">
        <f t="shared" si="58"/>
        <v>LINEA AUTOMATICA HACOS 2-9</v>
      </c>
      <c r="S273" s="184" t="str">
        <f t="shared" si="46"/>
        <v/>
      </c>
      <c r="T273" s="185"/>
      <c r="U273" s="182"/>
      <c r="V273" s="182"/>
      <c r="W273" s="186"/>
      <c r="X273" s="186"/>
      <c r="Y273" s="241"/>
      <c r="Z273" s="182"/>
      <c r="AA273" s="187" t="str">
        <f>IFERROR(VLOOKUP(Z273,DATOS!$M$2:$N$219,2,FALSE),"")</f>
        <v/>
      </c>
      <c r="AB273" s="182"/>
      <c r="AC273" s="182"/>
      <c r="AD273" s="182"/>
      <c r="AE273" s="182"/>
      <c r="AF273" s="182"/>
      <c r="AG273" s="181"/>
      <c r="AH273" s="181"/>
      <c r="AI273" s="181"/>
      <c r="AJ273" s="181"/>
      <c r="AK273" s="181"/>
      <c r="AL273" s="181"/>
      <c r="AM273" s="181"/>
      <c r="AN273" s="181"/>
      <c r="AO273" s="181"/>
      <c r="AP273" s="181"/>
      <c r="AQ273" s="320"/>
      <c r="AR273" s="181"/>
      <c r="AS273" s="181"/>
      <c r="AT273" s="5" t="str">
        <f>IF(Tabla1015[[#This Row],[FECHA]]="","",VLOOKUP(TEXT(Tabla1015[[#This Row],[FECHA]],"[$-C0A]dddd"),Tabla2[#All],2,FALSE)&amp;"-"&amp;TEXT(Tabla1015[[#This Row],[FECHA]],"[$-C0A]dddd"))</f>
        <v/>
      </c>
      <c r="AU273" s="322">
        <f>COUNTIF($Z$4:Z273,Z273)</f>
        <v>0</v>
      </c>
    </row>
    <row r="274" spans="2:47" ht="57.75" hidden="1" customHeight="1">
      <c r="B274" s="785"/>
      <c r="C274" s="168" t="str">
        <f t="shared" si="47"/>
        <v/>
      </c>
      <c r="D274" s="267" t="str">
        <f t="shared" si="48"/>
        <v/>
      </c>
      <c r="E274" s="217" t="str">
        <f t="shared" si="49"/>
        <v/>
      </c>
      <c r="F274" s="355" t="str">
        <f t="shared" si="50"/>
        <v/>
      </c>
      <c r="G274" s="355" t="str">
        <f t="shared" si="51"/>
        <v/>
      </c>
      <c r="H274" s="236" t="str">
        <f t="shared" si="52"/>
        <v/>
      </c>
      <c r="I274" s="236" t="str">
        <f t="shared" si="53"/>
        <v/>
      </c>
      <c r="J274" s="236" t="str">
        <f t="shared" si="54"/>
        <v/>
      </c>
      <c r="K274" s="237" t="str">
        <f t="shared" si="55"/>
        <v/>
      </c>
      <c r="L274" s="218" t="str">
        <f t="shared" si="56"/>
        <v/>
      </c>
      <c r="M274" s="219" t="str">
        <f t="shared" si="57"/>
        <v/>
      </c>
      <c r="N274" s="136">
        <f t="shared" si="59"/>
        <v>10</v>
      </c>
      <c r="O274" s="130" t="str">
        <f t="shared" si="58"/>
        <v>LINEA AUTOMATICA HACOS 2-10</v>
      </c>
      <c r="S274" s="184" t="str">
        <f t="shared" si="46"/>
        <v/>
      </c>
      <c r="T274" s="185"/>
      <c r="U274" s="182"/>
      <c r="V274" s="182"/>
      <c r="W274" s="186"/>
      <c r="X274" s="186"/>
      <c r="Y274" s="241"/>
      <c r="Z274" s="182"/>
      <c r="AA274" s="187" t="str">
        <f>IFERROR(VLOOKUP(Z274,DATOS!$M$2:$N$219,2,FALSE),"")</f>
        <v/>
      </c>
      <c r="AB274" s="182"/>
      <c r="AC274" s="182"/>
      <c r="AD274" s="182"/>
      <c r="AE274" s="182"/>
      <c r="AF274" s="182"/>
      <c r="AG274" s="181"/>
      <c r="AH274" s="181"/>
      <c r="AI274" s="181"/>
      <c r="AJ274" s="181"/>
      <c r="AK274" s="181"/>
      <c r="AL274" s="181"/>
      <c r="AM274" s="181"/>
      <c r="AN274" s="181"/>
      <c r="AO274" s="181"/>
      <c r="AP274" s="181"/>
      <c r="AQ274" s="320"/>
      <c r="AR274" s="181"/>
      <c r="AS274" s="181"/>
      <c r="AT274" s="5" t="str">
        <f>IF(Tabla1015[[#This Row],[FECHA]]="","",VLOOKUP(TEXT(Tabla1015[[#This Row],[FECHA]],"[$-C0A]dddd"),Tabla2[#All],2,FALSE)&amp;"-"&amp;TEXT(Tabla1015[[#This Row],[FECHA]],"[$-C0A]dddd"))</f>
        <v/>
      </c>
      <c r="AU274" s="322">
        <f>COUNTIF($Z$4:Z274,Z274)</f>
        <v>0</v>
      </c>
    </row>
    <row r="275" spans="2:47" ht="57.75" customHeight="1">
      <c r="B275" s="786" t="str">
        <f>+'TABLA RES-SEMANA'!B77</f>
        <v>LINEA DE COCCION HANSEL</v>
      </c>
      <c r="C275" s="169" t="str">
        <f t="shared" si="47"/>
        <v>Maquinaria</v>
      </c>
      <c r="D275" s="257">
        <f t="shared" si="48"/>
        <v>45943</v>
      </c>
      <c r="E275" s="191" t="str">
        <f t="shared" si="49"/>
        <v>NOCHE</v>
      </c>
      <c r="F275" s="347" t="str">
        <f t="shared" si="50"/>
        <v>23:15</v>
      </c>
      <c r="G275" s="347">
        <f t="shared" si="51"/>
        <v>1.0069444444444444</v>
      </c>
      <c r="H275" s="220">
        <f t="shared" si="52"/>
        <v>3.8194444444442865E-2</v>
      </c>
      <c r="I275" s="220" t="str">
        <f t="shared" si="53"/>
        <v>Ajuste /Calibracion</v>
      </c>
      <c r="J275" s="220" t="str">
        <f t="shared" si="54"/>
        <v>NO PROGRAMADA</v>
      </c>
      <c r="K275" s="221" t="str">
        <f t="shared" si="55"/>
        <v>MECÁNICA</v>
      </c>
      <c r="L275" s="192" t="str">
        <f t="shared" si="56"/>
        <v>Problemas con el vacío, válvulas no calibradas</v>
      </c>
      <c r="M275" s="193" t="str">
        <f t="shared" si="57"/>
        <v>Se aborto receta y se descargo manualmente a mesa de toffe, se regulo la presión de vacío sin carga</v>
      </c>
      <c r="N275" s="100">
        <v>1</v>
      </c>
      <c r="O275" s="98" t="str">
        <f>CONCATENATE($B$275,"-",N275)</f>
        <v>LINEA DE COCCION HANSEL-1</v>
      </c>
      <c r="P275" s="91">
        <f>COUNTIF(H275:H284,"&lt;&gt;**")</f>
        <v>3</v>
      </c>
      <c r="S275" s="184" t="str">
        <f t="shared" si="46"/>
        <v/>
      </c>
      <c r="T275" s="185"/>
      <c r="U275" s="182"/>
      <c r="V275" s="182"/>
      <c r="W275" s="186"/>
      <c r="X275" s="186"/>
      <c r="Y275" s="240"/>
      <c r="Z275" s="182"/>
      <c r="AA275" s="401" t="str">
        <f>IFERROR(VLOOKUP(Z275,DATOS!$M$2:$N$219,2,FALSE),"")</f>
        <v/>
      </c>
      <c r="AB275" s="182"/>
      <c r="AC275" s="182"/>
      <c r="AD275" s="182"/>
      <c r="AE275" s="182"/>
      <c r="AF275" s="182"/>
      <c r="AG275" s="181"/>
      <c r="AH275" s="181"/>
      <c r="AI275" s="181"/>
      <c r="AJ275" s="181"/>
      <c r="AK275" s="181"/>
      <c r="AL275" s="181"/>
      <c r="AM275" s="181"/>
      <c r="AN275" s="181"/>
      <c r="AO275" s="181"/>
      <c r="AP275" s="181"/>
      <c r="AQ275" s="320"/>
      <c r="AR275" s="181"/>
      <c r="AS275" s="181"/>
      <c r="AT275" s="5" t="str">
        <f>IF(Tabla1015[[#This Row],[FECHA]]="","",VLOOKUP(TEXT(Tabla1015[[#This Row],[FECHA]],"[$-C0A]dddd"),Tabla2[#All],2,FALSE)&amp;"-"&amp;TEXT(Tabla1015[[#This Row],[FECHA]],"[$-C0A]dddd"))</f>
        <v/>
      </c>
      <c r="AU275" s="322">
        <f>COUNTIF($Z$4:Z275,Z275)</f>
        <v>0</v>
      </c>
    </row>
    <row r="276" spans="2:47" ht="57.75" customHeight="1">
      <c r="B276" s="784"/>
      <c r="C276" s="72" t="str">
        <f t="shared" si="47"/>
        <v>Maquinaria</v>
      </c>
      <c r="D276" s="258">
        <f t="shared" si="48"/>
        <v>45943</v>
      </c>
      <c r="E276" s="194" t="str">
        <f t="shared" si="49"/>
        <v>MAÑANA</v>
      </c>
      <c r="F276" s="348" t="str">
        <f t="shared" si="50"/>
        <v>08:00</v>
      </c>
      <c r="G276" s="348" t="str">
        <f t="shared" si="51"/>
        <v>08:30</v>
      </c>
      <c r="H276" s="222">
        <f t="shared" si="52"/>
        <v>2.083333333333337E-2</v>
      </c>
      <c r="I276" s="222" t="str">
        <f t="shared" si="53"/>
        <v>Ajuste /Calibracion</v>
      </c>
      <c r="J276" s="222" t="str">
        <f t="shared" si="54"/>
        <v>NO PROGRAMADA</v>
      </c>
      <c r="K276" s="223" t="str">
        <f t="shared" si="55"/>
        <v>MECÁNICA</v>
      </c>
      <c r="L276" s="195" t="str">
        <f t="shared" si="56"/>
        <v>Válvula de descarga, no realiza la apertura de forma manual. Se presencia fuga de aire por actuador neumático.</v>
      </c>
      <c r="M276" s="196" t="str">
        <f t="shared" si="57"/>
        <v>Se revisó y aperturó de forma manual válvula de descarga.Se informó a jefe de mantenimiento y a supervisor de producción, para la intervención (retiro de válvula).</v>
      </c>
      <c r="N276" s="120">
        <f>+N275+1</f>
        <v>2</v>
      </c>
      <c r="O276" s="125" t="str">
        <f t="shared" ref="O276:O284" si="60">CONCATENATE($B$275,"-",N276)</f>
        <v>LINEA DE COCCION HANSEL-2</v>
      </c>
      <c r="S276" s="184" t="str">
        <f t="shared" si="46"/>
        <v/>
      </c>
      <c r="T276" s="185"/>
      <c r="U276" s="182"/>
      <c r="V276" s="182"/>
      <c r="W276" s="186"/>
      <c r="X276" s="186"/>
      <c r="Y276" s="240"/>
      <c r="Z276" s="182"/>
      <c r="AA276" s="401" t="str">
        <f>IFERROR(VLOOKUP(Z276,DATOS!$M$2:$N$219,2,FALSE),"")</f>
        <v/>
      </c>
      <c r="AB276" s="182"/>
      <c r="AC276" s="182"/>
      <c r="AD276" s="182"/>
      <c r="AE276" s="182"/>
      <c r="AF276" s="182"/>
      <c r="AG276" s="181"/>
      <c r="AH276" s="181"/>
      <c r="AI276" s="181"/>
      <c r="AJ276" s="181"/>
      <c r="AK276" s="181"/>
      <c r="AL276" s="181"/>
      <c r="AM276" s="181"/>
      <c r="AN276" s="181"/>
      <c r="AO276" s="181"/>
      <c r="AP276" s="181"/>
      <c r="AQ276" s="320"/>
      <c r="AR276" s="181"/>
      <c r="AS276" s="181"/>
      <c r="AT276" s="5" t="str">
        <f>IF(Tabla1015[[#This Row],[FECHA]]="","",VLOOKUP(TEXT(Tabla1015[[#This Row],[FECHA]],"[$-C0A]dddd"),Tabla2[#All],2,FALSE)&amp;"-"&amp;TEXT(Tabla1015[[#This Row],[FECHA]],"[$-C0A]dddd"))</f>
        <v/>
      </c>
      <c r="AU276" s="322">
        <f>COUNTIF($Z$4:Z276,Z276)</f>
        <v>0</v>
      </c>
    </row>
    <row r="277" spans="2:47" ht="57.75" customHeight="1">
      <c r="B277" s="784"/>
      <c r="C277" s="72" t="str">
        <f t="shared" si="47"/>
        <v>Maquinaria</v>
      </c>
      <c r="D277" s="258">
        <f t="shared" si="48"/>
        <v>45948</v>
      </c>
      <c r="E277" s="194" t="str">
        <f t="shared" si="49"/>
        <v>TARDE</v>
      </c>
      <c r="F277" s="348" t="str">
        <f t="shared" si="50"/>
        <v>14:18</v>
      </c>
      <c r="G277" s="348" t="str">
        <f t="shared" si="51"/>
        <v>14:57</v>
      </c>
      <c r="H277" s="222">
        <f t="shared" si="52"/>
        <v>2.7083333333333348E-2</v>
      </c>
      <c r="I277" s="222" t="str">
        <f t="shared" si="53"/>
        <v>Inspección</v>
      </c>
      <c r="J277" s="222" t="str">
        <f t="shared" si="54"/>
        <v>PROGRAMADA</v>
      </c>
      <c r="K277" s="223" t="str">
        <f t="shared" si="55"/>
        <v/>
      </c>
      <c r="L277" s="195" t="str">
        <f t="shared" si="56"/>
        <v xml:space="preserve">Revisión de funcionamiento de vacío en coccion de toffee chocolate </v>
      </c>
      <c r="M277" s="196" t="str">
        <f t="shared" si="57"/>
        <v/>
      </c>
      <c r="N277" s="120">
        <f t="shared" ref="N277:N284" si="61">+N276+1</f>
        <v>3</v>
      </c>
      <c r="O277" s="125" t="str">
        <f t="shared" si="60"/>
        <v>LINEA DE COCCION HANSEL-3</v>
      </c>
      <c r="S277" s="184" t="str">
        <f t="shared" si="46"/>
        <v/>
      </c>
      <c r="T277" s="185"/>
      <c r="U277" s="182"/>
      <c r="V277" s="182"/>
      <c r="W277" s="186"/>
      <c r="X277" s="186"/>
      <c r="Y277" s="240"/>
      <c r="Z277" s="182"/>
      <c r="AA277" s="401" t="str">
        <f>IFERROR(VLOOKUP(Z277,DATOS!$M$2:$N$219,2,FALSE),"")</f>
        <v/>
      </c>
      <c r="AB277" s="182"/>
      <c r="AC277" s="182"/>
      <c r="AD277" s="182"/>
      <c r="AE277" s="182"/>
      <c r="AF277" s="182"/>
      <c r="AG277" s="181"/>
      <c r="AH277" s="181"/>
      <c r="AI277" s="181"/>
      <c r="AJ277" s="181"/>
      <c r="AK277" s="181"/>
      <c r="AL277" s="181"/>
      <c r="AM277" s="181"/>
      <c r="AN277" s="181"/>
      <c r="AO277" s="181"/>
      <c r="AP277" s="181"/>
      <c r="AQ277" s="320"/>
      <c r="AR277" s="181"/>
      <c r="AS277" s="181"/>
      <c r="AT277" s="5" t="str">
        <f>IF(Tabla1015[[#This Row],[FECHA]]="","",VLOOKUP(TEXT(Tabla1015[[#This Row],[FECHA]],"[$-C0A]dddd"),Tabla2[#All],2,FALSE)&amp;"-"&amp;TEXT(Tabla1015[[#This Row],[FECHA]],"[$-C0A]dddd"))</f>
        <v/>
      </c>
      <c r="AU277" s="322">
        <f>COUNTIF($Z$4:Z277,Z277)</f>
        <v>0</v>
      </c>
    </row>
    <row r="278" spans="2:47" ht="57.75" hidden="1" customHeight="1">
      <c r="B278" s="784"/>
      <c r="C278" s="72" t="str">
        <f t="shared" si="47"/>
        <v/>
      </c>
      <c r="D278" s="258" t="str">
        <f t="shared" si="48"/>
        <v/>
      </c>
      <c r="E278" s="194" t="str">
        <f t="shared" si="49"/>
        <v/>
      </c>
      <c r="F278" s="348" t="str">
        <f t="shared" si="50"/>
        <v/>
      </c>
      <c r="G278" s="348" t="str">
        <f t="shared" si="51"/>
        <v/>
      </c>
      <c r="H278" s="222" t="str">
        <f t="shared" si="52"/>
        <v/>
      </c>
      <c r="I278" s="222" t="str">
        <f t="shared" si="53"/>
        <v/>
      </c>
      <c r="J278" s="222" t="str">
        <f t="shared" si="54"/>
        <v/>
      </c>
      <c r="K278" s="223" t="str">
        <f t="shared" si="55"/>
        <v/>
      </c>
      <c r="L278" s="195" t="str">
        <f t="shared" si="56"/>
        <v/>
      </c>
      <c r="M278" s="196" t="str">
        <f t="shared" si="57"/>
        <v/>
      </c>
      <c r="N278" s="120">
        <f t="shared" si="61"/>
        <v>4</v>
      </c>
      <c r="O278" s="125" t="str">
        <f t="shared" si="60"/>
        <v>LINEA DE COCCION HANSEL-4</v>
      </c>
      <c r="S278" s="184" t="str">
        <f t="shared" si="46"/>
        <v/>
      </c>
      <c r="T278" s="185"/>
      <c r="U278" s="182"/>
      <c r="V278" s="182"/>
      <c r="W278" s="186"/>
      <c r="X278" s="186"/>
      <c r="Y278" s="241"/>
      <c r="Z278" s="182"/>
      <c r="AA278" s="401" t="str">
        <f>IFERROR(VLOOKUP(Z278,DATOS!$M$2:$N$219,2,FALSE),"")</f>
        <v/>
      </c>
      <c r="AB278" s="182"/>
      <c r="AC278" s="182"/>
      <c r="AD278" s="182"/>
      <c r="AE278" s="182"/>
      <c r="AF278" s="182"/>
      <c r="AG278" s="181"/>
      <c r="AH278" s="181"/>
      <c r="AI278" s="181"/>
      <c r="AJ278" s="181"/>
      <c r="AK278" s="181"/>
      <c r="AL278" s="181"/>
      <c r="AM278" s="181"/>
      <c r="AN278" s="181"/>
      <c r="AO278" s="181"/>
      <c r="AP278" s="181"/>
      <c r="AQ278" s="320"/>
      <c r="AR278" s="181"/>
      <c r="AS278" s="181"/>
      <c r="AT278" s="5" t="str">
        <f>IF(Tabla1015[[#This Row],[FECHA]]="","",VLOOKUP(TEXT(Tabla1015[[#This Row],[FECHA]],"[$-C0A]dddd"),Tabla2[#All],2,FALSE)&amp;"-"&amp;TEXT(Tabla1015[[#This Row],[FECHA]],"[$-C0A]dddd"))</f>
        <v/>
      </c>
      <c r="AU278" s="322">
        <f>COUNTIF($Z$4:Z278,Z278)</f>
        <v>0</v>
      </c>
    </row>
    <row r="279" spans="2:47" ht="78.75" hidden="1">
      <c r="B279" s="784"/>
      <c r="C279" s="72" t="str">
        <f t="shared" si="47"/>
        <v/>
      </c>
      <c r="D279" s="258" t="str">
        <f t="shared" si="48"/>
        <v/>
      </c>
      <c r="E279" s="194" t="str">
        <f t="shared" si="49"/>
        <v/>
      </c>
      <c r="F279" s="348" t="str">
        <f t="shared" si="50"/>
        <v/>
      </c>
      <c r="G279" s="348" t="str">
        <f t="shared" si="51"/>
        <v/>
      </c>
      <c r="H279" s="222" t="str">
        <f t="shared" si="52"/>
        <v/>
      </c>
      <c r="I279" s="222" t="str">
        <f t="shared" si="53"/>
        <v/>
      </c>
      <c r="J279" s="222" t="str">
        <f t="shared" si="54"/>
        <v/>
      </c>
      <c r="K279" s="223" t="str">
        <f t="shared" si="55"/>
        <v/>
      </c>
      <c r="L279" s="195" t="str">
        <f t="shared" si="56"/>
        <v/>
      </c>
      <c r="M279" s="196" t="str">
        <f t="shared" si="57"/>
        <v/>
      </c>
      <c r="N279" s="120">
        <f t="shared" si="61"/>
        <v>5</v>
      </c>
      <c r="O279" s="125" t="str">
        <f t="shared" si="60"/>
        <v>LINEA DE COCCION HANSEL-5</v>
      </c>
      <c r="S279" s="184" t="str">
        <f t="shared" si="46"/>
        <v/>
      </c>
      <c r="T279" s="185"/>
      <c r="U279" s="182"/>
      <c r="V279" s="182"/>
      <c r="W279" s="186"/>
      <c r="X279" s="186"/>
      <c r="Y279" s="241"/>
      <c r="Z279" s="182"/>
      <c r="AA279" s="187" t="str">
        <f>IFERROR(VLOOKUP(Z279,DATOS!$M$2:$N$219,2,FALSE),"")</f>
        <v/>
      </c>
      <c r="AB279" s="182"/>
      <c r="AC279" s="182"/>
      <c r="AD279" s="182"/>
      <c r="AE279" s="182"/>
      <c r="AF279" s="182"/>
      <c r="AG279" s="181"/>
      <c r="AH279" s="181"/>
      <c r="AI279" s="181"/>
      <c r="AJ279" s="181"/>
      <c r="AK279" s="181"/>
      <c r="AL279" s="181"/>
      <c r="AM279" s="181"/>
      <c r="AN279" s="181"/>
      <c r="AO279" s="181"/>
      <c r="AP279" s="181"/>
      <c r="AQ279" s="320"/>
      <c r="AR279" s="181"/>
      <c r="AS279" s="181"/>
      <c r="AT279" s="5" t="str">
        <f>IF(Tabla1015[[#This Row],[FECHA]]="","",VLOOKUP(TEXT(Tabla1015[[#This Row],[FECHA]],"[$-C0A]dddd"),Tabla2[#All],2,FALSE)&amp;"-"&amp;TEXT(Tabla1015[[#This Row],[FECHA]],"[$-C0A]dddd"))</f>
        <v/>
      </c>
      <c r="AU279" s="322">
        <f>COUNTIF($Z$4:Z279,Z279)</f>
        <v>0</v>
      </c>
    </row>
    <row r="280" spans="2:47" ht="57.75" hidden="1" customHeight="1">
      <c r="B280" s="784"/>
      <c r="C280" s="72" t="str">
        <f t="shared" si="47"/>
        <v/>
      </c>
      <c r="D280" s="258" t="str">
        <f t="shared" si="48"/>
        <v/>
      </c>
      <c r="E280" s="194" t="str">
        <f t="shared" si="49"/>
        <v/>
      </c>
      <c r="F280" s="348" t="str">
        <f t="shared" si="50"/>
        <v/>
      </c>
      <c r="G280" s="348" t="str">
        <f t="shared" si="51"/>
        <v/>
      </c>
      <c r="H280" s="222" t="str">
        <f t="shared" si="52"/>
        <v/>
      </c>
      <c r="I280" s="222" t="str">
        <f t="shared" si="53"/>
        <v/>
      </c>
      <c r="J280" s="222" t="str">
        <f t="shared" si="54"/>
        <v/>
      </c>
      <c r="K280" s="223" t="str">
        <f t="shared" si="55"/>
        <v/>
      </c>
      <c r="L280" s="195" t="str">
        <f t="shared" si="56"/>
        <v/>
      </c>
      <c r="M280" s="196" t="str">
        <f t="shared" si="57"/>
        <v/>
      </c>
      <c r="N280" s="120">
        <f t="shared" si="61"/>
        <v>6</v>
      </c>
      <c r="O280" s="125" t="str">
        <f t="shared" si="60"/>
        <v>LINEA DE COCCION HANSEL-6</v>
      </c>
      <c r="S280" s="184" t="str">
        <f t="shared" si="46"/>
        <v/>
      </c>
      <c r="T280" s="185"/>
      <c r="U280" s="182"/>
      <c r="V280" s="182"/>
      <c r="W280" s="186"/>
      <c r="X280" s="186"/>
      <c r="Y280" s="241"/>
      <c r="Z280" s="182"/>
      <c r="AA280" s="187" t="str">
        <f>IFERROR(VLOOKUP(Z280,DATOS!$M$2:$N$219,2,FALSE),"")</f>
        <v/>
      </c>
      <c r="AB280" s="182"/>
      <c r="AC280" s="182"/>
      <c r="AD280" s="182"/>
      <c r="AE280" s="182"/>
      <c r="AF280" s="182"/>
      <c r="AG280" s="181"/>
      <c r="AH280" s="181"/>
      <c r="AI280" s="181"/>
      <c r="AJ280" s="181"/>
      <c r="AK280" s="181"/>
      <c r="AL280" s="181"/>
      <c r="AM280" s="181"/>
      <c r="AN280" s="181"/>
      <c r="AO280" s="181"/>
      <c r="AP280" s="181"/>
      <c r="AQ280" s="320"/>
      <c r="AR280" s="181"/>
      <c r="AS280" s="181"/>
      <c r="AT280" s="5" t="str">
        <f>IF(Tabla1015[[#This Row],[FECHA]]="","",VLOOKUP(TEXT(Tabla1015[[#This Row],[FECHA]],"[$-C0A]dddd"),Tabla2[#All],2,FALSE)&amp;"-"&amp;TEXT(Tabla1015[[#This Row],[FECHA]],"[$-C0A]dddd"))</f>
        <v/>
      </c>
      <c r="AU280" s="322">
        <f>COUNTIF($Z$4:Z280,Z280)</f>
        <v>0</v>
      </c>
    </row>
    <row r="281" spans="2:47" ht="57.75" hidden="1" customHeight="1">
      <c r="B281" s="784"/>
      <c r="C281" s="72" t="str">
        <f t="shared" si="47"/>
        <v/>
      </c>
      <c r="D281" s="258" t="str">
        <f t="shared" si="48"/>
        <v/>
      </c>
      <c r="E281" s="194" t="str">
        <f t="shared" si="49"/>
        <v/>
      </c>
      <c r="F281" s="348" t="str">
        <f t="shared" si="50"/>
        <v/>
      </c>
      <c r="G281" s="348" t="str">
        <f t="shared" si="51"/>
        <v/>
      </c>
      <c r="H281" s="222" t="str">
        <f t="shared" si="52"/>
        <v/>
      </c>
      <c r="I281" s="222" t="str">
        <f t="shared" si="53"/>
        <v/>
      </c>
      <c r="J281" s="222" t="str">
        <f t="shared" si="54"/>
        <v/>
      </c>
      <c r="K281" s="223" t="str">
        <f t="shared" si="55"/>
        <v/>
      </c>
      <c r="L281" s="195" t="str">
        <f t="shared" si="56"/>
        <v/>
      </c>
      <c r="M281" s="196" t="str">
        <f t="shared" si="57"/>
        <v/>
      </c>
      <c r="N281" s="120">
        <f t="shared" si="61"/>
        <v>7</v>
      </c>
      <c r="O281" s="125" t="str">
        <f t="shared" si="60"/>
        <v>LINEA DE COCCION HANSEL-7</v>
      </c>
      <c r="S281" s="184" t="str">
        <f t="shared" si="46"/>
        <v/>
      </c>
      <c r="T281" s="185"/>
      <c r="U281" s="182"/>
      <c r="V281" s="182"/>
      <c r="W281" s="186"/>
      <c r="X281" s="186"/>
      <c r="Y281" s="241"/>
      <c r="Z281" s="182"/>
      <c r="AA281" s="187" t="str">
        <f>IFERROR(VLOOKUP(Z281,DATOS!$M$2:$N$219,2,FALSE),"")</f>
        <v/>
      </c>
      <c r="AB281" s="182"/>
      <c r="AC281" s="182"/>
      <c r="AD281" s="182"/>
      <c r="AE281" s="182"/>
      <c r="AF281" s="182"/>
      <c r="AG281" s="181"/>
      <c r="AH281" s="181"/>
      <c r="AI281" s="181"/>
      <c r="AJ281" s="181"/>
      <c r="AK281" s="181"/>
      <c r="AL281" s="181"/>
      <c r="AM281" s="181"/>
      <c r="AN281" s="181"/>
      <c r="AO281" s="181"/>
      <c r="AP281" s="181"/>
      <c r="AQ281" s="320"/>
      <c r="AR281" s="181"/>
      <c r="AS281" s="181"/>
      <c r="AT281" s="5" t="str">
        <f>IF(Tabla1015[[#This Row],[FECHA]]="","",VLOOKUP(TEXT(Tabla1015[[#This Row],[FECHA]],"[$-C0A]dddd"),Tabla2[#All],2,FALSE)&amp;"-"&amp;TEXT(Tabla1015[[#This Row],[FECHA]],"[$-C0A]dddd"))</f>
        <v/>
      </c>
      <c r="AU281" s="322">
        <f>COUNTIF($Z$4:Z281,Z281)</f>
        <v>0</v>
      </c>
    </row>
    <row r="282" spans="2:47" ht="57.75" hidden="1" customHeight="1">
      <c r="B282" s="784"/>
      <c r="C282" s="72" t="str">
        <f t="shared" si="47"/>
        <v/>
      </c>
      <c r="D282" s="258" t="str">
        <f t="shared" si="48"/>
        <v/>
      </c>
      <c r="E282" s="194" t="str">
        <f t="shared" si="49"/>
        <v/>
      </c>
      <c r="F282" s="348" t="str">
        <f t="shared" si="50"/>
        <v/>
      </c>
      <c r="G282" s="348" t="str">
        <f t="shared" si="51"/>
        <v/>
      </c>
      <c r="H282" s="222" t="str">
        <f t="shared" si="52"/>
        <v/>
      </c>
      <c r="I282" s="222" t="str">
        <f t="shared" si="53"/>
        <v/>
      </c>
      <c r="J282" s="222" t="str">
        <f t="shared" si="54"/>
        <v/>
      </c>
      <c r="K282" s="223" t="str">
        <f t="shared" si="55"/>
        <v/>
      </c>
      <c r="L282" s="195" t="str">
        <f t="shared" si="56"/>
        <v/>
      </c>
      <c r="M282" s="196" t="str">
        <f t="shared" si="57"/>
        <v/>
      </c>
      <c r="N282" s="120">
        <f t="shared" si="61"/>
        <v>8</v>
      </c>
      <c r="O282" s="125" t="str">
        <f t="shared" si="60"/>
        <v>LINEA DE COCCION HANSEL-8</v>
      </c>
      <c r="S282" s="184" t="str">
        <f t="shared" si="46"/>
        <v/>
      </c>
      <c r="T282" s="185"/>
      <c r="U282" s="182"/>
      <c r="V282" s="182"/>
      <c r="W282" s="186"/>
      <c r="X282" s="186"/>
      <c r="Y282" s="241"/>
      <c r="Z282" s="182"/>
      <c r="AA282" s="187" t="str">
        <f>IFERROR(VLOOKUP(Z282,DATOS!$M$2:$N$219,2,FALSE),"")</f>
        <v/>
      </c>
      <c r="AB282" s="182"/>
      <c r="AC282" s="182"/>
      <c r="AD282" s="182"/>
      <c r="AE282" s="182"/>
      <c r="AF282" s="182"/>
      <c r="AG282" s="181"/>
      <c r="AH282" s="181"/>
      <c r="AI282" s="181"/>
      <c r="AJ282" s="181"/>
      <c r="AK282" s="181"/>
      <c r="AL282" s="181"/>
      <c r="AM282" s="181"/>
      <c r="AN282" s="181"/>
      <c r="AO282" s="181"/>
      <c r="AP282" s="181"/>
      <c r="AQ282" s="320"/>
      <c r="AR282" s="181"/>
      <c r="AS282" s="181"/>
      <c r="AT282" s="5" t="str">
        <f>IF(Tabla1015[[#This Row],[FECHA]]="","",VLOOKUP(TEXT(Tabla1015[[#This Row],[FECHA]],"[$-C0A]dddd"),Tabla2[#All],2,FALSE)&amp;"-"&amp;TEXT(Tabla1015[[#This Row],[FECHA]],"[$-C0A]dddd"))</f>
        <v/>
      </c>
      <c r="AU282" s="322">
        <f>COUNTIF($Z$4:Z282,Z282)</f>
        <v>0</v>
      </c>
    </row>
    <row r="283" spans="2:47" ht="57.75" hidden="1" customHeight="1">
      <c r="B283" s="784"/>
      <c r="C283" s="72" t="str">
        <f t="shared" si="47"/>
        <v/>
      </c>
      <c r="D283" s="258" t="str">
        <f t="shared" si="48"/>
        <v/>
      </c>
      <c r="E283" s="194" t="str">
        <f t="shared" si="49"/>
        <v/>
      </c>
      <c r="F283" s="348" t="str">
        <f t="shared" si="50"/>
        <v/>
      </c>
      <c r="G283" s="348" t="str">
        <f t="shared" si="51"/>
        <v/>
      </c>
      <c r="H283" s="222" t="str">
        <f t="shared" si="52"/>
        <v/>
      </c>
      <c r="I283" s="222" t="str">
        <f t="shared" si="53"/>
        <v/>
      </c>
      <c r="J283" s="222" t="str">
        <f t="shared" si="54"/>
        <v/>
      </c>
      <c r="K283" s="223" t="str">
        <f t="shared" si="55"/>
        <v/>
      </c>
      <c r="L283" s="195" t="str">
        <f t="shared" si="56"/>
        <v/>
      </c>
      <c r="M283" s="196" t="str">
        <f t="shared" si="57"/>
        <v/>
      </c>
      <c r="N283" s="120">
        <f t="shared" si="61"/>
        <v>9</v>
      </c>
      <c r="O283" s="125" t="str">
        <f t="shared" si="60"/>
        <v>LINEA DE COCCION HANSEL-9</v>
      </c>
      <c r="S283" s="184" t="str">
        <f t="shared" si="46"/>
        <v/>
      </c>
      <c r="T283" s="185"/>
      <c r="U283" s="182"/>
      <c r="V283" s="182"/>
      <c r="W283" s="186"/>
      <c r="X283" s="186"/>
      <c r="Y283" s="241"/>
      <c r="Z283" s="182"/>
      <c r="AA283" s="187" t="str">
        <f>IFERROR(VLOOKUP(Z283,DATOS!$M$2:$N$219,2,FALSE),"")</f>
        <v/>
      </c>
      <c r="AB283" s="182"/>
      <c r="AC283" s="182"/>
      <c r="AD283" s="182"/>
      <c r="AE283" s="182"/>
      <c r="AF283" s="182"/>
      <c r="AG283" s="181"/>
      <c r="AH283" s="181"/>
      <c r="AI283" s="181"/>
      <c r="AJ283" s="181"/>
      <c r="AK283" s="181"/>
      <c r="AL283" s="181"/>
      <c r="AM283" s="181"/>
      <c r="AN283" s="181"/>
      <c r="AO283" s="181"/>
      <c r="AP283" s="181"/>
      <c r="AQ283" s="320"/>
      <c r="AR283" s="181"/>
      <c r="AS283" s="181"/>
      <c r="AT283" s="5" t="str">
        <f>IF(Tabla1015[[#This Row],[FECHA]]="","",VLOOKUP(TEXT(Tabla1015[[#This Row],[FECHA]],"[$-C0A]dddd"),Tabla2[#All],2,FALSE)&amp;"-"&amp;TEXT(Tabla1015[[#This Row],[FECHA]],"[$-C0A]dddd"))</f>
        <v/>
      </c>
      <c r="AU283" s="322">
        <f>COUNTIF($Z$4:Z283,Z283)</f>
        <v>0</v>
      </c>
    </row>
    <row r="284" spans="2:47" ht="57.75" hidden="1" customHeight="1">
      <c r="B284" s="785"/>
      <c r="C284" s="168" t="str">
        <f t="shared" si="47"/>
        <v/>
      </c>
      <c r="D284" s="267" t="str">
        <f t="shared" si="48"/>
        <v/>
      </c>
      <c r="E284" s="217" t="str">
        <f t="shared" si="49"/>
        <v/>
      </c>
      <c r="F284" s="355" t="str">
        <f t="shared" si="50"/>
        <v/>
      </c>
      <c r="G284" s="355" t="str">
        <f t="shared" si="51"/>
        <v/>
      </c>
      <c r="H284" s="236" t="str">
        <f t="shared" si="52"/>
        <v/>
      </c>
      <c r="I284" s="236" t="str">
        <f t="shared" si="53"/>
        <v/>
      </c>
      <c r="J284" s="236" t="str">
        <f t="shared" si="54"/>
        <v/>
      </c>
      <c r="K284" s="237" t="str">
        <f t="shared" si="55"/>
        <v/>
      </c>
      <c r="L284" s="218" t="str">
        <f t="shared" si="56"/>
        <v/>
      </c>
      <c r="M284" s="219" t="str">
        <f t="shared" si="57"/>
        <v/>
      </c>
      <c r="N284" s="136">
        <f t="shared" si="61"/>
        <v>10</v>
      </c>
      <c r="O284" s="130" t="str">
        <f t="shared" si="60"/>
        <v>LINEA DE COCCION HANSEL-10</v>
      </c>
      <c r="S284" s="184" t="str">
        <f t="shared" si="46"/>
        <v/>
      </c>
      <c r="T284" s="185"/>
      <c r="U284" s="182"/>
      <c r="V284" s="182"/>
      <c r="W284" s="186"/>
      <c r="X284" s="186"/>
      <c r="Y284" s="241"/>
      <c r="Z284" s="182"/>
      <c r="AA284" s="187" t="str">
        <f>IFERROR(VLOOKUP(Z284,DATOS!$M$2:$N$219,2,FALSE),"")</f>
        <v/>
      </c>
      <c r="AB284" s="182"/>
      <c r="AC284" s="182"/>
      <c r="AD284" s="182"/>
      <c r="AE284" s="182"/>
      <c r="AF284" s="182"/>
      <c r="AG284" s="181"/>
      <c r="AH284" s="181"/>
      <c r="AI284" s="181"/>
      <c r="AJ284" s="181"/>
      <c r="AK284" s="181"/>
      <c r="AL284" s="181"/>
      <c r="AM284" s="181"/>
      <c r="AN284" s="181"/>
      <c r="AO284" s="181"/>
      <c r="AP284" s="181"/>
      <c r="AQ284" s="320"/>
      <c r="AR284" s="181"/>
      <c r="AS284" s="181"/>
      <c r="AT284" s="5" t="str">
        <f>IF(Tabla1015[[#This Row],[FECHA]]="","",VLOOKUP(TEXT(Tabla1015[[#This Row],[FECHA]],"[$-C0A]dddd"),Tabla2[#All],2,FALSE)&amp;"-"&amp;TEXT(Tabla1015[[#This Row],[FECHA]],"[$-C0A]dddd"))</f>
        <v/>
      </c>
      <c r="AU284" s="322">
        <f>COUNTIF($Z$4:Z284,Z284)</f>
        <v>0</v>
      </c>
    </row>
    <row r="285" spans="2:47" ht="57.75" customHeight="1">
      <c r="B285" s="786" t="str">
        <f>+'TABLA RES-SEMANA'!B78</f>
        <v>Total general</v>
      </c>
      <c r="C285" s="169" t="str">
        <f t="shared" si="47"/>
        <v/>
      </c>
      <c r="D285" s="257" t="str">
        <f t="shared" si="48"/>
        <v/>
      </c>
      <c r="E285" s="191" t="str">
        <f t="shared" si="49"/>
        <v/>
      </c>
      <c r="F285" s="347" t="str">
        <f t="shared" si="50"/>
        <v/>
      </c>
      <c r="G285" s="347" t="str">
        <f t="shared" si="51"/>
        <v/>
      </c>
      <c r="H285" s="220" t="str">
        <f t="shared" si="52"/>
        <v/>
      </c>
      <c r="I285" s="220" t="str">
        <f t="shared" si="53"/>
        <v/>
      </c>
      <c r="J285" s="220" t="str">
        <f t="shared" si="54"/>
        <v/>
      </c>
      <c r="K285" s="221" t="str">
        <f t="shared" si="55"/>
        <v/>
      </c>
      <c r="L285" s="192" t="str">
        <f t="shared" si="56"/>
        <v/>
      </c>
      <c r="M285" s="193" t="str">
        <f t="shared" si="57"/>
        <v/>
      </c>
      <c r="N285" s="100">
        <v>1</v>
      </c>
      <c r="O285" s="98" t="str">
        <f>CONCATENATE($B$285,"-",N285)</f>
        <v>Total general-1</v>
      </c>
      <c r="P285" s="91">
        <f>COUNTIF(H285:H294,"&lt;&gt;**")</f>
        <v>0</v>
      </c>
      <c r="S285" s="184" t="str">
        <f t="shared" si="46"/>
        <v/>
      </c>
      <c r="T285" s="185"/>
      <c r="U285" s="182"/>
      <c r="V285" s="182"/>
      <c r="W285" s="186"/>
      <c r="X285" s="186"/>
      <c r="Y285" s="240"/>
      <c r="Z285" s="182"/>
      <c r="AA285" s="401" t="str">
        <f>IFERROR(VLOOKUP(Z285,DATOS!$M$2:$N$219,2,FALSE),"")</f>
        <v/>
      </c>
      <c r="AB285" s="182"/>
      <c r="AC285" s="182"/>
      <c r="AD285" s="182"/>
      <c r="AE285" s="182"/>
      <c r="AF285" s="182"/>
      <c r="AG285" s="181"/>
      <c r="AH285" s="181"/>
      <c r="AI285" s="181"/>
      <c r="AJ285" s="181"/>
      <c r="AK285" s="181"/>
      <c r="AL285" s="181"/>
      <c r="AM285" s="181"/>
      <c r="AN285" s="181"/>
      <c r="AO285" s="181"/>
      <c r="AP285" s="181"/>
      <c r="AQ285" s="320"/>
      <c r="AR285" s="181"/>
      <c r="AS285" s="181"/>
      <c r="AT285" s="5" t="str">
        <f>IF(Tabla1015[[#This Row],[FECHA]]="","",VLOOKUP(TEXT(Tabla1015[[#This Row],[FECHA]],"[$-C0A]dddd"),Tabla2[#All],2,FALSE)&amp;"-"&amp;TEXT(Tabla1015[[#This Row],[FECHA]],"[$-C0A]dddd"))</f>
        <v/>
      </c>
      <c r="AU285" s="322">
        <f>COUNTIF($Z$4:Z285,Z285)</f>
        <v>0</v>
      </c>
    </row>
    <row r="286" spans="2:47" ht="57.75" customHeight="1">
      <c r="B286" s="784"/>
      <c r="C286" s="72" t="str">
        <f t="shared" si="47"/>
        <v/>
      </c>
      <c r="D286" s="258" t="str">
        <f t="shared" si="48"/>
        <v/>
      </c>
      <c r="E286" s="194" t="str">
        <f t="shared" si="49"/>
        <v/>
      </c>
      <c r="F286" s="348" t="str">
        <f t="shared" si="50"/>
        <v/>
      </c>
      <c r="G286" s="348" t="str">
        <f t="shared" si="51"/>
        <v/>
      </c>
      <c r="H286" s="222" t="str">
        <f t="shared" si="52"/>
        <v/>
      </c>
      <c r="I286" s="222" t="str">
        <f t="shared" si="53"/>
        <v/>
      </c>
      <c r="J286" s="222" t="str">
        <f t="shared" si="54"/>
        <v/>
      </c>
      <c r="K286" s="223" t="str">
        <f t="shared" si="55"/>
        <v/>
      </c>
      <c r="L286" s="195" t="str">
        <f t="shared" si="56"/>
        <v/>
      </c>
      <c r="M286" s="196" t="str">
        <f t="shared" si="57"/>
        <v/>
      </c>
      <c r="N286" s="120">
        <f>+N285+1</f>
        <v>2</v>
      </c>
      <c r="O286" s="125" t="str">
        <f t="shared" ref="O286:O294" si="62">CONCATENATE($B$285,"-",N286)</f>
        <v>Total general-2</v>
      </c>
      <c r="S286" s="184" t="str">
        <f t="shared" si="46"/>
        <v/>
      </c>
      <c r="T286" s="185"/>
      <c r="U286" s="182"/>
      <c r="V286" s="182"/>
      <c r="W286" s="186"/>
      <c r="X286" s="186"/>
      <c r="Y286" s="240"/>
      <c r="Z286" s="182"/>
      <c r="AA286" s="401" t="str">
        <f>IFERROR(VLOOKUP(Z286,DATOS!$M$2:$N$219,2,FALSE),"")</f>
        <v/>
      </c>
      <c r="AB286" s="182"/>
      <c r="AC286" s="182"/>
      <c r="AD286" s="182"/>
      <c r="AE286" s="182"/>
      <c r="AF286" s="182"/>
      <c r="AG286" s="181"/>
      <c r="AH286" s="181"/>
      <c r="AI286" s="181"/>
      <c r="AJ286" s="181"/>
      <c r="AK286" s="181"/>
      <c r="AL286" s="181"/>
      <c r="AM286" s="181"/>
      <c r="AN286" s="181"/>
      <c r="AO286" s="181"/>
      <c r="AP286" s="181"/>
      <c r="AQ286" s="320"/>
      <c r="AR286" s="181"/>
      <c r="AS286" s="181"/>
      <c r="AT286" s="5" t="str">
        <f>IF(Tabla1015[[#This Row],[FECHA]]="","",VLOOKUP(TEXT(Tabla1015[[#This Row],[FECHA]],"[$-C0A]dddd"),Tabla2[#All],2,FALSE)&amp;"-"&amp;TEXT(Tabla1015[[#This Row],[FECHA]],"[$-C0A]dddd"))</f>
        <v/>
      </c>
      <c r="AU286" s="322">
        <f>COUNTIF($Z$4:Z286,Z286)</f>
        <v>0</v>
      </c>
    </row>
    <row r="287" spans="2:47" ht="57.75" customHeight="1">
      <c r="B287" s="784"/>
      <c r="C287" s="72" t="str">
        <f t="shared" si="47"/>
        <v/>
      </c>
      <c r="D287" s="258" t="str">
        <f t="shared" si="48"/>
        <v/>
      </c>
      <c r="E287" s="194" t="str">
        <f t="shared" si="49"/>
        <v/>
      </c>
      <c r="F287" s="348" t="str">
        <f t="shared" si="50"/>
        <v/>
      </c>
      <c r="G287" s="348" t="str">
        <f t="shared" si="51"/>
        <v/>
      </c>
      <c r="H287" s="222" t="str">
        <f t="shared" si="52"/>
        <v/>
      </c>
      <c r="I287" s="222" t="str">
        <f t="shared" si="53"/>
        <v/>
      </c>
      <c r="J287" s="222" t="str">
        <f t="shared" si="54"/>
        <v/>
      </c>
      <c r="K287" s="223" t="str">
        <f t="shared" si="55"/>
        <v/>
      </c>
      <c r="L287" s="195" t="str">
        <f t="shared" si="56"/>
        <v/>
      </c>
      <c r="M287" s="196" t="str">
        <f t="shared" si="57"/>
        <v/>
      </c>
      <c r="N287" s="120">
        <f t="shared" ref="N287:N294" si="63">+N286+1</f>
        <v>3</v>
      </c>
      <c r="O287" s="125" t="str">
        <f t="shared" si="62"/>
        <v>Total general-3</v>
      </c>
      <c r="S287" s="184" t="str">
        <f t="shared" si="46"/>
        <v/>
      </c>
      <c r="T287" s="185"/>
      <c r="U287" s="182"/>
      <c r="V287" s="182"/>
      <c r="W287" s="186"/>
      <c r="X287" s="186"/>
      <c r="Y287" s="240"/>
      <c r="Z287" s="182"/>
      <c r="AA287" s="401" t="str">
        <f>IFERROR(VLOOKUP(Z287,DATOS!$M$2:$N$219,2,FALSE),"")</f>
        <v/>
      </c>
      <c r="AB287" s="182"/>
      <c r="AC287" s="182"/>
      <c r="AD287" s="182"/>
      <c r="AE287" s="182"/>
      <c r="AF287" s="182"/>
      <c r="AG287" s="181"/>
      <c r="AH287" s="181"/>
      <c r="AI287" s="181"/>
      <c r="AJ287" s="181"/>
      <c r="AK287" s="181"/>
      <c r="AL287" s="181"/>
      <c r="AM287" s="181"/>
      <c r="AN287" s="181"/>
      <c r="AO287" s="181"/>
      <c r="AP287" s="181"/>
      <c r="AQ287" s="320"/>
      <c r="AR287" s="181"/>
      <c r="AS287" s="181"/>
      <c r="AT287" s="5" t="str">
        <f>IF(Tabla1015[[#This Row],[FECHA]]="","",VLOOKUP(TEXT(Tabla1015[[#This Row],[FECHA]],"[$-C0A]dddd"),Tabla2[#All],2,FALSE)&amp;"-"&amp;TEXT(Tabla1015[[#This Row],[FECHA]],"[$-C0A]dddd"))</f>
        <v/>
      </c>
      <c r="AU287" s="322">
        <f>COUNTIF($Z$4:Z287,Z287)</f>
        <v>0</v>
      </c>
    </row>
    <row r="288" spans="2:47" ht="57.75" customHeight="1">
      <c r="B288" s="784"/>
      <c r="C288" s="72" t="str">
        <f t="shared" si="47"/>
        <v/>
      </c>
      <c r="D288" s="258" t="str">
        <f t="shared" si="48"/>
        <v/>
      </c>
      <c r="E288" s="194" t="str">
        <f t="shared" si="49"/>
        <v/>
      </c>
      <c r="F288" s="348" t="str">
        <f t="shared" si="50"/>
        <v/>
      </c>
      <c r="G288" s="348" t="str">
        <f t="shared" si="51"/>
        <v/>
      </c>
      <c r="H288" s="222" t="str">
        <f t="shared" si="52"/>
        <v/>
      </c>
      <c r="I288" s="222" t="str">
        <f t="shared" si="53"/>
        <v/>
      </c>
      <c r="J288" s="222" t="str">
        <f t="shared" si="54"/>
        <v/>
      </c>
      <c r="K288" s="223" t="str">
        <f t="shared" si="55"/>
        <v/>
      </c>
      <c r="L288" s="195" t="str">
        <f t="shared" si="56"/>
        <v/>
      </c>
      <c r="M288" s="196" t="str">
        <f t="shared" si="57"/>
        <v/>
      </c>
      <c r="N288" s="120">
        <f t="shared" si="63"/>
        <v>4</v>
      </c>
      <c r="O288" s="125" t="str">
        <f t="shared" si="62"/>
        <v>Total general-4</v>
      </c>
      <c r="S288" s="184" t="str">
        <f t="shared" si="46"/>
        <v/>
      </c>
      <c r="T288" s="185"/>
      <c r="U288" s="182"/>
      <c r="V288" s="182"/>
      <c r="W288" s="186"/>
      <c r="X288" s="186"/>
      <c r="Y288" s="241"/>
      <c r="Z288" s="182"/>
      <c r="AA288" s="187" t="str">
        <f>IFERROR(VLOOKUP(Z288,DATOS!$M$2:$N$219,2,FALSE),"")</f>
        <v/>
      </c>
      <c r="AB288" s="182"/>
      <c r="AC288" s="182"/>
      <c r="AD288" s="182"/>
      <c r="AE288" s="182"/>
      <c r="AF288" s="182"/>
      <c r="AG288" s="181"/>
      <c r="AH288" s="181"/>
      <c r="AI288" s="181"/>
      <c r="AJ288" s="181"/>
      <c r="AK288" s="181"/>
      <c r="AL288" s="181"/>
      <c r="AM288" s="181"/>
      <c r="AN288" s="181"/>
      <c r="AO288" s="181"/>
      <c r="AP288" s="181"/>
      <c r="AQ288" s="320"/>
      <c r="AR288" s="181"/>
      <c r="AS288" s="181"/>
      <c r="AT288" s="5" t="str">
        <f>IF(Tabla1015[[#This Row],[FECHA]]="","",VLOOKUP(TEXT(Tabla1015[[#This Row],[FECHA]],"[$-C0A]dddd"),Tabla2[#All],2,FALSE)&amp;"-"&amp;TEXT(Tabla1015[[#This Row],[FECHA]],"[$-C0A]dddd"))</f>
        <v/>
      </c>
      <c r="AU288" s="322">
        <f>COUNTIF($Z$4:Z288,Z288)</f>
        <v>0</v>
      </c>
    </row>
    <row r="289" spans="2:47" ht="57.75" customHeight="1">
      <c r="B289" s="784"/>
      <c r="C289" s="72" t="str">
        <f t="shared" si="47"/>
        <v/>
      </c>
      <c r="D289" s="258" t="str">
        <f t="shared" si="48"/>
        <v/>
      </c>
      <c r="E289" s="194" t="str">
        <f t="shared" si="49"/>
        <v/>
      </c>
      <c r="F289" s="348" t="str">
        <f t="shared" si="50"/>
        <v/>
      </c>
      <c r="G289" s="348" t="str">
        <f t="shared" si="51"/>
        <v/>
      </c>
      <c r="H289" s="222" t="str">
        <f t="shared" si="52"/>
        <v/>
      </c>
      <c r="I289" s="222" t="str">
        <f t="shared" si="53"/>
        <v/>
      </c>
      <c r="J289" s="222" t="str">
        <f t="shared" si="54"/>
        <v/>
      </c>
      <c r="K289" s="223" t="str">
        <f t="shared" si="55"/>
        <v/>
      </c>
      <c r="L289" s="195" t="str">
        <f t="shared" si="56"/>
        <v/>
      </c>
      <c r="M289" s="196" t="str">
        <f t="shared" si="57"/>
        <v/>
      </c>
      <c r="N289" s="120">
        <f t="shared" si="63"/>
        <v>5</v>
      </c>
      <c r="O289" s="125" t="str">
        <f t="shared" si="62"/>
        <v>Total general-5</v>
      </c>
      <c r="S289" s="184" t="str">
        <f t="shared" si="46"/>
        <v/>
      </c>
      <c r="T289" s="185"/>
      <c r="U289" s="182"/>
      <c r="V289" s="182"/>
      <c r="W289" s="186"/>
      <c r="X289" s="186"/>
      <c r="Y289" s="241"/>
      <c r="Z289" s="182"/>
      <c r="AA289" s="187" t="str">
        <f>IFERROR(VLOOKUP(Z289,DATOS!$M$2:$N$219,2,FALSE),"")</f>
        <v/>
      </c>
      <c r="AB289" s="182"/>
      <c r="AC289" s="182"/>
      <c r="AD289" s="182"/>
      <c r="AE289" s="182"/>
      <c r="AF289" s="182"/>
      <c r="AG289" s="181"/>
      <c r="AH289" s="181"/>
      <c r="AI289" s="181"/>
      <c r="AJ289" s="181"/>
      <c r="AK289" s="181"/>
      <c r="AL289" s="181"/>
      <c r="AM289" s="181"/>
      <c r="AN289" s="181"/>
      <c r="AO289" s="181"/>
      <c r="AP289" s="181"/>
      <c r="AQ289" s="320"/>
      <c r="AR289" s="181"/>
      <c r="AS289" s="181"/>
      <c r="AT289" s="5" t="str">
        <f>IF(Tabla1015[[#This Row],[FECHA]]="","",VLOOKUP(TEXT(Tabla1015[[#This Row],[FECHA]],"[$-C0A]dddd"),Tabla2[#All],2,FALSE)&amp;"-"&amp;TEXT(Tabla1015[[#This Row],[FECHA]],"[$-C0A]dddd"))</f>
        <v/>
      </c>
      <c r="AU289" s="322">
        <f>COUNTIF($Z$4:Z289,Z289)</f>
        <v>0</v>
      </c>
    </row>
    <row r="290" spans="2:47" ht="57.75" customHeight="1">
      <c r="B290" s="784"/>
      <c r="C290" s="72" t="str">
        <f t="shared" si="47"/>
        <v/>
      </c>
      <c r="D290" s="258" t="str">
        <f t="shared" si="48"/>
        <v/>
      </c>
      <c r="E290" s="194" t="str">
        <f t="shared" si="49"/>
        <v/>
      </c>
      <c r="F290" s="348" t="str">
        <f t="shared" si="50"/>
        <v/>
      </c>
      <c r="G290" s="348" t="str">
        <f t="shared" si="51"/>
        <v/>
      </c>
      <c r="H290" s="222" t="str">
        <f t="shared" si="52"/>
        <v/>
      </c>
      <c r="I290" s="222" t="str">
        <f t="shared" si="53"/>
        <v/>
      </c>
      <c r="J290" s="222" t="str">
        <f t="shared" si="54"/>
        <v/>
      </c>
      <c r="K290" s="223" t="str">
        <f t="shared" si="55"/>
        <v/>
      </c>
      <c r="L290" s="195" t="str">
        <f t="shared" si="56"/>
        <v/>
      </c>
      <c r="M290" s="196" t="str">
        <f t="shared" si="57"/>
        <v/>
      </c>
      <c r="N290" s="120">
        <f t="shared" si="63"/>
        <v>6</v>
      </c>
      <c r="O290" s="125" t="str">
        <f t="shared" si="62"/>
        <v>Total general-6</v>
      </c>
      <c r="S290" s="184" t="str">
        <f t="shared" si="46"/>
        <v/>
      </c>
      <c r="T290" s="185"/>
      <c r="U290" s="182"/>
      <c r="V290" s="182"/>
      <c r="W290" s="186"/>
      <c r="X290" s="186"/>
      <c r="Y290" s="241"/>
      <c r="Z290" s="182"/>
      <c r="AA290" s="187" t="str">
        <f>IFERROR(VLOOKUP(Z290,DATOS!$M$2:$N$219,2,FALSE),"")</f>
        <v/>
      </c>
      <c r="AB290" s="182"/>
      <c r="AC290" s="182"/>
      <c r="AD290" s="182"/>
      <c r="AE290" s="182"/>
      <c r="AF290" s="182"/>
      <c r="AG290" s="181"/>
      <c r="AH290" s="181"/>
      <c r="AI290" s="181"/>
      <c r="AJ290" s="181"/>
      <c r="AK290" s="181"/>
      <c r="AL290" s="181"/>
      <c r="AM290" s="181"/>
      <c r="AN290" s="181"/>
      <c r="AO290" s="181"/>
      <c r="AP290" s="181"/>
      <c r="AQ290" s="320"/>
      <c r="AR290" s="181"/>
      <c r="AS290" s="181"/>
      <c r="AT290" s="5" t="str">
        <f>IF(Tabla1015[[#This Row],[FECHA]]="","",VLOOKUP(TEXT(Tabla1015[[#This Row],[FECHA]],"[$-C0A]dddd"),Tabla2[#All],2,FALSE)&amp;"-"&amp;TEXT(Tabla1015[[#This Row],[FECHA]],"[$-C0A]dddd"))</f>
        <v/>
      </c>
      <c r="AU290" s="322">
        <f>COUNTIF($Z$4:Z290,Z290)</f>
        <v>0</v>
      </c>
    </row>
    <row r="291" spans="2:47" ht="57.75" customHeight="1">
      <c r="B291" s="784"/>
      <c r="C291" s="72" t="str">
        <f t="shared" si="47"/>
        <v/>
      </c>
      <c r="D291" s="258" t="str">
        <f t="shared" si="48"/>
        <v/>
      </c>
      <c r="E291" s="194" t="str">
        <f t="shared" si="49"/>
        <v/>
      </c>
      <c r="F291" s="348" t="str">
        <f t="shared" si="50"/>
        <v/>
      </c>
      <c r="G291" s="348" t="str">
        <f t="shared" si="51"/>
        <v/>
      </c>
      <c r="H291" s="222" t="str">
        <f t="shared" si="52"/>
        <v/>
      </c>
      <c r="I291" s="222" t="str">
        <f t="shared" si="53"/>
        <v/>
      </c>
      <c r="J291" s="222" t="str">
        <f t="shared" si="54"/>
        <v/>
      </c>
      <c r="K291" s="223" t="str">
        <f t="shared" si="55"/>
        <v/>
      </c>
      <c r="L291" s="195" t="str">
        <f t="shared" si="56"/>
        <v/>
      </c>
      <c r="M291" s="196" t="str">
        <f t="shared" si="57"/>
        <v/>
      </c>
      <c r="N291" s="120">
        <f t="shared" si="63"/>
        <v>7</v>
      </c>
      <c r="O291" s="125" t="str">
        <f t="shared" si="62"/>
        <v>Total general-7</v>
      </c>
      <c r="S291" s="184" t="str">
        <f t="shared" si="46"/>
        <v/>
      </c>
      <c r="T291" s="185"/>
      <c r="U291" s="182"/>
      <c r="V291" s="182"/>
      <c r="W291" s="186"/>
      <c r="X291" s="186"/>
      <c r="Y291" s="241"/>
      <c r="Z291" s="182"/>
      <c r="AA291" s="187" t="str">
        <f>IFERROR(VLOOKUP(Z291,DATOS!$M$2:$N$219,2,FALSE),"")</f>
        <v/>
      </c>
      <c r="AB291" s="182"/>
      <c r="AC291" s="182"/>
      <c r="AD291" s="182"/>
      <c r="AE291" s="182"/>
      <c r="AF291" s="182"/>
      <c r="AG291" s="181"/>
      <c r="AH291" s="181"/>
      <c r="AI291" s="181"/>
      <c r="AJ291" s="181"/>
      <c r="AK291" s="181"/>
      <c r="AL291" s="181"/>
      <c r="AM291" s="181"/>
      <c r="AN291" s="181"/>
      <c r="AO291" s="181"/>
      <c r="AP291" s="181"/>
      <c r="AQ291" s="320"/>
      <c r="AR291" s="181"/>
      <c r="AS291" s="181"/>
      <c r="AT291" s="5" t="str">
        <f>IF(Tabla1015[[#This Row],[FECHA]]="","",VLOOKUP(TEXT(Tabla1015[[#This Row],[FECHA]],"[$-C0A]dddd"),Tabla2[#All],2,FALSE)&amp;"-"&amp;TEXT(Tabla1015[[#This Row],[FECHA]],"[$-C0A]dddd"))</f>
        <v/>
      </c>
      <c r="AU291" s="322">
        <f>COUNTIF($Z$4:Z291,Z291)</f>
        <v>0</v>
      </c>
    </row>
    <row r="292" spans="2:47" ht="57.75" customHeight="1">
      <c r="B292" s="784"/>
      <c r="C292" s="72" t="str">
        <f t="shared" si="47"/>
        <v/>
      </c>
      <c r="D292" s="258" t="str">
        <f t="shared" si="48"/>
        <v/>
      </c>
      <c r="E292" s="194" t="str">
        <f t="shared" si="49"/>
        <v/>
      </c>
      <c r="F292" s="348" t="str">
        <f t="shared" si="50"/>
        <v/>
      </c>
      <c r="G292" s="348" t="str">
        <f t="shared" si="51"/>
        <v/>
      </c>
      <c r="H292" s="222" t="str">
        <f t="shared" si="52"/>
        <v/>
      </c>
      <c r="I292" s="222" t="str">
        <f t="shared" si="53"/>
        <v/>
      </c>
      <c r="J292" s="222" t="str">
        <f t="shared" si="54"/>
        <v/>
      </c>
      <c r="K292" s="223" t="str">
        <f t="shared" si="55"/>
        <v/>
      </c>
      <c r="L292" s="195" t="str">
        <f t="shared" si="56"/>
        <v/>
      </c>
      <c r="M292" s="196" t="str">
        <f t="shared" si="57"/>
        <v/>
      </c>
      <c r="N292" s="120">
        <f t="shared" si="63"/>
        <v>8</v>
      </c>
      <c r="O292" s="125" t="str">
        <f t="shared" si="62"/>
        <v>Total general-8</v>
      </c>
      <c r="S292" s="184" t="str">
        <f t="shared" si="46"/>
        <v/>
      </c>
      <c r="T292" s="185"/>
      <c r="U292" s="182"/>
      <c r="V292" s="182"/>
      <c r="W292" s="186"/>
      <c r="X292" s="186"/>
      <c r="Y292" s="241"/>
      <c r="Z292" s="182"/>
      <c r="AA292" s="187" t="str">
        <f>IFERROR(VLOOKUP(Z292,DATOS!$M$2:$N$219,2,FALSE),"")</f>
        <v/>
      </c>
      <c r="AB292" s="182"/>
      <c r="AC292" s="182"/>
      <c r="AD292" s="182"/>
      <c r="AE292" s="182"/>
      <c r="AF292" s="182"/>
      <c r="AG292" s="181"/>
      <c r="AH292" s="181"/>
      <c r="AI292" s="181"/>
      <c r="AJ292" s="181"/>
      <c r="AK292" s="181"/>
      <c r="AL292" s="181"/>
      <c r="AM292" s="181"/>
      <c r="AN292" s="181"/>
      <c r="AO292" s="181"/>
      <c r="AP292" s="181"/>
      <c r="AQ292" s="320"/>
      <c r="AR292" s="181"/>
      <c r="AS292" s="181"/>
      <c r="AT292" s="5" t="str">
        <f>IF(Tabla1015[[#This Row],[FECHA]]="","",VLOOKUP(TEXT(Tabla1015[[#This Row],[FECHA]],"[$-C0A]dddd"),Tabla2[#All],2,FALSE)&amp;"-"&amp;TEXT(Tabla1015[[#This Row],[FECHA]],"[$-C0A]dddd"))</f>
        <v/>
      </c>
      <c r="AU292" s="322">
        <f>COUNTIF($Z$4:Z292,Z292)</f>
        <v>0</v>
      </c>
    </row>
    <row r="293" spans="2:47" ht="57.75" customHeight="1">
      <c r="B293" s="784"/>
      <c r="C293" s="72" t="str">
        <f t="shared" si="47"/>
        <v/>
      </c>
      <c r="D293" s="258" t="str">
        <f t="shared" si="48"/>
        <v/>
      </c>
      <c r="E293" s="194" t="str">
        <f t="shared" si="49"/>
        <v/>
      </c>
      <c r="F293" s="348" t="str">
        <f t="shared" si="50"/>
        <v/>
      </c>
      <c r="G293" s="348" t="str">
        <f t="shared" si="51"/>
        <v/>
      </c>
      <c r="H293" s="222" t="str">
        <f t="shared" si="52"/>
        <v/>
      </c>
      <c r="I293" s="222" t="str">
        <f t="shared" si="53"/>
        <v/>
      </c>
      <c r="J293" s="222" t="str">
        <f t="shared" si="54"/>
        <v/>
      </c>
      <c r="K293" s="223" t="str">
        <f t="shared" si="55"/>
        <v/>
      </c>
      <c r="L293" s="195" t="str">
        <f t="shared" si="56"/>
        <v/>
      </c>
      <c r="M293" s="196" t="str">
        <f t="shared" si="57"/>
        <v/>
      </c>
      <c r="N293" s="120">
        <f t="shared" si="63"/>
        <v>9</v>
      </c>
      <c r="O293" s="125" t="str">
        <f t="shared" si="62"/>
        <v>Total general-9</v>
      </c>
      <c r="S293" s="184" t="str">
        <f t="shared" si="46"/>
        <v/>
      </c>
      <c r="T293" s="185"/>
      <c r="U293" s="182"/>
      <c r="V293" s="182"/>
      <c r="W293" s="186"/>
      <c r="X293" s="186"/>
      <c r="Y293" s="241"/>
      <c r="Z293" s="182"/>
      <c r="AA293" s="187" t="str">
        <f>IFERROR(VLOOKUP(Z293,DATOS!$M$2:$N$219,2,FALSE),"")</f>
        <v/>
      </c>
      <c r="AB293" s="182"/>
      <c r="AC293" s="182"/>
      <c r="AD293" s="182"/>
      <c r="AE293" s="182"/>
      <c r="AF293" s="182"/>
      <c r="AG293" s="181"/>
      <c r="AH293" s="181"/>
      <c r="AI293" s="181"/>
      <c r="AJ293" s="181"/>
      <c r="AK293" s="181"/>
      <c r="AL293" s="181"/>
      <c r="AM293" s="181"/>
      <c r="AN293" s="181"/>
      <c r="AO293" s="181"/>
      <c r="AP293" s="181"/>
      <c r="AQ293" s="320"/>
      <c r="AR293" s="181"/>
      <c r="AS293" s="181"/>
      <c r="AT293" s="5" t="str">
        <f>IF(Tabla1015[[#This Row],[FECHA]]="","",VLOOKUP(TEXT(Tabla1015[[#This Row],[FECHA]],"[$-C0A]dddd"),Tabla2[#All],2,FALSE)&amp;"-"&amp;TEXT(Tabla1015[[#This Row],[FECHA]],"[$-C0A]dddd"))</f>
        <v/>
      </c>
      <c r="AU293" s="322">
        <f>COUNTIF($Z$4:Z293,Z293)</f>
        <v>0</v>
      </c>
    </row>
    <row r="294" spans="2:47" ht="57.75" customHeight="1">
      <c r="B294" s="785"/>
      <c r="C294" s="168" t="str">
        <f t="shared" si="47"/>
        <v/>
      </c>
      <c r="D294" s="267" t="str">
        <f t="shared" si="48"/>
        <v/>
      </c>
      <c r="E294" s="217" t="str">
        <f t="shared" si="49"/>
        <v/>
      </c>
      <c r="F294" s="355" t="str">
        <f t="shared" si="50"/>
        <v/>
      </c>
      <c r="G294" s="355" t="str">
        <f t="shared" si="51"/>
        <v/>
      </c>
      <c r="H294" s="236" t="str">
        <f t="shared" si="52"/>
        <v/>
      </c>
      <c r="I294" s="236" t="str">
        <f t="shared" si="53"/>
        <v/>
      </c>
      <c r="J294" s="236" t="str">
        <f t="shared" si="54"/>
        <v/>
      </c>
      <c r="K294" s="237" t="str">
        <f t="shared" si="55"/>
        <v/>
      </c>
      <c r="L294" s="218" t="str">
        <f t="shared" si="56"/>
        <v/>
      </c>
      <c r="M294" s="219" t="str">
        <f t="shared" si="57"/>
        <v/>
      </c>
      <c r="N294" s="136">
        <f t="shared" si="63"/>
        <v>10</v>
      </c>
      <c r="O294" s="130" t="str">
        <f t="shared" si="62"/>
        <v>Total general-10</v>
      </c>
      <c r="S294" s="184" t="str">
        <f t="shared" si="46"/>
        <v/>
      </c>
      <c r="T294" s="185"/>
      <c r="U294" s="182"/>
      <c r="V294" s="182"/>
      <c r="W294" s="186"/>
      <c r="X294" s="186"/>
      <c r="Y294" s="241"/>
      <c r="Z294" s="182"/>
      <c r="AA294" s="187" t="str">
        <f>IFERROR(VLOOKUP(Z294,DATOS!$M$2:$N$219,2,FALSE),"")</f>
        <v/>
      </c>
      <c r="AB294" s="182"/>
      <c r="AC294" s="182"/>
      <c r="AD294" s="182"/>
      <c r="AE294" s="182"/>
      <c r="AF294" s="182"/>
      <c r="AG294" s="181"/>
      <c r="AH294" s="181"/>
      <c r="AI294" s="181"/>
      <c r="AJ294" s="181"/>
      <c r="AK294" s="181"/>
      <c r="AL294" s="181"/>
      <c r="AM294" s="181"/>
      <c r="AN294" s="181"/>
      <c r="AO294" s="181"/>
      <c r="AP294" s="181"/>
      <c r="AQ294" s="320"/>
      <c r="AR294" s="181"/>
      <c r="AS294" s="181"/>
      <c r="AT294" s="5" t="str">
        <f>IF(Tabla1015[[#This Row],[FECHA]]="","",VLOOKUP(TEXT(Tabla1015[[#This Row],[FECHA]],"[$-C0A]dddd"),Tabla2[#All],2,FALSE)&amp;"-"&amp;TEXT(Tabla1015[[#This Row],[FECHA]],"[$-C0A]dddd"))</f>
        <v/>
      </c>
      <c r="AU294" s="322">
        <f>COUNTIF($Z$4:Z294,Z294)</f>
        <v>0</v>
      </c>
    </row>
    <row r="295" spans="2:47" ht="80.25" customHeight="1">
      <c r="B295" s="786">
        <f>+'TABLA RES-SEMANA'!B79</f>
        <v>0</v>
      </c>
      <c r="C295" s="169" t="str">
        <f t="shared" si="47"/>
        <v/>
      </c>
      <c r="D295" s="257" t="str">
        <f t="shared" si="48"/>
        <v/>
      </c>
      <c r="E295" s="191" t="str">
        <f t="shared" si="49"/>
        <v/>
      </c>
      <c r="F295" s="347" t="str">
        <f t="shared" si="50"/>
        <v/>
      </c>
      <c r="G295" s="347" t="str">
        <f t="shared" si="51"/>
        <v/>
      </c>
      <c r="H295" s="220" t="str">
        <f t="shared" si="52"/>
        <v/>
      </c>
      <c r="I295" s="220" t="str">
        <f t="shared" si="53"/>
        <v/>
      </c>
      <c r="J295" s="220" t="str">
        <f t="shared" si="54"/>
        <v/>
      </c>
      <c r="K295" s="221" t="str">
        <f t="shared" si="55"/>
        <v/>
      </c>
      <c r="L295" s="192" t="str">
        <f t="shared" si="56"/>
        <v/>
      </c>
      <c r="M295" s="193" t="str">
        <f t="shared" si="57"/>
        <v/>
      </c>
      <c r="N295" s="100">
        <v>1</v>
      </c>
      <c r="O295" s="98" t="str">
        <f>CONCATENATE($B$295,"-",N295)</f>
        <v>0-1</v>
      </c>
      <c r="P295" s="91">
        <f>COUNTIF(H295:H304,"&lt;&gt;**")</f>
        <v>0</v>
      </c>
      <c r="S295" s="184" t="str">
        <f t="shared" si="46"/>
        <v/>
      </c>
      <c r="T295" s="185"/>
      <c r="U295" s="182"/>
      <c r="V295" s="182"/>
      <c r="W295" s="186"/>
      <c r="X295" s="186"/>
      <c r="Y295" s="240"/>
      <c r="Z295" s="182"/>
      <c r="AA295" s="187" t="str">
        <f>IFERROR(VLOOKUP(Z295,DATOS!$M$2:$N$219,2,FALSE),"")</f>
        <v/>
      </c>
      <c r="AB295" s="182"/>
      <c r="AC295" s="182"/>
      <c r="AD295" s="182"/>
      <c r="AE295" s="182"/>
      <c r="AF295" s="182"/>
      <c r="AG295" s="181"/>
      <c r="AH295" s="181"/>
      <c r="AI295" s="181"/>
      <c r="AJ295" s="181"/>
      <c r="AK295" s="181"/>
      <c r="AL295" s="181"/>
      <c r="AM295" s="181"/>
      <c r="AN295" s="181"/>
      <c r="AO295" s="181"/>
      <c r="AP295" s="181"/>
      <c r="AQ295" s="320"/>
      <c r="AR295" s="181"/>
      <c r="AS295" s="181"/>
      <c r="AT295" s="5" t="str">
        <f>IF(Tabla1015[[#This Row],[FECHA]]="","",VLOOKUP(TEXT(Tabla1015[[#This Row],[FECHA]],"[$-C0A]dddd"),Tabla2[#All],2,FALSE)&amp;"-"&amp;TEXT(Tabla1015[[#This Row],[FECHA]],"[$-C0A]dddd"))</f>
        <v/>
      </c>
      <c r="AU295" s="322">
        <f>COUNTIF($Z$4:Z295,Z295)</f>
        <v>0</v>
      </c>
    </row>
    <row r="296" spans="2:47" ht="57.75" customHeight="1">
      <c r="B296" s="784"/>
      <c r="C296" s="72" t="str">
        <f t="shared" si="47"/>
        <v/>
      </c>
      <c r="D296" s="258" t="str">
        <f t="shared" si="48"/>
        <v/>
      </c>
      <c r="E296" s="194" t="str">
        <f t="shared" si="49"/>
        <v/>
      </c>
      <c r="F296" s="348" t="str">
        <f t="shared" si="50"/>
        <v/>
      </c>
      <c r="G296" s="348" t="str">
        <f t="shared" si="51"/>
        <v/>
      </c>
      <c r="H296" s="222" t="str">
        <f t="shared" si="52"/>
        <v/>
      </c>
      <c r="I296" s="222" t="str">
        <f t="shared" si="53"/>
        <v/>
      </c>
      <c r="J296" s="222" t="str">
        <f t="shared" si="54"/>
        <v/>
      </c>
      <c r="K296" s="223" t="str">
        <f t="shared" si="55"/>
        <v/>
      </c>
      <c r="L296" s="195" t="str">
        <f t="shared" si="56"/>
        <v/>
      </c>
      <c r="M296" s="196" t="str">
        <f t="shared" si="57"/>
        <v/>
      </c>
      <c r="N296" s="120">
        <f>+N295+1</f>
        <v>2</v>
      </c>
      <c r="O296" s="125" t="str">
        <f t="shared" ref="O296:O304" si="64">CONCATENATE($B$295,"-",N296)</f>
        <v>0-2</v>
      </c>
      <c r="S296" s="184" t="str">
        <f t="shared" si="46"/>
        <v/>
      </c>
      <c r="T296" s="185"/>
      <c r="U296" s="182"/>
      <c r="V296" s="182"/>
      <c r="W296" s="186"/>
      <c r="X296" s="186"/>
      <c r="Y296" s="240"/>
      <c r="Z296" s="182"/>
      <c r="AA296" s="187" t="str">
        <f>IFERROR(VLOOKUP(Z296,DATOS!$M$2:$N$219,2,FALSE),"")</f>
        <v/>
      </c>
      <c r="AB296" s="182"/>
      <c r="AC296" s="182"/>
      <c r="AD296" s="182"/>
      <c r="AE296" s="182"/>
      <c r="AF296" s="182"/>
      <c r="AG296" s="181"/>
      <c r="AH296" s="181"/>
      <c r="AI296" s="181"/>
      <c r="AJ296" s="181"/>
      <c r="AK296" s="181"/>
      <c r="AL296" s="181"/>
      <c r="AM296" s="181"/>
      <c r="AN296" s="181"/>
      <c r="AO296" s="181"/>
      <c r="AP296" s="181"/>
      <c r="AQ296" s="320"/>
      <c r="AR296" s="181"/>
      <c r="AS296" s="181"/>
      <c r="AT296" s="5" t="str">
        <f>IF(Tabla1015[[#This Row],[FECHA]]="","",VLOOKUP(TEXT(Tabla1015[[#This Row],[FECHA]],"[$-C0A]dddd"),Tabla2[#All],2,FALSE)&amp;"-"&amp;TEXT(Tabla1015[[#This Row],[FECHA]],"[$-C0A]dddd"))</f>
        <v/>
      </c>
      <c r="AU296" s="322">
        <f>COUNTIF($Z$4:Z296,Z296)</f>
        <v>0</v>
      </c>
    </row>
    <row r="297" spans="2:47" ht="57.75" customHeight="1">
      <c r="B297" s="784"/>
      <c r="C297" s="72" t="str">
        <f t="shared" si="47"/>
        <v/>
      </c>
      <c r="D297" s="258" t="str">
        <f t="shared" si="48"/>
        <v/>
      </c>
      <c r="E297" s="194" t="str">
        <f t="shared" si="49"/>
        <v/>
      </c>
      <c r="F297" s="348" t="str">
        <f t="shared" si="50"/>
        <v/>
      </c>
      <c r="G297" s="348" t="str">
        <f t="shared" si="51"/>
        <v/>
      </c>
      <c r="H297" s="222" t="str">
        <f t="shared" si="52"/>
        <v/>
      </c>
      <c r="I297" s="222" t="str">
        <f t="shared" si="53"/>
        <v/>
      </c>
      <c r="J297" s="222" t="str">
        <f t="shared" si="54"/>
        <v/>
      </c>
      <c r="K297" s="223" t="str">
        <f t="shared" si="55"/>
        <v/>
      </c>
      <c r="L297" s="195" t="str">
        <f t="shared" si="56"/>
        <v/>
      </c>
      <c r="M297" s="196" t="str">
        <f t="shared" si="57"/>
        <v/>
      </c>
      <c r="N297" s="120">
        <f t="shared" ref="N297:N304" si="65">+N296+1</f>
        <v>3</v>
      </c>
      <c r="O297" s="125" t="str">
        <f t="shared" si="64"/>
        <v>0-3</v>
      </c>
      <c r="S297" s="184" t="str">
        <f t="shared" si="46"/>
        <v/>
      </c>
      <c r="T297" s="185"/>
      <c r="U297" s="182"/>
      <c r="V297" s="182"/>
      <c r="W297" s="186"/>
      <c r="X297" s="186"/>
      <c r="Y297" s="240"/>
      <c r="Z297" s="182"/>
      <c r="AA297" s="187" t="str">
        <f>IFERROR(VLOOKUP(Z297,DATOS!$M$2:$N$219,2,FALSE),"")</f>
        <v/>
      </c>
      <c r="AB297" s="182"/>
      <c r="AC297" s="182"/>
      <c r="AD297" s="182"/>
      <c r="AE297" s="182"/>
      <c r="AF297" s="182"/>
      <c r="AG297" s="181"/>
      <c r="AH297" s="181"/>
      <c r="AI297" s="181"/>
      <c r="AJ297" s="181"/>
      <c r="AK297" s="181"/>
      <c r="AL297" s="181"/>
      <c r="AM297" s="181"/>
      <c r="AN297" s="181"/>
      <c r="AO297" s="181"/>
      <c r="AP297" s="181"/>
      <c r="AQ297" s="320"/>
      <c r="AR297" s="181"/>
      <c r="AS297" s="181"/>
      <c r="AT297" s="5" t="str">
        <f>IF(Tabla1015[[#This Row],[FECHA]]="","",VLOOKUP(TEXT(Tabla1015[[#This Row],[FECHA]],"[$-C0A]dddd"),Tabla2[#All],2,FALSE)&amp;"-"&amp;TEXT(Tabla1015[[#This Row],[FECHA]],"[$-C0A]dddd"))</f>
        <v/>
      </c>
      <c r="AU297" s="322">
        <f>COUNTIF($Z$4:Z297,Z297)</f>
        <v>0</v>
      </c>
    </row>
    <row r="298" spans="2:47" ht="57.75" customHeight="1">
      <c r="B298" s="784"/>
      <c r="C298" s="72" t="str">
        <f t="shared" si="47"/>
        <v/>
      </c>
      <c r="D298" s="258" t="str">
        <f t="shared" si="48"/>
        <v/>
      </c>
      <c r="E298" s="194" t="str">
        <f t="shared" si="49"/>
        <v/>
      </c>
      <c r="F298" s="348" t="str">
        <f t="shared" si="50"/>
        <v/>
      </c>
      <c r="G298" s="348" t="str">
        <f t="shared" si="51"/>
        <v/>
      </c>
      <c r="H298" s="222" t="str">
        <f t="shared" si="52"/>
        <v/>
      </c>
      <c r="I298" s="222" t="str">
        <f t="shared" si="53"/>
        <v/>
      </c>
      <c r="J298" s="222" t="str">
        <f t="shared" si="54"/>
        <v/>
      </c>
      <c r="K298" s="223" t="str">
        <f t="shared" si="55"/>
        <v/>
      </c>
      <c r="L298" s="195" t="str">
        <f t="shared" si="56"/>
        <v/>
      </c>
      <c r="M298" s="196" t="str">
        <f t="shared" si="57"/>
        <v/>
      </c>
      <c r="N298" s="120">
        <f t="shared" si="65"/>
        <v>4</v>
      </c>
      <c r="O298" s="125" t="str">
        <f t="shared" si="64"/>
        <v>0-4</v>
      </c>
      <c r="S298" s="184" t="str">
        <f t="shared" si="46"/>
        <v/>
      </c>
      <c r="T298" s="185"/>
      <c r="U298" s="182"/>
      <c r="V298" s="182"/>
      <c r="W298" s="186"/>
      <c r="X298" s="186"/>
      <c r="Y298" s="241"/>
      <c r="Z298" s="182"/>
      <c r="AA298" s="187" t="str">
        <f>IFERROR(VLOOKUP(Z298,DATOS!$M$2:$N$219,2,FALSE),"")</f>
        <v/>
      </c>
      <c r="AB298" s="182"/>
      <c r="AC298" s="182"/>
      <c r="AD298" s="182"/>
      <c r="AE298" s="182"/>
      <c r="AF298" s="182"/>
      <c r="AG298" s="181"/>
      <c r="AH298" s="181"/>
      <c r="AI298" s="181"/>
      <c r="AJ298" s="181"/>
      <c r="AK298" s="181"/>
      <c r="AL298" s="181"/>
      <c r="AM298" s="181"/>
      <c r="AN298" s="181"/>
      <c r="AO298" s="181"/>
      <c r="AP298" s="181"/>
      <c r="AQ298" s="320"/>
      <c r="AR298" s="181"/>
      <c r="AS298" s="181"/>
      <c r="AT298" s="5" t="str">
        <f>IF(Tabla1015[[#This Row],[FECHA]]="","",VLOOKUP(TEXT(Tabla1015[[#This Row],[FECHA]],"[$-C0A]dddd"),Tabla2[#All],2,FALSE)&amp;"-"&amp;TEXT(Tabla1015[[#This Row],[FECHA]],"[$-C0A]dddd"))</f>
        <v/>
      </c>
      <c r="AU298" s="322">
        <f>COUNTIF($Z$4:Z298,Z298)</f>
        <v>0</v>
      </c>
    </row>
    <row r="299" spans="2:47" ht="57.75" customHeight="1">
      <c r="B299" s="784"/>
      <c r="C299" s="72" t="str">
        <f t="shared" si="47"/>
        <v/>
      </c>
      <c r="D299" s="258" t="str">
        <f t="shared" si="48"/>
        <v/>
      </c>
      <c r="E299" s="194" t="str">
        <f t="shared" si="49"/>
        <v/>
      </c>
      <c r="F299" s="348" t="str">
        <f t="shared" si="50"/>
        <v/>
      </c>
      <c r="G299" s="348" t="str">
        <f t="shared" si="51"/>
        <v/>
      </c>
      <c r="H299" s="222" t="str">
        <f t="shared" si="52"/>
        <v/>
      </c>
      <c r="I299" s="222" t="str">
        <f t="shared" si="53"/>
        <v/>
      </c>
      <c r="J299" s="222" t="str">
        <f t="shared" si="54"/>
        <v/>
      </c>
      <c r="K299" s="223" t="str">
        <f t="shared" si="55"/>
        <v/>
      </c>
      <c r="L299" s="195" t="str">
        <f t="shared" si="56"/>
        <v/>
      </c>
      <c r="M299" s="196" t="str">
        <f t="shared" si="57"/>
        <v/>
      </c>
      <c r="N299" s="120">
        <f t="shared" si="65"/>
        <v>5</v>
      </c>
      <c r="O299" s="125" t="str">
        <f t="shared" si="64"/>
        <v>0-5</v>
      </c>
      <c r="S299" s="184" t="str">
        <f t="shared" si="46"/>
        <v/>
      </c>
      <c r="T299" s="185"/>
      <c r="U299" s="182"/>
      <c r="V299" s="182"/>
      <c r="W299" s="186"/>
      <c r="X299" s="186"/>
      <c r="Y299" s="241"/>
      <c r="Z299" s="182"/>
      <c r="AA299" s="187" t="str">
        <f>IFERROR(VLOOKUP(Z299,DATOS!$M$2:$N$219,2,FALSE),"")</f>
        <v/>
      </c>
      <c r="AB299" s="182"/>
      <c r="AC299" s="182"/>
      <c r="AD299" s="182"/>
      <c r="AE299" s="182"/>
      <c r="AF299" s="182"/>
      <c r="AG299" s="181"/>
      <c r="AH299" s="181"/>
      <c r="AI299" s="181"/>
      <c r="AJ299" s="181"/>
      <c r="AK299" s="181"/>
      <c r="AL299" s="181"/>
      <c r="AM299" s="181"/>
      <c r="AN299" s="181"/>
      <c r="AO299" s="181"/>
      <c r="AP299" s="181"/>
      <c r="AQ299" s="320"/>
      <c r="AR299" s="181"/>
      <c r="AS299" s="181"/>
      <c r="AT299" s="5" t="str">
        <f>IF(Tabla1015[[#This Row],[FECHA]]="","",VLOOKUP(TEXT(Tabla1015[[#This Row],[FECHA]],"[$-C0A]dddd"),Tabla2[#All],2,FALSE)&amp;"-"&amp;TEXT(Tabla1015[[#This Row],[FECHA]],"[$-C0A]dddd"))</f>
        <v/>
      </c>
      <c r="AU299" s="322">
        <f>COUNTIF($Z$4:Z299,Z299)</f>
        <v>0</v>
      </c>
    </row>
    <row r="300" spans="2:47" ht="57.75" customHeight="1">
      <c r="B300" s="784"/>
      <c r="C300" s="72" t="str">
        <f t="shared" si="47"/>
        <v/>
      </c>
      <c r="D300" s="258" t="str">
        <f t="shared" si="48"/>
        <v/>
      </c>
      <c r="E300" s="194" t="str">
        <f t="shared" si="49"/>
        <v/>
      </c>
      <c r="F300" s="348" t="str">
        <f t="shared" si="50"/>
        <v/>
      </c>
      <c r="G300" s="348" t="str">
        <f t="shared" si="51"/>
        <v/>
      </c>
      <c r="H300" s="222" t="str">
        <f t="shared" si="52"/>
        <v/>
      </c>
      <c r="I300" s="222" t="str">
        <f t="shared" si="53"/>
        <v/>
      </c>
      <c r="J300" s="222" t="str">
        <f t="shared" si="54"/>
        <v/>
      </c>
      <c r="K300" s="223" t="str">
        <f t="shared" si="55"/>
        <v/>
      </c>
      <c r="L300" s="195" t="str">
        <f t="shared" si="56"/>
        <v/>
      </c>
      <c r="M300" s="196" t="str">
        <f t="shared" si="57"/>
        <v/>
      </c>
      <c r="N300" s="120">
        <f t="shared" si="65"/>
        <v>6</v>
      </c>
      <c r="O300" s="125" t="str">
        <f t="shared" si="64"/>
        <v>0-6</v>
      </c>
      <c r="S300" s="184" t="str">
        <f t="shared" si="46"/>
        <v/>
      </c>
      <c r="T300" s="185"/>
      <c r="U300" s="182"/>
      <c r="V300" s="182"/>
      <c r="W300" s="186"/>
      <c r="X300" s="186"/>
      <c r="Y300" s="241"/>
      <c r="Z300" s="182"/>
      <c r="AA300" s="187" t="str">
        <f>IFERROR(VLOOKUP(Z300,DATOS!$M$2:$N$219,2,FALSE),"")</f>
        <v/>
      </c>
      <c r="AB300" s="182"/>
      <c r="AC300" s="182"/>
      <c r="AD300" s="182"/>
      <c r="AE300" s="182"/>
      <c r="AF300" s="182"/>
      <c r="AG300" s="181"/>
      <c r="AH300" s="181"/>
      <c r="AI300" s="181"/>
      <c r="AJ300" s="181"/>
      <c r="AK300" s="181"/>
      <c r="AL300" s="181"/>
      <c r="AM300" s="181"/>
      <c r="AN300" s="181"/>
      <c r="AO300" s="181"/>
      <c r="AP300" s="181"/>
      <c r="AQ300" s="320"/>
      <c r="AR300" s="181"/>
      <c r="AS300" s="181"/>
      <c r="AT300" s="5" t="str">
        <f>IF(Tabla1015[[#This Row],[FECHA]]="","",VLOOKUP(TEXT(Tabla1015[[#This Row],[FECHA]],"[$-C0A]dddd"),Tabla2[#All],2,FALSE)&amp;"-"&amp;TEXT(Tabla1015[[#This Row],[FECHA]],"[$-C0A]dddd"))</f>
        <v/>
      </c>
      <c r="AU300" s="322">
        <f>COUNTIF($Z$4:Z300,Z300)</f>
        <v>0</v>
      </c>
    </row>
    <row r="301" spans="2:47" ht="57.75" customHeight="1">
      <c r="B301" s="784"/>
      <c r="C301" s="72" t="str">
        <f t="shared" si="47"/>
        <v/>
      </c>
      <c r="D301" s="258" t="str">
        <f t="shared" si="48"/>
        <v/>
      </c>
      <c r="E301" s="194" t="str">
        <f t="shared" si="49"/>
        <v/>
      </c>
      <c r="F301" s="348" t="str">
        <f t="shared" si="50"/>
        <v/>
      </c>
      <c r="G301" s="348" t="str">
        <f t="shared" si="51"/>
        <v/>
      </c>
      <c r="H301" s="222" t="str">
        <f t="shared" si="52"/>
        <v/>
      </c>
      <c r="I301" s="222" t="str">
        <f t="shared" si="53"/>
        <v/>
      </c>
      <c r="J301" s="222" t="str">
        <f t="shared" si="54"/>
        <v/>
      </c>
      <c r="K301" s="223" t="str">
        <f t="shared" si="55"/>
        <v/>
      </c>
      <c r="L301" s="195" t="str">
        <f t="shared" si="56"/>
        <v/>
      </c>
      <c r="M301" s="196" t="str">
        <f t="shared" si="57"/>
        <v/>
      </c>
      <c r="N301" s="120">
        <f t="shared" si="65"/>
        <v>7</v>
      </c>
      <c r="O301" s="125" t="str">
        <f t="shared" si="64"/>
        <v>0-7</v>
      </c>
      <c r="S301" s="184" t="str">
        <f t="shared" si="46"/>
        <v/>
      </c>
      <c r="T301" s="185"/>
      <c r="U301" s="182"/>
      <c r="V301" s="182"/>
      <c r="W301" s="186"/>
      <c r="X301" s="186"/>
      <c r="Y301" s="241"/>
      <c r="Z301" s="182"/>
      <c r="AA301" s="187" t="str">
        <f>IFERROR(VLOOKUP(Z301,DATOS!$M$2:$N$219,2,FALSE),"")</f>
        <v/>
      </c>
      <c r="AB301" s="182"/>
      <c r="AC301" s="182"/>
      <c r="AD301" s="182"/>
      <c r="AE301" s="182"/>
      <c r="AF301" s="182"/>
      <c r="AG301" s="181"/>
      <c r="AH301" s="181"/>
      <c r="AI301" s="181"/>
      <c r="AJ301" s="181"/>
      <c r="AK301" s="181"/>
      <c r="AL301" s="181"/>
      <c r="AM301" s="181"/>
      <c r="AN301" s="181"/>
      <c r="AO301" s="181"/>
      <c r="AP301" s="181"/>
      <c r="AQ301" s="320"/>
      <c r="AR301" s="181"/>
      <c r="AS301" s="181"/>
      <c r="AT301" s="5" t="str">
        <f>IF(Tabla1015[[#This Row],[FECHA]]="","",VLOOKUP(TEXT(Tabla1015[[#This Row],[FECHA]],"[$-C0A]dddd"),Tabla2[#All],2,FALSE)&amp;"-"&amp;TEXT(Tabla1015[[#This Row],[FECHA]],"[$-C0A]dddd"))</f>
        <v/>
      </c>
      <c r="AU301" s="322">
        <f>COUNTIF($Z$4:Z301,Z301)</f>
        <v>0</v>
      </c>
    </row>
    <row r="302" spans="2:47" ht="57.75" customHeight="1">
      <c r="B302" s="784"/>
      <c r="C302" s="72" t="str">
        <f t="shared" si="47"/>
        <v/>
      </c>
      <c r="D302" s="258" t="str">
        <f t="shared" si="48"/>
        <v/>
      </c>
      <c r="E302" s="194" t="str">
        <f t="shared" si="49"/>
        <v/>
      </c>
      <c r="F302" s="348" t="str">
        <f t="shared" si="50"/>
        <v/>
      </c>
      <c r="G302" s="348" t="str">
        <f t="shared" si="51"/>
        <v/>
      </c>
      <c r="H302" s="222" t="str">
        <f t="shared" si="52"/>
        <v/>
      </c>
      <c r="I302" s="222" t="str">
        <f t="shared" si="53"/>
        <v/>
      </c>
      <c r="J302" s="222" t="str">
        <f t="shared" si="54"/>
        <v/>
      </c>
      <c r="K302" s="223" t="str">
        <f t="shared" si="55"/>
        <v/>
      </c>
      <c r="L302" s="195" t="str">
        <f t="shared" si="56"/>
        <v/>
      </c>
      <c r="M302" s="196" t="str">
        <f t="shared" si="57"/>
        <v/>
      </c>
      <c r="N302" s="120">
        <f t="shared" si="65"/>
        <v>8</v>
      </c>
      <c r="O302" s="125" t="str">
        <f t="shared" si="64"/>
        <v>0-8</v>
      </c>
      <c r="S302" s="184" t="str">
        <f t="shared" si="46"/>
        <v/>
      </c>
      <c r="T302" s="185"/>
      <c r="U302" s="182"/>
      <c r="V302" s="182"/>
      <c r="W302" s="186"/>
      <c r="X302" s="186"/>
      <c r="Y302" s="241"/>
      <c r="Z302" s="182"/>
      <c r="AA302" s="187" t="str">
        <f>IFERROR(VLOOKUP(Z302,DATOS!$M$2:$N$219,2,FALSE),"")</f>
        <v/>
      </c>
      <c r="AB302" s="182"/>
      <c r="AC302" s="182"/>
      <c r="AD302" s="182"/>
      <c r="AE302" s="182"/>
      <c r="AF302" s="182"/>
      <c r="AG302" s="181"/>
      <c r="AH302" s="181"/>
      <c r="AI302" s="181"/>
      <c r="AJ302" s="181"/>
      <c r="AK302" s="181"/>
      <c r="AL302" s="181"/>
      <c r="AM302" s="181"/>
      <c r="AN302" s="181"/>
      <c r="AO302" s="181"/>
      <c r="AP302" s="181"/>
      <c r="AQ302" s="320"/>
      <c r="AR302" s="181"/>
      <c r="AS302" s="181"/>
      <c r="AT302" s="5" t="str">
        <f>IF(Tabla1015[[#This Row],[FECHA]]="","",VLOOKUP(TEXT(Tabla1015[[#This Row],[FECHA]],"[$-C0A]dddd"),Tabla2[#All],2,FALSE)&amp;"-"&amp;TEXT(Tabla1015[[#This Row],[FECHA]],"[$-C0A]dddd"))</f>
        <v/>
      </c>
      <c r="AU302" s="322">
        <f>COUNTIF($Z$4:Z302,Z302)</f>
        <v>0</v>
      </c>
    </row>
    <row r="303" spans="2:47" ht="57.75" customHeight="1">
      <c r="B303" s="784"/>
      <c r="C303" s="72" t="str">
        <f t="shared" si="47"/>
        <v/>
      </c>
      <c r="D303" s="258" t="str">
        <f t="shared" si="48"/>
        <v/>
      </c>
      <c r="E303" s="194" t="str">
        <f t="shared" si="49"/>
        <v/>
      </c>
      <c r="F303" s="348" t="str">
        <f t="shared" si="50"/>
        <v/>
      </c>
      <c r="G303" s="348" t="str">
        <f t="shared" si="51"/>
        <v/>
      </c>
      <c r="H303" s="222" t="str">
        <f t="shared" si="52"/>
        <v/>
      </c>
      <c r="I303" s="222" t="str">
        <f t="shared" si="53"/>
        <v/>
      </c>
      <c r="J303" s="222" t="str">
        <f t="shared" si="54"/>
        <v/>
      </c>
      <c r="K303" s="223" t="str">
        <f t="shared" si="55"/>
        <v/>
      </c>
      <c r="L303" s="195" t="str">
        <f t="shared" si="56"/>
        <v/>
      </c>
      <c r="M303" s="196" t="str">
        <f t="shared" si="57"/>
        <v/>
      </c>
      <c r="N303" s="120">
        <f t="shared" si="65"/>
        <v>9</v>
      </c>
      <c r="O303" s="125" t="str">
        <f t="shared" si="64"/>
        <v>0-9</v>
      </c>
      <c r="S303" s="184" t="str">
        <f t="shared" si="46"/>
        <v/>
      </c>
      <c r="T303" s="185"/>
      <c r="U303" s="182"/>
      <c r="V303" s="182"/>
      <c r="W303" s="186"/>
      <c r="X303" s="186"/>
      <c r="Y303" s="241"/>
      <c r="Z303" s="182"/>
      <c r="AA303" s="187" t="str">
        <f>IFERROR(VLOOKUP(Z303,DATOS!$M$2:$N$219,2,FALSE),"")</f>
        <v/>
      </c>
      <c r="AB303" s="182"/>
      <c r="AC303" s="182"/>
      <c r="AD303" s="182"/>
      <c r="AE303" s="182"/>
      <c r="AF303" s="182"/>
      <c r="AG303" s="181"/>
      <c r="AH303" s="181"/>
      <c r="AI303" s="181"/>
      <c r="AJ303" s="181"/>
      <c r="AK303" s="181"/>
      <c r="AL303" s="181"/>
      <c r="AM303" s="181"/>
      <c r="AN303" s="181"/>
      <c r="AO303" s="181"/>
      <c r="AP303" s="181"/>
      <c r="AQ303" s="320"/>
      <c r="AR303" s="181"/>
      <c r="AS303" s="181"/>
      <c r="AT303" s="5" t="str">
        <f>IF(Tabla1015[[#This Row],[FECHA]]="","",VLOOKUP(TEXT(Tabla1015[[#This Row],[FECHA]],"[$-C0A]dddd"),Tabla2[#All],2,FALSE)&amp;"-"&amp;TEXT(Tabla1015[[#This Row],[FECHA]],"[$-C0A]dddd"))</f>
        <v/>
      </c>
      <c r="AU303" s="322">
        <f>COUNTIF($Z$4:Z303,Z303)</f>
        <v>0</v>
      </c>
    </row>
    <row r="304" spans="2:47" ht="57.75" customHeight="1">
      <c r="B304" s="785"/>
      <c r="C304" s="168" t="str">
        <f t="shared" si="47"/>
        <v/>
      </c>
      <c r="D304" s="267" t="str">
        <f t="shared" si="48"/>
        <v/>
      </c>
      <c r="E304" s="217" t="str">
        <f t="shared" si="49"/>
        <v/>
      </c>
      <c r="F304" s="355" t="str">
        <f t="shared" si="50"/>
        <v/>
      </c>
      <c r="G304" s="355" t="str">
        <f t="shared" si="51"/>
        <v/>
      </c>
      <c r="H304" s="236" t="str">
        <f t="shared" si="52"/>
        <v/>
      </c>
      <c r="I304" s="236" t="str">
        <f t="shared" si="53"/>
        <v/>
      </c>
      <c r="J304" s="236" t="str">
        <f t="shared" si="54"/>
        <v/>
      </c>
      <c r="K304" s="237" t="str">
        <f t="shared" si="55"/>
        <v/>
      </c>
      <c r="L304" s="218" t="str">
        <f t="shared" si="56"/>
        <v/>
      </c>
      <c r="M304" s="219" t="str">
        <f t="shared" si="57"/>
        <v/>
      </c>
      <c r="N304" s="136">
        <f t="shared" si="65"/>
        <v>10</v>
      </c>
      <c r="O304" s="130" t="str">
        <f t="shared" si="64"/>
        <v>0-10</v>
      </c>
      <c r="S304" s="184" t="str">
        <f t="shared" si="46"/>
        <v/>
      </c>
      <c r="T304" s="185"/>
      <c r="U304" s="182"/>
      <c r="V304" s="182"/>
      <c r="W304" s="186"/>
      <c r="X304" s="186"/>
      <c r="Y304" s="241"/>
      <c r="Z304" s="182"/>
      <c r="AA304" s="187" t="str">
        <f>IFERROR(VLOOKUP(Z304,DATOS!$M$2:$N$219,2,FALSE),"")</f>
        <v/>
      </c>
      <c r="AB304" s="182"/>
      <c r="AC304" s="182"/>
      <c r="AD304" s="182"/>
      <c r="AE304" s="182"/>
      <c r="AF304" s="182"/>
      <c r="AG304" s="181"/>
      <c r="AH304" s="181"/>
      <c r="AI304" s="181"/>
      <c r="AJ304" s="181"/>
      <c r="AK304" s="181"/>
      <c r="AL304" s="181"/>
      <c r="AM304" s="181"/>
      <c r="AN304" s="181"/>
      <c r="AO304" s="181"/>
      <c r="AP304" s="181"/>
      <c r="AQ304" s="320"/>
      <c r="AR304" s="181"/>
      <c r="AS304" s="181"/>
      <c r="AT304" s="5" t="str">
        <f>IF(Tabla1015[[#This Row],[FECHA]]="","",VLOOKUP(TEXT(Tabla1015[[#This Row],[FECHA]],"[$-C0A]dddd"),Tabla2[#All],2,FALSE)&amp;"-"&amp;TEXT(Tabla1015[[#This Row],[FECHA]],"[$-C0A]dddd"))</f>
        <v/>
      </c>
      <c r="AU304" s="322">
        <f>COUNTIF($Z$4:Z304,Z304)</f>
        <v>0</v>
      </c>
    </row>
    <row r="305" spans="2:47" ht="57.75" customHeight="1">
      <c r="B305" s="786">
        <f>+'TABLA RES-SEMANA'!B80</f>
        <v>0</v>
      </c>
      <c r="C305" s="169" t="str">
        <f t="shared" si="47"/>
        <v/>
      </c>
      <c r="D305" s="257" t="str">
        <f t="shared" si="48"/>
        <v/>
      </c>
      <c r="E305" s="191" t="str">
        <f t="shared" si="49"/>
        <v/>
      </c>
      <c r="F305" s="347" t="str">
        <f t="shared" si="50"/>
        <v/>
      </c>
      <c r="G305" s="347" t="str">
        <f t="shared" si="51"/>
        <v/>
      </c>
      <c r="H305" s="220" t="str">
        <f t="shared" si="52"/>
        <v/>
      </c>
      <c r="I305" s="220" t="str">
        <f t="shared" si="53"/>
        <v/>
      </c>
      <c r="J305" s="220" t="str">
        <f t="shared" si="54"/>
        <v/>
      </c>
      <c r="K305" s="221" t="str">
        <f t="shared" si="55"/>
        <v/>
      </c>
      <c r="L305" s="192" t="str">
        <f t="shared" si="56"/>
        <v/>
      </c>
      <c r="M305" s="193" t="str">
        <f t="shared" si="57"/>
        <v/>
      </c>
      <c r="N305" s="100">
        <v>1</v>
      </c>
      <c r="O305" s="98" t="str">
        <f>CONCATENATE($B$305,"-",N305)</f>
        <v>0-1</v>
      </c>
      <c r="P305" s="91">
        <f>COUNTIF(H305:H314,"&lt;&gt;**")</f>
        <v>0</v>
      </c>
      <c r="S305" s="184" t="str">
        <f t="shared" si="46"/>
        <v/>
      </c>
      <c r="T305" s="185"/>
      <c r="U305" s="182"/>
      <c r="V305" s="182"/>
      <c r="W305" s="186"/>
      <c r="X305" s="186"/>
      <c r="Y305" s="240"/>
      <c r="Z305" s="182"/>
      <c r="AA305" s="401" t="str">
        <f>IFERROR(VLOOKUP(Z305,DATOS!$M$2:$N$219,2,FALSE),"")</f>
        <v/>
      </c>
      <c r="AB305" s="182"/>
      <c r="AC305" s="182"/>
      <c r="AD305" s="182"/>
      <c r="AE305" s="182"/>
      <c r="AF305" s="182"/>
      <c r="AG305" s="181"/>
      <c r="AH305" s="181"/>
      <c r="AI305" s="181"/>
      <c r="AJ305" s="181"/>
      <c r="AK305" s="181"/>
      <c r="AL305" s="181"/>
      <c r="AM305" s="181"/>
      <c r="AN305" s="181"/>
      <c r="AO305" s="181"/>
      <c r="AP305" s="181"/>
      <c r="AQ305" s="320"/>
      <c r="AR305" s="181"/>
      <c r="AS305" s="181"/>
      <c r="AT305" s="5" t="str">
        <f>IF(Tabla1015[[#This Row],[FECHA]]="","",VLOOKUP(TEXT(Tabla1015[[#This Row],[FECHA]],"[$-C0A]dddd"),Tabla2[#All],2,FALSE)&amp;"-"&amp;TEXT(Tabla1015[[#This Row],[FECHA]],"[$-C0A]dddd"))</f>
        <v/>
      </c>
      <c r="AU305" s="322">
        <f>COUNTIF($Z$4:Z305,Z305)</f>
        <v>0</v>
      </c>
    </row>
    <row r="306" spans="2:47" ht="57.75" customHeight="1">
      <c r="B306" s="784"/>
      <c r="C306" s="72" t="str">
        <f t="shared" si="47"/>
        <v/>
      </c>
      <c r="D306" s="258" t="str">
        <f t="shared" si="48"/>
        <v/>
      </c>
      <c r="E306" s="194" t="str">
        <f t="shared" si="49"/>
        <v/>
      </c>
      <c r="F306" s="348" t="str">
        <f t="shared" si="50"/>
        <v/>
      </c>
      <c r="G306" s="348" t="str">
        <f t="shared" si="51"/>
        <v/>
      </c>
      <c r="H306" s="222" t="str">
        <f t="shared" si="52"/>
        <v/>
      </c>
      <c r="I306" s="222" t="str">
        <f t="shared" si="53"/>
        <v/>
      </c>
      <c r="J306" s="222" t="str">
        <f t="shared" si="54"/>
        <v/>
      </c>
      <c r="K306" s="223" t="str">
        <f t="shared" si="55"/>
        <v/>
      </c>
      <c r="L306" s="195" t="str">
        <f t="shared" si="56"/>
        <v/>
      </c>
      <c r="M306" s="196" t="str">
        <f t="shared" si="57"/>
        <v/>
      </c>
      <c r="N306" s="120">
        <v>2</v>
      </c>
      <c r="O306" s="125" t="str">
        <f>CONCATENATE($B$305,"-",N306)</f>
        <v>0-2</v>
      </c>
      <c r="S306" s="184" t="str">
        <f t="shared" si="46"/>
        <v/>
      </c>
      <c r="T306" s="188"/>
      <c r="U306" s="189"/>
      <c r="V306" s="189"/>
      <c r="W306" s="190"/>
      <c r="X306" s="190"/>
      <c r="Y306" s="240"/>
      <c r="Z306" s="189"/>
      <c r="AA306" s="402" t="str">
        <f>IFERROR(VLOOKUP(Z306,DATOS!$M$2:$N$219,2,FALSE),"")</f>
        <v/>
      </c>
      <c r="AB306" s="189"/>
      <c r="AC306" s="189"/>
      <c r="AD306" s="189"/>
      <c r="AE306" s="189"/>
      <c r="AF306" s="189"/>
      <c r="AG306" s="183"/>
      <c r="AH306" s="183"/>
      <c r="AI306" s="183"/>
      <c r="AJ306" s="183"/>
      <c r="AK306" s="183"/>
      <c r="AL306" s="183"/>
      <c r="AM306" s="183"/>
      <c r="AN306" s="183"/>
      <c r="AO306" s="183"/>
      <c r="AP306" s="183"/>
      <c r="AQ306" s="321"/>
      <c r="AR306" s="181"/>
      <c r="AS306" s="181"/>
      <c r="AT306" s="5" t="str">
        <f>IF(Tabla1015[[#This Row],[FECHA]]="","",VLOOKUP(TEXT(Tabla1015[[#This Row],[FECHA]],"[$-C0A]dddd"),Tabla2[#All],2,FALSE)&amp;"-"&amp;TEXT(Tabla1015[[#This Row],[FECHA]],"[$-C0A]dddd"))</f>
        <v/>
      </c>
      <c r="AU306" s="322">
        <f>COUNTIF($Z$4:Z306,Z306)</f>
        <v>0</v>
      </c>
    </row>
    <row r="307" spans="2:47" ht="57.75" customHeight="1">
      <c r="B307" s="784"/>
      <c r="C307" s="72" t="str">
        <f t="shared" si="47"/>
        <v/>
      </c>
      <c r="D307" s="258" t="str">
        <f t="shared" si="48"/>
        <v/>
      </c>
      <c r="E307" s="194" t="str">
        <f t="shared" si="49"/>
        <v/>
      </c>
      <c r="F307" s="348" t="str">
        <f t="shared" si="50"/>
        <v/>
      </c>
      <c r="G307" s="348" t="str">
        <f t="shared" si="51"/>
        <v/>
      </c>
      <c r="H307" s="222" t="str">
        <f t="shared" si="52"/>
        <v/>
      </c>
      <c r="I307" s="222" t="str">
        <f t="shared" si="53"/>
        <v/>
      </c>
      <c r="J307" s="222" t="str">
        <f t="shared" si="54"/>
        <v/>
      </c>
      <c r="K307" s="223" t="str">
        <f t="shared" si="55"/>
        <v/>
      </c>
      <c r="L307" s="195" t="str">
        <f t="shared" si="56"/>
        <v/>
      </c>
      <c r="M307" s="196" t="str">
        <f t="shared" si="57"/>
        <v/>
      </c>
      <c r="N307" s="120">
        <v>3</v>
      </c>
      <c r="O307" s="125" t="str">
        <f t="shared" ref="O307:O314" si="66">CONCATENATE($B$305,"-",N307)</f>
        <v>0-3</v>
      </c>
      <c r="Y307" s="238"/>
      <c r="AA307" s="239"/>
    </row>
    <row r="308" spans="2:47" ht="57.75" customHeight="1">
      <c r="B308" s="784"/>
      <c r="C308" s="72" t="str">
        <f t="shared" si="47"/>
        <v/>
      </c>
      <c r="D308" s="258" t="str">
        <f t="shared" si="48"/>
        <v/>
      </c>
      <c r="E308" s="194" t="str">
        <f t="shared" si="49"/>
        <v/>
      </c>
      <c r="F308" s="348" t="str">
        <f t="shared" si="50"/>
        <v/>
      </c>
      <c r="G308" s="348" t="str">
        <f t="shared" si="51"/>
        <v/>
      </c>
      <c r="H308" s="222" t="str">
        <f t="shared" si="52"/>
        <v/>
      </c>
      <c r="I308" s="222" t="str">
        <f t="shared" si="53"/>
        <v/>
      </c>
      <c r="J308" s="222" t="str">
        <f t="shared" si="54"/>
        <v/>
      </c>
      <c r="K308" s="223" t="str">
        <f t="shared" si="55"/>
        <v/>
      </c>
      <c r="L308" s="195" t="str">
        <f t="shared" si="56"/>
        <v/>
      </c>
      <c r="M308" s="196" t="str">
        <f t="shared" si="57"/>
        <v/>
      </c>
      <c r="N308" s="120">
        <v>4</v>
      </c>
      <c r="O308" s="125" t="str">
        <f t="shared" si="66"/>
        <v>0-4</v>
      </c>
    </row>
    <row r="309" spans="2:47" ht="57.75" customHeight="1">
      <c r="B309" s="784"/>
      <c r="C309" s="72" t="str">
        <f t="shared" si="47"/>
        <v/>
      </c>
      <c r="D309" s="258" t="str">
        <f t="shared" si="48"/>
        <v/>
      </c>
      <c r="E309" s="194" t="str">
        <f t="shared" si="49"/>
        <v/>
      </c>
      <c r="F309" s="348" t="str">
        <f t="shared" si="50"/>
        <v/>
      </c>
      <c r="G309" s="348" t="str">
        <f t="shared" si="51"/>
        <v/>
      </c>
      <c r="H309" s="222" t="str">
        <f t="shared" si="52"/>
        <v/>
      </c>
      <c r="I309" s="222" t="str">
        <f t="shared" si="53"/>
        <v/>
      </c>
      <c r="J309" s="222" t="str">
        <f t="shared" si="54"/>
        <v/>
      </c>
      <c r="K309" s="223" t="str">
        <f t="shared" si="55"/>
        <v/>
      </c>
      <c r="L309" s="195" t="str">
        <f t="shared" si="56"/>
        <v/>
      </c>
      <c r="M309" s="196" t="str">
        <f t="shared" si="57"/>
        <v/>
      </c>
      <c r="N309" s="120">
        <v>5</v>
      </c>
      <c r="O309" s="125" t="str">
        <f t="shared" si="66"/>
        <v>0-5</v>
      </c>
    </row>
    <row r="310" spans="2:47" ht="57.75" customHeight="1">
      <c r="B310" s="784"/>
      <c r="C310" s="72" t="str">
        <f t="shared" si="47"/>
        <v/>
      </c>
      <c r="D310" s="258" t="str">
        <f t="shared" si="48"/>
        <v/>
      </c>
      <c r="E310" s="194" t="str">
        <f t="shared" si="49"/>
        <v/>
      </c>
      <c r="F310" s="348" t="str">
        <f t="shared" si="50"/>
        <v/>
      </c>
      <c r="G310" s="348" t="str">
        <f t="shared" si="51"/>
        <v/>
      </c>
      <c r="H310" s="222" t="str">
        <f t="shared" si="52"/>
        <v/>
      </c>
      <c r="I310" s="222" t="str">
        <f t="shared" si="53"/>
        <v/>
      </c>
      <c r="J310" s="222" t="str">
        <f t="shared" si="54"/>
        <v/>
      </c>
      <c r="K310" s="223" t="str">
        <f t="shared" si="55"/>
        <v/>
      </c>
      <c r="L310" s="195" t="str">
        <f t="shared" si="56"/>
        <v/>
      </c>
      <c r="M310" s="196" t="str">
        <f t="shared" si="57"/>
        <v/>
      </c>
      <c r="N310" s="120">
        <v>6</v>
      </c>
      <c r="O310" s="125" t="str">
        <f t="shared" si="66"/>
        <v>0-6</v>
      </c>
    </row>
    <row r="311" spans="2:47" ht="57.75" customHeight="1">
      <c r="B311" s="784"/>
      <c r="C311" s="72" t="str">
        <f t="shared" si="47"/>
        <v/>
      </c>
      <c r="D311" s="258" t="str">
        <f t="shared" si="48"/>
        <v/>
      </c>
      <c r="E311" s="194" t="str">
        <f t="shared" si="49"/>
        <v/>
      </c>
      <c r="F311" s="348" t="str">
        <f t="shared" si="50"/>
        <v/>
      </c>
      <c r="G311" s="348" t="str">
        <f t="shared" si="51"/>
        <v/>
      </c>
      <c r="H311" s="222" t="str">
        <f t="shared" si="52"/>
        <v/>
      </c>
      <c r="I311" s="222" t="str">
        <f t="shared" si="53"/>
        <v/>
      </c>
      <c r="J311" s="222" t="str">
        <f t="shared" si="54"/>
        <v/>
      </c>
      <c r="K311" s="223" t="str">
        <f t="shared" si="55"/>
        <v/>
      </c>
      <c r="L311" s="195" t="str">
        <f t="shared" si="56"/>
        <v/>
      </c>
      <c r="M311" s="196" t="str">
        <f t="shared" si="57"/>
        <v/>
      </c>
      <c r="N311" s="120">
        <v>7</v>
      </c>
      <c r="O311" s="125" t="str">
        <f t="shared" si="66"/>
        <v>0-7</v>
      </c>
    </row>
    <row r="312" spans="2:47" ht="57.75" customHeight="1">
      <c r="B312" s="784"/>
      <c r="C312" s="72" t="str">
        <f t="shared" si="47"/>
        <v/>
      </c>
      <c r="D312" s="258" t="str">
        <f t="shared" si="48"/>
        <v/>
      </c>
      <c r="E312" s="194" t="str">
        <f t="shared" si="49"/>
        <v/>
      </c>
      <c r="F312" s="348" t="str">
        <f t="shared" si="50"/>
        <v/>
      </c>
      <c r="G312" s="348" t="str">
        <f t="shared" si="51"/>
        <v/>
      </c>
      <c r="H312" s="222" t="str">
        <f t="shared" si="52"/>
        <v/>
      </c>
      <c r="I312" s="222" t="str">
        <f t="shared" si="53"/>
        <v/>
      </c>
      <c r="J312" s="222" t="str">
        <f t="shared" si="54"/>
        <v/>
      </c>
      <c r="K312" s="223" t="str">
        <f t="shared" si="55"/>
        <v/>
      </c>
      <c r="L312" s="195" t="str">
        <f t="shared" si="56"/>
        <v/>
      </c>
      <c r="M312" s="196" t="str">
        <f t="shared" si="57"/>
        <v/>
      </c>
      <c r="N312" s="120">
        <v>8</v>
      </c>
      <c r="O312" s="125" t="str">
        <f t="shared" si="66"/>
        <v>0-8</v>
      </c>
    </row>
    <row r="313" spans="2:47" ht="57.75" customHeight="1">
      <c r="B313" s="784"/>
      <c r="C313" s="72" t="str">
        <f t="shared" si="47"/>
        <v/>
      </c>
      <c r="D313" s="258" t="str">
        <f t="shared" si="48"/>
        <v/>
      </c>
      <c r="E313" s="194" t="str">
        <f t="shared" si="49"/>
        <v/>
      </c>
      <c r="F313" s="348" t="str">
        <f t="shared" si="50"/>
        <v/>
      </c>
      <c r="G313" s="348" t="str">
        <f t="shared" si="51"/>
        <v/>
      </c>
      <c r="H313" s="222" t="str">
        <f t="shared" si="52"/>
        <v/>
      </c>
      <c r="I313" s="222" t="str">
        <f t="shared" si="53"/>
        <v/>
      </c>
      <c r="J313" s="222" t="str">
        <f t="shared" si="54"/>
        <v/>
      </c>
      <c r="K313" s="223" t="str">
        <f t="shared" si="55"/>
        <v/>
      </c>
      <c r="L313" s="195" t="str">
        <f t="shared" si="56"/>
        <v/>
      </c>
      <c r="M313" s="196" t="str">
        <f t="shared" si="57"/>
        <v/>
      </c>
      <c r="N313" s="120">
        <v>9</v>
      </c>
      <c r="O313" s="125" t="str">
        <f t="shared" si="66"/>
        <v>0-9</v>
      </c>
    </row>
    <row r="314" spans="2:47" ht="57.75" customHeight="1">
      <c r="B314" s="785"/>
      <c r="C314" s="168" t="str">
        <f t="shared" si="47"/>
        <v/>
      </c>
      <c r="D314" s="267" t="str">
        <f t="shared" si="48"/>
        <v/>
      </c>
      <c r="E314" s="217" t="str">
        <f t="shared" si="49"/>
        <v/>
      </c>
      <c r="F314" s="355" t="str">
        <f t="shared" si="50"/>
        <v/>
      </c>
      <c r="G314" s="355" t="str">
        <f t="shared" si="51"/>
        <v/>
      </c>
      <c r="H314" s="236" t="str">
        <f t="shared" si="52"/>
        <v/>
      </c>
      <c r="I314" s="236" t="str">
        <f t="shared" si="53"/>
        <v/>
      </c>
      <c r="J314" s="236" t="str">
        <f t="shared" si="54"/>
        <v/>
      </c>
      <c r="K314" s="237" t="str">
        <f t="shared" si="55"/>
        <v/>
      </c>
      <c r="L314" s="218" t="str">
        <f t="shared" si="56"/>
        <v/>
      </c>
      <c r="M314" s="219" t="str">
        <f t="shared" si="57"/>
        <v/>
      </c>
      <c r="N314" s="136">
        <v>10</v>
      </c>
      <c r="O314" s="130" t="str">
        <f t="shared" si="66"/>
        <v>0-10</v>
      </c>
    </row>
    <row r="315" spans="2:47" ht="57.75" customHeight="1">
      <c r="B315" s="786">
        <f>+'TABLA RES-SEMANA'!B81</f>
        <v>0</v>
      </c>
      <c r="C315" s="169" t="str">
        <f t="shared" si="47"/>
        <v/>
      </c>
      <c r="D315" s="257" t="str">
        <f t="shared" si="48"/>
        <v/>
      </c>
      <c r="E315" s="191" t="str">
        <f t="shared" si="49"/>
        <v/>
      </c>
      <c r="F315" s="347" t="str">
        <f t="shared" si="50"/>
        <v/>
      </c>
      <c r="G315" s="347" t="str">
        <f t="shared" si="51"/>
        <v/>
      </c>
      <c r="H315" s="220" t="str">
        <f t="shared" si="52"/>
        <v/>
      </c>
      <c r="I315" s="220" t="str">
        <f t="shared" si="53"/>
        <v/>
      </c>
      <c r="J315" s="220" t="str">
        <f t="shared" si="54"/>
        <v/>
      </c>
      <c r="K315" s="221" t="str">
        <f t="shared" si="55"/>
        <v/>
      </c>
      <c r="L315" s="192" t="str">
        <f t="shared" si="56"/>
        <v/>
      </c>
      <c r="M315" s="193" t="str">
        <f t="shared" si="57"/>
        <v/>
      </c>
      <c r="N315" s="100">
        <v>1</v>
      </c>
      <c r="O315" s="98" t="str">
        <f>CONCATENATE($B$315,"-",N315)</f>
        <v>0-1</v>
      </c>
      <c r="P315" s="91">
        <f>COUNTIF(H315:H324,"&lt;&gt;**")</f>
        <v>0</v>
      </c>
      <c r="Y315" s="238"/>
      <c r="AA315" s="239"/>
    </row>
    <row r="316" spans="2:47" ht="57.75" customHeight="1">
      <c r="B316" s="784"/>
      <c r="C316" s="72" t="str">
        <f t="shared" si="47"/>
        <v/>
      </c>
      <c r="D316" s="258" t="str">
        <f t="shared" si="48"/>
        <v/>
      </c>
      <c r="E316" s="194" t="str">
        <f t="shared" si="49"/>
        <v/>
      </c>
      <c r="F316" s="348" t="str">
        <f t="shared" si="50"/>
        <v/>
      </c>
      <c r="G316" s="348" t="str">
        <f t="shared" si="51"/>
        <v/>
      </c>
      <c r="H316" s="222" t="str">
        <f t="shared" si="52"/>
        <v/>
      </c>
      <c r="I316" s="222" t="str">
        <f t="shared" si="53"/>
        <v/>
      </c>
      <c r="J316" s="222" t="str">
        <f t="shared" si="54"/>
        <v/>
      </c>
      <c r="K316" s="223" t="str">
        <f t="shared" si="55"/>
        <v/>
      </c>
      <c r="L316" s="195" t="str">
        <f t="shared" si="56"/>
        <v/>
      </c>
      <c r="M316" s="196" t="str">
        <f t="shared" si="57"/>
        <v/>
      </c>
      <c r="N316" s="120">
        <v>2</v>
      </c>
      <c r="O316" s="125" t="str">
        <f t="shared" ref="O316:O324" si="67">CONCATENATE($B$315,"-",N316)</f>
        <v>0-2</v>
      </c>
      <c r="Y316" s="238"/>
      <c r="AA316" s="239"/>
    </row>
    <row r="317" spans="2:47" ht="57.75" customHeight="1">
      <c r="B317" s="784"/>
      <c r="C317" s="72" t="str">
        <f t="shared" si="47"/>
        <v/>
      </c>
      <c r="D317" s="258" t="str">
        <f t="shared" si="48"/>
        <v/>
      </c>
      <c r="E317" s="194" t="str">
        <f t="shared" si="49"/>
        <v/>
      </c>
      <c r="F317" s="348" t="str">
        <f t="shared" si="50"/>
        <v/>
      </c>
      <c r="G317" s="348" t="str">
        <f t="shared" si="51"/>
        <v/>
      </c>
      <c r="H317" s="222" t="str">
        <f t="shared" si="52"/>
        <v/>
      </c>
      <c r="I317" s="222" t="str">
        <f t="shared" si="53"/>
        <v/>
      </c>
      <c r="J317" s="222" t="str">
        <f t="shared" si="54"/>
        <v/>
      </c>
      <c r="K317" s="223" t="str">
        <f t="shared" si="55"/>
        <v/>
      </c>
      <c r="L317" s="195" t="str">
        <f t="shared" si="56"/>
        <v/>
      </c>
      <c r="M317" s="196" t="str">
        <f t="shared" si="57"/>
        <v/>
      </c>
      <c r="N317" s="120">
        <v>3</v>
      </c>
      <c r="O317" s="125" t="str">
        <f t="shared" si="67"/>
        <v>0-3</v>
      </c>
      <c r="Y317" s="238"/>
      <c r="AA317" s="239"/>
    </row>
    <row r="318" spans="2:47" ht="57.75" customHeight="1">
      <c r="B318" s="784"/>
      <c r="C318" s="72" t="str">
        <f t="shared" si="47"/>
        <v/>
      </c>
      <c r="D318" s="258" t="str">
        <f t="shared" si="48"/>
        <v/>
      </c>
      <c r="E318" s="194" t="str">
        <f t="shared" si="49"/>
        <v/>
      </c>
      <c r="F318" s="348" t="str">
        <f t="shared" si="50"/>
        <v/>
      </c>
      <c r="G318" s="348" t="str">
        <f t="shared" si="51"/>
        <v/>
      </c>
      <c r="H318" s="222" t="str">
        <f t="shared" si="52"/>
        <v/>
      </c>
      <c r="I318" s="222" t="str">
        <f t="shared" si="53"/>
        <v/>
      </c>
      <c r="J318" s="222" t="str">
        <f t="shared" si="54"/>
        <v/>
      </c>
      <c r="K318" s="223" t="str">
        <f t="shared" si="55"/>
        <v/>
      </c>
      <c r="L318" s="195" t="str">
        <f t="shared" si="56"/>
        <v/>
      </c>
      <c r="M318" s="196" t="str">
        <f t="shared" si="57"/>
        <v/>
      </c>
      <c r="N318" s="120">
        <v>4</v>
      </c>
      <c r="O318" s="125" t="str">
        <f t="shared" si="67"/>
        <v>0-4</v>
      </c>
    </row>
    <row r="319" spans="2:47" ht="57.75" customHeight="1">
      <c r="B319" s="784"/>
      <c r="C319" s="72" t="str">
        <f t="shared" si="47"/>
        <v/>
      </c>
      <c r="D319" s="258" t="str">
        <f t="shared" si="48"/>
        <v/>
      </c>
      <c r="E319" s="194" t="str">
        <f t="shared" si="49"/>
        <v/>
      </c>
      <c r="F319" s="348" t="str">
        <f t="shared" si="50"/>
        <v/>
      </c>
      <c r="G319" s="348" t="str">
        <f t="shared" si="51"/>
        <v/>
      </c>
      <c r="H319" s="222" t="str">
        <f t="shared" si="52"/>
        <v/>
      </c>
      <c r="I319" s="222" t="str">
        <f t="shared" si="53"/>
        <v/>
      </c>
      <c r="J319" s="222" t="str">
        <f t="shared" si="54"/>
        <v/>
      </c>
      <c r="K319" s="223" t="str">
        <f t="shared" si="55"/>
        <v/>
      </c>
      <c r="L319" s="195" t="str">
        <f t="shared" si="56"/>
        <v/>
      </c>
      <c r="M319" s="196" t="str">
        <f t="shared" si="57"/>
        <v/>
      </c>
      <c r="N319" s="120">
        <v>5</v>
      </c>
      <c r="O319" s="125" t="str">
        <f t="shared" si="67"/>
        <v>0-5</v>
      </c>
    </row>
    <row r="320" spans="2:47" ht="57.75" customHeight="1">
      <c r="B320" s="784"/>
      <c r="C320" s="72" t="str">
        <f t="shared" si="47"/>
        <v/>
      </c>
      <c r="D320" s="258" t="str">
        <f t="shared" si="48"/>
        <v/>
      </c>
      <c r="E320" s="194" t="str">
        <f t="shared" si="49"/>
        <v/>
      </c>
      <c r="F320" s="348" t="str">
        <f t="shared" si="50"/>
        <v/>
      </c>
      <c r="G320" s="348" t="str">
        <f t="shared" si="51"/>
        <v/>
      </c>
      <c r="H320" s="222" t="str">
        <f t="shared" si="52"/>
        <v/>
      </c>
      <c r="I320" s="222" t="str">
        <f t="shared" si="53"/>
        <v/>
      </c>
      <c r="J320" s="222" t="str">
        <f t="shared" si="54"/>
        <v/>
      </c>
      <c r="K320" s="223" t="str">
        <f t="shared" si="55"/>
        <v/>
      </c>
      <c r="L320" s="195" t="str">
        <f t="shared" si="56"/>
        <v/>
      </c>
      <c r="M320" s="196" t="str">
        <f t="shared" si="57"/>
        <v/>
      </c>
      <c r="N320" s="120">
        <v>6</v>
      </c>
      <c r="O320" s="125" t="str">
        <f t="shared" si="67"/>
        <v>0-6</v>
      </c>
    </row>
    <row r="321" spans="2:16" ht="57.75" customHeight="1">
      <c r="B321" s="784"/>
      <c r="C321" s="72" t="str">
        <f t="shared" si="47"/>
        <v/>
      </c>
      <c r="D321" s="258" t="str">
        <f t="shared" si="48"/>
        <v/>
      </c>
      <c r="E321" s="194" t="str">
        <f t="shared" si="49"/>
        <v/>
      </c>
      <c r="F321" s="348" t="str">
        <f t="shared" si="50"/>
        <v/>
      </c>
      <c r="G321" s="348" t="str">
        <f t="shared" si="51"/>
        <v/>
      </c>
      <c r="H321" s="222" t="str">
        <f t="shared" si="52"/>
        <v/>
      </c>
      <c r="I321" s="222" t="str">
        <f t="shared" si="53"/>
        <v/>
      </c>
      <c r="J321" s="222" t="str">
        <f t="shared" si="54"/>
        <v/>
      </c>
      <c r="K321" s="223" t="str">
        <f t="shared" si="55"/>
        <v/>
      </c>
      <c r="L321" s="195" t="str">
        <f t="shared" si="56"/>
        <v/>
      </c>
      <c r="M321" s="196" t="str">
        <f t="shared" si="57"/>
        <v/>
      </c>
      <c r="N321" s="120">
        <v>7</v>
      </c>
      <c r="O321" s="125" t="str">
        <f t="shared" si="67"/>
        <v>0-7</v>
      </c>
    </row>
    <row r="322" spans="2:16" ht="57.75" customHeight="1">
      <c r="B322" s="784"/>
      <c r="C322" s="72" t="str">
        <f t="shared" si="47"/>
        <v/>
      </c>
      <c r="D322" s="258" t="str">
        <f t="shared" si="48"/>
        <v/>
      </c>
      <c r="E322" s="194" t="str">
        <f t="shared" si="49"/>
        <v/>
      </c>
      <c r="F322" s="348" t="str">
        <f t="shared" si="50"/>
        <v/>
      </c>
      <c r="G322" s="348" t="str">
        <f t="shared" si="51"/>
        <v/>
      </c>
      <c r="H322" s="222" t="str">
        <f t="shared" si="52"/>
        <v/>
      </c>
      <c r="I322" s="222" t="str">
        <f t="shared" si="53"/>
        <v/>
      </c>
      <c r="J322" s="222" t="str">
        <f t="shared" si="54"/>
        <v/>
      </c>
      <c r="K322" s="223" t="str">
        <f t="shared" si="55"/>
        <v/>
      </c>
      <c r="L322" s="195" t="str">
        <f t="shared" si="56"/>
        <v/>
      </c>
      <c r="M322" s="196" t="str">
        <f t="shared" si="57"/>
        <v/>
      </c>
      <c r="N322" s="120">
        <v>8</v>
      </c>
      <c r="O322" s="125" t="str">
        <f t="shared" si="67"/>
        <v>0-8</v>
      </c>
    </row>
    <row r="323" spans="2:16" ht="57.75" customHeight="1">
      <c r="B323" s="784"/>
      <c r="C323" s="72" t="str">
        <f t="shared" si="47"/>
        <v/>
      </c>
      <c r="D323" s="258" t="str">
        <f t="shared" si="48"/>
        <v/>
      </c>
      <c r="E323" s="194" t="str">
        <f t="shared" si="49"/>
        <v/>
      </c>
      <c r="F323" s="348" t="str">
        <f t="shared" si="50"/>
        <v/>
      </c>
      <c r="G323" s="348" t="str">
        <f t="shared" si="51"/>
        <v/>
      </c>
      <c r="H323" s="222" t="str">
        <f t="shared" si="52"/>
        <v/>
      </c>
      <c r="I323" s="222" t="str">
        <f t="shared" si="53"/>
        <v/>
      </c>
      <c r="J323" s="222" t="str">
        <f t="shared" si="54"/>
        <v/>
      </c>
      <c r="K323" s="223" t="str">
        <f t="shared" si="55"/>
        <v/>
      </c>
      <c r="L323" s="195" t="str">
        <f t="shared" si="56"/>
        <v/>
      </c>
      <c r="M323" s="196" t="str">
        <f t="shared" si="57"/>
        <v/>
      </c>
      <c r="N323" s="120">
        <v>9</v>
      </c>
      <c r="O323" s="125" t="str">
        <f t="shared" si="67"/>
        <v>0-9</v>
      </c>
    </row>
    <row r="324" spans="2:16" ht="57.75" customHeight="1">
      <c r="B324" s="785"/>
      <c r="C324" s="168" t="str">
        <f t="shared" si="47"/>
        <v/>
      </c>
      <c r="D324" s="267" t="str">
        <f t="shared" si="48"/>
        <v/>
      </c>
      <c r="E324" s="217" t="str">
        <f t="shared" si="49"/>
        <v/>
      </c>
      <c r="F324" s="355" t="str">
        <f t="shared" si="50"/>
        <v/>
      </c>
      <c r="G324" s="355" t="str">
        <f t="shared" si="51"/>
        <v/>
      </c>
      <c r="H324" s="236" t="str">
        <f t="shared" si="52"/>
        <v/>
      </c>
      <c r="I324" s="236" t="str">
        <f t="shared" si="53"/>
        <v/>
      </c>
      <c r="J324" s="236" t="str">
        <f t="shared" si="54"/>
        <v/>
      </c>
      <c r="K324" s="237" t="str">
        <f t="shared" si="55"/>
        <v/>
      </c>
      <c r="L324" s="218" t="str">
        <f t="shared" si="56"/>
        <v/>
      </c>
      <c r="M324" s="219" t="str">
        <f t="shared" si="57"/>
        <v/>
      </c>
      <c r="N324" s="136">
        <v>10</v>
      </c>
      <c r="O324" s="130" t="str">
        <f t="shared" si="67"/>
        <v>0-10</v>
      </c>
    </row>
    <row r="325" spans="2:16" ht="57.75" customHeight="1">
      <c r="B325" s="790">
        <f>+Q56</f>
        <v>0</v>
      </c>
      <c r="C325" s="169" t="str">
        <f t="shared" si="47"/>
        <v/>
      </c>
      <c r="D325" s="257" t="str">
        <f t="shared" si="48"/>
        <v/>
      </c>
      <c r="E325" s="191" t="str">
        <f t="shared" si="49"/>
        <v/>
      </c>
      <c r="F325" s="347" t="str">
        <f t="shared" si="50"/>
        <v/>
      </c>
      <c r="G325" s="347" t="str">
        <f t="shared" si="51"/>
        <v/>
      </c>
      <c r="H325" s="220" t="str">
        <f t="shared" si="52"/>
        <v/>
      </c>
      <c r="I325" s="220" t="str">
        <f t="shared" si="53"/>
        <v/>
      </c>
      <c r="J325" s="220" t="str">
        <f t="shared" si="54"/>
        <v/>
      </c>
      <c r="K325" s="221" t="str">
        <f t="shared" si="55"/>
        <v/>
      </c>
      <c r="L325" s="192" t="str">
        <f t="shared" si="56"/>
        <v/>
      </c>
      <c r="M325" s="193" t="str">
        <f t="shared" si="57"/>
        <v/>
      </c>
      <c r="N325" s="100">
        <v>1</v>
      </c>
      <c r="O325" s="98" t="str">
        <f>CONCATENATE($B$325,"-",N325)</f>
        <v>0-1</v>
      </c>
      <c r="P325" s="91">
        <f>COUNTIF(H325:H334,"&lt;&gt;**")</f>
        <v>0</v>
      </c>
    </row>
    <row r="326" spans="2:16" ht="57.75" customHeight="1">
      <c r="B326" s="791"/>
      <c r="C326" s="72" t="str">
        <f t="shared" si="47"/>
        <v/>
      </c>
      <c r="D326" s="258" t="str">
        <f t="shared" si="48"/>
        <v/>
      </c>
      <c r="E326" s="194" t="str">
        <f t="shared" si="49"/>
        <v/>
      </c>
      <c r="F326" s="348" t="str">
        <f t="shared" si="50"/>
        <v/>
      </c>
      <c r="G326" s="348" t="str">
        <f t="shared" si="51"/>
        <v/>
      </c>
      <c r="H326" s="222" t="str">
        <f t="shared" si="52"/>
        <v/>
      </c>
      <c r="I326" s="222" t="str">
        <f t="shared" si="53"/>
        <v/>
      </c>
      <c r="J326" s="222" t="str">
        <f t="shared" si="54"/>
        <v/>
      </c>
      <c r="K326" s="222" t="str">
        <f t="shared" si="55"/>
        <v/>
      </c>
      <c r="L326" s="195" t="str">
        <f t="shared" si="56"/>
        <v/>
      </c>
      <c r="M326" s="196" t="str">
        <f t="shared" si="57"/>
        <v/>
      </c>
      <c r="N326" s="120">
        <v>2</v>
      </c>
      <c r="O326" s="125" t="str">
        <f t="shared" ref="O326:O334" si="68">CONCATENATE($B$325,"-",N326)</f>
        <v>0-2</v>
      </c>
    </row>
    <row r="327" spans="2:16" ht="57.75" customHeight="1">
      <c r="B327" s="791"/>
      <c r="C327" s="72" t="str">
        <f t="shared" si="47"/>
        <v/>
      </c>
      <c r="D327" s="258" t="str">
        <f t="shared" si="48"/>
        <v/>
      </c>
      <c r="E327" s="194" t="str">
        <f t="shared" si="49"/>
        <v/>
      </c>
      <c r="F327" s="348" t="str">
        <f t="shared" si="50"/>
        <v/>
      </c>
      <c r="G327" s="348" t="str">
        <f t="shared" si="51"/>
        <v/>
      </c>
      <c r="H327" s="222" t="str">
        <f t="shared" si="52"/>
        <v/>
      </c>
      <c r="I327" s="222" t="str">
        <f t="shared" si="53"/>
        <v/>
      </c>
      <c r="J327" s="222" t="str">
        <f t="shared" si="54"/>
        <v/>
      </c>
      <c r="K327" s="222" t="str">
        <f t="shared" si="55"/>
        <v/>
      </c>
      <c r="L327" s="195" t="str">
        <f t="shared" si="56"/>
        <v/>
      </c>
      <c r="M327" s="196" t="str">
        <f t="shared" si="57"/>
        <v/>
      </c>
      <c r="N327" s="120">
        <v>3</v>
      </c>
      <c r="O327" s="125" t="str">
        <f t="shared" si="68"/>
        <v>0-3</v>
      </c>
    </row>
    <row r="328" spans="2:16" ht="57.75" customHeight="1">
      <c r="B328" s="791"/>
      <c r="C328" s="72" t="str">
        <f t="shared" si="47"/>
        <v/>
      </c>
      <c r="D328" s="258" t="str">
        <f t="shared" si="48"/>
        <v/>
      </c>
      <c r="E328" s="194" t="str">
        <f t="shared" si="49"/>
        <v/>
      </c>
      <c r="F328" s="348" t="str">
        <f t="shared" si="50"/>
        <v/>
      </c>
      <c r="G328" s="348" t="str">
        <f t="shared" si="51"/>
        <v/>
      </c>
      <c r="H328" s="222" t="str">
        <f t="shared" si="52"/>
        <v/>
      </c>
      <c r="I328" s="222" t="str">
        <f t="shared" si="53"/>
        <v/>
      </c>
      <c r="J328" s="222" t="str">
        <f t="shared" si="54"/>
        <v/>
      </c>
      <c r="K328" s="222" t="str">
        <f t="shared" si="55"/>
        <v/>
      </c>
      <c r="L328" s="195" t="str">
        <f t="shared" si="56"/>
        <v/>
      </c>
      <c r="M328" s="196" t="str">
        <f t="shared" si="57"/>
        <v/>
      </c>
      <c r="N328" s="120">
        <v>4</v>
      </c>
      <c r="O328" s="125" t="str">
        <f t="shared" si="68"/>
        <v>0-4</v>
      </c>
    </row>
    <row r="329" spans="2:16" ht="57.75" customHeight="1">
      <c r="B329" s="791"/>
      <c r="C329" s="72" t="str">
        <f t="shared" ref="C329:C364" si="69">IFERROR(VLOOKUP(O329,$S$3:$AU$306,9,FALSE),"")</f>
        <v/>
      </c>
      <c r="D329" s="258" t="str">
        <f t="shared" ref="D329:D364" si="70">IFERROR(VLOOKUP(O329,$S$3:$AU$306,2,FALSE),"")</f>
        <v/>
      </c>
      <c r="E329" s="194" t="str">
        <f t="shared" ref="E329:E364" si="71">IFERROR(VLOOKUP(O329,$S$3:$AU$306,4,FALSE),"")</f>
        <v/>
      </c>
      <c r="F329" s="348" t="str">
        <f t="shared" ref="F329:F364" si="72">IFERROR(VLOOKUP(O329,$S$3:$AU$306,5,FALSE),"")</f>
        <v/>
      </c>
      <c r="G329" s="348" t="str">
        <f t="shared" ref="G329:G364" si="73">IFERROR(VLOOKUP(O329,$S$3:$AU$306,6,FALSE),"")</f>
        <v/>
      </c>
      <c r="H329" s="222" t="str">
        <f t="shared" ref="H329:H364" si="74">IFERROR(VLOOKUP(O329,$S$3:$AU$306,7,FALSE),"")</f>
        <v/>
      </c>
      <c r="I329" s="222" t="str">
        <f t="shared" ref="I329:I364" si="75">IFERROR(VLOOKUP(O329,$S$3:$AU$306,10,FALSE),"")</f>
        <v/>
      </c>
      <c r="J329" s="222" t="str">
        <f t="shared" ref="J329:J364" si="76">IFERROR(VLOOKUP(O329,$S$3:$AU$306,11,FALSE),"")</f>
        <v/>
      </c>
      <c r="K329" s="222" t="str">
        <f t="shared" ref="K329:K364" si="77">IFERROR(VLOOKUP(O329,$S$3:$AU$306,12,FALSE),"")</f>
        <v/>
      </c>
      <c r="L329" s="195" t="str">
        <f t="shared" ref="L329:L364" si="78">IFERROR(VLOOKUP(O329,$S$3:$AU$306,13,FALSE),"")</f>
        <v/>
      </c>
      <c r="M329" s="196" t="str">
        <f t="shared" ref="M329:M364" si="79">IFERROR(IF(VLOOKUP(O329,$S$3:$AU$306,14,FALSE)="","",VLOOKUP(O329,$S$3:$AU$306,14,FALSE)),"")</f>
        <v/>
      </c>
      <c r="N329" s="120">
        <v>5</v>
      </c>
      <c r="O329" s="125" t="str">
        <f t="shared" si="68"/>
        <v>0-5</v>
      </c>
    </row>
    <row r="330" spans="2:16" ht="57.75" customHeight="1">
      <c r="B330" s="791"/>
      <c r="C330" s="72" t="str">
        <f t="shared" si="69"/>
        <v/>
      </c>
      <c r="D330" s="258" t="str">
        <f t="shared" si="70"/>
        <v/>
      </c>
      <c r="E330" s="194" t="str">
        <f t="shared" si="71"/>
        <v/>
      </c>
      <c r="F330" s="348" t="str">
        <f t="shared" si="72"/>
        <v/>
      </c>
      <c r="G330" s="348" t="str">
        <f t="shared" si="73"/>
        <v/>
      </c>
      <c r="H330" s="222" t="str">
        <f t="shared" si="74"/>
        <v/>
      </c>
      <c r="I330" s="222" t="str">
        <f t="shared" si="75"/>
        <v/>
      </c>
      <c r="J330" s="222" t="str">
        <f t="shared" si="76"/>
        <v/>
      </c>
      <c r="K330" s="222" t="str">
        <f t="shared" si="77"/>
        <v/>
      </c>
      <c r="L330" s="195" t="str">
        <f t="shared" si="78"/>
        <v/>
      </c>
      <c r="M330" s="196" t="str">
        <f t="shared" si="79"/>
        <v/>
      </c>
      <c r="N330" s="120">
        <v>6</v>
      </c>
      <c r="O330" s="125" t="str">
        <f t="shared" si="68"/>
        <v>0-6</v>
      </c>
    </row>
    <row r="331" spans="2:16" ht="57.75" customHeight="1">
      <c r="B331" s="791"/>
      <c r="C331" s="72" t="str">
        <f t="shared" si="69"/>
        <v/>
      </c>
      <c r="D331" s="258" t="str">
        <f t="shared" si="70"/>
        <v/>
      </c>
      <c r="E331" s="194" t="str">
        <f t="shared" si="71"/>
        <v/>
      </c>
      <c r="F331" s="348" t="str">
        <f t="shared" si="72"/>
        <v/>
      </c>
      <c r="G331" s="348" t="str">
        <f t="shared" si="73"/>
        <v/>
      </c>
      <c r="H331" s="222" t="str">
        <f t="shared" si="74"/>
        <v/>
      </c>
      <c r="I331" s="222" t="str">
        <f t="shared" si="75"/>
        <v/>
      </c>
      <c r="J331" s="222" t="str">
        <f t="shared" si="76"/>
        <v/>
      </c>
      <c r="K331" s="222" t="str">
        <f t="shared" si="77"/>
        <v/>
      </c>
      <c r="L331" s="195" t="str">
        <f t="shared" si="78"/>
        <v/>
      </c>
      <c r="M331" s="196" t="str">
        <f t="shared" si="79"/>
        <v/>
      </c>
      <c r="N331" s="120">
        <v>7</v>
      </c>
      <c r="O331" s="125" t="str">
        <f t="shared" si="68"/>
        <v>0-7</v>
      </c>
    </row>
    <row r="332" spans="2:16" ht="57.75" customHeight="1">
      <c r="B332" s="791"/>
      <c r="C332" s="72" t="str">
        <f t="shared" si="69"/>
        <v/>
      </c>
      <c r="D332" s="258" t="str">
        <f t="shared" si="70"/>
        <v/>
      </c>
      <c r="E332" s="194" t="str">
        <f t="shared" si="71"/>
        <v/>
      </c>
      <c r="F332" s="348" t="str">
        <f t="shared" si="72"/>
        <v/>
      </c>
      <c r="G332" s="348" t="str">
        <f t="shared" si="73"/>
        <v/>
      </c>
      <c r="H332" s="222" t="str">
        <f t="shared" si="74"/>
        <v/>
      </c>
      <c r="I332" s="222" t="str">
        <f t="shared" si="75"/>
        <v/>
      </c>
      <c r="J332" s="222" t="str">
        <f t="shared" si="76"/>
        <v/>
      </c>
      <c r="K332" s="222" t="str">
        <f t="shared" si="77"/>
        <v/>
      </c>
      <c r="L332" s="195" t="str">
        <f t="shared" si="78"/>
        <v/>
      </c>
      <c r="M332" s="196" t="str">
        <f t="shared" si="79"/>
        <v/>
      </c>
      <c r="N332" s="120">
        <v>8</v>
      </c>
      <c r="O332" s="125" t="str">
        <f t="shared" si="68"/>
        <v>0-8</v>
      </c>
    </row>
    <row r="333" spans="2:16" ht="57.75" customHeight="1">
      <c r="B333" s="791"/>
      <c r="C333" s="72" t="str">
        <f t="shared" si="69"/>
        <v/>
      </c>
      <c r="D333" s="258" t="str">
        <f t="shared" si="70"/>
        <v/>
      </c>
      <c r="E333" s="194" t="str">
        <f t="shared" si="71"/>
        <v/>
      </c>
      <c r="F333" s="348" t="str">
        <f t="shared" si="72"/>
        <v/>
      </c>
      <c r="G333" s="348" t="str">
        <f t="shared" si="73"/>
        <v/>
      </c>
      <c r="H333" s="222" t="str">
        <f t="shared" si="74"/>
        <v/>
      </c>
      <c r="I333" s="222" t="str">
        <f t="shared" si="75"/>
        <v/>
      </c>
      <c r="J333" s="222" t="str">
        <f t="shared" si="76"/>
        <v/>
      </c>
      <c r="K333" s="222" t="str">
        <f t="shared" si="77"/>
        <v/>
      </c>
      <c r="L333" s="195" t="str">
        <f t="shared" si="78"/>
        <v/>
      </c>
      <c r="M333" s="196" t="str">
        <f t="shared" si="79"/>
        <v/>
      </c>
      <c r="N333" s="120">
        <v>9</v>
      </c>
      <c r="O333" s="125" t="str">
        <f t="shared" si="68"/>
        <v>0-9</v>
      </c>
    </row>
    <row r="334" spans="2:16" ht="57.75" customHeight="1">
      <c r="B334" s="792"/>
      <c r="C334" s="168" t="str">
        <f t="shared" si="69"/>
        <v/>
      </c>
      <c r="D334" s="267" t="str">
        <f t="shared" si="70"/>
        <v/>
      </c>
      <c r="E334" s="217" t="str">
        <f t="shared" si="71"/>
        <v/>
      </c>
      <c r="F334" s="355" t="str">
        <f t="shared" si="72"/>
        <v/>
      </c>
      <c r="G334" s="355" t="str">
        <f t="shared" si="73"/>
        <v/>
      </c>
      <c r="H334" s="236" t="str">
        <f t="shared" si="74"/>
        <v/>
      </c>
      <c r="I334" s="236" t="str">
        <f t="shared" si="75"/>
        <v/>
      </c>
      <c r="J334" s="236" t="str">
        <f t="shared" si="76"/>
        <v/>
      </c>
      <c r="K334" s="236" t="str">
        <f t="shared" si="77"/>
        <v/>
      </c>
      <c r="L334" s="218" t="str">
        <f t="shared" si="78"/>
        <v/>
      </c>
      <c r="M334" s="219" t="str">
        <f t="shared" si="79"/>
        <v/>
      </c>
      <c r="N334" s="136">
        <v>10</v>
      </c>
      <c r="O334" s="130" t="str">
        <f t="shared" si="68"/>
        <v>0-10</v>
      </c>
    </row>
    <row r="335" spans="2:16" ht="57.75" customHeight="1">
      <c r="B335" s="790">
        <f>+Q57</f>
        <v>0</v>
      </c>
      <c r="C335" s="169" t="str">
        <f t="shared" si="69"/>
        <v/>
      </c>
      <c r="D335" s="257" t="str">
        <f t="shared" si="70"/>
        <v/>
      </c>
      <c r="E335" s="191" t="str">
        <f t="shared" si="71"/>
        <v/>
      </c>
      <c r="F335" s="347" t="str">
        <f t="shared" si="72"/>
        <v/>
      </c>
      <c r="G335" s="347" t="str">
        <f t="shared" si="73"/>
        <v/>
      </c>
      <c r="H335" s="220" t="str">
        <f t="shared" si="74"/>
        <v/>
      </c>
      <c r="I335" s="220" t="str">
        <f t="shared" si="75"/>
        <v/>
      </c>
      <c r="J335" s="220" t="str">
        <f t="shared" si="76"/>
        <v/>
      </c>
      <c r="K335" s="220" t="str">
        <f t="shared" si="77"/>
        <v/>
      </c>
      <c r="L335" s="192" t="str">
        <f t="shared" si="78"/>
        <v/>
      </c>
      <c r="M335" s="193" t="str">
        <f t="shared" si="79"/>
        <v/>
      </c>
      <c r="N335" s="100">
        <v>1</v>
      </c>
      <c r="O335" s="98" t="str">
        <f>CONCATENATE($B$335,"-",N335)</f>
        <v>0-1</v>
      </c>
      <c r="P335" s="91">
        <f>COUNTIF(H335:H344,"&lt;&gt;**")</f>
        <v>0</v>
      </c>
    </row>
    <row r="336" spans="2:16" ht="57.75" customHeight="1">
      <c r="B336" s="791"/>
      <c r="C336" s="72" t="str">
        <f t="shared" si="69"/>
        <v/>
      </c>
      <c r="D336" s="258" t="str">
        <f t="shared" si="70"/>
        <v/>
      </c>
      <c r="E336" s="194" t="str">
        <f t="shared" si="71"/>
        <v/>
      </c>
      <c r="F336" s="348" t="str">
        <f t="shared" si="72"/>
        <v/>
      </c>
      <c r="G336" s="348" t="str">
        <f t="shared" si="73"/>
        <v/>
      </c>
      <c r="H336" s="222" t="str">
        <f t="shared" si="74"/>
        <v/>
      </c>
      <c r="I336" s="222" t="str">
        <f t="shared" si="75"/>
        <v/>
      </c>
      <c r="J336" s="222" t="str">
        <f t="shared" si="76"/>
        <v/>
      </c>
      <c r="K336" s="222" t="str">
        <f t="shared" si="77"/>
        <v/>
      </c>
      <c r="L336" s="195" t="str">
        <f t="shared" si="78"/>
        <v/>
      </c>
      <c r="M336" s="196" t="str">
        <f t="shared" si="79"/>
        <v/>
      </c>
      <c r="N336" s="120">
        <v>2</v>
      </c>
      <c r="O336" s="125" t="str">
        <f t="shared" ref="O336:O344" si="80">CONCATENATE($B$335,"-",N336)</f>
        <v>0-2</v>
      </c>
    </row>
    <row r="337" spans="2:16" ht="57.75" customHeight="1">
      <c r="B337" s="791"/>
      <c r="C337" s="72" t="str">
        <f t="shared" si="69"/>
        <v/>
      </c>
      <c r="D337" s="258" t="str">
        <f t="shared" si="70"/>
        <v/>
      </c>
      <c r="E337" s="194" t="str">
        <f t="shared" si="71"/>
        <v/>
      </c>
      <c r="F337" s="348" t="str">
        <f t="shared" si="72"/>
        <v/>
      </c>
      <c r="G337" s="348" t="str">
        <f t="shared" si="73"/>
        <v/>
      </c>
      <c r="H337" s="222" t="str">
        <f t="shared" si="74"/>
        <v/>
      </c>
      <c r="I337" s="222" t="str">
        <f t="shared" si="75"/>
        <v/>
      </c>
      <c r="J337" s="222" t="str">
        <f t="shared" si="76"/>
        <v/>
      </c>
      <c r="K337" s="222" t="str">
        <f t="shared" si="77"/>
        <v/>
      </c>
      <c r="L337" s="195" t="str">
        <f t="shared" si="78"/>
        <v/>
      </c>
      <c r="M337" s="196" t="str">
        <f t="shared" si="79"/>
        <v/>
      </c>
      <c r="N337" s="120">
        <v>3</v>
      </c>
      <c r="O337" s="125" t="str">
        <f t="shared" si="80"/>
        <v>0-3</v>
      </c>
    </row>
    <row r="338" spans="2:16" ht="57.75" customHeight="1">
      <c r="B338" s="791"/>
      <c r="C338" s="72" t="str">
        <f t="shared" si="69"/>
        <v/>
      </c>
      <c r="D338" s="258" t="str">
        <f t="shared" si="70"/>
        <v/>
      </c>
      <c r="E338" s="194" t="str">
        <f t="shared" si="71"/>
        <v/>
      </c>
      <c r="F338" s="348" t="str">
        <f t="shared" si="72"/>
        <v/>
      </c>
      <c r="G338" s="348" t="str">
        <f t="shared" si="73"/>
        <v/>
      </c>
      <c r="H338" s="222" t="str">
        <f t="shared" si="74"/>
        <v/>
      </c>
      <c r="I338" s="222" t="str">
        <f t="shared" si="75"/>
        <v/>
      </c>
      <c r="J338" s="222" t="str">
        <f t="shared" si="76"/>
        <v/>
      </c>
      <c r="K338" s="222" t="str">
        <f t="shared" si="77"/>
        <v/>
      </c>
      <c r="L338" s="195" t="str">
        <f t="shared" si="78"/>
        <v/>
      </c>
      <c r="M338" s="196" t="str">
        <f t="shared" si="79"/>
        <v/>
      </c>
      <c r="N338" s="120">
        <v>4</v>
      </c>
      <c r="O338" s="125" t="str">
        <f t="shared" si="80"/>
        <v>0-4</v>
      </c>
    </row>
    <row r="339" spans="2:16" ht="57.75" customHeight="1">
      <c r="B339" s="791"/>
      <c r="C339" s="72" t="str">
        <f t="shared" si="69"/>
        <v/>
      </c>
      <c r="D339" s="258" t="str">
        <f t="shared" si="70"/>
        <v/>
      </c>
      <c r="E339" s="194" t="str">
        <f t="shared" si="71"/>
        <v/>
      </c>
      <c r="F339" s="348" t="str">
        <f t="shared" si="72"/>
        <v/>
      </c>
      <c r="G339" s="348" t="str">
        <f t="shared" si="73"/>
        <v/>
      </c>
      <c r="H339" s="222" t="str">
        <f t="shared" si="74"/>
        <v/>
      </c>
      <c r="I339" s="222" t="str">
        <f t="shared" si="75"/>
        <v/>
      </c>
      <c r="J339" s="222" t="str">
        <f t="shared" si="76"/>
        <v/>
      </c>
      <c r="K339" s="222" t="str">
        <f t="shared" si="77"/>
        <v/>
      </c>
      <c r="L339" s="195" t="str">
        <f t="shared" si="78"/>
        <v/>
      </c>
      <c r="M339" s="196" t="str">
        <f t="shared" si="79"/>
        <v/>
      </c>
      <c r="N339" s="120">
        <v>5</v>
      </c>
      <c r="O339" s="125" t="str">
        <f t="shared" si="80"/>
        <v>0-5</v>
      </c>
    </row>
    <row r="340" spans="2:16" ht="57.75" customHeight="1">
      <c r="B340" s="791"/>
      <c r="C340" s="72" t="str">
        <f t="shared" si="69"/>
        <v/>
      </c>
      <c r="D340" s="258" t="str">
        <f t="shared" si="70"/>
        <v/>
      </c>
      <c r="E340" s="194" t="str">
        <f t="shared" si="71"/>
        <v/>
      </c>
      <c r="F340" s="348" t="str">
        <f t="shared" si="72"/>
        <v/>
      </c>
      <c r="G340" s="348" t="str">
        <f t="shared" si="73"/>
        <v/>
      </c>
      <c r="H340" s="222" t="str">
        <f t="shared" si="74"/>
        <v/>
      </c>
      <c r="I340" s="222" t="str">
        <f t="shared" si="75"/>
        <v/>
      </c>
      <c r="J340" s="222" t="str">
        <f t="shared" si="76"/>
        <v/>
      </c>
      <c r="K340" s="222" t="str">
        <f t="shared" si="77"/>
        <v/>
      </c>
      <c r="L340" s="195" t="str">
        <f t="shared" si="78"/>
        <v/>
      </c>
      <c r="M340" s="196" t="str">
        <f t="shared" si="79"/>
        <v/>
      </c>
      <c r="N340" s="120">
        <v>6</v>
      </c>
      <c r="O340" s="125" t="str">
        <f t="shared" si="80"/>
        <v>0-6</v>
      </c>
    </row>
    <row r="341" spans="2:16" ht="57.75" customHeight="1">
      <c r="B341" s="791"/>
      <c r="C341" s="72" t="str">
        <f t="shared" si="69"/>
        <v/>
      </c>
      <c r="D341" s="258" t="str">
        <f t="shared" si="70"/>
        <v/>
      </c>
      <c r="E341" s="194" t="str">
        <f t="shared" si="71"/>
        <v/>
      </c>
      <c r="F341" s="348" t="str">
        <f t="shared" si="72"/>
        <v/>
      </c>
      <c r="G341" s="348" t="str">
        <f t="shared" si="73"/>
        <v/>
      </c>
      <c r="H341" s="222" t="str">
        <f t="shared" si="74"/>
        <v/>
      </c>
      <c r="I341" s="222" t="str">
        <f t="shared" si="75"/>
        <v/>
      </c>
      <c r="J341" s="222" t="str">
        <f t="shared" si="76"/>
        <v/>
      </c>
      <c r="K341" s="222" t="str">
        <f t="shared" si="77"/>
        <v/>
      </c>
      <c r="L341" s="195" t="str">
        <f t="shared" si="78"/>
        <v/>
      </c>
      <c r="M341" s="196" t="str">
        <f t="shared" si="79"/>
        <v/>
      </c>
      <c r="N341" s="120">
        <v>7</v>
      </c>
      <c r="O341" s="125" t="str">
        <f t="shared" si="80"/>
        <v>0-7</v>
      </c>
    </row>
    <row r="342" spans="2:16" ht="57.75" customHeight="1">
      <c r="B342" s="791"/>
      <c r="C342" s="72" t="str">
        <f t="shared" si="69"/>
        <v/>
      </c>
      <c r="D342" s="258" t="str">
        <f t="shared" si="70"/>
        <v/>
      </c>
      <c r="E342" s="194" t="str">
        <f t="shared" si="71"/>
        <v/>
      </c>
      <c r="F342" s="348" t="str">
        <f t="shared" si="72"/>
        <v/>
      </c>
      <c r="G342" s="348" t="str">
        <f t="shared" si="73"/>
        <v/>
      </c>
      <c r="H342" s="222" t="str">
        <f t="shared" si="74"/>
        <v/>
      </c>
      <c r="I342" s="222" t="str">
        <f t="shared" si="75"/>
        <v/>
      </c>
      <c r="J342" s="222" t="str">
        <f t="shared" si="76"/>
        <v/>
      </c>
      <c r="K342" s="222" t="str">
        <f t="shared" si="77"/>
        <v/>
      </c>
      <c r="L342" s="195" t="str">
        <f t="shared" si="78"/>
        <v/>
      </c>
      <c r="M342" s="196" t="str">
        <f t="shared" si="79"/>
        <v/>
      </c>
      <c r="N342" s="120">
        <v>8</v>
      </c>
      <c r="O342" s="125" t="str">
        <f t="shared" si="80"/>
        <v>0-8</v>
      </c>
    </row>
    <row r="343" spans="2:16" ht="57.75" customHeight="1">
      <c r="B343" s="791"/>
      <c r="C343" s="72" t="str">
        <f t="shared" si="69"/>
        <v/>
      </c>
      <c r="D343" s="258" t="str">
        <f t="shared" si="70"/>
        <v/>
      </c>
      <c r="E343" s="194" t="str">
        <f t="shared" si="71"/>
        <v/>
      </c>
      <c r="F343" s="348" t="str">
        <f t="shared" si="72"/>
        <v/>
      </c>
      <c r="G343" s="348" t="str">
        <f t="shared" si="73"/>
        <v/>
      </c>
      <c r="H343" s="222" t="str">
        <f t="shared" si="74"/>
        <v/>
      </c>
      <c r="I343" s="222" t="str">
        <f t="shared" si="75"/>
        <v/>
      </c>
      <c r="J343" s="222" t="str">
        <f t="shared" si="76"/>
        <v/>
      </c>
      <c r="K343" s="222" t="str">
        <f t="shared" si="77"/>
        <v/>
      </c>
      <c r="L343" s="195" t="str">
        <f t="shared" si="78"/>
        <v/>
      </c>
      <c r="M343" s="196" t="str">
        <f t="shared" si="79"/>
        <v/>
      </c>
      <c r="N343" s="120">
        <v>9</v>
      </c>
      <c r="O343" s="125" t="str">
        <f t="shared" si="80"/>
        <v>0-9</v>
      </c>
    </row>
    <row r="344" spans="2:16" ht="57.75" customHeight="1">
      <c r="B344" s="792"/>
      <c r="C344" s="168" t="str">
        <f t="shared" si="69"/>
        <v/>
      </c>
      <c r="D344" s="267" t="str">
        <f t="shared" si="70"/>
        <v/>
      </c>
      <c r="E344" s="217" t="str">
        <f t="shared" si="71"/>
        <v/>
      </c>
      <c r="F344" s="355" t="str">
        <f t="shared" si="72"/>
        <v/>
      </c>
      <c r="G344" s="355" t="str">
        <f t="shared" si="73"/>
        <v/>
      </c>
      <c r="H344" s="236" t="str">
        <f t="shared" si="74"/>
        <v/>
      </c>
      <c r="I344" s="236" t="str">
        <f t="shared" si="75"/>
        <v/>
      </c>
      <c r="J344" s="236" t="str">
        <f t="shared" si="76"/>
        <v/>
      </c>
      <c r="K344" s="236" t="str">
        <f t="shared" si="77"/>
        <v/>
      </c>
      <c r="L344" s="218" t="str">
        <f t="shared" si="78"/>
        <v/>
      </c>
      <c r="M344" s="219" t="str">
        <f t="shared" si="79"/>
        <v/>
      </c>
      <c r="N344" s="136">
        <v>10</v>
      </c>
      <c r="O344" s="130" t="str">
        <f t="shared" si="80"/>
        <v>0-10</v>
      </c>
    </row>
    <row r="345" spans="2:16" ht="57.75" customHeight="1">
      <c r="B345" s="790">
        <f>+Q58</f>
        <v>0</v>
      </c>
      <c r="C345" s="169" t="str">
        <f t="shared" si="69"/>
        <v/>
      </c>
      <c r="D345" s="257" t="str">
        <f t="shared" si="70"/>
        <v/>
      </c>
      <c r="E345" s="191" t="str">
        <f t="shared" si="71"/>
        <v/>
      </c>
      <c r="F345" s="347" t="str">
        <f t="shared" si="72"/>
        <v/>
      </c>
      <c r="G345" s="347" t="str">
        <f t="shared" si="73"/>
        <v/>
      </c>
      <c r="H345" s="220" t="str">
        <f t="shared" si="74"/>
        <v/>
      </c>
      <c r="I345" s="220" t="str">
        <f t="shared" si="75"/>
        <v/>
      </c>
      <c r="J345" s="220" t="str">
        <f t="shared" si="76"/>
        <v/>
      </c>
      <c r="K345" s="220" t="str">
        <f t="shared" si="77"/>
        <v/>
      </c>
      <c r="L345" s="192" t="str">
        <f t="shared" si="78"/>
        <v/>
      </c>
      <c r="M345" s="193" t="str">
        <f t="shared" si="79"/>
        <v/>
      </c>
      <c r="N345" s="100">
        <v>1</v>
      </c>
      <c r="O345" s="98" t="str">
        <f>CONCATENATE($B$345,"-",N345)</f>
        <v>0-1</v>
      </c>
      <c r="P345" s="91">
        <f>COUNTIF(H345:H354,"&lt;&gt;**")</f>
        <v>0</v>
      </c>
    </row>
    <row r="346" spans="2:16" ht="57.75" customHeight="1">
      <c r="B346" s="791"/>
      <c r="C346" s="72" t="str">
        <f t="shared" si="69"/>
        <v/>
      </c>
      <c r="D346" s="258" t="str">
        <f t="shared" si="70"/>
        <v/>
      </c>
      <c r="E346" s="194" t="str">
        <f t="shared" si="71"/>
        <v/>
      </c>
      <c r="F346" s="348" t="str">
        <f t="shared" si="72"/>
        <v/>
      </c>
      <c r="G346" s="348" t="str">
        <f t="shared" si="73"/>
        <v/>
      </c>
      <c r="H346" s="222" t="str">
        <f t="shared" si="74"/>
        <v/>
      </c>
      <c r="I346" s="222" t="str">
        <f t="shared" si="75"/>
        <v/>
      </c>
      <c r="J346" s="222" t="str">
        <f t="shared" si="76"/>
        <v/>
      </c>
      <c r="K346" s="222" t="str">
        <f t="shared" si="77"/>
        <v/>
      </c>
      <c r="L346" s="195" t="str">
        <f t="shared" si="78"/>
        <v/>
      </c>
      <c r="M346" s="196" t="str">
        <f t="shared" si="79"/>
        <v/>
      </c>
      <c r="N346" s="120">
        <v>2</v>
      </c>
      <c r="O346" s="125" t="str">
        <f t="shared" ref="O346:O354" si="81">CONCATENATE($B$345,"-",N346)</f>
        <v>0-2</v>
      </c>
    </row>
    <row r="347" spans="2:16" ht="57.75" customHeight="1">
      <c r="B347" s="791"/>
      <c r="C347" s="72" t="str">
        <f t="shared" si="69"/>
        <v/>
      </c>
      <c r="D347" s="258" t="str">
        <f t="shared" si="70"/>
        <v/>
      </c>
      <c r="E347" s="194" t="str">
        <f t="shared" si="71"/>
        <v/>
      </c>
      <c r="F347" s="348" t="str">
        <f t="shared" si="72"/>
        <v/>
      </c>
      <c r="G347" s="348" t="str">
        <f t="shared" si="73"/>
        <v/>
      </c>
      <c r="H347" s="222" t="str">
        <f t="shared" si="74"/>
        <v/>
      </c>
      <c r="I347" s="222" t="str">
        <f t="shared" si="75"/>
        <v/>
      </c>
      <c r="J347" s="222" t="str">
        <f t="shared" si="76"/>
        <v/>
      </c>
      <c r="K347" s="222" t="str">
        <f t="shared" si="77"/>
        <v/>
      </c>
      <c r="L347" s="195" t="str">
        <f t="shared" si="78"/>
        <v/>
      </c>
      <c r="M347" s="196" t="str">
        <f t="shared" si="79"/>
        <v/>
      </c>
      <c r="N347" s="120">
        <v>3</v>
      </c>
      <c r="O347" s="125" t="str">
        <f t="shared" si="81"/>
        <v>0-3</v>
      </c>
    </row>
    <row r="348" spans="2:16" ht="57.75" customHeight="1">
      <c r="B348" s="791"/>
      <c r="C348" s="72" t="str">
        <f t="shared" si="69"/>
        <v/>
      </c>
      <c r="D348" s="258" t="str">
        <f t="shared" si="70"/>
        <v/>
      </c>
      <c r="E348" s="194" t="str">
        <f t="shared" si="71"/>
        <v/>
      </c>
      <c r="F348" s="348" t="str">
        <f t="shared" si="72"/>
        <v/>
      </c>
      <c r="G348" s="348" t="str">
        <f t="shared" si="73"/>
        <v/>
      </c>
      <c r="H348" s="222" t="str">
        <f t="shared" si="74"/>
        <v/>
      </c>
      <c r="I348" s="222" t="str">
        <f t="shared" si="75"/>
        <v/>
      </c>
      <c r="J348" s="222" t="str">
        <f t="shared" si="76"/>
        <v/>
      </c>
      <c r="K348" s="222" t="str">
        <f t="shared" si="77"/>
        <v/>
      </c>
      <c r="L348" s="195" t="str">
        <f t="shared" si="78"/>
        <v/>
      </c>
      <c r="M348" s="196" t="str">
        <f t="shared" si="79"/>
        <v/>
      </c>
      <c r="N348" s="120">
        <v>4</v>
      </c>
      <c r="O348" s="125" t="str">
        <f t="shared" si="81"/>
        <v>0-4</v>
      </c>
    </row>
    <row r="349" spans="2:16" ht="57.75" customHeight="1">
      <c r="B349" s="791"/>
      <c r="C349" s="72" t="str">
        <f t="shared" si="69"/>
        <v/>
      </c>
      <c r="D349" s="258" t="str">
        <f t="shared" si="70"/>
        <v/>
      </c>
      <c r="E349" s="194" t="str">
        <f t="shared" si="71"/>
        <v/>
      </c>
      <c r="F349" s="348" t="str">
        <f t="shared" si="72"/>
        <v/>
      </c>
      <c r="G349" s="348" t="str">
        <f t="shared" si="73"/>
        <v/>
      </c>
      <c r="H349" s="222" t="str">
        <f t="shared" si="74"/>
        <v/>
      </c>
      <c r="I349" s="222" t="str">
        <f t="shared" si="75"/>
        <v/>
      </c>
      <c r="J349" s="222" t="str">
        <f t="shared" si="76"/>
        <v/>
      </c>
      <c r="K349" s="222" t="str">
        <f t="shared" si="77"/>
        <v/>
      </c>
      <c r="L349" s="195" t="str">
        <f t="shared" si="78"/>
        <v/>
      </c>
      <c r="M349" s="196" t="str">
        <f t="shared" si="79"/>
        <v/>
      </c>
      <c r="N349" s="120">
        <v>5</v>
      </c>
      <c r="O349" s="125" t="str">
        <f t="shared" si="81"/>
        <v>0-5</v>
      </c>
    </row>
    <row r="350" spans="2:16" ht="57.75" customHeight="1">
      <c r="B350" s="791"/>
      <c r="C350" s="72" t="str">
        <f t="shared" si="69"/>
        <v/>
      </c>
      <c r="D350" s="258" t="str">
        <f t="shared" si="70"/>
        <v/>
      </c>
      <c r="E350" s="194" t="str">
        <f t="shared" si="71"/>
        <v/>
      </c>
      <c r="F350" s="348" t="str">
        <f t="shared" si="72"/>
        <v/>
      </c>
      <c r="G350" s="348" t="str">
        <f t="shared" si="73"/>
        <v/>
      </c>
      <c r="H350" s="222" t="str">
        <f t="shared" si="74"/>
        <v/>
      </c>
      <c r="I350" s="222" t="str">
        <f t="shared" si="75"/>
        <v/>
      </c>
      <c r="J350" s="222" t="str">
        <f t="shared" si="76"/>
        <v/>
      </c>
      <c r="K350" s="222" t="str">
        <f t="shared" si="77"/>
        <v/>
      </c>
      <c r="L350" s="195" t="str">
        <f t="shared" si="78"/>
        <v/>
      </c>
      <c r="M350" s="196" t="str">
        <f t="shared" si="79"/>
        <v/>
      </c>
      <c r="N350" s="120">
        <v>6</v>
      </c>
      <c r="O350" s="125" t="str">
        <f t="shared" si="81"/>
        <v>0-6</v>
      </c>
    </row>
    <row r="351" spans="2:16" ht="57.75" customHeight="1">
      <c r="B351" s="791"/>
      <c r="C351" s="72" t="str">
        <f t="shared" si="69"/>
        <v/>
      </c>
      <c r="D351" s="258" t="str">
        <f t="shared" si="70"/>
        <v/>
      </c>
      <c r="E351" s="194" t="str">
        <f t="shared" si="71"/>
        <v/>
      </c>
      <c r="F351" s="348" t="str">
        <f t="shared" si="72"/>
        <v/>
      </c>
      <c r="G351" s="348" t="str">
        <f t="shared" si="73"/>
        <v/>
      </c>
      <c r="H351" s="222" t="str">
        <f t="shared" si="74"/>
        <v/>
      </c>
      <c r="I351" s="222" t="str">
        <f t="shared" si="75"/>
        <v/>
      </c>
      <c r="J351" s="222" t="str">
        <f t="shared" si="76"/>
        <v/>
      </c>
      <c r="K351" s="222" t="str">
        <f t="shared" si="77"/>
        <v/>
      </c>
      <c r="L351" s="195" t="str">
        <f t="shared" si="78"/>
        <v/>
      </c>
      <c r="M351" s="196" t="str">
        <f t="shared" si="79"/>
        <v/>
      </c>
      <c r="N351" s="120">
        <v>7</v>
      </c>
      <c r="O351" s="125" t="str">
        <f t="shared" si="81"/>
        <v>0-7</v>
      </c>
    </row>
    <row r="352" spans="2:16" ht="57.75" customHeight="1">
      <c r="B352" s="791"/>
      <c r="C352" s="72" t="str">
        <f t="shared" si="69"/>
        <v/>
      </c>
      <c r="D352" s="258" t="str">
        <f t="shared" si="70"/>
        <v/>
      </c>
      <c r="E352" s="194" t="str">
        <f t="shared" si="71"/>
        <v/>
      </c>
      <c r="F352" s="348" t="str">
        <f t="shared" si="72"/>
        <v/>
      </c>
      <c r="G352" s="348" t="str">
        <f t="shared" si="73"/>
        <v/>
      </c>
      <c r="H352" s="222" t="str">
        <f t="shared" si="74"/>
        <v/>
      </c>
      <c r="I352" s="222" t="str">
        <f t="shared" si="75"/>
        <v/>
      </c>
      <c r="J352" s="222" t="str">
        <f t="shared" si="76"/>
        <v/>
      </c>
      <c r="K352" s="222" t="str">
        <f t="shared" si="77"/>
        <v/>
      </c>
      <c r="L352" s="195" t="str">
        <f t="shared" si="78"/>
        <v/>
      </c>
      <c r="M352" s="196" t="str">
        <f t="shared" si="79"/>
        <v/>
      </c>
      <c r="N352" s="120">
        <v>8</v>
      </c>
      <c r="O352" s="125" t="str">
        <f t="shared" si="81"/>
        <v>0-8</v>
      </c>
    </row>
    <row r="353" spans="2:16" ht="57.75" customHeight="1">
      <c r="B353" s="791"/>
      <c r="C353" s="72" t="str">
        <f t="shared" si="69"/>
        <v/>
      </c>
      <c r="D353" s="258" t="str">
        <f t="shared" si="70"/>
        <v/>
      </c>
      <c r="E353" s="194" t="str">
        <f t="shared" si="71"/>
        <v/>
      </c>
      <c r="F353" s="348" t="str">
        <f t="shared" si="72"/>
        <v/>
      </c>
      <c r="G353" s="348" t="str">
        <f t="shared" si="73"/>
        <v/>
      </c>
      <c r="H353" s="222" t="str">
        <f t="shared" si="74"/>
        <v/>
      </c>
      <c r="I353" s="222" t="str">
        <f t="shared" si="75"/>
        <v/>
      </c>
      <c r="J353" s="222" t="str">
        <f t="shared" si="76"/>
        <v/>
      </c>
      <c r="K353" s="222" t="str">
        <f t="shared" si="77"/>
        <v/>
      </c>
      <c r="L353" s="195" t="str">
        <f t="shared" si="78"/>
        <v/>
      </c>
      <c r="M353" s="196" t="str">
        <f t="shared" si="79"/>
        <v/>
      </c>
      <c r="N353" s="120">
        <v>9</v>
      </c>
      <c r="O353" s="125" t="str">
        <f t="shared" si="81"/>
        <v>0-9</v>
      </c>
    </row>
    <row r="354" spans="2:16" ht="57.75" customHeight="1">
      <c r="B354" s="792"/>
      <c r="C354" s="168" t="str">
        <f t="shared" si="69"/>
        <v/>
      </c>
      <c r="D354" s="267" t="str">
        <f t="shared" si="70"/>
        <v/>
      </c>
      <c r="E354" s="217" t="str">
        <f t="shared" si="71"/>
        <v/>
      </c>
      <c r="F354" s="355" t="str">
        <f t="shared" si="72"/>
        <v/>
      </c>
      <c r="G354" s="355" t="str">
        <f t="shared" si="73"/>
        <v/>
      </c>
      <c r="H354" s="236" t="str">
        <f t="shared" si="74"/>
        <v/>
      </c>
      <c r="I354" s="236" t="str">
        <f t="shared" si="75"/>
        <v/>
      </c>
      <c r="J354" s="236" t="str">
        <f t="shared" si="76"/>
        <v/>
      </c>
      <c r="K354" s="236" t="str">
        <f t="shared" si="77"/>
        <v/>
      </c>
      <c r="L354" s="218" t="str">
        <f t="shared" si="78"/>
        <v/>
      </c>
      <c r="M354" s="219" t="str">
        <f t="shared" si="79"/>
        <v/>
      </c>
      <c r="N354" s="136">
        <v>10</v>
      </c>
      <c r="O354" s="130" t="str">
        <f t="shared" si="81"/>
        <v>0-10</v>
      </c>
    </row>
    <row r="355" spans="2:16" ht="57.75" customHeight="1">
      <c r="B355" s="790">
        <f>+Q59</f>
        <v>0</v>
      </c>
      <c r="C355" s="169" t="str">
        <f t="shared" si="69"/>
        <v/>
      </c>
      <c r="D355" s="257" t="str">
        <f t="shared" si="70"/>
        <v/>
      </c>
      <c r="E355" s="191" t="str">
        <f t="shared" si="71"/>
        <v/>
      </c>
      <c r="F355" s="347" t="str">
        <f t="shared" si="72"/>
        <v/>
      </c>
      <c r="G355" s="347" t="str">
        <f t="shared" si="73"/>
        <v/>
      </c>
      <c r="H355" s="220" t="str">
        <f t="shared" si="74"/>
        <v/>
      </c>
      <c r="I355" s="220" t="str">
        <f t="shared" si="75"/>
        <v/>
      </c>
      <c r="J355" s="220" t="str">
        <f t="shared" si="76"/>
        <v/>
      </c>
      <c r="K355" s="220" t="str">
        <f t="shared" si="77"/>
        <v/>
      </c>
      <c r="L355" s="192" t="str">
        <f t="shared" si="78"/>
        <v/>
      </c>
      <c r="M355" s="193" t="str">
        <f t="shared" si="79"/>
        <v/>
      </c>
      <c r="N355" s="100">
        <v>1</v>
      </c>
      <c r="O355" s="98" t="str">
        <f>CONCATENATE(B355,"-",N355)</f>
        <v>0-1</v>
      </c>
      <c r="P355" s="91">
        <f>COUNTIF(H355:H364,"&lt;&gt;**")</f>
        <v>0</v>
      </c>
    </row>
    <row r="356" spans="2:16" ht="57.75" customHeight="1">
      <c r="B356" s="791"/>
      <c r="C356" s="72" t="str">
        <f t="shared" si="69"/>
        <v/>
      </c>
      <c r="D356" s="258" t="str">
        <f t="shared" si="70"/>
        <v/>
      </c>
      <c r="E356" s="194" t="str">
        <f t="shared" si="71"/>
        <v/>
      </c>
      <c r="F356" s="348" t="str">
        <f t="shared" si="72"/>
        <v/>
      </c>
      <c r="G356" s="348" t="str">
        <f t="shared" si="73"/>
        <v/>
      </c>
      <c r="H356" s="222" t="str">
        <f t="shared" si="74"/>
        <v/>
      </c>
      <c r="I356" s="222" t="str">
        <f t="shared" si="75"/>
        <v/>
      </c>
      <c r="J356" s="222" t="str">
        <f t="shared" si="76"/>
        <v/>
      </c>
      <c r="K356" s="222" t="str">
        <f t="shared" si="77"/>
        <v/>
      </c>
      <c r="L356" s="195" t="str">
        <f t="shared" si="78"/>
        <v/>
      </c>
      <c r="M356" s="196" t="str">
        <f t="shared" si="79"/>
        <v/>
      </c>
      <c r="N356" s="120">
        <v>2</v>
      </c>
      <c r="O356" s="125" t="str">
        <f t="shared" ref="O356:O364" si="82">CONCATENATE(B356,"-",N356)</f>
        <v>-2</v>
      </c>
    </row>
    <row r="357" spans="2:16" ht="57.75" customHeight="1">
      <c r="B357" s="791"/>
      <c r="C357" s="72" t="str">
        <f t="shared" si="69"/>
        <v/>
      </c>
      <c r="D357" s="258" t="str">
        <f t="shared" si="70"/>
        <v/>
      </c>
      <c r="E357" s="194" t="str">
        <f t="shared" si="71"/>
        <v/>
      </c>
      <c r="F357" s="348" t="str">
        <f t="shared" si="72"/>
        <v/>
      </c>
      <c r="G357" s="348" t="str">
        <f t="shared" si="73"/>
        <v/>
      </c>
      <c r="H357" s="222" t="str">
        <f t="shared" si="74"/>
        <v/>
      </c>
      <c r="I357" s="222" t="str">
        <f t="shared" si="75"/>
        <v/>
      </c>
      <c r="J357" s="222" t="str">
        <f t="shared" si="76"/>
        <v/>
      </c>
      <c r="K357" s="222" t="str">
        <f t="shared" si="77"/>
        <v/>
      </c>
      <c r="L357" s="195" t="str">
        <f t="shared" si="78"/>
        <v/>
      </c>
      <c r="M357" s="196" t="str">
        <f t="shared" si="79"/>
        <v/>
      </c>
      <c r="N357" s="120">
        <v>3</v>
      </c>
      <c r="O357" s="125" t="str">
        <f t="shared" si="82"/>
        <v>-3</v>
      </c>
    </row>
    <row r="358" spans="2:16" ht="57.75" customHeight="1">
      <c r="B358" s="791"/>
      <c r="C358" s="72" t="str">
        <f t="shared" si="69"/>
        <v/>
      </c>
      <c r="D358" s="258" t="str">
        <f t="shared" si="70"/>
        <v/>
      </c>
      <c r="E358" s="194" t="str">
        <f t="shared" si="71"/>
        <v/>
      </c>
      <c r="F358" s="348" t="str">
        <f t="shared" si="72"/>
        <v/>
      </c>
      <c r="G358" s="348" t="str">
        <f t="shared" si="73"/>
        <v/>
      </c>
      <c r="H358" s="222" t="str">
        <f t="shared" si="74"/>
        <v/>
      </c>
      <c r="I358" s="222" t="str">
        <f t="shared" si="75"/>
        <v/>
      </c>
      <c r="J358" s="222" t="str">
        <f t="shared" si="76"/>
        <v/>
      </c>
      <c r="K358" s="222" t="str">
        <f t="shared" si="77"/>
        <v/>
      </c>
      <c r="L358" s="195" t="str">
        <f t="shared" si="78"/>
        <v/>
      </c>
      <c r="M358" s="196" t="str">
        <f t="shared" si="79"/>
        <v/>
      </c>
      <c r="N358" s="120">
        <v>4</v>
      </c>
      <c r="O358" s="125" t="str">
        <f t="shared" si="82"/>
        <v>-4</v>
      </c>
    </row>
    <row r="359" spans="2:16" ht="57.75" customHeight="1">
      <c r="B359" s="791"/>
      <c r="C359" s="72" t="str">
        <f t="shared" si="69"/>
        <v/>
      </c>
      <c r="D359" s="258" t="str">
        <f t="shared" si="70"/>
        <v/>
      </c>
      <c r="E359" s="194" t="str">
        <f t="shared" si="71"/>
        <v/>
      </c>
      <c r="F359" s="348" t="str">
        <f t="shared" si="72"/>
        <v/>
      </c>
      <c r="G359" s="348" t="str">
        <f t="shared" si="73"/>
        <v/>
      </c>
      <c r="H359" s="222" t="str">
        <f t="shared" si="74"/>
        <v/>
      </c>
      <c r="I359" s="222" t="str">
        <f t="shared" si="75"/>
        <v/>
      </c>
      <c r="J359" s="222" t="str">
        <f t="shared" si="76"/>
        <v/>
      </c>
      <c r="K359" s="222" t="str">
        <f t="shared" si="77"/>
        <v/>
      </c>
      <c r="L359" s="195" t="str">
        <f t="shared" si="78"/>
        <v/>
      </c>
      <c r="M359" s="196" t="str">
        <f t="shared" si="79"/>
        <v/>
      </c>
      <c r="N359" s="120">
        <v>5</v>
      </c>
      <c r="O359" s="125" t="str">
        <f t="shared" si="82"/>
        <v>-5</v>
      </c>
    </row>
    <row r="360" spans="2:16" ht="57.75" customHeight="1">
      <c r="B360" s="791"/>
      <c r="C360" s="72" t="str">
        <f t="shared" si="69"/>
        <v/>
      </c>
      <c r="D360" s="258" t="str">
        <f t="shared" si="70"/>
        <v/>
      </c>
      <c r="E360" s="194" t="str">
        <f t="shared" si="71"/>
        <v/>
      </c>
      <c r="F360" s="348" t="str">
        <f t="shared" si="72"/>
        <v/>
      </c>
      <c r="G360" s="348" t="str">
        <f t="shared" si="73"/>
        <v/>
      </c>
      <c r="H360" s="222" t="str">
        <f t="shared" si="74"/>
        <v/>
      </c>
      <c r="I360" s="222" t="str">
        <f t="shared" si="75"/>
        <v/>
      </c>
      <c r="J360" s="222" t="str">
        <f t="shared" si="76"/>
        <v/>
      </c>
      <c r="K360" s="222" t="str">
        <f t="shared" si="77"/>
        <v/>
      </c>
      <c r="L360" s="195" t="str">
        <f t="shared" si="78"/>
        <v/>
      </c>
      <c r="M360" s="196" t="str">
        <f t="shared" si="79"/>
        <v/>
      </c>
      <c r="N360" s="120">
        <v>6</v>
      </c>
      <c r="O360" s="125" t="str">
        <f t="shared" si="82"/>
        <v>-6</v>
      </c>
    </row>
    <row r="361" spans="2:16" ht="57.75" customHeight="1">
      <c r="B361" s="791"/>
      <c r="C361" s="72" t="str">
        <f t="shared" si="69"/>
        <v/>
      </c>
      <c r="D361" s="258" t="str">
        <f t="shared" si="70"/>
        <v/>
      </c>
      <c r="E361" s="194" t="str">
        <f t="shared" si="71"/>
        <v/>
      </c>
      <c r="F361" s="348" t="str">
        <f t="shared" si="72"/>
        <v/>
      </c>
      <c r="G361" s="348" t="str">
        <f t="shared" si="73"/>
        <v/>
      </c>
      <c r="H361" s="222" t="str">
        <f t="shared" si="74"/>
        <v/>
      </c>
      <c r="I361" s="222" t="str">
        <f t="shared" si="75"/>
        <v/>
      </c>
      <c r="J361" s="222" t="str">
        <f t="shared" si="76"/>
        <v/>
      </c>
      <c r="K361" s="222" t="str">
        <f t="shared" si="77"/>
        <v/>
      </c>
      <c r="L361" s="195" t="str">
        <f t="shared" si="78"/>
        <v/>
      </c>
      <c r="M361" s="196" t="str">
        <f t="shared" si="79"/>
        <v/>
      </c>
      <c r="N361" s="120">
        <v>7</v>
      </c>
      <c r="O361" s="125" t="str">
        <f t="shared" si="82"/>
        <v>-7</v>
      </c>
    </row>
    <row r="362" spans="2:16" ht="57.75" customHeight="1">
      <c r="B362" s="791"/>
      <c r="C362" s="72" t="str">
        <f t="shared" si="69"/>
        <v/>
      </c>
      <c r="D362" s="258" t="str">
        <f t="shared" si="70"/>
        <v/>
      </c>
      <c r="E362" s="194" t="str">
        <f t="shared" si="71"/>
        <v/>
      </c>
      <c r="F362" s="348" t="str">
        <f t="shared" si="72"/>
        <v/>
      </c>
      <c r="G362" s="348" t="str">
        <f t="shared" si="73"/>
        <v/>
      </c>
      <c r="H362" s="222" t="str">
        <f t="shared" si="74"/>
        <v/>
      </c>
      <c r="I362" s="222" t="str">
        <f t="shared" si="75"/>
        <v/>
      </c>
      <c r="J362" s="222" t="str">
        <f t="shared" si="76"/>
        <v/>
      </c>
      <c r="K362" s="222" t="str">
        <f t="shared" si="77"/>
        <v/>
      </c>
      <c r="L362" s="195" t="str">
        <f t="shared" si="78"/>
        <v/>
      </c>
      <c r="M362" s="196" t="str">
        <f t="shared" si="79"/>
        <v/>
      </c>
      <c r="N362" s="120">
        <v>8</v>
      </c>
      <c r="O362" s="125" t="str">
        <f t="shared" si="82"/>
        <v>-8</v>
      </c>
    </row>
    <row r="363" spans="2:16" ht="57.75" customHeight="1">
      <c r="B363" s="791"/>
      <c r="C363" s="72" t="str">
        <f t="shared" si="69"/>
        <v/>
      </c>
      <c r="D363" s="258" t="str">
        <f t="shared" si="70"/>
        <v/>
      </c>
      <c r="E363" s="194" t="str">
        <f t="shared" si="71"/>
        <v/>
      </c>
      <c r="F363" s="348" t="str">
        <f t="shared" si="72"/>
        <v/>
      </c>
      <c r="G363" s="348" t="str">
        <f t="shared" si="73"/>
        <v/>
      </c>
      <c r="H363" s="222" t="str">
        <f t="shared" si="74"/>
        <v/>
      </c>
      <c r="I363" s="222" t="str">
        <f t="shared" si="75"/>
        <v/>
      </c>
      <c r="J363" s="222" t="str">
        <f t="shared" si="76"/>
        <v/>
      </c>
      <c r="K363" s="222" t="str">
        <f t="shared" si="77"/>
        <v/>
      </c>
      <c r="L363" s="195" t="str">
        <f t="shared" si="78"/>
        <v/>
      </c>
      <c r="M363" s="196" t="str">
        <f t="shared" si="79"/>
        <v/>
      </c>
      <c r="N363" s="120">
        <v>9</v>
      </c>
      <c r="O363" s="125" t="str">
        <f t="shared" si="82"/>
        <v>-9</v>
      </c>
    </row>
    <row r="364" spans="2:16" ht="57.75" customHeight="1">
      <c r="B364" s="792"/>
      <c r="C364" s="168" t="str">
        <f t="shared" si="69"/>
        <v/>
      </c>
      <c r="D364" s="267" t="str">
        <f t="shared" si="70"/>
        <v/>
      </c>
      <c r="E364" s="217" t="str">
        <f t="shared" si="71"/>
        <v/>
      </c>
      <c r="F364" s="355" t="str">
        <f t="shared" si="72"/>
        <v/>
      </c>
      <c r="G364" s="355" t="str">
        <f t="shared" si="73"/>
        <v/>
      </c>
      <c r="H364" s="236" t="str">
        <f t="shared" si="74"/>
        <v/>
      </c>
      <c r="I364" s="236" t="str">
        <f t="shared" si="75"/>
        <v/>
      </c>
      <c r="J364" s="236" t="str">
        <f t="shared" si="76"/>
        <v/>
      </c>
      <c r="K364" s="236" t="str">
        <f t="shared" si="77"/>
        <v/>
      </c>
      <c r="L364" s="218" t="str">
        <f t="shared" si="78"/>
        <v/>
      </c>
      <c r="M364" s="219" t="str">
        <f t="shared" si="79"/>
        <v/>
      </c>
      <c r="N364" s="136">
        <v>10</v>
      </c>
      <c r="O364" s="130" t="str">
        <f t="shared" si="82"/>
        <v>-10</v>
      </c>
    </row>
    <row r="369" spans="2:12" ht="87.75" customHeight="1">
      <c r="E369" s="794"/>
      <c r="F369" s="794"/>
      <c r="G369" s="794"/>
      <c r="H369" s="794"/>
      <c r="I369" s="794"/>
      <c r="J369" s="794"/>
      <c r="K369" s="794"/>
      <c r="L369" s="795"/>
    </row>
    <row r="370" spans="2:12" ht="87.75" customHeight="1">
      <c r="B370" s="384">
        <v>6.25E-2</v>
      </c>
      <c r="E370" s="796" t="s">
        <v>4962</v>
      </c>
      <c r="F370" s="796"/>
      <c r="G370" s="796"/>
      <c r="H370" s="796"/>
      <c r="I370" s="796"/>
      <c r="J370" s="796"/>
      <c r="K370" s="796"/>
      <c r="L370" s="796"/>
    </row>
    <row r="371" spans="2:12" ht="87.75" customHeight="1">
      <c r="B371" s="384">
        <v>0.125</v>
      </c>
      <c r="E371" s="793" t="s">
        <v>5115</v>
      </c>
      <c r="F371" s="793"/>
      <c r="G371" s="793"/>
      <c r="H371" s="793"/>
      <c r="I371" s="793"/>
      <c r="J371" s="793"/>
      <c r="K371" s="793"/>
      <c r="L371" s="793"/>
    </row>
    <row r="372" spans="2:12" ht="87.75" customHeight="1">
      <c r="E372" s="793" t="s">
        <v>5116</v>
      </c>
      <c r="F372" s="793"/>
      <c r="G372" s="793"/>
      <c r="H372" s="793"/>
      <c r="I372" s="793"/>
      <c r="J372" s="793"/>
      <c r="K372" s="793"/>
      <c r="L372" s="793"/>
    </row>
    <row r="373" spans="2:12" ht="87.75" customHeight="1">
      <c r="E373" s="793" t="s">
        <v>5117</v>
      </c>
      <c r="F373" s="793"/>
      <c r="G373" s="793"/>
      <c r="H373" s="793"/>
      <c r="I373" s="793"/>
      <c r="J373" s="793"/>
      <c r="K373" s="793"/>
      <c r="L373" s="793"/>
    </row>
    <row r="374" spans="2:12" ht="87.75" customHeight="1">
      <c r="E374" s="793" t="s">
        <v>5118</v>
      </c>
      <c r="F374" s="793"/>
      <c r="G374" s="793"/>
      <c r="H374" s="793"/>
      <c r="I374" s="793"/>
      <c r="J374" s="793"/>
      <c r="K374" s="793"/>
      <c r="L374" s="793"/>
    </row>
    <row r="375" spans="2:12" ht="87.75" customHeight="1">
      <c r="E375" s="793" t="s">
        <v>5119</v>
      </c>
      <c r="F375" s="793"/>
      <c r="G375" s="793"/>
      <c r="H375" s="793"/>
      <c r="I375" s="793"/>
      <c r="J375" s="793"/>
      <c r="K375" s="793"/>
      <c r="L375" s="793"/>
    </row>
    <row r="376" spans="2:12" ht="87.75" customHeight="1">
      <c r="E376" s="793" t="s">
        <v>5120</v>
      </c>
      <c r="F376" s="793"/>
      <c r="G376" s="793"/>
      <c r="H376" s="793"/>
      <c r="I376" s="793"/>
      <c r="J376" s="793"/>
      <c r="K376" s="793"/>
      <c r="L376" s="793"/>
    </row>
    <row r="377" spans="2:12" ht="102.75" customHeight="1">
      <c r="E377" s="793" t="s">
        <v>5121</v>
      </c>
      <c r="F377" s="793"/>
      <c r="G377" s="793"/>
      <c r="H377" s="793"/>
      <c r="I377" s="793"/>
      <c r="J377" s="793"/>
      <c r="K377" s="793"/>
      <c r="L377" s="793"/>
    </row>
    <row r="378" spans="2:12" ht="87.75" customHeight="1">
      <c r="E378" s="793" t="s">
        <v>5122</v>
      </c>
      <c r="F378" s="793"/>
      <c r="G378" s="793"/>
      <c r="H378" s="793"/>
      <c r="I378" s="793"/>
      <c r="J378" s="793"/>
      <c r="K378" s="793"/>
      <c r="L378" s="793"/>
    </row>
    <row r="379" spans="2:12" ht="87.75" customHeight="1">
      <c r="E379" s="793" t="s">
        <v>5123</v>
      </c>
      <c r="F379" s="793"/>
      <c r="G379" s="793"/>
      <c r="H379" s="793"/>
      <c r="I379" s="793"/>
      <c r="J379" s="793"/>
      <c r="K379" s="793"/>
      <c r="L379" s="793"/>
    </row>
    <row r="380" spans="2:12" ht="87.75" customHeight="1">
      <c r="E380" s="793" t="s">
        <v>5124</v>
      </c>
      <c r="F380" s="793"/>
      <c r="G380" s="793"/>
      <c r="H380" s="793"/>
      <c r="I380" s="793"/>
      <c r="J380" s="793"/>
      <c r="K380" s="793"/>
      <c r="L380" s="793"/>
    </row>
    <row r="381" spans="2:12" ht="87.75" customHeight="1">
      <c r="E381" s="793" t="s">
        <v>5125</v>
      </c>
      <c r="F381" s="793"/>
      <c r="G381" s="793"/>
      <c r="H381" s="793"/>
      <c r="I381" s="793"/>
      <c r="J381" s="793"/>
      <c r="K381" s="793"/>
      <c r="L381" s="793"/>
    </row>
    <row r="382" spans="2:12" ht="87.75" customHeight="1">
      <c r="E382" s="793" t="s">
        <v>5126</v>
      </c>
      <c r="F382" s="793"/>
      <c r="G382" s="793"/>
      <c r="H382" s="793"/>
      <c r="I382" s="793"/>
      <c r="J382" s="793"/>
      <c r="K382" s="793"/>
      <c r="L382" s="793"/>
    </row>
    <row r="383" spans="2:12" ht="87.75" customHeight="1">
      <c r="E383" s="793" t="s">
        <v>5127</v>
      </c>
      <c r="F383" s="793"/>
      <c r="G383" s="793"/>
      <c r="H383" s="793"/>
      <c r="I383" s="793"/>
      <c r="J383" s="793"/>
      <c r="K383" s="793"/>
      <c r="L383" s="793"/>
    </row>
    <row r="384" spans="2:12" ht="87.75" customHeight="1">
      <c r="E384" s="793" t="s">
        <v>5128</v>
      </c>
      <c r="F384" s="793"/>
      <c r="G384" s="793"/>
      <c r="H384" s="793"/>
      <c r="I384" s="793"/>
      <c r="J384" s="793"/>
      <c r="K384" s="793"/>
      <c r="L384" s="793"/>
    </row>
  </sheetData>
  <mergeCells count="47">
    <mergeCell ref="E384:L384"/>
    <mergeCell ref="E378:L378"/>
    <mergeCell ref="E379:L379"/>
    <mergeCell ref="E380:L380"/>
    <mergeCell ref="E381:L381"/>
    <mergeCell ref="E382:L382"/>
    <mergeCell ref="E383:L383"/>
    <mergeCell ref="E377:L377"/>
    <mergeCell ref="B335:B344"/>
    <mergeCell ref="B345:B354"/>
    <mergeCell ref="B355:B364"/>
    <mergeCell ref="E369:L369"/>
    <mergeCell ref="E370:L370"/>
    <mergeCell ref="E371:L371"/>
    <mergeCell ref="E372:L372"/>
    <mergeCell ref="E373:L373"/>
    <mergeCell ref="E374:L374"/>
    <mergeCell ref="E375:L375"/>
    <mergeCell ref="E376:L376"/>
    <mergeCell ref="B275:B284"/>
    <mergeCell ref="B285:B294"/>
    <mergeCell ref="B295:B304"/>
    <mergeCell ref="B325:B334"/>
    <mergeCell ref="B235:B244"/>
    <mergeCell ref="B245:B254"/>
    <mergeCell ref="B255:B264"/>
    <mergeCell ref="B265:B274"/>
    <mergeCell ref="B305:B314"/>
    <mergeCell ref="B315:B324"/>
    <mergeCell ref="B217:B234"/>
    <mergeCell ref="B137:B156"/>
    <mergeCell ref="B157:B176"/>
    <mergeCell ref="B177:B196"/>
    <mergeCell ref="B197:B216"/>
    <mergeCell ref="F114:F117"/>
    <mergeCell ref="B123:M132"/>
    <mergeCell ref="S2:W2"/>
    <mergeCell ref="E2:E3"/>
    <mergeCell ref="G2:L3"/>
    <mergeCell ref="M2:M3"/>
    <mergeCell ref="G48:L49"/>
    <mergeCell ref="M48:M49"/>
    <mergeCell ref="M114:M117"/>
    <mergeCell ref="G114:L117"/>
    <mergeCell ref="B114:B117"/>
    <mergeCell ref="C114:C117"/>
    <mergeCell ref="E114:E117"/>
  </mergeCells>
  <conditionalFormatting sqref="E137:E364">
    <cfRule type="containsText" dxfId="96" priority="5" operator="containsText" text="TARDE">
      <formula>NOT(ISERROR(SEARCH("TARDE",E137)))</formula>
    </cfRule>
    <cfRule type="containsText" dxfId="95" priority="6" operator="containsText" text="MAÑANA">
      <formula>NOT(ISERROR(SEARCH("MAÑANA",E137)))</formula>
    </cfRule>
    <cfRule type="containsText" dxfId="94" priority="7" operator="containsText" text="NOCHE">
      <formula>NOT(ISERROR(SEARCH("NOCHE",E137)))</formula>
    </cfRule>
  </conditionalFormatting>
  <conditionalFormatting sqref="H137:H364">
    <cfRule type="cellIs" dxfId="93" priority="2" operator="greaterThan">
      <formula>$B$371</formula>
    </cfRule>
    <cfRule type="cellIs" dxfId="92" priority="3" operator="between">
      <formula>$B$370</formula>
      <formula>$B$371</formula>
    </cfRule>
    <cfRule type="cellIs" dxfId="91" priority="4" operator="lessThanOrEqual">
      <formula>$B$370</formula>
    </cfRule>
  </conditionalFormatting>
  <conditionalFormatting sqref="J137:J364">
    <cfRule type="beginsWith" dxfId="90" priority="26" operator="beginsWith" text="NO PROGRAMADA">
      <formula>LEFT(J137,LEN("NO PROGRAMADA"))="NO PROGRAMADA"</formula>
    </cfRule>
  </conditionalFormatting>
  <conditionalFormatting sqref="K137:K364">
    <cfRule type="containsText" dxfId="89" priority="27" operator="containsText" text="ELÉCTRICA">
      <formula>NOT(ISERROR(SEARCH("ELÉCTRICA",K137)))</formula>
    </cfRule>
    <cfRule type="containsText" dxfId="88" priority="28" operator="containsText" text="MECÁNICA">
      <formula>NOT(ISERROR(SEARCH("MECÁNICA",K137)))</formula>
    </cfRule>
  </conditionalFormatting>
  <conditionalFormatting sqref="R10">
    <cfRule type="containsErrors" dxfId="87" priority="33">
      <formula>ISERROR(R10)</formula>
    </cfRule>
  </conditionalFormatting>
  <conditionalFormatting sqref="S3:S306">
    <cfRule type="containsErrors" dxfId="86" priority="55">
      <formula>ISERROR(S3)</formula>
    </cfRule>
  </conditionalFormatting>
  <conditionalFormatting sqref="S3:AF3">
    <cfRule type="containsErrors" dxfId="85" priority="54">
      <formula>ISERROR(S3)</formula>
    </cfRule>
  </conditionalFormatting>
  <conditionalFormatting sqref="Y4:Y168">
    <cfRule type="containsErrors" dxfId="84" priority="1">
      <formula>ISERROR(Y4)</formula>
    </cfRule>
  </conditionalFormatting>
  <conditionalFormatting sqref="Y177:Y186 Y197:Y206 Y217:Y226 Y235:Y241">
    <cfRule type="containsErrors" dxfId="83" priority="21">
      <formula>ISERROR(Y177)</formula>
    </cfRule>
  </conditionalFormatting>
  <conditionalFormatting sqref="Y245:Y248 Y255:Y258 Y265:Y267 Y275:Y277 Y285:Y287 Y295:Y297 Y305:Y306">
    <cfRule type="containsErrors" dxfId="82" priority="23">
      <formula>ISERROR(Y245)</formula>
    </cfRule>
  </conditionalFormatting>
  <conditionalFormatting sqref="AM4:AM168">
    <cfRule type="cellIs" dxfId="81" priority="20" operator="greaterThan">
      <formula>8</formula>
    </cfRule>
  </conditionalFormatting>
  <conditionalFormatting sqref="AM177:AM186 AM197:AM206 AM217:AM226 AM235:AM240">
    <cfRule type="cellIs" dxfId="80" priority="22" operator="greaterThan">
      <formula>8</formula>
    </cfRule>
  </conditionalFormatting>
  <conditionalFormatting sqref="AU3:AU306">
    <cfRule type="containsErrors" dxfId="79" priority="17">
      <formula>ISERROR(AU3)</formula>
    </cfRule>
  </conditionalFormatting>
  <conditionalFormatting sqref="AW3">
    <cfRule type="containsErrors" dxfId="78" priority="52">
      <formula>ISERROR(AW3)</formula>
    </cfRule>
  </conditionalFormatting>
  <dataValidations count="1">
    <dataValidation allowBlank="1" showInputMessage="1" showErrorMessage="1" sqref="AA4:AA306" xr:uid="{8216AACC-D4EA-40D6-80C0-5F22B0DDA5E7}"/>
  </dataValidations>
  <pageMargins left="0.23622047244094491" right="0.23622047244094491" top="0.74803149606299213" bottom="0.74803149606299213" header="0.31496062992125984" footer="0.31496062992125984"/>
  <pageSetup paperSize="9" scale="24" fitToHeight="0" orientation="landscape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5E1DF236-A197-44EF-B843-9555128CDD6E}">
          <x14:formula1>
            <xm:f>DATOS!$H$16:$H$17</xm:f>
          </x14:formula1>
          <xm:sqref>AC217:AC226 AC235:AC240 AC197:AC206 AC177:AC186 AC165:AC168</xm:sqref>
        </x14:dataValidation>
        <x14:dataValidation type="list" allowBlank="1" showInputMessage="1" showErrorMessage="1" xr:uid="{1693C382-6EF5-432E-8947-2616D571326B}">
          <x14:formula1>
            <xm:f>DATOS!$I$17:$I$18</xm:f>
          </x14:formula1>
          <xm:sqref>AD217:AD226 AD235:AD240 AD197:AD206 AD177:AD186 AD165:AD168</xm:sqref>
        </x14:dataValidation>
        <x14:dataValidation type="list" allowBlank="1" showInputMessage="1" showErrorMessage="1" xr:uid="{87568573-014C-41FC-A899-232303024F41}">
          <x14:formula1>
            <xm:f>DATOS!$I$3:$I$5</xm:f>
          </x14:formula1>
          <xm:sqref>V4:V306</xm:sqref>
        </x14:dataValidation>
        <x14:dataValidation type="list" allowBlank="1" showInputMessage="1" showErrorMessage="1" xr:uid="{069F82AF-C634-4C3D-891F-A86B0CFD559D}">
          <x14:formula1>
            <xm:f>DATOS!$P$3:$P$17</xm:f>
          </x14:formula1>
          <xm:sqref>AB4:AB306</xm:sqref>
        </x14:dataValidation>
        <x14:dataValidation type="list" allowBlank="1" showInputMessage="1" showErrorMessage="1" xr:uid="{22FAC16B-A40E-415E-8278-015BD06602AD}">
          <x14:formula1>
            <xm:f>DATOS!$I$15:$I$24</xm:f>
          </x14:formula1>
          <xm:sqref>AD4:AD164</xm:sqref>
        </x14:dataValidation>
        <x14:dataValidation type="list" allowBlank="1" showInputMessage="1" showErrorMessage="1" xr:uid="{D013191E-1C8F-4249-9A6D-B648BBF50176}">
          <x14:formula1>
            <xm:f>DATOS!$H$15:$H$16</xm:f>
          </x14:formula1>
          <xm:sqref>AC4:AC164</xm:sqref>
        </x14:dataValidation>
        <x14:dataValidation type="list" allowBlank="1" showInputMessage="1" showErrorMessage="1" xr:uid="{634FD37D-5469-436E-A8E6-B83BB34BC4EF}">
          <x14:formula1>
            <xm:f>DATOS!$G$3:$G$6</xm:f>
          </x14:formula1>
          <xm:sqref>U217:U226 U165:U168 U177:U186 U197:U206 U235:U240</xm:sqref>
        </x14:dataValidation>
        <x14:dataValidation type="list" allowBlank="1" showInputMessage="1" showErrorMessage="1" xr:uid="{328628AC-DB0F-4F0D-B8AD-4548CD39A306}">
          <x14:formula1>
            <xm:f>DATOS!$G$3:$G$7</xm:f>
          </x14:formula1>
          <xm:sqref>U97:U164</xm:sqref>
        </x14:dataValidation>
        <x14:dataValidation type="list" allowBlank="1" showInputMessage="1" showErrorMessage="1" xr:uid="{661B1D68-422A-41F5-BE2E-F02089590767}">
          <x14:formula1>
            <xm:f>DATOS!$F$3:$F$7</xm:f>
          </x14:formula1>
          <xm:sqref>U4:U96</xm:sqref>
        </x14:dataValidation>
        <x14:dataValidation type="list" allowBlank="1" showInputMessage="1" showErrorMessage="1" xr:uid="{AC2B6D09-80F2-4099-A93C-960E447490F5}">
          <x14:formula1>
            <xm:f>DATOS!$M$3:$M$1048576</xm:f>
          </x14:formula1>
          <xm:sqref>Z217:Z226 Z235:Z240 Z197:Z206 Z177:Z186 Z4:Z168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D82D8-1AEE-432E-B1D1-9B90ED46EE17}">
  <sheetPr>
    <tabColor rgb="FF75F61E"/>
    <pageSetUpPr fitToPage="1"/>
  </sheetPr>
  <dimension ref="A2:AA381"/>
  <sheetViews>
    <sheetView showGridLines="0" topLeftCell="A250" zoomScale="40" zoomScaleNormal="40" zoomScaleSheetLayoutView="40" workbookViewId="0">
      <selection activeCell="B290" sqref="B290"/>
    </sheetView>
  </sheetViews>
  <sheetFormatPr defaultColWidth="11.42578125" defaultRowHeight="15"/>
  <cols>
    <col min="2" max="2" width="36.28515625" customWidth="1"/>
    <col min="3" max="3" width="28.85546875" customWidth="1"/>
    <col min="4" max="8" width="19" customWidth="1"/>
    <col min="9" max="9" width="21.85546875" customWidth="1"/>
    <col min="10" max="10" width="19" customWidth="1"/>
    <col min="11" max="11" width="61.42578125" customWidth="1"/>
    <col min="12" max="12" width="106.140625" customWidth="1"/>
    <col min="13" max="13" width="23.140625" customWidth="1"/>
    <col min="14" max="14" width="28.28515625" bestFit="1" customWidth="1"/>
    <col min="15" max="15" width="30.140625" bestFit="1" customWidth="1"/>
    <col min="16" max="16" width="31.28515625" bestFit="1" customWidth="1"/>
    <col min="17" max="17" width="32" bestFit="1" customWidth="1"/>
    <col min="18" max="18" width="21" bestFit="1" customWidth="1"/>
    <col min="19" max="19" width="30.140625" bestFit="1" customWidth="1"/>
    <col min="20" max="20" width="25.140625" bestFit="1" customWidth="1"/>
    <col min="21" max="21" width="31.28515625" bestFit="1" customWidth="1"/>
    <col min="22" max="22" width="71.85546875" style="39" customWidth="1"/>
    <col min="23" max="23" width="30.140625" style="315" bestFit="1" customWidth="1"/>
    <col min="24" max="24" width="26.28515625" bestFit="1" customWidth="1"/>
    <col min="25" max="25" width="33" style="504" bestFit="1" customWidth="1"/>
    <col min="26" max="26" width="37.140625" style="504" customWidth="1"/>
    <col min="27" max="27" width="20.28515625" style="39" bestFit="1" customWidth="1"/>
  </cols>
  <sheetData>
    <row r="2" spans="2:27" ht="15.75" thickBot="1"/>
    <row r="3" spans="2:27" ht="90.75" customHeight="1">
      <c r="B3" s="797"/>
      <c r="C3" s="798"/>
      <c r="D3" s="798"/>
      <c r="E3" s="801"/>
      <c r="F3" s="802"/>
      <c r="G3" s="802"/>
      <c r="H3" s="802"/>
      <c r="I3" s="802"/>
      <c r="J3" s="802"/>
      <c r="K3" s="802"/>
      <c r="L3" s="804"/>
      <c r="M3" s="744" t="s">
        <v>3687</v>
      </c>
      <c r="N3" s="745"/>
      <c r="O3" s="745"/>
      <c r="P3" s="493">
        <f ca="1">TODAY()-1</f>
        <v>46205</v>
      </c>
      <c r="Q3" s="494" t="s">
        <v>3688</v>
      </c>
    </row>
    <row r="4" spans="2:27" ht="119.25" customHeight="1">
      <c r="B4" s="799"/>
      <c r="C4" s="800"/>
      <c r="D4" s="800"/>
      <c r="E4" s="803"/>
      <c r="F4" s="803"/>
      <c r="G4" s="803"/>
      <c r="H4" s="803"/>
      <c r="I4" s="803"/>
      <c r="J4" s="803"/>
      <c r="K4" s="803"/>
      <c r="L4" s="805"/>
      <c r="M4" s="746" t="s">
        <v>3689</v>
      </c>
      <c r="N4" s="747"/>
      <c r="O4" s="747"/>
      <c r="P4" s="747"/>
      <c r="Q4" s="488"/>
    </row>
    <row r="5" spans="2:27" ht="28.5">
      <c r="B5" s="595"/>
      <c r="C5" s="596"/>
      <c r="D5" s="596"/>
      <c r="E5" s="596"/>
      <c r="F5" s="596"/>
      <c r="G5" s="596"/>
      <c r="H5" s="596"/>
      <c r="I5" s="596"/>
      <c r="J5" s="596"/>
      <c r="K5" s="596"/>
      <c r="L5" s="597"/>
      <c r="M5" s="748" t="s">
        <v>3690</v>
      </c>
      <c r="N5" s="747"/>
      <c r="O5" s="747"/>
      <c r="P5" s="747"/>
      <c r="Q5" s="502" t="str">
        <f>IF(Q7="OK","MAÑANA","")</f>
        <v>MAÑANA</v>
      </c>
      <c r="R5" s="502" t="str">
        <f>IF(R7="OK","TARDE","")</f>
        <v>TARDE</v>
      </c>
      <c r="S5" s="502" t="str">
        <f>IF(S7="OK","NOCHE","")</f>
        <v>NOCHE</v>
      </c>
      <c r="V5" s="631" t="s">
        <v>10</v>
      </c>
      <c r="W5" s="508" t="s">
        <v>92</v>
      </c>
      <c r="Y5" s="630" t="s">
        <v>10</v>
      </c>
      <c r="Z5" s="87" t="s">
        <v>92</v>
      </c>
    </row>
    <row r="6" spans="2:27" ht="36">
      <c r="B6" s="595"/>
      <c r="C6" s="596"/>
      <c r="D6" s="596"/>
      <c r="E6" s="596"/>
      <c r="F6" s="596"/>
      <c r="G6" s="596"/>
      <c r="H6" s="596"/>
      <c r="I6" s="596"/>
      <c r="J6" s="596"/>
      <c r="K6" s="596"/>
      <c r="L6" s="597"/>
      <c r="P6" s="488"/>
      <c r="Q6" s="502" t="s">
        <v>36</v>
      </c>
      <c r="R6" s="502" t="s">
        <v>23</v>
      </c>
      <c r="S6" s="502" t="s">
        <v>39</v>
      </c>
      <c r="W6" s="507"/>
      <c r="Z6" s="505"/>
    </row>
    <row r="7" spans="2:27" ht="36">
      <c r="B7" s="595"/>
      <c r="C7" s="596"/>
      <c r="D7" s="596"/>
      <c r="E7" s="596"/>
      <c r="F7" s="596"/>
      <c r="G7" s="596"/>
      <c r="H7" s="596"/>
      <c r="I7" s="596"/>
      <c r="J7" s="596"/>
      <c r="K7" s="596"/>
      <c r="L7" s="597"/>
      <c r="M7" s="719" t="s">
        <v>3691</v>
      </c>
      <c r="N7" s="720"/>
      <c r="O7" s="720"/>
      <c r="P7" s="499">
        <f>ROUND('TABLA-DIA'!H1*24,1)</f>
        <v>18.8</v>
      </c>
      <c r="Q7" s="500" t="str">
        <f>+IF(COUNTIF('TABLA-DIA'!E3:E64,"MAÑANA")&gt;0,"OK","")</f>
        <v>OK</v>
      </c>
      <c r="R7" s="500" t="str">
        <f>+IF(COUNTIF('TABLA-DIA'!E3:E64,"TARDE")&gt;0,"OK","")</f>
        <v>OK</v>
      </c>
      <c r="S7" s="500" t="str">
        <f>+IF(COUNTIF('TABLA-DIA'!E3:E64,"NOCHE")&gt;0,"OK","")</f>
        <v>OK</v>
      </c>
      <c r="T7" s="501">
        <f>+COUNTIF(Q7:S7,"OK")</f>
        <v>3</v>
      </c>
      <c r="V7" s="622" t="s">
        <v>3666</v>
      </c>
      <c r="W7" s="623" t="s">
        <v>3664</v>
      </c>
      <c r="Y7" s="624" t="s">
        <v>3610</v>
      </c>
      <c r="Z7" s="625" t="s">
        <v>3664</v>
      </c>
      <c r="AA7"/>
    </row>
    <row r="8" spans="2:27" ht="36">
      <c r="B8" s="595"/>
      <c r="C8" s="596"/>
      <c r="D8" s="596"/>
      <c r="E8" s="596"/>
      <c r="F8" s="596"/>
      <c r="G8" s="596"/>
      <c r="H8" s="596"/>
      <c r="I8" s="596"/>
      <c r="J8" s="596"/>
      <c r="K8" s="596"/>
      <c r="L8" s="597"/>
      <c r="M8" s="721" t="s">
        <v>3692</v>
      </c>
      <c r="N8" s="722"/>
      <c r="O8" s="722"/>
      <c r="P8" s="636">
        <f>ROUND(SUMIF(Tabla107[P/NP],"NO PROGRAMADA",Tabla107[T.TOTAL])*24,2)</f>
        <v>9.42</v>
      </c>
      <c r="Q8" s="492">
        <f>+P8/P7</f>
        <v>0.50106382978723407</v>
      </c>
      <c r="V8" s="506" t="s">
        <v>24</v>
      </c>
      <c r="W8" s="509">
        <v>1.6666666666666666E-2</v>
      </c>
      <c r="Y8" s="87" t="s">
        <v>3533</v>
      </c>
      <c r="Z8" s="510">
        <v>1.6666666666666666E-2</v>
      </c>
      <c r="AA8"/>
    </row>
    <row r="9" spans="2:27" ht="36">
      <c r="B9" s="595"/>
      <c r="C9" s="596"/>
      <c r="D9" s="596"/>
      <c r="E9" s="596"/>
      <c r="F9" s="596"/>
      <c r="G9" s="596"/>
      <c r="H9" s="596"/>
      <c r="I9" s="596"/>
      <c r="J9" s="596"/>
      <c r="K9" s="596"/>
      <c r="L9" s="597"/>
      <c r="M9" s="719" t="s">
        <v>3693</v>
      </c>
      <c r="N9" s="720"/>
      <c r="O9" s="720"/>
      <c r="P9" s="498">
        <f>+COUNTA(Tabla107[FECHA])</f>
        <v>31</v>
      </c>
      <c r="Q9" s="488"/>
      <c r="V9" s="506" t="s">
        <v>331</v>
      </c>
      <c r="W9" s="509">
        <v>1.2500000000000001E-2</v>
      </c>
      <c r="Y9" s="87" t="s">
        <v>3537</v>
      </c>
      <c r="Z9" s="510">
        <v>1.2500000000000001E-2</v>
      </c>
      <c r="AA9"/>
    </row>
    <row r="10" spans="2:27" ht="28.5">
      <c r="B10" s="595"/>
      <c r="C10" s="596"/>
      <c r="D10" s="596"/>
      <c r="E10" s="596"/>
      <c r="F10" s="596"/>
      <c r="G10" s="596"/>
      <c r="H10" s="596"/>
      <c r="I10" s="596"/>
      <c r="J10" s="596"/>
      <c r="K10" s="596"/>
      <c r="L10" s="597"/>
      <c r="M10" s="721" t="s">
        <v>3694</v>
      </c>
      <c r="N10" s="722"/>
      <c r="O10" s="722"/>
      <c r="P10" s="526" t="str">
        <f>+INDEX(V8:V20,MATCH(MAX(W8:W20),W8:W20,0))</f>
        <v>EMP. SACMI</v>
      </c>
      <c r="Q10" s="496">
        <f>+VLOOKUP(P10,V7:W25,2,FALSE)</f>
        <v>1.6666666666666666E-2</v>
      </c>
      <c r="R10" s="497">
        <f>+Q10*24</f>
        <v>0.4</v>
      </c>
      <c r="S10" s="503">
        <f>+R10/P8</f>
        <v>4.2462845010615716E-2</v>
      </c>
      <c r="V10" s="506" t="s">
        <v>508</v>
      </c>
      <c r="W10" s="509">
        <v>1.0416666666666666E-2</v>
      </c>
      <c r="Y10" s="87" t="s">
        <v>3542</v>
      </c>
      <c r="Z10" s="510">
        <v>1.0416666666666666E-2</v>
      </c>
      <c r="AA10"/>
    </row>
    <row r="11" spans="2:27" ht="36">
      <c r="B11" s="595"/>
      <c r="C11" s="596"/>
      <c r="D11" s="596"/>
      <c r="E11" s="596"/>
      <c r="F11" s="596"/>
      <c r="G11" s="596"/>
      <c r="H11" s="596"/>
      <c r="I11" s="596"/>
      <c r="J11" s="596"/>
      <c r="K11" s="596"/>
      <c r="L11" s="597"/>
      <c r="M11" s="721" t="s">
        <v>3695</v>
      </c>
      <c r="N11" s="722"/>
      <c r="O11" s="722"/>
      <c r="P11" s="491">
        <f>+COUNTIF(Tabla107[P/NP],"PROGRAMADA")</f>
        <v>19</v>
      </c>
      <c r="Q11" s="492">
        <f>+P11/P9</f>
        <v>0.61290322580645162</v>
      </c>
      <c r="V11" s="506" t="s">
        <v>222</v>
      </c>
      <c r="W11" s="509">
        <v>1.0416666666666666E-2</v>
      </c>
      <c r="Y11" s="87" t="s">
        <v>3544</v>
      </c>
      <c r="Z11" s="510">
        <v>1.0416666666666666E-2</v>
      </c>
      <c r="AA11"/>
    </row>
    <row r="12" spans="2:27">
      <c r="B12" s="595"/>
      <c r="C12" s="596"/>
      <c r="D12" s="596"/>
      <c r="E12" s="596"/>
      <c r="F12" s="596"/>
      <c r="G12" s="596"/>
      <c r="H12" s="596"/>
      <c r="I12" s="596"/>
      <c r="J12" s="596"/>
      <c r="K12" s="596"/>
      <c r="L12" s="597"/>
      <c r="N12" s="717"/>
      <c r="O12" s="717"/>
      <c r="P12" s="717"/>
      <c r="Q12" s="717"/>
      <c r="R12" s="717"/>
      <c r="V12"/>
      <c r="W12"/>
      <c r="Y12"/>
      <c r="Z12"/>
      <c r="AA12"/>
    </row>
    <row r="13" spans="2:27" ht="23.25">
      <c r="B13" s="595"/>
      <c r="C13" s="596"/>
      <c r="D13" s="596"/>
      <c r="E13" s="596"/>
      <c r="F13" s="596"/>
      <c r="G13" s="596"/>
      <c r="H13" s="596"/>
      <c r="I13" s="596"/>
      <c r="J13" s="596"/>
      <c r="K13" s="596"/>
      <c r="L13" s="597"/>
      <c r="N13" s="515" t="s">
        <v>3696</v>
      </c>
      <c r="O13" s="714" t="s">
        <v>3697</v>
      </c>
      <c r="P13" s="715"/>
      <c r="Q13" s="714" t="s">
        <v>3698</v>
      </c>
      <c r="R13" s="715"/>
      <c r="V13"/>
      <c r="W13"/>
      <c r="Y13"/>
      <c r="Z13"/>
      <c r="AA13"/>
    </row>
    <row r="14" spans="2:27" ht="23.25" customHeight="1">
      <c r="B14" s="595"/>
      <c r="C14" s="596"/>
      <c r="D14" s="596"/>
      <c r="E14" s="596"/>
      <c r="F14" s="596"/>
      <c r="G14" s="596"/>
      <c r="H14" s="596"/>
      <c r="I14" s="596"/>
      <c r="J14" s="596"/>
      <c r="K14" s="596"/>
      <c r="L14" s="597"/>
      <c r="N14" s="514">
        <f>LARGE($Z$8:$Z$25,1)</f>
        <v>1.6666666666666666E-2</v>
      </c>
      <c r="O14" s="718" t="str">
        <f>INDEX(Y8:Y26,MATCH(N14,Z8:Z25,0))</f>
        <v>Punta de pistola desprendida, se retiro punta y se llevó a taller para pegarlo</v>
      </c>
      <c r="P14" s="718"/>
      <c r="Q14" s="716" t="e">
        <f>+VLOOKUP(O14,'TABLA-DIA'!$N$2:$Q$62,4,FALSE)</f>
        <v>#N/A</v>
      </c>
      <c r="R14" s="716"/>
      <c r="V14"/>
      <c r="W14"/>
      <c r="Y14"/>
      <c r="Z14"/>
      <c r="AA14"/>
    </row>
    <row r="15" spans="2:27" ht="23.25">
      <c r="B15" s="595"/>
      <c r="C15" s="596"/>
      <c r="D15" s="596"/>
      <c r="E15" s="596"/>
      <c r="F15" s="596"/>
      <c r="G15" s="596"/>
      <c r="H15" s="596"/>
      <c r="I15" s="596"/>
      <c r="J15" s="596"/>
      <c r="K15" s="596"/>
      <c r="L15" s="597"/>
      <c r="N15" s="514">
        <f>LARGE($Z$8:$Z$25,2)</f>
        <v>1.2500000000000001E-2</v>
      </c>
      <c r="O15" s="718" t="str">
        <f>INDEX(Y8:Y26,MATCH(N15,Z8:Z25,0))</f>
        <v>Equipo muy duro para empujar</v>
      </c>
      <c r="P15" s="718"/>
      <c r="Q15" s="716" t="e">
        <f>+VLOOKUP(O15,'TABLA-DIA'!$N$2:$Q$62,4,FALSE)</f>
        <v>#N/A</v>
      </c>
      <c r="R15" s="716"/>
      <c r="V15"/>
      <c r="W15"/>
      <c r="Y15"/>
      <c r="Z15"/>
      <c r="AA15"/>
    </row>
    <row r="16" spans="2:27" ht="23.25" customHeight="1">
      <c r="B16" s="595"/>
      <c r="C16" s="596"/>
      <c r="D16" s="596"/>
      <c r="E16" s="596"/>
      <c r="F16" s="596"/>
      <c r="G16" s="596"/>
      <c r="H16" s="596"/>
      <c r="I16" s="596"/>
      <c r="J16" s="596"/>
      <c r="K16" s="596"/>
      <c r="L16" s="597"/>
      <c r="N16" s="514">
        <f>LARGE($Z$8:$Z$25,3)</f>
        <v>1.0416666666666666E-2</v>
      </c>
      <c r="O16" s="718" t="str">
        <f>INDEX(Y8:Y26,MATCH(N16,Z8:Z25,0))</f>
        <v xml:space="preserve">Temperadora no enciende </v>
      </c>
      <c r="P16" s="718"/>
      <c r="Q16" s="716" t="e">
        <f>+VLOOKUP(O16,'TABLA-DIA'!$N$2:$Q$62,4,FALSE)</f>
        <v>#N/A</v>
      </c>
      <c r="R16" s="716"/>
      <c r="V16"/>
      <c r="W16"/>
      <c r="Y16"/>
      <c r="Z16"/>
      <c r="AA16"/>
    </row>
    <row r="17" spans="2:27" ht="36">
      <c r="B17" s="595"/>
      <c r="C17" s="596"/>
      <c r="D17" s="596"/>
      <c r="E17" s="596"/>
      <c r="F17" s="596"/>
      <c r="G17" s="596"/>
      <c r="H17" s="596"/>
      <c r="I17" s="596"/>
      <c r="J17" s="596"/>
      <c r="K17" s="596"/>
      <c r="L17" s="597"/>
      <c r="P17" s="488"/>
      <c r="Q17" s="488"/>
      <c r="V17"/>
      <c r="W17"/>
      <c r="Y17"/>
      <c r="Z17"/>
      <c r="AA17"/>
    </row>
    <row r="18" spans="2:27" ht="23.25">
      <c r="B18" s="595"/>
      <c r="C18" s="596"/>
      <c r="D18" s="596"/>
      <c r="E18" s="596"/>
      <c r="F18" s="596"/>
      <c r="G18" s="596"/>
      <c r="H18" s="596"/>
      <c r="I18" s="596"/>
      <c r="J18" s="596"/>
      <c r="K18" s="596"/>
      <c r="L18" s="597"/>
      <c r="N18" s="515" t="s">
        <v>3696</v>
      </c>
      <c r="O18" s="714" t="s">
        <v>3697</v>
      </c>
      <c r="P18" s="715"/>
      <c r="Q18" s="714" t="s">
        <v>3698</v>
      </c>
      <c r="R18" s="715"/>
      <c r="V18"/>
      <c r="W18"/>
      <c r="Y18"/>
      <c r="Z18"/>
      <c r="AA18"/>
    </row>
    <row r="19" spans="2:27" ht="23.25">
      <c r="B19" s="595"/>
      <c r="C19" s="596"/>
      <c r="D19" s="596"/>
      <c r="E19" s="596"/>
      <c r="F19" s="596"/>
      <c r="G19" s="596"/>
      <c r="H19" s="596"/>
      <c r="I19" s="596"/>
      <c r="J19" s="596"/>
      <c r="K19" s="596"/>
      <c r="L19" s="597"/>
      <c r="N19" s="514">
        <f>LARGE('TABLA-DIA'!H3:H64,1)</f>
        <v>9.027777777777779E-2</v>
      </c>
      <c r="O19" s="716" t="str">
        <f>INDEX('TABLA-DIA'!N3:N62,MATCH(N19,'TABLA-DIA'!H3:H62,0))</f>
        <v xml:space="preserve">No pega goma en etiqueta </v>
      </c>
      <c r="P19" s="716"/>
      <c r="Q19" s="716" t="str">
        <f>+VLOOKUP(O19,'TABLA-DIA'!$N$2:$Q$62,4,FALSE)</f>
        <v>EMP. SAPAL</v>
      </c>
      <c r="R19" s="716"/>
      <c r="V19"/>
      <c r="W19"/>
      <c r="Y19"/>
      <c r="Z19"/>
      <c r="AA19"/>
    </row>
    <row r="20" spans="2:27" ht="36">
      <c r="B20" s="595"/>
      <c r="C20" s="596"/>
      <c r="D20" s="596"/>
      <c r="E20" s="596"/>
      <c r="F20" s="596"/>
      <c r="G20" s="596"/>
      <c r="H20" s="596"/>
      <c r="I20" s="596"/>
      <c r="J20" s="596"/>
      <c r="K20" s="596"/>
      <c r="L20" s="597"/>
      <c r="P20" s="488"/>
      <c r="Q20" s="488"/>
      <c r="V20"/>
      <c r="W20"/>
      <c r="Y20"/>
      <c r="Z20"/>
      <c r="AA20"/>
    </row>
    <row r="21" spans="2:27" ht="36">
      <c r="B21" s="595"/>
      <c r="C21" s="596"/>
      <c r="D21" s="596"/>
      <c r="E21" s="596"/>
      <c r="F21" s="596"/>
      <c r="G21" s="596"/>
      <c r="H21" s="596"/>
      <c r="I21" s="596"/>
      <c r="J21" s="596"/>
      <c r="K21" s="596"/>
      <c r="L21" s="597"/>
      <c r="P21" s="488"/>
      <c r="Q21" s="488"/>
      <c r="Y21"/>
      <c r="Z21"/>
      <c r="AA21"/>
    </row>
    <row r="22" spans="2:27" ht="31.5">
      <c r="B22" s="595"/>
      <c r="C22" s="596"/>
      <c r="D22" s="596"/>
      <c r="E22" s="596"/>
      <c r="F22" s="596"/>
      <c r="G22" s="596"/>
      <c r="H22" s="596"/>
      <c r="I22" s="596"/>
      <c r="J22" s="596"/>
      <c r="K22" s="596"/>
      <c r="L22" s="597"/>
      <c r="N22" s="712" t="s">
        <v>3699</v>
      </c>
      <c r="O22" s="712"/>
      <c r="P22" s="712"/>
      <c r="Q22" s="712"/>
      <c r="R22" s="712"/>
      <c r="S22" s="712"/>
      <c r="T22" s="712"/>
      <c r="V22"/>
      <c r="W22"/>
      <c r="Y22"/>
      <c r="Z22"/>
      <c r="AA22"/>
    </row>
    <row r="23" spans="2:27" ht="36">
      <c r="B23" s="595"/>
      <c r="C23" s="596"/>
      <c r="D23" s="596"/>
      <c r="E23" s="596"/>
      <c r="F23" s="596"/>
      <c r="G23" s="596"/>
      <c r="H23" s="596"/>
      <c r="I23" s="596"/>
      <c r="J23" s="596"/>
      <c r="K23" s="596"/>
      <c r="L23" s="597"/>
      <c r="N23" s="456" t="s">
        <v>10</v>
      </c>
      <c r="O23" s="386" t="s">
        <v>92</v>
      </c>
      <c r="P23" s="711" t="s">
        <v>3700</v>
      </c>
      <c r="Q23" s="711"/>
      <c r="R23" s="711"/>
      <c r="S23" s="711"/>
      <c r="T23" s="711"/>
      <c r="W23" s="507"/>
      <c r="Y23"/>
      <c r="Z23"/>
      <c r="AA23"/>
    </row>
    <row r="24" spans="2:27" ht="21">
      <c r="B24" s="595"/>
      <c r="C24" s="596"/>
      <c r="D24" s="596"/>
      <c r="E24" s="596"/>
      <c r="F24" s="596"/>
      <c r="G24" s="596"/>
      <c r="H24" s="596"/>
      <c r="I24" s="596"/>
      <c r="J24" s="596"/>
      <c r="K24" s="596"/>
      <c r="L24" s="597"/>
      <c r="O24" s="107"/>
      <c r="R24" s="529">
        <f>+SUM(R26:R45)</f>
        <v>1.2000000000000002</v>
      </c>
      <c r="V24" s="622" t="s">
        <v>3666</v>
      </c>
      <c r="W24" s="623" t="s">
        <v>3664</v>
      </c>
      <c r="Y24"/>
      <c r="Z24"/>
    </row>
    <row r="25" spans="2:27" ht="15.75">
      <c r="B25" s="595"/>
      <c r="C25" s="596"/>
      <c r="D25" s="596"/>
      <c r="E25" s="596"/>
      <c r="F25" s="596"/>
      <c r="G25" s="596"/>
      <c r="H25" s="596"/>
      <c r="I25" s="596"/>
      <c r="J25" s="596"/>
      <c r="K25" s="596"/>
      <c r="L25" s="597"/>
      <c r="N25" s="627" t="s">
        <v>3666</v>
      </c>
      <c r="O25" s="628" t="s">
        <v>3664</v>
      </c>
      <c r="P25" s="518" t="s">
        <v>3698</v>
      </c>
      <c r="Q25" s="519" t="s">
        <v>3701</v>
      </c>
      <c r="R25" s="520" t="s">
        <v>3696</v>
      </c>
      <c r="S25" s="520" t="s">
        <v>3702</v>
      </c>
      <c r="T25" s="521" t="s">
        <v>3703</v>
      </c>
      <c r="V25" s="508" t="s">
        <v>92</v>
      </c>
      <c r="W25" s="509">
        <v>0.05</v>
      </c>
    </row>
    <row r="26" spans="2:27">
      <c r="B26" s="595"/>
      <c r="C26" s="596"/>
      <c r="D26" s="596"/>
      <c r="E26" s="596"/>
      <c r="F26" s="596"/>
      <c r="G26" s="596"/>
      <c r="H26" s="596"/>
      <c r="I26" s="596"/>
      <c r="J26" s="596"/>
      <c r="K26" s="596"/>
      <c r="L26" s="597"/>
      <c r="N26" s="418" t="s">
        <v>24</v>
      </c>
      <c r="O26" s="479">
        <v>1.6666666666666666E-2</v>
      </c>
      <c r="P26" s="527" t="str">
        <f>IF(ISBLANK(N26),"",N26)</f>
        <v>EMP. SACMI</v>
      </c>
      <c r="Q26" s="479">
        <f>IF(ISBLANK(O26),"",O26)</f>
        <v>1.6666666666666666E-2</v>
      </c>
      <c r="R26" s="486">
        <f>IF(ISBLANK(O26),"",(O26*24))</f>
        <v>0.4</v>
      </c>
      <c r="S26" s="516">
        <f>IFERROR(R26/$R$24,"")</f>
        <v>0.33333333333333331</v>
      </c>
      <c r="T26" s="517">
        <f>IFERROR(S26,"")</f>
        <v>0.33333333333333331</v>
      </c>
      <c r="V26" s="508" t="s">
        <v>157</v>
      </c>
      <c r="W26" s="509">
        <v>0.10277777777777777</v>
      </c>
      <c r="X26" s="531">
        <f>+X28+X29</f>
        <v>3.666666666666667</v>
      </c>
      <c r="Y26"/>
    </row>
    <row r="27" spans="2:27">
      <c r="B27" s="595"/>
      <c r="C27" s="596"/>
      <c r="D27" s="596"/>
      <c r="E27" s="596"/>
      <c r="F27" s="596"/>
      <c r="G27" s="596"/>
      <c r="H27" s="596"/>
      <c r="I27" s="596"/>
      <c r="J27" s="596"/>
      <c r="K27" s="596"/>
      <c r="L27" s="597"/>
      <c r="N27" s="418" t="s">
        <v>331</v>
      </c>
      <c r="O27" s="479">
        <v>1.2500000000000001E-2</v>
      </c>
      <c r="P27" s="527" t="str">
        <f t="shared" ref="P27:Q45" si="0">IF(ISBLANK(N27),"",N27)</f>
        <v>CORTADORA DE TURRON</v>
      </c>
      <c r="Q27" s="479">
        <f t="shared" si="0"/>
        <v>1.2500000000000001E-2</v>
      </c>
      <c r="R27" s="486">
        <f t="shared" ref="R27:R45" si="1">IF(ISBLANK(O27),"",(O27*24))</f>
        <v>0.30000000000000004</v>
      </c>
      <c r="S27" s="516">
        <f t="shared" ref="S27:S45" si="2">IFERROR(R27/$R$24,"")</f>
        <v>0.25</v>
      </c>
      <c r="T27" s="517">
        <f>IFERROR(T26+S27,"")</f>
        <v>0.58333333333333326</v>
      </c>
      <c r="V27"/>
      <c r="W27"/>
      <c r="X27" s="530" t="s">
        <v>3704</v>
      </c>
      <c r="Y27" s="530" t="s">
        <v>3705</v>
      </c>
    </row>
    <row r="28" spans="2:27">
      <c r="B28" s="595"/>
      <c r="C28" s="596"/>
      <c r="D28" s="596"/>
      <c r="E28" s="596"/>
      <c r="F28" s="596"/>
      <c r="G28" s="596"/>
      <c r="H28" s="596"/>
      <c r="I28" s="596"/>
      <c r="J28" s="596"/>
      <c r="K28" s="596"/>
      <c r="L28" s="597"/>
      <c r="N28" s="418" t="s">
        <v>508</v>
      </c>
      <c r="O28" s="479">
        <v>1.0416666666666666E-2</v>
      </c>
      <c r="P28" s="527" t="str">
        <f t="shared" si="0"/>
        <v>TEMPERADORA CHOCOLATIER</v>
      </c>
      <c r="Q28" s="479">
        <f t="shared" si="0"/>
        <v>1.0416666666666666E-2</v>
      </c>
      <c r="R28" s="486">
        <f t="shared" si="1"/>
        <v>0.25</v>
      </c>
      <c r="S28" s="516">
        <f t="shared" si="2"/>
        <v>0.20833333333333331</v>
      </c>
      <c r="T28" s="517">
        <f t="shared" ref="T28:T45" si="3">IFERROR(T27+S28,"")</f>
        <v>0.79166666666666652</v>
      </c>
      <c r="V28" s="508" t="s">
        <v>92</v>
      </c>
      <c r="W28" s="383">
        <f>+VLOOKUP(V28,V24:W26,2,FALSE)</f>
        <v>0.05</v>
      </c>
      <c r="X28" s="486">
        <f>+W25*24</f>
        <v>1.2000000000000002</v>
      </c>
      <c r="Y28" s="532">
        <f>+X28/$X$26</f>
        <v>0.32727272727272727</v>
      </c>
    </row>
    <row r="29" spans="2:27">
      <c r="B29" s="595"/>
      <c r="C29" s="596"/>
      <c r="D29" s="596"/>
      <c r="E29" s="596"/>
      <c r="F29" s="596"/>
      <c r="G29" s="596"/>
      <c r="H29" s="596"/>
      <c r="I29" s="596"/>
      <c r="J29" s="596"/>
      <c r="K29" s="596"/>
      <c r="L29" s="597"/>
      <c r="N29" s="418" t="s">
        <v>222</v>
      </c>
      <c r="O29" s="479">
        <v>1.0416666666666666E-2</v>
      </c>
      <c r="P29" s="527" t="str">
        <f t="shared" si="0"/>
        <v>RAYOS X 2</v>
      </c>
      <c r="Q29" s="479">
        <f t="shared" si="0"/>
        <v>1.0416666666666666E-2</v>
      </c>
      <c r="R29" s="486">
        <f t="shared" si="1"/>
        <v>0.25</v>
      </c>
      <c r="S29" s="516">
        <f t="shared" si="2"/>
        <v>0.20833333333333331</v>
      </c>
      <c r="T29" s="517">
        <f t="shared" si="3"/>
        <v>0.99999999999999978</v>
      </c>
      <c r="V29" s="508" t="s">
        <v>157</v>
      </c>
      <c r="W29" s="383">
        <f>+VLOOKUP(V29,V25:W27,2,FALSE)</f>
        <v>0.10277777777777777</v>
      </c>
      <c r="X29" s="486">
        <f>+W26*24</f>
        <v>2.4666666666666668</v>
      </c>
      <c r="Y29" s="532">
        <f>+X29/$X$26</f>
        <v>0.67272727272727273</v>
      </c>
    </row>
    <row r="30" spans="2:27">
      <c r="B30" s="595"/>
      <c r="C30" s="596"/>
      <c r="D30" s="596"/>
      <c r="E30" s="596"/>
      <c r="F30" s="596"/>
      <c r="G30" s="596"/>
      <c r="H30" s="596"/>
      <c r="I30" s="596"/>
      <c r="J30" s="596"/>
      <c r="K30" s="596"/>
      <c r="L30" s="597"/>
      <c r="P30" s="527" t="str">
        <f t="shared" si="0"/>
        <v/>
      </c>
      <c r="Q30" s="479" t="str">
        <f t="shared" si="0"/>
        <v/>
      </c>
      <c r="R30" s="486" t="str">
        <f t="shared" si="1"/>
        <v/>
      </c>
      <c r="S30" s="516" t="str">
        <f t="shared" si="2"/>
        <v/>
      </c>
      <c r="T30" s="517" t="str">
        <f t="shared" si="3"/>
        <v/>
      </c>
      <c r="V30"/>
      <c r="W30"/>
    </row>
    <row r="31" spans="2:27">
      <c r="B31" s="595"/>
      <c r="C31" s="596"/>
      <c r="D31" s="596"/>
      <c r="E31" s="596"/>
      <c r="F31" s="596"/>
      <c r="G31" s="596"/>
      <c r="H31" s="596"/>
      <c r="I31" s="596"/>
      <c r="J31" s="596"/>
      <c r="K31" s="596"/>
      <c r="L31" s="597"/>
      <c r="P31" s="527" t="str">
        <f t="shared" si="0"/>
        <v/>
      </c>
      <c r="Q31" s="479" t="str">
        <f t="shared" si="0"/>
        <v/>
      </c>
      <c r="R31" s="486" t="str">
        <f t="shared" si="1"/>
        <v/>
      </c>
      <c r="S31" s="516" t="str">
        <f t="shared" si="2"/>
        <v/>
      </c>
      <c r="T31" s="517" t="str">
        <f t="shared" si="3"/>
        <v/>
      </c>
    </row>
    <row r="32" spans="2:27">
      <c r="B32" s="595"/>
      <c r="C32" s="596"/>
      <c r="D32" s="596"/>
      <c r="E32" s="596"/>
      <c r="F32" s="596"/>
      <c r="G32" s="596"/>
      <c r="H32" s="596"/>
      <c r="I32" s="596"/>
      <c r="J32" s="596"/>
      <c r="K32" s="596"/>
      <c r="L32" s="597"/>
      <c r="P32" s="527" t="str">
        <f t="shared" si="0"/>
        <v/>
      </c>
      <c r="Q32" s="479" t="str">
        <f t="shared" si="0"/>
        <v/>
      </c>
      <c r="R32" s="486" t="str">
        <f t="shared" si="1"/>
        <v/>
      </c>
      <c r="S32" s="516" t="str">
        <f t="shared" si="2"/>
        <v/>
      </c>
      <c r="T32" s="517" t="str">
        <f t="shared" si="3"/>
        <v/>
      </c>
      <c r="V32" s="629" t="s">
        <v>3666</v>
      </c>
      <c r="W32" s="623" t="s">
        <v>3664</v>
      </c>
    </row>
    <row r="33" spans="2:25">
      <c r="B33" s="595"/>
      <c r="C33" s="596"/>
      <c r="D33" s="596"/>
      <c r="E33" s="596"/>
      <c r="F33" s="596"/>
      <c r="G33" s="596"/>
      <c r="H33" s="596"/>
      <c r="I33" s="596"/>
      <c r="J33" s="596"/>
      <c r="K33" s="596"/>
      <c r="L33" s="597"/>
      <c r="P33" s="527" t="str">
        <f t="shared" si="0"/>
        <v/>
      </c>
      <c r="Q33" s="479" t="str">
        <f t="shared" si="0"/>
        <v/>
      </c>
      <c r="R33" s="486" t="str">
        <f t="shared" si="1"/>
        <v/>
      </c>
      <c r="S33" s="516" t="str">
        <f t="shared" si="2"/>
        <v/>
      </c>
      <c r="T33" s="517" t="str">
        <f t="shared" si="3"/>
        <v/>
      </c>
      <c r="V33" s="506" t="s">
        <v>148</v>
      </c>
      <c r="W33" s="509">
        <v>1.0416666666666666E-2</v>
      </c>
    </row>
    <row r="34" spans="2:25">
      <c r="B34" s="595"/>
      <c r="C34" s="596"/>
      <c r="D34" s="596"/>
      <c r="E34" s="596"/>
      <c r="F34" s="596"/>
      <c r="G34" s="596"/>
      <c r="H34" s="596"/>
      <c r="I34" s="596"/>
      <c r="J34" s="596"/>
      <c r="K34" s="596"/>
      <c r="L34" s="597"/>
      <c r="P34" s="527" t="str">
        <f t="shared" si="0"/>
        <v/>
      </c>
      <c r="Q34" s="479" t="str">
        <f t="shared" si="0"/>
        <v/>
      </c>
      <c r="R34" s="486" t="str">
        <f t="shared" si="1"/>
        <v/>
      </c>
      <c r="S34" s="516" t="str">
        <f t="shared" si="2"/>
        <v/>
      </c>
      <c r="T34" s="517" t="str">
        <f t="shared" si="3"/>
        <v/>
      </c>
      <c r="V34" s="506" t="s">
        <v>93</v>
      </c>
      <c r="W34" s="509">
        <v>3.9583333333333331E-2</v>
      </c>
      <c r="X34" s="531">
        <f>+X36+X37</f>
        <v>1.2</v>
      </c>
      <c r="Y34"/>
    </row>
    <row r="35" spans="2:25">
      <c r="B35" s="595"/>
      <c r="C35" s="596"/>
      <c r="D35" s="596"/>
      <c r="E35" s="596"/>
      <c r="F35" s="596"/>
      <c r="G35" s="596"/>
      <c r="H35" s="596"/>
      <c r="I35" s="596"/>
      <c r="J35" s="596"/>
      <c r="K35" s="596"/>
      <c r="L35" s="597"/>
      <c r="P35" s="527" t="str">
        <f t="shared" si="0"/>
        <v/>
      </c>
      <c r="Q35" s="479" t="str">
        <f t="shared" si="0"/>
        <v/>
      </c>
      <c r="R35" s="486" t="str">
        <f t="shared" si="1"/>
        <v/>
      </c>
      <c r="S35" s="516" t="str">
        <f t="shared" si="2"/>
        <v/>
      </c>
      <c r="T35" s="517" t="str">
        <f t="shared" si="3"/>
        <v/>
      </c>
      <c r="V35" s="506" t="s">
        <v>3706</v>
      </c>
      <c r="W35" s="509">
        <v>0.13402777777777777</v>
      </c>
      <c r="X35" s="530" t="s">
        <v>3704</v>
      </c>
      <c r="Y35" s="530" t="s">
        <v>3705</v>
      </c>
    </row>
    <row r="36" spans="2:25">
      <c r="B36" s="595"/>
      <c r="C36" s="596"/>
      <c r="D36" s="596"/>
      <c r="E36" s="596"/>
      <c r="F36" s="596"/>
      <c r="G36" s="596"/>
      <c r="H36" s="596"/>
      <c r="I36" s="596"/>
      <c r="J36" s="596"/>
      <c r="K36" s="596"/>
      <c r="L36" s="597"/>
      <c r="P36" s="527" t="str">
        <f t="shared" si="0"/>
        <v/>
      </c>
      <c r="Q36" s="479" t="str">
        <f t="shared" si="0"/>
        <v/>
      </c>
      <c r="R36" s="486" t="str">
        <f t="shared" si="1"/>
        <v/>
      </c>
      <c r="S36" s="516" t="str">
        <f t="shared" si="2"/>
        <v/>
      </c>
      <c r="T36" s="517" t="str">
        <f t="shared" si="3"/>
        <v/>
      </c>
      <c r="V36" s="506" t="s">
        <v>148</v>
      </c>
      <c r="W36" s="383">
        <f>+VLOOKUP(V36,V32:W34,2,FALSE)</f>
        <v>1.0416666666666666E-2</v>
      </c>
      <c r="X36" s="486">
        <f>+W33*24</f>
        <v>0.25</v>
      </c>
      <c r="Y36" s="532">
        <f>+X36/$X$34</f>
        <v>0.20833333333333334</v>
      </c>
    </row>
    <row r="37" spans="2:25">
      <c r="B37" s="595"/>
      <c r="C37" s="596"/>
      <c r="D37" s="596"/>
      <c r="E37" s="596"/>
      <c r="F37" s="596"/>
      <c r="G37" s="596"/>
      <c r="H37" s="596"/>
      <c r="I37" s="596"/>
      <c r="J37" s="596"/>
      <c r="K37" s="596"/>
      <c r="L37" s="597"/>
      <c r="P37" s="527" t="str">
        <f t="shared" si="0"/>
        <v/>
      </c>
      <c r="Q37" s="479" t="str">
        <f t="shared" si="0"/>
        <v/>
      </c>
      <c r="R37" s="486" t="str">
        <f t="shared" si="1"/>
        <v/>
      </c>
      <c r="S37" s="516" t="str">
        <f t="shared" si="2"/>
        <v/>
      </c>
      <c r="T37" s="517" t="str">
        <f t="shared" si="3"/>
        <v/>
      </c>
      <c r="V37" s="506" t="s">
        <v>93</v>
      </c>
      <c r="W37" s="383">
        <f>+VLOOKUP(V37,V33:W35,2,FALSE)</f>
        <v>3.9583333333333331E-2</v>
      </c>
      <c r="X37" s="486">
        <f>+W34*24</f>
        <v>0.95</v>
      </c>
      <c r="Y37" s="532">
        <f>+X37/$X$34</f>
        <v>0.79166666666666663</v>
      </c>
    </row>
    <row r="38" spans="2:25">
      <c r="B38" s="595"/>
      <c r="C38" s="596"/>
      <c r="D38" s="596"/>
      <c r="E38" s="596"/>
      <c r="F38" s="596"/>
      <c r="G38" s="596"/>
      <c r="H38" s="596"/>
      <c r="I38" s="596"/>
      <c r="J38" s="596"/>
      <c r="K38" s="596"/>
      <c r="L38" s="597"/>
      <c r="P38" s="527" t="str">
        <f t="shared" si="0"/>
        <v/>
      </c>
      <c r="Q38" s="479" t="str">
        <f t="shared" si="0"/>
        <v/>
      </c>
      <c r="R38" s="486" t="str">
        <f t="shared" si="1"/>
        <v/>
      </c>
      <c r="S38" s="516" t="str">
        <f t="shared" si="2"/>
        <v/>
      </c>
      <c r="T38" s="517" t="str">
        <f t="shared" si="3"/>
        <v/>
      </c>
    </row>
    <row r="39" spans="2:25">
      <c r="B39" s="595"/>
      <c r="C39" s="596"/>
      <c r="D39" s="596"/>
      <c r="E39" s="596"/>
      <c r="F39" s="596"/>
      <c r="G39" s="596"/>
      <c r="H39" s="596"/>
      <c r="I39" s="596"/>
      <c r="J39" s="596"/>
      <c r="K39" s="596"/>
      <c r="L39" s="597"/>
      <c r="P39" s="527" t="str">
        <f t="shared" si="0"/>
        <v/>
      </c>
      <c r="Q39" s="479" t="str">
        <f t="shared" si="0"/>
        <v/>
      </c>
      <c r="R39" s="486" t="str">
        <f t="shared" si="1"/>
        <v/>
      </c>
      <c r="S39" s="516" t="str">
        <f t="shared" si="2"/>
        <v/>
      </c>
      <c r="T39" s="517" t="str">
        <f t="shared" si="3"/>
        <v/>
      </c>
    </row>
    <row r="40" spans="2:25">
      <c r="B40" s="595"/>
      <c r="C40" s="596"/>
      <c r="D40" s="596"/>
      <c r="E40" s="596"/>
      <c r="F40" s="596"/>
      <c r="G40" s="596"/>
      <c r="H40" s="596"/>
      <c r="I40" s="596"/>
      <c r="J40" s="596"/>
      <c r="K40" s="596"/>
      <c r="L40" s="597"/>
      <c r="P40" s="527" t="str">
        <f t="shared" si="0"/>
        <v/>
      </c>
      <c r="Q40" s="479" t="str">
        <f t="shared" si="0"/>
        <v/>
      </c>
      <c r="R40" s="486" t="str">
        <f t="shared" si="1"/>
        <v/>
      </c>
      <c r="S40" s="516" t="str">
        <f t="shared" si="2"/>
        <v/>
      </c>
      <c r="T40" s="517" t="str">
        <f t="shared" si="3"/>
        <v/>
      </c>
    </row>
    <row r="41" spans="2:25">
      <c r="B41" s="595"/>
      <c r="C41" s="596"/>
      <c r="D41" s="596"/>
      <c r="E41" s="596"/>
      <c r="F41" s="596"/>
      <c r="G41" s="596"/>
      <c r="H41" s="596"/>
      <c r="I41" s="596"/>
      <c r="J41" s="596"/>
      <c r="K41" s="596"/>
      <c r="L41" s="597"/>
      <c r="O41" s="107"/>
      <c r="P41" s="527" t="str">
        <f t="shared" si="0"/>
        <v/>
      </c>
      <c r="Q41" s="479" t="str">
        <f t="shared" si="0"/>
        <v/>
      </c>
      <c r="R41" s="486" t="str">
        <f t="shared" si="1"/>
        <v/>
      </c>
      <c r="S41" s="516" t="str">
        <f t="shared" si="2"/>
        <v/>
      </c>
      <c r="T41" s="517" t="str">
        <f t="shared" si="3"/>
        <v/>
      </c>
    </row>
    <row r="42" spans="2:25">
      <c r="B42" s="595"/>
      <c r="C42" s="596"/>
      <c r="D42" s="596"/>
      <c r="E42" s="596"/>
      <c r="F42" s="596"/>
      <c r="G42" s="596"/>
      <c r="H42" s="596"/>
      <c r="I42" s="596"/>
      <c r="J42" s="596"/>
      <c r="K42" s="596"/>
      <c r="L42" s="597"/>
      <c r="O42" s="107"/>
      <c r="P42" s="527" t="str">
        <f t="shared" si="0"/>
        <v/>
      </c>
      <c r="Q42" s="479" t="str">
        <f t="shared" si="0"/>
        <v/>
      </c>
      <c r="R42" s="486" t="str">
        <f t="shared" si="1"/>
        <v/>
      </c>
      <c r="S42" s="516" t="str">
        <f t="shared" si="2"/>
        <v/>
      </c>
      <c r="T42" s="517" t="str">
        <f t="shared" si="3"/>
        <v/>
      </c>
    </row>
    <row r="43" spans="2:25">
      <c r="B43" s="595"/>
      <c r="C43" s="596"/>
      <c r="D43" s="596"/>
      <c r="E43" s="596"/>
      <c r="F43" s="596"/>
      <c r="G43" s="596"/>
      <c r="H43" s="596"/>
      <c r="I43" s="596"/>
      <c r="J43" s="596"/>
      <c r="K43" s="596"/>
      <c r="L43" s="597"/>
      <c r="O43" s="107"/>
      <c r="P43" s="527" t="str">
        <f t="shared" si="0"/>
        <v/>
      </c>
      <c r="Q43" s="479" t="str">
        <f t="shared" si="0"/>
        <v/>
      </c>
      <c r="R43" s="486" t="str">
        <f t="shared" si="1"/>
        <v/>
      </c>
      <c r="S43" s="516" t="str">
        <f t="shared" si="2"/>
        <v/>
      </c>
      <c r="T43" s="517" t="str">
        <f t="shared" si="3"/>
        <v/>
      </c>
    </row>
    <row r="44" spans="2:25">
      <c r="B44" s="595"/>
      <c r="C44" s="596"/>
      <c r="D44" s="596"/>
      <c r="E44" s="596"/>
      <c r="F44" s="596"/>
      <c r="G44" s="596"/>
      <c r="H44" s="596"/>
      <c r="I44" s="596"/>
      <c r="J44" s="596"/>
      <c r="K44" s="596"/>
      <c r="L44" s="597"/>
      <c r="O44" s="107"/>
      <c r="P44" s="527" t="str">
        <f t="shared" si="0"/>
        <v/>
      </c>
      <c r="Q44" s="479" t="str">
        <f t="shared" si="0"/>
        <v/>
      </c>
      <c r="R44" s="486" t="str">
        <f t="shared" si="1"/>
        <v/>
      </c>
      <c r="S44" s="516" t="str">
        <f t="shared" si="2"/>
        <v/>
      </c>
      <c r="T44" s="517" t="str">
        <f t="shared" si="3"/>
        <v/>
      </c>
    </row>
    <row r="45" spans="2:25">
      <c r="B45" s="595"/>
      <c r="C45" s="596"/>
      <c r="D45" s="596"/>
      <c r="E45" s="596"/>
      <c r="F45" s="596"/>
      <c r="G45" s="596"/>
      <c r="H45" s="596"/>
      <c r="I45" s="596"/>
      <c r="J45" s="596"/>
      <c r="K45" s="596"/>
      <c r="L45" s="597"/>
      <c r="O45" s="107"/>
      <c r="P45" s="528" t="str">
        <f t="shared" si="0"/>
        <v/>
      </c>
      <c r="Q45" s="522" t="str">
        <f t="shared" si="0"/>
        <v/>
      </c>
      <c r="R45" s="523" t="str">
        <f t="shared" si="1"/>
        <v/>
      </c>
      <c r="S45" s="524" t="str">
        <f t="shared" si="2"/>
        <v/>
      </c>
      <c r="T45" s="525" t="str">
        <f t="shared" si="3"/>
        <v/>
      </c>
    </row>
    <row r="46" spans="2:25" ht="36" customHeight="1">
      <c r="B46" s="595"/>
      <c r="C46" s="596"/>
      <c r="D46" s="596"/>
      <c r="E46" s="596"/>
      <c r="F46" s="596"/>
      <c r="G46" s="596"/>
      <c r="H46" s="596"/>
      <c r="I46" s="596"/>
      <c r="J46" s="596"/>
      <c r="K46" s="596"/>
      <c r="L46" s="597"/>
      <c r="N46" s="713" t="s">
        <v>3707</v>
      </c>
      <c r="O46" s="713"/>
      <c r="P46" s="713"/>
      <c r="Q46" s="713"/>
      <c r="R46" s="713"/>
      <c r="S46" s="713"/>
      <c r="T46" s="713"/>
    </row>
    <row r="47" spans="2:25">
      <c r="B47" s="595"/>
      <c r="C47" s="596"/>
      <c r="D47" s="596"/>
      <c r="E47" s="596"/>
      <c r="F47" s="596"/>
      <c r="G47" s="596"/>
      <c r="H47" s="596"/>
      <c r="I47" s="596"/>
      <c r="J47" s="596"/>
      <c r="K47" s="596"/>
      <c r="L47" s="597"/>
      <c r="O47" s="107"/>
    </row>
    <row r="48" spans="2:25">
      <c r="B48" s="595"/>
      <c r="C48" s="596"/>
      <c r="D48" s="596"/>
      <c r="E48" s="596"/>
      <c r="F48" s="596"/>
      <c r="G48" s="596"/>
      <c r="H48" s="596"/>
      <c r="I48" s="596"/>
      <c r="J48" s="596"/>
      <c r="K48" s="596"/>
      <c r="L48" s="597"/>
      <c r="O48" s="107"/>
    </row>
    <row r="49" spans="2:19">
      <c r="B49" s="595"/>
      <c r="C49" s="596"/>
      <c r="D49" s="596"/>
      <c r="E49" s="596"/>
      <c r="F49" s="596"/>
      <c r="G49" s="596"/>
      <c r="H49" s="596"/>
      <c r="I49" s="596"/>
      <c r="J49" s="596"/>
      <c r="K49" s="596"/>
      <c r="L49" s="597"/>
      <c r="N49" s="456" t="s">
        <v>10</v>
      </c>
      <c r="O49" s="386" t="s">
        <v>3678</v>
      </c>
      <c r="Q49" s="456" t="s">
        <v>10</v>
      </c>
      <c r="R49" s="386" t="s">
        <v>3678</v>
      </c>
    </row>
    <row r="50" spans="2:19">
      <c r="B50" s="595"/>
      <c r="C50" s="596"/>
      <c r="D50" s="596"/>
      <c r="E50" s="596"/>
      <c r="F50" s="596"/>
      <c r="G50" s="596"/>
      <c r="H50" s="596"/>
      <c r="I50" s="596"/>
      <c r="J50" s="596"/>
      <c r="K50" s="596"/>
      <c r="L50" s="597"/>
      <c r="O50" s="107"/>
      <c r="R50" s="107"/>
    </row>
    <row r="51" spans="2:19" ht="15.75">
      <c r="B51" s="595"/>
      <c r="C51" s="596"/>
      <c r="D51" s="596"/>
      <c r="E51" s="596"/>
      <c r="F51" s="596"/>
      <c r="G51" s="596"/>
      <c r="H51" s="596"/>
      <c r="I51" s="596"/>
      <c r="J51" s="596"/>
      <c r="K51" s="596"/>
      <c r="L51" s="597"/>
      <c r="N51" s="626" t="s">
        <v>3666</v>
      </c>
      <c r="O51" s="628" t="s">
        <v>3664</v>
      </c>
      <c r="Q51" s="626" t="s">
        <v>3666</v>
      </c>
      <c r="R51" s="628" t="s">
        <v>3664</v>
      </c>
    </row>
    <row r="52" spans="2:19">
      <c r="B52" s="595"/>
      <c r="C52" s="596"/>
      <c r="D52" s="596"/>
      <c r="E52" s="596"/>
      <c r="F52" s="596"/>
      <c r="G52" s="596"/>
      <c r="H52" s="596"/>
      <c r="I52" s="596"/>
      <c r="J52" s="596"/>
      <c r="K52" s="596"/>
      <c r="L52" s="597"/>
      <c r="N52" s="418" t="s">
        <v>43</v>
      </c>
      <c r="O52" s="479">
        <v>1.0416666666666666E-2</v>
      </c>
      <c r="Q52" s="418" t="s">
        <v>36</v>
      </c>
      <c r="R52" s="479">
        <v>0.15277777777777779</v>
      </c>
    </row>
    <row r="53" spans="2:19">
      <c r="B53" s="595"/>
      <c r="C53" s="596"/>
      <c r="D53" s="596"/>
      <c r="E53" s="596"/>
      <c r="F53" s="596"/>
      <c r="G53" s="596"/>
      <c r="H53" s="596"/>
      <c r="I53" s="596"/>
      <c r="J53" s="596"/>
      <c r="K53" s="596"/>
      <c r="L53" s="597"/>
      <c r="N53" s="418" t="s">
        <v>57</v>
      </c>
      <c r="O53" s="479">
        <v>1.0416666666666666E-2</v>
      </c>
    </row>
    <row r="54" spans="2:19">
      <c r="B54" s="595"/>
      <c r="C54" s="596"/>
      <c r="D54" s="596"/>
      <c r="E54" s="596"/>
      <c r="F54" s="596"/>
      <c r="G54" s="596"/>
      <c r="H54" s="596"/>
      <c r="I54" s="596"/>
      <c r="J54" s="596"/>
      <c r="K54" s="596"/>
      <c r="L54" s="597"/>
      <c r="N54" s="418" t="s">
        <v>32</v>
      </c>
      <c r="O54" s="479">
        <v>1.0416666666666666E-2</v>
      </c>
    </row>
    <row r="55" spans="2:19">
      <c r="B55" s="595"/>
      <c r="C55" s="596"/>
      <c r="D55" s="596"/>
      <c r="E55" s="596"/>
      <c r="F55" s="596"/>
      <c r="G55" s="596"/>
      <c r="H55" s="596"/>
      <c r="I55" s="596"/>
      <c r="J55" s="596"/>
      <c r="K55" s="596"/>
      <c r="L55" s="597"/>
      <c r="N55" s="418" t="s">
        <v>405</v>
      </c>
      <c r="O55" s="479">
        <v>1.1805555555555555E-2</v>
      </c>
      <c r="R55" s="495">
        <f>+SUM(R56:R58)</f>
        <v>3.666666666666667</v>
      </c>
    </row>
    <row r="56" spans="2:19">
      <c r="B56" s="595"/>
      <c r="C56" s="596"/>
      <c r="D56" s="596"/>
      <c r="E56" s="596"/>
      <c r="F56" s="596"/>
      <c r="G56" s="596"/>
      <c r="H56" s="596"/>
      <c r="I56" s="596"/>
      <c r="J56" s="596"/>
      <c r="K56" s="596"/>
      <c r="L56" s="597"/>
      <c r="N56" s="418" t="s">
        <v>245</v>
      </c>
      <c r="O56" s="479">
        <v>1.2500000000000001E-2</v>
      </c>
      <c r="Q56" s="386" t="s">
        <v>36</v>
      </c>
      <c r="R56" s="495">
        <f>IFERROR(VLOOKUP(Q56,$Q$51:$R$54,2,FALSE),0)*24</f>
        <v>3.666666666666667</v>
      </c>
      <c r="S56" s="533">
        <f>+R56/$R$55</f>
        <v>1</v>
      </c>
    </row>
    <row r="57" spans="2:19">
      <c r="B57" s="595"/>
      <c r="C57" s="596"/>
      <c r="D57" s="596"/>
      <c r="E57" s="596"/>
      <c r="F57" s="596"/>
      <c r="G57" s="596"/>
      <c r="H57" s="596"/>
      <c r="I57" s="596"/>
      <c r="J57" s="596"/>
      <c r="K57" s="596"/>
      <c r="L57" s="597"/>
      <c r="N57" s="418" t="s">
        <v>186</v>
      </c>
      <c r="O57" s="479">
        <v>1.6666666666666666E-2</v>
      </c>
      <c r="Q57" s="386" t="s">
        <v>23</v>
      </c>
      <c r="R57" s="495">
        <f>IFERROR(VLOOKUP(Q57,$Q$51:$R$54,2,FALSE),0)*24</f>
        <v>0</v>
      </c>
      <c r="S57" s="533">
        <f>+R57/$R$55</f>
        <v>0</v>
      </c>
    </row>
    <row r="58" spans="2:19">
      <c r="B58" s="595"/>
      <c r="C58" s="596"/>
      <c r="D58" s="596"/>
      <c r="E58" s="596"/>
      <c r="F58" s="596"/>
      <c r="G58" s="596"/>
      <c r="H58" s="596"/>
      <c r="I58" s="596"/>
      <c r="J58" s="596"/>
      <c r="K58" s="596"/>
      <c r="L58" s="597"/>
      <c r="N58" s="418" t="s">
        <v>54</v>
      </c>
      <c r="O58" s="479">
        <v>8.0555555555555561E-2</v>
      </c>
      <c r="Q58" s="386" t="s">
        <v>39</v>
      </c>
      <c r="R58" s="495">
        <f>IFERROR(VLOOKUP(Q58,$Q$51:$R$54,2,FALSE),0)*24</f>
        <v>0</v>
      </c>
      <c r="S58" s="533">
        <f>+R58/$R$55</f>
        <v>0</v>
      </c>
    </row>
    <row r="59" spans="2:19">
      <c r="B59" s="595"/>
      <c r="C59" s="596"/>
      <c r="D59" s="596"/>
      <c r="E59" s="596"/>
      <c r="F59" s="596"/>
      <c r="G59" s="596"/>
      <c r="H59" s="596"/>
      <c r="I59" s="596"/>
      <c r="J59" s="596"/>
      <c r="K59" s="596"/>
      <c r="L59" s="597"/>
    </row>
    <row r="60" spans="2:19">
      <c r="B60" s="595"/>
      <c r="C60" s="596"/>
      <c r="D60" s="596"/>
      <c r="E60" s="596"/>
      <c r="F60" s="596"/>
      <c r="G60" s="596"/>
      <c r="H60" s="596"/>
      <c r="I60" s="596"/>
      <c r="J60" s="596"/>
      <c r="K60" s="596"/>
      <c r="L60" s="597"/>
    </row>
    <row r="61" spans="2:19">
      <c r="B61" s="595"/>
      <c r="C61" s="596"/>
      <c r="D61" s="596"/>
      <c r="E61" s="596"/>
      <c r="F61" s="596"/>
      <c r="G61" s="596"/>
      <c r="H61" s="596"/>
      <c r="I61" s="596"/>
      <c r="J61" s="596"/>
      <c r="K61" s="596"/>
      <c r="L61" s="597"/>
      <c r="P61" s="107"/>
    </row>
    <row r="62" spans="2:19">
      <c r="B62" s="595"/>
      <c r="C62" s="596"/>
      <c r="D62" s="596"/>
      <c r="E62" s="596"/>
      <c r="F62" s="596"/>
      <c r="G62" s="596"/>
      <c r="H62" s="596"/>
      <c r="I62" s="596"/>
      <c r="J62" s="596"/>
      <c r="K62" s="596"/>
      <c r="L62" s="597"/>
      <c r="O62" s="107"/>
    </row>
    <row r="63" spans="2:19">
      <c r="B63" s="595"/>
      <c r="C63" s="596"/>
      <c r="D63" s="596"/>
      <c r="E63" s="596"/>
      <c r="F63" s="596"/>
      <c r="G63" s="596"/>
      <c r="H63" s="596"/>
      <c r="I63" s="596"/>
      <c r="J63" s="596"/>
      <c r="K63" s="596"/>
      <c r="L63" s="597"/>
      <c r="O63" s="107"/>
    </row>
    <row r="64" spans="2:19">
      <c r="B64" s="595"/>
      <c r="C64" s="596"/>
      <c r="D64" s="596"/>
      <c r="E64" s="596"/>
      <c r="F64" s="596"/>
      <c r="G64" s="596"/>
      <c r="H64" s="596"/>
      <c r="I64" s="596"/>
      <c r="J64" s="596"/>
      <c r="K64" s="596"/>
      <c r="L64" s="597"/>
      <c r="O64" s="107"/>
    </row>
    <row r="65" spans="2:15">
      <c r="B65" s="595"/>
      <c r="C65" s="596"/>
      <c r="D65" s="596"/>
      <c r="E65" s="596"/>
      <c r="F65" s="596"/>
      <c r="G65" s="596"/>
      <c r="H65" s="596"/>
      <c r="I65" s="596"/>
      <c r="J65" s="596"/>
      <c r="K65" s="596"/>
      <c r="L65" s="597"/>
      <c r="O65" s="107"/>
    </row>
    <row r="66" spans="2:15">
      <c r="B66" s="595"/>
      <c r="C66" s="596"/>
      <c r="D66" s="596"/>
      <c r="E66" s="596"/>
      <c r="F66" s="596"/>
      <c r="G66" s="596"/>
      <c r="H66" s="596"/>
      <c r="I66" s="596"/>
      <c r="J66" s="596"/>
      <c r="K66" s="596"/>
      <c r="L66" s="597"/>
      <c r="O66" s="107"/>
    </row>
    <row r="67" spans="2:15">
      <c r="B67" s="595"/>
      <c r="C67" s="596"/>
      <c r="D67" s="596"/>
      <c r="E67" s="596"/>
      <c r="F67" s="596"/>
      <c r="G67" s="596"/>
      <c r="H67" s="596"/>
      <c r="I67" s="596"/>
      <c r="J67" s="596"/>
      <c r="K67" s="596"/>
      <c r="L67" s="597"/>
      <c r="O67" s="107"/>
    </row>
    <row r="68" spans="2:15">
      <c r="B68" s="595"/>
      <c r="C68" s="596"/>
      <c r="D68" s="596"/>
      <c r="E68" s="596"/>
      <c r="F68" s="596"/>
      <c r="G68" s="596"/>
      <c r="H68" s="596"/>
      <c r="I68" s="596"/>
      <c r="J68" s="596"/>
      <c r="K68" s="596"/>
      <c r="L68" s="597"/>
      <c r="O68" s="107"/>
    </row>
    <row r="69" spans="2:15">
      <c r="B69" s="595"/>
      <c r="C69" s="596"/>
      <c r="D69" s="596"/>
      <c r="E69" s="596"/>
      <c r="F69" s="596"/>
      <c r="G69" s="596"/>
      <c r="H69" s="596"/>
      <c r="I69" s="596"/>
      <c r="J69" s="596"/>
      <c r="K69" s="596"/>
      <c r="L69" s="597"/>
      <c r="O69" s="107"/>
    </row>
    <row r="70" spans="2:15">
      <c r="B70" s="595"/>
      <c r="C70" s="596"/>
      <c r="D70" s="596"/>
      <c r="E70" s="596"/>
      <c r="F70" s="596"/>
      <c r="G70" s="596"/>
      <c r="H70" s="596"/>
      <c r="I70" s="596"/>
      <c r="J70" s="596"/>
      <c r="K70" s="596"/>
      <c r="L70" s="597"/>
      <c r="O70" s="107"/>
    </row>
    <row r="71" spans="2:15">
      <c r="B71" s="595"/>
      <c r="C71" s="596"/>
      <c r="D71" s="596"/>
      <c r="E71" s="596"/>
      <c r="F71" s="596"/>
      <c r="G71" s="596"/>
      <c r="H71" s="596"/>
      <c r="I71" s="596"/>
      <c r="J71" s="596"/>
      <c r="K71" s="596"/>
      <c r="L71" s="597"/>
      <c r="O71" s="107"/>
    </row>
    <row r="72" spans="2:15">
      <c r="B72" s="595"/>
      <c r="C72" s="596"/>
      <c r="D72" s="596"/>
      <c r="E72" s="596"/>
      <c r="F72" s="596"/>
      <c r="G72" s="596"/>
      <c r="H72" s="596"/>
      <c r="I72" s="596"/>
      <c r="J72" s="596"/>
      <c r="K72" s="596"/>
      <c r="L72" s="597"/>
    </row>
    <row r="73" spans="2:15">
      <c r="B73" s="595"/>
      <c r="C73" s="596"/>
      <c r="D73" s="596"/>
      <c r="E73" s="596"/>
      <c r="F73" s="596"/>
      <c r="G73" s="596"/>
      <c r="H73" s="596"/>
      <c r="I73" s="596"/>
      <c r="J73" s="596"/>
      <c r="K73" s="596"/>
      <c r="L73" s="597"/>
    </row>
    <row r="74" spans="2:15">
      <c r="B74" s="595"/>
      <c r="C74" s="596"/>
      <c r="D74" s="596"/>
      <c r="E74" s="596"/>
      <c r="F74" s="596"/>
      <c r="G74" s="596"/>
      <c r="H74" s="596"/>
      <c r="I74" s="596"/>
      <c r="J74" s="596"/>
      <c r="K74" s="596"/>
      <c r="L74" s="597"/>
    </row>
    <row r="75" spans="2:15">
      <c r="B75" s="595"/>
      <c r="C75" s="596"/>
      <c r="D75" s="596"/>
      <c r="E75" s="596"/>
      <c r="F75" s="596"/>
      <c r="G75" s="596"/>
      <c r="H75" s="596"/>
      <c r="I75" s="596"/>
      <c r="J75" s="596"/>
      <c r="K75" s="596"/>
      <c r="L75" s="597"/>
    </row>
    <row r="76" spans="2:15">
      <c r="B76" s="595"/>
      <c r="C76" s="596"/>
      <c r="D76" s="596"/>
      <c r="E76" s="596"/>
      <c r="F76" s="596"/>
      <c r="G76" s="596"/>
      <c r="H76" s="596"/>
      <c r="I76" s="596"/>
      <c r="J76" s="596"/>
      <c r="K76" s="596"/>
      <c r="L76" s="597"/>
    </row>
    <row r="77" spans="2:15">
      <c r="B77" s="595"/>
      <c r="C77" s="596"/>
      <c r="D77" s="596"/>
      <c r="E77" s="596"/>
      <c r="F77" s="596"/>
      <c r="G77" s="596"/>
      <c r="H77" s="596"/>
      <c r="I77" s="596"/>
      <c r="J77" s="596"/>
      <c r="K77" s="596"/>
      <c r="L77" s="597"/>
    </row>
    <row r="78" spans="2:15">
      <c r="B78" s="595"/>
      <c r="C78" s="596"/>
      <c r="D78" s="596"/>
      <c r="E78" s="596"/>
      <c r="F78" s="596"/>
      <c r="G78" s="596"/>
      <c r="H78" s="596"/>
      <c r="I78" s="596"/>
      <c r="J78" s="596"/>
      <c r="K78" s="596"/>
      <c r="L78" s="597"/>
    </row>
    <row r="79" spans="2:15">
      <c r="B79" s="595"/>
      <c r="C79" s="596"/>
      <c r="D79" s="596"/>
      <c r="E79" s="596"/>
      <c r="F79" s="596"/>
      <c r="G79" s="596"/>
      <c r="H79" s="596"/>
      <c r="I79" s="596"/>
      <c r="J79" s="596"/>
      <c r="K79" s="596"/>
      <c r="L79" s="597"/>
    </row>
    <row r="80" spans="2:15">
      <c r="B80" s="595"/>
      <c r="C80" s="596"/>
      <c r="D80" s="596"/>
      <c r="E80" s="596"/>
      <c r="F80" s="596"/>
      <c r="G80" s="596"/>
      <c r="H80" s="596"/>
      <c r="I80" s="596"/>
      <c r="J80" s="596"/>
      <c r="K80" s="596"/>
      <c r="L80" s="597"/>
    </row>
    <row r="81" spans="2:12">
      <c r="B81" s="595"/>
      <c r="C81" s="596"/>
      <c r="D81" s="596"/>
      <c r="E81" s="596"/>
      <c r="F81" s="596"/>
      <c r="G81" s="596"/>
      <c r="H81" s="596"/>
      <c r="I81" s="596"/>
      <c r="J81" s="596"/>
      <c r="K81" s="596"/>
      <c r="L81" s="597"/>
    </row>
    <row r="82" spans="2:12">
      <c r="B82" s="595"/>
      <c r="C82" s="596"/>
      <c r="D82" s="596"/>
      <c r="E82" s="596"/>
      <c r="F82" s="596"/>
      <c r="G82" s="596"/>
      <c r="H82" s="596"/>
      <c r="I82" s="596"/>
      <c r="J82" s="596"/>
      <c r="K82" s="596"/>
      <c r="L82" s="597"/>
    </row>
    <row r="83" spans="2:12">
      <c r="B83" s="595"/>
      <c r="C83" s="596"/>
      <c r="D83" s="596"/>
      <c r="E83" s="596"/>
      <c r="F83" s="596"/>
      <c r="G83" s="596"/>
      <c r="H83" s="596"/>
      <c r="I83" s="596"/>
      <c r="J83" s="596"/>
      <c r="K83" s="596"/>
      <c r="L83" s="597"/>
    </row>
    <row r="84" spans="2:12">
      <c r="B84" s="595"/>
      <c r="C84" s="596"/>
      <c r="D84" s="596"/>
      <c r="E84" s="596"/>
      <c r="F84" s="596"/>
      <c r="G84" s="596"/>
      <c r="H84" s="596"/>
      <c r="I84" s="596"/>
      <c r="J84" s="596"/>
      <c r="K84" s="596"/>
      <c r="L84" s="597"/>
    </row>
    <row r="85" spans="2:12">
      <c r="B85" s="595"/>
      <c r="C85" s="596"/>
      <c r="D85" s="596"/>
      <c r="E85" s="596"/>
      <c r="F85" s="596"/>
      <c r="G85" s="596"/>
      <c r="H85" s="596"/>
      <c r="I85" s="596"/>
      <c r="J85" s="596"/>
      <c r="K85" s="596"/>
      <c r="L85" s="597"/>
    </row>
    <row r="86" spans="2:12">
      <c r="B86" s="595"/>
      <c r="C86" s="596"/>
      <c r="D86" s="596"/>
      <c r="E86" s="596"/>
      <c r="F86" s="596"/>
      <c r="G86" s="596"/>
      <c r="H86" s="596"/>
      <c r="I86" s="596"/>
      <c r="J86" s="596"/>
      <c r="K86" s="596"/>
      <c r="L86" s="597"/>
    </row>
    <row r="87" spans="2:12">
      <c r="B87" s="595"/>
      <c r="C87" s="596"/>
      <c r="D87" s="596"/>
      <c r="E87" s="596"/>
      <c r="F87" s="596"/>
      <c r="G87" s="596"/>
      <c r="H87" s="596"/>
      <c r="I87" s="596"/>
      <c r="J87" s="596"/>
      <c r="K87" s="596"/>
      <c r="L87" s="597"/>
    </row>
    <row r="88" spans="2:12">
      <c r="B88" s="595"/>
      <c r="C88" s="596"/>
      <c r="D88" s="596"/>
      <c r="E88" s="596"/>
      <c r="F88" s="596"/>
      <c r="G88" s="596"/>
      <c r="H88" s="596"/>
      <c r="I88" s="596"/>
      <c r="J88" s="596"/>
      <c r="K88" s="596"/>
      <c r="L88" s="597"/>
    </row>
    <row r="89" spans="2:12">
      <c r="B89" s="595"/>
      <c r="C89" s="596"/>
      <c r="D89" s="596"/>
      <c r="E89" s="596"/>
      <c r="F89" s="596"/>
      <c r="G89" s="596"/>
      <c r="H89" s="596"/>
      <c r="I89" s="596"/>
      <c r="J89" s="596"/>
      <c r="K89" s="596"/>
      <c r="L89" s="597"/>
    </row>
    <row r="90" spans="2:12">
      <c r="B90" s="595"/>
      <c r="C90" s="596"/>
      <c r="D90" s="596"/>
      <c r="E90" s="596"/>
      <c r="F90" s="596"/>
      <c r="G90" s="596"/>
      <c r="H90" s="596"/>
      <c r="I90" s="596"/>
      <c r="J90" s="596"/>
      <c r="K90" s="596"/>
      <c r="L90" s="597"/>
    </row>
    <row r="91" spans="2:12">
      <c r="B91" s="595"/>
      <c r="C91" s="596"/>
      <c r="D91" s="596"/>
      <c r="E91" s="596"/>
      <c r="F91" s="596"/>
      <c r="G91" s="596"/>
      <c r="H91" s="596"/>
      <c r="I91" s="596"/>
      <c r="J91" s="596"/>
      <c r="K91" s="596"/>
      <c r="L91" s="597"/>
    </row>
    <row r="92" spans="2:12">
      <c r="B92" s="595"/>
      <c r="C92" s="596"/>
      <c r="D92" s="596"/>
      <c r="E92" s="596"/>
      <c r="F92" s="596"/>
      <c r="G92" s="596"/>
      <c r="H92" s="596"/>
      <c r="I92" s="596"/>
      <c r="J92" s="596"/>
      <c r="K92" s="596"/>
      <c r="L92" s="597"/>
    </row>
    <row r="93" spans="2:12">
      <c r="B93" s="595"/>
      <c r="C93" s="596"/>
      <c r="D93" s="596"/>
      <c r="E93" s="596"/>
      <c r="F93" s="596"/>
      <c r="G93" s="596"/>
      <c r="H93" s="596"/>
      <c r="I93" s="596"/>
      <c r="J93" s="596"/>
      <c r="K93" s="596"/>
      <c r="L93" s="597"/>
    </row>
    <row r="94" spans="2:12">
      <c r="B94" s="595"/>
      <c r="C94" s="596"/>
      <c r="D94" s="596"/>
      <c r="E94" s="596"/>
      <c r="F94" s="596"/>
      <c r="G94" s="596"/>
      <c r="H94" s="596"/>
      <c r="I94" s="596"/>
      <c r="J94" s="596"/>
      <c r="K94" s="596"/>
      <c r="L94" s="597"/>
    </row>
    <row r="95" spans="2:12">
      <c r="B95" s="595"/>
      <c r="C95" s="596"/>
      <c r="D95" s="596"/>
      <c r="E95" s="596"/>
      <c r="F95" s="596"/>
      <c r="G95" s="596"/>
      <c r="H95" s="596"/>
      <c r="I95" s="596"/>
      <c r="J95" s="596"/>
      <c r="K95" s="596"/>
      <c r="L95" s="597"/>
    </row>
    <row r="96" spans="2:12">
      <c r="B96" s="595"/>
      <c r="C96" s="596"/>
      <c r="D96" s="596"/>
      <c r="E96" s="596"/>
      <c r="F96" s="596"/>
      <c r="G96" s="596"/>
      <c r="H96" s="596"/>
      <c r="I96" s="596"/>
      <c r="J96" s="596"/>
      <c r="K96" s="596"/>
      <c r="L96" s="597"/>
    </row>
    <row r="97" spans="2:12">
      <c r="B97" s="595"/>
      <c r="C97" s="596"/>
      <c r="D97" s="596"/>
      <c r="E97" s="596"/>
      <c r="F97" s="596"/>
      <c r="G97" s="596"/>
      <c r="H97" s="596"/>
      <c r="I97" s="596"/>
      <c r="J97" s="596"/>
      <c r="K97" s="596"/>
      <c r="L97" s="597"/>
    </row>
    <row r="98" spans="2:12">
      <c r="B98" s="595"/>
      <c r="C98" s="596"/>
      <c r="D98" s="596"/>
      <c r="E98" s="596"/>
      <c r="F98" s="596"/>
      <c r="G98" s="596"/>
      <c r="H98" s="596"/>
      <c r="I98" s="596"/>
      <c r="J98" s="596"/>
      <c r="K98" s="596"/>
      <c r="L98" s="597"/>
    </row>
    <row r="99" spans="2:12">
      <c r="B99" s="595"/>
      <c r="C99" s="596"/>
      <c r="D99" s="596"/>
      <c r="E99" s="596"/>
      <c r="F99" s="596"/>
      <c r="G99" s="596"/>
      <c r="H99" s="596"/>
      <c r="I99" s="596"/>
      <c r="J99" s="596"/>
      <c r="K99" s="596"/>
      <c r="L99" s="597"/>
    </row>
    <row r="100" spans="2:12">
      <c r="B100" s="595"/>
      <c r="C100" s="596"/>
      <c r="D100" s="596"/>
      <c r="E100" s="596"/>
      <c r="F100" s="596"/>
      <c r="G100" s="596"/>
      <c r="H100" s="596"/>
      <c r="I100" s="596"/>
      <c r="J100" s="596"/>
      <c r="K100" s="596"/>
      <c r="L100" s="597"/>
    </row>
    <row r="101" spans="2:12">
      <c r="B101" s="595"/>
      <c r="C101" s="596"/>
      <c r="D101" s="596"/>
      <c r="E101" s="596"/>
      <c r="F101" s="596"/>
      <c r="G101" s="596"/>
      <c r="H101" s="596"/>
      <c r="I101" s="596"/>
      <c r="J101" s="596"/>
      <c r="K101" s="596"/>
      <c r="L101" s="597"/>
    </row>
    <row r="102" spans="2:12">
      <c r="B102" s="595"/>
      <c r="C102" s="596"/>
      <c r="D102" s="596"/>
      <c r="E102" s="596"/>
      <c r="F102" s="596"/>
      <c r="G102" s="596"/>
      <c r="H102" s="596"/>
      <c r="I102" s="596"/>
      <c r="J102" s="596"/>
      <c r="K102" s="596"/>
      <c r="L102" s="597"/>
    </row>
    <row r="103" spans="2:12">
      <c r="B103" s="595"/>
      <c r="C103" s="596"/>
      <c r="D103" s="596"/>
      <c r="E103" s="596"/>
      <c r="F103" s="596"/>
      <c r="G103" s="596"/>
      <c r="H103" s="596"/>
      <c r="I103" s="596"/>
      <c r="J103" s="596"/>
      <c r="K103" s="596"/>
      <c r="L103" s="597"/>
    </row>
    <row r="104" spans="2:12">
      <c r="B104" s="595"/>
      <c r="C104" s="596"/>
      <c r="D104" s="596"/>
      <c r="E104" s="596"/>
      <c r="F104" s="596"/>
      <c r="G104" s="596"/>
      <c r="H104" s="596"/>
      <c r="I104" s="596"/>
      <c r="J104" s="596"/>
      <c r="K104" s="596"/>
      <c r="L104" s="597"/>
    </row>
    <row r="105" spans="2:12">
      <c r="B105" s="595"/>
      <c r="C105" s="596"/>
      <c r="D105" s="596"/>
      <c r="E105" s="596"/>
      <c r="F105" s="596"/>
      <c r="G105" s="596"/>
      <c r="H105" s="596"/>
      <c r="I105" s="596"/>
      <c r="J105" s="596"/>
      <c r="K105" s="596"/>
      <c r="L105" s="597"/>
    </row>
    <row r="106" spans="2:12">
      <c r="B106" s="595"/>
      <c r="C106" s="596"/>
      <c r="D106" s="596"/>
      <c r="E106" s="596"/>
      <c r="F106" s="596"/>
      <c r="G106" s="596"/>
      <c r="H106" s="596"/>
      <c r="I106" s="596"/>
      <c r="J106" s="596"/>
      <c r="K106" s="596"/>
      <c r="L106" s="597"/>
    </row>
    <row r="107" spans="2:12">
      <c r="B107" s="595"/>
      <c r="C107" s="596"/>
      <c r="D107" s="596"/>
      <c r="E107" s="596"/>
      <c r="F107" s="596"/>
      <c r="G107" s="596"/>
      <c r="H107" s="596"/>
      <c r="I107" s="596"/>
      <c r="J107" s="596"/>
      <c r="K107" s="596"/>
      <c r="L107" s="597"/>
    </row>
    <row r="108" spans="2:12">
      <c r="B108" s="595"/>
      <c r="C108" s="596"/>
      <c r="D108" s="596"/>
      <c r="E108" s="596"/>
      <c r="F108" s="596"/>
      <c r="G108" s="596"/>
      <c r="H108" s="596"/>
      <c r="I108" s="596"/>
      <c r="J108" s="596"/>
      <c r="K108" s="596"/>
      <c r="L108" s="597"/>
    </row>
    <row r="109" spans="2:12">
      <c r="B109" s="595"/>
      <c r="C109" s="596"/>
      <c r="D109" s="596"/>
      <c r="E109" s="596"/>
      <c r="F109" s="596"/>
      <c r="G109" s="596"/>
      <c r="H109" s="596"/>
      <c r="I109" s="596"/>
      <c r="J109" s="596"/>
      <c r="K109" s="596"/>
      <c r="L109" s="597"/>
    </row>
    <row r="110" spans="2:12">
      <c r="B110" s="595"/>
      <c r="C110" s="596"/>
      <c r="D110" s="596"/>
      <c r="E110" s="596"/>
      <c r="F110" s="596"/>
      <c r="G110" s="596"/>
      <c r="H110" s="596"/>
      <c r="I110" s="596"/>
      <c r="J110" s="596"/>
      <c r="K110" s="596"/>
      <c r="L110" s="597"/>
    </row>
    <row r="111" spans="2:12">
      <c r="B111" s="595"/>
      <c r="C111" s="596"/>
      <c r="D111" s="596"/>
      <c r="E111" s="596"/>
      <c r="F111" s="596"/>
      <c r="G111" s="596"/>
      <c r="H111" s="596"/>
      <c r="I111" s="596"/>
      <c r="J111" s="596"/>
      <c r="K111" s="596"/>
      <c r="L111" s="597"/>
    </row>
    <row r="112" spans="2:12">
      <c r="B112" s="595"/>
      <c r="C112" s="596"/>
      <c r="D112" s="596"/>
      <c r="E112" s="596"/>
      <c r="F112" s="596"/>
      <c r="G112" s="596"/>
      <c r="H112" s="596"/>
      <c r="I112" s="596"/>
      <c r="J112" s="596"/>
      <c r="K112" s="596"/>
      <c r="L112" s="597"/>
    </row>
    <row r="113" spans="2:14">
      <c r="B113" s="595"/>
      <c r="C113" s="596"/>
      <c r="D113" s="596"/>
      <c r="E113" s="596"/>
      <c r="F113" s="596"/>
      <c r="G113" s="596"/>
      <c r="H113" s="596"/>
      <c r="I113" s="596"/>
      <c r="J113" s="596"/>
      <c r="K113" s="596"/>
      <c r="L113" s="597"/>
    </row>
    <row r="114" spans="2:14">
      <c r="B114" s="595"/>
      <c r="C114" s="596"/>
      <c r="D114" s="596"/>
      <c r="E114" s="596"/>
      <c r="F114" s="596"/>
      <c r="G114" s="596"/>
      <c r="H114" s="596"/>
      <c r="I114" s="596"/>
      <c r="J114" s="596"/>
      <c r="K114" s="596"/>
      <c r="L114" s="597"/>
    </row>
    <row r="115" spans="2:14">
      <c r="B115" s="595"/>
      <c r="C115" s="596"/>
      <c r="D115" s="596"/>
      <c r="E115" s="596"/>
      <c r="F115" s="596"/>
      <c r="G115" s="596"/>
      <c r="H115" s="596"/>
      <c r="I115" s="596"/>
      <c r="J115" s="596"/>
      <c r="K115" s="596"/>
      <c r="L115" s="597"/>
    </row>
    <row r="116" spans="2:14">
      <c r="B116" s="595"/>
      <c r="C116" s="596"/>
      <c r="D116" s="596"/>
      <c r="E116" s="596"/>
      <c r="F116" s="596"/>
      <c r="G116" s="596"/>
      <c r="H116" s="596"/>
      <c r="I116" s="596"/>
      <c r="J116" s="596"/>
      <c r="K116" s="596"/>
      <c r="L116" s="597"/>
    </row>
    <row r="117" spans="2:14">
      <c r="B117" s="595"/>
      <c r="C117" s="596"/>
      <c r="D117" s="596"/>
      <c r="E117" s="596"/>
      <c r="F117" s="596"/>
      <c r="G117" s="596"/>
      <c r="H117" s="596"/>
      <c r="I117" s="596"/>
      <c r="J117" s="596"/>
      <c r="K117" s="596"/>
      <c r="L117" s="597"/>
    </row>
    <row r="118" spans="2:14">
      <c r="B118" s="595"/>
      <c r="C118" s="596"/>
      <c r="D118" s="596"/>
      <c r="E118" s="596"/>
      <c r="F118" s="596"/>
      <c r="G118" s="596"/>
      <c r="H118" s="596"/>
      <c r="I118" s="596"/>
      <c r="J118" s="596"/>
      <c r="K118" s="596"/>
      <c r="L118" s="597"/>
    </row>
    <row r="119" spans="2:14">
      <c r="B119" s="595"/>
      <c r="C119" s="596"/>
      <c r="D119" s="596"/>
      <c r="E119" s="596"/>
      <c r="F119" s="596"/>
      <c r="G119" s="596"/>
      <c r="H119" s="596"/>
      <c r="I119" s="596"/>
      <c r="J119" s="596"/>
      <c r="K119" s="596"/>
      <c r="L119" s="597"/>
    </row>
    <row r="120" spans="2:14">
      <c r="B120" s="595"/>
      <c r="C120" s="596"/>
      <c r="D120" s="596"/>
      <c r="E120" s="596"/>
      <c r="F120" s="596"/>
      <c r="G120" s="596"/>
      <c r="H120" s="596"/>
      <c r="I120" s="596"/>
      <c r="J120" s="596"/>
      <c r="K120" s="596"/>
      <c r="L120" s="597"/>
    </row>
    <row r="121" spans="2:14">
      <c r="B121" s="595"/>
      <c r="C121" s="596"/>
      <c r="D121" s="596"/>
      <c r="E121" s="596"/>
      <c r="F121" s="596"/>
      <c r="G121" s="596"/>
      <c r="H121" s="596"/>
      <c r="I121" s="596"/>
      <c r="J121" s="596"/>
      <c r="K121" s="596"/>
      <c r="L121" s="597"/>
    </row>
    <row r="122" spans="2:14">
      <c r="B122" s="595"/>
      <c r="C122" s="596"/>
      <c r="D122" s="596"/>
      <c r="E122" s="596"/>
      <c r="F122" s="596"/>
      <c r="G122" s="596"/>
      <c r="H122" s="596"/>
      <c r="I122" s="596"/>
      <c r="J122" s="596"/>
      <c r="K122" s="596"/>
      <c r="L122" s="597"/>
    </row>
    <row r="123" spans="2:14">
      <c r="B123" s="595"/>
      <c r="C123" s="596"/>
      <c r="D123" s="596"/>
      <c r="E123" s="596"/>
      <c r="F123" s="596"/>
      <c r="G123" s="596"/>
      <c r="H123" s="596"/>
      <c r="I123" s="596"/>
      <c r="J123" s="596"/>
      <c r="K123" s="596"/>
      <c r="L123" s="597"/>
    </row>
    <row r="124" spans="2:14">
      <c r="B124" s="595"/>
      <c r="C124" s="596"/>
      <c r="D124" s="596"/>
      <c r="E124" s="596"/>
      <c r="F124" s="596"/>
      <c r="G124" s="596"/>
      <c r="H124" s="596"/>
      <c r="I124" s="596"/>
      <c r="J124" s="596"/>
      <c r="K124" s="596"/>
      <c r="L124" s="597"/>
    </row>
    <row r="125" spans="2:14">
      <c r="B125" s="595"/>
      <c r="C125" s="596"/>
      <c r="D125" s="596"/>
      <c r="E125" s="596"/>
      <c r="F125" s="596"/>
      <c r="G125" s="596"/>
      <c r="H125" s="596"/>
      <c r="I125" s="596"/>
      <c r="J125" s="596"/>
      <c r="K125" s="596"/>
      <c r="L125" s="597"/>
    </row>
    <row r="126" spans="2:14">
      <c r="B126" s="595"/>
      <c r="C126" s="596"/>
      <c r="D126" s="596"/>
      <c r="E126" s="596"/>
      <c r="F126" s="596"/>
      <c r="G126" s="596"/>
      <c r="H126" s="596"/>
      <c r="I126" s="596"/>
      <c r="J126" s="596"/>
      <c r="K126" s="596"/>
      <c r="L126" s="597"/>
    </row>
    <row r="127" spans="2:14">
      <c r="B127" s="595"/>
      <c r="C127" s="596"/>
      <c r="D127" s="596"/>
      <c r="E127" s="596"/>
      <c r="F127" s="596"/>
      <c r="G127" s="596"/>
      <c r="H127" s="596"/>
      <c r="I127" s="596"/>
      <c r="J127" s="596"/>
      <c r="K127" s="596"/>
      <c r="L127" s="597"/>
      <c r="N127" t="str">
        <f ca="1">+CONCATENATE("SEM. - 0",WEEKNUM(TODAY()))</f>
        <v>SEM. - 027</v>
      </c>
    </row>
    <row r="128" spans="2:14">
      <c r="B128" s="595"/>
      <c r="C128" s="596"/>
      <c r="D128" s="596"/>
      <c r="E128" s="596"/>
      <c r="F128" s="596"/>
      <c r="G128" s="596"/>
      <c r="H128" s="596"/>
      <c r="I128" s="596"/>
      <c r="J128" s="596"/>
      <c r="K128" s="596"/>
      <c r="L128" s="597"/>
    </row>
    <row r="129" spans="2:15">
      <c r="B129" s="595"/>
      <c r="C129" s="596"/>
      <c r="D129" s="596"/>
      <c r="E129" s="596"/>
      <c r="F129" s="596"/>
      <c r="G129" s="596"/>
      <c r="H129" s="596"/>
      <c r="I129" s="596"/>
      <c r="J129" s="596"/>
      <c r="K129" s="596"/>
      <c r="L129" s="597"/>
    </row>
    <row r="130" spans="2:15">
      <c r="B130" s="595"/>
      <c r="C130" s="596"/>
      <c r="D130" s="596"/>
      <c r="E130" s="596"/>
      <c r="F130" s="596"/>
      <c r="G130" s="596"/>
      <c r="H130" s="596"/>
      <c r="I130" s="596"/>
      <c r="J130" s="596"/>
      <c r="K130" s="596"/>
      <c r="L130" s="597"/>
    </row>
    <row r="131" spans="2:15">
      <c r="B131" s="595"/>
      <c r="C131" s="596"/>
      <c r="D131" s="596"/>
      <c r="E131" s="596"/>
      <c r="F131" s="596"/>
      <c r="G131" s="596"/>
      <c r="H131" s="596"/>
      <c r="I131" s="596"/>
      <c r="J131" s="596"/>
      <c r="K131" s="596"/>
      <c r="L131" s="597"/>
    </row>
    <row r="132" spans="2:15">
      <c r="B132" s="595"/>
      <c r="C132" s="596"/>
      <c r="D132" s="596"/>
      <c r="E132" s="596"/>
      <c r="F132" s="596"/>
      <c r="G132" s="596"/>
      <c r="H132" s="596"/>
      <c r="I132" s="596"/>
      <c r="J132" s="596"/>
      <c r="K132" s="596"/>
      <c r="L132" s="597"/>
    </row>
    <row r="133" spans="2:15">
      <c r="B133" s="595"/>
      <c r="C133" s="596"/>
      <c r="D133" s="596"/>
      <c r="E133" s="596"/>
      <c r="F133" s="596"/>
      <c r="G133" s="596"/>
      <c r="H133" s="596"/>
      <c r="I133" s="596"/>
      <c r="J133" s="596"/>
      <c r="K133" s="596"/>
      <c r="L133" s="597"/>
    </row>
    <row r="134" spans="2:15">
      <c r="B134" s="595"/>
      <c r="C134" s="596"/>
      <c r="D134" s="596"/>
      <c r="E134" s="596"/>
      <c r="F134" s="596"/>
      <c r="G134" s="596"/>
      <c r="H134" s="596"/>
      <c r="I134" s="596"/>
      <c r="J134" s="596"/>
      <c r="K134" s="596"/>
      <c r="L134" s="597"/>
    </row>
    <row r="135" spans="2:15">
      <c r="B135" s="595"/>
      <c r="C135" s="596"/>
      <c r="D135" s="596"/>
      <c r="E135" s="596"/>
      <c r="F135" s="596"/>
      <c r="G135" s="596"/>
      <c r="H135" s="596"/>
      <c r="I135" s="596"/>
      <c r="J135" s="596"/>
      <c r="K135" s="596"/>
      <c r="L135" s="597"/>
    </row>
    <row r="136" spans="2:15">
      <c r="B136" s="595"/>
      <c r="C136" s="596"/>
      <c r="D136" s="596"/>
      <c r="E136" s="596"/>
      <c r="F136" s="596"/>
      <c r="G136" s="596"/>
      <c r="H136" s="596"/>
      <c r="I136" s="596"/>
      <c r="J136" s="596"/>
      <c r="K136" s="596"/>
      <c r="L136" s="597"/>
    </row>
    <row r="137" spans="2:15">
      <c r="B137" s="595"/>
      <c r="C137" s="596"/>
      <c r="D137" s="596"/>
      <c r="E137" s="596"/>
      <c r="F137" s="596"/>
      <c r="G137" s="596"/>
      <c r="H137" s="596"/>
      <c r="I137" s="596"/>
      <c r="J137" s="596"/>
      <c r="K137" s="596"/>
      <c r="L137" s="597"/>
    </row>
    <row r="138" spans="2:15">
      <c r="B138" s="595"/>
      <c r="C138" s="596"/>
      <c r="D138" s="596"/>
      <c r="E138" s="596"/>
      <c r="F138" s="596"/>
      <c r="G138" s="596"/>
      <c r="H138" s="596"/>
      <c r="I138" s="596"/>
      <c r="J138" s="596"/>
      <c r="K138" s="596"/>
      <c r="L138" s="597"/>
    </row>
    <row r="139" spans="2:15">
      <c r="B139" s="595"/>
      <c r="C139" s="596"/>
      <c r="D139" s="596"/>
      <c r="E139" s="596"/>
      <c r="F139" s="596"/>
      <c r="G139" s="596"/>
      <c r="H139" s="596"/>
      <c r="I139" s="596"/>
      <c r="J139" s="596"/>
      <c r="K139" s="596"/>
      <c r="L139" s="597"/>
    </row>
    <row r="140" spans="2:15">
      <c r="B140" s="595"/>
      <c r="C140" s="596"/>
      <c r="D140" s="596"/>
      <c r="E140" s="596"/>
      <c r="F140" s="596"/>
      <c r="G140" s="596"/>
      <c r="H140" s="596"/>
      <c r="I140" s="596"/>
      <c r="J140" s="596"/>
      <c r="K140" s="596"/>
      <c r="L140" s="597"/>
    </row>
    <row r="141" spans="2:15">
      <c r="B141" s="595"/>
      <c r="C141" s="596"/>
      <c r="D141" s="596"/>
      <c r="E141" s="596"/>
      <c r="F141" s="596"/>
      <c r="G141" s="596"/>
      <c r="H141" s="596"/>
      <c r="I141" s="596"/>
      <c r="J141" s="596"/>
      <c r="K141" s="596"/>
      <c r="L141" s="597"/>
    </row>
    <row r="142" spans="2:15" ht="239.25" customHeight="1" thickBot="1">
      <c r="B142" s="615"/>
      <c r="C142" s="616"/>
      <c r="D142" s="616"/>
      <c r="E142" s="616"/>
      <c r="F142" s="616"/>
      <c r="G142" s="616"/>
      <c r="H142" s="616"/>
      <c r="I142" s="616"/>
      <c r="J142" s="616"/>
      <c r="K142" s="616"/>
      <c r="L142" s="617"/>
    </row>
    <row r="143" spans="2:15" ht="46.5">
      <c r="B143" s="677"/>
      <c r="C143" s="678"/>
      <c r="D143" s="618"/>
      <c r="E143" s="678"/>
      <c r="F143" s="678"/>
      <c r="G143" s="678"/>
      <c r="H143" s="678"/>
      <c r="I143" s="679"/>
      <c r="J143" s="679"/>
      <c r="K143" s="678"/>
      <c r="L143" s="680"/>
      <c r="N143" s="580">
        <v>0</v>
      </c>
      <c r="O143" s="580">
        <v>4.0972222222222222E-2</v>
      </c>
    </row>
    <row r="144" spans="2:15" ht="46.5">
      <c r="B144" s="681"/>
      <c r="C144" s="682"/>
      <c r="D144" s="536"/>
      <c r="E144" s="682"/>
      <c r="F144" s="682"/>
      <c r="G144" s="681"/>
      <c r="H144" s="682"/>
      <c r="I144" s="537"/>
      <c r="J144" s="538"/>
      <c r="K144" s="682"/>
      <c r="L144" s="683"/>
      <c r="N144" s="580">
        <v>4.1666666666666664E-2</v>
      </c>
      <c r="O144" s="580">
        <v>8.2638888888888887E-2</v>
      </c>
    </row>
    <row r="145" spans="1:15" ht="25.5" customHeight="1" thickBot="1">
      <c r="B145" s="684"/>
      <c r="C145" s="685"/>
      <c r="D145" s="619"/>
      <c r="E145" s="685"/>
      <c r="F145" s="685"/>
      <c r="G145" s="681"/>
      <c r="H145" s="685"/>
      <c r="I145" s="620"/>
      <c r="J145" s="621"/>
      <c r="K145" s="685"/>
      <c r="L145" s="686"/>
      <c r="N145" s="580">
        <v>8.3333333333333329E-2</v>
      </c>
      <c r="O145" s="580">
        <v>2</v>
      </c>
    </row>
    <row r="146" spans="1:15" ht="23.25" hidden="1">
      <c r="B146" s="598"/>
      <c r="C146" s="44"/>
      <c r="D146" s="31"/>
      <c r="E146" s="143"/>
      <c r="F146" s="143"/>
      <c r="G146" s="143"/>
      <c r="H146" s="143"/>
      <c r="I146" s="534"/>
      <c r="J146" s="535"/>
      <c r="K146" s="143"/>
      <c r="L146" s="599"/>
      <c r="N146" s="62"/>
    </row>
    <row r="147" spans="1:15" ht="62.25" thickBot="1">
      <c r="B147" s="600" t="s">
        <v>3732</v>
      </c>
      <c r="C147" s="539" t="s">
        <v>3733</v>
      </c>
      <c r="D147" s="539" t="s">
        <v>3734</v>
      </c>
      <c r="E147" s="539" t="s">
        <v>3735</v>
      </c>
      <c r="F147" s="539" t="s">
        <v>3736</v>
      </c>
      <c r="G147" s="539" t="s">
        <v>3737</v>
      </c>
      <c r="H147" s="576" t="s">
        <v>3738</v>
      </c>
      <c r="I147" s="577" t="s">
        <v>10</v>
      </c>
      <c r="J147" s="539" t="s">
        <v>11</v>
      </c>
      <c r="K147" s="578" t="s">
        <v>3739</v>
      </c>
      <c r="L147" s="601" t="s">
        <v>3740</v>
      </c>
      <c r="M147" s="94" t="s">
        <v>3741</v>
      </c>
      <c r="N147" s="99" t="s">
        <v>3742</v>
      </c>
      <c r="O147" s="37"/>
    </row>
    <row r="148" spans="1:15" ht="78" customHeight="1">
      <c r="B148" s="724" t="str">
        <f>+'TABLA-DIA'!B153</f>
        <v>LINEA AUTOMATICA HACOS 2</v>
      </c>
      <c r="C148" s="561" t="str">
        <f>IFERROR(VLOOKUP(N148,'TABLA-DIA'!$B$2:$P$62,9,FALSE),"")</f>
        <v/>
      </c>
      <c r="D148" s="562" t="str">
        <f>IFERROR(VLOOKUP(N148,'TABLA-DIA'!$B$2:$P$62,4,FALSE),"")</f>
        <v/>
      </c>
      <c r="E148" s="563" t="str">
        <f>IFERROR(VLOOKUP(N148,'TABLA-DIA'!$B$2:$P$62,5,FALSE),"")</f>
        <v/>
      </c>
      <c r="F148" s="563" t="str">
        <f>IFERROR(VLOOKUP(N148,'TABLA-DIA'!$B$2:$P$62,6,FALSE),"")</f>
        <v/>
      </c>
      <c r="G148" s="541" t="str">
        <f>IFERROR(VLOOKUP(N148,'TABLA-DIA'!$B$2:$P$62,7,FALSE),"")</f>
        <v/>
      </c>
      <c r="H148" s="581" t="str">
        <f>IFERROR(VLOOKUP(N148,'TABLA-DIA'!$B$2:$P$62,10,FALSE),"")</f>
        <v/>
      </c>
      <c r="I148" s="546" t="str">
        <f>IFERROR(VLOOKUP(N148,'TABLA-DIA'!$B$2:$P$62,11,FALSE),"")</f>
        <v/>
      </c>
      <c r="J148" s="547" t="str">
        <f>IFERROR(VLOOKUP(N148,'TABLA-DIA'!$B$2:$P$62,12,FALSE),"")</f>
        <v/>
      </c>
      <c r="K148" s="556" t="str">
        <f>IFERROR(VLOOKUP(N148,'TABLA-DIA'!$B$2:$P$62,13,FALSE),"")</f>
        <v/>
      </c>
      <c r="L148" s="602" t="str">
        <f>IFERROR(IF(VLOOKUP(N148,'TABLA-DIA'!$B$2:$P$62,14,FALSE)="","",VLOOKUP(N148,'TABLA-DIA'!$B$2:$P$62,14,FALSE)),"")</f>
        <v/>
      </c>
      <c r="M148" s="586">
        <v>1</v>
      </c>
      <c r="N148" s="98" t="str">
        <f t="shared" ref="N148:N159" si="4">CONCATENATE($B$148,"-",M148)</f>
        <v>LINEA AUTOMATICA HACOS 2-1</v>
      </c>
      <c r="O148" s="94">
        <f>COUNTIF(G148:G159,"&lt;&gt;**")</f>
        <v>0</v>
      </c>
    </row>
    <row r="149" spans="1:15" ht="78" customHeight="1">
      <c r="B149" s="724"/>
      <c r="C149" s="564" t="str">
        <f>IFERROR(VLOOKUP(N149,'TABLA-DIA'!$B$2:$P$62,9,FALSE),"")</f>
        <v/>
      </c>
      <c r="D149" s="565" t="str">
        <f>IFERROR(VLOOKUP(N149,'TABLA-DIA'!$B$2:$P$62,4,FALSE),"")</f>
        <v/>
      </c>
      <c r="E149" s="566" t="str">
        <f>IFERROR(VLOOKUP(N149,'TABLA-DIA'!$B$2:$P$62,5,FALSE),"")</f>
        <v/>
      </c>
      <c r="F149" s="566" t="str">
        <f>IFERROR(VLOOKUP(N149,'TABLA-DIA'!$B$2:$P$62,6,FALSE),"")</f>
        <v/>
      </c>
      <c r="G149" s="542" t="str">
        <f>IFERROR(VLOOKUP(N149,'TABLA-DIA'!$B$2:$P$62,7,FALSE),"")</f>
        <v/>
      </c>
      <c r="H149" s="582" t="str">
        <f>IFERROR(VLOOKUP(N149,'TABLA-DIA'!$B$2:$P$62,10,FALSE),"")</f>
        <v/>
      </c>
      <c r="I149" s="548" t="str">
        <f>IFERROR(VLOOKUP(N149,'TABLA-DIA'!$B$2:$P$62,11,FALSE),"")</f>
        <v/>
      </c>
      <c r="J149" s="549" t="str">
        <f>IFERROR(VLOOKUP(N149,'TABLA-DIA'!$B$2:$P$62,12,FALSE),"")</f>
        <v/>
      </c>
      <c r="K149" s="557" t="str">
        <f>IFERROR(VLOOKUP(N149,'TABLA-DIA'!$B$2:$P$62,13,FALSE),"")</f>
        <v/>
      </c>
      <c r="L149" s="603" t="str">
        <f>IFERROR(IF(VLOOKUP(N149,'TABLA-DIA'!$B$2:$P$62,14,FALSE)="","",VLOOKUP(N149,'TABLA-DIA'!$B$2:$P$62,14,FALSE)),"")</f>
        <v/>
      </c>
      <c r="M149" s="587">
        <v>2</v>
      </c>
      <c r="N149" s="125" t="str">
        <f t="shared" si="4"/>
        <v>LINEA AUTOMATICA HACOS 2-2</v>
      </c>
      <c r="O149" s="2"/>
    </row>
    <row r="150" spans="1:15" ht="78" customHeight="1">
      <c r="B150" s="724"/>
      <c r="C150" s="564" t="str">
        <f>IFERROR(VLOOKUP(N150,'TABLA-DIA'!$B$2:$P$62,9,FALSE),"")</f>
        <v/>
      </c>
      <c r="D150" s="565" t="str">
        <f>IFERROR(VLOOKUP(N150,'TABLA-DIA'!$B$2:$P$62,4,FALSE),"")</f>
        <v/>
      </c>
      <c r="E150" s="566" t="str">
        <f>IFERROR(VLOOKUP(N150,'TABLA-DIA'!$B$2:$P$62,5,FALSE),"")</f>
        <v/>
      </c>
      <c r="F150" s="566" t="str">
        <f>IFERROR(VLOOKUP(N150,'TABLA-DIA'!$B$2:$P$62,6,FALSE),"")</f>
        <v/>
      </c>
      <c r="G150" s="542" t="str">
        <f>IFERROR(VLOOKUP(N150,'TABLA-DIA'!$B$2:$P$62,7,FALSE),"")</f>
        <v/>
      </c>
      <c r="H150" s="582" t="str">
        <f>IFERROR(VLOOKUP(N150,'TABLA-DIA'!$B$2:$P$62,10,FALSE),"")</f>
        <v/>
      </c>
      <c r="I150" s="548" t="str">
        <f>IFERROR(VLOOKUP(N150,'TABLA-DIA'!$B$2:$P$62,11,FALSE),"")</f>
        <v/>
      </c>
      <c r="J150" s="549" t="str">
        <f>IFERROR(VLOOKUP(N150,'TABLA-DIA'!$B$2:$P$62,12,FALSE),"")</f>
        <v/>
      </c>
      <c r="K150" s="557" t="str">
        <f>IFERROR(VLOOKUP(N150,'TABLA-DIA'!$B$2:$P$62,13,FALSE),"")</f>
        <v/>
      </c>
      <c r="L150" s="603" t="str">
        <f>IFERROR(IF(VLOOKUP(N150,'TABLA-DIA'!$B$2:$P$62,14,FALSE)="","",VLOOKUP(N150,'TABLA-DIA'!$B$2:$P$62,14,FALSE)),"")</f>
        <v/>
      </c>
      <c r="M150" s="587">
        <v>3</v>
      </c>
      <c r="N150" s="125" t="str">
        <f t="shared" si="4"/>
        <v>LINEA AUTOMATICA HACOS 2-3</v>
      </c>
      <c r="O150" s="2"/>
    </row>
    <row r="151" spans="1:15" ht="78" customHeight="1">
      <c r="B151" s="724"/>
      <c r="C151" s="564" t="str">
        <f>IFERROR(VLOOKUP(N151,'TABLA-DIA'!$B$2:$P$62,9,FALSE),"")</f>
        <v/>
      </c>
      <c r="D151" s="565" t="str">
        <f>IFERROR(VLOOKUP(N151,'TABLA-DIA'!$B$2:$P$62,4,FALSE),"")</f>
        <v/>
      </c>
      <c r="E151" s="566" t="str">
        <f>IFERROR(VLOOKUP(N151,'TABLA-DIA'!$B$2:$P$62,5,FALSE),"")</f>
        <v/>
      </c>
      <c r="F151" s="566" t="str">
        <f>IFERROR(VLOOKUP(N151,'TABLA-DIA'!$B$2:$P$62,6,FALSE),"")</f>
        <v/>
      </c>
      <c r="G151" s="542" t="str">
        <f>IFERROR(VLOOKUP(N151,'TABLA-DIA'!$B$2:$P$62,7,FALSE),"")</f>
        <v/>
      </c>
      <c r="H151" s="582" t="str">
        <f>IFERROR(VLOOKUP(N151,'TABLA-DIA'!$B$2:$P$62,10,FALSE),"")</f>
        <v/>
      </c>
      <c r="I151" s="548" t="str">
        <f>IFERROR(VLOOKUP(N151,'TABLA-DIA'!$B$2:$P$62,11,FALSE),"")</f>
        <v/>
      </c>
      <c r="J151" s="549" t="str">
        <f>IFERROR(VLOOKUP(N151,'TABLA-DIA'!$B$2:$P$62,12,FALSE),"")</f>
        <v/>
      </c>
      <c r="K151" s="557" t="str">
        <f>IFERROR(VLOOKUP(N151,'TABLA-DIA'!$B$2:$P$62,13,FALSE),"")</f>
        <v/>
      </c>
      <c r="L151" s="603" t="str">
        <f>IFERROR(IF(VLOOKUP(N151,'TABLA-DIA'!$B$2:$P$62,14,FALSE)="","",VLOOKUP(N151,'TABLA-DIA'!$B$2:$P$62,14,FALSE)),"")</f>
        <v/>
      </c>
      <c r="M151" s="587">
        <v>4</v>
      </c>
      <c r="N151" s="125" t="str">
        <f t="shared" si="4"/>
        <v>LINEA AUTOMATICA HACOS 2-4</v>
      </c>
      <c r="O151" s="2"/>
    </row>
    <row r="152" spans="1:15" ht="78" customHeight="1">
      <c r="B152" s="724"/>
      <c r="C152" s="564" t="str">
        <f>IFERROR(VLOOKUP(N152,'TABLA-DIA'!$B$2:$P$62,9,FALSE),"")</f>
        <v/>
      </c>
      <c r="D152" s="565" t="str">
        <f>IFERROR(VLOOKUP(N152,'TABLA-DIA'!$B$2:$P$62,4,FALSE),"")</f>
        <v/>
      </c>
      <c r="E152" s="566" t="str">
        <f>IFERROR(VLOOKUP(N152,'TABLA-DIA'!$B$2:$P$62,5,FALSE),"")</f>
        <v/>
      </c>
      <c r="F152" s="566" t="str">
        <f>IFERROR(VLOOKUP(N152,'TABLA-DIA'!$B$2:$P$62,6,FALSE),"")</f>
        <v/>
      </c>
      <c r="G152" s="542" t="str">
        <f>IFERROR(VLOOKUP(N152,'TABLA-DIA'!$B$2:$P$62,7,FALSE),"")</f>
        <v/>
      </c>
      <c r="H152" s="582" t="str">
        <f>IFERROR(VLOOKUP(N152,'TABLA-DIA'!$B$2:$P$62,10,FALSE),"")</f>
        <v/>
      </c>
      <c r="I152" s="548" t="str">
        <f>IFERROR(VLOOKUP(N152,'TABLA-DIA'!$B$2:$P$62,11,FALSE),"")</f>
        <v/>
      </c>
      <c r="J152" s="549" t="str">
        <f>IFERROR(VLOOKUP(N152,'TABLA-DIA'!$B$2:$P$62,12,FALSE),"")</f>
        <v/>
      </c>
      <c r="K152" s="557" t="str">
        <f>IFERROR(VLOOKUP(N152,'TABLA-DIA'!$B$2:$P$62,13,FALSE),"")</f>
        <v/>
      </c>
      <c r="L152" s="603" t="str">
        <f>IFERROR(IF(VLOOKUP(N152,'TABLA-DIA'!$B$2:$P$62,14,FALSE)="","",VLOOKUP(N152,'TABLA-DIA'!$B$2:$P$62,14,FALSE)),"")</f>
        <v/>
      </c>
      <c r="M152" s="587">
        <v>5</v>
      </c>
      <c r="N152" s="125" t="str">
        <f t="shared" si="4"/>
        <v>LINEA AUTOMATICA HACOS 2-5</v>
      </c>
      <c r="O152" s="2"/>
    </row>
    <row r="153" spans="1:15" ht="78" customHeight="1" thickBot="1">
      <c r="B153" s="724"/>
      <c r="C153" s="564" t="str">
        <f>IFERROR(VLOOKUP(N153,'TABLA-DIA'!$B$2:$P$62,9,FALSE),"")</f>
        <v/>
      </c>
      <c r="D153" s="565" t="str">
        <f>IFERROR(VLOOKUP(N153,'TABLA-DIA'!$B$2:$P$62,4,FALSE),"")</f>
        <v/>
      </c>
      <c r="E153" s="566" t="str">
        <f>IFERROR(VLOOKUP(N153,'TABLA-DIA'!$B$2:$P$62,5,FALSE),"")</f>
        <v/>
      </c>
      <c r="F153" s="566" t="str">
        <f>IFERROR(VLOOKUP(N153,'TABLA-DIA'!$B$2:$P$62,6,FALSE),"")</f>
        <v/>
      </c>
      <c r="G153" s="542" t="str">
        <f>IFERROR(VLOOKUP(N153,'TABLA-DIA'!$B$2:$P$62,7,FALSE),"")</f>
        <v/>
      </c>
      <c r="H153" s="582" t="str">
        <f>IFERROR(VLOOKUP(N153,'TABLA-DIA'!$B$2:$P$62,10,FALSE),"")</f>
        <v/>
      </c>
      <c r="I153" s="548" t="str">
        <f>IFERROR(VLOOKUP(N153,'TABLA-DIA'!$B$2:$P$62,11,FALSE),"")</f>
        <v/>
      </c>
      <c r="J153" s="549" t="str">
        <f>IFERROR(VLOOKUP(N153,'TABLA-DIA'!$B$2:$P$62,12,FALSE),"")</f>
        <v/>
      </c>
      <c r="K153" s="557" t="str">
        <f>IFERROR(VLOOKUP(N153,'TABLA-DIA'!$B$2:$P$62,13,FALSE),"")</f>
        <v/>
      </c>
      <c r="L153" s="603" t="str">
        <f>IFERROR(IF(VLOOKUP(N153,'TABLA-DIA'!$B$2:$P$62,14,FALSE)="","",VLOOKUP(N153,'TABLA-DIA'!$B$2:$P$62,14,FALSE)),"")</f>
        <v/>
      </c>
      <c r="M153" s="587">
        <v>6</v>
      </c>
      <c r="N153" s="125" t="str">
        <f t="shared" si="4"/>
        <v>LINEA AUTOMATICA HACOS 2-6</v>
      </c>
      <c r="O153" s="2"/>
    </row>
    <row r="154" spans="1:15" ht="78" hidden="1" customHeight="1">
      <c r="A154" t="s">
        <v>3743</v>
      </c>
      <c r="B154" s="724"/>
      <c r="C154" s="564" t="str">
        <f>IFERROR(VLOOKUP(N154,'TABLA-DIA'!$B$2:$P$62,9,FALSE),"")</f>
        <v/>
      </c>
      <c r="D154" s="565" t="str">
        <f>IFERROR(VLOOKUP(N154,'TABLA-DIA'!$B$2:$P$62,4,FALSE),"")</f>
        <v/>
      </c>
      <c r="E154" s="566" t="str">
        <f>IFERROR(VLOOKUP(N154,'TABLA-DIA'!$B$2:$P$62,5,FALSE),"")</f>
        <v/>
      </c>
      <c r="F154" s="566" t="str">
        <f>IFERROR(VLOOKUP(N154,'TABLA-DIA'!$B$2:$P$62,6,FALSE),"")</f>
        <v/>
      </c>
      <c r="G154" s="542" t="str">
        <f>IFERROR(VLOOKUP(N154,'TABLA-DIA'!$B$2:$P$62,7,FALSE),"")</f>
        <v/>
      </c>
      <c r="H154" s="582" t="str">
        <f>IFERROR(VLOOKUP(N154,'TABLA-DIA'!$B$2:$P$62,10,FALSE),"")</f>
        <v/>
      </c>
      <c r="I154" s="548" t="str">
        <f>IFERROR(VLOOKUP(N154,'TABLA-DIA'!$B$2:$P$62,11,FALSE),"")</f>
        <v/>
      </c>
      <c r="J154" s="549" t="str">
        <f>IFERROR(VLOOKUP(N154,'TABLA-DIA'!$B$2:$P$62,12,FALSE),"")</f>
        <v/>
      </c>
      <c r="K154" s="557" t="str">
        <f>IFERROR(VLOOKUP(N154,'TABLA-DIA'!$B$2:$P$62,13,FALSE),"")</f>
        <v/>
      </c>
      <c r="L154" s="603" t="str">
        <f>IFERROR(IF(VLOOKUP(N154,'TABLA-DIA'!$B$2:$P$62,14,FALSE)="","",VLOOKUP(N154,'TABLA-DIA'!$B$2:$P$62,14,FALSE)),"")</f>
        <v/>
      </c>
      <c r="M154" s="587">
        <v>7</v>
      </c>
      <c r="N154" s="125" t="str">
        <f t="shared" si="4"/>
        <v>LINEA AUTOMATICA HACOS 2-7</v>
      </c>
      <c r="O154" s="2"/>
    </row>
    <row r="155" spans="1:15" ht="78" hidden="1" customHeight="1" thickBot="1">
      <c r="B155" s="724"/>
      <c r="C155" s="564" t="str">
        <f>IFERROR(VLOOKUP(N155,'TABLA-DIA'!$B$2:$P$62,9,FALSE),"")</f>
        <v/>
      </c>
      <c r="D155" s="565" t="str">
        <f>IFERROR(VLOOKUP(N155,'TABLA-DIA'!$B$2:$P$62,4,FALSE),"")</f>
        <v/>
      </c>
      <c r="E155" s="566" t="str">
        <f>IFERROR(VLOOKUP(N155,'TABLA-DIA'!$B$2:$P$62,5,FALSE),"")</f>
        <v/>
      </c>
      <c r="F155" s="566" t="str">
        <f>IFERROR(VLOOKUP(N155,'TABLA-DIA'!$B$2:$P$62,6,FALSE),"")</f>
        <v/>
      </c>
      <c r="G155" s="542" t="str">
        <f>IFERROR(VLOOKUP(N155,'TABLA-DIA'!$B$2:$P$62,7,FALSE),"")</f>
        <v/>
      </c>
      <c r="H155" s="582" t="str">
        <f>IFERROR(VLOOKUP(N155,'TABLA-DIA'!$B$2:$P$62,10,FALSE),"")</f>
        <v/>
      </c>
      <c r="I155" s="548" t="str">
        <f>IFERROR(VLOOKUP(N155,'TABLA-DIA'!$B$2:$P$62,11,FALSE),"")</f>
        <v/>
      </c>
      <c r="J155" s="549" t="str">
        <f>IFERROR(VLOOKUP(N155,'TABLA-DIA'!$B$2:$P$62,12,FALSE),"")</f>
        <v/>
      </c>
      <c r="K155" s="557" t="str">
        <f>IFERROR(VLOOKUP(N155,'TABLA-DIA'!$B$2:$P$62,13,FALSE),"")</f>
        <v/>
      </c>
      <c r="L155" s="603" t="str">
        <f>IFERROR(IF(VLOOKUP(N155,'TABLA-DIA'!$B$2:$P$62,14,FALSE)="","",VLOOKUP(N155,'TABLA-DIA'!$B$2:$P$62,14,FALSE)),"")</f>
        <v/>
      </c>
      <c r="M155" s="587">
        <v>8</v>
      </c>
      <c r="N155" s="125" t="str">
        <f t="shared" si="4"/>
        <v>LINEA AUTOMATICA HACOS 2-8</v>
      </c>
      <c r="O155" s="2"/>
    </row>
    <row r="156" spans="1:15" ht="78" hidden="1" customHeight="1">
      <c r="B156" s="724"/>
      <c r="C156" s="564" t="str">
        <f>IFERROR(VLOOKUP(N156,'TABLA-DIA'!$B$2:$P$62,9,FALSE),"")</f>
        <v/>
      </c>
      <c r="D156" s="565" t="str">
        <f>IFERROR(VLOOKUP(N156,'TABLA-DIA'!$B$2:$P$62,4,FALSE),"")</f>
        <v/>
      </c>
      <c r="E156" s="566" t="str">
        <f>IFERROR(VLOOKUP(N156,'TABLA-DIA'!$B$2:$P$62,5,FALSE),"")</f>
        <v/>
      </c>
      <c r="F156" s="566" t="str">
        <f>IFERROR(VLOOKUP(N156,'TABLA-DIA'!$B$2:$P$62,6,FALSE),"")</f>
        <v/>
      </c>
      <c r="G156" s="542" t="str">
        <f>IFERROR(VLOOKUP(N156,'TABLA-DIA'!$B$2:$P$62,7,FALSE),"")</f>
        <v/>
      </c>
      <c r="H156" s="582" t="str">
        <f>IFERROR(VLOOKUP(N156,'TABLA-DIA'!$B$2:$P$62,10,FALSE),"")</f>
        <v/>
      </c>
      <c r="I156" s="548" t="str">
        <f>IFERROR(VLOOKUP(N156,'TABLA-DIA'!$B$2:$P$62,11,FALSE),"")</f>
        <v/>
      </c>
      <c r="J156" s="549" t="str">
        <f>IFERROR(VLOOKUP(N156,'TABLA-DIA'!$B$2:$P$62,12,FALSE),"")</f>
        <v/>
      </c>
      <c r="K156" s="557" t="str">
        <f>IFERROR(VLOOKUP(N156,'TABLA-DIA'!$B$2:$P$62,13,FALSE),"")</f>
        <v/>
      </c>
      <c r="L156" s="603" t="str">
        <f>IFERROR(IF(VLOOKUP(N156,'TABLA-DIA'!$B$2:$P$62,14,FALSE)="","",VLOOKUP(N156,'TABLA-DIA'!$B$2:$P$62,14,FALSE)),"")</f>
        <v/>
      </c>
      <c r="M156" s="587">
        <v>9</v>
      </c>
      <c r="N156" s="125" t="str">
        <f t="shared" si="4"/>
        <v>LINEA AUTOMATICA HACOS 2-9</v>
      </c>
      <c r="O156" s="2"/>
    </row>
    <row r="157" spans="1:15" ht="112.5" hidden="1" customHeight="1">
      <c r="B157" s="724"/>
      <c r="C157" s="564" t="str">
        <f>IFERROR(VLOOKUP(N157,'TABLA-DIA'!$B$2:$P$62,9,FALSE),"")</f>
        <v/>
      </c>
      <c r="D157" s="565" t="str">
        <f>IFERROR(VLOOKUP(N157,'TABLA-DIA'!$B$2:$P$62,4,FALSE),"")</f>
        <v/>
      </c>
      <c r="E157" s="566" t="str">
        <f>IFERROR(VLOOKUP(N157,'TABLA-DIA'!$B$2:$P$62,5,FALSE),"")</f>
        <v/>
      </c>
      <c r="F157" s="566" t="str">
        <f>IFERROR(VLOOKUP(N157,'TABLA-DIA'!$B$2:$P$62,6,FALSE),"")</f>
        <v/>
      </c>
      <c r="G157" s="542" t="str">
        <f>IFERROR(VLOOKUP(N157,'TABLA-DIA'!$B$2:$P$62,7,FALSE),"")</f>
        <v/>
      </c>
      <c r="H157" s="582" t="str">
        <f>IFERROR(VLOOKUP(N157,'TABLA-DIA'!$B$2:$P$62,10,FALSE),"")</f>
        <v/>
      </c>
      <c r="I157" s="548" t="str">
        <f>IFERROR(VLOOKUP(N157,'TABLA-DIA'!$B$2:$P$62,11,FALSE),"")</f>
        <v/>
      </c>
      <c r="J157" s="549" t="str">
        <f>IFERROR(VLOOKUP(N157,'TABLA-DIA'!$B$2:$P$62,12,FALSE),"")</f>
        <v/>
      </c>
      <c r="K157" s="557" t="str">
        <f>IFERROR(VLOOKUP(N157,'TABLA-DIA'!$B$2:$P$62,13,FALSE),"")</f>
        <v/>
      </c>
      <c r="L157" s="603" t="str">
        <f>IFERROR(IF(VLOOKUP(N157,'TABLA-DIA'!$B$2:$P$62,14,FALSE)="","",VLOOKUP(N157,'TABLA-DIA'!$B$2:$P$62,14,FALSE)),"")</f>
        <v/>
      </c>
      <c r="M157" s="587">
        <v>10</v>
      </c>
      <c r="N157" s="125" t="str">
        <f t="shared" si="4"/>
        <v>LINEA AUTOMATICA HACOS 2-10</v>
      </c>
      <c r="O157" s="2"/>
    </row>
    <row r="158" spans="1:15" ht="112.5" hidden="1" customHeight="1">
      <c r="B158" s="724"/>
      <c r="C158" s="564" t="str">
        <f>IFERROR(VLOOKUP(N158,'TABLA-DIA'!$B$2:$P$62,9,FALSE),"")</f>
        <v/>
      </c>
      <c r="D158" s="565" t="str">
        <f>IFERROR(VLOOKUP(N158,'TABLA-DIA'!$B$2:$P$62,4,FALSE),"")</f>
        <v/>
      </c>
      <c r="E158" s="566" t="str">
        <f>IFERROR(VLOOKUP(N158,'TABLA-DIA'!$B$2:$P$62,5,FALSE),"")</f>
        <v/>
      </c>
      <c r="F158" s="566" t="str">
        <f>IFERROR(VLOOKUP(N158,'TABLA-DIA'!$B$2:$P$62,6,FALSE),"")</f>
        <v/>
      </c>
      <c r="G158" s="542" t="str">
        <f>IFERROR(VLOOKUP(N158,'TABLA-DIA'!$B$2:$P$62,7,FALSE),"")</f>
        <v/>
      </c>
      <c r="H158" s="582" t="str">
        <f>IFERROR(VLOOKUP(N158,'TABLA-DIA'!$B$2:$P$62,10,FALSE),"")</f>
        <v/>
      </c>
      <c r="I158" s="548" t="str">
        <f>IFERROR(VLOOKUP(N158,'TABLA-DIA'!$B$2:$P$62,11,FALSE),"")</f>
        <v/>
      </c>
      <c r="J158" s="549" t="str">
        <f>IFERROR(VLOOKUP(N158,'TABLA-DIA'!$B$2:$P$62,12,FALSE),"")</f>
        <v/>
      </c>
      <c r="K158" s="557" t="str">
        <f>IFERROR(VLOOKUP(N158,'TABLA-DIA'!$B$2:$P$62,13,FALSE),"")</f>
        <v/>
      </c>
      <c r="L158" s="603" t="str">
        <f>IFERROR(IF(VLOOKUP(N158,'TABLA-DIA'!$B$2:$P$62,14,FALSE)="","",VLOOKUP(N158,'TABLA-DIA'!$B$2:$P$62,14,FALSE)),"")</f>
        <v/>
      </c>
      <c r="M158" s="587">
        <v>11</v>
      </c>
      <c r="N158" s="125" t="str">
        <f t="shared" si="4"/>
        <v>LINEA AUTOMATICA HACOS 2-11</v>
      </c>
      <c r="O158" s="2"/>
    </row>
    <row r="159" spans="1:15" ht="112.5" hidden="1" customHeight="1" thickBot="1">
      <c r="B159" s="724"/>
      <c r="C159" s="579" t="str">
        <f>IFERROR(VLOOKUP(N159,'TABLA-DIA'!$B$2:$P$62,9,FALSE),"")</f>
        <v/>
      </c>
      <c r="D159" s="567" t="str">
        <f>IFERROR(VLOOKUP(N159,'TABLA-DIA'!$B$2:$P$62,4,FALSE),"")</f>
        <v/>
      </c>
      <c r="E159" s="568" t="str">
        <f>IFERROR(VLOOKUP(N159,'TABLA-DIA'!$B$2:$P$62,5,FALSE),"")</f>
        <v/>
      </c>
      <c r="F159" s="568" t="str">
        <f>IFERROR(VLOOKUP(N159,'TABLA-DIA'!$B$2:$P$62,6,FALSE),"")</f>
        <v/>
      </c>
      <c r="G159" s="543" t="str">
        <f>IFERROR(VLOOKUP(N159,'TABLA-DIA'!$B$2:$P$62,7,FALSE),"")</f>
        <v/>
      </c>
      <c r="H159" s="583" t="str">
        <f>IFERROR(VLOOKUP(N159,'TABLA-DIA'!$B$2:$P$62,10,FALSE),"")</f>
        <v/>
      </c>
      <c r="I159" s="550" t="str">
        <f>IFERROR(VLOOKUP(N159,'TABLA-DIA'!$B$2:$P$62,11,FALSE),"")</f>
        <v/>
      </c>
      <c r="J159" s="551" t="str">
        <f>IFERROR(VLOOKUP(N159,'TABLA-DIA'!$B$2:$P$62,12,FALSE),"")</f>
        <v/>
      </c>
      <c r="K159" s="558" t="str">
        <f>IFERROR(VLOOKUP(N159,'TABLA-DIA'!$B$2:$P$62,13,FALSE),"")</f>
        <v/>
      </c>
      <c r="L159" s="604" t="str">
        <f>IFERROR(IF(VLOOKUP(N159,'TABLA-DIA'!$B$2:$P$62,14,FALSE)="","",VLOOKUP(N159,'TABLA-DIA'!$B$2:$P$62,14,FALSE)),"")</f>
        <v/>
      </c>
      <c r="M159" s="588">
        <v>12</v>
      </c>
      <c r="N159" s="135" t="str">
        <f t="shared" si="4"/>
        <v>LINEA AUTOMATICA HACOS 2-12</v>
      </c>
      <c r="O159" s="2"/>
    </row>
    <row r="160" spans="1:15" ht="95.25" customHeight="1">
      <c r="B160" s="741" t="str">
        <f>+'TABLA-DIA'!B154</f>
        <v>CORTADORA DE TURRON</v>
      </c>
      <c r="C160" s="569" t="str">
        <f>IFERROR(VLOOKUP(N160,'TABLA-DIA'!$B$2:$P$62,9,FALSE),"")</f>
        <v/>
      </c>
      <c r="D160" s="570" t="str">
        <f>IFERROR(VLOOKUP(N160,'TABLA-DIA'!$B$2:$P$62,4,FALSE),"")</f>
        <v/>
      </c>
      <c r="E160" s="571" t="str">
        <f>IFERROR(VLOOKUP(N160,'TABLA-DIA'!$B$2:$P$62,5,FALSE),"")</f>
        <v/>
      </c>
      <c r="F160" s="571" t="str">
        <f>IFERROR(VLOOKUP(N160,'TABLA-DIA'!$B$2:$P$62,6,FALSE),"")</f>
        <v/>
      </c>
      <c r="G160" s="544" t="str">
        <f>IFERROR(VLOOKUP(N160,'TABLA-DIA'!$B$2:$P$62,7,FALSE),"")</f>
        <v/>
      </c>
      <c r="H160" s="584" t="str">
        <f>IFERROR(VLOOKUP(N160,'TABLA-DIA'!$B$2:$P$62,10,FALSE),"")</f>
        <v/>
      </c>
      <c r="I160" s="552" t="str">
        <f>IFERROR(VLOOKUP(N160,'TABLA-DIA'!$B$2:$P$62,11,FALSE),"")</f>
        <v/>
      </c>
      <c r="J160" s="553" t="str">
        <f>IFERROR(VLOOKUP(N160,'TABLA-DIA'!$B$2:$P$62,12,FALSE),"")</f>
        <v/>
      </c>
      <c r="K160" s="559" t="str">
        <f>IFERROR(VLOOKUP(N160,'TABLA-DIA'!$B$2:$P$62,13,FALSE),"")</f>
        <v/>
      </c>
      <c r="L160" s="605" t="str">
        <f>IFERROR(IF(VLOOKUP(N160,'TABLA-DIA'!$B$2:$P$62,14,FALSE)="","",VLOOKUP(N160,'TABLA-DIA'!$B$2:$P$62,14,FALSE)),"")</f>
        <v/>
      </c>
      <c r="M160" s="589">
        <v>1</v>
      </c>
      <c r="N160" s="98" t="str">
        <f t="shared" ref="N160:N169" si="5">CONCATENATE($B$160,"-",M160)</f>
        <v>CORTADORA DE TURRON-1</v>
      </c>
      <c r="O160" s="91">
        <f>COUNTIF(G160:G169,"&lt;&gt;**")</f>
        <v>0</v>
      </c>
    </row>
    <row r="161" spans="2:15" ht="88.5" customHeight="1">
      <c r="B161" s="742"/>
      <c r="C161" s="564" t="str">
        <f>IFERROR(VLOOKUP(N161,'TABLA-DIA'!$B$2:$P$62,9,FALSE),"")</f>
        <v/>
      </c>
      <c r="D161" s="565" t="str">
        <f>IFERROR(VLOOKUP(N161,'TABLA-DIA'!$B$2:$P$62,4,FALSE),"")</f>
        <v/>
      </c>
      <c r="E161" s="566" t="str">
        <f>IFERROR(VLOOKUP(N161,'TABLA-DIA'!$B$2:$P$62,5,FALSE),"")</f>
        <v/>
      </c>
      <c r="F161" s="566" t="str">
        <f>IFERROR(VLOOKUP(N161,'TABLA-DIA'!$B$2:$P$62,6,FALSE),"")</f>
        <v/>
      </c>
      <c r="G161" s="542" t="str">
        <f>IFERROR(VLOOKUP(N161,'TABLA-DIA'!$B$2:$P$62,7,FALSE),"")</f>
        <v/>
      </c>
      <c r="H161" s="582" t="str">
        <f>IFERROR(VLOOKUP(N161,'TABLA-DIA'!$B$2:$P$62,10,FALSE),"")</f>
        <v/>
      </c>
      <c r="I161" s="548" t="str">
        <f>IFERROR(VLOOKUP(N161,'TABLA-DIA'!$B$2:$P$62,11,FALSE),"")</f>
        <v/>
      </c>
      <c r="J161" s="549" t="str">
        <f>IFERROR(VLOOKUP(N161,'TABLA-DIA'!$B$2:$P$62,12,FALSE),"")</f>
        <v/>
      </c>
      <c r="K161" s="557" t="str">
        <f>IFERROR(VLOOKUP(N161,'TABLA-DIA'!$B$2:$P$62,13,FALSE),"")</f>
        <v/>
      </c>
      <c r="L161" s="603" t="str">
        <f>IFERROR(IF(VLOOKUP(N161,'TABLA-DIA'!$B$2:$P$62,14,FALSE)="","",VLOOKUP(N161,'TABLA-DIA'!$B$2:$P$62,14,FALSE)),"")</f>
        <v/>
      </c>
      <c r="M161" s="590">
        <f t="shared" ref="M161:M169" si="6">+M160+1</f>
        <v>2</v>
      </c>
      <c r="N161" s="125" t="str">
        <f t="shared" si="5"/>
        <v>CORTADORA DE TURRON-2</v>
      </c>
    </row>
    <row r="162" spans="2:15" ht="88.5" customHeight="1" thickBot="1">
      <c r="B162" s="742"/>
      <c r="C162" s="564" t="str">
        <f>IFERROR(VLOOKUP(N162,'TABLA-DIA'!$B$2:$P$62,9,FALSE),"")</f>
        <v/>
      </c>
      <c r="D162" s="565" t="str">
        <f>IFERROR(VLOOKUP(N162,'TABLA-DIA'!$B$2:$P$62,4,FALSE),"")</f>
        <v/>
      </c>
      <c r="E162" s="566" t="str">
        <f>IFERROR(VLOOKUP(N162,'TABLA-DIA'!$B$2:$P$62,5,FALSE),"")</f>
        <v/>
      </c>
      <c r="F162" s="566" t="str">
        <f>IFERROR(VLOOKUP(N162,'TABLA-DIA'!$B$2:$P$62,6,FALSE),"")</f>
        <v/>
      </c>
      <c r="G162" s="542" t="str">
        <f>IFERROR(VLOOKUP(N162,'TABLA-DIA'!$B$2:$P$62,7,FALSE),"")</f>
        <v/>
      </c>
      <c r="H162" s="582" t="str">
        <f>IFERROR(VLOOKUP(N162,'TABLA-DIA'!$B$2:$P$62,10,FALSE),"")</f>
        <v/>
      </c>
      <c r="I162" s="548" t="str">
        <f>IFERROR(VLOOKUP(N162,'TABLA-DIA'!$B$2:$P$62,11,FALSE),"")</f>
        <v/>
      </c>
      <c r="J162" s="549" t="str">
        <f>IFERROR(VLOOKUP(N162,'TABLA-DIA'!$B$2:$P$62,12,FALSE),"")</f>
        <v/>
      </c>
      <c r="K162" s="557" t="str">
        <f>IFERROR(VLOOKUP(N162,'TABLA-DIA'!$B$2:$P$62,13,FALSE),"")</f>
        <v/>
      </c>
      <c r="L162" s="603" t="str">
        <f>IFERROR(IF(VLOOKUP(N162,'TABLA-DIA'!$B$2:$P$62,14,FALSE)="","",VLOOKUP(N162,'TABLA-DIA'!$B$2:$P$62,14,FALSE)),"")</f>
        <v/>
      </c>
      <c r="M162" s="590">
        <f t="shared" si="6"/>
        <v>3</v>
      </c>
      <c r="N162" s="125" t="str">
        <f t="shared" si="5"/>
        <v>CORTADORA DE TURRON-3</v>
      </c>
    </row>
    <row r="163" spans="2:15" ht="90.75" hidden="1" customHeight="1">
      <c r="B163" s="742"/>
      <c r="C163" s="564" t="str">
        <f>IFERROR(VLOOKUP(N163,'TABLA-DIA'!$B$2:$P$62,9,FALSE),"")</f>
        <v/>
      </c>
      <c r="D163" s="565" t="str">
        <f>IFERROR(VLOOKUP(N163,'TABLA-DIA'!$B$2:$P$62,4,FALSE),"")</f>
        <v/>
      </c>
      <c r="E163" s="566" t="str">
        <f>IFERROR(VLOOKUP(N163,'TABLA-DIA'!$B$2:$P$62,5,FALSE),"")</f>
        <v/>
      </c>
      <c r="F163" s="566" t="str">
        <f>IFERROR(VLOOKUP(N163,'TABLA-DIA'!$B$2:$P$62,6,FALSE),"")</f>
        <v/>
      </c>
      <c r="G163" s="542" t="str">
        <f>IFERROR(VLOOKUP(N163,'TABLA-DIA'!$B$2:$P$62,7,FALSE),"")</f>
        <v/>
      </c>
      <c r="H163" s="582" t="str">
        <f>IFERROR(VLOOKUP(N163,'TABLA-DIA'!$B$2:$P$62,10,FALSE),"")</f>
        <v/>
      </c>
      <c r="I163" s="548" t="str">
        <f>IFERROR(VLOOKUP(N163,'TABLA-DIA'!$B$2:$P$62,11,FALSE),"")</f>
        <v/>
      </c>
      <c r="J163" s="549" t="str">
        <f>IFERROR(VLOOKUP(N163,'TABLA-DIA'!$B$2:$P$62,12,FALSE),"")</f>
        <v/>
      </c>
      <c r="K163" s="557" t="str">
        <f>IFERROR(VLOOKUP(N163,'TABLA-DIA'!$B$2:$P$62,13,FALSE),"")</f>
        <v/>
      </c>
      <c r="L163" s="603" t="str">
        <f>IFERROR(IF(VLOOKUP(N163,'TABLA-DIA'!$B$2:$P$62,14,FALSE)="","",VLOOKUP(N163,'TABLA-DIA'!$B$2:$P$62,14,FALSE)),"")</f>
        <v/>
      </c>
      <c r="M163" s="590">
        <f t="shared" si="6"/>
        <v>4</v>
      </c>
      <c r="N163" s="125" t="str">
        <f t="shared" si="5"/>
        <v>CORTADORA DE TURRON-4</v>
      </c>
    </row>
    <row r="164" spans="2:15" ht="95.25" hidden="1" customHeight="1">
      <c r="B164" s="742"/>
      <c r="C164" s="564" t="str">
        <f>IFERROR(VLOOKUP(N164,'TABLA-DIA'!$B$2:$P$62,9,FALSE),"")</f>
        <v/>
      </c>
      <c r="D164" s="565" t="str">
        <f>IFERROR(VLOOKUP(N164,'TABLA-DIA'!$B$2:$P$62,4,FALSE),"")</f>
        <v/>
      </c>
      <c r="E164" s="566" t="str">
        <f>IFERROR(VLOOKUP(N164,'TABLA-DIA'!$B$2:$P$62,5,FALSE),"")</f>
        <v/>
      </c>
      <c r="F164" s="566" t="str">
        <f>IFERROR(VLOOKUP(N164,'TABLA-DIA'!$B$2:$P$62,6,FALSE),"")</f>
        <v/>
      </c>
      <c r="G164" s="542" t="str">
        <f>IFERROR(VLOOKUP(N164,'TABLA-DIA'!$B$2:$P$62,7,FALSE),"")</f>
        <v/>
      </c>
      <c r="H164" s="582" t="str">
        <f>IFERROR(VLOOKUP(N164,'TABLA-DIA'!$B$2:$P$62,10,FALSE),"")</f>
        <v/>
      </c>
      <c r="I164" s="548" t="str">
        <f>IFERROR(VLOOKUP(N164,'TABLA-DIA'!$B$2:$P$62,11,FALSE),"")</f>
        <v/>
      </c>
      <c r="J164" s="549" t="str">
        <f>IFERROR(VLOOKUP(N164,'TABLA-DIA'!$B$2:$P$62,12,FALSE),"")</f>
        <v/>
      </c>
      <c r="K164" s="557" t="str">
        <f>IFERROR(VLOOKUP(N164,'TABLA-DIA'!$B$2:$P$62,13,FALSE),"")</f>
        <v/>
      </c>
      <c r="L164" s="603" t="str">
        <f>IFERROR(IF(VLOOKUP(N164,'TABLA-DIA'!$B$2:$P$62,14,FALSE)="","",VLOOKUP(N164,'TABLA-DIA'!$B$2:$P$62,14,FALSE)),"")</f>
        <v/>
      </c>
      <c r="M164" s="590">
        <f t="shared" si="6"/>
        <v>5</v>
      </c>
      <c r="N164" s="125" t="str">
        <f t="shared" si="5"/>
        <v>CORTADORA DE TURRON-5</v>
      </c>
    </row>
    <row r="165" spans="2:15" ht="112.5" hidden="1" customHeight="1">
      <c r="B165" s="742"/>
      <c r="C165" s="564" t="str">
        <f>IFERROR(VLOOKUP(N165,'TABLA-DIA'!$B$2:$P$62,9,FALSE),"")</f>
        <v/>
      </c>
      <c r="D165" s="565" t="str">
        <f>IFERROR(VLOOKUP(N165,'TABLA-DIA'!$B$2:$P$62,4,FALSE),"")</f>
        <v/>
      </c>
      <c r="E165" s="566" t="str">
        <f>IFERROR(VLOOKUP(N165,'TABLA-DIA'!$B$2:$P$62,5,FALSE),"")</f>
        <v/>
      </c>
      <c r="F165" s="566" t="str">
        <f>IFERROR(VLOOKUP(N165,'TABLA-DIA'!$B$2:$P$62,6,FALSE),"")</f>
        <v/>
      </c>
      <c r="G165" s="542" t="str">
        <f>IFERROR(VLOOKUP(N165,'TABLA-DIA'!$B$2:$P$62,7,FALSE),"")</f>
        <v/>
      </c>
      <c r="H165" s="582" t="str">
        <f>IFERROR(VLOOKUP(N165,'TABLA-DIA'!$B$2:$P$62,10,FALSE),"")</f>
        <v/>
      </c>
      <c r="I165" s="548" t="str">
        <f>IFERROR(VLOOKUP(N165,'TABLA-DIA'!$B$2:$P$62,11,FALSE),"")</f>
        <v/>
      </c>
      <c r="J165" s="549" t="str">
        <f>IFERROR(VLOOKUP(N165,'TABLA-DIA'!$B$2:$P$62,12,FALSE),"")</f>
        <v/>
      </c>
      <c r="K165" s="557" t="str">
        <f>IFERROR(VLOOKUP(N165,'TABLA-DIA'!$B$2:$P$62,13,FALSE),"")</f>
        <v/>
      </c>
      <c r="L165" s="603" t="str">
        <f>IFERROR(IF(VLOOKUP(N165,'TABLA-DIA'!$B$2:$P$62,14,FALSE)="","",VLOOKUP(N165,'TABLA-DIA'!$B$2:$P$62,14,FALSE)),"")</f>
        <v/>
      </c>
      <c r="M165" s="590">
        <f t="shared" si="6"/>
        <v>6</v>
      </c>
      <c r="N165" s="125" t="str">
        <f t="shared" si="5"/>
        <v>CORTADORA DE TURRON-6</v>
      </c>
    </row>
    <row r="166" spans="2:15" ht="116.25" hidden="1" customHeight="1">
      <c r="B166" s="742"/>
      <c r="C166" s="564" t="str">
        <f>IFERROR(VLOOKUP(N166,'TABLA-DIA'!$B$2:$P$62,9,FALSE),"")</f>
        <v/>
      </c>
      <c r="D166" s="565" t="str">
        <f>IFERROR(VLOOKUP(N166,'TABLA-DIA'!$B$2:$P$62,4,FALSE),"")</f>
        <v/>
      </c>
      <c r="E166" s="566" t="str">
        <f>IFERROR(VLOOKUP(N166,'TABLA-DIA'!$B$2:$P$62,5,FALSE),"")</f>
        <v/>
      </c>
      <c r="F166" s="566" t="str">
        <f>IFERROR(VLOOKUP(N166,'TABLA-DIA'!$B$2:$P$62,6,FALSE),"")</f>
        <v/>
      </c>
      <c r="G166" s="542" t="str">
        <f>IFERROR(VLOOKUP(N166,'TABLA-DIA'!$B$2:$P$62,7,FALSE),"")</f>
        <v/>
      </c>
      <c r="H166" s="582" t="str">
        <f>IFERROR(VLOOKUP(N166,'TABLA-DIA'!$B$2:$P$62,10,FALSE),"")</f>
        <v/>
      </c>
      <c r="I166" s="548" t="str">
        <f>IFERROR(VLOOKUP(N166,'TABLA-DIA'!$B$2:$P$62,11,FALSE),"")</f>
        <v/>
      </c>
      <c r="J166" s="549" t="str">
        <f>IFERROR(VLOOKUP(N166,'TABLA-DIA'!$B$2:$P$62,12,FALSE),"")</f>
        <v/>
      </c>
      <c r="K166" s="557" t="str">
        <f>IFERROR(VLOOKUP(N166,'TABLA-DIA'!$B$2:$P$62,13,FALSE),"")</f>
        <v/>
      </c>
      <c r="L166" s="603" t="str">
        <f>IFERROR(IF(VLOOKUP(N166,'TABLA-DIA'!$B$2:$P$62,14,FALSE)="","",VLOOKUP(N166,'TABLA-DIA'!$B$2:$P$62,14,FALSE)),"")</f>
        <v/>
      </c>
      <c r="M166" s="590">
        <f t="shared" si="6"/>
        <v>7</v>
      </c>
      <c r="N166" s="125" t="str">
        <f t="shared" si="5"/>
        <v>CORTADORA DE TURRON-7</v>
      </c>
    </row>
    <row r="167" spans="2:15" ht="116.25" hidden="1" customHeight="1">
      <c r="B167" s="742"/>
      <c r="C167" s="564" t="str">
        <f>IFERROR(VLOOKUP(N167,'TABLA-DIA'!$B$2:$P$62,9,FALSE),"")</f>
        <v/>
      </c>
      <c r="D167" s="565" t="str">
        <f>IFERROR(VLOOKUP(N167,'TABLA-DIA'!$B$2:$P$62,4,FALSE),"")</f>
        <v/>
      </c>
      <c r="E167" s="566" t="str">
        <f>IFERROR(VLOOKUP(N167,'TABLA-DIA'!$B$2:$P$62,5,FALSE),"")</f>
        <v/>
      </c>
      <c r="F167" s="566" t="str">
        <f>IFERROR(VLOOKUP(N167,'TABLA-DIA'!$B$2:$P$62,6,FALSE),"")</f>
        <v/>
      </c>
      <c r="G167" s="542" t="str">
        <f>IFERROR(VLOOKUP(N167,'TABLA-DIA'!$B$2:$P$62,7,FALSE),"")</f>
        <v/>
      </c>
      <c r="H167" s="582" t="str">
        <f>IFERROR(VLOOKUP(N167,'TABLA-DIA'!$B$2:$P$62,10,FALSE),"")</f>
        <v/>
      </c>
      <c r="I167" s="548" t="str">
        <f>IFERROR(VLOOKUP(N167,'TABLA-DIA'!$B$2:$P$62,11,FALSE),"")</f>
        <v/>
      </c>
      <c r="J167" s="549" t="str">
        <f>IFERROR(VLOOKUP(N167,'TABLA-DIA'!$B$2:$P$62,12,FALSE),"")</f>
        <v/>
      </c>
      <c r="K167" s="557" t="str">
        <f>IFERROR(VLOOKUP(N167,'TABLA-DIA'!$B$2:$P$62,13,FALSE),"")</f>
        <v/>
      </c>
      <c r="L167" s="603" t="str">
        <f>IFERROR(IF(VLOOKUP(N167,'TABLA-DIA'!$B$2:$P$62,14,FALSE)="","",VLOOKUP(N167,'TABLA-DIA'!$B$2:$P$62,14,FALSE)),"")</f>
        <v/>
      </c>
      <c r="M167" s="590">
        <f t="shared" si="6"/>
        <v>8</v>
      </c>
      <c r="N167" s="125" t="str">
        <f t="shared" si="5"/>
        <v>CORTADORA DE TURRON-8</v>
      </c>
    </row>
    <row r="168" spans="2:15" ht="116.25" hidden="1" customHeight="1">
      <c r="B168" s="742"/>
      <c r="C168" s="564" t="str">
        <f>IFERROR(VLOOKUP(N168,'TABLA-DIA'!$B$2:$P$62,9,FALSE),"")</f>
        <v/>
      </c>
      <c r="D168" s="565" t="str">
        <f>IFERROR(VLOOKUP(N168,'TABLA-DIA'!$B$2:$P$62,4,FALSE),"")</f>
        <v/>
      </c>
      <c r="E168" s="566" t="str">
        <f>IFERROR(VLOOKUP(N168,'TABLA-DIA'!$B$2:$P$62,5,FALSE),"")</f>
        <v/>
      </c>
      <c r="F168" s="566" t="str">
        <f>IFERROR(VLOOKUP(N168,'TABLA-DIA'!$B$2:$P$62,6,FALSE),"")</f>
        <v/>
      </c>
      <c r="G168" s="542" t="str">
        <f>IFERROR(VLOOKUP(N168,'TABLA-DIA'!$B$2:$P$62,7,FALSE),"")</f>
        <v/>
      </c>
      <c r="H168" s="582" t="str">
        <f>IFERROR(VLOOKUP(N168,'TABLA-DIA'!$B$2:$P$62,10,FALSE),"")</f>
        <v/>
      </c>
      <c r="I168" s="548" t="str">
        <f>IFERROR(VLOOKUP(N168,'TABLA-DIA'!$B$2:$P$62,11,FALSE),"")</f>
        <v/>
      </c>
      <c r="J168" s="549" t="str">
        <f>IFERROR(VLOOKUP(N168,'TABLA-DIA'!$B$2:$P$62,12,FALSE),"")</f>
        <v/>
      </c>
      <c r="K168" s="557" t="str">
        <f>IFERROR(VLOOKUP(N168,'TABLA-DIA'!$B$2:$P$62,13,FALSE),"")</f>
        <v/>
      </c>
      <c r="L168" s="603" t="str">
        <f>IFERROR(IF(VLOOKUP(N168,'TABLA-DIA'!$B$2:$P$62,14,FALSE)="","",VLOOKUP(N168,'TABLA-DIA'!$B$2:$P$62,14,FALSE)),"")</f>
        <v/>
      </c>
      <c r="M168" s="590">
        <f t="shared" si="6"/>
        <v>9</v>
      </c>
      <c r="N168" s="125" t="str">
        <f t="shared" si="5"/>
        <v>CORTADORA DE TURRON-9</v>
      </c>
    </row>
    <row r="169" spans="2:15" ht="116.25" hidden="1" customHeight="1" thickBot="1">
      <c r="B169" s="743"/>
      <c r="C169" s="572" t="str">
        <f>IFERROR(VLOOKUP(N169,'TABLA-DIA'!$B$2:$P$62,9,FALSE),"")</f>
        <v/>
      </c>
      <c r="D169" s="567" t="str">
        <f>IFERROR(VLOOKUP(N169,'TABLA-DIA'!$B$2:$P$62,4,FALSE),"")</f>
        <v/>
      </c>
      <c r="E169" s="568" t="str">
        <f>IFERROR(VLOOKUP(N169,'TABLA-DIA'!$B$2:$P$62,5,FALSE),"")</f>
        <v/>
      </c>
      <c r="F169" s="568" t="str">
        <f>IFERROR(VLOOKUP(N169,'TABLA-DIA'!$B$2:$P$62,6,FALSE),"")</f>
        <v/>
      </c>
      <c r="G169" s="543" t="str">
        <f>IFERROR(VLOOKUP(N169,'TABLA-DIA'!$B$2:$P$62,7,FALSE),"")</f>
        <v/>
      </c>
      <c r="H169" s="583" t="str">
        <f>IFERROR(VLOOKUP(N169,'TABLA-DIA'!$B$2:$P$62,10,FALSE),"")</f>
        <v/>
      </c>
      <c r="I169" s="550" t="str">
        <f>IFERROR(VLOOKUP(N169,'TABLA-DIA'!$B$2:$P$62,11,FALSE),"")</f>
        <v/>
      </c>
      <c r="J169" s="551" t="str">
        <f>IFERROR(VLOOKUP(N169,'TABLA-DIA'!$B$2:$P$62,12,FALSE),"")</f>
        <v/>
      </c>
      <c r="K169" s="558" t="str">
        <f>IFERROR(VLOOKUP(N169,'TABLA-DIA'!$B$2:$P$62,13,FALSE),"")</f>
        <v/>
      </c>
      <c r="L169" s="604" t="str">
        <f>IFERROR(IF(VLOOKUP(N169,'TABLA-DIA'!$B$2:$P$62,14,FALSE)="","",VLOOKUP(N169,'TABLA-DIA'!$B$2:$P$62,14,FALSE)),"")</f>
        <v/>
      </c>
      <c r="M169" s="591">
        <f t="shared" si="6"/>
        <v>10</v>
      </c>
      <c r="N169" s="135" t="str">
        <f t="shared" si="5"/>
        <v>CORTADORA DE TURRON-10</v>
      </c>
    </row>
    <row r="170" spans="2:15" ht="82.5" customHeight="1">
      <c r="B170" s="741" t="str">
        <f>+'TABLA-DIA'!B155</f>
        <v>TEMPERADORA CHOCOLATIER</v>
      </c>
      <c r="C170" s="569" t="str">
        <f>IFERROR(VLOOKUP(N170,'TABLA-DIA'!$B$2:$P$62,9,FALSE),"")</f>
        <v/>
      </c>
      <c r="D170" s="570" t="str">
        <f>IFERROR(VLOOKUP(N170,'TABLA-DIA'!$B$2:$P$62,4,FALSE),"")</f>
        <v/>
      </c>
      <c r="E170" s="571" t="str">
        <f>IFERROR(VLOOKUP(N170,'TABLA-DIA'!$B$2:$P$62,5,FALSE),"")</f>
        <v/>
      </c>
      <c r="F170" s="571" t="str">
        <f>IFERROR(VLOOKUP(N170,'TABLA-DIA'!$B$2:$P$62,6,FALSE),"")</f>
        <v/>
      </c>
      <c r="G170" s="544" t="str">
        <f>IFERROR(VLOOKUP(N170,'TABLA-DIA'!$B$2:$P$62,7,FALSE),"")</f>
        <v/>
      </c>
      <c r="H170" s="584" t="str">
        <f>IFERROR(VLOOKUP(N170,'TABLA-DIA'!$B$2:$P$62,10,FALSE),"")</f>
        <v/>
      </c>
      <c r="I170" s="552" t="str">
        <f>IFERROR(VLOOKUP(N170,'TABLA-DIA'!$B$2:$P$62,11,FALSE),"")</f>
        <v/>
      </c>
      <c r="J170" s="553" t="str">
        <f>IFERROR(VLOOKUP(N170,'TABLA-DIA'!$B$2:$P$62,12,FALSE),"")</f>
        <v/>
      </c>
      <c r="K170" s="559" t="str">
        <f>IFERROR(VLOOKUP(N170,'TABLA-DIA'!$B$2:$P$62,13,FALSE),"")</f>
        <v/>
      </c>
      <c r="L170" s="605" t="str">
        <f>IFERROR(IF(VLOOKUP(N170,'TABLA-DIA'!$B$2:$P$62,14,FALSE)="","",VLOOKUP(N170,'TABLA-DIA'!$B$2:$P$62,14,FALSE)),"")</f>
        <v/>
      </c>
      <c r="M170" s="589">
        <v>1</v>
      </c>
      <c r="N170" s="98" t="str">
        <f t="shared" ref="N170:N179" si="7">CONCATENATE($B$170,"-",M170)</f>
        <v>TEMPERADORA CHOCOLATIER-1</v>
      </c>
      <c r="O170" s="91">
        <f>COUNTIF(G170:G178,"&lt;&gt;**")</f>
        <v>0</v>
      </c>
    </row>
    <row r="171" spans="2:15" ht="82.5" customHeight="1">
      <c r="B171" s="742"/>
      <c r="C171" s="564" t="str">
        <f>IFERROR(VLOOKUP(N171,'TABLA-DIA'!$B$2:$P$62,9,FALSE),"")</f>
        <v/>
      </c>
      <c r="D171" s="565" t="str">
        <f>IFERROR(VLOOKUP(N171,'TABLA-DIA'!$B$2:$P$62,4,FALSE),"")</f>
        <v/>
      </c>
      <c r="E171" s="566" t="str">
        <f>IFERROR(VLOOKUP(N171,'TABLA-DIA'!$B$2:$P$62,5,FALSE),"")</f>
        <v/>
      </c>
      <c r="F171" s="566" t="str">
        <f>IFERROR(VLOOKUP(N171,'TABLA-DIA'!$B$2:$P$62,6,FALSE),"")</f>
        <v/>
      </c>
      <c r="G171" s="542" t="str">
        <f>IFERROR(VLOOKUP(N171,'TABLA-DIA'!$B$2:$P$62,7,FALSE),"")</f>
        <v/>
      </c>
      <c r="H171" s="582" t="str">
        <f>IFERROR(VLOOKUP(N171,'TABLA-DIA'!$B$2:$P$62,10,FALSE),"")</f>
        <v/>
      </c>
      <c r="I171" s="548" t="str">
        <f>IFERROR(VLOOKUP(N171,'TABLA-DIA'!$B$2:$P$62,11,FALSE),"")</f>
        <v/>
      </c>
      <c r="J171" s="549" t="str">
        <f>IFERROR(VLOOKUP(N171,'TABLA-DIA'!$B$2:$P$62,12,FALSE),"")</f>
        <v/>
      </c>
      <c r="K171" s="557" t="str">
        <f>IFERROR(VLOOKUP(N171,'TABLA-DIA'!$B$2:$P$62,13,FALSE),"")</f>
        <v/>
      </c>
      <c r="L171" s="603" t="str">
        <f>IFERROR(IF(VLOOKUP(N171,'TABLA-DIA'!$B$2:$P$62,14,FALSE)="","",VLOOKUP(N171,'TABLA-DIA'!$B$2:$P$62,14,FALSE)),"")</f>
        <v/>
      </c>
      <c r="M171" s="590">
        <f t="shared" ref="M171:M179" si="8">+M170+1</f>
        <v>2</v>
      </c>
      <c r="N171" s="125" t="str">
        <f t="shared" si="7"/>
        <v>TEMPERADORA CHOCOLATIER-2</v>
      </c>
    </row>
    <row r="172" spans="2:15" ht="82.5" customHeight="1" thickBot="1">
      <c r="B172" s="742"/>
      <c r="C172" s="564" t="str">
        <f>IFERROR(VLOOKUP(N172,'TABLA-DIA'!$B$2:$P$62,9,FALSE),"")</f>
        <v/>
      </c>
      <c r="D172" s="565" t="str">
        <f>IFERROR(VLOOKUP(N172,'TABLA-DIA'!$B$2:$P$62,4,FALSE),"")</f>
        <v/>
      </c>
      <c r="E172" s="566" t="str">
        <f>IFERROR(VLOOKUP(N172,'TABLA-DIA'!$B$2:$P$62,5,FALSE),"")</f>
        <v/>
      </c>
      <c r="F172" s="566" t="str">
        <f>IFERROR(VLOOKUP(N172,'TABLA-DIA'!$B$2:$P$62,6,FALSE),"")</f>
        <v/>
      </c>
      <c r="G172" s="542" t="str">
        <f>IFERROR(VLOOKUP(N172,'TABLA-DIA'!$B$2:$P$62,7,FALSE),"")</f>
        <v/>
      </c>
      <c r="H172" s="582" t="str">
        <f>IFERROR(VLOOKUP(N172,'TABLA-DIA'!$B$2:$P$62,10,FALSE),"")</f>
        <v/>
      </c>
      <c r="I172" s="548" t="str">
        <f>IFERROR(VLOOKUP(N172,'TABLA-DIA'!$B$2:$P$62,11,FALSE),"")</f>
        <v/>
      </c>
      <c r="J172" s="549" t="str">
        <f>IFERROR(VLOOKUP(N172,'TABLA-DIA'!$B$2:$P$62,12,FALSE),"")</f>
        <v/>
      </c>
      <c r="K172" s="557" t="str">
        <f>IFERROR(VLOOKUP(N172,'TABLA-DIA'!$B$2:$P$62,13,FALSE),"")</f>
        <v/>
      </c>
      <c r="L172" s="603" t="str">
        <f>IFERROR(IF(VLOOKUP(N172,'TABLA-DIA'!$B$2:$P$62,14,FALSE)="","",VLOOKUP(N172,'TABLA-DIA'!$B$2:$P$62,14,FALSE)),"")</f>
        <v/>
      </c>
      <c r="M172" s="590">
        <f t="shared" si="8"/>
        <v>3</v>
      </c>
      <c r="N172" s="125" t="str">
        <f t="shared" si="7"/>
        <v>TEMPERADORA CHOCOLATIER-3</v>
      </c>
    </row>
    <row r="173" spans="2:15" ht="82.5" hidden="1" customHeight="1">
      <c r="B173" s="742"/>
      <c r="C173" s="564" t="str">
        <f>IFERROR(VLOOKUP(N173,'TABLA-DIA'!$B$2:$P$62,9,FALSE),"")</f>
        <v/>
      </c>
      <c r="D173" s="565" t="str">
        <f>IFERROR(VLOOKUP(N173,'TABLA-DIA'!$B$2:$P$62,4,FALSE),"")</f>
        <v/>
      </c>
      <c r="E173" s="566" t="str">
        <f>IFERROR(VLOOKUP(N173,'TABLA-DIA'!$B$2:$P$62,5,FALSE),"")</f>
        <v/>
      </c>
      <c r="F173" s="566" t="str">
        <f>IFERROR(VLOOKUP(N173,'TABLA-DIA'!$B$2:$P$62,6,FALSE),"")</f>
        <v/>
      </c>
      <c r="G173" s="542" t="str">
        <f>IFERROR(VLOOKUP(N173,'TABLA-DIA'!$B$2:$P$62,7,FALSE),"")</f>
        <v/>
      </c>
      <c r="H173" s="582" t="str">
        <f>IFERROR(VLOOKUP(N173,'TABLA-DIA'!$B$2:$P$62,10,FALSE),"")</f>
        <v/>
      </c>
      <c r="I173" s="548" t="str">
        <f>IFERROR(VLOOKUP(N173,'TABLA-DIA'!$B$2:$P$62,11,FALSE),"")</f>
        <v/>
      </c>
      <c r="J173" s="549" t="str">
        <f>IFERROR(VLOOKUP(N173,'TABLA-DIA'!$B$2:$P$62,12,FALSE),"")</f>
        <v/>
      </c>
      <c r="K173" s="557" t="str">
        <f>IFERROR(VLOOKUP(N173,'TABLA-DIA'!$B$2:$P$62,13,FALSE),"")</f>
        <v/>
      </c>
      <c r="L173" s="603" t="str">
        <f>IFERROR(IF(VLOOKUP(N173,'TABLA-DIA'!$B$2:$P$62,14,FALSE)="","",VLOOKUP(N173,'TABLA-DIA'!$B$2:$P$62,14,FALSE)),"")</f>
        <v/>
      </c>
      <c r="M173" s="590">
        <f t="shared" si="8"/>
        <v>4</v>
      </c>
      <c r="N173" s="125" t="str">
        <f t="shared" si="7"/>
        <v>TEMPERADORA CHOCOLATIER-4</v>
      </c>
    </row>
    <row r="174" spans="2:15" ht="112.5" hidden="1" customHeight="1">
      <c r="B174" s="742"/>
      <c r="C174" s="564" t="str">
        <f>IFERROR(VLOOKUP(N174,'TABLA-DIA'!$B$2:$P$62,9,FALSE),"")</f>
        <v/>
      </c>
      <c r="D174" s="565" t="str">
        <f>IFERROR(VLOOKUP(N174,'TABLA-DIA'!$B$2:$P$62,4,FALSE),"")</f>
        <v/>
      </c>
      <c r="E174" s="566" t="str">
        <f>IFERROR(VLOOKUP(N174,'TABLA-DIA'!$B$2:$P$62,5,FALSE),"")</f>
        <v/>
      </c>
      <c r="F174" s="566" t="str">
        <f>IFERROR(VLOOKUP(N174,'TABLA-DIA'!$B$2:$P$62,6,FALSE),"")</f>
        <v/>
      </c>
      <c r="G174" s="542" t="str">
        <f>IFERROR(VLOOKUP(N174,'TABLA-DIA'!$B$2:$P$62,7,FALSE),"")</f>
        <v/>
      </c>
      <c r="H174" s="582" t="str">
        <f>IFERROR(VLOOKUP(N174,'TABLA-DIA'!$B$2:$P$62,10,FALSE),"")</f>
        <v/>
      </c>
      <c r="I174" s="548" t="str">
        <f>IFERROR(VLOOKUP(N174,'TABLA-DIA'!$B$2:$P$62,11,FALSE),"")</f>
        <v/>
      </c>
      <c r="J174" s="549" t="str">
        <f>IFERROR(VLOOKUP(N174,'TABLA-DIA'!$B$2:$P$62,12,FALSE),"")</f>
        <v/>
      </c>
      <c r="K174" s="557" t="str">
        <f>IFERROR(VLOOKUP(N174,'TABLA-DIA'!$B$2:$P$62,13,FALSE),"")</f>
        <v/>
      </c>
      <c r="L174" s="603" t="str">
        <f>IFERROR(IF(VLOOKUP(N174,'TABLA-DIA'!$B$2:$P$62,14,FALSE)="","",VLOOKUP(N174,'TABLA-DIA'!$B$2:$P$62,14,FALSE)),"")</f>
        <v/>
      </c>
      <c r="M174" s="590">
        <f t="shared" si="8"/>
        <v>5</v>
      </c>
      <c r="N174" s="125" t="str">
        <f t="shared" si="7"/>
        <v>TEMPERADORA CHOCOLATIER-5</v>
      </c>
    </row>
    <row r="175" spans="2:15" ht="112.5" hidden="1" customHeight="1">
      <c r="B175" s="742"/>
      <c r="C175" s="564" t="str">
        <f>IFERROR(VLOOKUP(N175,'TABLA-DIA'!$B$2:$P$62,9,FALSE),"")</f>
        <v/>
      </c>
      <c r="D175" s="565" t="str">
        <f>IFERROR(VLOOKUP(N175,'TABLA-DIA'!$B$2:$P$62,4,FALSE),"")</f>
        <v/>
      </c>
      <c r="E175" s="566" t="str">
        <f>IFERROR(VLOOKUP(N175,'TABLA-DIA'!$B$2:$P$62,5,FALSE),"")</f>
        <v/>
      </c>
      <c r="F175" s="566" t="str">
        <f>IFERROR(VLOOKUP(N175,'TABLA-DIA'!$B$2:$P$62,6,FALSE),"")</f>
        <v/>
      </c>
      <c r="G175" s="542" t="str">
        <f>IFERROR(VLOOKUP(N175,'TABLA-DIA'!$B$2:$P$62,7,FALSE),"")</f>
        <v/>
      </c>
      <c r="H175" s="582" t="str">
        <f>IFERROR(VLOOKUP(N175,'TABLA-DIA'!$B$2:$P$62,10,FALSE),"")</f>
        <v/>
      </c>
      <c r="I175" s="548" t="str">
        <f>IFERROR(VLOOKUP(N175,'TABLA-DIA'!$B$2:$P$62,11,FALSE),"")</f>
        <v/>
      </c>
      <c r="J175" s="549" t="str">
        <f>IFERROR(VLOOKUP(N175,'TABLA-DIA'!$B$2:$P$62,12,FALSE),"")</f>
        <v/>
      </c>
      <c r="K175" s="557" t="str">
        <f>IFERROR(VLOOKUP(N175,'TABLA-DIA'!$B$2:$P$62,13,FALSE),"")</f>
        <v/>
      </c>
      <c r="L175" s="603" t="str">
        <f>IFERROR(IF(VLOOKUP(N175,'TABLA-DIA'!$B$2:$P$62,14,FALSE)="","",VLOOKUP(N175,'TABLA-DIA'!$B$2:$P$62,14,FALSE)),"")</f>
        <v/>
      </c>
      <c r="M175" s="590">
        <f t="shared" si="8"/>
        <v>6</v>
      </c>
      <c r="N175" s="125" t="str">
        <f t="shared" si="7"/>
        <v>TEMPERADORA CHOCOLATIER-6</v>
      </c>
    </row>
    <row r="176" spans="2:15" ht="112.5" hidden="1" customHeight="1">
      <c r="B176" s="742"/>
      <c r="C176" s="564" t="str">
        <f>IFERROR(VLOOKUP(N176,'TABLA-DIA'!$B$2:$P$62,9,FALSE),"")</f>
        <v/>
      </c>
      <c r="D176" s="565" t="str">
        <f>IFERROR(VLOOKUP(N176,'TABLA-DIA'!$B$2:$P$62,4,FALSE),"")</f>
        <v/>
      </c>
      <c r="E176" s="566" t="str">
        <f>IFERROR(VLOOKUP(N176,'TABLA-DIA'!$B$2:$P$62,5,FALSE),"")</f>
        <v/>
      </c>
      <c r="F176" s="566" t="str">
        <f>IFERROR(VLOOKUP(N176,'TABLA-DIA'!$B$2:$P$62,6,FALSE),"")</f>
        <v/>
      </c>
      <c r="G176" s="542" t="str">
        <f>IFERROR(VLOOKUP(N176,'TABLA-DIA'!$B$2:$P$62,7,FALSE),"")</f>
        <v/>
      </c>
      <c r="H176" s="582" t="str">
        <f>IFERROR(VLOOKUP(N176,'TABLA-DIA'!$B$2:$P$62,10,FALSE),"")</f>
        <v/>
      </c>
      <c r="I176" s="548" t="str">
        <f>IFERROR(VLOOKUP(N176,'TABLA-DIA'!$B$2:$P$62,11,FALSE),"")</f>
        <v/>
      </c>
      <c r="J176" s="549" t="str">
        <f>IFERROR(VLOOKUP(N176,'TABLA-DIA'!$B$2:$P$62,12,FALSE),"")</f>
        <v/>
      </c>
      <c r="K176" s="557" t="str">
        <f>IFERROR(VLOOKUP(N176,'TABLA-DIA'!$B$2:$P$62,13,FALSE),"")</f>
        <v/>
      </c>
      <c r="L176" s="603" t="str">
        <f>IFERROR(IF(VLOOKUP(N176,'TABLA-DIA'!$B$2:$P$62,14,FALSE)="","",VLOOKUP(N176,'TABLA-DIA'!$B$2:$P$62,14,FALSE)),"")</f>
        <v/>
      </c>
      <c r="M176" s="590">
        <f t="shared" si="8"/>
        <v>7</v>
      </c>
      <c r="N176" s="125" t="str">
        <f t="shared" si="7"/>
        <v>TEMPERADORA CHOCOLATIER-7</v>
      </c>
    </row>
    <row r="177" spans="2:15" ht="112.5" hidden="1" customHeight="1">
      <c r="B177" s="742"/>
      <c r="C177" s="564" t="str">
        <f>IFERROR(VLOOKUP(N177,'TABLA-DIA'!$B$2:$P$62,9,FALSE),"")</f>
        <v/>
      </c>
      <c r="D177" s="565" t="str">
        <f>IFERROR(VLOOKUP(N177,'TABLA-DIA'!$B$2:$P$62,4,FALSE),"")</f>
        <v/>
      </c>
      <c r="E177" s="566" t="str">
        <f>IFERROR(VLOOKUP(N177,'TABLA-DIA'!$B$2:$P$62,5,FALSE),"")</f>
        <v/>
      </c>
      <c r="F177" s="566" t="str">
        <f>IFERROR(VLOOKUP(N177,'TABLA-DIA'!$B$2:$P$62,6,FALSE),"")</f>
        <v/>
      </c>
      <c r="G177" s="542" t="str">
        <f>IFERROR(VLOOKUP(N177,'TABLA-DIA'!$B$2:$P$62,7,FALSE),"")</f>
        <v/>
      </c>
      <c r="H177" s="582" t="str">
        <f>IFERROR(VLOOKUP(N177,'TABLA-DIA'!$B$2:$P$62,10,FALSE),"")</f>
        <v/>
      </c>
      <c r="I177" s="548" t="str">
        <f>IFERROR(VLOOKUP(N177,'TABLA-DIA'!$B$2:$P$62,11,FALSE),"")</f>
        <v/>
      </c>
      <c r="J177" s="549" t="str">
        <f>IFERROR(VLOOKUP(N177,'TABLA-DIA'!$B$2:$P$62,12,FALSE),"")</f>
        <v/>
      </c>
      <c r="K177" s="557" t="str">
        <f>IFERROR(VLOOKUP(N177,'TABLA-DIA'!$B$2:$P$62,13,FALSE),"")</f>
        <v/>
      </c>
      <c r="L177" s="603" t="str">
        <f>IFERROR(IF(VLOOKUP(N177,'TABLA-DIA'!$B$2:$P$62,14,FALSE)="","",VLOOKUP(N177,'TABLA-DIA'!$B$2:$P$62,14,FALSE)),"")</f>
        <v/>
      </c>
      <c r="M177" s="590">
        <f t="shared" si="8"/>
        <v>8</v>
      </c>
      <c r="N177" s="125" t="str">
        <f t="shared" si="7"/>
        <v>TEMPERADORA CHOCOLATIER-8</v>
      </c>
    </row>
    <row r="178" spans="2:15" ht="112.5" hidden="1" customHeight="1">
      <c r="B178" s="742"/>
      <c r="C178" s="564" t="str">
        <f>IFERROR(VLOOKUP(N178,'TABLA-DIA'!$B$2:$P$62,9,FALSE),"")</f>
        <v/>
      </c>
      <c r="D178" s="565" t="str">
        <f>IFERROR(VLOOKUP(N178,'TABLA-DIA'!$B$2:$P$62,4,FALSE),"")</f>
        <v/>
      </c>
      <c r="E178" s="566" t="str">
        <f>IFERROR(VLOOKUP(N178,'TABLA-DIA'!$B$2:$P$62,5,FALSE),"")</f>
        <v/>
      </c>
      <c r="F178" s="566" t="str">
        <f>IFERROR(VLOOKUP(N178,'TABLA-DIA'!$B$2:$P$62,6,FALSE),"")</f>
        <v/>
      </c>
      <c r="G178" s="542" t="str">
        <f>IFERROR(VLOOKUP(N178,'TABLA-DIA'!$B$2:$P$62,7,FALSE),"")</f>
        <v/>
      </c>
      <c r="H178" s="582" t="str">
        <f>IFERROR(VLOOKUP(N178,'TABLA-DIA'!$B$2:$P$62,10,FALSE),"")</f>
        <v/>
      </c>
      <c r="I178" s="548" t="str">
        <f>IFERROR(VLOOKUP(N178,'TABLA-DIA'!$B$2:$P$62,11,FALSE),"")</f>
        <v/>
      </c>
      <c r="J178" s="549" t="str">
        <f>IFERROR(VLOOKUP(N178,'TABLA-DIA'!$B$2:$P$62,12,FALSE),"")</f>
        <v/>
      </c>
      <c r="K178" s="557" t="str">
        <f>IFERROR(VLOOKUP(N178,'TABLA-DIA'!$B$2:$P$62,13,FALSE),"")</f>
        <v/>
      </c>
      <c r="L178" s="603" t="str">
        <f>IFERROR(IF(VLOOKUP(N178,'TABLA-DIA'!$B$2:$P$62,14,FALSE)="","",VLOOKUP(N178,'TABLA-DIA'!$B$2:$P$62,14,FALSE)),"")</f>
        <v/>
      </c>
      <c r="M178" s="590">
        <f t="shared" si="8"/>
        <v>9</v>
      </c>
      <c r="N178" s="125" t="str">
        <f t="shared" si="7"/>
        <v>TEMPERADORA CHOCOLATIER-9</v>
      </c>
    </row>
    <row r="179" spans="2:15" ht="112.5" hidden="1" customHeight="1" thickBot="1">
      <c r="B179" s="743"/>
      <c r="C179" s="572" t="str">
        <f>IFERROR(VLOOKUP(N179,'TABLA-DIA'!$B$2:$P$62,9,FALSE),"")</f>
        <v/>
      </c>
      <c r="D179" s="567" t="str">
        <f>IFERROR(VLOOKUP(N179,'TABLA-DIA'!$B$2:$P$62,4,FALSE),"")</f>
        <v/>
      </c>
      <c r="E179" s="568" t="str">
        <f>IFERROR(VLOOKUP(N179,'TABLA-DIA'!$B$2:$P$62,5,FALSE),"")</f>
        <v/>
      </c>
      <c r="F179" s="568" t="str">
        <f>IFERROR(VLOOKUP(N179,'TABLA-DIA'!$B$2:$P$62,6,FALSE),"")</f>
        <v/>
      </c>
      <c r="G179" s="543" t="str">
        <f>IFERROR(VLOOKUP(N179,'TABLA-DIA'!$B$2:$P$62,7,FALSE),"")</f>
        <v/>
      </c>
      <c r="H179" s="583" t="str">
        <f>IFERROR(VLOOKUP(N179,'TABLA-DIA'!$B$2:$P$62,10,FALSE),"")</f>
        <v/>
      </c>
      <c r="I179" s="550" t="str">
        <f>IFERROR(VLOOKUP(N179,'TABLA-DIA'!$B$2:$P$62,11,FALSE),"")</f>
        <v/>
      </c>
      <c r="J179" s="551" t="str">
        <f>IFERROR(VLOOKUP(N179,'TABLA-DIA'!$B$2:$P$62,12,FALSE),"")</f>
        <v/>
      </c>
      <c r="K179" s="558" t="str">
        <f>IFERROR(VLOOKUP(N179,'TABLA-DIA'!$B$2:$P$62,13,FALSE),"")</f>
        <v/>
      </c>
      <c r="L179" s="604" t="str">
        <f>IFERROR(IF(VLOOKUP(N179,'TABLA-DIA'!$B$2:$P$62,14,FALSE)="","",VLOOKUP(N179,'TABLA-DIA'!$B$2:$P$62,14,FALSE)),"")</f>
        <v/>
      </c>
      <c r="M179" s="591">
        <f t="shared" si="8"/>
        <v>10</v>
      </c>
      <c r="N179" s="135" t="str">
        <f t="shared" si="7"/>
        <v>TEMPERADORA CHOCOLATIER-10</v>
      </c>
    </row>
    <row r="180" spans="2:15" ht="64.5" thickBot="1">
      <c r="B180" s="723" t="str">
        <f>+'TABLA-DIA'!B156</f>
        <v>EMP. SACMI</v>
      </c>
      <c r="C180" s="569" t="str">
        <f>IFERROR(VLOOKUP(N180,'TABLA-DIA'!$B$2:$P$62,9,FALSE),"")</f>
        <v/>
      </c>
      <c r="D180" s="570" t="str">
        <f>IFERROR(VLOOKUP(N180,'TABLA-DIA'!$B$2:$P$62,4,FALSE),"")</f>
        <v/>
      </c>
      <c r="E180" s="571" t="str">
        <f>IFERROR(VLOOKUP(N180,'TABLA-DIA'!$B$2:$P$62,5,FALSE),"")</f>
        <v/>
      </c>
      <c r="F180" s="571" t="str">
        <f>IFERROR(VLOOKUP(N180,'TABLA-DIA'!$B$2:$P$62,6,FALSE),"")</f>
        <v/>
      </c>
      <c r="G180" s="544" t="str">
        <f>IFERROR(VLOOKUP(N180,'TABLA-DIA'!$B$2:$P$62,7,FALSE),"")</f>
        <v/>
      </c>
      <c r="H180" s="584" t="str">
        <f>IFERROR(VLOOKUP(N180,'TABLA-DIA'!$B$2:$P$62,10,FALSE),"")</f>
        <v/>
      </c>
      <c r="I180" s="552" t="str">
        <f>IFERROR(VLOOKUP(N180,'TABLA-DIA'!$B$2:$P$62,11,FALSE),"")</f>
        <v/>
      </c>
      <c r="J180" s="553" t="str">
        <f>IFERROR(VLOOKUP(N180,'TABLA-DIA'!$B$2:$P$62,12,FALSE),"")</f>
        <v/>
      </c>
      <c r="K180" s="559" t="str">
        <f>IFERROR(VLOOKUP(N180,'TABLA-DIA'!$B$2:$P$62,13,FALSE),"")</f>
        <v/>
      </c>
      <c r="L180" s="605" t="str">
        <f>IFERROR(IF(VLOOKUP(N180,'TABLA-DIA'!$B$2:$P$62,14,FALSE)="","",VLOOKUP(N180,'TABLA-DIA'!$B$2:$P$62,14,FALSE)),"")</f>
        <v/>
      </c>
      <c r="M180" s="589">
        <v>1</v>
      </c>
      <c r="N180" s="98" t="str">
        <f t="shared" ref="N180:N189" si="9">CONCATENATE($B$180,"-",M180)</f>
        <v>EMP. SACMI-1</v>
      </c>
      <c r="O180" s="91">
        <f>COUNTIF(G180:G189,"&lt;&gt;**")</f>
        <v>0</v>
      </c>
    </row>
    <row r="181" spans="2:15" ht="84" customHeight="1">
      <c r="B181" s="724"/>
      <c r="C181" s="564" t="str">
        <f>IFERROR(VLOOKUP(N181,'TABLA-DIA'!$B$2:$P$62,9,FALSE),"")</f>
        <v/>
      </c>
      <c r="D181" s="570" t="str">
        <f>IFERROR(VLOOKUP(N181,'TABLA-DIA'!$B$2:$P$62,4,FALSE),"")</f>
        <v/>
      </c>
      <c r="E181" s="566" t="str">
        <f>IFERROR(VLOOKUP(N181,'TABLA-DIA'!$B$2:$P$62,5,FALSE),"")</f>
        <v/>
      </c>
      <c r="F181" s="566" t="str">
        <f>IFERROR(VLOOKUP(N181,'TABLA-DIA'!$B$2:$P$62,6,FALSE),"")</f>
        <v/>
      </c>
      <c r="G181" s="542" t="str">
        <f>IFERROR(VLOOKUP(N181,'TABLA-DIA'!$B$2:$P$62,7,FALSE),"")</f>
        <v/>
      </c>
      <c r="H181" s="582" t="str">
        <f>IFERROR(VLOOKUP(N181,'TABLA-DIA'!$B$2:$P$62,10,FALSE),"")</f>
        <v/>
      </c>
      <c r="I181" s="548" t="str">
        <f>IFERROR(VLOOKUP(N181,'TABLA-DIA'!$B$2:$P$62,11,FALSE),"")</f>
        <v/>
      </c>
      <c r="J181" s="549" t="str">
        <f>IFERROR(VLOOKUP(N181,'TABLA-DIA'!$B$2:$P$62,12,FALSE),"")</f>
        <v/>
      </c>
      <c r="K181" s="557" t="str">
        <f>IFERROR(VLOOKUP(N181,'TABLA-DIA'!$B$2:$P$62,13,FALSE),"")</f>
        <v/>
      </c>
      <c r="L181" s="603" t="str">
        <f>IFERROR(IF(VLOOKUP(N181,'TABLA-DIA'!$B$2:$P$62,14,FALSE)="","",VLOOKUP(N181,'TABLA-DIA'!$B$2:$P$62,14,FALSE)),"")</f>
        <v/>
      </c>
      <c r="M181" s="590">
        <f t="shared" ref="M181:M189" si="10">+M180+1</f>
        <v>2</v>
      </c>
      <c r="N181" s="125" t="str">
        <f t="shared" si="9"/>
        <v>EMP. SACMI-2</v>
      </c>
    </row>
    <row r="182" spans="2:15" ht="112.5" customHeight="1" thickBot="1">
      <c r="B182" s="724"/>
      <c r="C182" s="564" t="str">
        <f>IFERROR(VLOOKUP(N182,'TABLA-DIA'!$B$2:$P$62,9,FALSE),"")</f>
        <v/>
      </c>
      <c r="D182" s="565" t="str">
        <f>IFERROR(VLOOKUP(N182,'TABLA-DIA'!$B$2:$P$62,4,FALSE),"")</f>
        <v/>
      </c>
      <c r="E182" s="566" t="str">
        <f>IFERROR(VLOOKUP(N182,'TABLA-DIA'!$B$2:$P$62,5,FALSE),"")</f>
        <v/>
      </c>
      <c r="F182" s="566" t="str">
        <f>IFERROR(VLOOKUP(N182,'TABLA-DIA'!$B$2:$P$62,6,FALSE),"")</f>
        <v/>
      </c>
      <c r="G182" s="542" t="str">
        <f>IFERROR(VLOOKUP(N182,'TABLA-DIA'!$B$2:$P$62,7,FALSE),"")</f>
        <v/>
      </c>
      <c r="H182" s="582" t="str">
        <f>IFERROR(VLOOKUP(N182,'TABLA-DIA'!$B$2:$P$62,10,FALSE),"")</f>
        <v/>
      </c>
      <c r="I182" s="548" t="str">
        <f>IFERROR(VLOOKUP(N182,'TABLA-DIA'!$B$2:$P$62,11,FALSE),"")</f>
        <v/>
      </c>
      <c r="J182" s="549" t="str">
        <f>IFERROR(VLOOKUP(N182,'TABLA-DIA'!$B$2:$P$62,12,FALSE),"")</f>
        <v/>
      </c>
      <c r="K182" s="557" t="str">
        <f>IFERROR(VLOOKUP(N182,'TABLA-DIA'!$B$2:$P$62,13,FALSE),"")</f>
        <v/>
      </c>
      <c r="L182" s="603" t="str">
        <f>IFERROR(IF(VLOOKUP(N182,'TABLA-DIA'!$B$2:$P$62,14,FALSE)="","",VLOOKUP(N182,'TABLA-DIA'!$B$2:$P$62,14,FALSE)),"")</f>
        <v/>
      </c>
      <c r="M182" s="590">
        <f t="shared" si="10"/>
        <v>3</v>
      </c>
      <c r="N182" s="125" t="str">
        <f t="shared" si="9"/>
        <v>EMP. SACMI-3</v>
      </c>
    </row>
    <row r="183" spans="2:15" ht="112.5" hidden="1" customHeight="1">
      <c r="B183" s="724"/>
      <c r="C183" s="564" t="str">
        <f>IFERROR(VLOOKUP(N183,'TABLA-DIA'!$B$2:$P$62,9,FALSE),"")</f>
        <v/>
      </c>
      <c r="D183" s="565" t="str">
        <f>IFERROR(VLOOKUP(N183,'TABLA-DIA'!$B$2:$P$62,4,FALSE),"")</f>
        <v/>
      </c>
      <c r="E183" s="566" t="str">
        <f>IFERROR(VLOOKUP(N183,'TABLA-DIA'!$B$2:$P$62,5,FALSE),"")</f>
        <v/>
      </c>
      <c r="F183" s="566" t="str">
        <f>IFERROR(VLOOKUP(N183,'TABLA-DIA'!$B$2:$P$62,6,FALSE),"")</f>
        <v/>
      </c>
      <c r="G183" s="542" t="str">
        <f>IFERROR(VLOOKUP(N183,'TABLA-DIA'!$B$2:$P$62,7,FALSE),"")</f>
        <v/>
      </c>
      <c r="H183" s="582" t="str">
        <f>IFERROR(VLOOKUP(N183,'TABLA-DIA'!$B$2:$P$62,10,FALSE),"")</f>
        <v/>
      </c>
      <c r="I183" s="548" t="str">
        <f>IFERROR(VLOOKUP(N183,'TABLA-DIA'!$B$2:$P$62,11,FALSE),"")</f>
        <v/>
      </c>
      <c r="J183" s="549" t="str">
        <f>IFERROR(VLOOKUP(N183,'TABLA-DIA'!$B$2:$P$62,12,FALSE),"")</f>
        <v/>
      </c>
      <c r="K183" s="557" t="str">
        <f>IFERROR(VLOOKUP(N183,'TABLA-DIA'!$B$2:$P$62,13,FALSE),"")</f>
        <v/>
      </c>
      <c r="L183" s="603" t="str">
        <f>IFERROR(IF(VLOOKUP(N183,'TABLA-DIA'!$B$2:$P$62,14,FALSE)="","",VLOOKUP(N183,'TABLA-DIA'!$B$2:$P$62,14,FALSE)),"")</f>
        <v/>
      </c>
      <c r="M183" s="590">
        <f t="shared" si="10"/>
        <v>4</v>
      </c>
      <c r="N183" s="125" t="str">
        <f t="shared" si="9"/>
        <v>EMP. SACMI-4</v>
      </c>
    </row>
    <row r="184" spans="2:15" ht="112.5" hidden="1" customHeight="1">
      <c r="B184" s="724"/>
      <c r="C184" s="564" t="str">
        <f>IFERROR(VLOOKUP(N184,'TABLA-DIA'!$B$2:$P$62,9,FALSE),"")</f>
        <v/>
      </c>
      <c r="D184" s="565" t="str">
        <f>IFERROR(VLOOKUP(N184,'TABLA-DIA'!$B$2:$P$62,4,FALSE),"")</f>
        <v/>
      </c>
      <c r="E184" s="566" t="str">
        <f>IFERROR(VLOOKUP(N184,'TABLA-DIA'!$B$2:$P$62,5,FALSE),"")</f>
        <v/>
      </c>
      <c r="F184" s="566" t="str">
        <f>IFERROR(VLOOKUP(N184,'TABLA-DIA'!$B$2:$P$62,6,FALSE),"")</f>
        <v/>
      </c>
      <c r="G184" s="542" t="str">
        <f>IFERROR(VLOOKUP(N184,'TABLA-DIA'!$B$2:$P$62,7,FALSE),"")</f>
        <v/>
      </c>
      <c r="H184" s="582" t="str">
        <f>IFERROR(VLOOKUP(N184,'TABLA-DIA'!$B$2:$P$62,10,FALSE),"")</f>
        <v/>
      </c>
      <c r="I184" s="548" t="str">
        <f>IFERROR(VLOOKUP(N184,'TABLA-DIA'!$B$2:$P$62,11,FALSE),"")</f>
        <v/>
      </c>
      <c r="J184" s="549" t="str">
        <f>IFERROR(VLOOKUP(N184,'TABLA-DIA'!$B$2:$P$62,12,FALSE),"")</f>
        <v/>
      </c>
      <c r="K184" s="557" t="str">
        <f>IFERROR(VLOOKUP(N184,'TABLA-DIA'!$B$2:$P$62,13,FALSE),"")</f>
        <v/>
      </c>
      <c r="L184" s="603" t="str">
        <f>IFERROR(IF(VLOOKUP(N184,'TABLA-DIA'!$B$2:$P$62,14,FALSE)="","",VLOOKUP(N184,'TABLA-DIA'!$B$2:$P$62,14,FALSE)),"")</f>
        <v/>
      </c>
      <c r="M184" s="590">
        <f t="shared" si="10"/>
        <v>5</v>
      </c>
      <c r="N184" s="125" t="str">
        <f t="shared" si="9"/>
        <v>EMP. SACMI-5</v>
      </c>
    </row>
    <row r="185" spans="2:15" ht="112.5" hidden="1" customHeight="1">
      <c r="B185" s="724"/>
      <c r="C185" s="564" t="str">
        <f>IFERROR(VLOOKUP(N185,'TABLA-DIA'!$B$2:$P$62,9,FALSE),"")</f>
        <v/>
      </c>
      <c r="D185" s="565" t="str">
        <f>IFERROR(VLOOKUP(N185,'TABLA-DIA'!$B$2:$P$62,4,FALSE),"")</f>
        <v/>
      </c>
      <c r="E185" s="566" t="str">
        <f>IFERROR(VLOOKUP(N185,'TABLA-DIA'!$B$2:$P$62,5,FALSE),"")</f>
        <v/>
      </c>
      <c r="F185" s="566" t="str">
        <f>IFERROR(VLOOKUP(N185,'TABLA-DIA'!$B$2:$P$62,6,FALSE),"")</f>
        <v/>
      </c>
      <c r="G185" s="542" t="str">
        <f>IFERROR(VLOOKUP(N185,'TABLA-DIA'!$B$2:$P$62,7,FALSE),"")</f>
        <v/>
      </c>
      <c r="H185" s="582" t="str">
        <f>IFERROR(VLOOKUP(N185,'TABLA-DIA'!$B$2:$P$62,10,FALSE),"")</f>
        <v/>
      </c>
      <c r="I185" s="548" t="str">
        <f>IFERROR(VLOOKUP(N185,'TABLA-DIA'!$B$2:$P$62,11,FALSE),"")</f>
        <v/>
      </c>
      <c r="J185" s="549" t="str">
        <f>IFERROR(VLOOKUP(N185,'TABLA-DIA'!$B$2:$P$62,12,FALSE),"")</f>
        <v/>
      </c>
      <c r="K185" s="557" t="str">
        <f>IFERROR(VLOOKUP(N185,'TABLA-DIA'!$B$2:$P$62,13,FALSE),"")</f>
        <v/>
      </c>
      <c r="L185" s="603" t="str">
        <f>IFERROR(IF(VLOOKUP(N185,'TABLA-DIA'!$B$2:$P$62,14,FALSE)="","",VLOOKUP(N185,'TABLA-DIA'!$B$2:$P$62,14,FALSE)),"")</f>
        <v/>
      </c>
      <c r="M185" s="590">
        <f t="shared" si="10"/>
        <v>6</v>
      </c>
      <c r="N185" s="125" t="str">
        <f t="shared" si="9"/>
        <v>EMP. SACMI-6</v>
      </c>
    </row>
    <row r="186" spans="2:15" ht="112.5" hidden="1" customHeight="1">
      <c r="B186" s="724"/>
      <c r="C186" s="564" t="str">
        <f>IFERROR(VLOOKUP(N186,'TABLA-DIA'!$B$2:$P$62,9,FALSE),"")</f>
        <v/>
      </c>
      <c r="D186" s="565" t="str">
        <f>IFERROR(VLOOKUP(N186,'TABLA-DIA'!$B$2:$P$62,4,FALSE),"")</f>
        <v/>
      </c>
      <c r="E186" s="566" t="str">
        <f>IFERROR(VLOOKUP(N186,'TABLA-DIA'!$B$2:$P$62,5,FALSE),"")</f>
        <v/>
      </c>
      <c r="F186" s="566" t="str">
        <f>IFERROR(VLOOKUP(N186,'TABLA-DIA'!$B$2:$P$62,6,FALSE),"")</f>
        <v/>
      </c>
      <c r="G186" s="542" t="str">
        <f>IFERROR(VLOOKUP(N186,'TABLA-DIA'!$B$2:$P$62,7,FALSE),"")</f>
        <v/>
      </c>
      <c r="H186" s="582" t="str">
        <f>IFERROR(VLOOKUP(N186,'TABLA-DIA'!$B$2:$P$62,10,FALSE),"")</f>
        <v/>
      </c>
      <c r="I186" s="548" t="str">
        <f>IFERROR(VLOOKUP(N186,'TABLA-DIA'!$B$2:$P$62,11,FALSE),"")</f>
        <v/>
      </c>
      <c r="J186" s="549" t="str">
        <f>IFERROR(VLOOKUP(N186,'TABLA-DIA'!$B$2:$P$62,12,FALSE),"")</f>
        <v/>
      </c>
      <c r="K186" s="557" t="str">
        <f>IFERROR(VLOOKUP(N186,'TABLA-DIA'!$B$2:$P$62,13,FALSE),"")</f>
        <v/>
      </c>
      <c r="L186" s="603" t="str">
        <f>IFERROR(IF(VLOOKUP(N186,'TABLA-DIA'!$B$2:$P$62,14,FALSE)="","",VLOOKUP(N186,'TABLA-DIA'!$B$2:$P$62,14,FALSE)),"")</f>
        <v/>
      </c>
      <c r="M186" s="590">
        <f t="shared" si="10"/>
        <v>7</v>
      </c>
      <c r="N186" s="125" t="str">
        <f t="shared" si="9"/>
        <v>EMP. SACMI-7</v>
      </c>
    </row>
    <row r="187" spans="2:15" ht="112.5" hidden="1" customHeight="1">
      <c r="B187" s="724"/>
      <c r="C187" s="564" t="str">
        <f>IFERROR(VLOOKUP(N187,'TABLA-DIA'!$B$2:$P$62,9,FALSE),"")</f>
        <v/>
      </c>
      <c r="D187" s="565" t="str">
        <f>IFERROR(VLOOKUP(N187,'TABLA-DIA'!$B$2:$P$62,4,FALSE),"")</f>
        <v/>
      </c>
      <c r="E187" s="566" t="str">
        <f>IFERROR(VLOOKUP(N187,'TABLA-DIA'!$B$2:$P$62,5,FALSE),"")</f>
        <v/>
      </c>
      <c r="F187" s="566" t="str">
        <f>IFERROR(VLOOKUP(N187,'TABLA-DIA'!$B$2:$P$62,6,FALSE),"")</f>
        <v/>
      </c>
      <c r="G187" s="542" t="str">
        <f>IFERROR(VLOOKUP(N187,'TABLA-DIA'!$B$2:$P$62,7,FALSE),"")</f>
        <v/>
      </c>
      <c r="H187" s="582" t="str">
        <f>IFERROR(VLOOKUP(N187,'TABLA-DIA'!$B$2:$P$62,10,FALSE),"")</f>
        <v/>
      </c>
      <c r="I187" s="548" t="str">
        <f>IFERROR(VLOOKUP(N187,'TABLA-DIA'!$B$2:$P$62,11,FALSE),"")</f>
        <v/>
      </c>
      <c r="J187" s="549" t="str">
        <f>IFERROR(VLOOKUP(N187,'TABLA-DIA'!$B$2:$P$62,12,FALSE),"")</f>
        <v/>
      </c>
      <c r="K187" s="557" t="str">
        <f>IFERROR(VLOOKUP(N187,'TABLA-DIA'!$B$2:$P$62,13,FALSE),"")</f>
        <v/>
      </c>
      <c r="L187" s="603" t="str">
        <f>IFERROR(IF(VLOOKUP(N187,'TABLA-DIA'!$B$2:$P$62,14,FALSE)="","",VLOOKUP(N187,'TABLA-DIA'!$B$2:$P$62,14,FALSE)),"")</f>
        <v/>
      </c>
      <c r="M187" s="590">
        <f t="shared" si="10"/>
        <v>8</v>
      </c>
      <c r="N187" s="125" t="str">
        <f t="shared" si="9"/>
        <v>EMP. SACMI-8</v>
      </c>
    </row>
    <row r="188" spans="2:15" ht="112.5" hidden="1" customHeight="1">
      <c r="B188" s="724"/>
      <c r="C188" s="564" t="str">
        <f>IFERROR(VLOOKUP(N188,'TABLA-DIA'!$B$2:$P$62,9,FALSE),"")</f>
        <v/>
      </c>
      <c r="D188" s="565" t="str">
        <f>IFERROR(VLOOKUP(N188,'TABLA-DIA'!$B$2:$P$62,4,FALSE),"")</f>
        <v/>
      </c>
      <c r="E188" s="566" t="str">
        <f>IFERROR(VLOOKUP(N188,'TABLA-DIA'!$B$2:$P$62,5,FALSE),"")</f>
        <v/>
      </c>
      <c r="F188" s="566" t="str">
        <f>IFERROR(VLOOKUP(N188,'TABLA-DIA'!$B$2:$P$62,6,FALSE),"")</f>
        <v/>
      </c>
      <c r="G188" s="542" t="str">
        <f>IFERROR(VLOOKUP(N188,'TABLA-DIA'!$B$2:$P$62,7,FALSE),"")</f>
        <v/>
      </c>
      <c r="H188" s="582" t="str">
        <f>IFERROR(VLOOKUP(N188,'TABLA-DIA'!$B$2:$P$62,10,FALSE),"")</f>
        <v/>
      </c>
      <c r="I188" s="548" t="str">
        <f>IFERROR(VLOOKUP(N188,'TABLA-DIA'!$B$2:$P$62,11,FALSE),"")</f>
        <v/>
      </c>
      <c r="J188" s="549" t="str">
        <f>IFERROR(VLOOKUP(N188,'TABLA-DIA'!$B$2:$P$62,12,FALSE),"")</f>
        <v/>
      </c>
      <c r="K188" s="557" t="str">
        <f>IFERROR(VLOOKUP(N188,'TABLA-DIA'!$B$2:$P$62,13,FALSE),"")</f>
        <v/>
      </c>
      <c r="L188" s="603" t="str">
        <f>IFERROR(IF(VLOOKUP(N188,'TABLA-DIA'!$B$2:$P$62,14,FALSE)="","",VLOOKUP(N188,'TABLA-DIA'!$B$2:$P$62,14,FALSE)),"")</f>
        <v/>
      </c>
      <c r="M188" s="590">
        <f t="shared" si="10"/>
        <v>9</v>
      </c>
      <c r="N188" s="125" t="str">
        <f t="shared" si="9"/>
        <v>EMP. SACMI-9</v>
      </c>
    </row>
    <row r="189" spans="2:15" ht="53.25" hidden="1" customHeight="1" thickBot="1">
      <c r="B189" s="726"/>
      <c r="C189" s="573" t="str">
        <f>IFERROR(VLOOKUP(N189,'TABLA-DIA'!$B$2:$P$62,9,FALSE),"")</f>
        <v/>
      </c>
      <c r="D189" s="574" t="str">
        <f>IFERROR(VLOOKUP(N189,'TABLA-DIA'!$B$2:$P$62,4,FALSE),"")</f>
        <v/>
      </c>
      <c r="E189" s="575" t="str">
        <f>IFERROR(VLOOKUP(N189,'TABLA-DIA'!$B$2:$P$62,5,FALSE),"")</f>
        <v/>
      </c>
      <c r="F189" s="575" t="str">
        <f>IFERROR(VLOOKUP(N189,'TABLA-DIA'!$B$2:$P$62,6,FALSE),"")</f>
        <v/>
      </c>
      <c r="G189" s="545" t="str">
        <f>IFERROR(VLOOKUP(N189,'TABLA-DIA'!$B$2:$P$62,7,FALSE),"")</f>
        <v/>
      </c>
      <c r="H189" s="585" t="str">
        <f>IFERROR(VLOOKUP(N189,'TABLA-DIA'!$B$2:$P$62,10,FALSE),"")</f>
        <v/>
      </c>
      <c r="I189" s="554" t="str">
        <f>IFERROR(VLOOKUP(N189,'TABLA-DIA'!$B$2:$P$62,11,FALSE),"")</f>
        <v/>
      </c>
      <c r="J189" s="555" t="str">
        <f>IFERROR(VLOOKUP(N189,'TABLA-DIA'!$B$2:$P$62,12,FALSE),"")</f>
        <v/>
      </c>
      <c r="K189" s="560" t="str">
        <f>IFERROR(VLOOKUP(N189,'TABLA-DIA'!$B$2:$P$62,13,FALSE),"")</f>
        <v/>
      </c>
      <c r="L189" s="606" t="str">
        <f>IFERROR(IF(VLOOKUP(N189,'TABLA-DIA'!$B$2:$P$62,14,FALSE)="","",VLOOKUP(N189,'TABLA-DIA'!$B$2:$P$62,14,FALSE)),"")</f>
        <v/>
      </c>
      <c r="M189" s="592">
        <f t="shared" si="10"/>
        <v>10</v>
      </c>
      <c r="N189" s="130" t="str">
        <f t="shared" si="9"/>
        <v>EMP. SACMI-10</v>
      </c>
    </row>
    <row r="190" spans="2:15" ht="84" customHeight="1">
      <c r="B190" s="723" t="str">
        <f>+'TABLA-DIA'!B157</f>
        <v>POZO DE CHILLER</v>
      </c>
      <c r="C190" s="569" t="str">
        <f>IFERROR(VLOOKUP(N190,'TABLA-DIA'!$B$2:$P$62,9,FALSE),"")</f>
        <v/>
      </c>
      <c r="D190" s="570" t="str">
        <f>IFERROR(VLOOKUP(N190,'TABLA-DIA'!$B$2:$P$62,4,FALSE),"")</f>
        <v/>
      </c>
      <c r="E190" s="571" t="str">
        <f>IFERROR(VLOOKUP(N190,'TABLA-DIA'!$B$2:$P$62,5,FALSE),"")</f>
        <v/>
      </c>
      <c r="F190" s="571" t="str">
        <f>IFERROR(VLOOKUP(N190,'TABLA-DIA'!$B$2:$P$62,6,FALSE),"")</f>
        <v/>
      </c>
      <c r="G190" s="544" t="str">
        <f>IFERROR(VLOOKUP(N190,'TABLA-DIA'!$B$2:$P$62,7,FALSE),"")</f>
        <v/>
      </c>
      <c r="H190" s="584" t="str">
        <f>IFERROR(VLOOKUP(N190,'TABLA-DIA'!$B$2:$P$62,10,FALSE),"")</f>
        <v/>
      </c>
      <c r="I190" s="552" t="str">
        <f>IFERROR(VLOOKUP(N190,'TABLA-DIA'!$B$2:$P$62,11,FALSE),"")</f>
        <v/>
      </c>
      <c r="J190" s="553" t="str">
        <f>IFERROR(VLOOKUP(N190,'TABLA-DIA'!$B$2:$P$62,12,FALSE),"")</f>
        <v/>
      </c>
      <c r="K190" s="559" t="str">
        <f>IFERROR(VLOOKUP(N190,'TABLA-DIA'!$B$2:$P$62,13,FALSE),"")</f>
        <v/>
      </c>
      <c r="L190" s="605" t="str">
        <f>IFERROR(IF(VLOOKUP(N190,'TABLA-DIA'!$B$2:$P$62,14,FALSE)="","",VLOOKUP(N190,'TABLA-DIA'!$B$2:$P$62,14,FALSE)),"")</f>
        <v/>
      </c>
      <c r="M190" s="589">
        <v>1</v>
      </c>
      <c r="N190" s="98" t="str">
        <f t="shared" ref="N190:N199" si="11">CONCATENATE($B$190,"-",M190)</f>
        <v>POZO DE CHILLER-1</v>
      </c>
      <c r="O190" s="91">
        <f>COUNTIF(G190:G199,"&lt;&gt;**")</f>
        <v>0</v>
      </c>
    </row>
    <row r="191" spans="2:15" ht="105.75" customHeight="1">
      <c r="B191" s="724"/>
      <c r="C191" s="564" t="str">
        <f>IFERROR(VLOOKUP(N191,'TABLA-DIA'!$B$2:$P$62,9,FALSE),"")</f>
        <v/>
      </c>
      <c r="D191" s="565" t="str">
        <f>IFERROR(VLOOKUP(N191,'TABLA-DIA'!$B$2:$P$62,4,FALSE),"")</f>
        <v/>
      </c>
      <c r="E191" s="566" t="str">
        <f>IFERROR(VLOOKUP(N191,'TABLA-DIA'!$B$2:$P$62,5,FALSE),"")</f>
        <v/>
      </c>
      <c r="F191" s="566" t="str">
        <f>IFERROR(VLOOKUP(N191,'TABLA-DIA'!$B$2:$P$62,6,FALSE),"")</f>
        <v/>
      </c>
      <c r="G191" s="542" t="str">
        <f>IFERROR(VLOOKUP(N191,'TABLA-DIA'!$B$2:$P$62,7,FALSE),"")</f>
        <v/>
      </c>
      <c r="H191" s="582" t="str">
        <f>IFERROR(VLOOKUP(N191,'TABLA-DIA'!$B$2:$P$62,10,FALSE),"")</f>
        <v/>
      </c>
      <c r="I191" s="548" t="str">
        <f>IFERROR(VLOOKUP(N191,'TABLA-DIA'!$B$2:$P$62,11,FALSE),"")</f>
        <v/>
      </c>
      <c r="J191" s="549" t="str">
        <f>IFERROR(VLOOKUP(N191,'TABLA-DIA'!$B$2:$P$62,12,FALSE),"")</f>
        <v/>
      </c>
      <c r="K191" s="557" t="str">
        <f>IFERROR(VLOOKUP(N191,'TABLA-DIA'!$B$2:$P$62,13,FALSE),"")</f>
        <v/>
      </c>
      <c r="L191" s="603" t="str">
        <f>IFERROR(IF(VLOOKUP(N191,'TABLA-DIA'!$B$2:$P$62,14,FALSE)="","",VLOOKUP(N191,'TABLA-DIA'!$B$2:$P$62,14,FALSE)),"")</f>
        <v/>
      </c>
      <c r="M191" s="590">
        <f t="shared" ref="M191:M199" si="12">+M190+1</f>
        <v>2</v>
      </c>
      <c r="N191" s="125" t="str">
        <f t="shared" si="11"/>
        <v>POZO DE CHILLER-2</v>
      </c>
    </row>
    <row r="192" spans="2:15" ht="112.5" customHeight="1" thickBot="1">
      <c r="B192" s="724"/>
      <c r="C192" s="564" t="str">
        <f>IFERROR(VLOOKUP(N192,'TABLA-DIA'!$B$2:$P$62,9,FALSE),"")</f>
        <v/>
      </c>
      <c r="D192" s="565" t="str">
        <f>IFERROR(VLOOKUP(N192,'TABLA-DIA'!$B$2:$P$62,4,FALSE),"")</f>
        <v/>
      </c>
      <c r="E192" s="566" t="str">
        <f>IFERROR(VLOOKUP(N192,'TABLA-DIA'!$B$2:$P$62,5,FALSE),"")</f>
        <v/>
      </c>
      <c r="F192" s="566" t="str">
        <f>IFERROR(VLOOKUP(N192,'TABLA-DIA'!$B$2:$P$62,6,FALSE),"")</f>
        <v/>
      </c>
      <c r="G192" s="542" t="str">
        <f>IFERROR(VLOOKUP(N192,'TABLA-DIA'!$B$2:$P$62,7,FALSE),"")</f>
        <v/>
      </c>
      <c r="H192" s="582" t="str">
        <f>IFERROR(VLOOKUP(N192,'TABLA-DIA'!$B$2:$P$62,10,FALSE),"")</f>
        <v/>
      </c>
      <c r="I192" s="548" t="str">
        <f>IFERROR(VLOOKUP(N192,'TABLA-DIA'!$B$2:$P$62,11,FALSE),"")</f>
        <v/>
      </c>
      <c r="J192" s="549" t="str">
        <f>IFERROR(VLOOKUP(N192,'TABLA-DIA'!$B$2:$P$62,12,FALSE),"")</f>
        <v/>
      </c>
      <c r="K192" s="557" t="str">
        <f>IFERROR(VLOOKUP(N192,'TABLA-DIA'!$B$2:$P$62,13,FALSE),"")</f>
        <v/>
      </c>
      <c r="L192" s="603" t="str">
        <f>IFERROR(IF(VLOOKUP(N192,'TABLA-DIA'!$B$2:$P$62,14,FALSE)="","",VLOOKUP(N192,'TABLA-DIA'!$B$2:$P$62,14,FALSE)),"")</f>
        <v/>
      </c>
      <c r="M192" s="590">
        <f t="shared" si="12"/>
        <v>3</v>
      </c>
      <c r="N192" s="125" t="str">
        <f t="shared" si="11"/>
        <v>POZO DE CHILLER-3</v>
      </c>
    </row>
    <row r="193" spans="2:15" ht="112.5" hidden="1" customHeight="1">
      <c r="B193" s="724"/>
      <c r="C193" s="564" t="str">
        <f>IFERROR(VLOOKUP(N193,'TABLA-DIA'!$B$2:$P$62,9,FALSE),"")</f>
        <v/>
      </c>
      <c r="D193" s="565" t="str">
        <f>IFERROR(VLOOKUP(N193,'TABLA-DIA'!$B$2:$P$62,4,FALSE),"")</f>
        <v/>
      </c>
      <c r="E193" s="566" t="str">
        <f>IFERROR(VLOOKUP(N193,'TABLA-DIA'!$B$2:$P$62,5,FALSE),"")</f>
        <v/>
      </c>
      <c r="F193" s="566" t="str">
        <f>IFERROR(VLOOKUP(N193,'TABLA-DIA'!$B$2:$P$62,6,FALSE),"")</f>
        <v/>
      </c>
      <c r="G193" s="542" t="str">
        <f>IFERROR(VLOOKUP(N193,'TABLA-DIA'!$B$2:$P$62,7,FALSE),"")</f>
        <v/>
      </c>
      <c r="H193" s="582" t="str">
        <f>IFERROR(VLOOKUP(N193,'TABLA-DIA'!$B$2:$P$62,10,FALSE),"")</f>
        <v/>
      </c>
      <c r="I193" s="548" t="str">
        <f>IFERROR(VLOOKUP(N193,'TABLA-DIA'!$B$2:$P$62,11,FALSE),"")</f>
        <v/>
      </c>
      <c r="J193" s="549" t="str">
        <f>IFERROR(VLOOKUP(N193,'TABLA-DIA'!$B$2:$P$62,12,FALSE),"")</f>
        <v/>
      </c>
      <c r="K193" s="557" t="str">
        <f>IFERROR(VLOOKUP(N193,'TABLA-DIA'!$B$2:$P$62,13,FALSE),"")</f>
        <v/>
      </c>
      <c r="L193" s="603" t="str">
        <f>IFERROR(IF(VLOOKUP(N193,'TABLA-DIA'!$B$2:$P$62,14,FALSE)="","",VLOOKUP(N193,'TABLA-DIA'!$B$2:$P$62,14,FALSE)),"")</f>
        <v/>
      </c>
      <c r="M193" s="590">
        <f t="shared" si="12"/>
        <v>4</v>
      </c>
      <c r="N193" s="125" t="str">
        <f t="shared" si="11"/>
        <v>POZO DE CHILLER-4</v>
      </c>
    </row>
    <row r="194" spans="2:15" ht="112.5" hidden="1" customHeight="1">
      <c r="B194" s="724"/>
      <c r="C194" s="564" t="str">
        <f>IFERROR(VLOOKUP(N194,'TABLA-DIA'!$B$2:$P$62,9,FALSE),"")</f>
        <v/>
      </c>
      <c r="D194" s="565" t="str">
        <f>IFERROR(VLOOKUP(N194,'TABLA-DIA'!$B$2:$P$62,4,FALSE),"")</f>
        <v/>
      </c>
      <c r="E194" s="566" t="str">
        <f>IFERROR(VLOOKUP(N194,'TABLA-DIA'!$B$2:$P$62,5,FALSE),"")</f>
        <v/>
      </c>
      <c r="F194" s="566" t="str">
        <f>IFERROR(VLOOKUP(N194,'TABLA-DIA'!$B$2:$P$62,6,FALSE),"")</f>
        <v/>
      </c>
      <c r="G194" s="542" t="str">
        <f>IFERROR(VLOOKUP(N194,'TABLA-DIA'!$B$2:$P$62,7,FALSE),"")</f>
        <v/>
      </c>
      <c r="H194" s="582" t="str">
        <f>IFERROR(VLOOKUP(N194,'TABLA-DIA'!$B$2:$P$62,10,FALSE),"")</f>
        <v/>
      </c>
      <c r="I194" s="548" t="str">
        <f>IFERROR(VLOOKUP(N194,'TABLA-DIA'!$B$2:$P$62,11,FALSE),"")</f>
        <v/>
      </c>
      <c r="J194" s="549" t="str">
        <f>IFERROR(VLOOKUP(N194,'TABLA-DIA'!$B$2:$P$62,12,FALSE),"")</f>
        <v/>
      </c>
      <c r="K194" s="557" t="str">
        <f>IFERROR(VLOOKUP(N194,'TABLA-DIA'!$B$2:$P$62,13,FALSE),"")</f>
        <v/>
      </c>
      <c r="L194" s="603" t="str">
        <f>IFERROR(IF(VLOOKUP(N194,'TABLA-DIA'!$B$2:$P$62,14,FALSE)="","",VLOOKUP(N194,'TABLA-DIA'!$B$2:$P$62,14,FALSE)),"")</f>
        <v/>
      </c>
      <c r="M194" s="590">
        <f t="shared" si="12"/>
        <v>5</v>
      </c>
      <c r="N194" s="125" t="str">
        <f t="shared" si="11"/>
        <v>POZO DE CHILLER-5</v>
      </c>
    </row>
    <row r="195" spans="2:15" ht="112.5" hidden="1" customHeight="1">
      <c r="B195" s="724"/>
      <c r="C195" s="564" t="str">
        <f>IFERROR(VLOOKUP(N195,'TABLA-DIA'!$B$2:$P$62,9,FALSE),"")</f>
        <v/>
      </c>
      <c r="D195" s="565" t="str">
        <f>IFERROR(VLOOKUP(N195,'TABLA-DIA'!$B$2:$P$62,4,FALSE),"")</f>
        <v/>
      </c>
      <c r="E195" s="566" t="str">
        <f>IFERROR(VLOOKUP(N195,'TABLA-DIA'!$B$2:$P$62,5,FALSE),"")</f>
        <v/>
      </c>
      <c r="F195" s="566" t="str">
        <f>IFERROR(VLOOKUP(N195,'TABLA-DIA'!$B$2:$P$62,6,FALSE),"")</f>
        <v/>
      </c>
      <c r="G195" s="542" t="str">
        <f>IFERROR(VLOOKUP(N195,'TABLA-DIA'!$B$2:$P$62,7,FALSE),"")</f>
        <v/>
      </c>
      <c r="H195" s="582" t="str">
        <f>IFERROR(VLOOKUP(N195,'TABLA-DIA'!$B$2:$P$62,10,FALSE),"")</f>
        <v/>
      </c>
      <c r="I195" s="548" t="str">
        <f>IFERROR(VLOOKUP(N195,'TABLA-DIA'!$B$2:$P$62,11,FALSE),"")</f>
        <v/>
      </c>
      <c r="J195" s="549" t="str">
        <f>IFERROR(VLOOKUP(N195,'TABLA-DIA'!$B$2:$P$62,12,FALSE),"")</f>
        <v/>
      </c>
      <c r="K195" s="557" t="str">
        <f>IFERROR(VLOOKUP(N195,'TABLA-DIA'!$B$2:$P$62,13,FALSE),"")</f>
        <v/>
      </c>
      <c r="L195" s="603" t="str">
        <f>IFERROR(IF(VLOOKUP(N195,'TABLA-DIA'!$B$2:$P$62,14,FALSE)="","",VLOOKUP(N195,'TABLA-DIA'!$B$2:$P$62,14,FALSE)),"")</f>
        <v/>
      </c>
      <c r="M195" s="590">
        <f t="shared" si="12"/>
        <v>6</v>
      </c>
      <c r="N195" s="125" t="str">
        <f t="shared" si="11"/>
        <v>POZO DE CHILLER-6</v>
      </c>
    </row>
    <row r="196" spans="2:15" ht="112.5" hidden="1" customHeight="1">
      <c r="B196" s="724"/>
      <c r="C196" s="564" t="str">
        <f>IFERROR(VLOOKUP(N196,'TABLA-DIA'!$B$2:$P$62,9,FALSE),"")</f>
        <v/>
      </c>
      <c r="D196" s="565" t="str">
        <f>IFERROR(VLOOKUP(N196,'TABLA-DIA'!$B$2:$P$62,4,FALSE),"")</f>
        <v/>
      </c>
      <c r="E196" s="566" t="str">
        <f>IFERROR(VLOOKUP(N196,'TABLA-DIA'!$B$2:$P$62,5,FALSE),"")</f>
        <v/>
      </c>
      <c r="F196" s="566" t="str">
        <f>IFERROR(VLOOKUP(N196,'TABLA-DIA'!$B$2:$P$62,6,FALSE),"")</f>
        <v/>
      </c>
      <c r="G196" s="542" t="str">
        <f>IFERROR(VLOOKUP(N196,'TABLA-DIA'!$B$2:$P$62,7,FALSE),"")</f>
        <v/>
      </c>
      <c r="H196" s="582" t="str">
        <f>IFERROR(VLOOKUP(N196,'TABLA-DIA'!$B$2:$P$62,10,FALSE),"")</f>
        <v/>
      </c>
      <c r="I196" s="548" t="str">
        <f>IFERROR(VLOOKUP(N196,'TABLA-DIA'!$B$2:$P$62,11,FALSE),"")</f>
        <v/>
      </c>
      <c r="J196" s="549" t="str">
        <f>IFERROR(VLOOKUP(N196,'TABLA-DIA'!$B$2:$P$62,12,FALSE),"")</f>
        <v/>
      </c>
      <c r="K196" s="557" t="str">
        <f>IFERROR(VLOOKUP(N196,'TABLA-DIA'!$B$2:$P$62,13,FALSE),"")</f>
        <v/>
      </c>
      <c r="L196" s="603" t="str">
        <f>IFERROR(IF(VLOOKUP(N196,'TABLA-DIA'!$B$2:$P$62,14,FALSE)="","",VLOOKUP(N196,'TABLA-DIA'!$B$2:$P$62,14,FALSE)),"")</f>
        <v/>
      </c>
      <c r="M196" s="590">
        <f t="shared" si="12"/>
        <v>7</v>
      </c>
      <c r="N196" s="125" t="str">
        <f t="shared" si="11"/>
        <v>POZO DE CHILLER-7</v>
      </c>
    </row>
    <row r="197" spans="2:15" ht="112.5" hidden="1" customHeight="1">
      <c r="B197" s="724"/>
      <c r="C197" s="564" t="str">
        <f>IFERROR(VLOOKUP(N197,'TABLA-DIA'!$B$2:$P$62,9,FALSE),"")</f>
        <v/>
      </c>
      <c r="D197" s="565" t="str">
        <f>IFERROR(VLOOKUP(N197,'TABLA-DIA'!$B$2:$P$62,4,FALSE),"")</f>
        <v/>
      </c>
      <c r="E197" s="566" t="str">
        <f>IFERROR(VLOOKUP(N197,'TABLA-DIA'!$B$2:$P$62,5,FALSE),"")</f>
        <v/>
      </c>
      <c r="F197" s="566" t="str">
        <f>IFERROR(VLOOKUP(N197,'TABLA-DIA'!$B$2:$P$62,6,FALSE),"")</f>
        <v/>
      </c>
      <c r="G197" s="542" t="str">
        <f>IFERROR(VLOOKUP(N197,'TABLA-DIA'!$B$2:$P$62,7,FALSE),"")</f>
        <v/>
      </c>
      <c r="H197" s="582" t="str">
        <f>IFERROR(VLOOKUP(N197,'TABLA-DIA'!$B$2:$P$62,10,FALSE),"")</f>
        <v/>
      </c>
      <c r="I197" s="548" t="str">
        <f>IFERROR(VLOOKUP(N197,'TABLA-DIA'!$B$2:$P$62,11,FALSE),"")</f>
        <v/>
      </c>
      <c r="J197" s="549" t="str">
        <f>IFERROR(VLOOKUP(N197,'TABLA-DIA'!$B$2:$P$62,12,FALSE),"")</f>
        <v/>
      </c>
      <c r="K197" s="557" t="str">
        <f>IFERROR(VLOOKUP(N197,'TABLA-DIA'!$B$2:$P$62,13,FALSE),"")</f>
        <v/>
      </c>
      <c r="L197" s="603" t="str">
        <f>IFERROR(IF(VLOOKUP(N197,'TABLA-DIA'!$B$2:$P$62,14,FALSE)="","",VLOOKUP(N197,'TABLA-DIA'!$B$2:$P$62,14,FALSE)),"")</f>
        <v/>
      </c>
      <c r="M197" s="590">
        <f t="shared" si="12"/>
        <v>8</v>
      </c>
      <c r="N197" s="125" t="str">
        <f t="shared" si="11"/>
        <v>POZO DE CHILLER-8</v>
      </c>
    </row>
    <row r="198" spans="2:15" ht="112.5" hidden="1" customHeight="1">
      <c r="B198" s="724"/>
      <c r="C198" s="564" t="str">
        <f>IFERROR(VLOOKUP(N198,'TABLA-DIA'!$B$2:$P$62,9,FALSE),"")</f>
        <v/>
      </c>
      <c r="D198" s="565" t="str">
        <f>IFERROR(VLOOKUP(N198,'TABLA-DIA'!$B$2:$P$62,4,FALSE),"")</f>
        <v/>
      </c>
      <c r="E198" s="566" t="str">
        <f>IFERROR(VLOOKUP(N198,'TABLA-DIA'!$B$2:$P$62,5,FALSE),"")</f>
        <v/>
      </c>
      <c r="F198" s="566" t="str">
        <f>IFERROR(VLOOKUP(N198,'TABLA-DIA'!$B$2:$P$62,6,FALSE),"")</f>
        <v/>
      </c>
      <c r="G198" s="542" t="str">
        <f>IFERROR(VLOOKUP(N198,'TABLA-DIA'!$B$2:$P$62,7,FALSE),"")</f>
        <v/>
      </c>
      <c r="H198" s="582" t="str">
        <f>IFERROR(VLOOKUP(N198,'TABLA-DIA'!$B$2:$P$62,10,FALSE),"")</f>
        <v/>
      </c>
      <c r="I198" s="548" t="str">
        <f>IFERROR(VLOOKUP(N198,'TABLA-DIA'!$B$2:$P$62,11,FALSE),"")</f>
        <v/>
      </c>
      <c r="J198" s="549" t="str">
        <f>IFERROR(VLOOKUP(N198,'TABLA-DIA'!$B$2:$P$62,12,FALSE),"")</f>
        <v/>
      </c>
      <c r="K198" s="557" t="str">
        <f>IFERROR(VLOOKUP(N198,'TABLA-DIA'!$B$2:$P$62,13,FALSE),"")</f>
        <v/>
      </c>
      <c r="L198" s="603" t="str">
        <f>IFERROR(IF(VLOOKUP(N198,'TABLA-DIA'!$B$2:$P$62,14,FALSE)="","",VLOOKUP(N198,'TABLA-DIA'!$B$2:$P$62,14,FALSE)),"")</f>
        <v/>
      </c>
      <c r="M198" s="590">
        <f t="shared" si="12"/>
        <v>9</v>
      </c>
      <c r="N198" s="125" t="str">
        <f t="shared" si="11"/>
        <v>POZO DE CHILLER-9</v>
      </c>
    </row>
    <row r="199" spans="2:15" ht="112.5" hidden="1" customHeight="1" thickBot="1">
      <c r="B199" s="726"/>
      <c r="C199" s="573" t="str">
        <f>IFERROR(VLOOKUP(N199,'TABLA-DIA'!$B$2:$P$62,9,FALSE),"")</f>
        <v/>
      </c>
      <c r="D199" s="574" t="str">
        <f>IFERROR(VLOOKUP(N199,'TABLA-DIA'!$B$2:$P$62,4,FALSE),"")</f>
        <v/>
      </c>
      <c r="E199" s="575" t="str">
        <f>IFERROR(VLOOKUP(N199,'TABLA-DIA'!$B$2:$P$62,5,FALSE),"")</f>
        <v/>
      </c>
      <c r="F199" s="575" t="str">
        <f>IFERROR(VLOOKUP(N199,'TABLA-DIA'!$B$2:$P$62,6,FALSE),"")</f>
        <v/>
      </c>
      <c r="G199" s="545" t="str">
        <f>IFERROR(VLOOKUP(N199,'TABLA-DIA'!$B$2:$P$62,7,FALSE),"")</f>
        <v/>
      </c>
      <c r="H199" s="585" t="str">
        <f>IFERROR(VLOOKUP(N199,'TABLA-DIA'!$B$2:$P$62,10,FALSE),"")</f>
        <v/>
      </c>
      <c r="I199" s="554" t="str">
        <f>IFERROR(VLOOKUP(N199,'TABLA-DIA'!$B$2:$P$62,11,FALSE),"")</f>
        <v/>
      </c>
      <c r="J199" s="555" t="str">
        <f>IFERROR(VLOOKUP(N199,'TABLA-DIA'!$B$2:$P$62,12,FALSE),"")</f>
        <v/>
      </c>
      <c r="K199" s="560" t="str">
        <f>IFERROR(VLOOKUP(N199,'TABLA-DIA'!$B$2:$P$62,13,FALSE),"")</f>
        <v/>
      </c>
      <c r="L199" s="606" t="str">
        <f>IFERROR(IF(VLOOKUP(N199,'TABLA-DIA'!$B$2:$P$62,14,FALSE)="","",VLOOKUP(N199,'TABLA-DIA'!$B$2:$P$62,14,FALSE)),"")</f>
        <v/>
      </c>
      <c r="M199" s="592">
        <f t="shared" si="12"/>
        <v>10</v>
      </c>
      <c r="N199" s="130" t="str">
        <f t="shared" si="11"/>
        <v>POZO DE CHILLER-10</v>
      </c>
    </row>
    <row r="200" spans="2:15" ht="82.5" customHeight="1">
      <c r="B200" s="723" t="str">
        <f>+'TABLA-DIA'!B158</f>
        <v>PROCESADORA DE MASAS - NETZSCH</v>
      </c>
      <c r="C200" s="569" t="str">
        <f>IFERROR(VLOOKUP(N200,'TABLA-DIA'!$B$2:$P$62,9,FALSE),"")</f>
        <v/>
      </c>
      <c r="D200" s="570" t="str">
        <f>IFERROR(VLOOKUP(N200,'TABLA-DIA'!$B$2:$P$62,4,FALSE),"")</f>
        <v/>
      </c>
      <c r="E200" s="571" t="str">
        <f>IFERROR(VLOOKUP(N200,'TABLA-DIA'!$B$2:$P$62,5,FALSE),"")</f>
        <v/>
      </c>
      <c r="F200" s="571" t="str">
        <f>IFERROR(VLOOKUP(N200,'TABLA-DIA'!$B$2:$P$62,6,FALSE),"")</f>
        <v/>
      </c>
      <c r="G200" s="544" t="str">
        <f>IFERROR(VLOOKUP(N200,'TABLA-DIA'!$B$2:$P$62,7,FALSE),"")</f>
        <v/>
      </c>
      <c r="H200" s="584" t="str">
        <f>IFERROR(VLOOKUP(N200,'TABLA-DIA'!$B$2:$P$62,10,FALSE),"")</f>
        <v/>
      </c>
      <c r="I200" s="552" t="str">
        <f>IFERROR(VLOOKUP(N200,'TABLA-DIA'!$B$2:$P$62,11,FALSE),"")</f>
        <v/>
      </c>
      <c r="J200" s="553" t="str">
        <f>IFERROR(VLOOKUP(N200,'TABLA-DIA'!$B$2:$P$62,12,FALSE),"")</f>
        <v/>
      </c>
      <c r="K200" s="559" t="str">
        <f>IFERROR(VLOOKUP(N200,'TABLA-DIA'!$B$2:$P$62,13,FALSE),"")</f>
        <v/>
      </c>
      <c r="L200" s="605" t="str">
        <f>IFERROR(IF(VLOOKUP(N200,'TABLA-DIA'!$B$2:$P$62,14,FALSE)="","",VLOOKUP(N200,'TABLA-DIA'!$B$2:$P$62,14,FALSE)),"")</f>
        <v/>
      </c>
      <c r="M200" s="589">
        <v>1</v>
      </c>
      <c r="N200" s="98" t="str">
        <f t="shared" ref="N200:N209" si="13">CONCATENATE($B$200,"-",M200)</f>
        <v>PROCESADORA DE MASAS - NETZSCH-1</v>
      </c>
      <c r="O200" s="91">
        <f>COUNTIF(G200:G209,"&lt;&gt;**")</f>
        <v>0</v>
      </c>
    </row>
    <row r="201" spans="2:15" ht="108.75" customHeight="1" thickBot="1">
      <c r="B201" s="724"/>
      <c r="C201" s="564" t="str">
        <f>IFERROR(VLOOKUP(N201,'TABLA-DIA'!$B$2:$P$62,9,FALSE),"")</f>
        <v/>
      </c>
      <c r="D201" s="565" t="str">
        <f>IFERROR(VLOOKUP(N201,'TABLA-DIA'!$B$2:$P$62,4,FALSE),"")</f>
        <v/>
      </c>
      <c r="E201" s="566" t="str">
        <f>IFERROR(VLOOKUP(N201,'TABLA-DIA'!$B$2:$P$62,5,FALSE),"")</f>
        <v/>
      </c>
      <c r="F201" s="566" t="str">
        <f>IFERROR(VLOOKUP(N201,'TABLA-DIA'!$B$2:$P$62,6,FALSE),"")</f>
        <v/>
      </c>
      <c r="G201" s="542" t="str">
        <f>IFERROR(VLOOKUP(N201,'TABLA-DIA'!$B$2:$P$62,7,FALSE),"")</f>
        <v/>
      </c>
      <c r="H201" s="582" t="str">
        <f>IFERROR(VLOOKUP(N201,'TABLA-DIA'!$B$2:$P$62,10,FALSE),"")</f>
        <v/>
      </c>
      <c r="I201" s="548" t="str">
        <f>IFERROR(VLOOKUP(N201,'TABLA-DIA'!$B$2:$P$62,11,FALSE),"")</f>
        <v/>
      </c>
      <c r="J201" s="549" t="str">
        <f>IFERROR(VLOOKUP(N201,'TABLA-DIA'!$B$2:$P$62,12,FALSE),"")</f>
        <v/>
      </c>
      <c r="K201" s="557" t="str">
        <f>IFERROR(VLOOKUP(N201,'TABLA-DIA'!$B$2:$P$62,13,FALSE),"")</f>
        <v/>
      </c>
      <c r="L201" s="603" t="str">
        <f>IFERROR(IF(VLOOKUP(N201,'TABLA-DIA'!$B$2:$P$62,14,FALSE)="","",VLOOKUP(N201,'TABLA-DIA'!$B$2:$P$62,14,FALSE)),"")</f>
        <v/>
      </c>
      <c r="M201" s="590">
        <f t="shared" ref="M201:M209" si="14">+M200+1</f>
        <v>2</v>
      </c>
      <c r="N201" s="125" t="str">
        <f t="shared" si="13"/>
        <v>PROCESADORA DE MASAS - NETZSCH-2</v>
      </c>
    </row>
    <row r="202" spans="2:15" ht="108.75" hidden="1" customHeight="1">
      <c r="B202" s="724"/>
      <c r="C202" s="564" t="str">
        <f>IFERROR(VLOOKUP(N202,'TABLA-DIA'!$B$2:$P$62,9,FALSE),"")</f>
        <v/>
      </c>
      <c r="D202" s="565" t="str">
        <f>IFERROR(VLOOKUP(N202,'TABLA-DIA'!$B$2:$P$62,4,FALSE),"")</f>
        <v/>
      </c>
      <c r="E202" s="566" t="str">
        <f>IFERROR(VLOOKUP(N202,'TABLA-DIA'!$B$2:$P$62,5,FALSE),"")</f>
        <v/>
      </c>
      <c r="F202" s="566" t="str">
        <f>IFERROR(VLOOKUP(N202,'TABLA-DIA'!$B$2:$P$62,6,FALSE),"")</f>
        <v/>
      </c>
      <c r="G202" s="542" t="str">
        <f>IFERROR(VLOOKUP(N202,'TABLA-DIA'!$B$2:$P$62,7,FALSE),"")</f>
        <v/>
      </c>
      <c r="H202" s="582" t="str">
        <f>IFERROR(VLOOKUP(N202,'TABLA-DIA'!$B$2:$P$62,10,FALSE),"")</f>
        <v/>
      </c>
      <c r="I202" s="548" t="str">
        <f>IFERROR(VLOOKUP(N202,'TABLA-DIA'!$B$2:$P$62,11,FALSE),"")</f>
        <v/>
      </c>
      <c r="J202" s="549" t="str">
        <f>IFERROR(VLOOKUP(N202,'TABLA-DIA'!$B$2:$P$62,12,FALSE),"")</f>
        <v/>
      </c>
      <c r="K202" s="557" t="str">
        <f>IFERROR(VLOOKUP(N202,'TABLA-DIA'!$B$2:$P$62,13,FALSE),"")</f>
        <v/>
      </c>
      <c r="L202" s="603" t="str">
        <f>IFERROR(IF(VLOOKUP(N202,'TABLA-DIA'!$B$2:$P$62,14,FALSE)="","",VLOOKUP(N202,'TABLA-DIA'!$B$2:$P$62,14,FALSE)),"")</f>
        <v/>
      </c>
      <c r="M202" s="590">
        <f t="shared" si="14"/>
        <v>3</v>
      </c>
      <c r="N202" s="125" t="str">
        <f t="shared" si="13"/>
        <v>PROCESADORA DE MASAS - NETZSCH-3</v>
      </c>
    </row>
    <row r="203" spans="2:15" ht="108.75" hidden="1" customHeight="1">
      <c r="B203" s="724"/>
      <c r="C203" s="564" t="str">
        <f>IFERROR(VLOOKUP(N203,'TABLA-DIA'!$B$2:$P$62,9,FALSE),"")</f>
        <v/>
      </c>
      <c r="D203" s="565" t="str">
        <f>IFERROR(VLOOKUP(N203,'TABLA-DIA'!$B$2:$P$62,4,FALSE),"")</f>
        <v/>
      </c>
      <c r="E203" s="566" t="str">
        <f>IFERROR(VLOOKUP(N203,'TABLA-DIA'!$B$2:$P$62,5,FALSE),"")</f>
        <v/>
      </c>
      <c r="F203" s="566" t="str">
        <f>IFERROR(VLOOKUP(N203,'TABLA-DIA'!$B$2:$P$62,6,FALSE),"")</f>
        <v/>
      </c>
      <c r="G203" s="542" t="str">
        <f>IFERROR(VLOOKUP(N203,'TABLA-DIA'!$B$2:$P$62,7,FALSE),"")</f>
        <v/>
      </c>
      <c r="H203" s="582" t="str">
        <f>IFERROR(VLOOKUP(N203,'TABLA-DIA'!$B$2:$P$62,10,FALSE),"")</f>
        <v/>
      </c>
      <c r="I203" s="548" t="str">
        <f>IFERROR(VLOOKUP(N203,'TABLA-DIA'!$B$2:$P$62,11,FALSE),"")</f>
        <v/>
      </c>
      <c r="J203" s="549" t="str">
        <f>IFERROR(VLOOKUP(N203,'TABLA-DIA'!$B$2:$P$62,12,FALSE),"")</f>
        <v/>
      </c>
      <c r="K203" s="557" t="str">
        <f>IFERROR(VLOOKUP(N203,'TABLA-DIA'!$B$2:$P$62,13,FALSE),"")</f>
        <v/>
      </c>
      <c r="L203" s="603" t="str">
        <f>IFERROR(IF(VLOOKUP(N203,'TABLA-DIA'!$B$2:$P$62,14,FALSE)="","",VLOOKUP(N203,'TABLA-DIA'!$B$2:$P$62,14,FALSE)),"")</f>
        <v/>
      </c>
      <c r="M203" s="590">
        <f t="shared" si="14"/>
        <v>4</v>
      </c>
      <c r="N203" s="125" t="str">
        <f t="shared" si="13"/>
        <v>PROCESADORA DE MASAS - NETZSCH-4</v>
      </c>
    </row>
    <row r="204" spans="2:15" ht="108.75" hidden="1" customHeight="1">
      <c r="B204" s="724"/>
      <c r="C204" s="564" t="str">
        <f>IFERROR(VLOOKUP(N204,'TABLA-DIA'!$B$2:$P$62,9,FALSE),"")</f>
        <v/>
      </c>
      <c r="D204" s="565" t="str">
        <f>IFERROR(VLOOKUP(N204,'TABLA-DIA'!$B$2:$P$62,4,FALSE),"")</f>
        <v/>
      </c>
      <c r="E204" s="566" t="str">
        <f>IFERROR(VLOOKUP(N204,'TABLA-DIA'!$B$2:$P$62,5,FALSE),"")</f>
        <v/>
      </c>
      <c r="F204" s="566" t="str">
        <f>IFERROR(VLOOKUP(N204,'TABLA-DIA'!$B$2:$P$62,6,FALSE),"")</f>
        <v/>
      </c>
      <c r="G204" s="542" t="str">
        <f>IFERROR(VLOOKUP(N204,'TABLA-DIA'!$B$2:$P$62,7,FALSE),"")</f>
        <v/>
      </c>
      <c r="H204" s="582" t="str">
        <f>IFERROR(VLOOKUP(N204,'TABLA-DIA'!$B$2:$P$62,10,FALSE),"")</f>
        <v/>
      </c>
      <c r="I204" s="548" t="str">
        <f>IFERROR(VLOOKUP(N204,'TABLA-DIA'!$B$2:$P$62,11,FALSE),"")</f>
        <v/>
      </c>
      <c r="J204" s="549" t="str">
        <f>IFERROR(VLOOKUP(N204,'TABLA-DIA'!$B$2:$P$62,12,FALSE),"")</f>
        <v/>
      </c>
      <c r="K204" s="557" t="str">
        <f>IFERROR(VLOOKUP(N204,'TABLA-DIA'!$B$2:$P$62,13,FALSE),"")</f>
        <v/>
      </c>
      <c r="L204" s="603" t="str">
        <f>IFERROR(IF(VLOOKUP(N204,'TABLA-DIA'!$B$2:$P$62,14,FALSE)="","",VLOOKUP(N204,'TABLA-DIA'!$B$2:$P$62,14,FALSE)),"")</f>
        <v/>
      </c>
      <c r="M204" s="590">
        <f t="shared" si="14"/>
        <v>5</v>
      </c>
      <c r="N204" s="125" t="str">
        <f t="shared" si="13"/>
        <v>PROCESADORA DE MASAS - NETZSCH-5</v>
      </c>
    </row>
    <row r="205" spans="2:15" ht="108.75" hidden="1" customHeight="1">
      <c r="B205" s="724"/>
      <c r="C205" s="564" t="str">
        <f>IFERROR(VLOOKUP(N205,'TABLA-DIA'!$B$2:$P$62,9,FALSE),"")</f>
        <v/>
      </c>
      <c r="D205" s="565" t="str">
        <f>IFERROR(VLOOKUP(N205,'TABLA-DIA'!$B$2:$P$62,4,FALSE),"")</f>
        <v/>
      </c>
      <c r="E205" s="566" t="str">
        <f>IFERROR(VLOOKUP(N205,'TABLA-DIA'!$B$2:$P$62,5,FALSE),"")</f>
        <v/>
      </c>
      <c r="F205" s="566" t="str">
        <f>IFERROR(VLOOKUP(N205,'TABLA-DIA'!$B$2:$P$62,6,FALSE),"")</f>
        <v/>
      </c>
      <c r="G205" s="542" t="str">
        <f>IFERROR(VLOOKUP(N205,'TABLA-DIA'!$B$2:$P$62,7,FALSE),"")</f>
        <v/>
      </c>
      <c r="H205" s="582" t="str">
        <f>IFERROR(VLOOKUP(N205,'TABLA-DIA'!$B$2:$P$62,10,FALSE),"")</f>
        <v/>
      </c>
      <c r="I205" s="548" t="str">
        <f>IFERROR(VLOOKUP(N205,'TABLA-DIA'!$B$2:$P$62,11,FALSE),"")</f>
        <v/>
      </c>
      <c r="J205" s="549" t="str">
        <f>IFERROR(VLOOKUP(N205,'TABLA-DIA'!$B$2:$P$62,12,FALSE),"")</f>
        <v/>
      </c>
      <c r="K205" s="557" t="str">
        <f>IFERROR(VLOOKUP(N205,'TABLA-DIA'!$B$2:$P$62,13,FALSE),"")</f>
        <v/>
      </c>
      <c r="L205" s="603" t="str">
        <f>IFERROR(IF(VLOOKUP(N205,'TABLA-DIA'!$B$2:$P$62,14,FALSE)="","",VLOOKUP(N205,'TABLA-DIA'!$B$2:$P$62,14,FALSE)),"")</f>
        <v/>
      </c>
      <c r="M205" s="590">
        <f t="shared" si="14"/>
        <v>6</v>
      </c>
      <c r="N205" s="125" t="str">
        <f t="shared" si="13"/>
        <v>PROCESADORA DE MASAS - NETZSCH-6</v>
      </c>
    </row>
    <row r="206" spans="2:15" ht="108.75" hidden="1" customHeight="1">
      <c r="B206" s="724"/>
      <c r="C206" s="564" t="str">
        <f>IFERROR(VLOOKUP(N206,'TABLA-DIA'!$B$2:$P$62,9,FALSE),"")</f>
        <v/>
      </c>
      <c r="D206" s="565" t="str">
        <f>IFERROR(VLOOKUP(N206,'TABLA-DIA'!$B$2:$P$62,4,FALSE),"")</f>
        <v/>
      </c>
      <c r="E206" s="566" t="str">
        <f>IFERROR(VLOOKUP(N206,'TABLA-DIA'!$B$2:$P$62,5,FALSE),"")</f>
        <v/>
      </c>
      <c r="F206" s="566" t="str">
        <f>IFERROR(VLOOKUP(N206,'TABLA-DIA'!$B$2:$P$62,6,FALSE),"")</f>
        <v/>
      </c>
      <c r="G206" s="542" t="str">
        <f>IFERROR(VLOOKUP(N206,'TABLA-DIA'!$B$2:$P$62,7,FALSE),"")</f>
        <v/>
      </c>
      <c r="H206" s="582" t="str">
        <f>IFERROR(VLOOKUP(N206,'TABLA-DIA'!$B$2:$P$62,10,FALSE),"")</f>
        <v/>
      </c>
      <c r="I206" s="548" t="str">
        <f>IFERROR(VLOOKUP(N206,'TABLA-DIA'!$B$2:$P$62,11,FALSE),"")</f>
        <v/>
      </c>
      <c r="J206" s="549" t="str">
        <f>IFERROR(VLOOKUP(N206,'TABLA-DIA'!$B$2:$P$62,12,FALSE),"")</f>
        <v/>
      </c>
      <c r="K206" s="557" t="str">
        <f>IFERROR(VLOOKUP(N206,'TABLA-DIA'!$B$2:$P$62,13,FALSE),"")</f>
        <v/>
      </c>
      <c r="L206" s="603" t="str">
        <f>IFERROR(IF(VLOOKUP(N206,'TABLA-DIA'!$B$2:$P$62,14,FALSE)="","",VLOOKUP(N206,'TABLA-DIA'!$B$2:$P$62,14,FALSE)),"")</f>
        <v/>
      </c>
      <c r="M206" s="590">
        <f t="shared" si="14"/>
        <v>7</v>
      </c>
      <c r="N206" s="125" t="str">
        <f t="shared" si="13"/>
        <v>PROCESADORA DE MASAS - NETZSCH-7</v>
      </c>
    </row>
    <row r="207" spans="2:15" ht="108.75" hidden="1" customHeight="1">
      <c r="B207" s="724"/>
      <c r="C207" s="564" t="str">
        <f>IFERROR(VLOOKUP(N207,'TABLA-DIA'!$B$2:$P$62,9,FALSE),"")</f>
        <v/>
      </c>
      <c r="D207" s="565" t="str">
        <f>IFERROR(VLOOKUP(N207,'TABLA-DIA'!$B$2:$P$62,4,FALSE),"")</f>
        <v/>
      </c>
      <c r="E207" s="566" t="str">
        <f>IFERROR(VLOOKUP(N207,'TABLA-DIA'!$B$2:$P$62,5,FALSE),"")</f>
        <v/>
      </c>
      <c r="F207" s="566" t="str">
        <f>IFERROR(VLOOKUP(N207,'TABLA-DIA'!$B$2:$P$62,6,FALSE),"")</f>
        <v/>
      </c>
      <c r="G207" s="542" t="str">
        <f>IFERROR(VLOOKUP(N207,'TABLA-DIA'!$B$2:$P$62,7,FALSE),"")</f>
        <v/>
      </c>
      <c r="H207" s="582" t="str">
        <f>IFERROR(VLOOKUP(N207,'TABLA-DIA'!$B$2:$P$62,10,FALSE),"")</f>
        <v/>
      </c>
      <c r="I207" s="548" t="str">
        <f>IFERROR(VLOOKUP(N207,'TABLA-DIA'!$B$2:$P$62,11,FALSE),"")</f>
        <v/>
      </c>
      <c r="J207" s="549" t="str">
        <f>IFERROR(VLOOKUP(N207,'TABLA-DIA'!$B$2:$P$62,12,FALSE),"")</f>
        <v/>
      </c>
      <c r="K207" s="557" t="str">
        <f>IFERROR(VLOOKUP(N207,'TABLA-DIA'!$B$2:$P$62,13,FALSE),"")</f>
        <v/>
      </c>
      <c r="L207" s="603" t="str">
        <f>IFERROR(IF(VLOOKUP(N207,'TABLA-DIA'!$B$2:$P$62,14,FALSE)="","",VLOOKUP(N207,'TABLA-DIA'!$B$2:$P$62,14,FALSE)),"")</f>
        <v/>
      </c>
      <c r="M207" s="590">
        <f t="shared" si="14"/>
        <v>8</v>
      </c>
      <c r="N207" s="125" t="str">
        <f t="shared" si="13"/>
        <v>PROCESADORA DE MASAS - NETZSCH-8</v>
      </c>
    </row>
    <row r="208" spans="2:15" ht="108.75" hidden="1" customHeight="1">
      <c r="B208" s="724"/>
      <c r="C208" s="564" t="str">
        <f>IFERROR(VLOOKUP(N208,'TABLA-DIA'!$B$2:$P$62,9,FALSE),"")</f>
        <v/>
      </c>
      <c r="D208" s="565" t="str">
        <f>IFERROR(VLOOKUP(N208,'TABLA-DIA'!$B$2:$P$62,4,FALSE),"")</f>
        <v/>
      </c>
      <c r="E208" s="566" t="str">
        <f>IFERROR(VLOOKUP(N208,'TABLA-DIA'!$B$2:$P$62,5,FALSE),"")</f>
        <v/>
      </c>
      <c r="F208" s="566" t="str">
        <f>IFERROR(VLOOKUP(N208,'TABLA-DIA'!$B$2:$P$62,6,FALSE),"")</f>
        <v/>
      </c>
      <c r="G208" s="542" t="str">
        <f>IFERROR(VLOOKUP(N208,'TABLA-DIA'!$B$2:$P$62,7,FALSE),"")</f>
        <v/>
      </c>
      <c r="H208" s="582" t="str">
        <f>IFERROR(VLOOKUP(N208,'TABLA-DIA'!$B$2:$P$62,10,FALSE),"")</f>
        <v/>
      </c>
      <c r="I208" s="548" t="str">
        <f>IFERROR(VLOOKUP(N208,'TABLA-DIA'!$B$2:$P$62,11,FALSE),"")</f>
        <v/>
      </c>
      <c r="J208" s="549" t="str">
        <f>IFERROR(VLOOKUP(N208,'TABLA-DIA'!$B$2:$P$62,12,FALSE),"")</f>
        <v/>
      </c>
      <c r="K208" s="557" t="str">
        <f>IFERROR(VLOOKUP(N208,'TABLA-DIA'!$B$2:$P$62,13,FALSE),"")</f>
        <v/>
      </c>
      <c r="L208" s="603" t="str">
        <f>IFERROR(IF(VLOOKUP(N208,'TABLA-DIA'!$B$2:$P$62,14,FALSE)="","",VLOOKUP(N208,'TABLA-DIA'!$B$2:$P$62,14,FALSE)),"")</f>
        <v/>
      </c>
      <c r="M208" s="590">
        <f t="shared" si="14"/>
        <v>9</v>
      </c>
      <c r="N208" s="125" t="str">
        <f t="shared" si="13"/>
        <v>PROCESADORA DE MASAS - NETZSCH-9</v>
      </c>
    </row>
    <row r="209" spans="2:15" ht="108.75" hidden="1" customHeight="1" thickBot="1">
      <c r="B209" s="726"/>
      <c r="C209" s="573" t="str">
        <f>IFERROR(VLOOKUP(N209,'TABLA-DIA'!$B$2:$P$62,9,FALSE),"")</f>
        <v/>
      </c>
      <c r="D209" s="574" t="str">
        <f>IFERROR(VLOOKUP(N209,'TABLA-DIA'!$B$2:$P$62,4,FALSE),"")</f>
        <v/>
      </c>
      <c r="E209" s="575" t="str">
        <f>IFERROR(VLOOKUP(N209,'TABLA-DIA'!$B$2:$P$62,5,FALSE),"")</f>
        <v/>
      </c>
      <c r="F209" s="575" t="str">
        <f>IFERROR(VLOOKUP(N209,'TABLA-DIA'!$B$2:$P$62,6,FALSE),"")</f>
        <v/>
      </c>
      <c r="G209" s="545" t="str">
        <f>IFERROR(VLOOKUP(N209,'TABLA-DIA'!$B$2:$P$62,7,FALSE),"")</f>
        <v/>
      </c>
      <c r="H209" s="585" t="str">
        <f>IFERROR(VLOOKUP(N209,'TABLA-DIA'!$B$2:$P$62,10,FALSE),"")</f>
        <v/>
      </c>
      <c r="I209" s="554" t="str">
        <f>IFERROR(VLOOKUP(N209,'TABLA-DIA'!$B$2:$P$62,11,FALSE),"")</f>
        <v/>
      </c>
      <c r="J209" s="555" t="str">
        <f>IFERROR(VLOOKUP(N209,'TABLA-DIA'!$B$2:$P$62,12,FALSE),"")</f>
        <v/>
      </c>
      <c r="K209" s="560" t="str">
        <f>IFERROR(VLOOKUP(N209,'TABLA-DIA'!$B$2:$P$62,13,FALSE),"")</f>
        <v/>
      </c>
      <c r="L209" s="606" t="str">
        <f>IFERROR(IF(VLOOKUP(N209,'TABLA-DIA'!$B$2:$P$62,14,FALSE)="","",VLOOKUP(N209,'TABLA-DIA'!$B$2:$P$62,14,FALSE)),"")</f>
        <v/>
      </c>
      <c r="M209" s="592">
        <f t="shared" si="14"/>
        <v>10</v>
      </c>
      <c r="N209" s="130" t="str">
        <f t="shared" si="13"/>
        <v>PROCESADORA DE MASAS - NETZSCH-10</v>
      </c>
    </row>
    <row r="210" spans="2:15" ht="85.5" customHeight="1">
      <c r="B210" s="723" t="str">
        <f>+'TABLA-DIA'!B159</f>
        <v>COMEDOR</v>
      </c>
      <c r="C210" s="569" t="str">
        <f>IFERROR(VLOOKUP(N210,'TABLA-DIA'!$B$2:$P$62,9,FALSE),"")</f>
        <v/>
      </c>
      <c r="D210" s="570" t="str">
        <f>IFERROR(VLOOKUP(N210,'TABLA-DIA'!$B$2:$P$62,4,FALSE),"")</f>
        <v/>
      </c>
      <c r="E210" s="571" t="str">
        <f>IFERROR(VLOOKUP(N210,'TABLA-DIA'!$B$2:$P$62,5,FALSE),"")</f>
        <v/>
      </c>
      <c r="F210" s="571" t="str">
        <f>IFERROR(VLOOKUP(N210,'TABLA-DIA'!$B$2:$P$62,6,FALSE),"")</f>
        <v/>
      </c>
      <c r="G210" s="544" t="str">
        <f>IFERROR(VLOOKUP(N210,'TABLA-DIA'!$B$2:$P$62,7,FALSE),"")</f>
        <v/>
      </c>
      <c r="H210" s="584" t="str">
        <f>IFERROR(VLOOKUP(N210,'TABLA-DIA'!$B$2:$P$62,10,FALSE),"")</f>
        <v/>
      </c>
      <c r="I210" s="552" t="str">
        <f>IFERROR(VLOOKUP(N210,'TABLA-DIA'!$B$2:$P$62,11,FALSE),"")</f>
        <v/>
      </c>
      <c r="J210" s="553" t="str">
        <f>IFERROR(VLOOKUP(N210,'TABLA-DIA'!$B$2:$P$62,12,FALSE),"")</f>
        <v/>
      </c>
      <c r="K210" s="559" t="str">
        <f>IFERROR(VLOOKUP(N210,'TABLA-DIA'!$B$2:$P$62,13,FALSE),"")</f>
        <v/>
      </c>
      <c r="L210" s="605" t="str">
        <f>IFERROR(IF(VLOOKUP(N210,'TABLA-DIA'!$B$2:$P$62,14,FALSE)="","",VLOOKUP(N210,'TABLA-DIA'!$B$2:$P$62,14,FALSE)),"")</f>
        <v/>
      </c>
      <c r="M210" s="589">
        <v>1</v>
      </c>
      <c r="N210" s="98" t="str">
        <f t="shared" ref="N210:N219" si="15">CONCATENATE($B$210,"-",M210)</f>
        <v>COMEDOR-1</v>
      </c>
      <c r="O210" s="91">
        <f>COUNTIF(G210:G219,"&lt;&gt;**")</f>
        <v>0</v>
      </c>
    </row>
    <row r="211" spans="2:15" ht="108.75" customHeight="1" thickBot="1">
      <c r="B211" s="724"/>
      <c r="C211" s="564" t="str">
        <f>IFERROR(VLOOKUP(N211,'TABLA-DIA'!$B$2:$P$62,9,FALSE),"")</f>
        <v/>
      </c>
      <c r="D211" s="565" t="str">
        <f>IFERROR(VLOOKUP(N211,'TABLA-DIA'!$B$2:$P$62,4,FALSE),"")</f>
        <v/>
      </c>
      <c r="E211" s="566" t="str">
        <f>IFERROR(VLOOKUP(N211,'TABLA-DIA'!$B$2:$P$62,5,FALSE),"")</f>
        <v/>
      </c>
      <c r="F211" s="566" t="str">
        <f>IFERROR(VLOOKUP(N211,'TABLA-DIA'!$B$2:$P$62,6,FALSE),"")</f>
        <v/>
      </c>
      <c r="G211" s="542" t="str">
        <f>IFERROR(VLOOKUP(N211,'TABLA-DIA'!$B$2:$P$62,7,FALSE),"")</f>
        <v/>
      </c>
      <c r="H211" s="582" t="str">
        <f>IFERROR(VLOOKUP(N211,'TABLA-DIA'!$B$2:$P$62,10,FALSE),"")</f>
        <v/>
      </c>
      <c r="I211" s="548" t="str">
        <f>IFERROR(VLOOKUP(N211,'TABLA-DIA'!$B$2:$P$62,11,FALSE),"")</f>
        <v/>
      </c>
      <c r="J211" s="549" t="str">
        <f>IFERROR(VLOOKUP(N211,'TABLA-DIA'!$B$2:$P$62,12,FALSE),"")</f>
        <v/>
      </c>
      <c r="K211" s="557" t="str">
        <f>IFERROR(VLOOKUP(N211,'TABLA-DIA'!$B$2:$P$62,13,FALSE),"")</f>
        <v/>
      </c>
      <c r="L211" s="603" t="str">
        <f>IFERROR(IF(VLOOKUP(N211,'TABLA-DIA'!$B$2:$P$62,14,FALSE)="","",VLOOKUP(N211,'TABLA-DIA'!$B$2:$P$62,14,FALSE)),"")</f>
        <v/>
      </c>
      <c r="M211" s="590">
        <f t="shared" ref="M211:M219" si="16">+M210+1</f>
        <v>2</v>
      </c>
      <c r="N211" s="125" t="str">
        <f t="shared" si="15"/>
        <v>COMEDOR-2</v>
      </c>
    </row>
    <row r="212" spans="2:15" ht="108.75" hidden="1" customHeight="1">
      <c r="B212" s="724"/>
      <c r="C212" s="564" t="str">
        <f>IFERROR(VLOOKUP(N212,'TABLA-DIA'!$B$2:$P$62,9,FALSE),"")</f>
        <v/>
      </c>
      <c r="D212" s="565" t="str">
        <f>IFERROR(VLOOKUP(N212,'TABLA-DIA'!$B$2:$P$62,4,FALSE),"")</f>
        <v/>
      </c>
      <c r="E212" s="566" t="str">
        <f>IFERROR(VLOOKUP(N212,'TABLA-DIA'!$B$2:$P$62,5,FALSE),"")</f>
        <v/>
      </c>
      <c r="F212" s="566" t="str">
        <f>IFERROR(VLOOKUP(N212,'TABLA-DIA'!$B$2:$P$62,6,FALSE),"")</f>
        <v/>
      </c>
      <c r="G212" s="542" t="str">
        <f>IFERROR(VLOOKUP(N212,'TABLA-DIA'!$B$2:$P$62,7,FALSE),"")</f>
        <v/>
      </c>
      <c r="H212" s="582" t="str">
        <f>IFERROR(VLOOKUP(N212,'TABLA-DIA'!$B$2:$P$62,10,FALSE),"")</f>
        <v/>
      </c>
      <c r="I212" s="548" t="str">
        <f>IFERROR(VLOOKUP(N212,'TABLA-DIA'!$B$2:$P$62,11,FALSE),"")</f>
        <v/>
      </c>
      <c r="J212" s="549" t="str">
        <f>IFERROR(VLOOKUP(N212,'TABLA-DIA'!$B$2:$P$62,12,FALSE),"")</f>
        <v/>
      </c>
      <c r="K212" s="557" t="str">
        <f>IFERROR(VLOOKUP(N212,'TABLA-DIA'!$B$2:$P$62,13,FALSE),"")</f>
        <v/>
      </c>
      <c r="L212" s="603" t="str">
        <f>IFERROR(IF(VLOOKUP(N212,'TABLA-DIA'!$B$2:$P$62,14,FALSE)="","",VLOOKUP(N212,'TABLA-DIA'!$B$2:$P$62,14,FALSE)),"")</f>
        <v/>
      </c>
      <c r="M212" s="590">
        <f t="shared" si="16"/>
        <v>3</v>
      </c>
      <c r="N212" s="125" t="str">
        <f t="shared" si="15"/>
        <v>COMEDOR-3</v>
      </c>
    </row>
    <row r="213" spans="2:15" ht="108.75" hidden="1" customHeight="1">
      <c r="B213" s="724"/>
      <c r="C213" s="564" t="str">
        <f>IFERROR(VLOOKUP(N213,'TABLA-DIA'!$B$2:$P$62,9,FALSE),"")</f>
        <v/>
      </c>
      <c r="D213" s="565" t="str">
        <f>IFERROR(VLOOKUP(N213,'TABLA-DIA'!$B$2:$P$62,4,FALSE),"")</f>
        <v/>
      </c>
      <c r="E213" s="566" t="str">
        <f>IFERROR(VLOOKUP(N213,'TABLA-DIA'!$B$2:$P$62,5,FALSE),"")</f>
        <v/>
      </c>
      <c r="F213" s="566" t="str">
        <f>IFERROR(VLOOKUP(N213,'TABLA-DIA'!$B$2:$P$62,6,FALSE),"")</f>
        <v/>
      </c>
      <c r="G213" s="542" t="str">
        <f>IFERROR(VLOOKUP(N213,'TABLA-DIA'!$B$2:$P$62,7,FALSE),"")</f>
        <v/>
      </c>
      <c r="H213" s="582" t="str">
        <f>IFERROR(VLOOKUP(N213,'TABLA-DIA'!$B$2:$P$62,10,FALSE),"")</f>
        <v/>
      </c>
      <c r="I213" s="548" t="str">
        <f>IFERROR(VLOOKUP(N213,'TABLA-DIA'!$B$2:$P$62,11,FALSE),"")</f>
        <v/>
      </c>
      <c r="J213" s="549" t="str">
        <f>IFERROR(VLOOKUP(N213,'TABLA-DIA'!$B$2:$P$62,12,FALSE),"")</f>
        <v/>
      </c>
      <c r="K213" s="557" t="str">
        <f>IFERROR(VLOOKUP(N213,'TABLA-DIA'!$B$2:$P$62,13,FALSE),"")</f>
        <v/>
      </c>
      <c r="L213" s="603" t="str">
        <f>IFERROR(IF(VLOOKUP(N213,'TABLA-DIA'!$B$2:$P$62,14,FALSE)="","",VLOOKUP(N213,'TABLA-DIA'!$B$2:$P$62,14,FALSE)),"")</f>
        <v/>
      </c>
      <c r="M213" s="590">
        <f t="shared" si="16"/>
        <v>4</v>
      </c>
      <c r="N213" s="125" t="str">
        <f t="shared" si="15"/>
        <v>COMEDOR-4</v>
      </c>
    </row>
    <row r="214" spans="2:15" ht="108.75" hidden="1" customHeight="1">
      <c r="B214" s="724"/>
      <c r="C214" s="564" t="str">
        <f>IFERROR(VLOOKUP(N214,'TABLA-DIA'!$B$2:$P$62,9,FALSE),"")</f>
        <v/>
      </c>
      <c r="D214" s="565" t="str">
        <f>IFERROR(VLOOKUP(N214,'TABLA-DIA'!$B$2:$P$62,4,FALSE),"")</f>
        <v/>
      </c>
      <c r="E214" s="566" t="str">
        <f>IFERROR(VLOOKUP(N214,'TABLA-DIA'!$B$2:$P$62,5,FALSE),"")</f>
        <v/>
      </c>
      <c r="F214" s="566" t="str">
        <f>IFERROR(VLOOKUP(N214,'TABLA-DIA'!$B$2:$P$62,6,FALSE),"")</f>
        <v/>
      </c>
      <c r="G214" s="542" t="str">
        <f>IFERROR(VLOOKUP(N214,'TABLA-DIA'!$B$2:$P$62,7,FALSE),"")</f>
        <v/>
      </c>
      <c r="H214" s="582" t="str">
        <f>IFERROR(VLOOKUP(N214,'TABLA-DIA'!$B$2:$P$62,10,FALSE),"")</f>
        <v/>
      </c>
      <c r="I214" s="548" t="str">
        <f>IFERROR(VLOOKUP(N214,'TABLA-DIA'!$B$2:$P$62,11,FALSE),"")</f>
        <v/>
      </c>
      <c r="J214" s="549" t="str">
        <f>IFERROR(VLOOKUP(N214,'TABLA-DIA'!$B$2:$P$62,12,FALSE),"")</f>
        <v/>
      </c>
      <c r="K214" s="557" t="str">
        <f>IFERROR(VLOOKUP(N214,'TABLA-DIA'!$B$2:$P$62,13,FALSE),"")</f>
        <v/>
      </c>
      <c r="L214" s="603" t="str">
        <f>IFERROR(IF(VLOOKUP(N214,'TABLA-DIA'!$B$2:$P$62,14,FALSE)="","",VLOOKUP(N214,'TABLA-DIA'!$B$2:$P$62,14,FALSE)),"")</f>
        <v/>
      </c>
      <c r="M214" s="590">
        <f t="shared" si="16"/>
        <v>5</v>
      </c>
      <c r="N214" s="125" t="str">
        <f t="shared" si="15"/>
        <v>COMEDOR-5</v>
      </c>
    </row>
    <row r="215" spans="2:15" ht="108.75" hidden="1" customHeight="1">
      <c r="B215" s="724"/>
      <c r="C215" s="564" t="str">
        <f>IFERROR(VLOOKUP(N215,'TABLA-DIA'!$B$2:$P$62,9,FALSE),"")</f>
        <v/>
      </c>
      <c r="D215" s="565" t="str">
        <f>IFERROR(VLOOKUP(N215,'TABLA-DIA'!$B$2:$P$62,4,FALSE),"")</f>
        <v/>
      </c>
      <c r="E215" s="566" t="str">
        <f>IFERROR(VLOOKUP(N215,'TABLA-DIA'!$B$2:$P$62,5,FALSE),"")</f>
        <v/>
      </c>
      <c r="F215" s="566" t="str">
        <f>IFERROR(VLOOKUP(N215,'TABLA-DIA'!$B$2:$P$62,6,FALSE),"")</f>
        <v/>
      </c>
      <c r="G215" s="542" t="str">
        <f>IFERROR(VLOOKUP(N215,'TABLA-DIA'!$B$2:$P$62,7,FALSE),"")</f>
        <v/>
      </c>
      <c r="H215" s="582" t="str">
        <f>IFERROR(VLOOKUP(N215,'TABLA-DIA'!$B$2:$P$62,10,FALSE),"")</f>
        <v/>
      </c>
      <c r="I215" s="548" t="str">
        <f>IFERROR(VLOOKUP(N215,'TABLA-DIA'!$B$2:$P$62,11,FALSE),"")</f>
        <v/>
      </c>
      <c r="J215" s="549" t="str">
        <f>IFERROR(VLOOKUP(N215,'TABLA-DIA'!$B$2:$P$62,12,FALSE),"")</f>
        <v/>
      </c>
      <c r="K215" s="557" t="str">
        <f>IFERROR(VLOOKUP(N215,'TABLA-DIA'!$B$2:$P$62,13,FALSE),"")</f>
        <v/>
      </c>
      <c r="L215" s="603" t="str">
        <f>IFERROR(IF(VLOOKUP(N215,'TABLA-DIA'!$B$2:$P$62,14,FALSE)="","",VLOOKUP(N215,'TABLA-DIA'!$B$2:$P$62,14,FALSE)),"")</f>
        <v/>
      </c>
      <c r="M215" s="590">
        <f t="shared" si="16"/>
        <v>6</v>
      </c>
      <c r="N215" s="125" t="str">
        <f t="shared" si="15"/>
        <v>COMEDOR-6</v>
      </c>
    </row>
    <row r="216" spans="2:15" ht="108.75" hidden="1" customHeight="1">
      <c r="B216" s="724"/>
      <c r="C216" s="564" t="str">
        <f>IFERROR(VLOOKUP(N216,'TABLA-DIA'!$B$2:$P$62,9,FALSE),"")</f>
        <v/>
      </c>
      <c r="D216" s="565" t="str">
        <f>IFERROR(VLOOKUP(N216,'TABLA-DIA'!$B$2:$P$62,4,FALSE),"")</f>
        <v/>
      </c>
      <c r="E216" s="566" t="str">
        <f>IFERROR(VLOOKUP(N216,'TABLA-DIA'!$B$2:$P$62,5,FALSE),"")</f>
        <v/>
      </c>
      <c r="F216" s="566" t="str">
        <f>IFERROR(VLOOKUP(N216,'TABLA-DIA'!$B$2:$P$62,6,FALSE),"")</f>
        <v/>
      </c>
      <c r="G216" s="542" t="str">
        <f>IFERROR(VLOOKUP(N216,'TABLA-DIA'!$B$2:$P$62,7,FALSE),"")</f>
        <v/>
      </c>
      <c r="H216" s="582" t="str">
        <f>IFERROR(VLOOKUP(N216,'TABLA-DIA'!$B$2:$P$62,10,FALSE),"")</f>
        <v/>
      </c>
      <c r="I216" s="548" t="str">
        <f>IFERROR(VLOOKUP(N216,'TABLA-DIA'!$B$2:$P$62,11,FALSE),"")</f>
        <v/>
      </c>
      <c r="J216" s="549" t="str">
        <f>IFERROR(VLOOKUP(N216,'TABLA-DIA'!$B$2:$P$62,12,FALSE),"")</f>
        <v/>
      </c>
      <c r="K216" s="557" t="str">
        <f>IFERROR(VLOOKUP(N216,'TABLA-DIA'!$B$2:$P$62,13,FALSE),"")</f>
        <v/>
      </c>
      <c r="L216" s="603" t="str">
        <f>IFERROR(IF(VLOOKUP(N216,'TABLA-DIA'!$B$2:$P$62,14,FALSE)="","",VLOOKUP(N216,'TABLA-DIA'!$B$2:$P$62,14,FALSE)),"")</f>
        <v/>
      </c>
      <c r="M216" s="590">
        <f t="shared" si="16"/>
        <v>7</v>
      </c>
      <c r="N216" s="125" t="str">
        <f t="shared" si="15"/>
        <v>COMEDOR-7</v>
      </c>
    </row>
    <row r="217" spans="2:15" ht="108.75" hidden="1" customHeight="1">
      <c r="B217" s="724"/>
      <c r="C217" s="564" t="str">
        <f>IFERROR(VLOOKUP(N217,'TABLA-DIA'!$B$2:$P$62,9,FALSE),"")</f>
        <v/>
      </c>
      <c r="D217" s="565" t="str">
        <f>IFERROR(VLOOKUP(N217,'TABLA-DIA'!$B$2:$P$62,4,FALSE),"")</f>
        <v/>
      </c>
      <c r="E217" s="566" t="str">
        <f>IFERROR(VLOOKUP(N217,'TABLA-DIA'!$B$2:$P$62,5,FALSE),"")</f>
        <v/>
      </c>
      <c r="F217" s="566" t="str">
        <f>IFERROR(VLOOKUP(N217,'TABLA-DIA'!$B$2:$P$62,6,FALSE),"")</f>
        <v/>
      </c>
      <c r="G217" s="542" t="str">
        <f>IFERROR(VLOOKUP(N217,'TABLA-DIA'!$B$2:$P$62,7,FALSE),"")</f>
        <v/>
      </c>
      <c r="H217" s="582" t="str">
        <f>IFERROR(VLOOKUP(N217,'TABLA-DIA'!$B$2:$P$62,10,FALSE),"")</f>
        <v/>
      </c>
      <c r="I217" s="548" t="str">
        <f>IFERROR(VLOOKUP(N217,'TABLA-DIA'!$B$2:$P$62,11,FALSE),"")</f>
        <v/>
      </c>
      <c r="J217" s="549" t="str">
        <f>IFERROR(VLOOKUP(N217,'TABLA-DIA'!$B$2:$P$62,12,FALSE),"")</f>
        <v/>
      </c>
      <c r="K217" s="557" t="str">
        <f>IFERROR(VLOOKUP(N217,'TABLA-DIA'!$B$2:$P$62,13,FALSE),"")</f>
        <v/>
      </c>
      <c r="L217" s="603" t="str">
        <f>IFERROR(IF(VLOOKUP(N217,'TABLA-DIA'!$B$2:$P$62,14,FALSE)="","",VLOOKUP(N217,'TABLA-DIA'!$B$2:$P$62,14,FALSE)),"")</f>
        <v/>
      </c>
      <c r="M217" s="590">
        <f t="shared" si="16"/>
        <v>8</v>
      </c>
      <c r="N217" s="125" t="str">
        <f t="shared" si="15"/>
        <v>COMEDOR-8</v>
      </c>
    </row>
    <row r="218" spans="2:15" ht="108.75" hidden="1" customHeight="1">
      <c r="B218" s="724"/>
      <c r="C218" s="564" t="str">
        <f>IFERROR(VLOOKUP(N218,'TABLA-DIA'!$B$2:$P$62,9,FALSE),"")</f>
        <v/>
      </c>
      <c r="D218" s="565" t="str">
        <f>IFERROR(VLOOKUP(N218,'TABLA-DIA'!$B$2:$P$62,4,FALSE),"")</f>
        <v/>
      </c>
      <c r="E218" s="566" t="str">
        <f>IFERROR(VLOOKUP(N218,'TABLA-DIA'!$B$2:$P$62,5,FALSE),"")</f>
        <v/>
      </c>
      <c r="F218" s="566" t="str">
        <f>IFERROR(VLOOKUP(N218,'TABLA-DIA'!$B$2:$P$62,6,FALSE),"")</f>
        <v/>
      </c>
      <c r="G218" s="542" t="str">
        <f>IFERROR(VLOOKUP(N218,'TABLA-DIA'!$B$2:$P$62,7,FALSE),"")</f>
        <v/>
      </c>
      <c r="H218" s="582" t="str">
        <f>IFERROR(VLOOKUP(N218,'TABLA-DIA'!$B$2:$P$62,10,FALSE),"")</f>
        <v/>
      </c>
      <c r="I218" s="548" t="str">
        <f>IFERROR(VLOOKUP(N218,'TABLA-DIA'!$B$2:$P$62,11,FALSE),"")</f>
        <v/>
      </c>
      <c r="J218" s="549" t="str">
        <f>IFERROR(VLOOKUP(N218,'TABLA-DIA'!$B$2:$P$62,12,FALSE),"")</f>
        <v/>
      </c>
      <c r="K218" s="557" t="str">
        <f>IFERROR(VLOOKUP(N218,'TABLA-DIA'!$B$2:$P$62,13,FALSE),"")</f>
        <v/>
      </c>
      <c r="L218" s="603" t="str">
        <f>IFERROR(IF(VLOOKUP(N218,'TABLA-DIA'!$B$2:$P$62,14,FALSE)="","",VLOOKUP(N218,'TABLA-DIA'!$B$2:$P$62,14,FALSE)),"")</f>
        <v/>
      </c>
      <c r="M218" s="590">
        <f t="shared" si="16"/>
        <v>9</v>
      </c>
      <c r="N218" s="125" t="str">
        <f t="shared" si="15"/>
        <v>COMEDOR-9</v>
      </c>
    </row>
    <row r="219" spans="2:15" ht="108.75" hidden="1" customHeight="1" thickBot="1">
      <c r="B219" s="726"/>
      <c r="C219" s="573" t="str">
        <f>IFERROR(VLOOKUP(N219,'TABLA-DIA'!$B$2:$P$62,9,FALSE),"")</f>
        <v/>
      </c>
      <c r="D219" s="574" t="str">
        <f>IFERROR(VLOOKUP(N219,'TABLA-DIA'!$B$2:$P$62,4,FALSE),"")</f>
        <v/>
      </c>
      <c r="E219" s="575" t="str">
        <f>IFERROR(VLOOKUP(N219,'TABLA-DIA'!$B$2:$P$62,5,FALSE),"")</f>
        <v/>
      </c>
      <c r="F219" s="575" t="str">
        <f>IFERROR(VLOOKUP(N219,'TABLA-DIA'!$B$2:$P$62,6,FALSE),"")</f>
        <v/>
      </c>
      <c r="G219" s="545" t="str">
        <f>IFERROR(VLOOKUP(N219,'TABLA-DIA'!$B$2:$P$62,7,FALSE),"")</f>
        <v/>
      </c>
      <c r="H219" s="585" t="str">
        <f>IFERROR(VLOOKUP(N219,'TABLA-DIA'!$B$2:$P$62,10,FALSE),"")</f>
        <v/>
      </c>
      <c r="I219" s="554" t="str">
        <f>IFERROR(VLOOKUP(N219,'TABLA-DIA'!$B$2:$P$62,11,FALSE),"")</f>
        <v/>
      </c>
      <c r="J219" s="555" t="str">
        <f>IFERROR(VLOOKUP(N219,'TABLA-DIA'!$B$2:$P$62,12,FALSE),"")</f>
        <v/>
      </c>
      <c r="K219" s="560" t="str">
        <f>IFERROR(VLOOKUP(N219,'TABLA-DIA'!$B$2:$P$62,13,FALSE),"")</f>
        <v/>
      </c>
      <c r="L219" s="606" t="str">
        <f>IFERROR(IF(VLOOKUP(N219,'TABLA-DIA'!$B$2:$P$62,14,FALSE)="","",VLOOKUP(N219,'TABLA-DIA'!$B$2:$P$62,14,FALSE)),"")</f>
        <v/>
      </c>
      <c r="M219" s="592">
        <f t="shared" si="16"/>
        <v>10</v>
      </c>
      <c r="N219" s="130" t="str">
        <f t="shared" si="15"/>
        <v>COMEDOR-10</v>
      </c>
    </row>
    <row r="220" spans="2:15" ht="95.25" customHeight="1">
      <c r="B220" s="723" t="str">
        <f>+'TABLA-DIA'!B160</f>
        <v>CALDERO, CHRILLER Y COMPRESOR</v>
      </c>
      <c r="C220" s="569" t="str">
        <f>IFERROR(VLOOKUP(N220,'TABLA-DIA'!$B$2:$P$62,9,FALSE),"")</f>
        <v>Equipos auxiliares</v>
      </c>
      <c r="D220" s="570" t="str">
        <f>IFERROR(VLOOKUP(N220,'TABLA-DIA'!$B$2:$P$62,4,FALSE),"")</f>
        <v>TARDE</v>
      </c>
      <c r="E220" s="571" t="str">
        <f>IFERROR(VLOOKUP(N220,'TABLA-DIA'!$B$2:$P$62,5,FALSE),"")</f>
        <v>12:40</v>
      </c>
      <c r="F220" s="571" t="str">
        <f>IFERROR(VLOOKUP(N220,'TABLA-DIA'!$B$2:$P$62,6,FALSE),"")</f>
        <v>13:00</v>
      </c>
      <c r="G220" s="544">
        <f>IFERROR(VLOOKUP(N220,'TABLA-DIA'!$B$2:$P$62,7,FALSE),"")</f>
        <v>1.388888888888884E-2</v>
      </c>
      <c r="H220" s="584" t="str">
        <f>IFERROR(VLOOKUP(N220,'TABLA-DIA'!$B$2:$P$62,10,FALSE),"")</f>
        <v>Inspección</v>
      </c>
      <c r="I220" s="552" t="str">
        <f>IFERROR(VLOOKUP(N220,'TABLA-DIA'!$B$2:$P$62,11,FALSE),"")</f>
        <v>PROGRAMADA</v>
      </c>
      <c r="J220" s="553">
        <f>IFERROR(VLOOKUP(N220,'TABLA-DIA'!$B$2:$P$62,12,FALSE),"")</f>
        <v>0</v>
      </c>
      <c r="K220" s="559" t="str">
        <f>IFERROR(VLOOKUP(N220,'TABLA-DIA'!$B$2:$P$62,13,FALSE),"")</f>
        <v xml:space="preserve">Se realiza inspección de equipos y parámetros </v>
      </c>
      <c r="L220" s="605" t="str">
        <f>IFERROR(IF(VLOOKUP(N220,'TABLA-DIA'!$B$2:$P$62,14,FALSE)="","",VLOOKUP(N220,'TABLA-DIA'!$B$2:$P$62,14,FALSE)),"")</f>
        <v/>
      </c>
      <c r="M220" s="589">
        <v>1</v>
      </c>
      <c r="N220" s="98" t="str">
        <f t="shared" ref="N220:N229" si="17">CONCATENATE($B$220,"-",M220)</f>
        <v>CALDERO, CHRILLER Y COMPRESOR-1</v>
      </c>
      <c r="O220" s="91">
        <f>COUNTIF(G220:G229,"&lt;&gt;**")</f>
        <v>1</v>
      </c>
    </row>
    <row r="221" spans="2:15" ht="67.150000000000006" customHeight="1" thickBot="1">
      <c r="B221" s="724"/>
      <c r="C221" s="564" t="str">
        <f>IFERROR(VLOOKUP(N221,'TABLA-DIA'!$B$2:$P$62,9,FALSE),"")</f>
        <v/>
      </c>
      <c r="D221" s="565" t="str">
        <f>IFERROR(VLOOKUP(N221,'TABLA-DIA'!$B$2:$P$62,4,FALSE),"")</f>
        <v/>
      </c>
      <c r="E221" s="566" t="str">
        <f>IFERROR(VLOOKUP(N221,'TABLA-DIA'!$B$2:$P$62,5,FALSE),"")</f>
        <v/>
      </c>
      <c r="F221" s="566" t="str">
        <f>IFERROR(VLOOKUP(N221,'TABLA-DIA'!$B$2:$P$62,6,FALSE),"")</f>
        <v/>
      </c>
      <c r="G221" s="542" t="str">
        <f>IFERROR(VLOOKUP(N221,'TABLA-DIA'!$B$2:$P$62,7,FALSE),"")</f>
        <v/>
      </c>
      <c r="H221" s="582" t="str">
        <f>IFERROR(VLOOKUP(N221,'TABLA-DIA'!$B$2:$P$62,10,FALSE),"")</f>
        <v/>
      </c>
      <c r="I221" s="548" t="str">
        <f>IFERROR(VLOOKUP(N221,'TABLA-DIA'!$B$2:$P$62,11,FALSE),"")</f>
        <v/>
      </c>
      <c r="J221" s="549" t="str">
        <f>IFERROR(VLOOKUP(N221,'TABLA-DIA'!$B$2:$P$62,12,FALSE),"")</f>
        <v/>
      </c>
      <c r="K221" s="557" t="str">
        <f>IFERROR(VLOOKUP(N221,'TABLA-DIA'!$B$2:$P$62,13,FALSE),"")</f>
        <v/>
      </c>
      <c r="L221" s="603" t="str">
        <f>IFERROR(IF(VLOOKUP(N221,'TABLA-DIA'!$B$2:$P$62,14,FALSE)="","",VLOOKUP(N221,'TABLA-DIA'!$B$2:$P$62,14,FALSE)),"")</f>
        <v/>
      </c>
      <c r="M221" s="590">
        <f t="shared" ref="M221:M229" si="18">+M220+1</f>
        <v>2</v>
      </c>
      <c r="N221" s="125" t="str">
        <f t="shared" si="17"/>
        <v>CALDERO, CHRILLER Y COMPRESOR-2</v>
      </c>
    </row>
    <row r="222" spans="2:15" ht="67.150000000000006" hidden="1" customHeight="1">
      <c r="B222" s="724"/>
      <c r="C222" s="564" t="str">
        <f>IFERROR(VLOOKUP(N222,'TABLA-DIA'!$B$2:$P$62,9,FALSE),"")</f>
        <v/>
      </c>
      <c r="D222" s="565" t="str">
        <f>IFERROR(VLOOKUP(N222,'TABLA-DIA'!$B$2:$P$62,4,FALSE),"")</f>
        <v/>
      </c>
      <c r="E222" s="566" t="str">
        <f>IFERROR(VLOOKUP(N222,'TABLA-DIA'!$B$2:$P$62,5,FALSE),"")</f>
        <v/>
      </c>
      <c r="F222" s="566" t="str">
        <f>IFERROR(VLOOKUP(N222,'TABLA-DIA'!$B$2:$P$62,6,FALSE),"")</f>
        <v/>
      </c>
      <c r="G222" s="542" t="str">
        <f>IFERROR(VLOOKUP(N222,'TABLA-DIA'!$B$2:$P$62,7,FALSE),"")</f>
        <v/>
      </c>
      <c r="H222" s="582" t="str">
        <f>IFERROR(VLOOKUP(N222,'TABLA-DIA'!$B$2:$P$62,10,FALSE),"")</f>
        <v/>
      </c>
      <c r="I222" s="548" t="str">
        <f>IFERROR(VLOOKUP(N222,'TABLA-DIA'!$B$2:$P$62,11,FALSE),"")</f>
        <v/>
      </c>
      <c r="J222" s="549" t="str">
        <f>IFERROR(VLOOKUP(N222,'TABLA-DIA'!$B$2:$P$62,12,FALSE),"")</f>
        <v/>
      </c>
      <c r="K222" s="557" t="str">
        <f>IFERROR(VLOOKUP(N222,'TABLA-DIA'!$B$2:$P$62,13,FALSE),"")</f>
        <v/>
      </c>
      <c r="L222" s="603" t="str">
        <f>IFERROR(IF(VLOOKUP(N222,'TABLA-DIA'!$B$2:$P$62,14,FALSE)="","",VLOOKUP(N222,'TABLA-DIA'!$B$2:$P$62,14,FALSE)),"")</f>
        <v/>
      </c>
      <c r="M222" s="590">
        <f t="shared" si="18"/>
        <v>3</v>
      </c>
      <c r="N222" s="125" t="str">
        <f t="shared" si="17"/>
        <v>CALDERO, CHRILLER Y COMPRESOR-3</v>
      </c>
    </row>
    <row r="223" spans="2:15" ht="67.150000000000006" hidden="1" customHeight="1">
      <c r="B223" s="724"/>
      <c r="C223" s="564" t="str">
        <f>IFERROR(VLOOKUP(N223,'TABLA-DIA'!$B$2:$P$62,9,FALSE),"")</f>
        <v/>
      </c>
      <c r="D223" s="565" t="str">
        <f>IFERROR(VLOOKUP(N223,'TABLA-DIA'!$B$2:$P$62,4,FALSE),"")</f>
        <v/>
      </c>
      <c r="E223" s="566" t="str">
        <f>IFERROR(VLOOKUP(N223,'TABLA-DIA'!$B$2:$P$62,5,FALSE),"")</f>
        <v/>
      </c>
      <c r="F223" s="566" t="str">
        <f>IFERROR(VLOOKUP(N223,'TABLA-DIA'!$B$2:$P$62,6,FALSE),"")</f>
        <v/>
      </c>
      <c r="G223" s="542" t="str">
        <f>IFERROR(VLOOKUP(N223,'TABLA-DIA'!$B$2:$P$62,7,FALSE),"")</f>
        <v/>
      </c>
      <c r="H223" s="582" t="str">
        <f>IFERROR(VLOOKUP(N223,'TABLA-DIA'!$B$2:$P$62,10,FALSE),"")</f>
        <v/>
      </c>
      <c r="I223" s="548" t="str">
        <f>IFERROR(VLOOKUP(N223,'TABLA-DIA'!$B$2:$P$62,11,FALSE),"")</f>
        <v/>
      </c>
      <c r="J223" s="549" t="str">
        <f>IFERROR(VLOOKUP(N223,'TABLA-DIA'!$B$2:$P$62,12,FALSE),"")</f>
        <v/>
      </c>
      <c r="K223" s="557" t="str">
        <f>IFERROR(VLOOKUP(N223,'TABLA-DIA'!$B$2:$P$62,13,FALSE),"")</f>
        <v/>
      </c>
      <c r="L223" s="603" t="str">
        <f>IFERROR(IF(VLOOKUP(N223,'TABLA-DIA'!$B$2:$P$62,14,FALSE)="","",VLOOKUP(N223,'TABLA-DIA'!$B$2:$P$62,14,FALSE)),"")</f>
        <v/>
      </c>
      <c r="M223" s="590">
        <f t="shared" si="18"/>
        <v>4</v>
      </c>
      <c r="N223" s="125" t="str">
        <f t="shared" si="17"/>
        <v>CALDERO, CHRILLER Y COMPRESOR-4</v>
      </c>
    </row>
    <row r="224" spans="2:15" ht="67.150000000000006" hidden="1" customHeight="1">
      <c r="B224" s="724"/>
      <c r="C224" s="564" t="str">
        <f>IFERROR(VLOOKUP(N224,'TABLA-DIA'!$B$2:$P$62,9,FALSE),"")</f>
        <v/>
      </c>
      <c r="D224" s="565" t="str">
        <f>IFERROR(VLOOKUP(N224,'TABLA-DIA'!$B$2:$P$62,4,FALSE),"")</f>
        <v/>
      </c>
      <c r="E224" s="566" t="str">
        <f>IFERROR(VLOOKUP(N224,'TABLA-DIA'!$B$2:$P$62,5,FALSE),"")</f>
        <v/>
      </c>
      <c r="F224" s="566" t="str">
        <f>IFERROR(VLOOKUP(N224,'TABLA-DIA'!$B$2:$P$62,6,FALSE),"")</f>
        <v/>
      </c>
      <c r="G224" s="542" t="str">
        <f>IFERROR(VLOOKUP(N224,'TABLA-DIA'!$B$2:$P$62,7,FALSE),"")</f>
        <v/>
      </c>
      <c r="H224" s="582" t="str">
        <f>IFERROR(VLOOKUP(N224,'TABLA-DIA'!$B$2:$P$62,10,FALSE),"")</f>
        <v/>
      </c>
      <c r="I224" s="548" t="str">
        <f>IFERROR(VLOOKUP(N224,'TABLA-DIA'!$B$2:$P$62,11,FALSE),"")</f>
        <v/>
      </c>
      <c r="J224" s="549" t="str">
        <f>IFERROR(VLOOKUP(N224,'TABLA-DIA'!$B$2:$P$62,12,FALSE),"")</f>
        <v/>
      </c>
      <c r="K224" s="557" t="str">
        <f>IFERROR(VLOOKUP(N224,'TABLA-DIA'!$B$2:$P$62,13,FALSE),"")</f>
        <v/>
      </c>
      <c r="L224" s="603" t="str">
        <f>IFERROR(IF(VLOOKUP(N224,'TABLA-DIA'!$B$2:$P$62,14,FALSE)="","",VLOOKUP(N224,'TABLA-DIA'!$B$2:$P$62,14,FALSE)),"")</f>
        <v/>
      </c>
      <c r="M224" s="590">
        <f t="shared" si="18"/>
        <v>5</v>
      </c>
      <c r="N224" s="125" t="str">
        <f t="shared" si="17"/>
        <v>CALDERO, CHRILLER Y COMPRESOR-5</v>
      </c>
    </row>
    <row r="225" spans="2:15" ht="67.150000000000006" hidden="1" customHeight="1">
      <c r="B225" s="724"/>
      <c r="C225" s="564" t="str">
        <f>IFERROR(VLOOKUP(N225,'TABLA-DIA'!$B$2:$P$62,9,FALSE),"")</f>
        <v/>
      </c>
      <c r="D225" s="565" t="str">
        <f>IFERROR(VLOOKUP(N225,'TABLA-DIA'!$B$2:$P$62,4,FALSE),"")</f>
        <v/>
      </c>
      <c r="E225" s="566" t="str">
        <f>IFERROR(VLOOKUP(N225,'TABLA-DIA'!$B$2:$P$62,5,FALSE),"")</f>
        <v/>
      </c>
      <c r="F225" s="566" t="str">
        <f>IFERROR(VLOOKUP(N225,'TABLA-DIA'!$B$2:$P$62,6,FALSE),"")</f>
        <v/>
      </c>
      <c r="G225" s="542" t="str">
        <f>IFERROR(VLOOKUP(N225,'TABLA-DIA'!$B$2:$P$62,7,FALSE),"")</f>
        <v/>
      </c>
      <c r="H225" s="582" t="str">
        <f>IFERROR(VLOOKUP(N225,'TABLA-DIA'!$B$2:$P$62,10,FALSE),"")</f>
        <v/>
      </c>
      <c r="I225" s="548" t="str">
        <f>IFERROR(VLOOKUP(N225,'TABLA-DIA'!$B$2:$P$62,11,FALSE),"")</f>
        <v/>
      </c>
      <c r="J225" s="549" t="str">
        <f>IFERROR(VLOOKUP(N225,'TABLA-DIA'!$B$2:$P$62,12,FALSE),"")</f>
        <v/>
      </c>
      <c r="K225" s="557" t="str">
        <f>IFERROR(VLOOKUP(N225,'TABLA-DIA'!$B$2:$P$62,13,FALSE),"")</f>
        <v/>
      </c>
      <c r="L225" s="603" t="str">
        <f>IFERROR(IF(VLOOKUP(N225,'TABLA-DIA'!$B$2:$P$62,14,FALSE)="","",VLOOKUP(N225,'TABLA-DIA'!$B$2:$P$62,14,FALSE)),"")</f>
        <v/>
      </c>
      <c r="M225" s="590">
        <f t="shared" si="18"/>
        <v>6</v>
      </c>
      <c r="N225" s="125" t="str">
        <f t="shared" si="17"/>
        <v>CALDERO, CHRILLER Y COMPRESOR-6</v>
      </c>
    </row>
    <row r="226" spans="2:15" ht="67.150000000000006" hidden="1" customHeight="1">
      <c r="B226" s="724"/>
      <c r="C226" s="564" t="str">
        <f>IFERROR(VLOOKUP(N226,'TABLA-DIA'!$B$2:$P$62,9,FALSE),"")</f>
        <v/>
      </c>
      <c r="D226" s="565" t="str">
        <f>IFERROR(VLOOKUP(N226,'TABLA-DIA'!$B$2:$P$62,4,FALSE),"")</f>
        <v/>
      </c>
      <c r="E226" s="566" t="str">
        <f>IFERROR(VLOOKUP(N226,'TABLA-DIA'!$B$2:$P$62,5,FALSE),"")</f>
        <v/>
      </c>
      <c r="F226" s="566" t="str">
        <f>IFERROR(VLOOKUP(N226,'TABLA-DIA'!$B$2:$P$62,6,FALSE),"")</f>
        <v/>
      </c>
      <c r="G226" s="542" t="str">
        <f>IFERROR(VLOOKUP(N226,'TABLA-DIA'!$B$2:$P$62,7,FALSE),"")</f>
        <v/>
      </c>
      <c r="H226" s="582" t="str">
        <f>IFERROR(VLOOKUP(N226,'TABLA-DIA'!$B$2:$P$62,10,FALSE),"")</f>
        <v/>
      </c>
      <c r="I226" s="548" t="str">
        <f>IFERROR(VLOOKUP(N226,'TABLA-DIA'!$B$2:$P$62,11,FALSE),"")</f>
        <v/>
      </c>
      <c r="J226" s="549" t="str">
        <f>IFERROR(VLOOKUP(N226,'TABLA-DIA'!$B$2:$P$62,12,FALSE),"")</f>
        <v/>
      </c>
      <c r="K226" s="557" t="str">
        <f>IFERROR(VLOOKUP(N226,'TABLA-DIA'!$B$2:$P$62,13,FALSE),"")</f>
        <v/>
      </c>
      <c r="L226" s="603" t="str">
        <f>IFERROR(IF(VLOOKUP(N226,'TABLA-DIA'!$B$2:$P$62,14,FALSE)="","",VLOOKUP(N226,'TABLA-DIA'!$B$2:$P$62,14,FALSE)),"")</f>
        <v/>
      </c>
      <c r="M226" s="590">
        <f t="shared" si="18"/>
        <v>7</v>
      </c>
      <c r="N226" s="125" t="str">
        <f t="shared" si="17"/>
        <v>CALDERO, CHRILLER Y COMPRESOR-7</v>
      </c>
    </row>
    <row r="227" spans="2:15" ht="67.150000000000006" hidden="1" customHeight="1">
      <c r="B227" s="724"/>
      <c r="C227" s="564" t="str">
        <f>IFERROR(VLOOKUP(N227,'TABLA-DIA'!$B$2:$P$62,9,FALSE),"")</f>
        <v/>
      </c>
      <c r="D227" s="565" t="str">
        <f>IFERROR(VLOOKUP(N227,'TABLA-DIA'!$B$2:$P$62,4,FALSE),"")</f>
        <v/>
      </c>
      <c r="E227" s="566" t="str">
        <f>IFERROR(VLOOKUP(N227,'TABLA-DIA'!$B$2:$P$62,5,FALSE),"")</f>
        <v/>
      </c>
      <c r="F227" s="566" t="str">
        <f>IFERROR(VLOOKUP(N227,'TABLA-DIA'!$B$2:$P$62,6,FALSE),"")</f>
        <v/>
      </c>
      <c r="G227" s="542" t="str">
        <f>IFERROR(VLOOKUP(N227,'TABLA-DIA'!$B$2:$P$62,7,FALSE),"")</f>
        <v/>
      </c>
      <c r="H227" s="582" t="str">
        <f>IFERROR(VLOOKUP(N227,'TABLA-DIA'!$B$2:$P$62,10,FALSE),"")</f>
        <v/>
      </c>
      <c r="I227" s="548" t="str">
        <f>IFERROR(VLOOKUP(N227,'TABLA-DIA'!$B$2:$P$62,11,FALSE),"")</f>
        <v/>
      </c>
      <c r="J227" s="549" t="str">
        <f>IFERROR(VLOOKUP(N227,'TABLA-DIA'!$B$2:$P$62,12,FALSE),"")</f>
        <v/>
      </c>
      <c r="K227" s="557" t="str">
        <f>IFERROR(VLOOKUP(N227,'TABLA-DIA'!$B$2:$P$62,13,FALSE),"")</f>
        <v/>
      </c>
      <c r="L227" s="603" t="str">
        <f>IFERROR(IF(VLOOKUP(N227,'TABLA-DIA'!$B$2:$P$62,14,FALSE)="","",VLOOKUP(N227,'TABLA-DIA'!$B$2:$P$62,14,FALSE)),"")</f>
        <v/>
      </c>
      <c r="M227" s="590">
        <f t="shared" si="18"/>
        <v>8</v>
      </c>
      <c r="N227" s="125" t="str">
        <f t="shared" si="17"/>
        <v>CALDERO, CHRILLER Y COMPRESOR-8</v>
      </c>
    </row>
    <row r="228" spans="2:15" ht="67.150000000000006" hidden="1" customHeight="1">
      <c r="B228" s="724"/>
      <c r="C228" s="564" t="str">
        <f>IFERROR(VLOOKUP(N228,'TABLA-DIA'!$B$2:$P$62,9,FALSE),"")</f>
        <v/>
      </c>
      <c r="D228" s="565" t="str">
        <f>IFERROR(VLOOKUP(N228,'TABLA-DIA'!$B$2:$P$62,4,FALSE),"")</f>
        <v/>
      </c>
      <c r="E228" s="566" t="str">
        <f>IFERROR(VLOOKUP(N228,'TABLA-DIA'!$B$2:$P$62,5,FALSE),"")</f>
        <v/>
      </c>
      <c r="F228" s="566" t="str">
        <f>IFERROR(VLOOKUP(N228,'TABLA-DIA'!$B$2:$P$62,6,FALSE),"")</f>
        <v/>
      </c>
      <c r="G228" s="542" t="str">
        <f>IFERROR(VLOOKUP(N228,'TABLA-DIA'!$B$2:$P$62,7,FALSE),"")</f>
        <v/>
      </c>
      <c r="H228" s="582" t="str">
        <f>IFERROR(VLOOKUP(N228,'TABLA-DIA'!$B$2:$P$62,10,FALSE),"")</f>
        <v/>
      </c>
      <c r="I228" s="548" t="str">
        <f>IFERROR(VLOOKUP(N228,'TABLA-DIA'!$B$2:$P$62,11,FALSE),"")</f>
        <v/>
      </c>
      <c r="J228" s="549" t="str">
        <f>IFERROR(VLOOKUP(N228,'TABLA-DIA'!$B$2:$P$62,12,FALSE),"")</f>
        <v/>
      </c>
      <c r="K228" s="557" t="str">
        <f>IFERROR(VLOOKUP(N228,'TABLA-DIA'!$B$2:$P$62,13,FALSE),"")</f>
        <v/>
      </c>
      <c r="L228" s="603" t="str">
        <f>IFERROR(IF(VLOOKUP(N228,'TABLA-DIA'!$B$2:$P$62,14,FALSE)="","",VLOOKUP(N228,'TABLA-DIA'!$B$2:$P$62,14,FALSE)),"")</f>
        <v/>
      </c>
      <c r="M228" s="590">
        <f t="shared" si="18"/>
        <v>9</v>
      </c>
      <c r="N228" s="125" t="str">
        <f t="shared" si="17"/>
        <v>CALDERO, CHRILLER Y COMPRESOR-9</v>
      </c>
    </row>
    <row r="229" spans="2:15" ht="67.150000000000006" hidden="1" customHeight="1" thickBot="1">
      <c r="B229" s="726"/>
      <c r="C229" s="573" t="str">
        <f>IFERROR(VLOOKUP(N229,'TABLA-DIA'!$B$2:$P$62,9,FALSE),"")</f>
        <v/>
      </c>
      <c r="D229" s="574" t="str">
        <f>IFERROR(VLOOKUP(N229,'TABLA-DIA'!$B$2:$P$62,4,FALSE),"")</f>
        <v/>
      </c>
      <c r="E229" s="575" t="str">
        <f>IFERROR(VLOOKUP(N229,'TABLA-DIA'!$B$2:$P$62,5,FALSE),"")</f>
        <v/>
      </c>
      <c r="F229" s="575" t="str">
        <f>IFERROR(VLOOKUP(N229,'TABLA-DIA'!$B$2:$P$62,6,FALSE),"")</f>
        <v/>
      </c>
      <c r="G229" s="545" t="str">
        <f>IFERROR(VLOOKUP(N229,'TABLA-DIA'!$B$2:$P$62,7,FALSE),"")</f>
        <v/>
      </c>
      <c r="H229" s="585" t="str">
        <f>IFERROR(VLOOKUP(N229,'TABLA-DIA'!$B$2:$P$62,10,FALSE),"")</f>
        <v/>
      </c>
      <c r="I229" s="554" t="str">
        <f>IFERROR(VLOOKUP(N229,'TABLA-DIA'!$B$2:$P$62,11,FALSE),"")</f>
        <v/>
      </c>
      <c r="J229" s="555" t="str">
        <f>IFERROR(VLOOKUP(N229,'TABLA-DIA'!$B$2:$P$62,12,FALSE),"")</f>
        <v/>
      </c>
      <c r="K229" s="560" t="str">
        <f>IFERROR(VLOOKUP(N229,'TABLA-DIA'!$B$2:$P$62,13,FALSE),"")</f>
        <v/>
      </c>
      <c r="L229" s="606" t="str">
        <f>IFERROR(IF(VLOOKUP(N229,'TABLA-DIA'!$B$2:$P$62,14,FALSE)="","",VLOOKUP(N229,'TABLA-DIA'!$B$2:$P$62,14,FALSE)),"")</f>
        <v/>
      </c>
      <c r="M229" s="592">
        <f t="shared" si="18"/>
        <v>10</v>
      </c>
      <c r="N229" s="130" t="str">
        <f t="shared" si="17"/>
        <v>CALDERO, CHRILLER Y COMPRESOR-10</v>
      </c>
    </row>
    <row r="230" spans="2:15" ht="96" customHeight="1" thickBot="1">
      <c r="B230" s="723" t="str">
        <f>+'TABLA-DIA'!B161</f>
        <v>BARQUILLERA FRANZ HAAZ</v>
      </c>
      <c r="C230" s="569" t="str">
        <f>IFERROR(VLOOKUP(N230,'TABLA-DIA'!$B$2:$P$62,9,FALSE),"")</f>
        <v/>
      </c>
      <c r="D230" s="570" t="str">
        <f>IFERROR(VLOOKUP(N230,'TABLA-DIA'!$B$2:$P$62,4,FALSE),"")</f>
        <v/>
      </c>
      <c r="E230" s="571" t="str">
        <f>IFERROR(VLOOKUP(N230,'TABLA-DIA'!$B$2:$P$62,5,FALSE),"")</f>
        <v/>
      </c>
      <c r="F230" s="571" t="str">
        <f>IFERROR(VLOOKUP(N230,'TABLA-DIA'!$B$2:$P$62,6,FALSE),"")</f>
        <v/>
      </c>
      <c r="G230" s="544" t="str">
        <f>IFERROR(VLOOKUP(N230,'TABLA-DIA'!$B$2:$P$62,7,FALSE),"")</f>
        <v/>
      </c>
      <c r="H230" s="584" t="str">
        <f>IFERROR(VLOOKUP(N230,'TABLA-DIA'!$B$2:$P$62,10,FALSE),"")</f>
        <v/>
      </c>
      <c r="I230" s="552" t="str">
        <f>IFERROR(VLOOKUP(N230,'TABLA-DIA'!$B$2:$P$62,11,FALSE),"")</f>
        <v/>
      </c>
      <c r="J230" s="553" t="str">
        <f>IFERROR(VLOOKUP(N230,'TABLA-DIA'!$B$2:$P$62,12,FALSE),"")</f>
        <v/>
      </c>
      <c r="K230" s="559" t="str">
        <f>IFERROR(VLOOKUP(N230,'TABLA-DIA'!$B$2:$P$62,13,FALSE),"")</f>
        <v/>
      </c>
      <c r="L230" s="605" t="str">
        <f>IFERROR(IF(VLOOKUP(N230,'TABLA-DIA'!$B$2:$P$62,14,FALSE)="","",VLOOKUP(N230,'TABLA-DIA'!$B$2:$P$62,14,FALSE)),"")</f>
        <v/>
      </c>
      <c r="M230" s="589">
        <v>1</v>
      </c>
      <c r="N230" s="98" t="str">
        <f t="shared" ref="N230:N239" si="19">CONCATENATE($B$230,"-",M230)</f>
        <v>BARQUILLERA FRANZ HAAZ-1</v>
      </c>
      <c r="O230" s="91">
        <f>COUNTIF(G230:G238,"&lt;&gt;**")</f>
        <v>0</v>
      </c>
    </row>
    <row r="231" spans="2:15" ht="67.150000000000006" hidden="1" customHeight="1" thickBot="1">
      <c r="B231" s="724"/>
      <c r="C231" s="564" t="str">
        <f>IFERROR(VLOOKUP(N231,'TABLA-DIA'!$B$2:$P$62,9,FALSE),"")</f>
        <v/>
      </c>
      <c r="D231" s="565" t="str">
        <f>IFERROR(VLOOKUP(N231,'TABLA-DIA'!$B$2:$P$62,4,FALSE),"")</f>
        <v/>
      </c>
      <c r="E231" s="566" t="str">
        <f>IFERROR(VLOOKUP(N231,'TABLA-DIA'!$B$2:$P$62,5,FALSE),"")</f>
        <v/>
      </c>
      <c r="F231" s="566" t="str">
        <f>IFERROR(VLOOKUP(N231,'TABLA-DIA'!$B$2:$P$62,6,FALSE),"")</f>
        <v/>
      </c>
      <c r="G231" s="542" t="str">
        <f>IFERROR(VLOOKUP(N231,'TABLA-DIA'!$B$2:$P$62,7,FALSE),"")</f>
        <v/>
      </c>
      <c r="H231" s="582" t="str">
        <f>IFERROR(VLOOKUP(N231,'TABLA-DIA'!$B$2:$P$62,10,FALSE),"")</f>
        <v/>
      </c>
      <c r="I231" s="548" t="str">
        <f>IFERROR(VLOOKUP(N231,'TABLA-DIA'!$B$2:$P$62,11,FALSE),"")</f>
        <v/>
      </c>
      <c r="J231" s="549" t="str">
        <f>IFERROR(VLOOKUP(N231,'TABLA-DIA'!$B$2:$P$62,12,FALSE),"")</f>
        <v/>
      </c>
      <c r="K231" s="557" t="str">
        <f>IFERROR(VLOOKUP(N231,'TABLA-DIA'!$B$2:$P$62,13,FALSE),"")</f>
        <v/>
      </c>
      <c r="L231" s="603" t="str">
        <f>IFERROR(IF(VLOOKUP(N231,'TABLA-DIA'!$B$2:$P$62,14,FALSE)="","",VLOOKUP(N231,'TABLA-DIA'!$B$2:$P$62,14,FALSE)),"")</f>
        <v/>
      </c>
      <c r="M231" s="590">
        <f t="shared" ref="M231:M239" si="20">+M230+1</f>
        <v>2</v>
      </c>
      <c r="N231" s="125" t="str">
        <f t="shared" si="19"/>
        <v>BARQUILLERA FRANZ HAAZ-2</v>
      </c>
    </row>
    <row r="232" spans="2:15" ht="67.150000000000006" hidden="1" customHeight="1">
      <c r="B232" s="724"/>
      <c r="C232" s="564" t="str">
        <f>IFERROR(VLOOKUP(N232,'TABLA-DIA'!$B$2:$P$62,9,FALSE),"")</f>
        <v/>
      </c>
      <c r="D232" s="565" t="str">
        <f>IFERROR(VLOOKUP(N232,'TABLA-DIA'!$B$2:$P$62,4,FALSE),"")</f>
        <v/>
      </c>
      <c r="E232" s="566" t="str">
        <f>IFERROR(VLOOKUP(N232,'TABLA-DIA'!$B$2:$P$62,5,FALSE),"")</f>
        <v/>
      </c>
      <c r="F232" s="566" t="str">
        <f>IFERROR(VLOOKUP(N232,'TABLA-DIA'!$B$2:$P$62,6,FALSE),"")</f>
        <v/>
      </c>
      <c r="G232" s="542" t="str">
        <f>IFERROR(VLOOKUP(N232,'TABLA-DIA'!$B$2:$P$62,7,FALSE),"")</f>
        <v/>
      </c>
      <c r="H232" s="582" t="str">
        <f>IFERROR(VLOOKUP(N232,'TABLA-DIA'!$B$2:$P$62,10,FALSE),"")</f>
        <v/>
      </c>
      <c r="I232" s="548" t="str">
        <f>IFERROR(VLOOKUP(N232,'TABLA-DIA'!$B$2:$P$62,11,FALSE),"")</f>
        <v/>
      </c>
      <c r="J232" s="549" t="str">
        <f>IFERROR(VLOOKUP(N232,'TABLA-DIA'!$B$2:$P$62,12,FALSE),"")</f>
        <v/>
      </c>
      <c r="K232" s="557" t="str">
        <f>IFERROR(VLOOKUP(N232,'TABLA-DIA'!$B$2:$P$62,13,FALSE),"")</f>
        <v/>
      </c>
      <c r="L232" s="603" t="str">
        <f>IFERROR(IF(VLOOKUP(N232,'TABLA-DIA'!$B$2:$P$62,14,FALSE)="","",VLOOKUP(N232,'TABLA-DIA'!$B$2:$P$62,14,FALSE)),"")</f>
        <v/>
      </c>
      <c r="M232" s="590">
        <f t="shared" si="20"/>
        <v>3</v>
      </c>
      <c r="N232" s="125" t="str">
        <f t="shared" si="19"/>
        <v>BARQUILLERA FRANZ HAAZ-3</v>
      </c>
    </row>
    <row r="233" spans="2:15" ht="67.150000000000006" hidden="1" customHeight="1">
      <c r="B233" s="724"/>
      <c r="C233" s="564" t="str">
        <f>IFERROR(VLOOKUP(N233,'TABLA-DIA'!$B$2:$P$62,9,FALSE),"")</f>
        <v/>
      </c>
      <c r="D233" s="565" t="str">
        <f>IFERROR(VLOOKUP(N233,'TABLA-DIA'!$B$2:$P$62,4,FALSE),"")</f>
        <v/>
      </c>
      <c r="E233" s="566" t="str">
        <f>IFERROR(VLOOKUP(N233,'TABLA-DIA'!$B$2:$P$62,5,FALSE),"")</f>
        <v/>
      </c>
      <c r="F233" s="566" t="str">
        <f>IFERROR(VLOOKUP(N233,'TABLA-DIA'!$B$2:$P$62,6,FALSE),"")</f>
        <v/>
      </c>
      <c r="G233" s="542" t="str">
        <f>IFERROR(VLOOKUP(N233,'TABLA-DIA'!$B$2:$P$62,7,FALSE),"")</f>
        <v/>
      </c>
      <c r="H233" s="582" t="str">
        <f>IFERROR(VLOOKUP(N233,'TABLA-DIA'!$B$2:$P$62,10,FALSE),"")</f>
        <v/>
      </c>
      <c r="I233" s="548" t="str">
        <f>IFERROR(VLOOKUP(N233,'TABLA-DIA'!$B$2:$P$62,11,FALSE),"")</f>
        <v/>
      </c>
      <c r="J233" s="549" t="str">
        <f>IFERROR(VLOOKUP(N233,'TABLA-DIA'!$B$2:$P$62,12,FALSE),"")</f>
        <v/>
      </c>
      <c r="K233" s="557" t="str">
        <f>IFERROR(VLOOKUP(N233,'TABLA-DIA'!$B$2:$P$62,13,FALSE),"")</f>
        <v/>
      </c>
      <c r="L233" s="603" t="str">
        <f>IFERROR(IF(VLOOKUP(N233,'TABLA-DIA'!$B$2:$P$62,14,FALSE)="","",VLOOKUP(N233,'TABLA-DIA'!$B$2:$P$62,14,FALSE)),"")</f>
        <v/>
      </c>
      <c r="M233" s="590">
        <f t="shared" si="20"/>
        <v>4</v>
      </c>
      <c r="N233" s="125" t="str">
        <f t="shared" si="19"/>
        <v>BARQUILLERA FRANZ HAAZ-4</v>
      </c>
    </row>
    <row r="234" spans="2:15" ht="67.150000000000006" hidden="1" customHeight="1">
      <c r="B234" s="724"/>
      <c r="C234" s="564" t="str">
        <f>IFERROR(VLOOKUP(N234,'TABLA-DIA'!$B$2:$P$62,9,FALSE),"")</f>
        <v/>
      </c>
      <c r="D234" s="565" t="str">
        <f>IFERROR(VLOOKUP(N234,'TABLA-DIA'!$B$2:$P$62,4,FALSE),"")</f>
        <v/>
      </c>
      <c r="E234" s="566" t="str">
        <f>IFERROR(VLOOKUP(N234,'TABLA-DIA'!$B$2:$P$62,5,FALSE),"")</f>
        <v/>
      </c>
      <c r="F234" s="566" t="str">
        <f>IFERROR(VLOOKUP(N234,'TABLA-DIA'!$B$2:$P$62,6,FALSE),"")</f>
        <v/>
      </c>
      <c r="G234" s="542" t="str">
        <f>IFERROR(VLOOKUP(N234,'TABLA-DIA'!$B$2:$P$62,7,FALSE),"")</f>
        <v/>
      </c>
      <c r="H234" s="582" t="str">
        <f>IFERROR(VLOOKUP(N234,'TABLA-DIA'!$B$2:$P$62,10,FALSE),"")</f>
        <v/>
      </c>
      <c r="I234" s="548" t="str">
        <f>IFERROR(VLOOKUP(N234,'TABLA-DIA'!$B$2:$P$62,11,FALSE),"")</f>
        <v/>
      </c>
      <c r="J234" s="549" t="str">
        <f>IFERROR(VLOOKUP(N234,'TABLA-DIA'!$B$2:$P$62,12,FALSE),"")</f>
        <v/>
      </c>
      <c r="K234" s="557" t="str">
        <f>IFERROR(VLOOKUP(N234,'TABLA-DIA'!$B$2:$P$62,13,FALSE),"")</f>
        <v/>
      </c>
      <c r="L234" s="603" t="str">
        <f>IFERROR(IF(VLOOKUP(N234,'TABLA-DIA'!$B$2:$P$62,14,FALSE)="","",VLOOKUP(N234,'TABLA-DIA'!$B$2:$P$62,14,FALSE)),"")</f>
        <v/>
      </c>
      <c r="M234" s="590">
        <f t="shared" si="20"/>
        <v>5</v>
      </c>
      <c r="N234" s="125" t="str">
        <f t="shared" si="19"/>
        <v>BARQUILLERA FRANZ HAAZ-5</v>
      </c>
    </row>
    <row r="235" spans="2:15" ht="67.150000000000006" hidden="1" customHeight="1">
      <c r="B235" s="724"/>
      <c r="C235" s="564" t="str">
        <f>IFERROR(VLOOKUP(N235,'TABLA-DIA'!$B$2:$P$62,9,FALSE),"")</f>
        <v/>
      </c>
      <c r="D235" s="565" t="str">
        <f>IFERROR(VLOOKUP(N235,'TABLA-DIA'!$B$2:$P$62,4,FALSE),"")</f>
        <v/>
      </c>
      <c r="E235" s="566" t="str">
        <f>IFERROR(VLOOKUP(N235,'TABLA-DIA'!$B$2:$P$62,5,FALSE),"")</f>
        <v/>
      </c>
      <c r="F235" s="566" t="str">
        <f>IFERROR(VLOOKUP(N235,'TABLA-DIA'!$B$2:$P$62,6,FALSE),"")</f>
        <v/>
      </c>
      <c r="G235" s="542" t="str">
        <f>IFERROR(VLOOKUP(N235,'TABLA-DIA'!$B$2:$P$62,7,FALSE),"")</f>
        <v/>
      </c>
      <c r="H235" s="582" t="str">
        <f>IFERROR(VLOOKUP(N235,'TABLA-DIA'!$B$2:$P$62,10,FALSE),"")</f>
        <v/>
      </c>
      <c r="I235" s="548" t="str">
        <f>IFERROR(VLOOKUP(N235,'TABLA-DIA'!$B$2:$P$62,11,FALSE),"")</f>
        <v/>
      </c>
      <c r="J235" s="549" t="str">
        <f>IFERROR(VLOOKUP(N235,'TABLA-DIA'!$B$2:$P$62,12,FALSE),"")</f>
        <v/>
      </c>
      <c r="K235" s="557" t="str">
        <f>IFERROR(VLOOKUP(N235,'TABLA-DIA'!$B$2:$P$62,13,FALSE),"")</f>
        <v/>
      </c>
      <c r="L235" s="603" t="str">
        <f>IFERROR(IF(VLOOKUP(N235,'TABLA-DIA'!$B$2:$P$62,14,FALSE)="","",VLOOKUP(N235,'TABLA-DIA'!$B$2:$P$62,14,FALSE)),"")</f>
        <v/>
      </c>
      <c r="M235" s="590">
        <f t="shared" si="20"/>
        <v>6</v>
      </c>
      <c r="N235" s="125" t="str">
        <f t="shared" si="19"/>
        <v>BARQUILLERA FRANZ HAAZ-6</v>
      </c>
    </row>
    <row r="236" spans="2:15" ht="67.150000000000006" hidden="1" customHeight="1">
      <c r="B236" s="724"/>
      <c r="C236" s="564" t="str">
        <f>IFERROR(VLOOKUP(N236,'TABLA-DIA'!$B$2:$P$62,9,FALSE),"")</f>
        <v/>
      </c>
      <c r="D236" s="565" t="str">
        <f>IFERROR(VLOOKUP(N236,'TABLA-DIA'!$B$2:$P$62,4,FALSE),"")</f>
        <v/>
      </c>
      <c r="E236" s="566" t="str">
        <f>IFERROR(VLOOKUP(N236,'TABLA-DIA'!$B$2:$P$62,5,FALSE),"")</f>
        <v/>
      </c>
      <c r="F236" s="566" t="str">
        <f>IFERROR(VLOOKUP(N236,'TABLA-DIA'!$B$2:$P$62,6,FALSE),"")</f>
        <v/>
      </c>
      <c r="G236" s="542" t="str">
        <f>IFERROR(VLOOKUP(N236,'TABLA-DIA'!$B$2:$P$62,7,FALSE),"")</f>
        <v/>
      </c>
      <c r="H236" s="582" t="str">
        <f>IFERROR(VLOOKUP(N236,'TABLA-DIA'!$B$2:$P$62,10,FALSE),"")</f>
        <v/>
      </c>
      <c r="I236" s="548" t="str">
        <f>IFERROR(VLOOKUP(N236,'TABLA-DIA'!$B$2:$P$62,11,FALSE),"")</f>
        <v/>
      </c>
      <c r="J236" s="549" t="str">
        <f>IFERROR(VLOOKUP(N236,'TABLA-DIA'!$B$2:$P$62,12,FALSE),"")</f>
        <v/>
      </c>
      <c r="K236" s="557" t="str">
        <f>IFERROR(VLOOKUP(N236,'TABLA-DIA'!$B$2:$P$62,13,FALSE),"")</f>
        <v/>
      </c>
      <c r="L236" s="603" t="str">
        <f>IFERROR(IF(VLOOKUP(N236,'TABLA-DIA'!$B$2:$P$62,14,FALSE)="","",VLOOKUP(N236,'TABLA-DIA'!$B$2:$P$62,14,FALSE)),"")</f>
        <v/>
      </c>
      <c r="M236" s="590">
        <f t="shared" si="20"/>
        <v>7</v>
      </c>
      <c r="N236" s="125" t="str">
        <f t="shared" si="19"/>
        <v>BARQUILLERA FRANZ HAAZ-7</v>
      </c>
    </row>
    <row r="237" spans="2:15" ht="67.150000000000006" hidden="1" customHeight="1">
      <c r="B237" s="724"/>
      <c r="C237" s="564" t="str">
        <f>IFERROR(VLOOKUP(N237,'TABLA-DIA'!$B$2:$P$62,9,FALSE),"")</f>
        <v/>
      </c>
      <c r="D237" s="565" t="str">
        <f>IFERROR(VLOOKUP(N237,'TABLA-DIA'!$B$2:$P$62,4,FALSE),"")</f>
        <v/>
      </c>
      <c r="E237" s="566" t="str">
        <f>IFERROR(VLOOKUP(N237,'TABLA-DIA'!$B$2:$P$62,5,FALSE),"")</f>
        <v/>
      </c>
      <c r="F237" s="566" t="str">
        <f>IFERROR(VLOOKUP(N237,'TABLA-DIA'!$B$2:$P$62,6,FALSE),"")</f>
        <v/>
      </c>
      <c r="G237" s="542" t="str">
        <f>IFERROR(VLOOKUP(N237,'TABLA-DIA'!$B$2:$P$62,7,FALSE),"")</f>
        <v/>
      </c>
      <c r="H237" s="582" t="str">
        <f>IFERROR(VLOOKUP(N237,'TABLA-DIA'!$B$2:$P$62,10,FALSE),"")</f>
        <v/>
      </c>
      <c r="I237" s="548" t="str">
        <f>IFERROR(VLOOKUP(N237,'TABLA-DIA'!$B$2:$P$62,11,FALSE),"")</f>
        <v/>
      </c>
      <c r="J237" s="549" t="str">
        <f>IFERROR(VLOOKUP(N237,'TABLA-DIA'!$B$2:$P$62,12,FALSE),"")</f>
        <v/>
      </c>
      <c r="K237" s="557" t="str">
        <f>IFERROR(VLOOKUP(N237,'TABLA-DIA'!$B$2:$P$62,13,FALSE),"")</f>
        <v/>
      </c>
      <c r="L237" s="603" t="str">
        <f>IFERROR(IF(VLOOKUP(N237,'TABLA-DIA'!$B$2:$P$62,14,FALSE)="","",VLOOKUP(N237,'TABLA-DIA'!$B$2:$P$62,14,FALSE)),"")</f>
        <v/>
      </c>
      <c r="M237" s="590">
        <f t="shared" si="20"/>
        <v>8</v>
      </c>
      <c r="N237" s="125" t="str">
        <f t="shared" si="19"/>
        <v>BARQUILLERA FRANZ HAAZ-8</v>
      </c>
    </row>
    <row r="238" spans="2:15" ht="67.150000000000006" hidden="1" customHeight="1">
      <c r="B238" s="724"/>
      <c r="C238" s="564" t="str">
        <f>IFERROR(VLOOKUP(N238,'TABLA-DIA'!$B$2:$P$62,9,FALSE),"")</f>
        <v/>
      </c>
      <c r="D238" s="565" t="str">
        <f>IFERROR(VLOOKUP(N238,'TABLA-DIA'!$B$2:$P$62,4,FALSE),"")</f>
        <v/>
      </c>
      <c r="E238" s="566" t="str">
        <f>IFERROR(VLOOKUP(N238,'TABLA-DIA'!$B$2:$P$62,5,FALSE),"")</f>
        <v/>
      </c>
      <c r="F238" s="566" t="str">
        <f>IFERROR(VLOOKUP(N238,'TABLA-DIA'!$B$2:$P$62,6,FALSE),"")</f>
        <v/>
      </c>
      <c r="G238" s="542" t="str">
        <f>IFERROR(VLOOKUP(N238,'TABLA-DIA'!$B$2:$P$62,7,FALSE),"")</f>
        <v/>
      </c>
      <c r="H238" s="582" t="str">
        <f>IFERROR(VLOOKUP(N238,'TABLA-DIA'!$B$2:$P$62,10,FALSE),"")</f>
        <v/>
      </c>
      <c r="I238" s="548" t="str">
        <f>IFERROR(VLOOKUP(N238,'TABLA-DIA'!$B$2:$P$62,11,FALSE),"")</f>
        <v/>
      </c>
      <c r="J238" s="549" t="str">
        <f>IFERROR(VLOOKUP(N238,'TABLA-DIA'!$B$2:$P$62,12,FALSE),"")</f>
        <v/>
      </c>
      <c r="K238" s="557" t="str">
        <f>IFERROR(VLOOKUP(N238,'TABLA-DIA'!$B$2:$P$62,13,FALSE),"")</f>
        <v/>
      </c>
      <c r="L238" s="603" t="str">
        <f>IFERROR(IF(VLOOKUP(N238,'TABLA-DIA'!$B$2:$P$62,14,FALSE)="","",VLOOKUP(N238,'TABLA-DIA'!$B$2:$P$62,14,FALSE)),"")</f>
        <v/>
      </c>
      <c r="M238" s="590">
        <f t="shared" si="20"/>
        <v>9</v>
      </c>
      <c r="N238" s="125" t="str">
        <f t="shared" si="19"/>
        <v>BARQUILLERA FRANZ HAAZ-9</v>
      </c>
    </row>
    <row r="239" spans="2:15" ht="67.150000000000006" hidden="1" customHeight="1" thickBot="1">
      <c r="B239" s="726"/>
      <c r="C239" s="573" t="str">
        <f>IFERROR(VLOOKUP(N239,'TABLA-DIA'!$B$2:$P$62,9,FALSE),"")</f>
        <v/>
      </c>
      <c r="D239" s="574" t="str">
        <f>IFERROR(VLOOKUP(N239,'TABLA-DIA'!$B$2:$P$62,4,FALSE),"")</f>
        <v/>
      </c>
      <c r="E239" s="575" t="str">
        <f>IFERROR(VLOOKUP(N239,'TABLA-DIA'!$B$2:$P$62,5,FALSE),"")</f>
        <v/>
      </c>
      <c r="F239" s="575" t="str">
        <f>IFERROR(VLOOKUP(N239,'TABLA-DIA'!$B$2:$P$62,6,FALSE),"")</f>
        <v/>
      </c>
      <c r="G239" s="545" t="str">
        <f>IFERROR(VLOOKUP(N239,'TABLA-DIA'!$B$2:$P$62,7,FALSE),"")</f>
        <v/>
      </c>
      <c r="H239" s="585" t="str">
        <f>IFERROR(VLOOKUP(N239,'TABLA-DIA'!$B$2:$P$62,10,FALSE),"")</f>
        <v/>
      </c>
      <c r="I239" s="554" t="str">
        <f>IFERROR(VLOOKUP(N239,'TABLA-DIA'!$B$2:$P$62,11,FALSE),"")</f>
        <v/>
      </c>
      <c r="J239" s="555" t="str">
        <f>IFERROR(VLOOKUP(N239,'TABLA-DIA'!$B$2:$P$62,12,FALSE),"")</f>
        <v/>
      </c>
      <c r="K239" s="560" t="str">
        <f>IFERROR(VLOOKUP(N239,'TABLA-DIA'!$B$2:$P$62,13,FALSE),"")</f>
        <v/>
      </c>
      <c r="L239" s="606" t="str">
        <f>IFERROR(IF(VLOOKUP(N239,'TABLA-DIA'!$B$2:$P$62,14,FALSE)="","",VLOOKUP(N239,'TABLA-DIA'!$B$2:$P$62,14,FALSE)),"")</f>
        <v/>
      </c>
      <c r="M239" s="592">
        <f t="shared" si="20"/>
        <v>10</v>
      </c>
      <c r="N239" s="130" t="str">
        <f t="shared" si="19"/>
        <v>BARQUILLERA FRANZ HAAZ-10</v>
      </c>
    </row>
    <row r="240" spans="2:15" ht="101.25" customHeight="1" thickBot="1">
      <c r="B240" s="723" t="str">
        <f>+'TABLA-DIA'!B162</f>
        <v>RAYOS X 2</v>
      </c>
      <c r="C240" s="569" t="str">
        <f>IFERROR(VLOOKUP(N240,'TABLA-DIA'!$B$2:$P$62,9,FALSE),"")</f>
        <v/>
      </c>
      <c r="D240" s="570" t="str">
        <f>IFERROR(VLOOKUP(N240,'TABLA-DIA'!$B$2:$P$62,4,FALSE),"")</f>
        <v/>
      </c>
      <c r="E240" s="571" t="str">
        <f>IFERROR(VLOOKUP(N240,'TABLA-DIA'!$B$2:$P$62,5,FALSE),"")</f>
        <v/>
      </c>
      <c r="F240" s="571" t="str">
        <f>IFERROR(VLOOKUP(N240,'TABLA-DIA'!$B$2:$P$62,6,FALSE),"")</f>
        <v/>
      </c>
      <c r="G240" s="544" t="str">
        <f>IFERROR(VLOOKUP(N240,'TABLA-DIA'!$B$2:$P$62,7,FALSE),"")</f>
        <v/>
      </c>
      <c r="H240" s="584" t="str">
        <f>IFERROR(VLOOKUP(N240,'TABLA-DIA'!$B$2:$P$62,10,FALSE),"")</f>
        <v/>
      </c>
      <c r="I240" s="552" t="str">
        <f>IFERROR(VLOOKUP(N240,'TABLA-DIA'!$B$2:$P$62,11,FALSE),"")</f>
        <v/>
      </c>
      <c r="J240" s="553" t="str">
        <f>IFERROR(VLOOKUP(N240,'TABLA-DIA'!$B$2:$P$62,12,FALSE),"")</f>
        <v/>
      </c>
      <c r="K240" s="559" t="str">
        <f>IFERROR(VLOOKUP(N240,'TABLA-DIA'!$B$2:$P$62,13,FALSE),"")</f>
        <v/>
      </c>
      <c r="L240" s="605" t="str">
        <f>IFERROR(IF(VLOOKUP(N240,'TABLA-DIA'!$B$2:$P$62,14,FALSE)="","",VLOOKUP(N240,'TABLA-DIA'!$B$2:$P$62,14,FALSE)),"")</f>
        <v/>
      </c>
      <c r="M240" s="589">
        <v>1</v>
      </c>
      <c r="N240" s="98" t="str">
        <f t="shared" ref="N240:N249" si="21">CONCATENATE($B$240,"-",M240)</f>
        <v>RAYOS X 2-1</v>
      </c>
      <c r="O240" s="91">
        <f>COUNTIF(G240:G249,"&lt;&gt;**")</f>
        <v>0</v>
      </c>
    </row>
    <row r="241" spans="2:15" ht="67.150000000000006" hidden="1" customHeight="1" thickBot="1">
      <c r="B241" s="724"/>
      <c r="C241" s="564" t="str">
        <f>IFERROR(VLOOKUP(N241,'TABLA-DIA'!$B$2:$P$62,9,FALSE),"")</f>
        <v/>
      </c>
      <c r="D241" s="565" t="str">
        <f>IFERROR(VLOOKUP(N241,'TABLA-DIA'!$B$2:$P$62,4,FALSE),"")</f>
        <v/>
      </c>
      <c r="E241" s="566" t="str">
        <f>IFERROR(VLOOKUP(N241,'TABLA-DIA'!$B$2:$P$62,5,FALSE),"")</f>
        <v/>
      </c>
      <c r="F241" s="566" t="str">
        <f>IFERROR(VLOOKUP(N241,'TABLA-DIA'!$B$2:$P$62,6,FALSE),"")</f>
        <v/>
      </c>
      <c r="G241" s="544" t="str">
        <f>IFERROR(VLOOKUP(N241,'TABLA-DIA'!$B$2:$P$62,7,FALSE),"")</f>
        <v/>
      </c>
      <c r="H241" s="582" t="str">
        <f>IFERROR(VLOOKUP(N241,'TABLA-DIA'!$B$2:$P$62,10,FALSE),"")</f>
        <v/>
      </c>
      <c r="I241" s="548" t="str">
        <f>IFERROR(VLOOKUP(N241,'TABLA-DIA'!$B$2:$P$62,11,FALSE),"")</f>
        <v/>
      </c>
      <c r="J241" s="549" t="str">
        <f>IFERROR(VLOOKUP(N241,'TABLA-DIA'!$B$2:$P$62,12,FALSE),"")</f>
        <v/>
      </c>
      <c r="K241" s="557" t="str">
        <f>IFERROR(VLOOKUP(N241,'TABLA-DIA'!$B$2:$P$62,13,FALSE),"")</f>
        <v/>
      </c>
      <c r="L241" s="603" t="str">
        <f>IFERROR(IF(VLOOKUP(N241,'TABLA-DIA'!$B$2:$P$62,14,FALSE)="","",VLOOKUP(N241,'TABLA-DIA'!$B$2:$P$62,14,FALSE)),"")</f>
        <v/>
      </c>
      <c r="M241" s="590">
        <f t="shared" ref="M241:M249" si="22">+M240+1</f>
        <v>2</v>
      </c>
      <c r="N241" s="125" t="str">
        <f t="shared" si="21"/>
        <v>RAYOS X 2-2</v>
      </c>
    </row>
    <row r="242" spans="2:15" ht="67.150000000000006" hidden="1" customHeight="1" thickBot="1">
      <c r="B242" s="724"/>
      <c r="C242" s="564" t="str">
        <f>IFERROR(VLOOKUP(N242,'TABLA-DIA'!$B$2:$P$62,9,FALSE),"")</f>
        <v/>
      </c>
      <c r="D242" s="565" t="str">
        <f>IFERROR(VLOOKUP(N242,'TABLA-DIA'!$B$2:$P$62,4,FALSE),"")</f>
        <v/>
      </c>
      <c r="E242" s="566" t="str">
        <f>IFERROR(VLOOKUP(N242,'TABLA-DIA'!$B$2:$P$62,5,FALSE),"")</f>
        <v/>
      </c>
      <c r="F242" s="566" t="str">
        <f>IFERROR(VLOOKUP(N242,'TABLA-DIA'!$B$2:$P$62,6,FALSE),"")</f>
        <v/>
      </c>
      <c r="G242" s="544" t="str">
        <f>IFERROR(VLOOKUP(N242,'TABLA-DIA'!$B$2:$P$62,7,FALSE),"")</f>
        <v/>
      </c>
      <c r="H242" s="582" t="str">
        <f>IFERROR(VLOOKUP(N242,'TABLA-DIA'!$B$2:$P$62,10,FALSE),"")</f>
        <v/>
      </c>
      <c r="I242" s="548" t="str">
        <f>IFERROR(VLOOKUP(N242,'TABLA-DIA'!$B$2:$P$62,11,FALSE),"")</f>
        <v/>
      </c>
      <c r="J242" s="549" t="str">
        <f>IFERROR(VLOOKUP(N242,'TABLA-DIA'!$B$2:$P$62,12,FALSE),"")</f>
        <v/>
      </c>
      <c r="K242" s="557" t="str">
        <f>IFERROR(VLOOKUP(N242,'TABLA-DIA'!$B$2:$P$62,13,FALSE),"")</f>
        <v/>
      </c>
      <c r="L242" s="603" t="str">
        <f>IFERROR(IF(VLOOKUP(N242,'TABLA-DIA'!$B$2:$P$62,14,FALSE)="","",VLOOKUP(N242,'TABLA-DIA'!$B$2:$P$62,14,FALSE)),"")</f>
        <v/>
      </c>
      <c r="M242" s="590">
        <f t="shared" si="22"/>
        <v>3</v>
      </c>
      <c r="N242" s="125" t="str">
        <f t="shared" si="21"/>
        <v>RAYOS X 2-3</v>
      </c>
    </row>
    <row r="243" spans="2:15" ht="67.150000000000006" hidden="1" customHeight="1" thickBot="1">
      <c r="B243" s="724"/>
      <c r="C243" s="564" t="str">
        <f>IFERROR(VLOOKUP(N243,'TABLA-DIA'!$B$2:$P$62,9,FALSE),"")</f>
        <v/>
      </c>
      <c r="D243" s="565" t="str">
        <f>IFERROR(VLOOKUP(N243,'TABLA-DIA'!$B$2:$P$62,4,FALSE),"")</f>
        <v/>
      </c>
      <c r="E243" s="566" t="str">
        <f>IFERROR(VLOOKUP(N243,'TABLA-DIA'!$B$2:$P$62,5,FALSE),"")</f>
        <v/>
      </c>
      <c r="F243" s="566" t="str">
        <f>IFERROR(VLOOKUP(N243,'TABLA-DIA'!$B$2:$P$62,6,FALSE),"")</f>
        <v/>
      </c>
      <c r="G243" s="544" t="str">
        <f>IFERROR(VLOOKUP(N243,'TABLA-DIA'!$B$2:$P$62,7,FALSE),"")</f>
        <v/>
      </c>
      <c r="H243" s="582" t="str">
        <f>IFERROR(VLOOKUP(N243,'TABLA-DIA'!$B$2:$P$62,10,FALSE),"")</f>
        <v/>
      </c>
      <c r="I243" s="548" t="str">
        <f>IFERROR(VLOOKUP(N243,'TABLA-DIA'!$B$2:$P$62,11,FALSE),"")</f>
        <v/>
      </c>
      <c r="J243" s="549" t="str">
        <f>IFERROR(VLOOKUP(N243,'TABLA-DIA'!$B$2:$P$62,12,FALSE),"")</f>
        <v/>
      </c>
      <c r="K243" s="557" t="str">
        <f>IFERROR(VLOOKUP(N243,'TABLA-DIA'!$B$2:$P$62,13,FALSE),"")</f>
        <v/>
      </c>
      <c r="L243" s="603" t="str">
        <f>IFERROR(IF(VLOOKUP(N243,'TABLA-DIA'!$B$2:$P$62,14,FALSE)="","",VLOOKUP(N243,'TABLA-DIA'!$B$2:$P$62,14,FALSE)),"")</f>
        <v/>
      </c>
      <c r="M243" s="590">
        <f t="shared" si="22"/>
        <v>4</v>
      </c>
      <c r="N243" s="125" t="str">
        <f t="shared" si="21"/>
        <v>RAYOS X 2-4</v>
      </c>
    </row>
    <row r="244" spans="2:15" ht="67.150000000000006" hidden="1" customHeight="1" thickBot="1">
      <c r="B244" s="724"/>
      <c r="C244" s="564" t="str">
        <f>IFERROR(VLOOKUP(N244,'TABLA-DIA'!$B$2:$P$62,9,FALSE),"")</f>
        <v/>
      </c>
      <c r="D244" s="565" t="str">
        <f>IFERROR(VLOOKUP(N244,'TABLA-DIA'!$B$2:$P$62,4,FALSE),"")</f>
        <v/>
      </c>
      <c r="E244" s="566" t="str">
        <f>IFERROR(VLOOKUP(N244,'TABLA-DIA'!$B$2:$P$62,5,FALSE),"")</f>
        <v/>
      </c>
      <c r="F244" s="566" t="str">
        <f>IFERROR(VLOOKUP(N244,'TABLA-DIA'!$B$2:$P$62,6,FALSE),"")</f>
        <v/>
      </c>
      <c r="G244" s="544" t="str">
        <f>IFERROR(VLOOKUP(N244,'TABLA-DIA'!$B$2:$P$62,7,FALSE),"")</f>
        <v/>
      </c>
      <c r="H244" s="582" t="str">
        <f>IFERROR(VLOOKUP(N244,'TABLA-DIA'!$B$2:$P$62,10,FALSE),"")</f>
        <v/>
      </c>
      <c r="I244" s="548" t="str">
        <f>IFERROR(VLOOKUP(N244,'TABLA-DIA'!$B$2:$P$62,11,FALSE),"")</f>
        <v/>
      </c>
      <c r="J244" s="549" t="str">
        <f>IFERROR(VLOOKUP(N244,'TABLA-DIA'!$B$2:$P$62,12,FALSE),"")</f>
        <v/>
      </c>
      <c r="K244" s="557" t="str">
        <f>IFERROR(VLOOKUP(N244,'TABLA-DIA'!$B$2:$P$62,13,FALSE),"")</f>
        <v/>
      </c>
      <c r="L244" s="603" t="str">
        <f>IFERROR(IF(VLOOKUP(N244,'TABLA-DIA'!$B$2:$P$62,14,FALSE)="","",VLOOKUP(N244,'TABLA-DIA'!$B$2:$P$62,14,FALSE)),"")</f>
        <v/>
      </c>
      <c r="M244" s="590">
        <f t="shared" si="22"/>
        <v>5</v>
      </c>
      <c r="N244" s="125" t="str">
        <f t="shared" si="21"/>
        <v>RAYOS X 2-5</v>
      </c>
    </row>
    <row r="245" spans="2:15" ht="67.150000000000006" hidden="1" customHeight="1" thickBot="1">
      <c r="B245" s="724"/>
      <c r="C245" s="564" t="str">
        <f>IFERROR(VLOOKUP(N245,'TABLA-DIA'!$B$2:$P$62,9,FALSE),"")</f>
        <v/>
      </c>
      <c r="D245" s="565" t="str">
        <f>IFERROR(VLOOKUP(N245,'TABLA-DIA'!$B$2:$P$62,4,FALSE),"")</f>
        <v/>
      </c>
      <c r="E245" s="566" t="str">
        <f>IFERROR(VLOOKUP(N245,'TABLA-DIA'!$B$2:$P$62,5,FALSE),"")</f>
        <v/>
      </c>
      <c r="F245" s="566" t="str">
        <f>IFERROR(VLOOKUP(N245,'TABLA-DIA'!$B$2:$P$62,6,FALSE),"")</f>
        <v/>
      </c>
      <c r="G245" s="544" t="str">
        <f>IFERROR(VLOOKUP(N245,'TABLA-DIA'!$B$2:$P$62,7,FALSE),"")</f>
        <v/>
      </c>
      <c r="H245" s="582" t="str">
        <f>IFERROR(VLOOKUP(N245,'TABLA-DIA'!$B$2:$P$62,10,FALSE),"")</f>
        <v/>
      </c>
      <c r="I245" s="548" t="str">
        <f>IFERROR(VLOOKUP(N245,'TABLA-DIA'!$B$2:$P$62,11,FALSE),"")</f>
        <v/>
      </c>
      <c r="J245" s="549" t="str">
        <f>IFERROR(VLOOKUP(N245,'TABLA-DIA'!$B$2:$P$62,12,FALSE),"")</f>
        <v/>
      </c>
      <c r="K245" s="557" t="str">
        <f>IFERROR(VLOOKUP(N245,'TABLA-DIA'!$B$2:$P$62,13,FALSE),"")</f>
        <v/>
      </c>
      <c r="L245" s="603" t="str">
        <f>IFERROR(IF(VLOOKUP(N245,'TABLA-DIA'!$B$2:$P$62,14,FALSE)="","",VLOOKUP(N245,'TABLA-DIA'!$B$2:$P$62,14,FALSE)),"")</f>
        <v/>
      </c>
      <c r="M245" s="590">
        <f t="shared" si="22"/>
        <v>6</v>
      </c>
      <c r="N245" s="125" t="str">
        <f t="shared" si="21"/>
        <v>RAYOS X 2-6</v>
      </c>
    </row>
    <row r="246" spans="2:15" ht="67.150000000000006" hidden="1" customHeight="1" thickBot="1">
      <c r="B246" s="724"/>
      <c r="C246" s="564" t="str">
        <f>IFERROR(VLOOKUP(N246,'TABLA-DIA'!$B$2:$P$62,9,FALSE),"")</f>
        <v/>
      </c>
      <c r="D246" s="565" t="str">
        <f>IFERROR(VLOOKUP(N246,'TABLA-DIA'!$B$2:$P$62,4,FALSE),"")</f>
        <v/>
      </c>
      <c r="E246" s="566" t="str">
        <f>IFERROR(VLOOKUP(N246,'TABLA-DIA'!$B$2:$P$62,5,FALSE),"")</f>
        <v/>
      </c>
      <c r="F246" s="566" t="str">
        <f>IFERROR(VLOOKUP(N246,'TABLA-DIA'!$B$2:$P$62,6,FALSE),"")</f>
        <v/>
      </c>
      <c r="G246" s="544" t="str">
        <f>IFERROR(VLOOKUP(N246,'TABLA-DIA'!$B$2:$P$62,7,FALSE),"")</f>
        <v/>
      </c>
      <c r="H246" s="582" t="str">
        <f>IFERROR(VLOOKUP(N246,'TABLA-DIA'!$B$2:$P$62,10,FALSE),"")</f>
        <v/>
      </c>
      <c r="I246" s="548" t="str">
        <f>IFERROR(VLOOKUP(N246,'TABLA-DIA'!$B$2:$P$62,11,FALSE),"")</f>
        <v/>
      </c>
      <c r="J246" s="549" t="str">
        <f>IFERROR(VLOOKUP(N246,'TABLA-DIA'!$B$2:$P$62,12,FALSE),"")</f>
        <v/>
      </c>
      <c r="K246" s="557" t="str">
        <f>IFERROR(VLOOKUP(N246,'TABLA-DIA'!$B$2:$P$62,13,FALSE),"")</f>
        <v/>
      </c>
      <c r="L246" s="603" t="str">
        <f>IFERROR(IF(VLOOKUP(N246,'TABLA-DIA'!$B$2:$P$62,14,FALSE)="","",VLOOKUP(N246,'TABLA-DIA'!$B$2:$P$62,14,FALSE)),"")</f>
        <v/>
      </c>
      <c r="M246" s="590">
        <f t="shared" si="22"/>
        <v>7</v>
      </c>
      <c r="N246" s="125" t="str">
        <f t="shared" si="21"/>
        <v>RAYOS X 2-7</v>
      </c>
    </row>
    <row r="247" spans="2:15" ht="67.150000000000006" hidden="1" customHeight="1" thickBot="1">
      <c r="B247" s="724"/>
      <c r="C247" s="564" t="str">
        <f>IFERROR(VLOOKUP(N247,'TABLA-DIA'!$B$2:$P$62,9,FALSE),"")</f>
        <v/>
      </c>
      <c r="D247" s="565" t="str">
        <f>IFERROR(VLOOKUP(N247,'TABLA-DIA'!$B$2:$P$62,4,FALSE),"")</f>
        <v/>
      </c>
      <c r="E247" s="566" t="str">
        <f>IFERROR(VLOOKUP(N247,'TABLA-DIA'!$B$2:$P$62,5,FALSE),"")</f>
        <v/>
      </c>
      <c r="F247" s="566" t="str">
        <f>IFERROR(VLOOKUP(N247,'TABLA-DIA'!$B$2:$P$62,6,FALSE),"")</f>
        <v/>
      </c>
      <c r="G247" s="544" t="str">
        <f>IFERROR(VLOOKUP(N247,'TABLA-DIA'!$B$2:$P$62,7,FALSE),"")</f>
        <v/>
      </c>
      <c r="H247" s="582" t="str">
        <f>IFERROR(VLOOKUP(N247,'TABLA-DIA'!$B$2:$P$62,10,FALSE),"")</f>
        <v/>
      </c>
      <c r="I247" s="548" t="str">
        <f>IFERROR(VLOOKUP(N247,'TABLA-DIA'!$B$2:$P$62,11,FALSE),"")</f>
        <v/>
      </c>
      <c r="J247" s="549" t="str">
        <f>IFERROR(VLOOKUP(N247,'TABLA-DIA'!$B$2:$P$62,12,FALSE),"")</f>
        <v/>
      </c>
      <c r="K247" s="557" t="str">
        <f>IFERROR(VLOOKUP(N247,'TABLA-DIA'!$B$2:$P$62,13,FALSE),"")</f>
        <v/>
      </c>
      <c r="L247" s="603" t="str">
        <f>IFERROR(IF(VLOOKUP(N247,'TABLA-DIA'!$B$2:$P$62,14,FALSE)="","",VLOOKUP(N247,'TABLA-DIA'!$B$2:$P$62,14,FALSE)),"")</f>
        <v/>
      </c>
      <c r="M247" s="590">
        <f t="shared" si="22"/>
        <v>8</v>
      </c>
      <c r="N247" s="125" t="str">
        <f t="shared" si="21"/>
        <v>RAYOS X 2-8</v>
      </c>
    </row>
    <row r="248" spans="2:15" ht="67.150000000000006" hidden="1" customHeight="1" thickBot="1">
      <c r="B248" s="724"/>
      <c r="C248" s="564" t="str">
        <f>IFERROR(VLOOKUP(N248,'TABLA-DIA'!$B$2:$P$62,9,FALSE),"")</f>
        <v/>
      </c>
      <c r="D248" s="565" t="str">
        <f>IFERROR(VLOOKUP(N248,'TABLA-DIA'!$B$2:$P$62,4,FALSE),"")</f>
        <v/>
      </c>
      <c r="E248" s="566" t="str">
        <f>IFERROR(VLOOKUP(N248,'TABLA-DIA'!$B$2:$P$62,5,FALSE),"")</f>
        <v/>
      </c>
      <c r="F248" s="566" t="str">
        <f>IFERROR(VLOOKUP(N248,'TABLA-DIA'!$B$2:$P$62,6,FALSE),"")</f>
        <v/>
      </c>
      <c r="G248" s="544" t="str">
        <f>IFERROR(VLOOKUP(N248,'TABLA-DIA'!$B$2:$P$62,7,FALSE),"")</f>
        <v/>
      </c>
      <c r="H248" s="582" t="str">
        <f>IFERROR(VLOOKUP(N248,'TABLA-DIA'!$B$2:$P$62,10,FALSE),"")</f>
        <v/>
      </c>
      <c r="I248" s="548" t="str">
        <f>IFERROR(VLOOKUP(N248,'TABLA-DIA'!$B$2:$P$62,11,FALSE),"")</f>
        <v/>
      </c>
      <c r="J248" s="549" t="str">
        <f>IFERROR(VLOOKUP(N248,'TABLA-DIA'!$B$2:$P$62,12,FALSE),"")</f>
        <v/>
      </c>
      <c r="K248" s="557" t="str">
        <f>IFERROR(VLOOKUP(N248,'TABLA-DIA'!$B$2:$P$62,13,FALSE),"")</f>
        <v/>
      </c>
      <c r="L248" s="603" t="str">
        <f>IFERROR(IF(VLOOKUP(N248,'TABLA-DIA'!$B$2:$P$62,14,FALSE)="","",VLOOKUP(N248,'TABLA-DIA'!$B$2:$P$62,14,FALSE)),"")</f>
        <v/>
      </c>
      <c r="M248" s="590">
        <f t="shared" si="22"/>
        <v>9</v>
      </c>
      <c r="N248" s="125" t="str">
        <f t="shared" si="21"/>
        <v>RAYOS X 2-9</v>
      </c>
    </row>
    <row r="249" spans="2:15" ht="67.150000000000006" hidden="1" customHeight="1" thickBot="1">
      <c r="B249" s="726"/>
      <c r="C249" s="573" t="str">
        <f>IFERROR(VLOOKUP(N249,'TABLA-DIA'!$B$2:$P$62,9,FALSE),"")</f>
        <v/>
      </c>
      <c r="D249" s="574" t="str">
        <f>IFERROR(VLOOKUP(N249,'TABLA-DIA'!$B$2:$P$62,4,FALSE),"")</f>
        <v/>
      </c>
      <c r="E249" s="575" t="str">
        <f>IFERROR(VLOOKUP(N249,'TABLA-DIA'!$B$2:$P$62,5,FALSE),"")</f>
        <v/>
      </c>
      <c r="F249" s="575" t="str">
        <f>IFERROR(VLOOKUP(N249,'TABLA-DIA'!$B$2:$P$62,6,FALSE),"")</f>
        <v/>
      </c>
      <c r="G249" s="544" t="str">
        <f>IFERROR(VLOOKUP(N249,'TABLA-DIA'!$B$2:$P$62,7,FALSE),"")</f>
        <v/>
      </c>
      <c r="H249" s="585" t="str">
        <f>IFERROR(VLOOKUP(N249,'TABLA-DIA'!$B$2:$P$62,10,FALSE),"")</f>
        <v/>
      </c>
      <c r="I249" s="554" t="str">
        <f>IFERROR(VLOOKUP(N249,'TABLA-DIA'!$B$2:$P$62,11,FALSE),"")</f>
        <v/>
      </c>
      <c r="J249" s="555" t="str">
        <f>IFERROR(VLOOKUP(N249,'TABLA-DIA'!$B$2:$P$62,12,FALSE),"")</f>
        <v/>
      </c>
      <c r="K249" s="560" t="str">
        <f>IFERROR(VLOOKUP(N249,'TABLA-DIA'!$B$2:$P$62,13,FALSE),"")</f>
        <v/>
      </c>
      <c r="L249" s="606" t="str">
        <f>IFERROR(IF(VLOOKUP(N249,'TABLA-DIA'!$B$2:$P$62,14,FALSE)="","",VLOOKUP(N249,'TABLA-DIA'!$B$2:$P$62,14,FALSE)),"")</f>
        <v/>
      </c>
      <c r="M249" s="592">
        <f t="shared" si="22"/>
        <v>10</v>
      </c>
      <c r="N249" s="130" t="str">
        <f t="shared" si="21"/>
        <v>RAYOS X 2-10</v>
      </c>
    </row>
    <row r="250" spans="2:15" ht="110.25" customHeight="1" thickBot="1">
      <c r="B250" s="723" t="str">
        <f>+'TABLA-DIA'!B163</f>
        <v>Total general</v>
      </c>
      <c r="C250" s="569" t="str">
        <f>IFERROR(VLOOKUP(N250,'TABLA-DIA'!$B$2:$P$62,9,FALSE),"")</f>
        <v/>
      </c>
      <c r="D250" s="570" t="str">
        <f>IFERROR(VLOOKUP(N250,'TABLA-DIA'!$B$2:$P$62,4,FALSE),"")</f>
        <v/>
      </c>
      <c r="E250" s="571" t="str">
        <f>IFERROR(VLOOKUP(N250,'TABLA-DIA'!$B$2:$P$62,5,FALSE),"")</f>
        <v/>
      </c>
      <c r="F250" s="571" t="str">
        <f>IFERROR(VLOOKUP(N250,'TABLA-DIA'!$B$2:$P$62,6,FALSE),"")</f>
        <v/>
      </c>
      <c r="G250" s="544" t="str">
        <f>IFERROR(VLOOKUP(N250,'TABLA-DIA'!$B$2:$P$62,7,FALSE),"")</f>
        <v/>
      </c>
      <c r="H250" s="584" t="str">
        <f>IFERROR(VLOOKUP(N250,'TABLA-DIA'!$B$2:$P$62,10,FALSE),"")</f>
        <v/>
      </c>
      <c r="I250" s="552" t="str">
        <f>IFERROR(VLOOKUP(N250,'TABLA-DIA'!$B$2:$P$62,11,FALSE),"")</f>
        <v/>
      </c>
      <c r="J250" s="553" t="str">
        <f>IFERROR(VLOOKUP(N250,'TABLA-DIA'!$B$2:$P$62,12,FALSE),"")</f>
        <v/>
      </c>
      <c r="K250" s="559" t="str">
        <f>IFERROR(VLOOKUP(N250,'TABLA-DIA'!$B$2:$P$62,13,FALSE),"")</f>
        <v/>
      </c>
      <c r="L250" s="605" t="str">
        <f>IFERROR(IF(VLOOKUP(N250,'TABLA-DIA'!$B$2:$P$62,14,FALSE)="","",VLOOKUP(N250,'TABLA-DIA'!$B$2:$P$62,14,FALSE)),"")</f>
        <v/>
      </c>
      <c r="M250" s="589">
        <v>1</v>
      </c>
      <c r="N250" s="98" t="str">
        <f t="shared" ref="N250:N259" si="23">CONCATENATE($B$250,"-",M250)</f>
        <v>Total general-1</v>
      </c>
      <c r="O250" s="91">
        <f>COUNTIF(G250:G259,"&lt;&gt;**")</f>
        <v>0</v>
      </c>
    </row>
    <row r="251" spans="2:15" ht="67.150000000000006" hidden="1" customHeight="1" thickBot="1">
      <c r="B251" s="724"/>
      <c r="C251" s="564" t="str">
        <f>IFERROR(VLOOKUP(N251,'TABLA-DIA'!$B$2:$P$62,9,FALSE),"")</f>
        <v/>
      </c>
      <c r="D251" s="565" t="str">
        <f>IFERROR(VLOOKUP(N251,'TABLA-DIA'!$B$2:$P$62,4,FALSE),"")</f>
        <v/>
      </c>
      <c r="E251" s="566" t="str">
        <f>IFERROR(VLOOKUP(N251,'TABLA-DIA'!$B$2:$P$62,5,FALSE),"")</f>
        <v/>
      </c>
      <c r="F251" s="566" t="str">
        <f>IFERROR(VLOOKUP(N251,'TABLA-DIA'!$B$2:$P$62,6,FALSE),"")</f>
        <v/>
      </c>
      <c r="G251" s="544" t="str">
        <f>IFERROR(VLOOKUP(N251,'TABLA-DIA'!$B$2:$P$62,7,FALSE),"")</f>
        <v/>
      </c>
      <c r="H251" s="582" t="str">
        <f>IFERROR(VLOOKUP(N251,'TABLA-DIA'!$B$2:$P$62,10,FALSE),"")</f>
        <v/>
      </c>
      <c r="I251" s="548" t="str">
        <f>IFERROR(VLOOKUP(N251,'TABLA-DIA'!$B$2:$P$62,11,FALSE),"")</f>
        <v/>
      </c>
      <c r="J251" s="549" t="str">
        <f>IFERROR(VLOOKUP(N251,'TABLA-DIA'!$B$2:$P$62,12,FALSE),"")</f>
        <v/>
      </c>
      <c r="K251" s="557" t="str">
        <f>IFERROR(VLOOKUP(N251,'TABLA-DIA'!$B$2:$P$62,13,FALSE),"")</f>
        <v/>
      </c>
      <c r="L251" s="603" t="str">
        <f>IFERROR(IF(VLOOKUP(N251,'TABLA-DIA'!$B$2:$P$62,14,FALSE)="","",VLOOKUP(N251,'TABLA-DIA'!$B$2:$P$62,14,FALSE)),"")</f>
        <v/>
      </c>
      <c r="M251" s="590">
        <f t="shared" ref="M251:M259" si="24">+M250+1</f>
        <v>2</v>
      </c>
      <c r="N251" s="125" t="str">
        <f t="shared" si="23"/>
        <v>Total general-2</v>
      </c>
    </row>
    <row r="252" spans="2:15" ht="67.150000000000006" hidden="1" customHeight="1" thickBot="1">
      <c r="B252" s="724"/>
      <c r="C252" s="564" t="str">
        <f>IFERROR(VLOOKUP(N252,'TABLA-DIA'!$B$2:$P$62,9,FALSE),"")</f>
        <v/>
      </c>
      <c r="D252" s="565" t="str">
        <f>IFERROR(VLOOKUP(N252,'TABLA-DIA'!$B$2:$P$62,4,FALSE),"")</f>
        <v/>
      </c>
      <c r="E252" s="566" t="str">
        <f>IFERROR(VLOOKUP(N252,'TABLA-DIA'!$B$2:$P$62,5,FALSE),"")</f>
        <v/>
      </c>
      <c r="F252" s="566" t="str">
        <f>IFERROR(VLOOKUP(N252,'TABLA-DIA'!$B$2:$P$62,6,FALSE),"")</f>
        <v/>
      </c>
      <c r="G252" s="544" t="str">
        <f>IFERROR(VLOOKUP(N252,'TABLA-DIA'!$B$2:$P$62,7,FALSE),"")</f>
        <v/>
      </c>
      <c r="H252" s="582" t="str">
        <f>IFERROR(VLOOKUP(N252,'TABLA-DIA'!$B$2:$P$62,10,FALSE),"")</f>
        <v/>
      </c>
      <c r="I252" s="548" t="str">
        <f>IFERROR(VLOOKUP(N252,'TABLA-DIA'!$B$2:$P$62,11,FALSE),"")</f>
        <v/>
      </c>
      <c r="J252" s="549" t="str">
        <f>IFERROR(VLOOKUP(N252,'TABLA-DIA'!$B$2:$P$62,12,FALSE),"")</f>
        <v/>
      </c>
      <c r="K252" s="557" t="str">
        <f>IFERROR(VLOOKUP(N252,'TABLA-DIA'!$B$2:$P$62,13,FALSE),"")</f>
        <v/>
      </c>
      <c r="L252" s="603" t="str">
        <f>IFERROR(IF(VLOOKUP(N252,'TABLA-DIA'!$B$2:$P$62,14,FALSE)="","",VLOOKUP(N252,'TABLA-DIA'!$B$2:$P$62,14,FALSE)),"")</f>
        <v/>
      </c>
      <c r="M252" s="590">
        <f t="shared" si="24"/>
        <v>3</v>
      </c>
      <c r="N252" s="125" t="str">
        <f t="shared" si="23"/>
        <v>Total general-3</v>
      </c>
    </row>
    <row r="253" spans="2:15" ht="67.150000000000006" hidden="1" customHeight="1" thickBot="1">
      <c r="B253" s="724"/>
      <c r="C253" s="564" t="str">
        <f>IFERROR(VLOOKUP(N253,'TABLA-DIA'!$B$2:$P$62,9,FALSE),"")</f>
        <v/>
      </c>
      <c r="D253" s="565" t="str">
        <f>IFERROR(VLOOKUP(N253,'TABLA-DIA'!$B$2:$P$62,4,FALSE),"")</f>
        <v/>
      </c>
      <c r="E253" s="566" t="str">
        <f>IFERROR(VLOOKUP(N253,'TABLA-DIA'!$B$2:$P$62,5,FALSE),"")</f>
        <v/>
      </c>
      <c r="F253" s="566" t="str">
        <f>IFERROR(VLOOKUP(N253,'TABLA-DIA'!$B$2:$P$62,6,FALSE),"")</f>
        <v/>
      </c>
      <c r="G253" s="544" t="str">
        <f>IFERROR(VLOOKUP(N253,'TABLA-DIA'!$B$2:$P$62,7,FALSE),"")</f>
        <v/>
      </c>
      <c r="H253" s="582" t="str">
        <f>IFERROR(VLOOKUP(N253,'TABLA-DIA'!$B$2:$P$62,10,FALSE),"")</f>
        <v/>
      </c>
      <c r="I253" s="548" t="str">
        <f>IFERROR(VLOOKUP(N253,'TABLA-DIA'!$B$2:$P$62,11,FALSE),"")</f>
        <v/>
      </c>
      <c r="J253" s="549" t="str">
        <f>IFERROR(VLOOKUP(N253,'TABLA-DIA'!$B$2:$P$62,12,FALSE),"")</f>
        <v/>
      </c>
      <c r="K253" s="557" t="str">
        <f>IFERROR(VLOOKUP(N253,'TABLA-DIA'!$B$2:$P$62,13,FALSE),"")</f>
        <v/>
      </c>
      <c r="L253" s="603" t="str">
        <f>IFERROR(IF(VLOOKUP(N253,'TABLA-DIA'!$B$2:$P$62,14,FALSE)="","",VLOOKUP(N253,'TABLA-DIA'!$B$2:$P$62,14,FALSE)),"")</f>
        <v/>
      </c>
      <c r="M253" s="590">
        <f t="shared" si="24"/>
        <v>4</v>
      </c>
      <c r="N253" s="125" t="str">
        <f t="shared" si="23"/>
        <v>Total general-4</v>
      </c>
    </row>
    <row r="254" spans="2:15" ht="67.150000000000006" hidden="1" customHeight="1" thickBot="1">
      <c r="B254" s="724"/>
      <c r="C254" s="564" t="str">
        <f>IFERROR(VLOOKUP(N254,'TABLA-DIA'!$B$2:$P$62,9,FALSE),"")</f>
        <v/>
      </c>
      <c r="D254" s="565" t="str">
        <f>IFERROR(VLOOKUP(N254,'TABLA-DIA'!$B$2:$P$62,4,FALSE),"")</f>
        <v/>
      </c>
      <c r="E254" s="566" t="str">
        <f>IFERROR(VLOOKUP(N254,'TABLA-DIA'!$B$2:$P$62,5,FALSE),"")</f>
        <v/>
      </c>
      <c r="F254" s="566" t="str">
        <f>IFERROR(VLOOKUP(N254,'TABLA-DIA'!$B$2:$P$62,6,FALSE),"")</f>
        <v/>
      </c>
      <c r="G254" s="544" t="str">
        <f>IFERROR(VLOOKUP(N254,'TABLA-DIA'!$B$2:$P$62,7,FALSE),"")</f>
        <v/>
      </c>
      <c r="H254" s="582" t="str">
        <f>IFERROR(VLOOKUP(N254,'TABLA-DIA'!$B$2:$P$62,10,FALSE),"")</f>
        <v/>
      </c>
      <c r="I254" s="548" t="str">
        <f>IFERROR(VLOOKUP(N254,'TABLA-DIA'!$B$2:$P$62,11,FALSE),"")</f>
        <v/>
      </c>
      <c r="J254" s="549" t="str">
        <f>IFERROR(VLOOKUP(N254,'TABLA-DIA'!$B$2:$P$62,12,FALSE),"")</f>
        <v/>
      </c>
      <c r="K254" s="557" t="str">
        <f>IFERROR(VLOOKUP(N254,'TABLA-DIA'!$B$2:$P$62,13,FALSE),"")</f>
        <v/>
      </c>
      <c r="L254" s="603" t="str">
        <f>IFERROR(IF(VLOOKUP(N254,'TABLA-DIA'!$B$2:$P$62,14,FALSE)="","",VLOOKUP(N254,'TABLA-DIA'!$B$2:$P$62,14,FALSE)),"")</f>
        <v/>
      </c>
      <c r="M254" s="590">
        <f t="shared" si="24"/>
        <v>5</v>
      </c>
      <c r="N254" s="125" t="str">
        <f t="shared" si="23"/>
        <v>Total general-5</v>
      </c>
    </row>
    <row r="255" spans="2:15" ht="67.150000000000006" hidden="1" customHeight="1" thickBot="1">
      <c r="B255" s="724"/>
      <c r="C255" s="564" t="str">
        <f>IFERROR(VLOOKUP(N255,'TABLA-DIA'!$B$2:$P$62,9,FALSE),"")</f>
        <v/>
      </c>
      <c r="D255" s="565" t="str">
        <f>IFERROR(VLOOKUP(N255,'TABLA-DIA'!$B$2:$P$62,4,FALSE),"")</f>
        <v/>
      </c>
      <c r="E255" s="566" t="str">
        <f>IFERROR(VLOOKUP(N255,'TABLA-DIA'!$B$2:$P$62,5,FALSE),"")</f>
        <v/>
      </c>
      <c r="F255" s="566" t="str">
        <f>IFERROR(VLOOKUP(N255,'TABLA-DIA'!$B$2:$P$62,6,FALSE),"")</f>
        <v/>
      </c>
      <c r="G255" s="544" t="str">
        <f>IFERROR(VLOOKUP(N255,'TABLA-DIA'!$B$2:$P$62,7,FALSE),"")</f>
        <v/>
      </c>
      <c r="H255" s="582" t="str">
        <f>IFERROR(VLOOKUP(N255,'TABLA-DIA'!$B$2:$P$62,10,FALSE),"")</f>
        <v/>
      </c>
      <c r="I255" s="548" t="str">
        <f>IFERROR(VLOOKUP(N255,'TABLA-DIA'!$B$2:$P$62,11,FALSE),"")</f>
        <v/>
      </c>
      <c r="J255" s="549" t="str">
        <f>IFERROR(VLOOKUP(N255,'TABLA-DIA'!$B$2:$P$62,12,FALSE),"")</f>
        <v/>
      </c>
      <c r="K255" s="557" t="str">
        <f>IFERROR(VLOOKUP(N255,'TABLA-DIA'!$B$2:$P$62,13,FALSE),"")</f>
        <v/>
      </c>
      <c r="L255" s="603" t="str">
        <f>IFERROR(IF(VLOOKUP(N255,'TABLA-DIA'!$B$2:$P$62,14,FALSE)="","",VLOOKUP(N255,'TABLA-DIA'!$B$2:$P$62,14,FALSE)),"")</f>
        <v/>
      </c>
      <c r="M255" s="590">
        <f t="shared" si="24"/>
        <v>6</v>
      </c>
      <c r="N255" s="125" t="str">
        <f t="shared" si="23"/>
        <v>Total general-6</v>
      </c>
    </row>
    <row r="256" spans="2:15" ht="67.150000000000006" hidden="1" customHeight="1" thickBot="1">
      <c r="B256" s="724"/>
      <c r="C256" s="564" t="str">
        <f>IFERROR(VLOOKUP(N256,'TABLA-DIA'!$B$2:$P$62,9,FALSE),"")</f>
        <v/>
      </c>
      <c r="D256" s="565" t="str">
        <f>IFERROR(VLOOKUP(N256,'TABLA-DIA'!$B$2:$P$62,4,FALSE),"")</f>
        <v/>
      </c>
      <c r="E256" s="566" t="str">
        <f>IFERROR(VLOOKUP(N256,'TABLA-DIA'!$B$2:$P$62,5,FALSE),"")</f>
        <v/>
      </c>
      <c r="F256" s="566" t="str">
        <f>IFERROR(VLOOKUP(N256,'TABLA-DIA'!$B$2:$P$62,6,FALSE),"")</f>
        <v/>
      </c>
      <c r="G256" s="544" t="str">
        <f>IFERROR(VLOOKUP(N256,'TABLA-DIA'!$B$2:$P$62,7,FALSE),"")</f>
        <v/>
      </c>
      <c r="H256" s="582" t="str">
        <f>IFERROR(VLOOKUP(N256,'TABLA-DIA'!$B$2:$P$62,10,FALSE),"")</f>
        <v/>
      </c>
      <c r="I256" s="548" t="str">
        <f>IFERROR(VLOOKUP(N256,'TABLA-DIA'!$B$2:$P$62,11,FALSE),"")</f>
        <v/>
      </c>
      <c r="J256" s="549" t="str">
        <f>IFERROR(VLOOKUP(N256,'TABLA-DIA'!$B$2:$P$62,12,FALSE),"")</f>
        <v/>
      </c>
      <c r="K256" s="557" t="str">
        <f>IFERROR(VLOOKUP(N256,'TABLA-DIA'!$B$2:$P$62,13,FALSE),"")</f>
        <v/>
      </c>
      <c r="L256" s="603" t="str">
        <f>IFERROR(IF(VLOOKUP(N256,'TABLA-DIA'!$B$2:$P$62,14,FALSE)="","",VLOOKUP(N256,'TABLA-DIA'!$B$2:$P$62,14,FALSE)),"")</f>
        <v/>
      </c>
      <c r="M256" s="590">
        <f t="shared" si="24"/>
        <v>7</v>
      </c>
      <c r="N256" s="125" t="str">
        <f t="shared" si="23"/>
        <v>Total general-7</v>
      </c>
    </row>
    <row r="257" spans="2:15" ht="67.150000000000006" hidden="1" customHeight="1" thickBot="1">
      <c r="B257" s="724"/>
      <c r="C257" s="564" t="str">
        <f>IFERROR(VLOOKUP(N257,'TABLA-DIA'!$B$2:$P$62,9,FALSE),"")</f>
        <v/>
      </c>
      <c r="D257" s="565" t="str">
        <f>IFERROR(VLOOKUP(N257,'TABLA-DIA'!$B$2:$P$62,4,FALSE),"")</f>
        <v/>
      </c>
      <c r="E257" s="566" t="str">
        <f>IFERROR(VLOOKUP(N257,'TABLA-DIA'!$B$2:$P$62,5,FALSE),"")</f>
        <v/>
      </c>
      <c r="F257" s="566" t="str">
        <f>IFERROR(VLOOKUP(N257,'TABLA-DIA'!$B$2:$P$62,6,FALSE),"")</f>
        <v/>
      </c>
      <c r="G257" s="544" t="str">
        <f>IFERROR(VLOOKUP(N257,'TABLA-DIA'!$B$2:$P$62,7,FALSE),"")</f>
        <v/>
      </c>
      <c r="H257" s="582" t="str">
        <f>IFERROR(VLOOKUP(N257,'TABLA-DIA'!$B$2:$P$62,10,FALSE),"")</f>
        <v/>
      </c>
      <c r="I257" s="548" t="str">
        <f>IFERROR(VLOOKUP(N257,'TABLA-DIA'!$B$2:$P$62,11,FALSE),"")</f>
        <v/>
      </c>
      <c r="J257" s="549" t="str">
        <f>IFERROR(VLOOKUP(N257,'TABLA-DIA'!$B$2:$P$62,12,FALSE),"")</f>
        <v/>
      </c>
      <c r="K257" s="557" t="str">
        <f>IFERROR(VLOOKUP(N257,'TABLA-DIA'!$B$2:$P$62,13,FALSE),"")</f>
        <v/>
      </c>
      <c r="L257" s="603" t="str">
        <f>IFERROR(IF(VLOOKUP(N257,'TABLA-DIA'!$B$2:$P$62,14,FALSE)="","",VLOOKUP(N257,'TABLA-DIA'!$B$2:$P$62,14,FALSE)),"")</f>
        <v/>
      </c>
      <c r="M257" s="590">
        <f t="shared" si="24"/>
        <v>8</v>
      </c>
      <c r="N257" s="125" t="str">
        <f t="shared" si="23"/>
        <v>Total general-8</v>
      </c>
    </row>
    <row r="258" spans="2:15" ht="67.150000000000006" hidden="1" customHeight="1" thickBot="1">
      <c r="B258" s="724"/>
      <c r="C258" s="564" t="str">
        <f>IFERROR(VLOOKUP(N258,'TABLA-DIA'!$B$2:$P$62,9,FALSE),"")</f>
        <v/>
      </c>
      <c r="D258" s="565" t="str">
        <f>IFERROR(VLOOKUP(N258,'TABLA-DIA'!$B$2:$P$62,4,FALSE),"")</f>
        <v/>
      </c>
      <c r="E258" s="566" t="str">
        <f>IFERROR(VLOOKUP(N258,'TABLA-DIA'!$B$2:$P$62,5,FALSE),"")</f>
        <v/>
      </c>
      <c r="F258" s="566" t="str">
        <f>IFERROR(VLOOKUP(N258,'TABLA-DIA'!$B$2:$P$62,6,FALSE),"")</f>
        <v/>
      </c>
      <c r="G258" s="544" t="str">
        <f>IFERROR(VLOOKUP(N258,'TABLA-DIA'!$B$2:$P$62,7,FALSE),"")</f>
        <v/>
      </c>
      <c r="H258" s="582" t="str">
        <f>IFERROR(VLOOKUP(N258,'TABLA-DIA'!$B$2:$P$62,10,FALSE),"")</f>
        <v/>
      </c>
      <c r="I258" s="548" t="str">
        <f>IFERROR(VLOOKUP(N258,'TABLA-DIA'!$B$2:$P$62,11,FALSE),"")</f>
        <v/>
      </c>
      <c r="J258" s="549" t="str">
        <f>IFERROR(VLOOKUP(N258,'TABLA-DIA'!$B$2:$P$62,12,FALSE),"")</f>
        <v/>
      </c>
      <c r="K258" s="557" t="str">
        <f>IFERROR(VLOOKUP(N258,'TABLA-DIA'!$B$2:$P$62,13,FALSE),"")</f>
        <v/>
      </c>
      <c r="L258" s="603" t="str">
        <f>IFERROR(IF(VLOOKUP(N258,'TABLA-DIA'!$B$2:$P$62,14,FALSE)="","",VLOOKUP(N258,'TABLA-DIA'!$B$2:$P$62,14,FALSE)),"")</f>
        <v/>
      </c>
      <c r="M258" s="590">
        <f t="shared" si="24"/>
        <v>9</v>
      </c>
      <c r="N258" s="125" t="str">
        <f t="shared" si="23"/>
        <v>Total general-9</v>
      </c>
    </row>
    <row r="259" spans="2:15" ht="37.15" hidden="1" customHeight="1" thickBot="1">
      <c r="B259" s="726"/>
      <c r="C259" s="573" t="str">
        <f>IFERROR(VLOOKUP(N259,'TABLA-DIA'!$B$2:$P$62,9,FALSE),"")</f>
        <v/>
      </c>
      <c r="D259" s="574" t="str">
        <f>IFERROR(VLOOKUP(N259,'TABLA-DIA'!$B$2:$P$62,4,FALSE),"")</f>
        <v/>
      </c>
      <c r="E259" s="575" t="str">
        <f>IFERROR(VLOOKUP(N259,'TABLA-DIA'!$B$2:$P$62,5,FALSE),"")</f>
        <v/>
      </c>
      <c r="F259" s="575" t="str">
        <f>IFERROR(VLOOKUP(N259,'TABLA-DIA'!$B$2:$P$62,6,FALSE),"")</f>
        <v/>
      </c>
      <c r="G259" s="544" t="str">
        <f>IFERROR(VLOOKUP(N259,'TABLA-DIA'!$B$2:$P$62,7,FALSE),"")</f>
        <v/>
      </c>
      <c r="H259" s="585" t="str">
        <f>IFERROR(VLOOKUP(N259,'TABLA-DIA'!$B$2:$P$62,10,FALSE),"")</f>
        <v/>
      </c>
      <c r="I259" s="554" t="str">
        <f>IFERROR(VLOOKUP(N259,'TABLA-DIA'!$B$2:$P$62,11,FALSE),"")</f>
        <v/>
      </c>
      <c r="J259" s="555" t="str">
        <f>IFERROR(VLOOKUP(N259,'TABLA-DIA'!$B$2:$P$62,12,FALSE),"")</f>
        <v/>
      </c>
      <c r="K259" s="560" t="str">
        <f>IFERROR(VLOOKUP(N259,'TABLA-DIA'!$B$2:$P$62,13,FALSE),"")</f>
        <v/>
      </c>
      <c r="L259" s="606" t="str">
        <f>IFERROR(IF(VLOOKUP(N259,'TABLA-DIA'!$B$2:$P$62,14,FALSE)="","",VLOOKUP(N259,'TABLA-DIA'!$B$2:$P$62,14,FALSE)),"")</f>
        <v/>
      </c>
      <c r="M259" s="592">
        <f t="shared" si="24"/>
        <v>10</v>
      </c>
      <c r="N259" s="130" t="str">
        <f t="shared" si="23"/>
        <v>Total general-10</v>
      </c>
    </row>
    <row r="260" spans="2:15" ht="89.45" customHeight="1" thickBot="1">
      <c r="B260" s="727">
        <f>+'TABLA-DIA'!B164</f>
        <v>0</v>
      </c>
      <c r="C260" s="569" t="str">
        <f>IFERROR(VLOOKUP(N260,'TABLA-DIA'!$B$2:$P$62,9,FALSE),"")</f>
        <v/>
      </c>
      <c r="D260" s="570" t="str">
        <f>IFERROR(VLOOKUP(N260,'TABLA-DIA'!$B$2:$P$62,4,FALSE),"")</f>
        <v/>
      </c>
      <c r="E260" s="571" t="str">
        <f>IFERROR(VLOOKUP(N260,'TABLA-DIA'!$B$2:$P$62,5,FALSE),"")</f>
        <v/>
      </c>
      <c r="F260" s="571" t="str">
        <f>IFERROR(VLOOKUP(N260,'TABLA-DIA'!$B$2:$P$62,6,FALSE),"")</f>
        <v/>
      </c>
      <c r="G260" s="544" t="str">
        <f>IFERROR(VLOOKUP(N260,'TABLA-DIA'!$B$2:$P$62,7,FALSE),"")</f>
        <v/>
      </c>
      <c r="H260" s="584" t="str">
        <f>IFERROR(VLOOKUP(N260,'TABLA-DIA'!$B$2:$P$62,10,FALSE),"")</f>
        <v/>
      </c>
      <c r="I260" s="552" t="str">
        <f>IFERROR(VLOOKUP(N260,'TABLA-DIA'!$B$2:$P$62,11,FALSE),"")</f>
        <v/>
      </c>
      <c r="J260" s="553" t="str">
        <f>IFERROR(VLOOKUP(N260,'TABLA-DIA'!$B$2:$P$62,12,FALSE),"")</f>
        <v/>
      </c>
      <c r="K260" s="559" t="str">
        <f>IFERROR(VLOOKUP(N260,'TABLA-DIA'!$B$2:$P$62,13,FALSE),"")</f>
        <v/>
      </c>
      <c r="L260" s="605" t="str">
        <f>IFERROR(IF(VLOOKUP(N260,'TABLA-DIA'!$B$2:$P$62,14,FALSE)="","",VLOOKUP(N260,'TABLA-DIA'!$B$2:$P$62,14,FALSE)),"")</f>
        <v/>
      </c>
      <c r="M260" s="589">
        <v>1</v>
      </c>
      <c r="N260" s="98" t="str">
        <f t="shared" ref="N260:N269" si="25">CONCATENATE($B$260,"-",M260)</f>
        <v>0-1</v>
      </c>
      <c r="O260" s="91">
        <f>COUNTIF(G260:G269,"&lt;&gt;**")</f>
        <v>0</v>
      </c>
    </row>
    <row r="261" spans="2:15" ht="67.150000000000006" hidden="1" customHeight="1" thickBot="1">
      <c r="B261" s="728"/>
      <c r="C261" s="564" t="str">
        <f>IFERROR(VLOOKUP(N261,'TABLA-DIA'!$B$2:$P$62,9,FALSE),"")</f>
        <v/>
      </c>
      <c r="D261" s="565" t="str">
        <f>IFERROR(VLOOKUP(N261,'TABLA-DIA'!$B$2:$P$62,4,FALSE),"")</f>
        <v/>
      </c>
      <c r="E261" s="566" t="str">
        <f>IFERROR(VLOOKUP(N261,'TABLA-DIA'!$B$2:$P$62,5,FALSE),"")</f>
        <v/>
      </c>
      <c r="F261" s="566" t="str">
        <f>IFERROR(VLOOKUP(N261,'TABLA-DIA'!$B$2:$P$62,6,FALSE),"")</f>
        <v/>
      </c>
      <c r="G261" s="544" t="str">
        <f>IFERROR(VLOOKUP(N261,'TABLA-DIA'!$B$2:$P$62,7,FALSE),"")</f>
        <v/>
      </c>
      <c r="H261" s="582" t="str">
        <f>IFERROR(VLOOKUP(N261,'TABLA-DIA'!$B$2:$P$62,10,FALSE),"")</f>
        <v/>
      </c>
      <c r="I261" s="548" t="str">
        <f>IFERROR(VLOOKUP(N261,'TABLA-DIA'!$B$2:$P$62,11,FALSE),"")</f>
        <v/>
      </c>
      <c r="J261" s="549" t="str">
        <f>IFERROR(VLOOKUP(N261,'TABLA-DIA'!$B$2:$P$62,12,FALSE),"")</f>
        <v/>
      </c>
      <c r="K261" s="557" t="str">
        <f>IFERROR(VLOOKUP(N261,'TABLA-DIA'!$B$2:$P$62,13,FALSE),"")</f>
        <v/>
      </c>
      <c r="L261" s="603" t="str">
        <f>IFERROR(IF(VLOOKUP(N261,'TABLA-DIA'!$B$2:$P$62,14,FALSE)="","",VLOOKUP(N261,'TABLA-DIA'!$B$2:$P$62,14,FALSE)),"")</f>
        <v/>
      </c>
      <c r="M261" s="590">
        <f t="shared" ref="M261:M269" si="26">+M260+1</f>
        <v>2</v>
      </c>
      <c r="N261" s="125" t="str">
        <f t="shared" si="25"/>
        <v>0-2</v>
      </c>
    </row>
    <row r="262" spans="2:15" ht="67.150000000000006" hidden="1" customHeight="1" thickBot="1">
      <c r="B262" s="728"/>
      <c r="C262" s="564" t="str">
        <f>IFERROR(VLOOKUP(N262,'TABLA-DIA'!$B$2:$P$62,9,FALSE),"")</f>
        <v/>
      </c>
      <c r="D262" s="565" t="str">
        <f>IFERROR(VLOOKUP(N262,'TABLA-DIA'!$B$2:$P$62,4,FALSE),"")</f>
        <v/>
      </c>
      <c r="E262" s="566" t="str">
        <f>IFERROR(VLOOKUP(N262,'TABLA-DIA'!$B$2:$P$62,5,FALSE),"")</f>
        <v/>
      </c>
      <c r="F262" s="566" t="str">
        <f>IFERROR(VLOOKUP(N262,'TABLA-DIA'!$B$2:$P$62,6,FALSE),"")</f>
        <v/>
      </c>
      <c r="G262" s="544" t="str">
        <f>IFERROR(VLOOKUP(N262,'TABLA-DIA'!$B$2:$P$62,7,FALSE),"")</f>
        <v/>
      </c>
      <c r="H262" s="582" t="str">
        <f>IFERROR(VLOOKUP(N262,'TABLA-DIA'!$B$2:$P$62,10,FALSE),"")</f>
        <v/>
      </c>
      <c r="I262" s="548" t="str">
        <f>IFERROR(VLOOKUP(N262,'TABLA-DIA'!$B$2:$P$62,11,FALSE),"")</f>
        <v/>
      </c>
      <c r="J262" s="549" t="str">
        <f>IFERROR(VLOOKUP(N262,'TABLA-DIA'!$B$2:$P$62,12,FALSE),"")</f>
        <v/>
      </c>
      <c r="K262" s="557" t="str">
        <f>IFERROR(VLOOKUP(N262,'TABLA-DIA'!$B$2:$P$62,13,FALSE),"")</f>
        <v/>
      </c>
      <c r="L262" s="603" t="str">
        <f>IFERROR(IF(VLOOKUP(N262,'TABLA-DIA'!$B$2:$P$62,14,FALSE)="","",VLOOKUP(N262,'TABLA-DIA'!$B$2:$P$62,14,FALSE)),"")</f>
        <v/>
      </c>
      <c r="M262" s="590">
        <f t="shared" si="26"/>
        <v>3</v>
      </c>
      <c r="N262" s="125" t="str">
        <f t="shared" si="25"/>
        <v>0-3</v>
      </c>
    </row>
    <row r="263" spans="2:15" ht="67.150000000000006" hidden="1" customHeight="1" thickBot="1">
      <c r="B263" s="728"/>
      <c r="C263" s="564" t="str">
        <f>IFERROR(VLOOKUP(N263,'TABLA-DIA'!$B$2:$P$62,9,FALSE),"")</f>
        <v/>
      </c>
      <c r="D263" s="565" t="str">
        <f>IFERROR(VLOOKUP(N263,'TABLA-DIA'!$B$2:$P$62,4,FALSE),"")</f>
        <v/>
      </c>
      <c r="E263" s="566" t="str">
        <f>IFERROR(VLOOKUP(N263,'TABLA-DIA'!$B$2:$P$62,5,FALSE),"")</f>
        <v/>
      </c>
      <c r="F263" s="566" t="str">
        <f>IFERROR(VLOOKUP(N263,'TABLA-DIA'!$B$2:$P$62,6,FALSE),"")</f>
        <v/>
      </c>
      <c r="G263" s="544" t="str">
        <f>IFERROR(VLOOKUP(N263,'TABLA-DIA'!$B$2:$P$62,7,FALSE),"")</f>
        <v/>
      </c>
      <c r="H263" s="582" t="str">
        <f>IFERROR(VLOOKUP(N263,'TABLA-DIA'!$B$2:$P$62,10,FALSE),"")</f>
        <v/>
      </c>
      <c r="I263" s="548" t="str">
        <f>IFERROR(VLOOKUP(N263,'TABLA-DIA'!$B$2:$P$62,11,FALSE),"")</f>
        <v/>
      </c>
      <c r="J263" s="549" t="str">
        <f>IFERROR(VLOOKUP(N263,'TABLA-DIA'!$B$2:$P$62,12,FALSE),"")</f>
        <v/>
      </c>
      <c r="K263" s="557" t="str">
        <f>IFERROR(VLOOKUP(N263,'TABLA-DIA'!$B$2:$P$62,13,FALSE),"")</f>
        <v/>
      </c>
      <c r="L263" s="603" t="str">
        <f>IFERROR(IF(VLOOKUP(N263,'TABLA-DIA'!$B$2:$P$62,14,FALSE)="","",VLOOKUP(N263,'TABLA-DIA'!$B$2:$P$62,14,FALSE)),"")</f>
        <v/>
      </c>
      <c r="M263" s="590">
        <f t="shared" si="26"/>
        <v>4</v>
      </c>
      <c r="N263" s="125" t="str">
        <f t="shared" si="25"/>
        <v>0-4</v>
      </c>
    </row>
    <row r="264" spans="2:15" ht="67.150000000000006" hidden="1" customHeight="1" thickBot="1">
      <c r="B264" s="728"/>
      <c r="C264" s="564" t="str">
        <f>IFERROR(VLOOKUP(N264,'TABLA-DIA'!$B$2:$P$62,9,FALSE),"")</f>
        <v/>
      </c>
      <c r="D264" s="565" t="str">
        <f>IFERROR(VLOOKUP(N264,'TABLA-DIA'!$B$2:$P$62,4,FALSE),"")</f>
        <v/>
      </c>
      <c r="E264" s="566" t="str">
        <f>IFERROR(VLOOKUP(N264,'TABLA-DIA'!$B$2:$P$62,5,FALSE),"")</f>
        <v/>
      </c>
      <c r="F264" s="566" t="str">
        <f>IFERROR(VLOOKUP(N264,'TABLA-DIA'!$B$2:$P$62,6,FALSE),"")</f>
        <v/>
      </c>
      <c r="G264" s="544" t="str">
        <f>IFERROR(VLOOKUP(N264,'TABLA-DIA'!$B$2:$P$62,7,FALSE),"")</f>
        <v/>
      </c>
      <c r="H264" s="582" t="str">
        <f>IFERROR(VLOOKUP(N264,'TABLA-DIA'!$B$2:$P$62,10,FALSE),"")</f>
        <v/>
      </c>
      <c r="I264" s="548" t="str">
        <f>IFERROR(VLOOKUP(N264,'TABLA-DIA'!$B$2:$P$62,11,FALSE),"")</f>
        <v/>
      </c>
      <c r="J264" s="549" t="str">
        <f>IFERROR(VLOOKUP(N264,'TABLA-DIA'!$B$2:$P$62,12,FALSE),"")</f>
        <v/>
      </c>
      <c r="K264" s="557" t="str">
        <f>IFERROR(VLOOKUP(N264,'TABLA-DIA'!$B$2:$P$62,13,FALSE),"")</f>
        <v/>
      </c>
      <c r="L264" s="603" t="str">
        <f>IFERROR(IF(VLOOKUP(N264,'TABLA-DIA'!$B$2:$P$62,14,FALSE)="","",VLOOKUP(N264,'TABLA-DIA'!$B$2:$P$62,14,FALSE)),"")</f>
        <v/>
      </c>
      <c r="M264" s="590">
        <f t="shared" si="26"/>
        <v>5</v>
      </c>
      <c r="N264" s="125" t="str">
        <f t="shared" si="25"/>
        <v>0-5</v>
      </c>
    </row>
    <row r="265" spans="2:15" ht="67.150000000000006" hidden="1" customHeight="1" thickBot="1">
      <c r="B265" s="728"/>
      <c r="C265" s="564" t="str">
        <f>IFERROR(VLOOKUP(N265,'TABLA-DIA'!$B$2:$P$62,9,FALSE),"")</f>
        <v/>
      </c>
      <c r="D265" s="565" t="str">
        <f>IFERROR(VLOOKUP(N265,'TABLA-DIA'!$B$2:$P$62,4,FALSE),"")</f>
        <v/>
      </c>
      <c r="E265" s="566" t="str">
        <f>IFERROR(VLOOKUP(N265,'TABLA-DIA'!$B$2:$P$62,5,FALSE),"")</f>
        <v/>
      </c>
      <c r="F265" s="566" t="str">
        <f>IFERROR(VLOOKUP(N265,'TABLA-DIA'!$B$2:$P$62,6,FALSE),"")</f>
        <v/>
      </c>
      <c r="G265" s="544" t="str">
        <f>IFERROR(VLOOKUP(N265,'TABLA-DIA'!$B$2:$P$62,7,FALSE),"")</f>
        <v/>
      </c>
      <c r="H265" s="582" t="str">
        <f>IFERROR(VLOOKUP(N265,'TABLA-DIA'!$B$2:$P$62,10,FALSE),"")</f>
        <v/>
      </c>
      <c r="I265" s="548" t="str">
        <f>IFERROR(VLOOKUP(N265,'TABLA-DIA'!$B$2:$P$62,11,FALSE),"")</f>
        <v/>
      </c>
      <c r="J265" s="549" t="str">
        <f>IFERROR(VLOOKUP(N265,'TABLA-DIA'!$B$2:$P$62,12,FALSE),"")</f>
        <v/>
      </c>
      <c r="K265" s="557" t="str">
        <f>IFERROR(VLOOKUP(N265,'TABLA-DIA'!$B$2:$P$62,13,FALSE),"")</f>
        <v/>
      </c>
      <c r="L265" s="603" t="str">
        <f>IFERROR(IF(VLOOKUP(N265,'TABLA-DIA'!$B$2:$P$62,14,FALSE)="","",VLOOKUP(N265,'TABLA-DIA'!$B$2:$P$62,14,FALSE)),"")</f>
        <v/>
      </c>
      <c r="M265" s="590">
        <f t="shared" si="26"/>
        <v>6</v>
      </c>
      <c r="N265" s="125" t="str">
        <f t="shared" si="25"/>
        <v>0-6</v>
      </c>
    </row>
    <row r="266" spans="2:15" ht="67.150000000000006" hidden="1" customHeight="1" thickBot="1">
      <c r="B266" s="728"/>
      <c r="C266" s="564" t="str">
        <f>IFERROR(VLOOKUP(N266,'TABLA-DIA'!$B$2:$P$62,9,FALSE),"")</f>
        <v/>
      </c>
      <c r="D266" s="565" t="str">
        <f>IFERROR(VLOOKUP(N266,'TABLA-DIA'!$B$2:$P$62,4,FALSE),"")</f>
        <v/>
      </c>
      <c r="E266" s="566" t="str">
        <f>IFERROR(VLOOKUP(N266,'TABLA-DIA'!$B$2:$P$62,5,FALSE),"")</f>
        <v/>
      </c>
      <c r="F266" s="566" t="str">
        <f>IFERROR(VLOOKUP(N266,'TABLA-DIA'!$B$2:$P$62,6,FALSE),"")</f>
        <v/>
      </c>
      <c r="G266" s="544" t="str">
        <f>IFERROR(VLOOKUP(N266,'TABLA-DIA'!$B$2:$P$62,7,FALSE),"")</f>
        <v/>
      </c>
      <c r="H266" s="582" t="str">
        <f>IFERROR(VLOOKUP(N266,'TABLA-DIA'!$B$2:$P$62,10,FALSE),"")</f>
        <v/>
      </c>
      <c r="I266" s="548" t="str">
        <f>IFERROR(VLOOKUP(N266,'TABLA-DIA'!$B$2:$P$62,11,FALSE),"")</f>
        <v/>
      </c>
      <c r="J266" s="549" t="str">
        <f>IFERROR(VLOOKUP(N266,'TABLA-DIA'!$B$2:$P$62,12,FALSE),"")</f>
        <v/>
      </c>
      <c r="K266" s="557" t="str">
        <f>IFERROR(VLOOKUP(N266,'TABLA-DIA'!$B$2:$P$62,13,FALSE),"")</f>
        <v/>
      </c>
      <c r="L266" s="603" t="str">
        <f>IFERROR(IF(VLOOKUP(N266,'TABLA-DIA'!$B$2:$P$62,14,FALSE)="","",VLOOKUP(N266,'TABLA-DIA'!$B$2:$P$62,14,FALSE)),"")</f>
        <v/>
      </c>
      <c r="M266" s="590">
        <f t="shared" si="26"/>
        <v>7</v>
      </c>
      <c r="N266" s="125" t="str">
        <f t="shared" si="25"/>
        <v>0-7</v>
      </c>
    </row>
    <row r="267" spans="2:15" ht="67.150000000000006" hidden="1" customHeight="1" thickBot="1">
      <c r="B267" s="728"/>
      <c r="C267" s="564" t="str">
        <f>IFERROR(VLOOKUP(N267,'TABLA-DIA'!$B$2:$P$62,9,FALSE),"")</f>
        <v/>
      </c>
      <c r="D267" s="565" t="str">
        <f>IFERROR(VLOOKUP(N267,'TABLA-DIA'!$B$2:$P$62,4,FALSE),"")</f>
        <v/>
      </c>
      <c r="E267" s="566" t="str">
        <f>IFERROR(VLOOKUP(N267,'TABLA-DIA'!$B$2:$P$62,5,FALSE),"")</f>
        <v/>
      </c>
      <c r="F267" s="566" t="str">
        <f>IFERROR(VLOOKUP(N267,'TABLA-DIA'!$B$2:$P$62,6,FALSE),"")</f>
        <v/>
      </c>
      <c r="G267" s="544" t="str">
        <f>IFERROR(VLOOKUP(N267,'TABLA-DIA'!$B$2:$P$62,7,FALSE),"")</f>
        <v/>
      </c>
      <c r="H267" s="582" t="str">
        <f>IFERROR(VLOOKUP(N267,'TABLA-DIA'!$B$2:$P$62,10,FALSE),"")</f>
        <v/>
      </c>
      <c r="I267" s="548" t="str">
        <f>IFERROR(VLOOKUP(N267,'TABLA-DIA'!$B$2:$P$62,11,FALSE),"")</f>
        <v/>
      </c>
      <c r="J267" s="549" t="str">
        <f>IFERROR(VLOOKUP(N267,'TABLA-DIA'!$B$2:$P$62,12,FALSE),"")</f>
        <v/>
      </c>
      <c r="K267" s="557" t="str">
        <f>IFERROR(VLOOKUP(N267,'TABLA-DIA'!$B$2:$P$62,13,FALSE),"")</f>
        <v/>
      </c>
      <c r="L267" s="603" t="str">
        <f>IFERROR(IF(VLOOKUP(N267,'TABLA-DIA'!$B$2:$P$62,14,FALSE)="","",VLOOKUP(N267,'TABLA-DIA'!$B$2:$P$62,14,FALSE)),"")</f>
        <v/>
      </c>
      <c r="M267" s="590">
        <f t="shared" si="26"/>
        <v>8</v>
      </c>
      <c r="N267" s="125" t="str">
        <f t="shared" si="25"/>
        <v>0-8</v>
      </c>
    </row>
    <row r="268" spans="2:15" ht="67.150000000000006" hidden="1" customHeight="1" thickBot="1">
      <c r="B268" s="728"/>
      <c r="C268" s="564" t="str">
        <f>IFERROR(VLOOKUP(N268,'TABLA-DIA'!$B$2:$P$62,9,FALSE),"")</f>
        <v/>
      </c>
      <c r="D268" s="565" t="str">
        <f>IFERROR(VLOOKUP(N268,'TABLA-DIA'!$B$2:$P$62,4,FALSE),"")</f>
        <v/>
      </c>
      <c r="E268" s="566" t="str">
        <f>IFERROR(VLOOKUP(N268,'TABLA-DIA'!$B$2:$P$62,5,FALSE),"")</f>
        <v/>
      </c>
      <c r="F268" s="566" t="str">
        <f>IFERROR(VLOOKUP(N268,'TABLA-DIA'!$B$2:$P$62,6,FALSE),"")</f>
        <v/>
      </c>
      <c r="G268" s="544" t="str">
        <f>IFERROR(VLOOKUP(N268,'TABLA-DIA'!$B$2:$P$62,7,FALSE),"")</f>
        <v/>
      </c>
      <c r="H268" s="582" t="str">
        <f>IFERROR(VLOOKUP(N268,'TABLA-DIA'!$B$2:$P$62,10,FALSE),"")</f>
        <v/>
      </c>
      <c r="I268" s="548" t="str">
        <f>IFERROR(VLOOKUP(N268,'TABLA-DIA'!$B$2:$P$62,11,FALSE),"")</f>
        <v/>
      </c>
      <c r="J268" s="549" t="str">
        <f>IFERROR(VLOOKUP(N268,'TABLA-DIA'!$B$2:$P$62,12,FALSE),"")</f>
        <v/>
      </c>
      <c r="K268" s="557" t="str">
        <f>IFERROR(VLOOKUP(N268,'TABLA-DIA'!$B$2:$P$62,13,FALSE),"")</f>
        <v/>
      </c>
      <c r="L268" s="603" t="str">
        <f>IFERROR(IF(VLOOKUP(N268,'TABLA-DIA'!$B$2:$P$62,14,FALSE)="","",VLOOKUP(N268,'TABLA-DIA'!$B$2:$P$62,14,FALSE)),"")</f>
        <v/>
      </c>
      <c r="M268" s="590">
        <f t="shared" si="26"/>
        <v>9</v>
      </c>
      <c r="N268" s="125" t="str">
        <f t="shared" si="25"/>
        <v>0-9</v>
      </c>
    </row>
    <row r="269" spans="2:15" ht="67.150000000000006" hidden="1" customHeight="1" thickBot="1">
      <c r="B269" s="729"/>
      <c r="C269" s="573" t="str">
        <f>IFERROR(VLOOKUP(N269,'TABLA-DIA'!$B$2:$P$62,9,FALSE),"")</f>
        <v/>
      </c>
      <c r="D269" s="574" t="str">
        <f>IFERROR(VLOOKUP(N269,'TABLA-DIA'!$B$2:$P$62,4,FALSE),"")</f>
        <v/>
      </c>
      <c r="E269" s="575" t="str">
        <f>IFERROR(VLOOKUP(N269,'TABLA-DIA'!$B$2:$P$62,5,FALSE),"")</f>
        <v/>
      </c>
      <c r="F269" s="575" t="str">
        <f>IFERROR(VLOOKUP(N269,'TABLA-DIA'!$B$2:$P$62,6,FALSE),"")</f>
        <v/>
      </c>
      <c r="G269" s="544" t="str">
        <f>IFERROR(VLOOKUP(N269,'TABLA-DIA'!$B$2:$P$62,7,FALSE),"")</f>
        <v/>
      </c>
      <c r="H269" s="585" t="str">
        <f>IFERROR(VLOOKUP(N269,'TABLA-DIA'!$B$2:$P$62,10,FALSE),"")</f>
        <v/>
      </c>
      <c r="I269" s="554" t="str">
        <f>IFERROR(VLOOKUP(N269,'TABLA-DIA'!$B$2:$P$62,11,FALSE),"")</f>
        <v/>
      </c>
      <c r="J269" s="555" t="str">
        <f>IFERROR(VLOOKUP(N269,'TABLA-DIA'!$B$2:$P$62,12,FALSE),"")</f>
        <v/>
      </c>
      <c r="K269" s="560" t="str">
        <f>IFERROR(VLOOKUP(N269,'TABLA-DIA'!$B$2:$P$62,13,FALSE),"")</f>
        <v/>
      </c>
      <c r="L269" s="606" t="str">
        <f>IFERROR(IF(VLOOKUP(N269,'TABLA-DIA'!$B$2:$P$62,14,FALSE)="","",VLOOKUP(N269,'TABLA-DIA'!$B$2:$P$62,14,FALSE)),"")</f>
        <v/>
      </c>
      <c r="M269" s="592">
        <f t="shared" si="26"/>
        <v>10</v>
      </c>
      <c r="N269" s="130" t="str">
        <f t="shared" si="25"/>
        <v>0-10</v>
      </c>
    </row>
    <row r="270" spans="2:15" ht="110.25" customHeight="1" thickBot="1">
      <c r="B270" s="723">
        <f>+'TABLA-DIA'!B165</f>
        <v>0</v>
      </c>
      <c r="C270" s="569" t="str">
        <f>IFERROR(VLOOKUP(N270,'TABLA-DIA'!$B$2:$P$62,9,FALSE),"")</f>
        <v/>
      </c>
      <c r="D270" s="570" t="str">
        <f>IFERROR(VLOOKUP(N270,'TABLA-DIA'!$B$2:$P$62,4,FALSE),"")</f>
        <v/>
      </c>
      <c r="E270" s="571" t="str">
        <f>IFERROR(VLOOKUP(N270,'TABLA-DIA'!$B$2:$P$62,5,FALSE),"")</f>
        <v/>
      </c>
      <c r="F270" s="571" t="str">
        <f>IFERROR(VLOOKUP(N270,'TABLA-DIA'!$B$2:$P$62,6,FALSE),"")</f>
        <v/>
      </c>
      <c r="G270" s="544" t="str">
        <f>IFERROR(VLOOKUP(N270,'TABLA-DIA'!$B$2:$P$62,7,FALSE),"")</f>
        <v/>
      </c>
      <c r="H270" s="584" t="str">
        <f>IFERROR(VLOOKUP(N270,'TABLA-DIA'!$B$2:$P$62,10,FALSE),"")</f>
        <v/>
      </c>
      <c r="I270" s="552" t="str">
        <f>IFERROR(VLOOKUP(N270,'TABLA-DIA'!$B$2:$P$62,11,FALSE),"")</f>
        <v/>
      </c>
      <c r="J270" s="553" t="str">
        <f>IFERROR(VLOOKUP(N270,'TABLA-DIA'!$B$2:$P$62,12,FALSE),"")</f>
        <v/>
      </c>
      <c r="K270" s="559" t="str">
        <f>IFERROR(VLOOKUP(N270,'TABLA-DIA'!$B$2:$P$62,13,FALSE),"")</f>
        <v/>
      </c>
      <c r="L270" s="605" t="str">
        <f>IFERROR(IF(VLOOKUP(N270,'TABLA-DIA'!$B$2:$P$62,14,FALSE)="","",VLOOKUP(N270,'TABLA-DIA'!$B$2:$P$62,14,FALSE)),"")</f>
        <v/>
      </c>
      <c r="M270" s="589">
        <v>1</v>
      </c>
      <c r="N270" s="98" t="str">
        <f t="shared" ref="N270:N279" si="27">CONCATENATE($B$270,"-",M270)</f>
        <v>0-1</v>
      </c>
      <c r="O270" s="91">
        <f>COUNTIF(G270:G279,"&lt;&gt;**")</f>
        <v>0</v>
      </c>
    </row>
    <row r="271" spans="2:15" ht="67.150000000000006" hidden="1" customHeight="1" thickBot="1">
      <c r="B271" s="724"/>
      <c r="C271" s="564" t="str">
        <f>IFERROR(VLOOKUP(N271,'TABLA-DIA'!$B$2:$P$62,9,FALSE),"")</f>
        <v/>
      </c>
      <c r="D271" s="565" t="str">
        <f>IFERROR(VLOOKUP(N271,'TABLA-DIA'!$B$2:$P$62,4,FALSE),"")</f>
        <v/>
      </c>
      <c r="E271" s="566" t="str">
        <f>IFERROR(VLOOKUP(N271,'TABLA-DIA'!$B$2:$P$62,5,FALSE),"")</f>
        <v/>
      </c>
      <c r="F271" s="566" t="str">
        <f>IFERROR(VLOOKUP(N271,'TABLA-DIA'!$B$2:$P$62,6,FALSE),"")</f>
        <v/>
      </c>
      <c r="G271" s="544" t="str">
        <f>IFERROR(VLOOKUP(N271,'TABLA-DIA'!$B$2:$P$62,7,FALSE),"")</f>
        <v/>
      </c>
      <c r="H271" s="582" t="str">
        <f>IFERROR(VLOOKUP(N271,'TABLA-DIA'!$B$2:$P$62,10,FALSE),"")</f>
        <v/>
      </c>
      <c r="I271" s="548" t="str">
        <f>IFERROR(VLOOKUP(N271,'TABLA-DIA'!$B$2:$P$62,11,FALSE),"")</f>
        <v/>
      </c>
      <c r="J271" s="549" t="str">
        <f>IFERROR(VLOOKUP(N271,'TABLA-DIA'!$B$2:$P$62,12,FALSE),"")</f>
        <v/>
      </c>
      <c r="K271" s="557" t="str">
        <f>IFERROR(VLOOKUP(N271,'TABLA-DIA'!$B$2:$P$62,13,FALSE),"")</f>
        <v/>
      </c>
      <c r="L271" s="603" t="str">
        <f>IFERROR(IF(VLOOKUP(N271,'TABLA-DIA'!$B$2:$P$62,14,FALSE)="","",VLOOKUP(N271,'TABLA-DIA'!$B$2:$P$62,14,FALSE)),"")</f>
        <v/>
      </c>
      <c r="M271" s="590">
        <v>2</v>
      </c>
      <c r="N271" s="125" t="str">
        <f t="shared" si="27"/>
        <v>0-2</v>
      </c>
    </row>
    <row r="272" spans="2:15" ht="67.150000000000006" hidden="1" customHeight="1" thickBot="1">
      <c r="B272" s="724"/>
      <c r="C272" s="564" t="str">
        <f>IFERROR(VLOOKUP(N272,'TABLA-DIA'!$B$2:$P$62,9,FALSE),"")</f>
        <v/>
      </c>
      <c r="D272" s="565" t="str">
        <f>IFERROR(VLOOKUP(N272,'TABLA-DIA'!$B$2:$P$62,4,FALSE),"")</f>
        <v/>
      </c>
      <c r="E272" s="566" t="str">
        <f>IFERROR(VLOOKUP(N272,'TABLA-DIA'!$B$2:$P$62,5,FALSE),"")</f>
        <v/>
      </c>
      <c r="F272" s="566" t="str">
        <f>IFERROR(VLOOKUP(N272,'TABLA-DIA'!$B$2:$P$62,6,FALSE),"")</f>
        <v/>
      </c>
      <c r="G272" s="544" t="str">
        <f>IFERROR(VLOOKUP(N272,'TABLA-DIA'!$B$2:$P$62,7,FALSE),"")</f>
        <v/>
      </c>
      <c r="H272" s="582" t="str">
        <f>IFERROR(VLOOKUP(N272,'TABLA-DIA'!$B$2:$P$62,10,FALSE),"")</f>
        <v/>
      </c>
      <c r="I272" s="548" t="str">
        <f>IFERROR(VLOOKUP(N272,'TABLA-DIA'!$B$2:$P$62,11,FALSE),"")</f>
        <v/>
      </c>
      <c r="J272" s="549" t="str">
        <f>IFERROR(VLOOKUP(N272,'TABLA-DIA'!$B$2:$P$62,12,FALSE),"")</f>
        <v/>
      </c>
      <c r="K272" s="557" t="str">
        <f>IFERROR(VLOOKUP(N272,'TABLA-DIA'!$B$2:$P$62,13,FALSE),"")</f>
        <v/>
      </c>
      <c r="L272" s="603" t="str">
        <f>IFERROR(IF(VLOOKUP(N272,'TABLA-DIA'!$B$2:$P$62,14,FALSE)="","",VLOOKUP(N272,'TABLA-DIA'!$B$2:$P$62,14,FALSE)),"")</f>
        <v/>
      </c>
      <c r="M272" s="590">
        <v>3</v>
      </c>
      <c r="N272" s="125" t="str">
        <f t="shared" si="27"/>
        <v>0-3</v>
      </c>
    </row>
    <row r="273" spans="2:15" ht="67.150000000000006" hidden="1" customHeight="1" thickBot="1">
      <c r="B273" s="724"/>
      <c r="C273" s="564" t="str">
        <f>IFERROR(VLOOKUP(N273,'TABLA-DIA'!$B$2:$P$62,9,FALSE),"")</f>
        <v/>
      </c>
      <c r="D273" s="565" t="str">
        <f>IFERROR(VLOOKUP(N273,'TABLA-DIA'!$B$2:$P$62,4,FALSE),"")</f>
        <v/>
      </c>
      <c r="E273" s="566" t="str">
        <f>IFERROR(VLOOKUP(N273,'TABLA-DIA'!$B$2:$P$62,5,FALSE),"")</f>
        <v/>
      </c>
      <c r="F273" s="566" t="str">
        <f>IFERROR(VLOOKUP(N273,'TABLA-DIA'!$B$2:$P$62,6,FALSE),"")</f>
        <v/>
      </c>
      <c r="G273" s="544" t="str">
        <f>IFERROR(VLOOKUP(N273,'TABLA-DIA'!$B$2:$P$62,7,FALSE),"")</f>
        <v/>
      </c>
      <c r="H273" s="582" t="str">
        <f>IFERROR(VLOOKUP(N273,'TABLA-DIA'!$B$2:$P$62,10,FALSE),"")</f>
        <v/>
      </c>
      <c r="I273" s="548" t="str">
        <f>IFERROR(VLOOKUP(N273,'TABLA-DIA'!$B$2:$P$62,11,FALSE),"")</f>
        <v/>
      </c>
      <c r="J273" s="549" t="str">
        <f>IFERROR(VLOOKUP(N273,'TABLA-DIA'!$B$2:$P$62,12,FALSE),"")</f>
        <v/>
      </c>
      <c r="K273" s="557" t="str">
        <f>IFERROR(VLOOKUP(N273,'TABLA-DIA'!$B$2:$P$62,13,FALSE),"")</f>
        <v/>
      </c>
      <c r="L273" s="603" t="str">
        <f>IFERROR(IF(VLOOKUP(N273,'TABLA-DIA'!$B$2:$P$62,14,FALSE)="","",VLOOKUP(N273,'TABLA-DIA'!$B$2:$P$62,14,FALSE)),"")</f>
        <v/>
      </c>
      <c r="M273" s="590">
        <v>4</v>
      </c>
      <c r="N273" s="125" t="str">
        <f t="shared" si="27"/>
        <v>0-4</v>
      </c>
    </row>
    <row r="274" spans="2:15" ht="67.150000000000006" hidden="1" customHeight="1" thickBot="1">
      <c r="B274" s="724"/>
      <c r="C274" s="564" t="str">
        <f>IFERROR(VLOOKUP(N274,'TABLA-DIA'!$B$2:$P$62,9,FALSE),"")</f>
        <v/>
      </c>
      <c r="D274" s="565" t="str">
        <f>IFERROR(VLOOKUP(N274,'TABLA-DIA'!$B$2:$P$62,4,FALSE),"")</f>
        <v/>
      </c>
      <c r="E274" s="566" t="str">
        <f>IFERROR(VLOOKUP(N274,'TABLA-DIA'!$B$2:$P$62,5,FALSE),"")</f>
        <v/>
      </c>
      <c r="F274" s="566" t="str">
        <f>IFERROR(VLOOKUP(N274,'TABLA-DIA'!$B$2:$P$62,6,FALSE),"")</f>
        <v/>
      </c>
      <c r="G274" s="544" t="str">
        <f>IFERROR(VLOOKUP(N274,'TABLA-DIA'!$B$2:$P$62,7,FALSE),"")</f>
        <v/>
      </c>
      <c r="H274" s="582" t="str">
        <f>IFERROR(VLOOKUP(N274,'TABLA-DIA'!$B$2:$P$62,10,FALSE),"")</f>
        <v/>
      </c>
      <c r="I274" s="548" t="str">
        <f>IFERROR(VLOOKUP(N274,'TABLA-DIA'!$B$2:$P$62,11,FALSE),"")</f>
        <v/>
      </c>
      <c r="J274" s="549" t="str">
        <f>IFERROR(VLOOKUP(N274,'TABLA-DIA'!$B$2:$P$62,12,FALSE),"")</f>
        <v/>
      </c>
      <c r="K274" s="557" t="str">
        <f>IFERROR(VLOOKUP(N274,'TABLA-DIA'!$B$2:$P$62,13,FALSE),"")</f>
        <v/>
      </c>
      <c r="L274" s="603" t="str">
        <f>IFERROR(IF(VLOOKUP(N274,'TABLA-DIA'!$B$2:$P$62,14,FALSE)="","",VLOOKUP(N274,'TABLA-DIA'!$B$2:$P$62,14,FALSE)),"")</f>
        <v/>
      </c>
      <c r="M274" s="590">
        <v>5</v>
      </c>
      <c r="N274" s="125" t="str">
        <f t="shared" si="27"/>
        <v>0-5</v>
      </c>
    </row>
    <row r="275" spans="2:15" ht="67.150000000000006" hidden="1" customHeight="1" thickBot="1">
      <c r="B275" s="724"/>
      <c r="C275" s="564" t="str">
        <f>IFERROR(VLOOKUP(N275,'TABLA-DIA'!$B$2:$P$62,9,FALSE),"")</f>
        <v/>
      </c>
      <c r="D275" s="565" t="str">
        <f>IFERROR(VLOOKUP(N275,'TABLA-DIA'!$B$2:$P$62,4,FALSE),"")</f>
        <v/>
      </c>
      <c r="E275" s="566" t="str">
        <f>IFERROR(VLOOKUP(N275,'TABLA-DIA'!$B$2:$P$62,5,FALSE),"")</f>
        <v/>
      </c>
      <c r="F275" s="566" t="str">
        <f>IFERROR(VLOOKUP(N275,'TABLA-DIA'!$B$2:$P$62,6,FALSE),"")</f>
        <v/>
      </c>
      <c r="G275" s="544" t="str">
        <f>IFERROR(VLOOKUP(N275,'TABLA-DIA'!$B$2:$P$62,7,FALSE),"")</f>
        <v/>
      </c>
      <c r="H275" s="582" t="str">
        <f>IFERROR(VLOOKUP(N275,'TABLA-DIA'!$B$2:$P$62,10,FALSE),"")</f>
        <v/>
      </c>
      <c r="I275" s="548" t="str">
        <f>IFERROR(VLOOKUP(N275,'TABLA-DIA'!$B$2:$P$62,11,FALSE),"")</f>
        <v/>
      </c>
      <c r="J275" s="549" t="str">
        <f>IFERROR(VLOOKUP(N275,'TABLA-DIA'!$B$2:$P$62,12,FALSE),"")</f>
        <v/>
      </c>
      <c r="K275" s="557" t="str">
        <f>IFERROR(VLOOKUP(N275,'TABLA-DIA'!$B$2:$P$62,13,FALSE),"")</f>
        <v/>
      </c>
      <c r="L275" s="603" t="str">
        <f>IFERROR(IF(VLOOKUP(N275,'TABLA-DIA'!$B$2:$P$62,14,FALSE)="","",VLOOKUP(N275,'TABLA-DIA'!$B$2:$P$62,14,FALSE)),"")</f>
        <v/>
      </c>
      <c r="M275" s="590">
        <v>6</v>
      </c>
      <c r="N275" s="125" t="str">
        <f t="shared" si="27"/>
        <v>0-6</v>
      </c>
    </row>
    <row r="276" spans="2:15" ht="67.150000000000006" hidden="1" customHeight="1" thickBot="1">
      <c r="B276" s="724"/>
      <c r="C276" s="564" t="str">
        <f>IFERROR(VLOOKUP(N276,'TABLA-DIA'!$B$2:$P$62,9,FALSE),"")</f>
        <v/>
      </c>
      <c r="D276" s="565" t="str">
        <f>IFERROR(VLOOKUP(N276,'TABLA-DIA'!$B$2:$P$62,4,FALSE),"")</f>
        <v/>
      </c>
      <c r="E276" s="566" t="str">
        <f>IFERROR(VLOOKUP(N276,'TABLA-DIA'!$B$2:$P$62,5,FALSE),"")</f>
        <v/>
      </c>
      <c r="F276" s="566" t="str">
        <f>IFERROR(VLOOKUP(N276,'TABLA-DIA'!$B$2:$P$62,6,FALSE),"")</f>
        <v/>
      </c>
      <c r="G276" s="544" t="str">
        <f>IFERROR(VLOOKUP(N276,'TABLA-DIA'!$B$2:$P$62,7,FALSE),"")</f>
        <v/>
      </c>
      <c r="H276" s="582" t="str">
        <f>IFERROR(VLOOKUP(N276,'TABLA-DIA'!$B$2:$P$62,10,FALSE),"")</f>
        <v/>
      </c>
      <c r="I276" s="548" t="str">
        <f>IFERROR(VLOOKUP(N276,'TABLA-DIA'!$B$2:$P$62,11,FALSE),"")</f>
        <v/>
      </c>
      <c r="J276" s="549" t="str">
        <f>IFERROR(VLOOKUP(N276,'TABLA-DIA'!$B$2:$P$62,12,FALSE),"")</f>
        <v/>
      </c>
      <c r="K276" s="557" t="str">
        <f>IFERROR(VLOOKUP(N276,'TABLA-DIA'!$B$2:$P$62,13,FALSE),"")</f>
        <v/>
      </c>
      <c r="L276" s="603" t="str">
        <f>IFERROR(IF(VLOOKUP(N276,'TABLA-DIA'!$B$2:$P$62,14,FALSE)="","",VLOOKUP(N276,'TABLA-DIA'!$B$2:$P$62,14,FALSE)),"")</f>
        <v/>
      </c>
      <c r="M276" s="590">
        <v>7</v>
      </c>
      <c r="N276" s="125" t="str">
        <f t="shared" si="27"/>
        <v>0-7</v>
      </c>
    </row>
    <row r="277" spans="2:15" ht="67.150000000000006" hidden="1" customHeight="1" thickBot="1">
      <c r="B277" s="724"/>
      <c r="C277" s="564" t="str">
        <f>IFERROR(VLOOKUP(N277,'TABLA-DIA'!$B$2:$P$62,9,FALSE),"")</f>
        <v/>
      </c>
      <c r="D277" s="565" t="str">
        <f>IFERROR(VLOOKUP(N277,'TABLA-DIA'!$B$2:$P$62,4,FALSE),"")</f>
        <v/>
      </c>
      <c r="E277" s="566" t="str">
        <f>IFERROR(VLOOKUP(N277,'TABLA-DIA'!$B$2:$P$62,5,FALSE),"")</f>
        <v/>
      </c>
      <c r="F277" s="566" t="str">
        <f>IFERROR(VLOOKUP(N277,'TABLA-DIA'!$B$2:$P$62,6,FALSE),"")</f>
        <v/>
      </c>
      <c r="G277" s="544" t="str">
        <f>IFERROR(VLOOKUP(N277,'TABLA-DIA'!$B$2:$P$62,7,FALSE),"")</f>
        <v/>
      </c>
      <c r="H277" s="582" t="str">
        <f>IFERROR(VLOOKUP(N277,'TABLA-DIA'!$B$2:$P$62,10,FALSE),"")</f>
        <v/>
      </c>
      <c r="I277" s="548" t="str">
        <f>IFERROR(VLOOKUP(N277,'TABLA-DIA'!$B$2:$P$62,11,FALSE),"")</f>
        <v/>
      </c>
      <c r="J277" s="549" t="str">
        <f>IFERROR(VLOOKUP(N277,'TABLA-DIA'!$B$2:$P$62,12,FALSE),"")</f>
        <v/>
      </c>
      <c r="K277" s="557" t="str">
        <f>IFERROR(VLOOKUP(N277,'TABLA-DIA'!$B$2:$P$62,13,FALSE),"")</f>
        <v/>
      </c>
      <c r="L277" s="603" t="str">
        <f>IFERROR(IF(VLOOKUP(N277,'TABLA-DIA'!$B$2:$P$62,14,FALSE)="","",VLOOKUP(N277,'TABLA-DIA'!$B$2:$P$62,14,FALSE)),"")</f>
        <v/>
      </c>
      <c r="M277" s="590">
        <v>8</v>
      </c>
      <c r="N277" s="125" t="str">
        <f t="shared" si="27"/>
        <v>0-8</v>
      </c>
    </row>
    <row r="278" spans="2:15" ht="67.150000000000006" hidden="1" customHeight="1" thickBot="1">
      <c r="B278" s="724"/>
      <c r="C278" s="564" t="str">
        <f>IFERROR(VLOOKUP(N278,'TABLA-DIA'!$B$2:$P$62,9,FALSE),"")</f>
        <v/>
      </c>
      <c r="D278" s="565" t="str">
        <f>IFERROR(VLOOKUP(N278,'TABLA-DIA'!$B$2:$P$62,4,FALSE),"")</f>
        <v/>
      </c>
      <c r="E278" s="566" t="str">
        <f>IFERROR(VLOOKUP(N278,'TABLA-DIA'!$B$2:$P$62,5,FALSE),"")</f>
        <v/>
      </c>
      <c r="F278" s="566" t="str">
        <f>IFERROR(VLOOKUP(N278,'TABLA-DIA'!$B$2:$P$62,6,FALSE),"")</f>
        <v/>
      </c>
      <c r="G278" s="544" t="str">
        <f>IFERROR(VLOOKUP(N278,'TABLA-DIA'!$B$2:$P$62,7,FALSE),"")</f>
        <v/>
      </c>
      <c r="H278" s="582" t="str">
        <f>IFERROR(VLOOKUP(N278,'TABLA-DIA'!$B$2:$P$62,10,FALSE),"")</f>
        <v/>
      </c>
      <c r="I278" s="548" t="str">
        <f>IFERROR(VLOOKUP(N278,'TABLA-DIA'!$B$2:$P$62,11,FALSE),"")</f>
        <v/>
      </c>
      <c r="J278" s="549" t="str">
        <f>IFERROR(VLOOKUP(N278,'TABLA-DIA'!$B$2:$P$62,12,FALSE),"")</f>
        <v/>
      </c>
      <c r="K278" s="557" t="str">
        <f>IFERROR(VLOOKUP(N278,'TABLA-DIA'!$B$2:$P$62,13,FALSE),"")</f>
        <v/>
      </c>
      <c r="L278" s="603" t="str">
        <f>IFERROR(IF(VLOOKUP(N278,'TABLA-DIA'!$B$2:$P$62,14,FALSE)="","",VLOOKUP(N278,'TABLA-DIA'!$B$2:$P$62,14,FALSE)),"")</f>
        <v/>
      </c>
      <c r="M278" s="590">
        <v>9</v>
      </c>
      <c r="N278" s="125" t="str">
        <f t="shared" si="27"/>
        <v>0-9</v>
      </c>
    </row>
    <row r="279" spans="2:15" ht="67.150000000000006" hidden="1" customHeight="1" thickBot="1">
      <c r="B279" s="726"/>
      <c r="C279" s="573" t="str">
        <f>IFERROR(VLOOKUP(N279,'TABLA-DIA'!$B$2:$P$62,9,FALSE),"")</f>
        <v/>
      </c>
      <c r="D279" s="574" t="str">
        <f>IFERROR(VLOOKUP(N279,'TABLA-DIA'!$B$2:$P$62,4,FALSE),"")</f>
        <v/>
      </c>
      <c r="E279" s="575" t="str">
        <f>IFERROR(VLOOKUP(N279,'TABLA-DIA'!$B$2:$P$62,5,FALSE),"")</f>
        <v/>
      </c>
      <c r="F279" s="575" t="str">
        <f>IFERROR(VLOOKUP(N279,'TABLA-DIA'!$B$2:$P$62,6,FALSE),"")</f>
        <v/>
      </c>
      <c r="G279" s="544" t="str">
        <f>IFERROR(VLOOKUP(N279,'TABLA-DIA'!$B$2:$P$62,7,FALSE),"")</f>
        <v/>
      </c>
      <c r="H279" s="585" t="str">
        <f>IFERROR(VLOOKUP(N279,'TABLA-DIA'!$B$2:$P$62,10,FALSE),"")</f>
        <v/>
      </c>
      <c r="I279" s="554" t="str">
        <f>IFERROR(VLOOKUP(N279,'TABLA-DIA'!$B$2:$P$62,11,FALSE),"")</f>
        <v/>
      </c>
      <c r="J279" s="555" t="str">
        <f>IFERROR(VLOOKUP(N279,'TABLA-DIA'!$B$2:$P$62,12,FALSE),"")</f>
        <v/>
      </c>
      <c r="K279" s="560" t="str">
        <f>IFERROR(VLOOKUP(N279,'TABLA-DIA'!$B$2:$P$62,13,FALSE),"")</f>
        <v/>
      </c>
      <c r="L279" s="606" t="str">
        <f>IFERROR(IF(VLOOKUP(N279,'TABLA-DIA'!$B$2:$P$62,14,FALSE)="","",VLOOKUP(N279,'TABLA-DIA'!$B$2:$P$62,14,FALSE)),"")</f>
        <v/>
      </c>
      <c r="M279" s="592">
        <v>10</v>
      </c>
      <c r="N279" s="130" t="str">
        <f t="shared" si="27"/>
        <v>0-10</v>
      </c>
    </row>
    <row r="280" spans="2:15" ht="90" customHeight="1" thickBot="1">
      <c r="B280" s="723">
        <f>+'TABLA-DIA'!B166</f>
        <v>0</v>
      </c>
      <c r="C280" s="569" t="str">
        <f>IFERROR(VLOOKUP(N280,'TABLA-DIA'!$B$2:$P$62,9,FALSE),"")</f>
        <v/>
      </c>
      <c r="D280" s="570" t="str">
        <f>IFERROR(VLOOKUP(N280,'TABLA-DIA'!$B$2:$P$62,4,FALSE),"")</f>
        <v/>
      </c>
      <c r="E280" s="571" t="str">
        <f>IFERROR(VLOOKUP(N280,'TABLA-DIA'!$B$2:$P$62,5,FALSE),"")</f>
        <v/>
      </c>
      <c r="F280" s="571" t="str">
        <f>IFERROR(VLOOKUP(N280,'TABLA-DIA'!$B$2:$P$62,6,FALSE),"")</f>
        <v/>
      </c>
      <c r="G280" s="544" t="str">
        <f>IFERROR(VLOOKUP(N280,'TABLA-DIA'!$B$2:$P$62,7,FALSE),"")</f>
        <v/>
      </c>
      <c r="H280" s="584" t="str">
        <f>IFERROR(VLOOKUP(N280,'TABLA-DIA'!$B$2:$P$62,10,FALSE),"")</f>
        <v/>
      </c>
      <c r="I280" s="552" t="str">
        <f>IFERROR(VLOOKUP(N280,'TABLA-DIA'!$B$2:$P$62,11,FALSE),"")</f>
        <v/>
      </c>
      <c r="J280" s="553" t="str">
        <f>IFERROR(VLOOKUP(N280,'TABLA-DIA'!$B$2:$P$62,12,FALSE),"")</f>
        <v/>
      </c>
      <c r="K280" s="559" t="str">
        <f>IFERROR(VLOOKUP(N280,'TABLA-DIA'!$B$2:$P$62,13,FALSE),"")</f>
        <v/>
      </c>
      <c r="L280" s="605" t="str">
        <f>IFERROR(IF(VLOOKUP(N280,'TABLA-DIA'!$B$2:$P$62,14,FALSE)="","",VLOOKUP(N280,'TABLA-DIA'!$B$2:$P$62,14,FALSE)),"")</f>
        <v/>
      </c>
      <c r="M280" s="589">
        <v>1</v>
      </c>
      <c r="N280" s="98" t="str">
        <f t="shared" ref="N280:N289" si="28">CONCATENATE($B$280,"-",M280)</f>
        <v>0-1</v>
      </c>
      <c r="O280" s="91">
        <f>COUNTIF(G280:G289,"&lt;&gt;**")</f>
        <v>0</v>
      </c>
    </row>
    <row r="281" spans="2:15" ht="67.150000000000006" hidden="1" customHeight="1" thickBot="1">
      <c r="B281" s="724"/>
      <c r="C281" s="564" t="str">
        <f>IFERROR(VLOOKUP(N281,'TABLA-DIA'!$B$2:$P$62,9,FALSE),"")</f>
        <v/>
      </c>
      <c r="D281" s="565" t="str">
        <f>IFERROR(VLOOKUP(N281,'TABLA-DIA'!$B$2:$P$62,4,FALSE),"")</f>
        <v/>
      </c>
      <c r="E281" s="566" t="str">
        <f>IFERROR(VLOOKUP(N281,'TABLA-DIA'!$B$2:$P$62,5,FALSE),"")</f>
        <v/>
      </c>
      <c r="F281" s="566" t="str">
        <f>IFERROR(VLOOKUP(N281,'TABLA-DIA'!$B$2:$P$62,6,FALSE),"")</f>
        <v/>
      </c>
      <c r="G281" s="544" t="str">
        <f>IFERROR(VLOOKUP(N281,'TABLA-DIA'!$B$2:$P$62,7,FALSE),"")</f>
        <v/>
      </c>
      <c r="H281" s="582" t="str">
        <f>IFERROR(VLOOKUP(N281,'TABLA-DIA'!$B$2:$P$62,10,FALSE),"")</f>
        <v/>
      </c>
      <c r="I281" s="548" t="str">
        <f>IFERROR(VLOOKUP(N281,'TABLA-DIA'!$B$2:$P$62,11,FALSE),"")</f>
        <v/>
      </c>
      <c r="J281" s="549" t="str">
        <f>IFERROR(VLOOKUP(N281,'TABLA-DIA'!$B$2:$P$62,12,FALSE),"")</f>
        <v/>
      </c>
      <c r="K281" s="557" t="str">
        <f>IFERROR(VLOOKUP(N281,'TABLA-DIA'!$B$2:$P$62,13,FALSE),"")</f>
        <v/>
      </c>
      <c r="L281" s="603" t="str">
        <f>IFERROR(IF(VLOOKUP(N281,'TABLA-DIA'!$B$2:$P$62,14,FALSE)="","",VLOOKUP(N281,'TABLA-DIA'!$B$2:$P$62,14,FALSE)),"")</f>
        <v/>
      </c>
      <c r="M281" s="590">
        <v>2</v>
      </c>
      <c r="N281" s="125" t="str">
        <f t="shared" si="28"/>
        <v>0-2</v>
      </c>
    </row>
    <row r="282" spans="2:15" ht="67.150000000000006" hidden="1" customHeight="1" thickBot="1">
      <c r="B282" s="724"/>
      <c r="C282" s="564" t="str">
        <f>IFERROR(VLOOKUP(N282,'TABLA-DIA'!$B$2:$P$62,9,FALSE),"")</f>
        <v/>
      </c>
      <c r="D282" s="565" t="str">
        <f>IFERROR(VLOOKUP(N282,'TABLA-DIA'!$B$2:$P$62,4,FALSE),"")</f>
        <v/>
      </c>
      <c r="E282" s="566" t="str">
        <f>IFERROR(VLOOKUP(N282,'TABLA-DIA'!$B$2:$P$62,5,FALSE),"")</f>
        <v/>
      </c>
      <c r="F282" s="566" t="str">
        <f>IFERROR(VLOOKUP(N282,'TABLA-DIA'!$B$2:$P$62,6,FALSE),"")</f>
        <v/>
      </c>
      <c r="G282" s="544" t="str">
        <f>IFERROR(VLOOKUP(N282,'TABLA-DIA'!$B$2:$P$62,7,FALSE),"")</f>
        <v/>
      </c>
      <c r="H282" s="582" t="str">
        <f>IFERROR(VLOOKUP(N282,'TABLA-DIA'!$B$2:$P$62,10,FALSE),"")</f>
        <v/>
      </c>
      <c r="I282" s="548" t="str">
        <f>IFERROR(VLOOKUP(N282,'TABLA-DIA'!$B$2:$P$62,11,FALSE),"")</f>
        <v/>
      </c>
      <c r="J282" s="549" t="str">
        <f>IFERROR(VLOOKUP(N282,'TABLA-DIA'!$B$2:$P$62,12,FALSE),"")</f>
        <v/>
      </c>
      <c r="K282" s="557" t="str">
        <f>IFERROR(VLOOKUP(N282,'TABLA-DIA'!$B$2:$P$62,13,FALSE),"")</f>
        <v/>
      </c>
      <c r="L282" s="603" t="str">
        <f>IFERROR(IF(VLOOKUP(N282,'TABLA-DIA'!$B$2:$P$62,14,FALSE)="","",VLOOKUP(N282,'TABLA-DIA'!$B$2:$P$62,14,FALSE)),"")</f>
        <v/>
      </c>
      <c r="M282" s="590">
        <v>3</v>
      </c>
      <c r="N282" s="125" t="str">
        <f t="shared" si="28"/>
        <v>0-3</v>
      </c>
    </row>
    <row r="283" spans="2:15" ht="67.150000000000006" hidden="1" customHeight="1" thickBot="1">
      <c r="B283" s="724"/>
      <c r="C283" s="564" t="str">
        <f>IFERROR(VLOOKUP(N283,'TABLA-DIA'!$B$2:$P$62,9,FALSE),"")</f>
        <v/>
      </c>
      <c r="D283" s="565" t="str">
        <f>IFERROR(VLOOKUP(N283,'TABLA-DIA'!$B$2:$P$62,4,FALSE),"")</f>
        <v/>
      </c>
      <c r="E283" s="566" t="str">
        <f>IFERROR(VLOOKUP(N283,'TABLA-DIA'!$B$2:$P$62,5,FALSE),"")</f>
        <v/>
      </c>
      <c r="F283" s="566" t="str">
        <f>IFERROR(VLOOKUP(N283,'TABLA-DIA'!$B$2:$P$62,6,FALSE),"")</f>
        <v/>
      </c>
      <c r="G283" s="544" t="str">
        <f>IFERROR(VLOOKUP(N283,'TABLA-DIA'!$B$2:$P$62,7,FALSE),"")</f>
        <v/>
      </c>
      <c r="H283" s="582" t="str">
        <f>IFERROR(VLOOKUP(N283,'TABLA-DIA'!$B$2:$P$62,10,FALSE),"")</f>
        <v/>
      </c>
      <c r="I283" s="548" t="str">
        <f>IFERROR(VLOOKUP(N283,'TABLA-DIA'!$B$2:$P$62,11,FALSE),"")</f>
        <v/>
      </c>
      <c r="J283" s="549" t="str">
        <f>IFERROR(VLOOKUP(N283,'TABLA-DIA'!$B$2:$P$62,12,FALSE),"")</f>
        <v/>
      </c>
      <c r="K283" s="557" t="str">
        <f>IFERROR(VLOOKUP(N283,'TABLA-DIA'!$B$2:$P$62,13,FALSE),"")</f>
        <v/>
      </c>
      <c r="L283" s="603" t="str">
        <f>IFERROR(IF(VLOOKUP(N283,'TABLA-DIA'!$B$2:$P$62,14,FALSE)="","",VLOOKUP(N283,'TABLA-DIA'!$B$2:$P$62,14,FALSE)),"")</f>
        <v/>
      </c>
      <c r="M283" s="590">
        <v>4</v>
      </c>
      <c r="N283" s="125" t="str">
        <f t="shared" si="28"/>
        <v>0-4</v>
      </c>
    </row>
    <row r="284" spans="2:15" ht="67.150000000000006" hidden="1" customHeight="1" thickBot="1">
      <c r="B284" s="724"/>
      <c r="C284" s="564" t="str">
        <f>IFERROR(VLOOKUP(N284,'TABLA-DIA'!$B$2:$P$62,9,FALSE),"")</f>
        <v/>
      </c>
      <c r="D284" s="565" t="str">
        <f>IFERROR(VLOOKUP(N284,'TABLA-DIA'!$B$2:$P$62,4,FALSE),"")</f>
        <v/>
      </c>
      <c r="E284" s="566" t="str">
        <f>IFERROR(VLOOKUP(N284,'TABLA-DIA'!$B$2:$P$62,5,FALSE),"")</f>
        <v/>
      </c>
      <c r="F284" s="566" t="str">
        <f>IFERROR(VLOOKUP(N284,'TABLA-DIA'!$B$2:$P$62,6,FALSE),"")</f>
        <v/>
      </c>
      <c r="G284" s="544" t="str">
        <f>IFERROR(VLOOKUP(N284,'TABLA-DIA'!$B$2:$P$62,7,FALSE),"")</f>
        <v/>
      </c>
      <c r="H284" s="582" t="str">
        <f>IFERROR(VLOOKUP(N284,'TABLA-DIA'!$B$2:$P$62,10,FALSE),"")</f>
        <v/>
      </c>
      <c r="I284" s="548" t="str">
        <f>IFERROR(VLOOKUP(N284,'TABLA-DIA'!$B$2:$P$62,11,FALSE),"")</f>
        <v/>
      </c>
      <c r="J284" s="549" t="str">
        <f>IFERROR(VLOOKUP(N284,'TABLA-DIA'!$B$2:$P$62,12,FALSE),"")</f>
        <v/>
      </c>
      <c r="K284" s="557" t="str">
        <f>IFERROR(VLOOKUP(N284,'TABLA-DIA'!$B$2:$P$62,13,FALSE),"")</f>
        <v/>
      </c>
      <c r="L284" s="603" t="str">
        <f>IFERROR(IF(VLOOKUP(N284,'TABLA-DIA'!$B$2:$P$62,14,FALSE)="","",VLOOKUP(N284,'TABLA-DIA'!$B$2:$P$62,14,FALSE)),"")</f>
        <v/>
      </c>
      <c r="M284" s="590">
        <v>5</v>
      </c>
      <c r="N284" s="125" t="str">
        <f t="shared" si="28"/>
        <v>0-5</v>
      </c>
    </row>
    <row r="285" spans="2:15" ht="67.150000000000006" hidden="1" customHeight="1" thickBot="1">
      <c r="B285" s="724"/>
      <c r="C285" s="564" t="str">
        <f>IFERROR(VLOOKUP(N285,'TABLA-DIA'!$B$2:$P$62,9,FALSE),"")</f>
        <v/>
      </c>
      <c r="D285" s="565" t="str">
        <f>IFERROR(VLOOKUP(N285,'TABLA-DIA'!$B$2:$P$62,4,FALSE),"")</f>
        <v/>
      </c>
      <c r="E285" s="566" t="str">
        <f>IFERROR(VLOOKUP(N285,'TABLA-DIA'!$B$2:$P$62,5,FALSE),"")</f>
        <v/>
      </c>
      <c r="F285" s="566" t="str">
        <f>IFERROR(VLOOKUP(N285,'TABLA-DIA'!$B$2:$P$62,6,FALSE),"")</f>
        <v/>
      </c>
      <c r="G285" s="544" t="str">
        <f>IFERROR(VLOOKUP(N285,'TABLA-DIA'!$B$2:$P$62,7,FALSE),"")</f>
        <v/>
      </c>
      <c r="H285" s="582" t="str">
        <f>IFERROR(VLOOKUP(N285,'TABLA-DIA'!$B$2:$P$62,10,FALSE),"")</f>
        <v/>
      </c>
      <c r="I285" s="548" t="str">
        <f>IFERROR(VLOOKUP(N285,'TABLA-DIA'!$B$2:$P$62,11,FALSE),"")</f>
        <v/>
      </c>
      <c r="J285" s="549" t="str">
        <f>IFERROR(VLOOKUP(N285,'TABLA-DIA'!$B$2:$P$62,12,FALSE),"")</f>
        <v/>
      </c>
      <c r="K285" s="557" t="str">
        <f>IFERROR(VLOOKUP(N285,'TABLA-DIA'!$B$2:$P$62,13,FALSE),"")</f>
        <v/>
      </c>
      <c r="L285" s="603" t="str">
        <f>IFERROR(IF(VLOOKUP(N285,'TABLA-DIA'!$B$2:$P$62,14,FALSE)="","",VLOOKUP(N285,'TABLA-DIA'!$B$2:$P$62,14,FALSE)),"")</f>
        <v/>
      </c>
      <c r="M285" s="590">
        <v>6</v>
      </c>
      <c r="N285" s="125" t="str">
        <f t="shared" si="28"/>
        <v>0-6</v>
      </c>
    </row>
    <row r="286" spans="2:15" ht="67.150000000000006" hidden="1" customHeight="1" thickBot="1">
      <c r="B286" s="724"/>
      <c r="C286" s="564" t="str">
        <f>IFERROR(VLOOKUP(N286,'TABLA-DIA'!$B$2:$P$62,9,FALSE),"")</f>
        <v/>
      </c>
      <c r="D286" s="565" t="str">
        <f>IFERROR(VLOOKUP(N286,'TABLA-DIA'!$B$2:$P$62,4,FALSE),"")</f>
        <v/>
      </c>
      <c r="E286" s="566" t="str">
        <f>IFERROR(VLOOKUP(N286,'TABLA-DIA'!$B$2:$P$62,5,FALSE),"")</f>
        <v/>
      </c>
      <c r="F286" s="566" t="str">
        <f>IFERROR(VLOOKUP(N286,'TABLA-DIA'!$B$2:$P$62,6,FALSE),"")</f>
        <v/>
      </c>
      <c r="G286" s="544" t="str">
        <f>IFERROR(VLOOKUP(N286,'TABLA-DIA'!$B$2:$P$62,7,FALSE),"")</f>
        <v/>
      </c>
      <c r="H286" s="582" t="str">
        <f>IFERROR(VLOOKUP(N286,'TABLA-DIA'!$B$2:$P$62,10,FALSE),"")</f>
        <v/>
      </c>
      <c r="I286" s="548" t="str">
        <f>IFERROR(VLOOKUP(N286,'TABLA-DIA'!$B$2:$P$62,11,FALSE),"")</f>
        <v/>
      </c>
      <c r="J286" s="549" t="str">
        <f>IFERROR(VLOOKUP(N286,'TABLA-DIA'!$B$2:$P$62,12,FALSE),"")</f>
        <v/>
      </c>
      <c r="K286" s="557" t="str">
        <f>IFERROR(VLOOKUP(N286,'TABLA-DIA'!$B$2:$P$62,13,FALSE),"")</f>
        <v/>
      </c>
      <c r="L286" s="603" t="str">
        <f>IFERROR(IF(VLOOKUP(N286,'TABLA-DIA'!$B$2:$P$62,14,FALSE)="","",VLOOKUP(N286,'TABLA-DIA'!$B$2:$P$62,14,FALSE)),"")</f>
        <v/>
      </c>
      <c r="M286" s="590">
        <v>7</v>
      </c>
      <c r="N286" s="125" t="str">
        <f t="shared" si="28"/>
        <v>0-7</v>
      </c>
    </row>
    <row r="287" spans="2:15" ht="67.150000000000006" hidden="1" customHeight="1" thickBot="1">
      <c r="B287" s="724"/>
      <c r="C287" s="564" t="str">
        <f>IFERROR(VLOOKUP(N287,'TABLA-DIA'!$B$2:$P$62,9,FALSE),"")</f>
        <v/>
      </c>
      <c r="D287" s="565" t="str">
        <f>IFERROR(VLOOKUP(N287,'TABLA-DIA'!$B$2:$P$62,4,FALSE),"")</f>
        <v/>
      </c>
      <c r="E287" s="566" t="str">
        <f>IFERROR(VLOOKUP(N287,'TABLA-DIA'!$B$2:$P$62,5,FALSE),"")</f>
        <v/>
      </c>
      <c r="F287" s="566" t="str">
        <f>IFERROR(VLOOKUP(N287,'TABLA-DIA'!$B$2:$P$62,6,FALSE),"")</f>
        <v/>
      </c>
      <c r="G287" s="544" t="str">
        <f>IFERROR(VLOOKUP(N287,'TABLA-DIA'!$B$2:$P$62,7,FALSE),"")</f>
        <v/>
      </c>
      <c r="H287" s="582" t="str">
        <f>IFERROR(VLOOKUP(N287,'TABLA-DIA'!$B$2:$P$62,10,FALSE),"")</f>
        <v/>
      </c>
      <c r="I287" s="548" t="str">
        <f>IFERROR(VLOOKUP(N287,'TABLA-DIA'!$B$2:$P$62,11,FALSE),"")</f>
        <v/>
      </c>
      <c r="J287" s="549" t="str">
        <f>IFERROR(VLOOKUP(N287,'TABLA-DIA'!$B$2:$P$62,12,FALSE),"")</f>
        <v/>
      </c>
      <c r="K287" s="557" t="str">
        <f>IFERROR(VLOOKUP(N287,'TABLA-DIA'!$B$2:$P$62,13,FALSE),"")</f>
        <v/>
      </c>
      <c r="L287" s="603" t="str">
        <f>IFERROR(IF(VLOOKUP(N287,'TABLA-DIA'!$B$2:$P$62,14,FALSE)="","",VLOOKUP(N287,'TABLA-DIA'!$B$2:$P$62,14,FALSE)),"")</f>
        <v/>
      </c>
      <c r="M287" s="590">
        <v>8</v>
      </c>
      <c r="N287" s="125" t="str">
        <f t="shared" si="28"/>
        <v>0-8</v>
      </c>
    </row>
    <row r="288" spans="2:15" ht="67.150000000000006" hidden="1" customHeight="1" thickBot="1">
      <c r="B288" s="724"/>
      <c r="C288" s="564" t="str">
        <f>IFERROR(VLOOKUP(N288,'TABLA-DIA'!$B$2:$P$62,9,FALSE),"")</f>
        <v/>
      </c>
      <c r="D288" s="565" t="str">
        <f>IFERROR(VLOOKUP(N288,'TABLA-DIA'!$B$2:$P$62,4,FALSE),"")</f>
        <v/>
      </c>
      <c r="E288" s="566" t="str">
        <f>IFERROR(VLOOKUP(N288,'TABLA-DIA'!$B$2:$P$62,5,FALSE),"")</f>
        <v/>
      </c>
      <c r="F288" s="566" t="str">
        <f>IFERROR(VLOOKUP(N288,'TABLA-DIA'!$B$2:$P$62,6,FALSE),"")</f>
        <v/>
      </c>
      <c r="G288" s="544" t="str">
        <f>IFERROR(VLOOKUP(N288,'TABLA-DIA'!$B$2:$P$62,7,FALSE),"")</f>
        <v/>
      </c>
      <c r="H288" s="582" t="str">
        <f>IFERROR(VLOOKUP(N288,'TABLA-DIA'!$B$2:$P$62,10,FALSE),"")</f>
        <v/>
      </c>
      <c r="I288" s="548" t="str">
        <f>IFERROR(VLOOKUP(N288,'TABLA-DIA'!$B$2:$P$62,11,FALSE),"")</f>
        <v/>
      </c>
      <c r="J288" s="549" t="str">
        <f>IFERROR(VLOOKUP(N288,'TABLA-DIA'!$B$2:$P$62,12,FALSE),"")</f>
        <v/>
      </c>
      <c r="K288" s="557" t="str">
        <f>IFERROR(VLOOKUP(N288,'TABLA-DIA'!$B$2:$P$62,13,FALSE),"")</f>
        <v/>
      </c>
      <c r="L288" s="603" t="str">
        <f>IFERROR(IF(VLOOKUP(N288,'TABLA-DIA'!$B$2:$P$62,14,FALSE)="","",VLOOKUP(N288,'TABLA-DIA'!$B$2:$P$62,14,FALSE)),"")</f>
        <v/>
      </c>
      <c r="M288" s="590">
        <v>9</v>
      </c>
      <c r="N288" s="125" t="str">
        <f t="shared" si="28"/>
        <v>0-9</v>
      </c>
    </row>
    <row r="289" spans="2:15" ht="67.150000000000006" hidden="1" customHeight="1" thickBot="1">
      <c r="B289" s="726"/>
      <c r="C289" s="573" t="str">
        <f>IFERROR(VLOOKUP(N289,'TABLA-DIA'!$B$2:$P$62,9,FALSE),"")</f>
        <v/>
      </c>
      <c r="D289" s="574" t="str">
        <f>IFERROR(VLOOKUP(N289,'TABLA-DIA'!$B$2:$P$62,4,FALSE),"")</f>
        <v/>
      </c>
      <c r="E289" s="575" t="str">
        <f>IFERROR(VLOOKUP(N289,'TABLA-DIA'!$B$2:$P$62,5,FALSE),"")</f>
        <v/>
      </c>
      <c r="F289" s="575" t="str">
        <f>IFERROR(VLOOKUP(N289,'TABLA-DIA'!$B$2:$P$62,6,FALSE),"")</f>
        <v/>
      </c>
      <c r="G289" s="544" t="str">
        <f>IFERROR(VLOOKUP(N289,'TABLA-DIA'!$B$2:$P$62,7,FALSE),"")</f>
        <v/>
      </c>
      <c r="H289" s="585" t="str">
        <f>IFERROR(VLOOKUP(N289,'TABLA-DIA'!$B$2:$P$62,10,FALSE),"")</f>
        <v/>
      </c>
      <c r="I289" s="554" t="str">
        <f>IFERROR(VLOOKUP(N289,'TABLA-DIA'!$B$2:$P$62,11,FALSE),"")</f>
        <v/>
      </c>
      <c r="J289" s="555" t="str">
        <f>IFERROR(VLOOKUP(N289,'TABLA-DIA'!$B$2:$P$62,12,FALSE),"")</f>
        <v/>
      </c>
      <c r="K289" s="560" t="str">
        <f>IFERROR(VLOOKUP(N289,'TABLA-DIA'!$B$2:$P$62,13,FALSE),"")</f>
        <v/>
      </c>
      <c r="L289" s="606" t="str">
        <f>IFERROR(IF(VLOOKUP(N289,'TABLA-DIA'!$B$2:$P$62,14,FALSE)="","",VLOOKUP(N289,'TABLA-DIA'!$B$2:$P$62,14,FALSE)),"")</f>
        <v/>
      </c>
      <c r="M289" s="592">
        <v>10</v>
      </c>
      <c r="N289" s="130" t="str">
        <f t="shared" si="28"/>
        <v>0-10</v>
      </c>
    </row>
    <row r="290" spans="2:15" ht="115.5" customHeight="1" thickBot="1">
      <c r="B290" s="723">
        <f>+'TABLA-DIA'!B167</f>
        <v>0</v>
      </c>
      <c r="C290" s="569" t="str">
        <f>IFERROR(VLOOKUP(N290,'TABLA-DIA'!$B$2:$P$62,9,FALSE),"")</f>
        <v/>
      </c>
      <c r="D290" s="570" t="str">
        <f>IFERROR(VLOOKUP(N290,'TABLA-DIA'!$B$2:$P$62,4,FALSE),"")</f>
        <v/>
      </c>
      <c r="E290" s="571" t="str">
        <f>IFERROR(VLOOKUP(N290,'TABLA-DIA'!$B$2:$P$62,5,FALSE),"")</f>
        <v/>
      </c>
      <c r="F290" s="571" t="str">
        <f>IFERROR(VLOOKUP(N290,'TABLA-DIA'!$B$2:$P$62,6,FALSE),"")</f>
        <v/>
      </c>
      <c r="G290" s="544" t="str">
        <f>IFERROR(VLOOKUP(N290,'TABLA-DIA'!$B$2:$P$62,7,FALSE),"")</f>
        <v/>
      </c>
      <c r="H290" s="584" t="str">
        <f>IFERROR(VLOOKUP(N290,'TABLA-DIA'!$B$2:$P$62,10,FALSE),"")</f>
        <v/>
      </c>
      <c r="I290" s="552" t="str">
        <f>IFERROR(VLOOKUP(N290,'TABLA-DIA'!$B$2:$P$62,11,FALSE),"")</f>
        <v/>
      </c>
      <c r="J290" s="553" t="str">
        <f>IFERROR(VLOOKUP(N290,'TABLA-DIA'!$B$2:$P$62,12,FALSE),"")</f>
        <v/>
      </c>
      <c r="K290" s="559" t="str">
        <f>IFERROR(VLOOKUP(N290,'TABLA-DIA'!$B$2:$P$62,13,FALSE),"")</f>
        <v/>
      </c>
      <c r="L290" s="605" t="str">
        <f>IFERROR(IF(VLOOKUP(N290,'TABLA-DIA'!$B$2:$P$62,14,FALSE)="","",VLOOKUP(N290,'TABLA-DIA'!$B$2:$P$62,14,FALSE)),"")</f>
        <v/>
      </c>
      <c r="M290" s="589">
        <v>1</v>
      </c>
      <c r="N290" s="98" t="str">
        <f t="shared" ref="N290:N299" si="29">CONCATENATE($B$290,"-",M290)</f>
        <v>0-1</v>
      </c>
      <c r="O290" s="91">
        <f>COUNTIF(G290:G299,"&lt;&gt;**")</f>
        <v>0</v>
      </c>
    </row>
    <row r="291" spans="2:15" ht="67.150000000000006" hidden="1" customHeight="1" thickBot="1">
      <c r="B291" s="724"/>
      <c r="C291" s="564" t="str">
        <f>IFERROR(VLOOKUP(N291,'TABLA-DIA'!$B$2:$P$62,9,FALSE),"")</f>
        <v/>
      </c>
      <c r="D291" s="565" t="str">
        <f>IFERROR(VLOOKUP(N291,'TABLA-DIA'!$B$2:$P$62,4,FALSE),"")</f>
        <v/>
      </c>
      <c r="E291" s="566" t="str">
        <f>IFERROR(VLOOKUP(N291,'TABLA-DIA'!$B$2:$P$62,5,FALSE),"")</f>
        <v/>
      </c>
      <c r="F291" s="566" t="str">
        <f>IFERROR(VLOOKUP(N291,'TABLA-DIA'!$B$2:$P$62,6,FALSE),"")</f>
        <v/>
      </c>
      <c r="G291" s="544" t="str">
        <f>IFERROR(VLOOKUP(N291,'TABLA-DIA'!$B$2:$P$62,7,FALSE),"")</f>
        <v/>
      </c>
      <c r="H291" s="582" t="str">
        <f>IFERROR(VLOOKUP(N291,'TABLA-DIA'!$B$2:$P$62,10,FALSE),"")</f>
        <v/>
      </c>
      <c r="I291" s="548" t="str">
        <f>IFERROR(VLOOKUP(N291,'TABLA-DIA'!$B$2:$P$62,11,FALSE),"")</f>
        <v/>
      </c>
      <c r="J291" s="548" t="str">
        <f>IFERROR(VLOOKUP(N291,'TABLA-DIA'!$B$2:$P$62,12,FALSE),"")</f>
        <v/>
      </c>
      <c r="K291" s="557" t="str">
        <f>IFERROR(VLOOKUP(N291,'TABLA-DIA'!$B$2:$P$62,13,FALSE),"")</f>
        <v/>
      </c>
      <c r="L291" s="603" t="str">
        <f>IFERROR(IF(VLOOKUP(N291,'TABLA-DIA'!$B$2:$P$62,14,FALSE)="","",VLOOKUP(N291,'TABLA-DIA'!$B$2:$P$62,14,FALSE)),"")</f>
        <v/>
      </c>
      <c r="M291" s="590">
        <v>2</v>
      </c>
      <c r="N291" s="125" t="str">
        <f t="shared" si="29"/>
        <v>0-2</v>
      </c>
    </row>
    <row r="292" spans="2:15" ht="67.150000000000006" hidden="1" customHeight="1" thickBot="1">
      <c r="B292" s="724"/>
      <c r="C292" s="564" t="str">
        <f>IFERROR(VLOOKUP(N292,'TABLA-DIA'!$B$2:$P$62,9,FALSE),"")</f>
        <v/>
      </c>
      <c r="D292" s="565" t="str">
        <f>IFERROR(VLOOKUP(N292,'TABLA-DIA'!$B$2:$P$62,4,FALSE),"")</f>
        <v/>
      </c>
      <c r="E292" s="566" t="str">
        <f>IFERROR(VLOOKUP(N292,'TABLA-DIA'!$B$2:$P$62,5,FALSE),"")</f>
        <v/>
      </c>
      <c r="F292" s="566" t="str">
        <f>IFERROR(VLOOKUP(N292,'TABLA-DIA'!$B$2:$P$62,6,FALSE),"")</f>
        <v/>
      </c>
      <c r="G292" s="544" t="str">
        <f>IFERROR(VLOOKUP(N292,'TABLA-DIA'!$B$2:$P$62,7,FALSE),"")</f>
        <v/>
      </c>
      <c r="H292" s="582" t="str">
        <f>IFERROR(VLOOKUP(N292,'TABLA-DIA'!$B$2:$P$62,10,FALSE),"")</f>
        <v/>
      </c>
      <c r="I292" s="548" t="str">
        <f>IFERROR(VLOOKUP(N292,'TABLA-DIA'!$B$2:$P$62,11,FALSE),"")</f>
        <v/>
      </c>
      <c r="J292" s="548" t="str">
        <f>IFERROR(VLOOKUP(N292,'TABLA-DIA'!$B$2:$P$62,12,FALSE),"")</f>
        <v/>
      </c>
      <c r="K292" s="557" t="str">
        <f>IFERROR(VLOOKUP(N292,'TABLA-DIA'!$B$2:$P$62,13,FALSE),"")</f>
        <v/>
      </c>
      <c r="L292" s="603" t="str">
        <f>IFERROR(IF(VLOOKUP(N292,'TABLA-DIA'!$B$2:$P$62,14,FALSE)="","",VLOOKUP(N292,'TABLA-DIA'!$B$2:$P$62,14,FALSE)),"")</f>
        <v/>
      </c>
      <c r="M292" s="590">
        <v>3</v>
      </c>
      <c r="N292" s="125" t="str">
        <f t="shared" si="29"/>
        <v>0-3</v>
      </c>
    </row>
    <row r="293" spans="2:15" ht="67.150000000000006" hidden="1" customHeight="1" thickBot="1">
      <c r="B293" s="724"/>
      <c r="C293" s="564" t="str">
        <f>IFERROR(VLOOKUP(N293,'TABLA-DIA'!$B$2:$P$62,9,FALSE),"")</f>
        <v/>
      </c>
      <c r="D293" s="565" t="str">
        <f>IFERROR(VLOOKUP(N293,'TABLA-DIA'!$B$2:$P$62,4,FALSE),"")</f>
        <v/>
      </c>
      <c r="E293" s="566" t="str">
        <f>IFERROR(VLOOKUP(N293,'TABLA-DIA'!$B$2:$P$62,5,FALSE),"")</f>
        <v/>
      </c>
      <c r="F293" s="566" t="str">
        <f>IFERROR(VLOOKUP(N293,'TABLA-DIA'!$B$2:$P$62,6,FALSE),"")</f>
        <v/>
      </c>
      <c r="G293" s="544" t="str">
        <f>IFERROR(VLOOKUP(N293,'TABLA-DIA'!$B$2:$P$62,7,FALSE),"")</f>
        <v/>
      </c>
      <c r="H293" s="582" t="str">
        <f>IFERROR(VLOOKUP(N293,'TABLA-DIA'!$B$2:$P$62,10,FALSE),"")</f>
        <v/>
      </c>
      <c r="I293" s="548" t="str">
        <f>IFERROR(VLOOKUP(N293,'TABLA-DIA'!$B$2:$P$62,11,FALSE),"")</f>
        <v/>
      </c>
      <c r="J293" s="548" t="str">
        <f>IFERROR(VLOOKUP(N293,'TABLA-DIA'!$B$2:$P$62,12,FALSE),"")</f>
        <v/>
      </c>
      <c r="K293" s="557" t="str">
        <f>IFERROR(VLOOKUP(N293,'TABLA-DIA'!$B$2:$P$62,13,FALSE),"")</f>
        <v/>
      </c>
      <c r="L293" s="603" t="str">
        <f>IFERROR(IF(VLOOKUP(N293,'TABLA-DIA'!$B$2:$P$62,14,FALSE)="","",VLOOKUP(N293,'TABLA-DIA'!$B$2:$P$62,14,FALSE)),"")</f>
        <v/>
      </c>
      <c r="M293" s="590">
        <v>4</v>
      </c>
      <c r="N293" s="125" t="str">
        <f t="shared" si="29"/>
        <v>0-4</v>
      </c>
    </row>
    <row r="294" spans="2:15" ht="67.150000000000006" hidden="1" customHeight="1" thickBot="1">
      <c r="B294" s="724"/>
      <c r="C294" s="564" t="str">
        <f>IFERROR(VLOOKUP(N294,'TABLA-DIA'!$B$2:$P$62,9,FALSE),"")</f>
        <v/>
      </c>
      <c r="D294" s="565" t="str">
        <f>IFERROR(VLOOKUP(N294,'TABLA-DIA'!$B$2:$P$62,4,FALSE),"")</f>
        <v/>
      </c>
      <c r="E294" s="566" t="str">
        <f>IFERROR(VLOOKUP(N294,'TABLA-DIA'!$B$2:$P$62,5,FALSE),"")</f>
        <v/>
      </c>
      <c r="F294" s="566" t="str">
        <f>IFERROR(VLOOKUP(N294,'TABLA-DIA'!$B$2:$P$62,6,FALSE),"")</f>
        <v/>
      </c>
      <c r="G294" s="544" t="str">
        <f>IFERROR(VLOOKUP(N294,'TABLA-DIA'!$B$2:$P$62,7,FALSE),"")</f>
        <v/>
      </c>
      <c r="H294" s="582" t="str">
        <f>IFERROR(VLOOKUP(N294,'TABLA-DIA'!$B$2:$P$62,10,FALSE),"")</f>
        <v/>
      </c>
      <c r="I294" s="548" t="str">
        <f>IFERROR(VLOOKUP(N294,'TABLA-DIA'!$B$2:$P$62,11,FALSE),"")</f>
        <v/>
      </c>
      <c r="J294" s="548" t="str">
        <f>IFERROR(VLOOKUP(N294,'TABLA-DIA'!$B$2:$P$62,12,FALSE),"")</f>
        <v/>
      </c>
      <c r="K294" s="557" t="str">
        <f>IFERROR(VLOOKUP(N294,'TABLA-DIA'!$B$2:$P$62,13,FALSE),"")</f>
        <v/>
      </c>
      <c r="L294" s="603" t="str">
        <f>IFERROR(IF(VLOOKUP(N294,'TABLA-DIA'!$B$2:$P$62,14,FALSE)="","",VLOOKUP(N294,'TABLA-DIA'!$B$2:$P$62,14,FALSE)),"")</f>
        <v/>
      </c>
      <c r="M294" s="590">
        <v>5</v>
      </c>
      <c r="N294" s="125" t="str">
        <f t="shared" si="29"/>
        <v>0-5</v>
      </c>
    </row>
    <row r="295" spans="2:15" ht="67.150000000000006" hidden="1" customHeight="1" thickBot="1">
      <c r="B295" s="724"/>
      <c r="C295" s="564" t="str">
        <f>IFERROR(VLOOKUP(N295,'TABLA-DIA'!$B$2:$P$62,9,FALSE),"")</f>
        <v/>
      </c>
      <c r="D295" s="565" t="str">
        <f>IFERROR(VLOOKUP(N295,'TABLA-DIA'!$B$2:$P$62,4,FALSE),"")</f>
        <v/>
      </c>
      <c r="E295" s="566" t="str">
        <f>IFERROR(VLOOKUP(N295,'TABLA-DIA'!$B$2:$P$62,5,FALSE),"")</f>
        <v/>
      </c>
      <c r="F295" s="566" t="str">
        <f>IFERROR(VLOOKUP(N295,'TABLA-DIA'!$B$2:$P$62,6,FALSE),"")</f>
        <v/>
      </c>
      <c r="G295" s="544" t="str">
        <f>IFERROR(VLOOKUP(N295,'TABLA-DIA'!$B$2:$P$62,7,FALSE),"")</f>
        <v/>
      </c>
      <c r="H295" s="582" t="str">
        <f>IFERROR(VLOOKUP(N295,'TABLA-DIA'!$B$2:$P$62,10,FALSE),"")</f>
        <v/>
      </c>
      <c r="I295" s="548" t="str">
        <f>IFERROR(VLOOKUP(N295,'TABLA-DIA'!$B$2:$P$62,11,FALSE),"")</f>
        <v/>
      </c>
      <c r="J295" s="548" t="str">
        <f>IFERROR(VLOOKUP(N295,'TABLA-DIA'!$B$2:$P$62,12,FALSE),"")</f>
        <v/>
      </c>
      <c r="K295" s="557" t="str">
        <f>IFERROR(VLOOKUP(N295,'TABLA-DIA'!$B$2:$P$62,13,FALSE),"")</f>
        <v/>
      </c>
      <c r="L295" s="603" t="str">
        <f>IFERROR(IF(VLOOKUP(N295,'TABLA-DIA'!$B$2:$P$62,14,FALSE)="","",VLOOKUP(N295,'TABLA-DIA'!$B$2:$P$62,14,FALSE)),"")</f>
        <v/>
      </c>
      <c r="M295" s="590">
        <v>6</v>
      </c>
      <c r="N295" s="125" t="str">
        <f t="shared" si="29"/>
        <v>0-6</v>
      </c>
    </row>
    <row r="296" spans="2:15" ht="67.150000000000006" hidden="1" customHeight="1" thickBot="1">
      <c r="B296" s="724"/>
      <c r="C296" s="564" t="str">
        <f>IFERROR(VLOOKUP(N296,'TABLA-DIA'!$B$2:$P$62,9,FALSE),"")</f>
        <v/>
      </c>
      <c r="D296" s="565" t="str">
        <f>IFERROR(VLOOKUP(N296,'TABLA-DIA'!$B$2:$P$62,4,FALSE),"")</f>
        <v/>
      </c>
      <c r="E296" s="566" t="str">
        <f>IFERROR(VLOOKUP(N296,'TABLA-DIA'!$B$2:$P$62,5,FALSE),"")</f>
        <v/>
      </c>
      <c r="F296" s="566" t="str">
        <f>IFERROR(VLOOKUP(N296,'TABLA-DIA'!$B$2:$P$62,6,FALSE),"")</f>
        <v/>
      </c>
      <c r="G296" s="544" t="str">
        <f>IFERROR(VLOOKUP(N296,'TABLA-DIA'!$B$2:$P$62,7,FALSE),"")</f>
        <v/>
      </c>
      <c r="H296" s="582" t="str">
        <f>IFERROR(VLOOKUP(N296,'TABLA-DIA'!$B$2:$P$62,10,FALSE),"")</f>
        <v/>
      </c>
      <c r="I296" s="548" t="str">
        <f>IFERROR(VLOOKUP(N296,'TABLA-DIA'!$B$2:$P$62,11,FALSE),"")</f>
        <v/>
      </c>
      <c r="J296" s="548" t="str">
        <f>IFERROR(VLOOKUP(N296,'TABLA-DIA'!$B$2:$P$62,12,FALSE),"")</f>
        <v/>
      </c>
      <c r="K296" s="557" t="str">
        <f>IFERROR(VLOOKUP(N296,'TABLA-DIA'!$B$2:$P$62,13,FALSE),"")</f>
        <v/>
      </c>
      <c r="L296" s="603" t="str">
        <f>IFERROR(IF(VLOOKUP(N296,'TABLA-DIA'!$B$2:$P$62,14,FALSE)="","",VLOOKUP(N296,'TABLA-DIA'!$B$2:$P$62,14,FALSE)),"")</f>
        <v/>
      </c>
      <c r="M296" s="590">
        <v>7</v>
      </c>
      <c r="N296" s="125" t="str">
        <f t="shared" si="29"/>
        <v>0-7</v>
      </c>
    </row>
    <row r="297" spans="2:15" ht="67.150000000000006" hidden="1" customHeight="1" thickBot="1">
      <c r="B297" s="724"/>
      <c r="C297" s="564" t="str">
        <f>IFERROR(VLOOKUP(N297,'TABLA-DIA'!$B$2:$P$62,9,FALSE),"")</f>
        <v/>
      </c>
      <c r="D297" s="565" t="str">
        <f>IFERROR(VLOOKUP(N297,'TABLA-DIA'!$B$2:$P$62,4,FALSE),"")</f>
        <v/>
      </c>
      <c r="E297" s="566" t="str">
        <f>IFERROR(VLOOKUP(N297,'TABLA-DIA'!$B$2:$P$62,5,FALSE),"")</f>
        <v/>
      </c>
      <c r="F297" s="566" t="str">
        <f>IFERROR(VLOOKUP(N297,'TABLA-DIA'!$B$2:$P$62,6,FALSE),"")</f>
        <v/>
      </c>
      <c r="G297" s="544" t="str">
        <f>IFERROR(VLOOKUP(N297,'TABLA-DIA'!$B$2:$P$62,7,FALSE),"")</f>
        <v/>
      </c>
      <c r="H297" s="582" t="str">
        <f>IFERROR(VLOOKUP(N297,'TABLA-DIA'!$B$2:$P$62,10,FALSE),"")</f>
        <v/>
      </c>
      <c r="I297" s="548" t="str">
        <f>IFERROR(VLOOKUP(N297,'TABLA-DIA'!$B$2:$P$62,11,FALSE),"")</f>
        <v/>
      </c>
      <c r="J297" s="548" t="str">
        <f>IFERROR(VLOOKUP(N297,'TABLA-DIA'!$B$2:$P$62,12,FALSE),"")</f>
        <v/>
      </c>
      <c r="K297" s="557" t="str">
        <f>IFERROR(VLOOKUP(N297,'TABLA-DIA'!$B$2:$P$62,13,FALSE),"")</f>
        <v/>
      </c>
      <c r="L297" s="603" t="str">
        <f>IFERROR(IF(VLOOKUP(N297,'TABLA-DIA'!$B$2:$P$62,14,FALSE)="","",VLOOKUP(N297,'TABLA-DIA'!$B$2:$P$62,14,FALSE)),"")</f>
        <v/>
      </c>
      <c r="M297" s="590">
        <v>8</v>
      </c>
      <c r="N297" s="125" t="str">
        <f t="shared" si="29"/>
        <v>0-8</v>
      </c>
    </row>
    <row r="298" spans="2:15" ht="67.150000000000006" hidden="1" customHeight="1" thickBot="1">
      <c r="B298" s="724"/>
      <c r="C298" s="564" t="str">
        <f>IFERROR(VLOOKUP(N298,'TABLA-DIA'!$B$2:$P$62,9,FALSE),"")</f>
        <v/>
      </c>
      <c r="D298" s="565" t="str">
        <f>IFERROR(VLOOKUP(N298,'TABLA-DIA'!$B$2:$P$62,4,FALSE),"")</f>
        <v/>
      </c>
      <c r="E298" s="566" t="str">
        <f>IFERROR(VLOOKUP(N298,'TABLA-DIA'!$B$2:$P$62,5,FALSE),"")</f>
        <v/>
      </c>
      <c r="F298" s="566" t="str">
        <f>IFERROR(VLOOKUP(N298,'TABLA-DIA'!$B$2:$P$62,6,FALSE),"")</f>
        <v/>
      </c>
      <c r="G298" s="544" t="str">
        <f>IFERROR(VLOOKUP(N298,'TABLA-DIA'!$B$2:$P$62,7,FALSE),"")</f>
        <v/>
      </c>
      <c r="H298" s="582" t="str">
        <f>IFERROR(VLOOKUP(N298,'TABLA-DIA'!$B$2:$P$62,10,FALSE),"")</f>
        <v/>
      </c>
      <c r="I298" s="548" t="str">
        <f>IFERROR(VLOOKUP(N298,'TABLA-DIA'!$B$2:$P$62,11,FALSE),"")</f>
        <v/>
      </c>
      <c r="J298" s="548" t="str">
        <f>IFERROR(VLOOKUP(N298,'TABLA-DIA'!$B$2:$P$62,12,FALSE),"")</f>
        <v/>
      </c>
      <c r="K298" s="557" t="str">
        <f>IFERROR(VLOOKUP(N298,'TABLA-DIA'!$B$2:$P$62,13,FALSE),"")</f>
        <v/>
      </c>
      <c r="L298" s="603" t="str">
        <f>IFERROR(IF(VLOOKUP(N298,'TABLA-DIA'!$B$2:$P$62,14,FALSE)="","",VLOOKUP(N298,'TABLA-DIA'!$B$2:$P$62,14,FALSE)),"")</f>
        <v/>
      </c>
      <c r="M298" s="590">
        <v>9</v>
      </c>
      <c r="N298" s="125" t="str">
        <f t="shared" si="29"/>
        <v>0-9</v>
      </c>
    </row>
    <row r="299" spans="2:15" ht="67.150000000000006" hidden="1" customHeight="1" thickBot="1">
      <c r="B299" s="726"/>
      <c r="C299" s="573" t="str">
        <f>IFERROR(VLOOKUP(N299,'TABLA-DIA'!$B$2:$P$62,9,FALSE),"")</f>
        <v/>
      </c>
      <c r="D299" s="574" t="str">
        <f>IFERROR(VLOOKUP(N299,'TABLA-DIA'!$B$2:$P$62,4,FALSE),"")</f>
        <v/>
      </c>
      <c r="E299" s="575" t="str">
        <f>IFERROR(VLOOKUP(N299,'TABLA-DIA'!$B$2:$P$62,5,FALSE),"")</f>
        <v/>
      </c>
      <c r="F299" s="575" t="str">
        <f>IFERROR(VLOOKUP(N299,'TABLA-DIA'!$B$2:$P$62,6,FALSE),"")</f>
        <v/>
      </c>
      <c r="G299" s="544" t="str">
        <f>IFERROR(VLOOKUP(N299,'TABLA-DIA'!$B$2:$P$62,7,FALSE),"")</f>
        <v/>
      </c>
      <c r="H299" s="585" t="str">
        <f>IFERROR(VLOOKUP(N299,'TABLA-DIA'!$B$2:$P$62,10,FALSE),"")</f>
        <v/>
      </c>
      <c r="I299" s="554" t="str">
        <f>IFERROR(VLOOKUP(N299,'TABLA-DIA'!$B$2:$P$62,11,FALSE),"")</f>
        <v/>
      </c>
      <c r="J299" s="554" t="str">
        <f>IFERROR(VLOOKUP(N299,'TABLA-DIA'!$B$2:$P$62,12,FALSE),"")</f>
        <v/>
      </c>
      <c r="K299" s="560" t="str">
        <f>IFERROR(VLOOKUP(N299,'TABLA-DIA'!$B$2:$P$62,13,FALSE),"")</f>
        <v/>
      </c>
      <c r="L299" s="606" t="str">
        <f>IFERROR(IF(VLOOKUP(N299,'TABLA-DIA'!$B$2:$P$62,14,FALSE)="","",VLOOKUP(N299,'TABLA-DIA'!$B$2:$P$62,14,FALSE)),"")</f>
        <v/>
      </c>
      <c r="M299" s="592">
        <v>10</v>
      </c>
      <c r="N299" s="130" t="str">
        <f t="shared" si="29"/>
        <v>0-10</v>
      </c>
    </row>
    <row r="300" spans="2:15" ht="108.75" customHeight="1" thickBot="1">
      <c r="B300" s="723">
        <f>+'TABLA-DIA'!B168</f>
        <v>0</v>
      </c>
      <c r="C300" s="569" t="str">
        <f>IFERROR(VLOOKUP(N300,'TABLA-DIA'!$B$2:$P$62,9,FALSE),"")</f>
        <v/>
      </c>
      <c r="D300" s="570" t="str">
        <f>IFERROR(VLOOKUP(N300,'TABLA-DIA'!$B$2:$P$62,4,FALSE),"")</f>
        <v/>
      </c>
      <c r="E300" s="571" t="str">
        <f>IFERROR(VLOOKUP(N300,'TABLA-DIA'!$B$2:$P$62,5,FALSE),"")</f>
        <v/>
      </c>
      <c r="F300" s="571" t="str">
        <f>IFERROR(VLOOKUP(N300,'TABLA-DIA'!$B$2:$P$62,6,FALSE),"")</f>
        <v/>
      </c>
      <c r="G300" s="544" t="str">
        <f>IFERROR(VLOOKUP(N300,'TABLA-DIA'!$B$2:$P$62,7,FALSE),"")</f>
        <v/>
      </c>
      <c r="H300" s="584" t="str">
        <f>IFERROR(VLOOKUP(N300,'TABLA-DIA'!$B$2:$P$62,10,FALSE),"")</f>
        <v/>
      </c>
      <c r="I300" s="552" t="str">
        <f>IFERROR(VLOOKUP(N300,'TABLA-DIA'!$B$2:$P$62,11,FALSE),"")</f>
        <v/>
      </c>
      <c r="J300" s="552" t="str">
        <f>IFERROR(VLOOKUP(N300,'TABLA-DIA'!$B$2:$P$62,12,FALSE),"")</f>
        <v/>
      </c>
      <c r="K300" s="559" t="str">
        <f>IFERROR(VLOOKUP(N300,'TABLA-DIA'!$B$2:$P$62,13,FALSE),"")</f>
        <v/>
      </c>
      <c r="L300" s="605" t="str">
        <f>IFERROR(IF(VLOOKUP(N300,'TABLA-DIA'!$B$2:$P$62,14,FALSE)="","",VLOOKUP(N300,'TABLA-DIA'!$B$2:$P$62,14,FALSE)),"")</f>
        <v/>
      </c>
      <c r="M300" s="589">
        <v>1</v>
      </c>
      <c r="N300" s="98" t="str">
        <f t="shared" ref="N300:N309" si="30">CONCATENATE($B$300,"-",M300)</f>
        <v>0-1</v>
      </c>
      <c r="O300" s="91">
        <f>COUNTIF(G300:G309,"&lt;&gt;**")</f>
        <v>0</v>
      </c>
    </row>
    <row r="301" spans="2:15" ht="67.150000000000006" hidden="1" customHeight="1" thickBot="1">
      <c r="B301" s="724"/>
      <c r="C301" s="564" t="str">
        <f>IFERROR(VLOOKUP(N301,'TABLA-DIA'!$B$2:$P$62,9,FALSE),"")</f>
        <v/>
      </c>
      <c r="D301" s="565" t="str">
        <f>IFERROR(VLOOKUP(N301,'TABLA-DIA'!$B$2:$P$62,4,FALSE),"")</f>
        <v/>
      </c>
      <c r="E301" s="566" t="str">
        <f>IFERROR(VLOOKUP(N301,'TABLA-DIA'!$B$2:$P$62,5,FALSE),"")</f>
        <v/>
      </c>
      <c r="F301" s="566" t="str">
        <f>IFERROR(VLOOKUP(N301,'TABLA-DIA'!$B$2:$P$62,6,FALSE),"")</f>
        <v/>
      </c>
      <c r="G301" s="544" t="str">
        <f>IFERROR(VLOOKUP(N301,'TABLA-DIA'!$B$2:$P$62,7,FALSE),"")</f>
        <v/>
      </c>
      <c r="H301" s="582" t="str">
        <f>IFERROR(VLOOKUP(N301,'TABLA-DIA'!$B$2:$P$62,10,FALSE),"")</f>
        <v/>
      </c>
      <c r="I301" s="548" t="str">
        <f>IFERROR(VLOOKUP(N301,'TABLA-DIA'!$B$2:$P$62,11,FALSE),"")</f>
        <v/>
      </c>
      <c r="J301" s="548" t="str">
        <f>IFERROR(VLOOKUP(N301,'TABLA-DIA'!$B$2:$P$62,12,FALSE),"")</f>
        <v/>
      </c>
      <c r="K301" s="557" t="str">
        <f>IFERROR(VLOOKUP(N301,'TABLA-DIA'!$B$2:$P$62,13,FALSE),"")</f>
        <v/>
      </c>
      <c r="L301" s="603" t="str">
        <f>IFERROR(IF(VLOOKUP(N301,'TABLA-DIA'!$B$2:$P$62,14,FALSE)="","",VLOOKUP(N301,'TABLA-DIA'!$B$2:$P$62,14,FALSE)),"")</f>
        <v/>
      </c>
      <c r="M301" s="590">
        <v>2</v>
      </c>
      <c r="N301" s="125" t="str">
        <f t="shared" si="30"/>
        <v>0-2</v>
      </c>
    </row>
    <row r="302" spans="2:15" ht="67.150000000000006" hidden="1" customHeight="1" thickBot="1">
      <c r="B302" s="724"/>
      <c r="C302" s="564" t="str">
        <f>IFERROR(VLOOKUP(N302,'TABLA-DIA'!$B$2:$P$62,9,FALSE),"")</f>
        <v/>
      </c>
      <c r="D302" s="565" t="str">
        <f>IFERROR(VLOOKUP(N302,'TABLA-DIA'!$B$2:$P$62,4,FALSE),"")</f>
        <v/>
      </c>
      <c r="E302" s="566" t="str">
        <f>IFERROR(VLOOKUP(N302,'TABLA-DIA'!$B$2:$P$62,5,FALSE),"")</f>
        <v/>
      </c>
      <c r="F302" s="566" t="str">
        <f>IFERROR(VLOOKUP(N302,'TABLA-DIA'!$B$2:$P$62,6,FALSE),"")</f>
        <v/>
      </c>
      <c r="G302" s="544" t="str">
        <f>IFERROR(VLOOKUP(N302,'TABLA-DIA'!$B$2:$P$62,7,FALSE),"")</f>
        <v/>
      </c>
      <c r="H302" s="582" t="str">
        <f>IFERROR(VLOOKUP(N302,'TABLA-DIA'!$B$2:$P$62,10,FALSE),"")</f>
        <v/>
      </c>
      <c r="I302" s="548" t="str">
        <f>IFERROR(VLOOKUP(N302,'TABLA-DIA'!$B$2:$P$62,11,FALSE),"")</f>
        <v/>
      </c>
      <c r="J302" s="548" t="str">
        <f>IFERROR(VLOOKUP(N302,'TABLA-DIA'!$B$2:$P$62,12,FALSE),"")</f>
        <v/>
      </c>
      <c r="K302" s="557" t="str">
        <f>IFERROR(VLOOKUP(N302,'TABLA-DIA'!$B$2:$P$62,13,FALSE),"")</f>
        <v/>
      </c>
      <c r="L302" s="603" t="str">
        <f>IFERROR(IF(VLOOKUP(N302,'TABLA-DIA'!$B$2:$P$62,14,FALSE)="","",VLOOKUP(N302,'TABLA-DIA'!$B$2:$P$62,14,FALSE)),"")</f>
        <v/>
      </c>
      <c r="M302" s="590">
        <v>3</v>
      </c>
      <c r="N302" s="125" t="str">
        <f t="shared" si="30"/>
        <v>0-3</v>
      </c>
    </row>
    <row r="303" spans="2:15" ht="67.150000000000006" hidden="1" customHeight="1" thickBot="1">
      <c r="B303" s="724"/>
      <c r="C303" s="564" t="str">
        <f>IFERROR(VLOOKUP(N303,'TABLA-DIA'!$B$2:$P$62,9,FALSE),"")</f>
        <v/>
      </c>
      <c r="D303" s="565" t="str">
        <f>IFERROR(VLOOKUP(N303,'TABLA-DIA'!$B$2:$P$62,4,FALSE),"")</f>
        <v/>
      </c>
      <c r="E303" s="566" t="str">
        <f>IFERROR(VLOOKUP(N303,'TABLA-DIA'!$B$2:$P$62,5,FALSE),"")</f>
        <v/>
      </c>
      <c r="F303" s="566" t="str">
        <f>IFERROR(VLOOKUP(N303,'TABLA-DIA'!$B$2:$P$62,6,FALSE),"")</f>
        <v/>
      </c>
      <c r="G303" s="544" t="str">
        <f>IFERROR(VLOOKUP(N303,'TABLA-DIA'!$B$2:$P$62,7,FALSE),"")</f>
        <v/>
      </c>
      <c r="H303" s="582" t="str">
        <f>IFERROR(VLOOKUP(N303,'TABLA-DIA'!$B$2:$P$62,10,FALSE),"")</f>
        <v/>
      </c>
      <c r="I303" s="548" t="str">
        <f>IFERROR(VLOOKUP(N303,'TABLA-DIA'!$B$2:$P$62,11,FALSE),"")</f>
        <v/>
      </c>
      <c r="J303" s="548" t="str">
        <f>IFERROR(VLOOKUP(N303,'TABLA-DIA'!$B$2:$P$62,12,FALSE),"")</f>
        <v/>
      </c>
      <c r="K303" s="557" t="str">
        <f>IFERROR(VLOOKUP(N303,'TABLA-DIA'!$B$2:$P$62,13,FALSE),"")</f>
        <v/>
      </c>
      <c r="L303" s="603" t="str">
        <f>IFERROR(IF(VLOOKUP(N303,'TABLA-DIA'!$B$2:$P$62,14,FALSE)="","",VLOOKUP(N303,'TABLA-DIA'!$B$2:$P$62,14,FALSE)),"")</f>
        <v/>
      </c>
      <c r="M303" s="590">
        <v>4</v>
      </c>
      <c r="N303" s="125" t="str">
        <f t="shared" si="30"/>
        <v>0-4</v>
      </c>
    </row>
    <row r="304" spans="2:15" ht="67.150000000000006" hidden="1" customHeight="1" thickBot="1">
      <c r="B304" s="724"/>
      <c r="C304" s="564" t="str">
        <f>IFERROR(VLOOKUP(N304,'TABLA-DIA'!$B$2:$P$62,9,FALSE),"")</f>
        <v/>
      </c>
      <c r="D304" s="565" t="str">
        <f>IFERROR(VLOOKUP(N304,'TABLA-DIA'!$B$2:$P$62,4,FALSE),"")</f>
        <v/>
      </c>
      <c r="E304" s="566" t="str">
        <f>IFERROR(VLOOKUP(N304,'TABLA-DIA'!$B$2:$P$62,5,FALSE),"")</f>
        <v/>
      </c>
      <c r="F304" s="566" t="str">
        <f>IFERROR(VLOOKUP(N304,'TABLA-DIA'!$B$2:$P$62,6,FALSE),"")</f>
        <v/>
      </c>
      <c r="G304" s="544" t="str">
        <f>IFERROR(VLOOKUP(N304,'TABLA-DIA'!$B$2:$P$62,7,FALSE),"")</f>
        <v/>
      </c>
      <c r="H304" s="582" t="str">
        <f>IFERROR(VLOOKUP(N304,'TABLA-DIA'!$B$2:$P$62,10,FALSE),"")</f>
        <v/>
      </c>
      <c r="I304" s="548" t="str">
        <f>IFERROR(VLOOKUP(N304,'TABLA-DIA'!$B$2:$P$62,11,FALSE),"")</f>
        <v/>
      </c>
      <c r="J304" s="548" t="str">
        <f>IFERROR(VLOOKUP(N304,'TABLA-DIA'!$B$2:$P$62,12,FALSE),"")</f>
        <v/>
      </c>
      <c r="K304" s="557" t="str">
        <f>IFERROR(VLOOKUP(N304,'TABLA-DIA'!$B$2:$P$62,13,FALSE),"")</f>
        <v/>
      </c>
      <c r="L304" s="603" t="str">
        <f>IFERROR(IF(VLOOKUP(N304,'TABLA-DIA'!$B$2:$P$62,14,FALSE)="","",VLOOKUP(N304,'TABLA-DIA'!$B$2:$P$62,14,FALSE)),"")</f>
        <v/>
      </c>
      <c r="M304" s="590">
        <v>5</v>
      </c>
      <c r="N304" s="125" t="str">
        <f t="shared" si="30"/>
        <v>0-5</v>
      </c>
    </row>
    <row r="305" spans="2:15" ht="67.150000000000006" hidden="1" customHeight="1" thickBot="1">
      <c r="B305" s="724"/>
      <c r="C305" s="564" t="str">
        <f>IFERROR(VLOOKUP(N305,'TABLA-DIA'!$B$2:$P$62,9,FALSE),"")</f>
        <v/>
      </c>
      <c r="D305" s="565" t="str">
        <f>IFERROR(VLOOKUP(N305,'TABLA-DIA'!$B$2:$P$62,4,FALSE),"")</f>
        <v/>
      </c>
      <c r="E305" s="566" t="str">
        <f>IFERROR(VLOOKUP(N305,'TABLA-DIA'!$B$2:$P$62,5,FALSE),"")</f>
        <v/>
      </c>
      <c r="F305" s="566" t="str">
        <f>IFERROR(VLOOKUP(N305,'TABLA-DIA'!$B$2:$P$62,6,FALSE),"")</f>
        <v/>
      </c>
      <c r="G305" s="544" t="str">
        <f>IFERROR(VLOOKUP(N305,'TABLA-DIA'!$B$2:$P$62,7,FALSE),"")</f>
        <v/>
      </c>
      <c r="H305" s="582" t="str">
        <f>IFERROR(VLOOKUP(N305,'TABLA-DIA'!$B$2:$P$62,10,FALSE),"")</f>
        <v/>
      </c>
      <c r="I305" s="548" t="str">
        <f>IFERROR(VLOOKUP(N305,'TABLA-DIA'!$B$2:$P$62,11,FALSE),"")</f>
        <v/>
      </c>
      <c r="J305" s="548" t="str">
        <f>IFERROR(VLOOKUP(N305,'TABLA-DIA'!$B$2:$P$62,12,FALSE),"")</f>
        <v/>
      </c>
      <c r="K305" s="557" t="str">
        <f>IFERROR(VLOOKUP(N305,'TABLA-DIA'!$B$2:$P$62,13,FALSE),"")</f>
        <v/>
      </c>
      <c r="L305" s="603" t="str">
        <f>IFERROR(IF(VLOOKUP(N305,'TABLA-DIA'!$B$2:$P$62,14,FALSE)="","",VLOOKUP(N305,'TABLA-DIA'!$B$2:$P$62,14,FALSE)),"")</f>
        <v/>
      </c>
      <c r="M305" s="590">
        <v>6</v>
      </c>
      <c r="N305" s="125" t="str">
        <f t="shared" si="30"/>
        <v>0-6</v>
      </c>
    </row>
    <row r="306" spans="2:15" ht="67.150000000000006" hidden="1" customHeight="1" thickBot="1">
      <c r="B306" s="724"/>
      <c r="C306" s="564" t="str">
        <f>IFERROR(VLOOKUP(N306,'TABLA-DIA'!$B$2:$P$62,9,FALSE),"")</f>
        <v/>
      </c>
      <c r="D306" s="565" t="str">
        <f>IFERROR(VLOOKUP(N306,'TABLA-DIA'!$B$2:$P$62,4,FALSE),"")</f>
        <v/>
      </c>
      <c r="E306" s="566" t="str">
        <f>IFERROR(VLOOKUP(N306,'TABLA-DIA'!$B$2:$P$62,5,FALSE),"")</f>
        <v/>
      </c>
      <c r="F306" s="566" t="str">
        <f>IFERROR(VLOOKUP(N306,'TABLA-DIA'!$B$2:$P$62,6,FALSE),"")</f>
        <v/>
      </c>
      <c r="G306" s="544" t="str">
        <f>IFERROR(VLOOKUP(N306,'TABLA-DIA'!$B$2:$P$62,7,FALSE),"")</f>
        <v/>
      </c>
      <c r="H306" s="582" t="str">
        <f>IFERROR(VLOOKUP(N306,'TABLA-DIA'!$B$2:$P$62,10,FALSE),"")</f>
        <v/>
      </c>
      <c r="I306" s="548" t="str">
        <f>IFERROR(VLOOKUP(N306,'TABLA-DIA'!$B$2:$P$62,11,FALSE),"")</f>
        <v/>
      </c>
      <c r="J306" s="548" t="str">
        <f>IFERROR(VLOOKUP(N306,'TABLA-DIA'!$B$2:$P$62,12,FALSE),"")</f>
        <v/>
      </c>
      <c r="K306" s="557" t="str">
        <f>IFERROR(VLOOKUP(N306,'TABLA-DIA'!$B$2:$P$62,13,FALSE),"")</f>
        <v/>
      </c>
      <c r="L306" s="603" t="str">
        <f>IFERROR(IF(VLOOKUP(N306,'TABLA-DIA'!$B$2:$P$62,14,FALSE)="","",VLOOKUP(N306,'TABLA-DIA'!$B$2:$P$62,14,FALSE)),"")</f>
        <v/>
      </c>
      <c r="M306" s="590">
        <v>7</v>
      </c>
      <c r="N306" s="125" t="str">
        <f t="shared" si="30"/>
        <v>0-7</v>
      </c>
    </row>
    <row r="307" spans="2:15" ht="67.150000000000006" hidden="1" customHeight="1" thickBot="1">
      <c r="B307" s="724"/>
      <c r="C307" s="564" t="str">
        <f>IFERROR(VLOOKUP(N307,'TABLA-DIA'!$B$2:$P$62,9,FALSE),"")</f>
        <v/>
      </c>
      <c r="D307" s="565" t="str">
        <f>IFERROR(VLOOKUP(N307,'TABLA-DIA'!$B$2:$P$62,4,FALSE),"")</f>
        <v/>
      </c>
      <c r="E307" s="566" t="str">
        <f>IFERROR(VLOOKUP(N307,'TABLA-DIA'!$B$2:$P$62,5,FALSE),"")</f>
        <v/>
      </c>
      <c r="F307" s="566" t="str">
        <f>IFERROR(VLOOKUP(N307,'TABLA-DIA'!$B$2:$P$62,6,FALSE),"")</f>
        <v/>
      </c>
      <c r="G307" s="544" t="str">
        <f>IFERROR(VLOOKUP(N307,'TABLA-DIA'!$B$2:$P$62,7,FALSE),"")</f>
        <v/>
      </c>
      <c r="H307" s="582" t="str">
        <f>IFERROR(VLOOKUP(N307,'TABLA-DIA'!$B$2:$P$62,10,FALSE),"")</f>
        <v/>
      </c>
      <c r="I307" s="548" t="str">
        <f>IFERROR(VLOOKUP(N307,'TABLA-DIA'!$B$2:$P$62,11,FALSE),"")</f>
        <v/>
      </c>
      <c r="J307" s="548" t="str">
        <f>IFERROR(VLOOKUP(N307,'TABLA-DIA'!$B$2:$P$62,12,FALSE),"")</f>
        <v/>
      </c>
      <c r="K307" s="557" t="str">
        <f>IFERROR(VLOOKUP(N307,'TABLA-DIA'!$B$2:$P$62,13,FALSE),"")</f>
        <v/>
      </c>
      <c r="L307" s="603" t="str">
        <f>IFERROR(IF(VLOOKUP(N307,'TABLA-DIA'!$B$2:$P$62,14,FALSE)="","",VLOOKUP(N307,'TABLA-DIA'!$B$2:$P$62,14,FALSE)),"")</f>
        <v/>
      </c>
      <c r="M307" s="590">
        <v>8</v>
      </c>
      <c r="N307" s="125" t="str">
        <f t="shared" si="30"/>
        <v>0-8</v>
      </c>
    </row>
    <row r="308" spans="2:15" ht="67.150000000000006" hidden="1" customHeight="1" thickBot="1">
      <c r="B308" s="724"/>
      <c r="C308" s="564" t="str">
        <f>IFERROR(VLOOKUP(N308,'TABLA-DIA'!$B$2:$P$62,9,FALSE),"")</f>
        <v/>
      </c>
      <c r="D308" s="565" t="str">
        <f>IFERROR(VLOOKUP(N308,'TABLA-DIA'!$B$2:$P$62,4,FALSE),"")</f>
        <v/>
      </c>
      <c r="E308" s="566" t="str">
        <f>IFERROR(VLOOKUP(N308,'TABLA-DIA'!$B$2:$P$62,5,FALSE),"")</f>
        <v/>
      </c>
      <c r="F308" s="566" t="str">
        <f>IFERROR(VLOOKUP(N308,'TABLA-DIA'!$B$2:$P$62,6,FALSE),"")</f>
        <v/>
      </c>
      <c r="G308" s="544" t="str">
        <f>IFERROR(VLOOKUP(N308,'TABLA-DIA'!$B$2:$P$62,7,FALSE),"")</f>
        <v/>
      </c>
      <c r="H308" s="582" t="str">
        <f>IFERROR(VLOOKUP(N308,'TABLA-DIA'!$B$2:$P$62,10,FALSE),"")</f>
        <v/>
      </c>
      <c r="I308" s="548" t="str">
        <f>IFERROR(VLOOKUP(N308,'TABLA-DIA'!$B$2:$P$62,11,FALSE),"")</f>
        <v/>
      </c>
      <c r="J308" s="548" t="str">
        <f>IFERROR(VLOOKUP(N308,'TABLA-DIA'!$B$2:$P$62,12,FALSE),"")</f>
        <v/>
      </c>
      <c r="K308" s="557" t="str">
        <f>IFERROR(VLOOKUP(N308,'TABLA-DIA'!$B$2:$P$62,13,FALSE),"")</f>
        <v/>
      </c>
      <c r="L308" s="603" t="str">
        <f>IFERROR(IF(VLOOKUP(N308,'TABLA-DIA'!$B$2:$P$62,14,FALSE)="","",VLOOKUP(N308,'TABLA-DIA'!$B$2:$P$62,14,FALSE)),"")</f>
        <v/>
      </c>
      <c r="M308" s="590">
        <v>9</v>
      </c>
      <c r="N308" s="125" t="str">
        <f t="shared" si="30"/>
        <v>0-9</v>
      </c>
    </row>
    <row r="309" spans="2:15" ht="67.150000000000006" hidden="1" customHeight="1" thickBot="1">
      <c r="B309" s="726"/>
      <c r="C309" s="573" t="str">
        <f>IFERROR(VLOOKUP(N309,'TABLA-DIA'!$B$2:$P$62,9,FALSE),"")</f>
        <v/>
      </c>
      <c r="D309" s="574" t="str">
        <f>IFERROR(VLOOKUP(N309,'TABLA-DIA'!$B$2:$P$62,4,FALSE),"")</f>
        <v/>
      </c>
      <c r="E309" s="575" t="str">
        <f>IFERROR(VLOOKUP(N309,'TABLA-DIA'!$B$2:$P$62,5,FALSE),"")</f>
        <v/>
      </c>
      <c r="F309" s="575" t="str">
        <f>IFERROR(VLOOKUP(N309,'TABLA-DIA'!$B$2:$P$62,6,FALSE),"")</f>
        <v/>
      </c>
      <c r="G309" s="544" t="str">
        <f>IFERROR(VLOOKUP(N309,'TABLA-DIA'!$B$2:$P$62,7,FALSE),"")</f>
        <v/>
      </c>
      <c r="H309" s="585" t="str">
        <f>IFERROR(VLOOKUP(N309,'TABLA-DIA'!$B$2:$P$62,10,FALSE),"")</f>
        <v/>
      </c>
      <c r="I309" s="554" t="str">
        <f>IFERROR(VLOOKUP(N309,'TABLA-DIA'!$B$2:$P$62,11,FALSE),"")</f>
        <v/>
      </c>
      <c r="J309" s="554" t="str">
        <f>IFERROR(VLOOKUP(N309,'TABLA-DIA'!$B$2:$P$62,12,FALSE),"")</f>
        <v/>
      </c>
      <c r="K309" s="560" t="str">
        <f>IFERROR(VLOOKUP(N309,'TABLA-DIA'!$B$2:$P$62,13,FALSE),"")</f>
        <v/>
      </c>
      <c r="L309" s="606" t="str">
        <f>IFERROR(IF(VLOOKUP(N309,'TABLA-DIA'!$B$2:$P$62,14,FALSE)="","",VLOOKUP(N309,'TABLA-DIA'!$B$2:$P$62,14,FALSE)),"")</f>
        <v/>
      </c>
      <c r="M309" s="591">
        <v>10</v>
      </c>
      <c r="N309" s="135" t="str">
        <f t="shared" si="30"/>
        <v>0-10</v>
      </c>
    </row>
    <row r="310" spans="2:15" ht="107.25" customHeight="1" thickBot="1">
      <c r="B310" s="723">
        <f>+'TABLA-DIA'!B169</f>
        <v>0</v>
      </c>
      <c r="C310" s="569" t="str">
        <f>IFERROR(VLOOKUP(N310,'TABLA-DIA'!$B$2:$P$62,9,FALSE),"")</f>
        <v/>
      </c>
      <c r="D310" s="570" t="str">
        <f>IFERROR(VLOOKUP(N310,'TABLA-DIA'!$B$2:$P$62,4,FALSE),"")</f>
        <v/>
      </c>
      <c r="E310" s="571" t="str">
        <f>IFERROR(VLOOKUP(N310,'TABLA-DIA'!$B$2:$P$62,5,FALSE),"")</f>
        <v/>
      </c>
      <c r="F310" s="571" t="str">
        <f>IFERROR(VLOOKUP(N310,'TABLA-DIA'!$B$2:$P$62,6,FALSE),"")</f>
        <v/>
      </c>
      <c r="G310" s="544" t="str">
        <f>IFERROR(VLOOKUP(N310,'TABLA-DIA'!$B$2:$P$62,7,FALSE),"")</f>
        <v/>
      </c>
      <c r="H310" s="584" t="str">
        <f>IFERROR(VLOOKUP(N310,'TABLA-DIA'!$B$2:$P$62,10,FALSE),"")</f>
        <v/>
      </c>
      <c r="I310" s="552" t="str">
        <f>IFERROR(VLOOKUP(N310,'TABLA-DIA'!$B$2:$P$62,11,FALSE),"")</f>
        <v/>
      </c>
      <c r="J310" s="553" t="str">
        <f>IFERROR(VLOOKUP(N310,'TABLA-DIA'!$B$2:$P$62,12,FALSE),"")</f>
        <v/>
      </c>
      <c r="K310" s="559" t="str">
        <f>IFERROR(VLOOKUP(N310,'TABLA-DIA'!$B$2:$P$62,13,FALSE),"")</f>
        <v/>
      </c>
      <c r="L310" s="605" t="str">
        <f>IFERROR(IF(VLOOKUP(N310,'TABLA-DIA'!$B$2:$P$62,14,FALSE)="","",VLOOKUP(N310,'TABLA-DIA'!$B$2:$P$62,14,FALSE)),"")</f>
        <v/>
      </c>
      <c r="M310" s="593">
        <v>1</v>
      </c>
      <c r="N310" s="157" t="str">
        <f t="shared" ref="N310:N319" si="31">CONCATENATE($B$310,"-",M310)</f>
        <v>0-1</v>
      </c>
      <c r="O310" s="91">
        <f>COUNTIF(G310:G319,"&lt;&gt;**")</f>
        <v>0</v>
      </c>
    </row>
    <row r="311" spans="2:15" ht="67.150000000000006" hidden="1" customHeight="1" thickBot="1">
      <c r="B311" s="724"/>
      <c r="C311" s="564" t="str">
        <f>IFERROR(VLOOKUP(N311,'TABLA-DIA'!$B$2:$P$62,9,FALSE),"")</f>
        <v/>
      </c>
      <c r="D311" s="565" t="str">
        <f>IFERROR(VLOOKUP(N311,'TABLA-DIA'!$B$2:$P$62,4,FALSE),"")</f>
        <v/>
      </c>
      <c r="E311" s="566" t="str">
        <f>IFERROR(VLOOKUP(N311,'TABLA-DIA'!$B$2:$P$62,5,FALSE),"")</f>
        <v/>
      </c>
      <c r="F311" s="566" t="str">
        <f>IFERROR(VLOOKUP(N311,'TABLA-DIA'!$B$2:$P$62,6,FALSE),"")</f>
        <v/>
      </c>
      <c r="G311" s="544" t="str">
        <f>IFERROR(VLOOKUP(N311,'TABLA-DIA'!$B$2:$P$62,7,FALSE),"")</f>
        <v/>
      </c>
      <c r="H311" s="582" t="str">
        <f>IFERROR(VLOOKUP(N311,'TABLA-DIA'!$B$2:$P$62,10,FALSE),"")</f>
        <v/>
      </c>
      <c r="I311" s="548" t="str">
        <f>IFERROR(VLOOKUP(N311,'TABLA-DIA'!$B$2:$P$62,11,FALSE),"")</f>
        <v/>
      </c>
      <c r="J311" s="553" t="str">
        <f>IFERROR(VLOOKUP(N311,'TABLA-DIA'!$B$2:$P$62,12,FALSE),"")</f>
        <v/>
      </c>
      <c r="K311" s="557" t="str">
        <f>IFERROR(VLOOKUP(N311,'TABLA-DIA'!$B$2:$P$62,13,FALSE),"")</f>
        <v/>
      </c>
      <c r="L311" s="603" t="str">
        <f>IFERROR(IF(VLOOKUP(N311,'TABLA-DIA'!$B$2:$P$62,14,FALSE)="","",VLOOKUP(N311,'TABLA-DIA'!$B$2:$P$62,14,FALSE)),"")</f>
        <v/>
      </c>
      <c r="M311" s="590">
        <v>2</v>
      </c>
      <c r="N311" s="436" t="str">
        <f t="shared" si="31"/>
        <v>0-2</v>
      </c>
    </row>
    <row r="312" spans="2:15" ht="67.150000000000006" hidden="1" customHeight="1" thickBot="1">
      <c r="B312" s="724"/>
      <c r="C312" s="564" t="str">
        <f>IFERROR(VLOOKUP(N312,'TABLA-DIA'!$B$2:$P$62,9,FALSE),"")</f>
        <v/>
      </c>
      <c r="D312" s="565" t="str">
        <f>IFERROR(VLOOKUP(N312,'TABLA-DIA'!$B$2:$P$62,4,FALSE),"")</f>
        <v/>
      </c>
      <c r="E312" s="566" t="str">
        <f>IFERROR(VLOOKUP(N312,'TABLA-DIA'!$B$2:$P$62,5,FALSE),"")</f>
        <v/>
      </c>
      <c r="F312" s="566" t="str">
        <f>IFERROR(VLOOKUP(N312,'TABLA-DIA'!$B$2:$P$62,6,FALSE),"")</f>
        <v/>
      </c>
      <c r="G312" s="544" t="str">
        <f>IFERROR(VLOOKUP(N312,'TABLA-DIA'!$B$2:$P$62,7,FALSE),"")</f>
        <v/>
      </c>
      <c r="H312" s="582" t="str">
        <f>IFERROR(VLOOKUP(N312,'TABLA-DIA'!$B$2:$P$62,10,FALSE),"")</f>
        <v/>
      </c>
      <c r="I312" s="548" t="str">
        <f>IFERROR(VLOOKUP(N312,'TABLA-DIA'!$B$2:$P$62,11,FALSE),"")</f>
        <v/>
      </c>
      <c r="J312" s="553" t="str">
        <f>IFERROR(VLOOKUP(N312,'TABLA-DIA'!$B$2:$P$62,12,FALSE),"")</f>
        <v/>
      </c>
      <c r="K312" s="557" t="str">
        <f>IFERROR(VLOOKUP(N312,'TABLA-DIA'!$B$2:$P$62,13,FALSE),"")</f>
        <v/>
      </c>
      <c r="L312" s="603" t="str">
        <f>IFERROR(IF(VLOOKUP(N312,'TABLA-DIA'!$B$2:$P$62,14,FALSE)="","",VLOOKUP(N312,'TABLA-DIA'!$B$2:$P$62,14,FALSE)),"")</f>
        <v/>
      </c>
      <c r="M312" s="590">
        <v>3</v>
      </c>
      <c r="N312" s="436" t="str">
        <f t="shared" si="31"/>
        <v>0-3</v>
      </c>
    </row>
    <row r="313" spans="2:15" ht="67.150000000000006" hidden="1" customHeight="1" thickBot="1">
      <c r="B313" s="724"/>
      <c r="C313" s="564" t="str">
        <f>IFERROR(VLOOKUP(N313,'TABLA-DIA'!$B$2:$P$62,9,FALSE),"")</f>
        <v/>
      </c>
      <c r="D313" s="565" t="str">
        <f>IFERROR(VLOOKUP(N313,'TABLA-DIA'!$B$2:$P$62,4,FALSE),"")</f>
        <v/>
      </c>
      <c r="E313" s="566" t="str">
        <f>IFERROR(VLOOKUP(N313,'TABLA-DIA'!$B$2:$P$62,5,FALSE),"")</f>
        <v/>
      </c>
      <c r="F313" s="566" t="str">
        <f>IFERROR(VLOOKUP(N313,'TABLA-DIA'!$B$2:$P$62,6,FALSE),"")</f>
        <v/>
      </c>
      <c r="G313" s="544" t="str">
        <f>IFERROR(VLOOKUP(N313,'TABLA-DIA'!$B$2:$P$62,7,FALSE),"")</f>
        <v/>
      </c>
      <c r="H313" s="582" t="str">
        <f>IFERROR(VLOOKUP(N313,'TABLA-DIA'!$B$2:$P$62,10,FALSE),"")</f>
        <v/>
      </c>
      <c r="I313" s="548" t="str">
        <f>IFERROR(VLOOKUP(N313,'TABLA-DIA'!$B$2:$P$62,11,FALSE),"")</f>
        <v/>
      </c>
      <c r="J313" s="553" t="str">
        <f>IFERROR(VLOOKUP(N313,'TABLA-DIA'!$B$2:$P$62,12,FALSE),"")</f>
        <v/>
      </c>
      <c r="K313" s="557" t="str">
        <f>IFERROR(VLOOKUP(N313,'TABLA-DIA'!$B$2:$P$62,13,FALSE),"")</f>
        <v/>
      </c>
      <c r="L313" s="603" t="str">
        <f>IFERROR(IF(VLOOKUP(N313,'TABLA-DIA'!$B$2:$P$62,14,FALSE)="","",VLOOKUP(N313,'TABLA-DIA'!$B$2:$P$62,14,FALSE)),"")</f>
        <v/>
      </c>
      <c r="M313" s="590">
        <v>4</v>
      </c>
      <c r="N313" s="436" t="str">
        <f t="shared" si="31"/>
        <v>0-4</v>
      </c>
    </row>
    <row r="314" spans="2:15" ht="67.150000000000006" hidden="1" customHeight="1" thickBot="1">
      <c r="B314" s="724"/>
      <c r="C314" s="564" t="str">
        <f>IFERROR(VLOOKUP(N314,'TABLA-DIA'!$B$2:$P$62,9,FALSE),"")</f>
        <v/>
      </c>
      <c r="D314" s="565" t="str">
        <f>IFERROR(VLOOKUP(N314,'TABLA-DIA'!$B$2:$P$62,4,FALSE),"")</f>
        <v/>
      </c>
      <c r="E314" s="566" t="str">
        <f>IFERROR(VLOOKUP(N314,'TABLA-DIA'!$B$2:$P$62,5,FALSE),"")</f>
        <v/>
      </c>
      <c r="F314" s="566" t="str">
        <f>IFERROR(VLOOKUP(N314,'TABLA-DIA'!$B$2:$P$62,6,FALSE),"")</f>
        <v/>
      </c>
      <c r="G314" s="544" t="str">
        <f>IFERROR(VLOOKUP(N314,'TABLA-DIA'!$B$2:$P$62,7,FALSE),"")</f>
        <v/>
      </c>
      <c r="H314" s="582" t="str">
        <f>IFERROR(VLOOKUP(N314,'TABLA-DIA'!$B$2:$P$62,10,FALSE),"")</f>
        <v/>
      </c>
      <c r="I314" s="548" t="str">
        <f>IFERROR(VLOOKUP(N314,'TABLA-DIA'!$B$2:$P$62,11,FALSE),"")</f>
        <v/>
      </c>
      <c r="J314" s="553" t="str">
        <f>IFERROR(VLOOKUP(N314,'TABLA-DIA'!$B$2:$P$62,12,FALSE),"")</f>
        <v/>
      </c>
      <c r="K314" s="557" t="str">
        <f>IFERROR(VLOOKUP(N314,'TABLA-DIA'!$B$2:$P$62,13,FALSE),"")</f>
        <v/>
      </c>
      <c r="L314" s="603" t="str">
        <f>IFERROR(IF(VLOOKUP(N314,'TABLA-DIA'!$B$2:$P$62,14,FALSE)="","",VLOOKUP(N314,'TABLA-DIA'!$B$2:$P$62,14,FALSE)),"")</f>
        <v/>
      </c>
      <c r="M314" s="590">
        <v>5</v>
      </c>
      <c r="N314" s="436" t="str">
        <f t="shared" si="31"/>
        <v>0-5</v>
      </c>
    </row>
    <row r="315" spans="2:15" ht="67.150000000000006" hidden="1" customHeight="1" thickBot="1">
      <c r="B315" s="724"/>
      <c r="C315" s="564" t="str">
        <f>IFERROR(VLOOKUP(N315,'TABLA-DIA'!$B$2:$P$62,9,FALSE),"")</f>
        <v/>
      </c>
      <c r="D315" s="565" t="str">
        <f>IFERROR(VLOOKUP(N315,'TABLA-DIA'!$B$2:$P$62,4,FALSE),"")</f>
        <v/>
      </c>
      <c r="E315" s="566" t="str">
        <f>IFERROR(VLOOKUP(N315,'TABLA-DIA'!$B$2:$P$62,5,FALSE),"")</f>
        <v/>
      </c>
      <c r="F315" s="566" t="str">
        <f>IFERROR(VLOOKUP(N315,'TABLA-DIA'!$B$2:$P$62,6,FALSE),"")</f>
        <v/>
      </c>
      <c r="G315" s="544" t="str">
        <f>IFERROR(VLOOKUP(N315,'TABLA-DIA'!$B$2:$P$62,7,FALSE),"")</f>
        <v/>
      </c>
      <c r="H315" s="582" t="str">
        <f>IFERROR(VLOOKUP(N315,'TABLA-DIA'!$B$2:$P$62,10,FALSE),"")</f>
        <v/>
      </c>
      <c r="I315" s="548" t="str">
        <f>IFERROR(VLOOKUP(N315,'TABLA-DIA'!$B$2:$P$62,11,FALSE),"")</f>
        <v/>
      </c>
      <c r="J315" s="553" t="str">
        <f>IFERROR(VLOOKUP(N315,'TABLA-DIA'!$B$2:$P$62,12,FALSE),"")</f>
        <v/>
      </c>
      <c r="K315" s="557" t="str">
        <f>IFERROR(VLOOKUP(N315,'TABLA-DIA'!$B$2:$P$62,13,FALSE),"")</f>
        <v/>
      </c>
      <c r="L315" s="603" t="str">
        <f>IFERROR(IF(VLOOKUP(N315,'TABLA-DIA'!$B$2:$P$62,14,FALSE)="","",VLOOKUP(N315,'TABLA-DIA'!$B$2:$P$62,14,FALSE)),"")</f>
        <v/>
      </c>
      <c r="M315" s="590">
        <v>6</v>
      </c>
      <c r="N315" s="436" t="str">
        <f t="shared" si="31"/>
        <v>0-6</v>
      </c>
    </row>
    <row r="316" spans="2:15" ht="67.150000000000006" hidden="1" customHeight="1" thickBot="1">
      <c r="B316" s="724"/>
      <c r="C316" s="564" t="str">
        <f>IFERROR(VLOOKUP(N316,'TABLA-DIA'!$B$2:$P$62,9,FALSE),"")</f>
        <v/>
      </c>
      <c r="D316" s="565" t="str">
        <f>IFERROR(VLOOKUP(N316,'TABLA-DIA'!$B$2:$P$62,4,FALSE),"")</f>
        <v/>
      </c>
      <c r="E316" s="566" t="str">
        <f>IFERROR(VLOOKUP(N316,'TABLA-DIA'!$B$2:$P$62,5,FALSE),"")</f>
        <v/>
      </c>
      <c r="F316" s="566" t="str">
        <f>IFERROR(VLOOKUP(N316,'TABLA-DIA'!$B$2:$P$62,6,FALSE),"")</f>
        <v/>
      </c>
      <c r="G316" s="544" t="str">
        <f>IFERROR(VLOOKUP(N316,'TABLA-DIA'!$B$2:$P$62,7,FALSE),"")</f>
        <v/>
      </c>
      <c r="H316" s="582" t="str">
        <f>IFERROR(VLOOKUP(N316,'TABLA-DIA'!$B$2:$P$62,10,FALSE),"")</f>
        <v/>
      </c>
      <c r="I316" s="548" t="str">
        <f>IFERROR(VLOOKUP(N316,'TABLA-DIA'!$B$2:$P$62,11,FALSE),"")</f>
        <v/>
      </c>
      <c r="J316" s="553" t="str">
        <f>IFERROR(VLOOKUP(N316,'TABLA-DIA'!$B$2:$P$62,12,FALSE),"")</f>
        <v/>
      </c>
      <c r="K316" s="557" t="str">
        <f>IFERROR(VLOOKUP(N316,'TABLA-DIA'!$B$2:$P$62,13,FALSE),"")</f>
        <v/>
      </c>
      <c r="L316" s="603" t="str">
        <f>IFERROR(IF(VLOOKUP(N316,'TABLA-DIA'!$B$2:$P$62,14,FALSE)="","",VLOOKUP(N316,'TABLA-DIA'!$B$2:$P$62,14,FALSE)),"")</f>
        <v/>
      </c>
      <c r="M316" s="590">
        <v>7</v>
      </c>
      <c r="N316" s="436" t="str">
        <f t="shared" si="31"/>
        <v>0-7</v>
      </c>
    </row>
    <row r="317" spans="2:15" ht="67.150000000000006" hidden="1" customHeight="1" thickBot="1">
      <c r="B317" s="724"/>
      <c r="C317" s="564" t="str">
        <f>IFERROR(VLOOKUP(N317,'TABLA-DIA'!$B$2:$P$62,9,FALSE),"")</f>
        <v/>
      </c>
      <c r="D317" s="565" t="str">
        <f>IFERROR(VLOOKUP(N317,'TABLA-DIA'!$B$2:$P$62,4,FALSE),"")</f>
        <v/>
      </c>
      <c r="E317" s="566" t="str">
        <f>IFERROR(VLOOKUP(N317,'TABLA-DIA'!$B$2:$P$62,5,FALSE),"")</f>
        <v/>
      </c>
      <c r="F317" s="566" t="str">
        <f>IFERROR(VLOOKUP(N317,'TABLA-DIA'!$B$2:$P$62,6,FALSE),"")</f>
        <v/>
      </c>
      <c r="G317" s="544" t="str">
        <f>IFERROR(VLOOKUP(N317,'TABLA-DIA'!$B$2:$P$62,7,FALSE),"")</f>
        <v/>
      </c>
      <c r="H317" s="582" t="str">
        <f>IFERROR(VLOOKUP(N317,'TABLA-DIA'!$B$2:$P$62,10,FALSE),"")</f>
        <v/>
      </c>
      <c r="I317" s="548" t="str">
        <f>IFERROR(VLOOKUP(N317,'TABLA-DIA'!$B$2:$P$62,11,FALSE),"")</f>
        <v/>
      </c>
      <c r="J317" s="553" t="str">
        <f>IFERROR(VLOOKUP(N317,'TABLA-DIA'!$B$2:$P$62,12,FALSE),"")</f>
        <v/>
      </c>
      <c r="K317" s="557" t="str">
        <f>IFERROR(VLOOKUP(N317,'TABLA-DIA'!$B$2:$P$62,13,FALSE),"")</f>
        <v/>
      </c>
      <c r="L317" s="603" t="str">
        <f>IFERROR(IF(VLOOKUP(N317,'TABLA-DIA'!$B$2:$P$62,14,FALSE)="","",VLOOKUP(N317,'TABLA-DIA'!$B$2:$P$62,14,FALSE)),"")</f>
        <v/>
      </c>
      <c r="M317" s="590">
        <v>8</v>
      </c>
      <c r="N317" s="436" t="str">
        <f t="shared" si="31"/>
        <v>0-8</v>
      </c>
    </row>
    <row r="318" spans="2:15" ht="67.150000000000006" hidden="1" customHeight="1" thickBot="1">
      <c r="B318" s="724"/>
      <c r="C318" s="564" t="str">
        <f>IFERROR(VLOOKUP(N318,'TABLA-DIA'!$B$2:$P$62,9,FALSE),"")</f>
        <v/>
      </c>
      <c r="D318" s="565" t="str">
        <f>IFERROR(VLOOKUP(N318,'TABLA-DIA'!$B$2:$P$62,4,FALSE),"")</f>
        <v/>
      </c>
      <c r="E318" s="566" t="str">
        <f>IFERROR(VLOOKUP(N318,'TABLA-DIA'!$B$2:$P$62,5,FALSE),"")</f>
        <v/>
      </c>
      <c r="F318" s="566" t="str">
        <f>IFERROR(VLOOKUP(N318,'TABLA-DIA'!$B$2:$P$62,6,FALSE),"")</f>
        <v/>
      </c>
      <c r="G318" s="544" t="str">
        <f>IFERROR(VLOOKUP(N318,'TABLA-DIA'!$B$2:$P$62,7,FALSE),"")</f>
        <v/>
      </c>
      <c r="H318" s="582" t="str">
        <f>IFERROR(VLOOKUP(N318,'TABLA-DIA'!$B$2:$P$62,10,FALSE),"")</f>
        <v/>
      </c>
      <c r="I318" s="548" t="str">
        <f>IFERROR(VLOOKUP(N318,'TABLA-DIA'!$B$2:$P$62,11,FALSE),"")</f>
        <v/>
      </c>
      <c r="J318" s="553" t="str">
        <f>IFERROR(VLOOKUP(N318,'TABLA-DIA'!$B$2:$P$62,12,FALSE),"")</f>
        <v/>
      </c>
      <c r="K318" s="557" t="str">
        <f>IFERROR(VLOOKUP(N318,'TABLA-DIA'!$B$2:$P$62,13,FALSE),"")</f>
        <v/>
      </c>
      <c r="L318" s="603" t="str">
        <f>IFERROR(IF(VLOOKUP(N318,'TABLA-DIA'!$B$2:$P$62,14,FALSE)="","",VLOOKUP(N318,'TABLA-DIA'!$B$2:$P$62,14,FALSE)),"")</f>
        <v/>
      </c>
      <c r="M318" s="590">
        <v>9</v>
      </c>
      <c r="N318" s="436" t="str">
        <f t="shared" si="31"/>
        <v>0-9</v>
      </c>
    </row>
    <row r="319" spans="2:15" ht="67.150000000000006" hidden="1" customHeight="1" thickBot="1">
      <c r="B319" s="726"/>
      <c r="C319" s="573" t="str">
        <f>IFERROR(VLOOKUP(N319,'TABLA-DIA'!$B$2:$P$62,9,FALSE),"")</f>
        <v/>
      </c>
      <c r="D319" s="574" t="str">
        <f>IFERROR(VLOOKUP(N319,'TABLA-DIA'!$B$2:$P$62,4,FALSE),"")</f>
        <v/>
      </c>
      <c r="E319" s="575" t="str">
        <f>IFERROR(VLOOKUP(N319,'TABLA-DIA'!$B$2:$P$62,5,FALSE),"")</f>
        <v/>
      </c>
      <c r="F319" s="575" t="str">
        <f>IFERROR(VLOOKUP(N319,'TABLA-DIA'!$B$2:$P$62,6,FALSE),"")</f>
        <v/>
      </c>
      <c r="G319" s="544" t="str">
        <f>IFERROR(VLOOKUP(N319,'TABLA-DIA'!$B$2:$P$62,7,FALSE),"")</f>
        <v/>
      </c>
      <c r="H319" s="585" t="str">
        <f>IFERROR(VLOOKUP(N319,'TABLA-DIA'!$B$2:$P$62,10,FALSE),"")</f>
        <v/>
      </c>
      <c r="I319" s="554" t="str">
        <f>IFERROR(VLOOKUP(N319,'TABLA-DIA'!$B$2:$P$62,11,FALSE),"")</f>
        <v/>
      </c>
      <c r="J319" s="553" t="str">
        <f>IFERROR(VLOOKUP(N319,'TABLA-DIA'!$B$2:$P$62,12,FALSE),"")</f>
        <v/>
      </c>
      <c r="K319" s="560" t="str">
        <f>IFERROR(VLOOKUP(N319,'TABLA-DIA'!$B$2:$P$62,13,FALSE),"")</f>
        <v/>
      </c>
      <c r="L319" s="606" t="str">
        <f>IFERROR(IF(VLOOKUP(N319,'TABLA-DIA'!$B$2:$P$62,14,FALSE)="","",VLOOKUP(N319,'TABLA-DIA'!$B$2:$P$62,14,FALSE)),"")</f>
        <v/>
      </c>
      <c r="M319" s="594">
        <v>10</v>
      </c>
      <c r="N319" s="438" t="str">
        <f t="shared" si="31"/>
        <v>0-10</v>
      </c>
    </row>
    <row r="320" spans="2:15" ht="141.75" customHeight="1" thickBot="1">
      <c r="B320" s="723">
        <f>+'TABLA-DIA'!B170</f>
        <v>0</v>
      </c>
      <c r="C320" s="569" t="str">
        <f>IFERROR(VLOOKUP(N320,'TABLA-DIA'!$B$2:$P$62,9,FALSE),"")</f>
        <v/>
      </c>
      <c r="D320" s="570" t="str">
        <f>IFERROR(VLOOKUP(N320,'TABLA-DIA'!$B$2:$P$62,4,FALSE),"")</f>
        <v/>
      </c>
      <c r="E320" s="571" t="str">
        <f>IFERROR(VLOOKUP(N320,'TABLA-DIA'!$B$2:$P$62,5,FALSE),"")</f>
        <v/>
      </c>
      <c r="F320" s="571" t="str">
        <f>IFERROR(VLOOKUP(N320,'TABLA-DIA'!$B$2:$P$62,6,FALSE),"")</f>
        <v/>
      </c>
      <c r="G320" s="544" t="str">
        <f>IFERROR(VLOOKUP(N320,'TABLA-DIA'!$B$2:$P$62,7,FALSE),"")</f>
        <v/>
      </c>
      <c r="H320" s="584" t="str">
        <f>IFERROR(VLOOKUP(N320,'TABLA-DIA'!$B$2:$P$62,10,FALSE),"")</f>
        <v/>
      </c>
      <c r="I320" s="552" t="str">
        <f>IFERROR(VLOOKUP(N320,'TABLA-DIA'!$B$2:$P$62,11,FALSE),"")</f>
        <v/>
      </c>
      <c r="J320" s="553" t="str">
        <f>IFERROR(VLOOKUP(N320,'TABLA-DIA'!$B$2:$P$62,12,FALSE),"")</f>
        <v/>
      </c>
      <c r="K320" s="559" t="str">
        <f>IFERROR(VLOOKUP(N320,'TABLA-DIA'!$B$2:$P$62,13,FALSE),"")</f>
        <v/>
      </c>
      <c r="L320" s="605" t="str">
        <f>IFERROR(IF(VLOOKUP(N320,'TABLA-DIA'!$B$2:$P$62,14,FALSE)="","",VLOOKUP(N320,'TABLA-DIA'!$B$2:$P$62,14,FALSE)),"")</f>
        <v/>
      </c>
      <c r="M320" s="593">
        <v>1</v>
      </c>
      <c r="N320" s="157" t="str">
        <f t="shared" ref="N320:N329" si="32">CONCATENATE($B$320,"-",M320)</f>
        <v>0-1</v>
      </c>
      <c r="O320" s="91">
        <f>COUNTIF(G320:G329,"&lt;&gt;**")</f>
        <v>0</v>
      </c>
    </row>
    <row r="321" spans="2:21" ht="67.150000000000006" hidden="1" customHeight="1" thickBot="1">
      <c r="B321" s="724"/>
      <c r="C321" s="564" t="str">
        <f>IFERROR(VLOOKUP(N321,'TABLA-DIA'!$B$2:$P$62,9,FALSE),"")</f>
        <v/>
      </c>
      <c r="D321" s="565" t="str">
        <f>IFERROR(VLOOKUP(N321,'TABLA-DIA'!$B$2:$P$62,4,FALSE),"")</f>
        <v/>
      </c>
      <c r="E321" s="566" t="str">
        <f>IFERROR(VLOOKUP(N321,'TABLA-DIA'!$B$2:$P$62,5,FALSE),"")</f>
        <v/>
      </c>
      <c r="F321" s="566" t="str">
        <f>IFERROR(VLOOKUP(N321,'TABLA-DIA'!$B$2:$P$62,6,FALSE),"")</f>
        <v/>
      </c>
      <c r="G321" s="540" t="str">
        <f>IFERROR(VLOOKUP(N321,'TABLA-DIA'!$B$2:$P$62,7,FALSE),"")</f>
        <v/>
      </c>
      <c r="H321" s="582" t="str">
        <f>IFERROR(VLOOKUP(N321,'TABLA-DIA'!$B$2:$P$62,10,FALSE),"")</f>
        <v/>
      </c>
      <c r="I321" s="548" t="str">
        <f>IFERROR(VLOOKUP(N321,'TABLA-DIA'!$B$2:$P$62,11,FALSE),"")</f>
        <v/>
      </c>
      <c r="J321" s="548" t="str">
        <f>IFERROR(VLOOKUP(N321,'TABLA-DIA'!$B$2:$P$62,12,FALSE),"")</f>
        <v/>
      </c>
      <c r="K321" s="557" t="str">
        <f>IFERROR(VLOOKUP(N321,'TABLA-DIA'!$B$2:$P$62,13,FALSE),"")</f>
        <v/>
      </c>
      <c r="L321" s="603" t="str">
        <f>IFERROR(IF(VLOOKUP(N321,'TABLA-DIA'!$B$2:$P$62,14,FALSE)="","",VLOOKUP(N321,'TABLA-DIA'!$B$2:$P$62,14,FALSE)),"")</f>
        <v/>
      </c>
      <c r="M321" s="590">
        <v>2</v>
      </c>
      <c r="N321" s="157" t="str">
        <f t="shared" si="32"/>
        <v>0-2</v>
      </c>
    </row>
    <row r="322" spans="2:21" ht="67.150000000000006" hidden="1" customHeight="1" thickBot="1">
      <c r="B322" s="724"/>
      <c r="C322" s="564" t="str">
        <f>IFERROR(VLOOKUP(N322,'TABLA-DIA'!$B$2:$P$62,9,FALSE),"")</f>
        <v/>
      </c>
      <c r="D322" s="565" t="str">
        <f>IFERROR(VLOOKUP(N322,'TABLA-DIA'!$B$2:$P$62,4,FALSE),"")</f>
        <v/>
      </c>
      <c r="E322" s="566" t="str">
        <f>IFERROR(VLOOKUP(N322,'TABLA-DIA'!$B$2:$P$62,5,FALSE),"")</f>
        <v/>
      </c>
      <c r="F322" s="566" t="str">
        <f>IFERROR(VLOOKUP(N322,'TABLA-DIA'!$B$2:$P$62,6,FALSE),"")</f>
        <v/>
      </c>
      <c r="G322" s="540" t="str">
        <f>IFERROR(VLOOKUP(N322,'TABLA-DIA'!$B$2:$P$62,7,FALSE),"")</f>
        <v/>
      </c>
      <c r="H322" s="582" t="str">
        <f>IFERROR(VLOOKUP(N322,'TABLA-DIA'!$B$2:$P$62,10,FALSE),"")</f>
        <v/>
      </c>
      <c r="I322" s="548" t="str">
        <f>IFERROR(VLOOKUP(N322,'TABLA-DIA'!$B$2:$P$62,11,FALSE),"")</f>
        <v/>
      </c>
      <c r="J322" s="548" t="str">
        <f>IFERROR(VLOOKUP(N322,'TABLA-DIA'!$B$2:$P$62,12,FALSE),"")</f>
        <v/>
      </c>
      <c r="K322" s="557" t="str">
        <f>IFERROR(VLOOKUP(N322,'TABLA-DIA'!$B$2:$P$62,13,FALSE),"")</f>
        <v/>
      </c>
      <c r="L322" s="603" t="str">
        <f>IFERROR(IF(VLOOKUP(N322,'TABLA-DIA'!$B$2:$P$62,14,FALSE)="","",VLOOKUP(N322,'TABLA-DIA'!$B$2:$P$62,14,FALSE)),"")</f>
        <v/>
      </c>
      <c r="M322" s="590">
        <v>3</v>
      </c>
      <c r="N322" s="157" t="str">
        <f t="shared" si="32"/>
        <v>0-3</v>
      </c>
    </row>
    <row r="323" spans="2:21" ht="67.150000000000006" hidden="1" customHeight="1" thickBot="1">
      <c r="B323" s="724"/>
      <c r="C323" s="564" t="str">
        <f>IFERROR(VLOOKUP(N323,'TABLA-DIA'!$B$2:$P$62,9,FALSE),"")</f>
        <v/>
      </c>
      <c r="D323" s="565" t="str">
        <f>IFERROR(VLOOKUP(N323,'TABLA-DIA'!$B$2:$P$62,4,FALSE),"")</f>
        <v/>
      </c>
      <c r="E323" s="566" t="str">
        <f>IFERROR(VLOOKUP(N323,'TABLA-DIA'!$B$2:$P$62,5,FALSE),"")</f>
        <v/>
      </c>
      <c r="F323" s="566" t="str">
        <f>IFERROR(VLOOKUP(N323,'TABLA-DIA'!$B$2:$P$62,6,FALSE),"")</f>
        <v/>
      </c>
      <c r="G323" s="540" t="str">
        <f>IFERROR(VLOOKUP(N323,'TABLA-DIA'!$B$2:$P$62,7,FALSE),"")</f>
        <v/>
      </c>
      <c r="H323" s="582" t="str">
        <f>IFERROR(VLOOKUP(N323,'TABLA-DIA'!$B$2:$P$62,10,FALSE),"")</f>
        <v/>
      </c>
      <c r="I323" s="548" t="str">
        <f>IFERROR(VLOOKUP(N323,'TABLA-DIA'!$B$2:$P$62,11,FALSE),"")</f>
        <v/>
      </c>
      <c r="J323" s="548" t="str">
        <f>IFERROR(VLOOKUP(N323,'TABLA-DIA'!$B$2:$P$62,12,FALSE),"")</f>
        <v/>
      </c>
      <c r="K323" s="557" t="str">
        <f>IFERROR(VLOOKUP(N323,'TABLA-DIA'!$B$2:$P$62,13,FALSE),"")</f>
        <v/>
      </c>
      <c r="L323" s="603" t="str">
        <f>IFERROR(IF(VLOOKUP(N323,'TABLA-DIA'!$B$2:$P$62,14,FALSE)="","",VLOOKUP(N323,'TABLA-DIA'!$B$2:$P$62,14,FALSE)),"")</f>
        <v/>
      </c>
      <c r="M323" s="590">
        <v>4</v>
      </c>
      <c r="N323" s="157" t="str">
        <f t="shared" si="32"/>
        <v>0-4</v>
      </c>
    </row>
    <row r="324" spans="2:21" ht="67.150000000000006" hidden="1" customHeight="1" thickBot="1">
      <c r="B324" s="724"/>
      <c r="C324" s="564" t="str">
        <f>IFERROR(VLOOKUP(N324,'TABLA-DIA'!$B$2:$P$62,9,FALSE),"")</f>
        <v/>
      </c>
      <c r="D324" s="565" t="str">
        <f>IFERROR(VLOOKUP(N324,'TABLA-DIA'!$B$2:$P$62,4,FALSE),"")</f>
        <v/>
      </c>
      <c r="E324" s="566" t="str">
        <f>IFERROR(VLOOKUP(N324,'TABLA-DIA'!$B$2:$P$62,5,FALSE),"")</f>
        <v/>
      </c>
      <c r="F324" s="566" t="str">
        <f>IFERROR(VLOOKUP(N324,'TABLA-DIA'!$B$2:$P$62,6,FALSE),"")</f>
        <v/>
      </c>
      <c r="G324" s="540" t="str">
        <f>IFERROR(VLOOKUP(N324,'TABLA-DIA'!$B$2:$P$62,7,FALSE),"")</f>
        <v/>
      </c>
      <c r="H324" s="582" t="str">
        <f>IFERROR(VLOOKUP(N324,'TABLA-DIA'!$B$2:$P$62,10,FALSE),"")</f>
        <v/>
      </c>
      <c r="I324" s="548" t="str">
        <f>IFERROR(VLOOKUP(N324,'TABLA-DIA'!$B$2:$P$62,11,FALSE),"")</f>
        <v/>
      </c>
      <c r="J324" s="548" t="str">
        <f>IFERROR(VLOOKUP(N324,'TABLA-DIA'!$B$2:$P$62,12,FALSE),"")</f>
        <v/>
      </c>
      <c r="K324" s="557" t="str">
        <f>IFERROR(VLOOKUP(N324,'TABLA-DIA'!$B$2:$P$62,13,FALSE),"")</f>
        <v/>
      </c>
      <c r="L324" s="603" t="str">
        <f>IFERROR(IF(VLOOKUP(N324,'TABLA-DIA'!$B$2:$P$62,14,FALSE)="","",VLOOKUP(N324,'TABLA-DIA'!$B$2:$P$62,14,FALSE)),"")</f>
        <v/>
      </c>
      <c r="M324" s="590">
        <v>5</v>
      </c>
      <c r="N324" s="157" t="str">
        <f t="shared" si="32"/>
        <v>0-5</v>
      </c>
    </row>
    <row r="325" spans="2:21" ht="67.150000000000006" hidden="1" customHeight="1" thickBot="1">
      <c r="B325" s="724"/>
      <c r="C325" s="564" t="str">
        <f>IFERROR(VLOOKUP(N325,'TABLA-DIA'!$B$2:$P$62,9,FALSE),"")</f>
        <v/>
      </c>
      <c r="D325" s="565" t="str">
        <f>IFERROR(VLOOKUP(N325,'TABLA-DIA'!$B$2:$P$62,4,FALSE),"")</f>
        <v/>
      </c>
      <c r="E325" s="566" t="str">
        <f>IFERROR(VLOOKUP(N325,'TABLA-DIA'!$B$2:$P$62,5,FALSE),"")</f>
        <v/>
      </c>
      <c r="F325" s="566" t="str">
        <f>IFERROR(VLOOKUP(N325,'TABLA-DIA'!$B$2:$P$62,6,FALSE),"")</f>
        <v/>
      </c>
      <c r="G325" s="540" t="str">
        <f>IFERROR(VLOOKUP(N325,'TABLA-DIA'!$B$2:$P$62,7,FALSE),"")</f>
        <v/>
      </c>
      <c r="H325" s="582" t="str">
        <f>IFERROR(VLOOKUP(N325,'TABLA-DIA'!$B$2:$P$62,10,FALSE),"")</f>
        <v/>
      </c>
      <c r="I325" s="548" t="str">
        <f>IFERROR(VLOOKUP(N325,'TABLA-DIA'!$B$2:$P$62,11,FALSE),"")</f>
        <v/>
      </c>
      <c r="J325" s="548" t="str">
        <f>IFERROR(VLOOKUP(N325,'TABLA-DIA'!$B$2:$P$62,12,FALSE),"")</f>
        <v/>
      </c>
      <c r="K325" s="557" t="str">
        <f>IFERROR(VLOOKUP(N325,'TABLA-DIA'!$B$2:$P$62,13,FALSE),"")</f>
        <v/>
      </c>
      <c r="L325" s="603" t="str">
        <f>IFERROR(IF(VLOOKUP(N325,'TABLA-DIA'!$B$2:$P$62,14,FALSE)="","",VLOOKUP(N325,'TABLA-DIA'!$B$2:$P$62,14,FALSE)),"")</f>
        <v/>
      </c>
      <c r="M325" s="590">
        <v>6</v>
      </c>
      <c r="N325" s="157" t="str">
        <f t="shared" si="32"/>
        <v>0-6</v>
      </c>
    </row>
    <row r="326" spans="2:21" ht="67.150000000000006" hidden="1" customHeight="1" thickBot="1">
      <c r="B326" s="724"/>
      <c r="C326" s="564" t="str">
        <f>IFERROR(VLOOKUP(N326,'TABLA-DIA'!$B$2:$P$62,9,FALSE),"")</f>
        <v/>
      </c>
      <c r="D326" s="565" t="str">
        <f>IFERROR(VLOOKUP(N326,'TABLA-DIA'!$B$2:$P$62,4,FALSE),"")</f>
        <v/>
      </c>
      <c r="E326" s="566" t="str">
        <f>IFERROR(VLOOKUP(N326,'TABLA-DIA'!$B$2:$P$62,5,FALSE),"")</f>
        <v/>
      </c>
      <c r="F326" s="566" t="str">
        <f>IFERROR(VLOOKUP(N326,'TABLA-DIA'!$B$2:$P$62,6,FALSE),"")</f>
        <v/>
      </c>
      <c r="G326" s="540" t="str">
        <f>IFERROR(VLOOKUP(N326,'TABLA-DIA'!$B$2:$P$62,7,FALSE),"")</f>
        <v/>
      </c>
      <c r="H326" s="582" t="str">
        <f>IFERROR(VLOOKUP(N326,'TABLA-DIA'!$B$2:$P$62,10,FALSE),"")</f>
        <v/>
      </c>
      <c r="I326" s="548" t="str">
        <f>IFERROR(VLOOKUP(N326,'TABLA-DIA'!$B$2:$P$62,11,FALSE),"")</f>
        <v/>
      </c>
      <c r="J326" s="548" t="str">
        <f>IFERROR(VLOOKUP(N326,'TABLA-DIA'!$B$2:$P$62,12,FALSE),"")</f>
        <v/>
      </c>
      <c r="K326" s="557" t="str">
        <f>IFERROR(VLOOKUP(N326,'TABLA-DIA'!$B$2:$P$62,13,FALSE),"")</f>
        <v/>
      </c>
      <c r="L326" s="603" t="str">
        <f>IFERROR(IF(VLOOKUP(N326,'TABLA-DIA'!$B$2:$P$62,14,FALSE)="","",VLOOKUP(N326,'TABLA-DIA'!$B$2:$P$62,14,FALSE)),"")</f>
        <v/>
      </c>
      <c r="M326" s="590">
        <v>7</v>
      </c>
      <c r="N326" s="157" t="str">
        <f t="shared" si="32"/>
        <v>0-7</v>
      </c>
    </row>
    <row r="327" spans="2:21" ht="67.150000000000006" hidden="1" customHeight="1" thickBot="1">
      <c r="B327" s="724"/>
      <c r="C327" s="564" t="str">
        <f>IFERROR(VLOOKUP(N327,'TABLA-DIA'!$B$2:$P$62,9,FALSE),"")</f>
        <v/>
      </c>
      <c r="D327" s="565" t="str">
        <f>IFERROR(VLOOKUP(N327,'TABLA-DIA'!$B$2:$P$62,4,FALSE),"")</f>
        <v/>
      </c>
      <c r="E327" s="566" t="str">
        <f>IFERROR(VLOOKUP(N327,'TABLA-DIA'!$B$2:$P$62,5,FALSE),"")</f>
        <v/>
      </c>
      <c r="F327" s="566" t="str">
        <f>IFERROR(VLOOKUP(N327,'TABLA-DIA'!$B$2:$P$62,6,FALSE),"")</f>
        <v/>
      </c>
      <c r="G327" s="540" t="str">
        <f>IFERROR(VLOOKUP(N327,'TABLA-DIA'!$B$2:$P$62,7,FALSE),"")</f>
        <v/>
      </c>
      <c r="H327" s="582" t="str">
        <f>IFERROR(VLOOKUP(N327,'TABLA-DIA'!$B$2:$P$62,10,FALSE),"")</f>
        <v/>
      </c>
      <c r="I327" s="548" t="str">
        <f>IFERROR(VLOOKUP(N327,'TABLA-DIA'!$B$2:$P$62,11,FALSE),"")</f>
        <v/>
      </c>
      <c r="J327" s="548" t="str">
        <f>IFERROR(VLOOKUP(N327,'TABLA-DIA'!$B$2:$P$62,12,FALSE),"")</f>
        <v/>
      </c>
      <c r="K327" s="557" t="str">
        <f>IFERROR(VLOOKUP(N327,'TABLA-DIA'!$B$2:$P$62,13,FALSE),"")</f>
        <v/>
      </c>
      <c r="L327" s="603" t="str">
        <f>IFERROR(IF(VLOOKUP(N327,'TABLA-DIA'!$B$2:$P$62,14,FALSE)="","",VLOOKUP(N327,'TABLA-DIA'!$B$2:$P$62,14,FALSE)),"")</f>
        <v/>
      </c>
      <c r="M327" s="590">
        <v>8</v>
      </c>
      <c r="N327" s="157" t="str">
        <f t="shared" si="32"/>
        <v>0-8</v>
      </c>
    </row>
    <row r="328" spans="2:21" ht="67.150000000000006" hidden="1" customHeight="1" thickBot="1">
      <c r="B328" s="724"/>
      <c r="C328" s="564" t="str">
        <f>IFERROR(VLOOKUP(N328,'TABLA-DIA'!$B$2:$P$62,9,FALSE),"")</f>
        <v/>
      </c>
      <c r="D328" s="565" t="str">
        <f>IFERROR(VLOOKUP(N328,'TABLA-DIA'!$B$2:$P$62,4,FALSE),"")</f>
        <v/>
      </c>
      <c r="E328" s="566" t="str">
        <f>IFERROR(VLOOKUP(N328,'TABLA-DIA'!$B$2:$P$62,5,FALSE),"")</f>
        <v/>
      </c>
      <c r="F328" s="566" t="str">
        <f>IFERROR(VLOOKUP(N328,'TABLA-DIA'!$B$2:$P$62,6,FALSE),"")</f>
        <v/>
      </c>
      <c r="G328" s="540" t="str">
        <f>IFERROR(VLOOKUP(N328,'TABLA-DIA'!$B$2:$P$62,7,FALSE),"")</f>
        <v/>
      </c>
      <c r="H328" s="582" t="str">
        <f>IFERROR(VLOOKUP(N328,'TABLA-DIA'!$B$2:$P$62,10,FALSE),"")</f>
        <v/>
      </c>
      <c r="I328" s="548" t="str">
        <f>IFERROR(VLOOKUP(N328,'TABLA-DIA'!$B$2:$P$62,11,FALSE),"")</f>
        <v/>
      </c>
      <c r="J328" s="548" t="str">
        <f>IFERROR(VLOOKUP(N328,'TABLA-DIA'!$B$2:$P$62,12,FALSE),"")</f>
        <v/>
      </c>
      <c r="K328" s="557" t="str">
        <f>IFERROR(VLOOKUP(N328,'TABLA-DIA'!$B$2:$P$62,13,FALSE),"")</f>
        <v/>
      </c>
      <c r="L328" s="603" t="str">
        <f>IFERROR(IF(VLOOKUP(N328,'TABLA-DIA'!$B$2:$P$62,14,FALSE)="","",VLOOKUP(N328,'TABLA-DIA'!$B$2:$P$62,14,FALSE)),"")</f>
        <v/>
      </c>
      <c r="M328" s="590">
        <v>9</v>
      </c>
      <c r="N328" s="157" t="str">
        <f t="shared" si="32"/>
        <v>0-9</v>
      </c>
    </row>
    <row r="329" spans="2:21" ht="1.5" customHeight="1" thickBot="1">
      <c r="B329" s="725"/>
      <c r="C329" s="607" t="str">
        <f>IFERROR(VLOOKUP(N329,'TABLA-DIA'!$B$2:$P$62,9,FALSE),"")</f>
        <v/>
      </c>
      <c r="D329" s="608" t="str">
        <f>IFERROR(VLOOKUP(N329,'TABLA-DIA'!$B$2:$P$62,4,FALSE),"")</f>
        <v/>
      </c>
      <c r="E329" s="609" t="str">
        <f>IFERROR(VLOOKUP(N329,'TABLA-DIA'!$B$2:$P$62,5,FALSE),"")</f>
        <v/>
      </c>
      <c r="F329" s="609" t="str">
        <f>IFERROR(VLOOKUP(N329,'TABLA-DIA'!$B$2:$P$62,6,FALSE),"")</f>
        <v/>
      </c>
      <c r="G329" s="610" t="str">
        <f>IFERROR(VLOOKUP(N329,'TABLA-DIA'!$B$2:$P$62,7,FALSE),"")</f>
        <v/>
      </c>
      <c r="H329" s="611" t="str">
        <f>IFERROR(VLOOKUP(N329,'TABLA-DIA'!$B$2:$P$62,10,FALSE),"")</f>
        <v/>
      </c>
      <c r="I329" s="612" t="str">
        <f>IFERROR(VLOOKUP(N329,'TABLA-DIA'!$B$2:$P$62,11,FALSE),"")</f>
        <v/>
      </c>
      <c r="J329" s="612" t="str">
        <f>IFERROR(VLOOKUP(N329,'TABLA-DIA'!$B$2:$P$62,12,FALSE),"")</f>
        <v/>
      </c>
      <c r="K329" s="613" t="str">
        <f>IFERROR(VLOOKUP(N329,'TABLA-DIA'!$B$2:$P$62,13,FALSE),"")</f>
        <v/>
      </c>
      <c r="L329" s="614" t="str">
        <f>IFERROR(IF(VLOOKUP(N329,'TABLA-DIA'!$B$2:$P$62,14,FALSE)="","",VLOOKUP(N329,'TABLA-DIA'!$B$2:$P$62,14,FALSE)),"")</f>
        <v/>
      </c>
      <c r="M329" s="594">
        <v>10</v>
      </c>
      <c r="N329" s="157" t="str">
        <f t="shared" si="32"/>
        <v>0-10</v>
      </c>
    </row>
    <row r="330" spans="2:21" ht="46.5">
      <c r="P330" s="731" t="str">
        <f ca="1">IF(COUNTIF(R334:R343,"&lt;&gt;NORMAL")&gt;0,"🚨 Hay consumos fuera de rango","✅ Todo en orden")</f>
        <v>🚨 Hay consumos fuera de rango</v>
      </c>
      <c r="Q330" s="731"/>
      <c r="R330" s="731"/>
      <c r="S330" s="731"/>
      <c r="T330" s="731"/>
    </row>
    <row r="332" spans="2:21" ht="26.25">
      <c r="O332" s="663">
        <f ca="1">TODAY()-1</f>
        <v>46205</v>
      </c>
      <c r="P332" s="663">
        <f ca="1">TODAY()</f>
        <v>46206</v>
      </c>
      <c r="Q332" s="662"/>
      <c r="R332" s="662"/>
      <c r="S332" s="662"/>
      <c r="T332" s="662"/>
    </row>
    <row r="333" spans="2:21" ht="26.25">
      <c r="O333" s="667"/>
      <c r="P333" s="667" t="s">
        <v>3708</v>
      </c>
      <c r="Q333" s="667" t="s">
        <v>3685</v>
      </c>
      <c r="R333" s="667" t="s">
        <v>3709</v>
      </c>
      <c r="S333" s="667" t="s">
        <v>3710</v>
      </c>
      <c r="T333" s="667" t="s">
        <v>3711</v>
      </c>
      <c r="U333" s="670" t="s">
        <v>3712</v>
      </c>
    </row>
    <row r="334" spans="2:21" ht="26.25">
      <c r="O334" s="664" t="s">
        <v>3713</v>
      </c>
      <c r="P334" s="166">
        <f ca="1">+VLOOKUP($P$332,Tabla_query___2026_06_23T082334.128[#All],13,FALSE)</f>
        <v>58</v>
      </c>
      <c r="Q334" s="166">
        <v>75</v>
      </c>
      <c r="R334" s="671" t="str">
        <f ca="1">IF(P334&lt;Q334,"NORMAL","EXCEDIDO")</f>
        <v>NORMAL</v>
      </c>
      <c r="S334" s="668">
        <f ca="1">+P334/Q334</f>
        <v>0.77333333333333332</v>
      </c>
      <c r="T334" s="669">
        <f ca="1">+VLOOKUP($P$332,Tabla_query___2026_06_23T082334.128[#All],2,FALSE)</f>
        <v>71106</v>
      </c>
      <c r="U334" s="166" t="str">
        <f ca="1">+P334&amp; " m3"</f>
        <v>58 m3</v>
      </c>
    </row>
    <row r="335" spans="2:21" ht="26.25">
      <c r="O335" s="664" t="s">
        <v>3714</v>
      </c>
      <c r="P335" s="166">
        <f ca="1">+VLOOKUP($P$332,Tabla_query___2026_06_23T082334.128[#All],15,FALSE)</f>
        <v>20</v>
      </c>
      <c r="Q335" s="166">
        <v>30</v>
      </c>
      <c r="R335" s="166" t="str">
        <f ca="1">IF(P335&lt;Q335,"NORMAL","EXCEDIDO")</f>
        <v>NORMAL</v>
      </c>
      <c r="S335" s="668">
        <f t="shared" ref="S335:S337" ca="1" si="33">+P335/Q335</f>
        <v>0.66666666666666663</v>
      </c>
      <c r="T335" s="669">
        <f ca="1">+VLOOKUP($P$332,Tabla_query___2026_06_23T082334.128[#All],4,FALSE)</f>
        <v>16827</v>
      </c>
      <c r="U335" s="166" t="str">
        <f ca="1">+P335&amp; " m3"</f>
        <v>20 m3</v>
      </c>
    </row>
    <row r="336" spans="2:21" ht="26.25">
      <c r="O336" s="664" t="s">
        <v>3715</v>
      </c>
      <c r="P336" s="166">
        <f ca="1">+VLOOKUP($P$332,Tabla_query___2026_06_23T082334.128[#All],16,FALSE)</f>
        <v>0.36299999999999999</v>
      </c>
      <c r="Q336" s="166">
        <v>5</v>
      </c>
      <c r="R336" s="166" t="str">
        <f ca="1">IF(P336&lt;Q336,"NORMAL","EXCEDIDO")</f>
        <v>NORMAL</v>
      </c>
      <c r="S336" s="668">
        <f t="shared" ca="1" si="33"/>
        <v>7.2599999999999998E-2</v>
      </c>
      <c r="T336" s="669">
        <f ca="1">+VLOOKUP($P$332,Tabla_query___2026_06_23T082334.128[#All],5,FALSE)</f>
        <v>968.41</v>
      </c>
      <c r="U336" s="166" t="str">
        <f ca="1">+P336&amp; " m3"</f>
        <v>0.363 m3</v>
      </c>
    </row>
    <row r="337" spans="15:21" ht="26.25">
      <c r="O337" s="664" t="s">
        <v>3716</v>
      </c>
      <c r="P337" s="166">
        <f ca="1">+VLOOKUP($P$332,Tabla_query___2026_06_23T082334.128[#All],17,FALSE)</f>
        <v>7</v>
      </c>
      <c r="Q337" s="166">
        <v>20</v>
      </c>
      <c r="R337" s="166" t="str">
        <f ca="1">IF(P337&lt;Q337,"NORMAL","EXCEDIDO")</f>
        <v>NORMAL</v>
      </c>
      <c r="S337" s="668">
        <f t="shared" ca="1" si="33"/>
        <v>0.35</v>
      </c>
      <c r="T337" s="669">
        <f ca="1">+VLOOKUP($P$332,Tabla_query___2026_06_23T082334.128[#All],6,FALSE)</f>
        <v>9942</v>
      </c>
      <c r="U337" s="166" t="str">
        <f ca="1">+P337&amp; " m3"</f>
        <v>7 m3</v>
      </c>
    </row>
    <row r="338" spans="15:21" ht="52.5">
      <c r="O338" s="664" t="s">
        <v>3717</v>
      </c>
      <c r="P338" s="666">
        <f ca="1">+VLOOKUP($P$332,Tabla_query___2026_06_23T082334.128[#All],22,FALSE)/100</f>
        <v>0.48</v>
      </c>
      <c r="Q338" s="166"/>
      <c r="R338" s="166" t="str" cm="1">
        <f t="array" aca="1" ref="R338" ca="1">_xlfn.IFS(P338&lt;0.31,"CRÍTICO",AND(P338&gt;=0.31,P338&lt;0.51),"PRECAUCIÓN",P338&gt;0.5,"NORMAL")</f>
        <v>PRECAUCIÓN</v>
      </c>
      <c r="S338" s="665"/>
      <c r="T338" s="665"/>
    </row>
    <row r="339" spans="15:21" ht="26.25">
      <c r="O339" s="664" t="s">
        <v>3718</v>
      </c>
      <c r="P339" s="166">
        <f ca="1">+VLOOKUP($P$332,Tabla_query___2026_06_23T082334.128[#All],19,FALSE)</f>
        <v>3.8</v>
      </c>
      <c r="Q339" s="166">
        <v>5</v>
      </c>
      <c r="R339" s="166" t="str">
        <f ca="1">IF(P339&lt;Q339,"NORMAL","EXCEDIDO")</f>
        <v>NORMAL</v>
      </c>
      <c r="S339" s="665"/>
      <c r="T339" s="669">
        <f ca="1">+VLOOKUP($P$332,Tabla_query___2026_06_23T082334.128[#All],8,FALSE)</f>
        <v>5487.9</v>
      </c>
    </row>
    <row r="340" spans="15:21" ht="26.25">
      <c r="O340" s="664" t="s">
        <v>3719</v>
      </c>
      <c r="P340" s="166">
        <f ca="1">+VLOOKUP($P$332,Tabla_query___2026_06_23T082334.128[#All],20,FALSE)</f>
        <v>14</v>
      </c>
      <c r="Q340" s="166">
        <v>20</v>
      </c>
      <c r="R340" s="166" t="str">
        <f ca="1">IF(P340&lt;Q340,"NORMAL","EXCEDIDO")</f>
        <v>NORMAL</v>
      </c>
      <c r="S340" s="665"/>
      <c r="T340" s="669">
        <f ca="1">+VLOOKUP($P$332,Tabla_query___2026_06_23T082334.128[#All],9,FALSE)</f>
        <v>2617.9</v>
      </c>
    </row>
    <row r="341" spans="15:21" ht="26.25">
      <c r="O341" s="664" t="s">
        <v>3720</v>
      </c>
      <c r="P341" s="166">
        <f ca="1">+VLOOKUP($P$332,Tabla_query___2026_06_23T082334.128[#All],21,FALSE)</f>
        <v>4</v>
      </c>
      <c r="Q341" s="166">
        <v>10</v>
      </c>
      <c r="R341" s="166" t="str">
        <f ca="1">IF(P341&lt;Q341,"NORMAL","EXCEDIDO")</f>
        <v>NORMAL</v>
      </c>
      <c r="S341" s="665"/>
      <c r="T341" s="669">
        <f ca="1">+VLOOKUP($P$332,Tabla_query___2026_06_23T082334.128[#All],10,FALSE)</f>
        <v>5733.6</v>
      </c>
    </row>
    <row r="342" spans="15:21" ht="26.25">
      <c r="O342" s="664" t="s">
        <v>3721</v>
      </c>
      <c r="P342" s="166">
        <f ca="1">+VLOOKUP($P$332,Tabla_query___2026_06_23T082334.128[#All],11,FALSE)</f>
        <v>7118</v>
      </c>
      <c r="Q342" s="166">
        <v>8000</v>
      </c>
      <c r="R342" s="166" t="str">
        <f ca="1">IF(P342&lt;Q342,"NORMAL","EXCEDIDO")</f>
        <v>NORMAL</v>
      </c>
      <c r="S342" s="665"/>
      <c r="T342" s="665"/>
      <c r="U342" s="166" t="str">
        <f ca="1">+P342&amp; " kWh"</f>
        <v>7118 kWh</v>
      </c>
    </row>
    <row r="343" spans="15:21" ht="52.5">
      <c r="O343" s="664" t="s">
        <v>3722</v>
      </c>
      <c r="P343" s="166">
        <f ca="1">+VLOOKUP($P$332,Tabla_query___2026_06_23T082334.128[#All],12,FALSE)</f>
        <v>297</v>
      </c>
      <c r="Q343" s="166">
        <v>350</v>
      </c>
      <c r="R343" s="166" t="str">
        <f ca="1">IF(P343&lt;Q343,"NORMAL","EXCEDIDO")</f>
        <v>NORMAL</v>
      </c>
      <c r="S343" s="665"/>
      <c r="T343" s="665"/>
      <c r="U343" s="166" t="str">
        <f ca="1">+P343&amp; " kW"</f>
        <v>297 kW</v>
      </c>
    </row>
    <row r="353" spans="15:25">
      <c r="O353" s="453" t="s">
        <v>3723</v>
      </c>
      <c r="P353" t="s">
        <v>3725</v>
      </c>
      <c r="S353" s="453" t="s">
        <v>3723</v>
      </c>
      <c r="T353" t="s">
        <v>3725</v>
      </c>
      <c r="W353" s="453" t="s">
        <v>3723</v>
      </c>
      <c r="X353" t="s">
        <v>3725</v>
      </c>
      <c r="Y353"/>
    </row>
    <row r="354" spans="15:25">
      <c r="W354"/>
      <c r="Y354"/>
    </row>
    <row r="355" spans="15:25">
      <c r="O355" s="453" t="s">
        <v>3666</v>
      </c>
      <c r="P355" t="s">
        <v>3726</v>
      </c>
      <c r="Q355" t="s">
        <v>3727</v>
      </c>
      <c r="S355" s="453" t="s">
        <v>3666</v>
      </c>
      <c r="T355" t="s">
        <v>3728</v>
      </c>
      <c r="U355" t="s">
        <v>3729</v>
      </c>
      <c r="W355" s="453" t="s">
        <v>3666</v>
      </c>
      <c r="X355" t="s">
        <v>3730</v>
      </c>
      <c r="Y355" t="s">
        <v>3731</v>
      </c>
    </row>
    <row r="356" spans="15:25">
      <c r="O356" s="676">
        <v>46174</v>
      </c>
      <c r="P356" s="638">
        <v>57</v>
      </c>
      <c r="Q356" s="638">
        <v>75</v>
      </c>
      <c r="S356" s="676">
        <v>46174</v>
      </c>
      <c r="T356" s="638">
        <v>6552</v>
      </c>
      <c r="U356" s="638">
        <v>8000</v>
      </c>
      <c r="W356" s="676">
        <v>46174</v>
      </c>
      <c r="X356" s="638">
        <v>273</v>
      </c>
      <c r="Y356" s="638">
        <v>350</v>
      </c>
    </row>
    <row r="357" spans="15:25">
      <c r="O357" s="676">
        <v>46175</v>
      </c>
      <c r="P357" s="638">
        <v>73</v>
      </c>
      <c r="Q357" s="638">
        <v>75</v>
      </c>
      <c r="S357" s="676">
        <v>46175</v>
      </c>
      <c r="T357" s="638">
        <v>6393</v>
      </c>
      <c r="U357" s="638">
        <v>8000</v>
      </c>
      <c r="W357" s="676">
        <v>46175</v>
      </c>
      <c r="X357" s="638">
        <v>266</v>
      </c>
      <c r="Y357" s="638">
        <v>350</v>
      </c>
    </row>
    <row r="358" spans="15:25">
      <c r="O358" s="676">
        <v>46176</v>
      </c>
      <c r="P358" s="638">
        <v>90</v>
      </c>
      <c r="Q358" s="638">
        <v>75</v>
      </c>
      <c r="S358" s="676">
        <v>46176</v>
      </c>
      <c r="T358" s="638">
        <v>8506</v>
      </c>
      <c r="U358" s="638">
        <v>8000</v>
      </c>
      <c r="W358" s="676">
        <v>46176</v>
      </c>
      <c r="X358" s="638">
        <v>354</v>
      </c>
      <c r="Y358" s="638">
        <v>350</v>
      </c>
    </row>
    <row r="359" spans="15:25">
      <c r="O359" s="676">
        <v>46177</v>
      </c>
      <c r="P359" s="638">
        <v>75</v>
      </c>
      <c r="Q359" s="638">
        <v>75</v>
      </c>
      <c r="S359" s="676">
        <v>46177</v>
      </c>
      <c r="T359" s="638">
        <v>8395</v>
      </c>
      <c r="U359" s="638">
        <v>8000</v>
      </c>
      <c r="W359" s="676">
        <v>46177</v>
      </c>
      <c r="X359" s="638">
        <v>350</v>
      </c>
      <c r="Y359" s="638">
        <v>350</v>
      </c>
    </row>
    <row r="360" spans="15:25">
      <c r="O360" s="676">
        <v>46178</v>
      </c>
      <c r="P360" s="638">
        <v>81</v>
      </c>
      <c r="Q360" s="638">
        <v>75</v>
      </c>
      <c r="S360" s="676">
        <v>46178</v>
      </c>
      <c r="T360" s="638">
        <v>8165</v>
      </c>
      <c r="U360" s="638">
        <v>8000</v>
      </c>
      <c r="W360" s="676">
        <v>46178</v>
      </c>
      <c r="X360" s="638">
        <v>340</v>
      </c>
      <c r="Y360" s="638">
        <v>350</v>
      </c>
    </row>
    <row r="361" spans="15:25">
      <c r="O361" s="676">
        <v>46179</v>
      </c>
      <c r="P361" s="638">
        <v>50</v>
      </c>
      <c r="Q361" s="638">
        <v>75</v>
      </c>
      <c r="S361" s="676">
        <v>46179</v>
      </c>
      <c r="T361" s="638">
        <v>7158</v>
      </c>
      <c r="U361" s="638">
        <v>8000</v>
      </c>
      <c r="W361" s="676">
        <v>46179</v>
      </c>
      <c r="X361" s="638">
        <v>298</v>
      </c>
      <c r="Y361" s="638">
        <v>350</v>
      </c>
    </row>
    <row r="362" spans="15:25">
      <c r="O362" s="676">
        <v>46181</v>
      </c>
      <c r="P362" s="638">
        <v>76</v>
      </c>
      <c r="Q362" s="638">
        <v>75</v>
      </c>
      <c r="S362" s="676">
        <v>46181</v>
      </c>
      <c r="T362" s="638">
        <v>3073</v>
      </c>
      <c r="U362" s="638">
        <v>8000</v>
      </c>
      <c r="W362" s="676">
        <v>46181</v>
      </c>
      <c r="X362" s="638">
        <v>128</v>
      </c>
      <c r="Y362" s="638">
        <v>350</v>
      </c>
    </row>
    <row r="363" spans="15:25">
      <c r="O363" s="676">
        <v>46182</v>
      </c>
      <c r="P363" s="638">
        <v>72</v>
      </c>
      <c r="Q363" s="638">
        <v>75</v>
      </c>
      <c r="S363" s="676">
        <v>46182</v>
      </c>
      <c r="T363" s="638">
        <v>5961</v>
      </c>
      <c r="U363" s="638">
        <v>8000</v>
      </c>
      <c r="W363" s="676">
        <v>46182</v>
      </c>
      <c r="X363" s="638">
        <v>248</v>
      </c>
      <c r="Y363" s="638">
        <v>350</v>
      </c>
    </row>
    <row r="364" spans="15:25">
      <c r="O364" s="676">
        <v>46183</v>
      </c>
      <c r="P364" s="638">
        <v>70</v>
      </c>
      <c r="Q364" s="638">
        <v>75</v>
      </c>
      <c r="S364" s="676">
        <v>46183</v>
      </c>
      <c r="T364" s="638">
        <v>8503</v>
      </c>
      <c r="U364" s="638">
        <v>8000</v>
      </c>
      <c r="W364" s="676">
        <v>46183</v>
      </c>
      <c r="X364" s="638">
        <v>354</v>
      </c>
      <c r="Y364" s="638">
        <v>350</v>
      </c>
    </row>
    <row r="365" spans="15:25">
      <c r="O365" s="676">
        <v>46184</v>
      </c>
      <c r="P365" s="638">
        <v>57</v>
      </c>
      <c r="Q365" s="638">
        <v>75</v>
      </c>
      <c r="S365" s="676">
        <v>46184</v>
      </c>
      <c r="T365" s="638">
        <v>7951</v>
      </c>
      <c r="U365" s="638">
        <v>8000</v>
      </c>
      <c r="W365" s="676">
        <v>46184</v>
      </c>
      <c r="X365" s="638">
        <v>331</v>
      </c>
      <c r="Y365" s="638">
        <v>350</v>
      </c>
    </row>
    <row r="366" spans="15:25">
      <c r="O366" s="676">
        <v>46185</v>
      </c>
      <c r="P366" s="638">
        <v>62</v>
      </c>
      <c r="Q366" s="638">
        <v>75</v>
      </c>
      <c r="S366" s="676">
        <v>46185</v>
      </c>
      <c r="T366" s="638">
        <v>8388</v>
      </c>
      <c r="U366" s="638">
        <v>8000</v>
      </c>
      <c r="W366" s="676">
        <v>46185</v>
      </c>
      <c r="X366" s="638">
        <v>350</v>
      </c>
      <c r="Y366" s="638">
        <v>350</v>
      </c>
    </row>
    <row r="367" spans="15:25">
      <c r="O367" s="676">
        <v>46186</v>
      </c>
      <c r="P367" s="638">
        <v>51</v>
      </c>
      <c r="Q367" s="638">
        <v>75</v>
      </c>
      <c r="S367" s="676">
        <v>46186</v>
      </c>
      <c r="T367" s="638">
        <v>7963</v>
      </c>
      <c r="U367" s="638">
        <v>8000</v>
      </c>
      <c r="W367" s="676">
        <v>46186</v>
      </c>
      <c r="X367" s="638">
        <v>332</v>
      </c>
      <c r="Y367" s="638">
        <v>350</v>
      </c>
    </row>
    <row r="368" spans="15:25">
      <c r="O368" s="676">
        <v>46188</v>
      </c>
      <c r="P368" s="638">
        <v>74</v>
      </c>
      <c r="Q368" s="638">
        <v>75</v>
      </c>
      <c r="S368" s="676">
        <v>46188</v>
      </c>
      <c r="T368" s="638">
        <v>6767</v>
      </c>
      <c r="U368" s="638">
        <v>8000</v>
      </c>
      <c r="W368" s="676">
        <v>46188</v>
      </c>
      <c r="X368" s="638">
        <v>282</v>
      </c>
      <c r="Y368" s="638">
        <v>350</v>
      </c>
    </row>
    <row r="369" spans="15:25">
      <c r="O369" s="676">
        <v>46189</v>
      </c>
      <c r="P369" s="638">
        <v>74</v>
      </c>
      <c r="Q369" s="638">
        <v>75</v>
      </c>
      <c r="S369" s="676">
        <v>46189</v>
      </c>
      <c r="T369" s="638">
        <v>6460</v>
      </c>
      <c r="U369" s="638">
        <v>8000</v>
      </c>
      <c r="W369" s="676">
        <v>46189</v>
      </c>
      <c r="X369" s="638">
        <v>269</v>
      </c>
      <c r="Y369" s="638">
        <v>350</v>
      </c>
    </row>
    <row r="370" spans="15:25">
      <c r="O370" s="676">
        <v>46190</v>
      </c>
      <c r="P370" s="638">
        <v>60</v>
      </c>
      <c r="Q370" s="638">
        <v>75</v>
      </c>
      <c r="S370" s="676">
        <v>46190</v>
      </c>
      <c r="T370" s="638">
        <v>9092</v>
      </c>
      <c r="U370" s="638">
        <v>8000</v>
      </c>
      <c r="W370" s="676">
        <v>46190</v>
      </c>
      <c r="X370" s="638">
        <v>379</v>
      </c>
      <c r="Y370" s="638">
        <v>350</v>
      </c>
    </row>
    <row r="371" spans="15:25">
      <c r="O371" s="676">
        <v>46191</v>
      </c>
      <c r="P371" s="638">
        <v>84</v>
      </c>
      <c r="Q371" s="638">
        <v>75</v>
      </c>
      <c r="S371" s="676">
        <v>46191</v>
      </c>
      <c r="T371" s="638">
        <v>8585</v>
      </c>
      <c r="U371" s="638">
        <v>8000</v>
      </c>
      <c r="W371" s="676">
        <v>46191</v>
      </c>
      <c r="X371" s="638">
        <v>358</v>
      </c>
      <c r="Y371" s="638">
        <v>350</v>
      </c>
    </row>
    <row r="372" spans="15:25">
      <c r="O372" s="676">
        <v>46192</v>
      </c>
      <c r="P372" s="638">
        <v>79</v>
      </c>
      <c r="Q372" s="638">
        <v>75</v>
      </c>
      <c r="S372" s="676">
        <v>46192</v>
      </c>
      <c r="T372" s="638">
        <v>7753</v>
      </c>
      <c r="U372" s="638">
        <v>8000</v>
      </c>
      <c r="W372" s="676">
        <v>46192</v>
      </c>
      <c r="X372" s="638">
        <v>323</v>
      </c>
      <c r="Y372" s="638">
        <v>350</v>
      </c>
    </row>
    <row r="373" spans="15:25">
      <c r="O373" s="676">
        <v>46193</v>
      </c>
      <c r="P373" s="638">
        <v>74</v>
      </c>
      <c r="Q373" s="638">
        <v>75</v>
      </c>
      <c r="S373" s="676">
        <v>46193</v>
      </c>
      <c r="T373" s="638">
        <v>6585</v>
      </c>
      <c r="U373" s="638">
        <v>8000</v>
      </c>
      <c r="W373" s="676">
        <v>46193</v>
      </c>
      <c r="X373" s="638">
        <v>274</v>
      </c>
      <c r="Y373" s="638">
        <v>350</v>
      </c>
    </row>
    <row r="374" spans="15:25">
      <c r="O374" s="676">
        <v>46195</v>
      </c>
      <c r="P374" s="638">
        <v>83</v>
      </c>
      <c r="Q374" s="638">
        <v>75</v>
      </c>
      <c r="S374" s="676">
        <v>46195</v>
      </c>
      <c r="T374" s="638">
        <v>2590</v>
      </c>
      <c r="U374" s="638">
        <v>8000</v>
      </c>
      <c r="W374" s="676">
        <v>46195</v>
      </c>
      <c r="X374" s="638">
        <v>108</v>
      </c>
      <c r="Y374" s="638">
        <v>350</v>
      </c>
    </row>
    <row r="375" spans="15:25">
      <c r="O375" s="676">
        <v>46196</v>
      </c>
      <c r="P375" s="638">
        <v>71</v>
      </c>
      <c r="Q375" s="638">
        <v>75</v>
      </c>
      <c r="S375" s="676">
        <v>46196</v>
      </c>
      <c r="T375" s="638">
        <v>5338</v>
      </c>
      <c r="U375" s="638">
        <v>8000</v>
      </c>
      <c r="W375" s="676">
        <v>46196</v>
      </c>
      <c r="X375" s="638">
        <v>222</v>
      </c>
      <c r="Y375" s="638">
        <v>350</v>
      </c>
    </row>
    <row r="376" spans="15:25">
      <c r="O376" s="687">
        <v>46197</v>
      </c>
      <c r="P376" s="637">
        <v>81</v>
      </c>
      <c r="Q376">
        <v>75</v>
      </c>
      <c r="S376" s="687">
        <v>46197</v>
      </c>
      <c r="T376">
        <v>8122</v>
      </c>
      <c r="U376">
        <v>8000</v>
      </c>
      <c r="W376" s="687">
        <v>46197</v>
      </c>
      <c r="X376">
        <v>338</v>
      </c>
      <c r="Y376">
        <v>350</v>
      </c>
    </row>
    <row r="377" spans="15:25">
      <c r="O377" s="687">
        <v>46198</v>
      </c>
      <c r="P377" s="637">
        <v>51</v>
      </c>
      <c r="Q377">
        <v>75</v>
      </c>
      <c r="S377" s="687">
        <v>46198</v>
      </c>
      <c r="T377">
        <v>7448</v>
      </c>
      <c r="U377">
        <v>8000</v>
      </c>
      <c r="W377" s="687">
        <v>46198</v>
      </c>
      <c r="X377">
        <v>310</v>
      </c>
      <c r="Y377">
        <v>350</v>
      </c>
    </row>
    <row r="378" spans="15:25">
      <c r="O378" s="687">
        <v>46199</v>
      </c>
      <c r="P378" s="637">
        <v>54</v>
      </c>
      <c r="Q378">
        <v>75</v>
      </c>
      <c r="S378" s="687">
        <v>46199</v>
      </c>
      <c r="T378">
        <v>6988</v>
      </c>
      <c r="U378">
        <v>8000</v>
      </c>
      <c r="W378" s="687">
        <v>46199</v>
      </c>
      <c r="X378">
        <v>291</v>
      </c>
      <c r="Y378">
        <v>350</v>
      </c>
    </row>
    <row r="379" spans="15:25">
      <c r="O379" s="687">
        <v>46200</v>
      </c>
      <c r="P379" s="637">
        <v>48</v>
      </c>
      <c r="Q379">
        <v>75</v>
      </c>
      <c r="S379" s="687">
        <v>46200</v>
      </c>
      <c r="T379">
        <v>7832</v>
      </c>
      <c r="U379">
        <v>8000</v>
      </c>
      <c r="W379" s="687">
        <v>46200</v>
      </c>
      <c r="X379">
        <v>326</v>
      </c>
      <c r="Y379">
        <v>350</v>
      </c>
    </row>
    <row r="380" spans="15:25">
      <c r="O380" s="687">
        <v>46203</v>
      </c>
      <c r="P380" s="637">
        <v>85</v>
      </c>
      <c r="Q380">
        <v>75</v>
      </c>
      <c r="S380" s="687">
        <v>46203</v>
      </c>
      <c r="T380">
        <v>1811</v>
      </c>
      <c r="U380">
        <v>8000</v>
      </c>
      <c r="W380" s="687">
        <v>46203</v>
      </c>
      <c r="X380">
        <v>75</v>
      </c>
      <c r="Y380">
        <v>350</v>
      </c>
    </row>
    <row r="381" spans="15:25">
      <c r="O381" s="676" t="s">
        <v>3667</v>
      </c>
      <c r="P381" s="637">
        <v>1732</v>
      </c>
      <c r="Q381">
        <v>1875</v>
      </c>
      <c r="S381" s="676" t="s">
        <v>3667</v>
      </c>
      <c r="T381">
        <v>172379</v>
      </c>
      <c r="U381">
        <v>200000</v>
      </c>
      <c r="W381" s="676" t="s">
        <v>3667</v>
      </c>
      <c r="X381">
        <v>7179</v>
      </c>
      <c r="Y381">
        <v>8750</v>
      </c>
    </row>
  </sheetData>
  <mergeCells count="46">
    <mergeCell ref="B300:B309"/>
    <mergeCell ref="B310:B319"/>
    <mergeCell ref="B320:B329"/>
    <mergeCell ref="P330:T330"/>
    <mergeCell ref="B240:B249"/>
    <mergeCell ref="B250:B259"/>
    <mergeCell ref="B260:B269"/>
    <mergeCell ref="B270:B279"/>
    <mergeCell ref="B280:B289"/>
    <mergeCell ref="B290:B299"/>
    <mergeCell ref="B230:B239"/>
    <mergeCell ref="N22:T22"/>
    <mergeCell ref="P23:T23"/>
    <mergeCell ref="N46:T46"/>
    <mergeCell ref="B148:B159"/>
    <mergeCell ref="B160:B169"/>
    <mergeCell ref="B170:B179"/>
    <mergeCell ref="B180:B189"/>
    <mergeCell ref="B190:B199"/>
    <mergeCell ref="B200:B209"/>
    <mergeCell ref="B210:B219"/>
    <mergeCell ref="B220:B229"/>
    <mergeCell ref="O16:P16"/>
    <mergeCell ref="Q16:R16"/>
    <mergeCell ref="O18:P18"/>
    <mergeCell ref="Q18:R18"/>
    <mergeCell ref="O19:P19"/>
    <mergeCell ref="Q19:R19"/>
    <mergeCell ref="O13:P13"/>
    <mergeCell ref="Q13:R13"/>
    <mergeCell ref="O14:P14"/>
    <mergeCell ref="Q14:R14"/>
    <mergeCell ref="O15:P15"/>
    <mergeCell ref="Q15:R15"/>
    <mergeCell ref="N12:R12"/>
    <mergeCell ref="B3:D4"/>
    <mergeCell ref="E3:K4"/>
    <mergeCell ref="L3:L4"/>
    <mergeCell ref="M3:O3"/>
    <mergeCell ref="M4:P4"/>
    <mergeCell ref="M5:P5"/>
    <mergeCell ref="M7:O7"/>
    <mergeCell ref="M8:O8"/>
    <mergeCell ref="M9:O9"/>
    <mergeCell ref="M10:O10"/>
    <mergeCell ref="M11:O11"/>
  </mergeCells>
  <conditionalFormatting sqref="D143:D145">
    <cfRule type="containsText" dxfId="43" priority="6" operator="containsText" text="NOCHE">
      <formula>NOT(ISERROR(SEARCH("NOCHE",D143)))</formula>
    </cfRule>
    <cfRule type="containsText" dxfId="42" priority="7" operator="containsText" text="TARDE">
      <formula>NOT(ISERROR(SEARCH("TARDE",D143)))</formula>
    </cfRule>
    <cfRule type="containsText" dxfId="41" priority="8" operator="containsText" text="MAÑANA">
      <formula>NOT(ISERROR(SEARCH("MAÑANA",D143)))</formula>
    </cfRule>
  </conditionalFormatting>
  <conditionalFormatting sqref="D148:D329">
    <cfRule type="containsText" dxfId="40" priority="9" operator="containsText" text="NOCHE">
      <formula>NOT(ISERROR(SEARCH("NOCHE",D148)))</formula>
    </cfRule>
    <cfRule type="containsText" dxfId="39" priority="10" operator="containsText" text="TARDE">
      <formula>NOT(ISERROR(SEARCH("TARDE",D148)))</formula>
    </cfRule>
    <cfRule type="containsText" dxfId="38" priority="11" operator="containsText" text="MAÑANA">
      <formula>NOT(ISERROR(SEARCH("MAÑANA",D148)))</formula>
    </cfRule>
  </conditionalFormatting>
  <conditionalFormatting sqref="G148:G329">
    <cfRule type="cellIs" dxfId="37" priority="15" operator="between">
      <formula>$N$143</formula>
      <formula>$O$143</formula>
    </cfRule>
    <cfRule type="cellIs" dxfId="36" priority="16" operator="between">
      <formula>$N$144</formula>
      <formula>$O$144</formula>
    </cfRule>
    <cfRule type="cellIs" dxfId="35" priority="17" operator="between">
      <formula>$N$145</formula>
      <formula>$O$145</formula>
    </cfRule>
  </conditionalFormatting>
  <conditionalFormatting sqref="I144:I145">
    <cfRule type="endsWith" dxfId="34" priority="3" operator="endsWith" text="NO PROGRAMADA">
      <formula>RIGHT(I144,LEN("NO PROGRAMADA"))="NO PROGRAMADA"</formula>
    </cfRule>
  </conditionalFormatting>
  <conditionalFormatting sqref="I148:I329">
    <cfRule type="beginsWith" dxfId="33" priority="2" operator="beginsWith" text="PROGRAMADA">
      <formula>LEFT(I148,LEN("PROGRAMADA"))="PROGRAMADA"</formula>
    </cfRule>
    <cfRule type="beginsWith" dxfId="32" priority="14" operator="beginsWith" text="NO PROGRAMADA">
      <formula>LEFT(I148,LEN("NO PROGRAMADA"))="NO PROGRAMADA"</formula>
    </cfRule>
  </conditionalFormatting>
  <conditionalFormatting sqref="J144:J145">
    <cfRule type="containsText" dxfId="31" priority="4" operator="containsText" text="ELÉCTRICA">
      <formula>NOT(ISERROR(SEARCH("ELÉCTRICA",J144)))</formula>
    </cfRule>
    <cfRule type="containsText" dxfId="30" priority="5" operator="containsText" text="MECÁNICA">
      <formula>NOT(ISERROR(SEARCH("MECÁNICA",J144)))</formula>
    </cfRule>
  </conditionalFormatting>
  <conditionalFormatting sqref="J148:J329">
    <cfRule type="containsText" dxfId="29" priority="1" operator="containsText" text="0">
      <formula>NOT(ISERROR(SEARCH("0",J148)))</formula>
    </cfRule>
    <cfRule type="containsText" dxfId="28" priority="12" operator="containsText" text="ELÉCTRICA">
      <formula>NOT(ISERROR(SEARCH("ELÉCTRICA",J148)))</formula>
    </cfRule>
    <cfRule type="containsText" dxfId="27" priority="13" operator="containsText" text="MECÁNICA">
      <formula>NOT(ISERROR(SEARCH("MECÁNICA",J148)))</formula>
    </cfRule>
  </conditionalFormatting>
  <pageMargins left="0.23622047244094491" right="0" top="0.19685039370078741" bottom="0" header="0" footer="0"/>
  <pageSetup scale="28" fitToHeight="0" orientation="portrait" r:id="rId11"/>
  <rowBreaks count="2" manualBreakCount="2">
    <brk id="142" min="1" max="11" man="1"/>
    <brk id="329" min="1" max="11" man="1"/>
  </rowBreaks>
  <drawing r:id="rId12"/>
  <legacyDrawing r:id="rId13"/>
  <tableParts count="1">
    <tablePart r:id="rId1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BD29F-481E-4A87-94C0-C6DDD4FC58B1}">
  <sheetPr>
    <tabColor rgb="FF7030A0"/>
  </sheetPr>
  <dimension ref="B3:H7"/>
  <sheetViews>
    <sheetView zoomScale="85" zoomScaleNormal="85" workbookViewId="0">
      <selection activeCell="C6" sqref="C6"/>
    </sheetView>
  </sheetViews>
  <sheetFormatPr defaultColWidth="9.140625" defaultRowHeight="15"/>
  <cols>
    <col min="1" max="1" width="9.140625" customWidth="1"/>
    <col min="2" max="2" width="37" customWidth="1"/>
    <col min="3" max="3" width="35" bestFit="1" customWidth="1"/>
    <col min="4" max="4" width="13.42578125" customWidth="1"/>
    <col min="5" max="5" width="5.85546875" bestFit="1" customWidth="1"/>
    <col min="6" max="6" width="47.85546875" customWidth="1"/>
    <col min="7" max="7" width="16.140625" customWidth="1"/>
    <col min="8" max="8" width="15" bestFit="1" customWidth="1"/>
    <col min="9" max="9" width="15.140625" bestFit="1" customWidth="1"/>
    <col min="10" max="22" width="10.85546875" bestFit="1" customWidth="1"/>
    <col min="23" max="23" width="12.5703125" bestFit="1" customWidth="1"/>
    <col min="24" max="39" width="10.85546875" bestFit="1" customWidth="1"/>
    <col min="40" max="40" width="12.5703125" bestFit="1" customWidth="1"/>
    <col min="41" max="330" width="10.85546875" bestFit="1" customWidth="1"/>
    <col min="331" max="331" width="12.5703125" bestFit="1" customWidth="1"/>
  </cols>
  <sheetData>
    <row r="3" spans="2:8" ht="33" customHeight="1">
      <c r="B3" s="775" t="s">
        <v>5129</v>
      </c>
      <c r="C3" s="775"/>
      <c r="D3" s="775"/>
      <c r="E3" s="775"/>
      <c r="F3" s="775"/>
      <c r="G3" s="775"/>
      <c r="H3" s="775"/>
    </row>
    <row r="4" spans="2:8" ht="42.75" customHeight="1"/>
    <row r="5" spans="2:8">
      <c r="B5" s="301" t="s">
        <v>14</v>
      </c>
      <c r="C5" s="301" t="s">
        <v>19</v>
      </c>
      <c r="D5" s="14" t="s">
        <v>5130</v>
      </c>
      <c r="E5" s="14" t="s">
        <v>5131</v>
      </c>
    </row>
    <row r="6" spans="2:8">
      <c r="B6" s="14" t="s">
        <v>121</v>
      </c>
      <c r="C6" s="14" t="s">
        <v>5132</v>
      </c>
      <c r="D6" s="302">
        <v>3.7499999999999999E-2</v>
      </c>
      <c r="E6" s="14">
        <v>1</v>
      </c>
    </row>
    <row r="7" spans="2:8">
      <c r="B7" s="14" t="s">
        <v>3667</v>
      </c>
      <c r="C7" s="14"/>
      <c r="D7" s="302">
        <v>3.7499999999999999E-2</v>
      </c>
      <c r="E7" s="14">
        <v>1</v>
      </c>
    </row>
  </sheetData>
  <mergeCells count="1">
    <mergeCell ref="B3:H3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37329-99CE-402E-9688-EBA2D001F193}">
  <sheetPr>
    <tabColor theme="5" tint="-0.249977111117893"/>
  </sheetPr>
  <dimension ref="A1:M184"/>
  <sheetViews>
    <sheetView topLeftCell="B31" workbookViewId="0">
      <selection activeCell="F18" sqref="F18:L25"/>
    </sheetView>
  </sheetViews>
  <sheetFormatPr defaultColWidth="11.42578125" defaultRowHeight="15"/>
  <cols>
    <col min="2" max="2" width="54" bestFit="1" customWidth="1"/>
    <col min="3" max="3" width="23.140625" bestFit="1" customWidth="1"/>
    <col min="4" max="4" width="27.28515625" bestFit="1" customWidth="1"/>
    <col min="7" max="7" width="11.42578125" style="2"/>
    <col min="8" max="8" width="11.42578125" style="3"/>
  </cols>
  <sheetData>
    <row r="1" spans="1:13">
      <c r="A1" s="1" t="s">
        <v>3783</v>
      </c>
      <c r="B1" s="1" t="s">
        <v>3784</v>
      </c>
      <c r="C1" s="1" t="s">
        <v>3785</v>
      </c>
      <c r="D1" s="1" t="s">
        <v>3786</v>
      </c>
      <c r="G1" s="2" t="s">
        <v>5133</v>
      </c>
      <c r="H1" s="3" t="s">
        <v>5134</v>
      </c>
      <c r="J1" t="s">
        <v>3783</v>
      </c>
      <c r="K1" t="s">
        <v>3784</v>
      </c>
      <c r="L1" t="s">
        <v>3785</v>
      </c>
      <c r="M1" t="s">
        <v>3786</v>
      </c>
    </row>
    <row r="2" spans="1:13">
      <c r="A2" t="s">
        <v>3790</v>
      </c>
      <c r="B2" t="s">
        <v>3791</v>
      </c>
      <c r="C2" t="s">
        <v>3792</v>
      </c>
      <c r="D2" t="s">
        <v>3680</v>
      </c>
      <c r="G2" s="3" t="s">
        <v>5135</v>
      </c>
      <c r="H2" s="3" t="s">
        <v>5136</v>
      </c>
      <c r="J2" t="s">
        <v>3790</v>
      </c>
      <c r="K2" t="s">
        <v>3791</v>
      </c>
      <c r="L2" t="s">
        <v>3792</v>
      </c>
      <c r="M2" t="s">
        <v>3680</v>
      </c>
    </row>
    <row r="3" spans="1:13">
      <c r="A3" t="s">
        <v>3794</v>
      </c>
      <c r="B3" t="s">
        <v>3795</v>
      </c>
      <c r="C3" t="s">
        <v>3792</v>
      </c>
      <c r="D3" t="s">
        <v>3658</v>
      </c>
      <c r="G3" s="3" t="s">
        <v>5137</v>
      </c>
      <c r="H3" s="3" t="s">
        <v>5136</v>
      </c>
      <c r="J3" t="s">
        <v>3794</v>
      </c>
      <c r="K3" t="s">
        <v>3795</v>
      </c>
      <c r="L3" t="s">
        <v>3792</v>
      </c>
      <c r="M3" t="s">
        <v>3658</v>
      </c>
    </row>
    <row r="4" spans="1:13">
      <c r="A4" t="s">
        <v>3798</v>
      </c>
      <c r="B4" t="s">
        <v>3799</v>
      </c>
      <c r="C4" t="s">
        <v>3792</v>
      </c>
      <c r="D4" t="s">
        <v>3646</v>
      </c>
      <c r="G4" s="3" t="s">
        <v>5138</v>
      </c>
      <c r="H4" s="3" t="s">
        <v>5136</v>
      </c>
      <c r="J4" t="s">
        <v>3798</v>
      </c>
      <c r="K4" t="s">
        <v>3799</v>
      </c>
      <c r="L4" t="s">
        <v>3792</v>
      </c>
      <c r="M4" t="s">
        <v>3646</v>
      </c>
    </row>
    <row r="5" spans="1:13">
      <c r="A5" t="s">
        <v>3801</v>
      </c>
      <c r="B5" t="s">
        <v>3802</v>
      </c>
      <c r="C5" t="s">
        <v>3803</v>
      </c>
      <c r="D5" t="s">
        <v>3804</v>
      </c>
      <c r="G5" s="3" t="s">
        <v>5139</v>
      </c>
      <c r="H5" s="3" t="s">
        <v>5136</v>
      </c>
      <c r="J5" t="s">
        <v>3801</v>
      </c>
      <c r="K5" t="s">
        <v>3802</v>
      </c>
      <c r="L5" t="s">
        <v>3803</v>
      </c>
      <c r="M5" t="s">
        <v>3804</v>
      </c>
    </row>
    <row r="6" spans="1:13">
      <c r="A6" t="s">
        <v>3814</v>
      </c>
      <c r="B6" t="s">
        <v>3815</v>
      </c>
      <c r="C6" t="s">
        <v>3803</v>
      </c>
      <c r="D6" t="s">
        <v>3815</v>
      </c>
      <c r="G6" s="3" t="s">
        <v>5140</v>
      </c>
      <c r="H6" s="3" t="s">
        <v>5141</v>
      </c>
      <c r="J6" t="s">
        <v>3814</v>
      </c>
      <c r="K6" t="s">
        <v>3815</v>
      </c>
      <c r="L6" t="s">
        <v>3803</v>
      </c>
      <c r="M6" t="s">
        <v>3815</v>
      </c>
    </row>
    <row r="7" spans="1:13">
      <c r="A7" t="s">
        <v>3819</v>
      </c>
      <c r="B7" t="s">
        <v>3820</v>
      </c>
      <c r="C7" t="s">
        <v>3803</v>
      </c>
      <c r="D7" t="s">
        <v>3821</v>
      </c>
      <c r="G7" s="3" t="s">
        <v>5142</v>
      </c>
      <c r="H7" s="3" t="s">
        <v>5141</v>
      </c>
      <c r="J7" t="s">
        <v>3819</v>
      </c>
      <c r="K7" t="s">
        <v>3820</v>
      </c>
      <c r="L7" t="s">
        <v>3803</v>
      </c>
      <c r="M7" t="s">
        <v>3821</v>
      </c>
    </row>
    <row r="8" spans="1:13">
      <c r="A8" t="s">
        <v>3823</v>
      </c>
      <c r="B8" t="s">
        <v>3824</v>
      </c>
      <c r="C8" t="s">
        <v>3803</v>
      </c>
      <c r="D8" t="s">
        <v>3825</v>
      </c>
      <c r="G8" s="3" t="s">
        <v>5143</v>
      </c>
      <c r="H8" s="3" t="s">
        <v>5141</v>
      </c>
      <c r="J8" t="s">
        <v>3823</v>
      </c>
      <c r="K8" t="s">
        <v>3824</v>
      </c>
      <c r="L8" t="s">
        <v>3803</v>
      </c>
      <c r="M8" t="s">
        <v>3825</v>
      </c>
    </row>
    <row r="9" spans="1:13">
      <c r="A9" t="s">
        <v>3828</v>
      </c>
      <c r="B9" t="s">
        <v>3829</v>
      </c>
      <c r="C9" t="s">
        <v>3803</v>
      </c>
      <c r="D9" t="s">
        <v>3829</v>
      </c>
      <c r="G9" s="3" t="s">
        <v>5144</v>
      </c>
      <c r="H9" s="3" t="s">
        <v>5141</v>
      </c>
      <c r="J9" t="s">
        <v>3828</v>
      </c>
      <c r="K9" t="s">
        <v>3829</v>
      </c>
      <c r="L9" t="s">
        <v>3803</v>
      </c>
      <c r="M9" t="s">
        <v>3829</v>
      </c>
    </row>
    <row r="10" spans="1:13">
      <c r="A10" t="s">
        <v>3831</v>
      </c>
      <c r="B10" t="s">
        <v>3832</v>
      </c>
      <c r="C10" t="s">
        <v>3803</v>
      </c>
      <c r="D10" t="s">
        <v>3833</v>
      </c>
      <c r="G10" s="3" t="s">
        <v>5145</v>
      </c>
      <c r="H10" s="3" t="s">
        <v>5146</v>
      </c>
      <c r="J10" t="s">
        <v>3831</v>
      </c>
      <c r="K10" t="s">
        <v>3832</v>
      </c>
      <c r="L10" t="s">
        <v>3803</v>
      </c>
      <c r="M10" t="s">
        <v>3833</v>
      </c>
    </row>
    <row r="11" spans="1:13">
      <c r="A11" t="s">
        <v>3835</v>
      </c>
      <c r="B11" t="s">
        <v>3836</v>
      </c>
      <c r="C11" t="s">
        <v>3803</v>
      </c>
      <c r="D11" t="s">
        <v>3837</v>
      </c>
      <c r="G11" s="3" t="s">
        <v>5147</v>
      </c>
      <c r="H11" s="3" t="s">
        <v>5146</v>
      </c>
      <c r="J11" t="s">
        <v>3835</v>
      </c>
      <c r="K11" t="s">
        <v>3836</v>
      </c>
      <c r="L11" t="s">
        <v>3803</v>
      </c>
      <c r="M11" t="s">
        <v>3837</v>
      </c>
    </row>
    <row r="12" spans="1:13">
      <c r="A12" t="s">
        <v>3838</v>
      </c>
      <c r="B12" t="s">
        <v>3839</v>
      </c>
      <c r="C12" t="s">
        <v>3803</v>
      </c>
      <c r="D12" t="s">
        <v>1643</v>
      </c>
      <c r="G12" s="3" t="s">
        <v>5148</v>
      </c>
      <c r="H12" s="3" t="s">
        <v>5146</v>
      </c>
      <c r="J12" t="s">
        <v>3838</v>
      </c>
      <c r="K12" t="s">
        <v>3839</v>
      </c>
      <c r="L12" t="s">
        <v>3803</v>
      </c>
      <c r="M12" t="s">
        <v>1643</v>
      </c>
    </row>
    <row r="13" spans="1:13">
      <c r="A13" t="s">
        <v>3840</v>
      </c>
      <c r="B13" t="s">
        <v>3841</v>
      </c>
      <c r="C13" t="s">
        <v>3803</v>
      </c>
      <c r="D13" t="s">
        <v>70</v>
      </c>
      <c r="G13" s="3" t="s">
        <v>5149</v>
      </c>
      <c r="H13" s="3" t="s">
        <v>5146</v>
      </c>
      <c r="J13" t="s">
        <v>3840</v>
      </c>
      <c r="K13" t="s">
        <v>3841</v>
      </c>
      <c r="L13" t="s">
        <v>3803</v>
      </c>
      <c r="M13" t="s">
        <v>70</v>
      </c>
    </row>
    <row r="14" spans="1:13">
      <c r="A14" t="s">
        <v>3842</v>
      </c>
      <c r="B14" t="s">
        <v>3843</v>
      </c>
      <c r="C14" t="s">
        <v>3803</v>
      </c>
      <c r="D14" t="s">
        <v>202</v>
      </c>
      <c r="G14" s="3" t="s">
        <v>5150</v>
      </c>
      <c r="H14" s="3" t="s">
        <v>5151</v>
      </c>
      <c r="J14" t="s">
        <v>3842</v>
      </c>
      <c r="K14" t="s">
        <v>3843</v>
      </c>
      <c r="L14" t="s">
        <v>3803</v>
      </c>
      <c r="M14" t="s">
        <v>202</v>
      </c>
    </row>
    <row r="15" spans="1:13">
      <c r="A15" t="s">
        <v>3844</v>
      </c>
      <c r="B15" t="s">
        <v>3845</v>
      </c>
      <c r="C15" t="s">
        <v>3803</v>
      </c>
      <c r="D15" t="s">
        <v>3846</v>
      </c>
      <c r="G15" s="3" t="s">
        <v>5152</v>
      </c>
      <c r="H15" s="3" t="s">
        <v>5151</v>
      </c>
      <c r="J15" t="s">
        <v>3844</v>
      </c>
      <c r="K15" t="s">
        <v>3845</v>
      </c>
      <c r="L15" t="s">
        <v>3803</v>
      </c>
      <c r="M15" t="s">
        <v>3846</v>
      </c>
    </row>
    <row r="16" spans="1:13">
      <c r="A16" t="s">
        <v>3847</v>
      </c>
      <c r="B16" t="s">
        <v>3848</v>
      </c>
      <c r="C16" t="s">
        <v>3803</v>
      </c>
      <c r="D16" t="s">
        <v>3849</v>
      </c>
      <c r="G16" s="3" t="s">
        <v>5153</v>
      </c>
      <c r="H16" s="3" t="s">
        <v>5151</v>
      </c>
      <c r="J16" t="s">
        <v>3847</v>
      </c>
      <c r="K16" t="s">
        <v>3848</v>
      </c>
      <c r="L16" t="s">
        <v>3803</v>
      </c>
      <c r="M16" t="s">
        <v>3849</v>
      </c>
    </row>
    <row r="17" spans="1:13">
      <c r="A17" t="s">
        <v>3851</v>
      </c>
      <c r="B17" t="s">
        <v>3852</v>
      </c>
      <c r="C17" t="s">
        <v>3803</v>
      </c>
      <c r="D17" t="s">
        <v>3677</v>
      </c>
      <c r="G17" s="3" t="s">
        <v>5154</v>
      </c>
      <c r="H17" s="3" t="s">
        <v>5151</v>
      </c>
      <c r="J17" t="s">
        <v>3851</v>
      </c>
      <c r="K17" t="s">
        <v>3852</v>
      </c>
      <c r="L17" t="s">
        <v>3803</v>
      </c>
      <c r="M17" t="s">
        <v>3677</v>
      </c>
    </row>
    <row r="18" spans="1:13">
      <c r="A18" t="s">
        <v>3854</v>
      </c>
      <c r="B18" t="s">
        <v>3855</v>
      </c>
      <c r="C18" t="s">
        <v>3803</v>
      </c>
      <c r="D18" t="s">
        <v>3856</v>
      </c>
      <c r="G18" s="3" t="s">
        <v>5155</v>
      </c>
      <c r="H18" s="3" t="s">
        <v>5156</v>
      </c>
      <c r="J18" t="s">
        <v>3854</v>
      </c>
      <c r="K18" t="s">
        <v>3855</v>
      </c>
      <c r="L18" t="s">
        <v>3803</v>
      </c>
      <c r="M18" t="s">
        <v>3856</v>
      </c>
    </row>
    <row r="19" spans="1:13">
      <c r="A19" t="s">
        <v>3857</v>
      </c>
      <c r="B19" t="s">
        <v>3858</v>
      </c>
      <c r="C19" t="s">
        <v>3803</v>
      </c>
      <c r="D19" t="s">
        <v>3859</v>
      </c>
      <c r="G19" s="3" t="s">
        <v>5157</v>
      </c>
      <c r="H19" s="3" t="s">
        <v>5156</v>
      </c>
      <c r="J19" t="s">
        <v>3857</v>
      </c>
      <c r="K19" t="s">
        <v>3858</v>
      </c>
      <c r="L19" t="s">
        <v>3803</v>
      </c>
      <c r="M19" t="s">
        <v>3859</v>
      </c>
    </row>
    <row r="20" spans="1:13">
      <c r="A20" t="s">
        <v>3860</v>
      </c>
      <c r="B20" t="s">
        <v>3861</v>
      </c>
      <c r="C20" t="s">
        <v>3803</v>
      </c>
      <c r="D20" t="s">
        <v>3859</v>
      </c>
      <c r="G20" s="3" t="s">
        <v>5158</v>
      </c>
      <c r="H20" s="3" t="s">
        <v>5156</v>
      </c>
      <c r="J20" t="s">
        <v>3860</v>
      </c>
      <c r="K20" t="s">
        <v>3861</v>
      </c>
      <c r="L20" t="s">
        <v>3803</v>
      </c>
      <c r="M20" t="s">
        <v>3859</v>
      </c>
    </row>
    <row r="21" spans="1:13">
      <c r="A21" t="s">
        <v>3863</v>
      </c>
      <c r="B21" t="s">
        <v>3864</v>
      </c>
      <c r="C21" t="s">
        <v>3803</v>
      </c>
      <c r="D21" t="s">
        <v>3859</v>
      </c>
      <c r="G21" s="3" t="s">
        <v>5159</v>
      </c>
      <c r="H21" s="3" t="s">
        <v>5156</v>
      </c>
      <c r="J21" t="s">
        <v>3863</v>
      </c>
      <c r="K21" t="s">
        <v>3864</v>
      </c>
      <c r="L21" t="s">
        <v>3803</v>
      </c>
      <c r="M21" t="s">
        <v>3859</v>
      </c>
    </row>
    <row r="22" spans="1:13">
      <c r="A22" t="s">
        <v>3866</v>
      </c>
      <c r="B22" t="s">
        <v>3867</v>
      </c>
      <c r="C22" t="s">
        <v>3803</v>
      </c>
      <c r="D22" t="s">
        <v>3859</v>
      </c>
      <c r="G22" s="3" t="s">
        <v>5160</v>
      </c>
      <c r="H22" s="3" t="s">
        <v>5156</v>
      </c>
      <c r="J22" t="s">
        <v>3866</v>
      </c>
      <c r="K22" t="s">
        <v>3867</v>
      </c>
      <c r="L22" t="s">
        <v>3803</v>
      </c>
      <c r="M22" t="s">
        <v>3859</v>
      </c>
    </row>
    <row r="23" spans="1:13">
      <c r="A23" t="s">
        <v>3868</v>
      </c>
      <c r="B23" t="s">
        <v>3869</v>
      </c>
      <c r="C23" t="s">
        <v>3803</v>
      </c>
      <c r="D23" t="s">
        <v>3859</v>
      </c>
      <c r="G23" s="3" t="s">
        <v>5161</v>
      </c>
      <c r="H23" s="3" t="s">
        <v>5162</v>
      </c>
      <c r="J23" t="s">
        <v>3868</v>
      </c>
      <c r="K23" t="s">
        <v>3869</v>
      </c>
      <c r="L23" t="s">
        <v>3803</v>
      </c>
      <c r="M23" t="s">
        <v>3859</v>
      </c>
    </row>
    <row r="24" spans="1:13">
      <c r="A24" t="s">
        <v>3870</v>
      </c>
      <c r="B24" t="s">
        <v>3871</v>
      </c>
      <c r="C24" t="s">
        <v>3803</v>
      </c>
      <c r="D24" t="s">
        <v>3859</v>
      </c>
      <c r="G24" s="3" t="s">
        <v>5163</v>
      </c>
      <c r="H24" s="3" t="s">
        <v>5162</v>
      </c>
      <c r="J24" t="s">
        <v>3870</v>
      </c>
      <c r="K24" t="s">
        <v>3871</v>
      </c>
      <c r="L24" t="s">
        <v>3803</v>
      </c>
      <c r="M24" t="s">
        <v>3859</v>
      </c>
    </row>
    <row r="25" spans="1:13">
      <c r="A25" t="s">
        <v>3881</v>
      </c>
      <c r="B25" t="s">
        <v>3882</v>
      </c>
      <c r="C25" t="s">
        <v>3803</v>
      </c>
      <c r="D25" t="s">
        <v>3654</v>
      </c>
      <c r="G25" s="3" t="s">
        <v>5164</v>
      </c>
      <c r="H25" s="3" t="s">
        <v>5162</v>
      </c>
      <c r="J25" t="s">
        <v>3881</v>
      </c>
      <c r="K25" t="s">
        <v>3882</v>
      </c>
      <c r="L25" t="s">
        <v>3803</v>
      </c>
      <c r="M25" t="s">
        <v>3654</v>
      </c>
    </row>
    <row r="26" spans="1:13">
      <c r="A26" t="s">
        <v>3884</v>
      </c>
      <c r="B26" t="s">
        <v>3885</v>
      </c>
      <c r="C26" t="s">
        <v>3886</v>
      </c>
      <c r="D26" t="s">
        <v>3620</v>
      </c>
      <c r="G26" s="3" t="s">
        <v>5165</v>
      </c>
      <c r="H26" s="3" t="s">
        <v>5162</v>
      </c>
      <c r="J26" t="s">
        <v>3884</v>
      </c>
      <c r="K26" t="s">
        <v>3885</v>
      </c>
      <c r="L26" t="s">
        <v>3886</v>
      </c>
      <c r="M26" t="s">
        <v>3620</v>
      </c>
    </row>
    <row r="27" spans="1:13">
      <c r="A27" t="s">
        <v>3888</v>
      </c>
      <c r="B27" t="s">
        <v>3889</v>
      </c>
      <c r="C27" t="s">
        <v>3886</v>
      </c>
      <c r="D27" t="s">
        <v>3859</v>
      </c>
      <c r="G27" s="3" t="s">
        <v>5166</v>
      </c>
      <c r="H27" s="3" t="s">
        <v>5167</v>
      </c>
      <c r="J27" t="s">
        <v>3888</v>
      </c>
      <c r="K27" t="s">
        <v>3889</v>
      </c>
      <c r="L27" t="s">
        <v>3886</v>
      </c>
      <c r="M27" t="s">
        <v>3859</v>
      </c>
    </row>
    <row r="28" spans="1:13">
      <c r="A28" t="s">
        <v>3890</v>
      </c>
      <c r="B28" t="s">
        <v>3891</v>
      </c>
      <c r="C28" t="s">
        <v>3886</v>
      </c>
      <c r="D28" t="s">
        <v>3859</v>
      </c>
      <c r="G28" s="3" t="s">
        <v>5168</v>
      </c>
      <c r="H28" s="3" t="s">
        <v>5167</v>
      </c>
      <c r="J28" t="s">
        <v>3890</v>
      </c>
      <c r="K28" t="s">
        <v>3891</v>
      </c>
      <c r="L28" t="s">
        <v>3886</v>
      </c>
      <c r="M28" t="s">
        <v>3859</v>
      </c>
    </row>
    <row r="29" spans="1:13">
      <c r="A29" t="s">
        <v>3893</v>
      </c>
      <c r="B29" t="s">
        <v>3894</v>
      </c>
      <c r="C29" t="s">
        <v>3886</v>
      </c>
      <c r="D29" t="s">
        <v>3895</v>
      </c>
      <c r="G29" s="3" t="s">
        <v>5169</v>
      </c>
      <c r="H29" s="3" t="s">
        <v>5167</v>
      </c>
      <c r="J29" t="s">
        <v>3893</v>
      </c>
      <c r="K29" t="s">
        <v>3894</v>
      </c>
      <c r="L29" t="s">
        <v>3886</v>
      </c>
      <c r="M29" t="s">
        <v>3895</v>
      </c>
    </row>
    <row r="30" spans="1:13">
      <c r="A30" t="s">
        <v>3896</v>
      </c>
      <c r="B30" t="s">
        <v>3897</v>
      </c>
      <c r="C30" t="s">
        <v>2074</v>
      </c>
      <c r="D30" t="s">
        <v>3859</v>
      </c>
      <c r="G30" s="3" t="s">
        <v>5170</v>
      </c>
      <c r="H30" s="3" t="s">
        <v>5167</v>
      </c>
      <c r="J30" t="s">
        <v>3896</v>
      </c>
      <c r="K30" t="s">
        <v>3897</v>
      </c>
      <c r="L30" t="s">
        <v>2074</v>
      </c>
      <c r="M30" t="s">
        <v>3859</v>
      </c>
    </row>
    <row r="31" spans="1:13">
      <c r="A31" t="s">
        <v>3898</v>
      </c>
      <c r="B31" t="s">
        <v>3899</v>
      </c>
      <c r="C31" t="s">
        <v>2074</v>
      </c>
      <c r="D31" t="s">
        <v>3859</v>
      </c>
      <c r="G31" s="3" t="s">
        <v>5171</v>
      </c>
      <c r="H31" s="3" t="s">
        <v>5167</v>
      </c>
      <c r="J31" t="s">
        <v>3898</v>
      </c>
      <c r="K31" t="s">
        <v>3899</v>
      </c>
      <c r="L31" t="s">
        <v>2074</v>
      </c>
      <c r="M31" t="s">
        <v>3859</v>
      </c>
    </row>
    <row r="32" spans="1:13">
      <c r="A32" t="s">
        <v>3900</v>
      </c>
      <c r="B32" t="s">
        <v>3901</v>
      </c>
      <c r="C32" t="s">
        <v>3902</v>
      </c>
      <c r="D32" t="s">
        <v>3859</v>
      </c>
      <c r="G32" s="3" t="s">
        <v>5172</v>
      </c>
      <c r="H32" s="3" t="s">
        <v>5173</v>
      </c>
      <c r="J32" t="s">
        <v>3900</v>
      </c>
      <c r="K32" t="s">
        <v>3901</v>
      </c>
      <c r="L32" t="s">
        <v>3902</v>
      </c>
      <c r="M32" t="s">
        <v>3859</v>
      </c>
    </row>
    <row r="33" spans="1:13">
      <c r="A33" t="s">
        <v>3903</v>
      </c>
      <c r="B33" t="s">
        <v>3904</v>
      </c>
      <c r="C33" t="s">
        <v>2074</v>
      </c>
      <c r="D33" t="s">
        <v>3859</v>
      </c>
      <c r="G33" s="3" t="s">
        <v>5174</v>
      </c>
      <c r="H33" s="3" t="s">
        <v>5173</v>
      </c>
      <c r="J33" t="s">
        <v>3903</v>
      </c>
      <c r="K33" t="s">
        <v>3904</v>
      </c>
      <c r="L33" t="s">
        <v>2074</v>
      </c>
      <c r="M33" t="s">
        <v>3859</v>
      </c>
    </row>
    <row r="34" spans="1:13">
      <c r="A34" t="s">
        <v>3905</v>
      </c>
      <c r="B34" t="s">
        <v>3906</v>
      </c>
      <c r="C34" t="s">
        <v>3902</v>
      </c>
      <c r="D34" t="s">
        <v>3859</v>
      </c>
      <c r="G34" s="3" t="s">
        <v>5175</v>
      </c>
      <c r="H34" s="3" t="s">
        <v>5173</v>
      </c>
      <c r="J34" t="s">
        <v>3905</v>
      </c>
      <c r="K34" t="s">
        <v>3906</v>
      </c>
      <c r="L34" t="s">
        <v>3902</v>
      </c>
      <c r="M34" t="s">
        <v>3859</v>
      </c>
    </row>
    <row r="35" spans="1:13">
      <c r="A35" t="s">
        <v>3907</v>
      </c>
      <c r="B35" t="s">
        <v>3908</v>
      </c>
      <c r="C35" t="s">
        <v>2074</v>
      </c>
      <c r="D35" t="s">
        <v>3859</v>
      </c>
      <c r="G35" s="3" t="s">
        <v>5176</v>
      </c>
      <c r="H35" s="3" t="s">
        <v>5173</v>
      </c>
      <c r="J35" t="s">
        <v>3907</v>
      </c>
      <c r="K35" t="s">
        <v>3908</v>
      </c>
      <c r="L35" t="s">
        <v>2074</v>
      </c>
      <c r="M35" t="s">
        <v>3859</v>
      </c>
    </row>
    <row r="36" spans="1:13">
      <c r="A36" t="s">
        <v>3909</v>
      </c>
      <c r="B36" t="s">
        <v>3910</v>
      </c>
      <c r="C36" t="s">
        <v>3911</v>
      </c>
      <c r="D36" t="s">
        <v>3859</v>
      </c>
      <c r="G36" s="3" t="s">
        <v>5177</v>
      </c>
      <c r="H36" s="3" t="s">
        <v>5178</v>
      </c>
      <c r="J36" t="s">
        <v>3909</v>
      </c>
      <c r="K36" t="s">
        <v>3910</v>
      </c>
      <c r="L36" t="s">
        <v>3911</v>
      </c>
      <c r="M36" t="s">
        <v>3859</v>
      </c>
    </row>
    <row r="37" spans="1:13">
      <c r="A37" t="s">
        <v>3913</v>
      </c>
      <c r="B37" t="s">
        <v>3914</v>
      </c>
      <c r="C37" t="s">
        <v>3911</v>
      </c>
      <c r="D37" t="s">
        <v>3859</v>
      </c>
      <c r="G37" s="3" t="s">
        <v>5179</v>
      </c>
      <c r="H37" s="3" t="s">
        <v>5178</v>
      </c>
      <c r="J37" t="s">
        <v>3913</v>
      </c>
      <c r="K37" t="s">
        <v>3914</v>
      </c>
      <c r="L37" t="s">
        <v>3911</v>
      </c>
      <c r="M37" t="s">
        <v>3859</v>
      </c>
    </row>
    <row r="38" spans="1:13">
      <c r="A38" t="s">
        <v>3915</v>
      </c>
      <c r="B38" t="s">
        <v>3916</v>
      </c>
      <c r="C38" t="s">
        <v>3911</v>
      </c>
      <c r="D38" t="s">
        <v>3859</v>
      </c>
      <c r="G38" s="3" t="s">
        <v>5180</v>
      </c>
      <c r="H38" s="3" t="s">
        <v>5178</v>
      </c>
      <c r="J38" t="s">
        <v>3915</v>
      </c>
      <c r="K38" t="s">
        <v>3916</v>
      </c>
      <c r="L38" t="s">
        <v>3911</v>
      </c>
      <c r="M38" t="s">
        <v>3859</v>
      </c>
    </row>
    <row r="39" spans="1:13">
      <c r="A39" t="s">
        <v>3917</v>
      </c>
      <c r="B39" t="s">
        <v>3918</v>
      </c>
      <c r="C39" t="s">
        <v>3911</v>
      </c>
      <c r="D39" t="s">
        <v>3617</v>
      </c>
      <c r="G39" s="3" t="s">
        <v>5181</v>
      </c>
      <c r="H39" s="3" t="s">
        <v>5178</v>
      </c>
      <c r="J39" t="s">
        <v>3917</v>
      </c>
      <c r="K39" t="s">
        <v>3918</v>
      </c>
      <c r="L39" t="s">
        <v>3911</v>
      </c>
      <c r="M39" t="s">
        <v>3617</v>
      </c>
    </row>
    <row r="40" spans="1:13">
      <c r="A40" t="s">
        <v>3919</v>
      </c>
      <c r="B40" t="s">
        <v>3920</v>
      </c>
      <c r="C40" t="s">
        <v>3921</v>
      </c>
      <c r="D40" t="s">
        <v>3922</v>
      </c>
      <c r="G40" s="3" t="s">
        <v>5182</v>
      </c>
      <c r="H40" s="3" t="s">
        <v>5183</v>
      </c>
      <c r="J40" t="s">
        <v>3919</v>
      </c>
      <c r="K40" t="s">
        <v>3920</v>
      </c>
      <c r="L40" t="s">
        <v>3921</v>
      </c>
      <c r="M40" t="s">
        <v>3922</v>
      </c>
    </row>
    <row r="41" spans="1:13">
      <c r="A41" t="s">
        <v>3924</v>
      </c>
      <c r="B41" t="s">
        <v>3925</v>
      </c>
      <c r="C41" t="s">
        <v>3921</v>
      </c>
      <c r="D41" t="s">
        <v>3637</v>
      </c>
      <c r="G41" s="3" t="s">
        <v>5184</v>
      </c>
      <c r="H41" s="3" t="s">
        <v>5183</v>
      </c>
      <c r="J41" t="s">
        <v>3924</v>
      </c>
      <c r="K41" t="s">
        <v>3925</v>
      </c>
      <c r="L41" t="s">
        <v>3921</v>
      </c>
      <c r="M41" t="s">
        <v>3637</v>
      </c>
    </row>
    <row r="42" spans="1:13">
      <c r="A42" t="s">
        <v>3926</v>
      </c>
      <c r="B42" t="s">
        <v>3927</v>
      </c>
      <c r="C42" t="s">
        <v>3921</v>
      </c>
      <c r="D42" t="s">
        <v>3673</v>
      </c>
      <c r="G42" s="3" t="s">
        <v>5185</v>
      </c>
      <c r="H42" s="3" t="s">
        <v>5183</v>
      </c>
      <c r="J42" t="s">
        <v>3926</v>
      </c>
      <c r="K42" t="s">
        <v>3927</v>
      </c>
      <c r="L42" t="s">
        <v>3921</v>
      </c>
      <c r="M42" t="s">
        <v>3673</v>
      </c>
    </row>
    <row r="43" spans="1:13">
      <c r="A43" t="s">
        <v>3928</v>
      </c>
      <c r="B43" t="s">
        <v>3929</v>
      </c>
      <c r="C43" t="s">
        <v>3921</v>
      </c>
      <c r="D43" t="s">
        <v>3930</v>
      </c>
      <c r="G43" s="3" t="s">
        <v>5186</v>
      </c>
      <c r="H43" s="3" t="s">
        <v>5183</v>
      </c>
      <c r="J43" t="s">
        <v>3928</v>
      </c>
      <c r="K43" t="s">
        <v>3929</v>
      </c>
      <c r="L43" t="s">
        <v>3921</v>
      </c>
      <c r="M43" t="s">
        <v>3930</v>
      </c>
    </row>
    <row r="44" spans="1:13">
      <c r="A44" t="s">
        <v>3931</v>
      </c>
      <c r="B44" t="s">
        <v>3932</v>
      </c>
      <c r="C44" t="s">
        <v>3921</v>
      </c>
      <c r="D44" t="s">
        <v>3631</v>
      </c>
      <c r="G44" s="3" t="s">
        <v>5187</v>
      </c>
      <c r="H44" s="3" t="s">
        <v>5183</v>
      </c>
      <c r="J44" t="s">
        <v>3931</v>
      </c>
      <c r="K44" t="s">
        <v>3932</v>
      </c>
      <c r="L44" t="s">
        <v>3921</v>
      </c>
      <c r="M44" t="s">
        <v>3631</v>
      </c>
    </row>
    <row r="45" spans="1:13">
      <c r="A45" t="s">
        <v>3934</v>
      </c>
      <c r="B45" t="s">
        <v>3935</v>
      </c>
      <c r="C45" t="s">
        <v>3936</v>
      </c>
      <c r="D45" t="s">
        <v>3859</v>
      </c>
      <c r="G45" s="3" t="s">
        <v>5188</v>
      </c>
      <c r="H45" s="3" t="s">
        <v>5189</v>
      </c>
      <c r="J45" t="s">
        <v>3934</v>
      </c>
      <c r="K45" t="s">
        <v>3935</v>
      </c>
      <c r="L45" t="s">
        <v>3936</v>
      </c>
      <c r="M45" t="s">
        <v>3859</v>
      </c>
    </row>
    <row r="46" spans="1:13">
      <c r="A46" t="s">
        <v>3937</v>
      </c>
      <c r="B46" t="s">
        <v>3938</v>
      </c>
      <c r="C46" t="s">
        <v>3936</v>
      </c>
      <c r="D46" t="s">
        <v>3859</v>
      </c>
      <c r="G46" s="3" t="s">
        <v>5190</v>
      </c>
      <c r="H46" s="3" t="s">
        <v>5189</v>
      </c>
      <c r="J46" t="s">
        <v>3937</v>
      </c>
      <c r="K46" t="s">
        <v>3938</v>
      </c>
      <c r="L46" t="s">
        <v>3936</v>
      </c>
      <c r="M46" t="s">
        <v>3859</v>
      </c>
    </row>
    <row r="47" spans="1:13">
      <c r="A47" t="s">
        <v>3939</v>
      </c>
      <c r="B47" t="s">
        <v>3940</v>
      </c>
      <c r="C47" t="s">
        <v>3936</v>
      </c>
      <c r="D47" t="s">
        <v>3859</v>
      </c>
      <c r="G47" s="3" t="s">
        <v>5191</v>
      </c>
      <c r="H47" s="3" t="s">
        <v>5189</v>
      </c>
      <c r="J47" t="s">
        <v>3939</v>
      </c>
      <c r="K47" t="s">
        <v>3940</v>
      </c>
      <c r="L47" t="s">
        <v>3936</v>
      </c>
      <c r="M47" t="s">
        <v>3859</v>
      </c>
    </row>
    <row r="48" spans="1:13">
      <c r="A48" t="s">
        <v>3941</v>
      </c>
      <c r="B48" t="s">
        <v>3942</v>
      </c>
      <c r="C48" t="s">
        <v>3936</v>
      </c>
      <c r="D48" t="s">
        <v>3859</v>
      </c>
      <c r="G48" s="3" t="s">
        <v>5192</v>
      </c>
      <c r="H48" s="3" t="s">
        <v>5189</v>
      </c>
      <c r="J48" t="s">
        <v>3941</v>
      </c>
      <c r="K48" t="s">
        <v>3942</v>
      </c>
      <c r="L48" t="s">
        <v>3936</v>
      </c>
      <c r="M48" t="s">
        <v>3859</v>
      </c>
    </row>
    <row r="49" spans="1:13">
      <c r="A49" t="s">
        <v>3943</v>
      </c>
      <c r="B49" t="s">
        <v>3944</v>
      </c>
      <c r="C49" t="s">
        <v>3936</v>
      </c>
      <c r="D49" t="s">
        <v>3859</v>
      </c>
      <c r="G49" s="3" t="s">
        <v>5193</v>
      </c>
      <c r="H49" s="3" t="s">
        <v>5194</v>
      </c>
      <c r="J49" t="s">
        <v>3943</v>
      </c>
      <c r="K49" t="s">
        <v>3944</v>
      </c>
      <c r="L49" t="s">
        <v>3936</v>
      </c>
      <c r="M49" t="s">
        <v>3859</v>
      </c>
    </row>
    <row r="50" spans="1:13">
      <c r="A50" t="s">
        <v>3945</v>
      </c>
      <c r="B50" t="s">
        <v>3946</v>
      </c>
      <c r="C50" t="s">
        <v>3936</v>
      </c>
      <c r="D50" t="s">
        <v>3859</v>
      </c>
      <c r="G50" s="3" t="s">
        <v>5195</v>
      </c>
      <c r="H50" s="3" t="s">
        <v>5194</v>
      </c>
      <c r="J50" t="s">
        <v>3945</v>
      </c>
      <c r="K50" t="s">
        <v>3946</v>
      </c>
      <c r="L50" t="s">
        <v>3936</v>
      </c>
      <c r="M50" t="s">
        <v>3859</v>
      </c>
    </row>
    <row r="51" spans="1:13">
      <c r="A51" t="s">
        <v>3947</v>
      </c>
      <c r="B51" t="s">
        <v>3948</v>
      </c>
      <c r="C51" t="s">
        <v>3936</v>
      </c>
      <c r="D51" t="s">
        <v>972</v>
      </c>
      <c r="G51" s="3" t="s">
        <v>5196</v>
      </c>
      <c r="H51" s="3" t="s">
        <v>5194</v>
      </c>
      <c r="J51" t="s">
        <v>3947</v>
      </c>
      <c r="K51" t="s">
        <v>3948</v>
      </c>
      <c r="L51" t="s">
        <v>3936</v>
      </c>
      <c r="M51" t="s">
        <v>972</v>
      </c>
    </row>
    <row r="52" spans="1:13">
      <c r="A52" t="s">
        <v>3949</v>
      </c>
      <c r="B52" t="s">
        <v>3950</v>
      </c>
      <c r="C52" t="s">
        <v>3936</v>
      </c>
      <c r="D52" t="s">
        <v>3859</v>
      </c>
      <c r="G52" s="3" t="s">
        <v>5197</v>
      </c>
      <c r="H52" s="3" t="s">
        <v>5194</v>
      </c>
      <c r="J52" t="s">
        <v>3949</v>
      </c>
      <c r="K52" t="s">
        <v>3950</v>
      </c>
      <c r="L52" t="s">
        <v>3936</v>
      </c>
      <c r="M52" t="s">
        <v>3859</v>
      </c>
    </row>
    <row r="53" spans="1:13">
      <c r="A53" t="s">
        <v>3951</v>
      </c>
      <c r="B53" t="s">
        <v>3952</v>
      </c>
      <c r="C53" t="s">
        <v>3953</v>
      </c>
      <c r="D53" t="s">
        <v>3954</v>
      </c>
      <c r="G53" s="3" t="s">
        <v>5198</v>
      </c>
      <c r="H53" s="3" t="s">
        <v>5199</v>
      </c>
      <c r="J53" t="s">
        <v>3951</v>
      </c>
      <c r="K53" t="s">
        <v>3952</v>
      </c>
      <c r="L53" t="s">
        <v>3953</v>
      </c>
      <c r="M53" t="s">
        <v>3954</v>
      </c>
    </row>
    <row r="54" spans="1:13">
      <c r="A54" t="s">
        <v>3955</v>
      </c>
      <c r="B54" t="s">
        <v>3956</v>
      </c>
      <c r="C54" t="s">
        <v>4107</v>
      </c>
      <c r="D54" t="s">
        <v>27</v>
      </c>
      <c r="G54" s="3" t="s">
        <v>5200</v>
      </c>
      <c r="H54" s="3" t="s">
        <v>5199</v>
      </c>
      <c r="J54" t="s">
        <v>3955</v>
      </c>
      <c r="K54" t="s">
        <v>3956</v>
      </c>
      <c r="L54" t="s">
        <v>4107</v>
      </c>
      <c r="M54" t="s">
        <v>27</v>
      </c>
    </row>
    <row r="55" spans="1:13">
      <c r="A55" t="s">
        <v>3959</v>
      </c>
      <c r="B55" t="s">
        <v>3960</v>
      </c>
      <c r="C55" t="s">
        <v>4107</v>
      </c>
      <c r="D55" t="s">
        <v>3859</v>
      </c>
      <c r="G55" s="3" t="s">
        <v>5201</v>
      </c>
      <c r="H55" s="3" t="s">
        <v>5199</v>
      </c>
      <c r="J55" t="s">
        <v>3959</v>
      </c>
      <c r="K55" t="s">
        <v>3960</v>
      </c>
      <c r="L55" t="s">
        <v>4107</v>
      </c>
      <c r="M55" t="s">
        <v>3859</v>
      </c>
    </row>
    <row r="56" spans="1:13">
      <c r="A56" t="s">
        <v>3962</v>
      </c>
      <c r="B56" t="s">
        <v>3963</v>
      </c>
      <c r="C56" t="s">
        <v>4107</v>
      </c>
      <c r="D56" t="s">
        <v>3859</v>
      </c>
      <c r="G56" s="3" t="s">
        <v>5202</v>
      </c>
      <c r="H56" s="3" t="s">
        <v>5199</v>
      </c>
      <c r="J56" t="s">
        <v>3962</v>
      </c>
      <c r="K56" t="s">
        <v>3963</v>
      </c>
      <c r="L56" t="s">
        <v>4107</v>
      </c>
      <c r="M56" t="s">
        <v>3859</v>
      </c>
    </row>
    <row r="57" spans="1:13">
      <c r="A57" t="s">
        <v>3964</v>
      </c>
      <c r="B57" t="s">
        <v>3965</v>
      </c>
      <c r="C57" t="s">
        <v>4107</v>
      </c>
      <c r="D57" t="s">
        <v>3648</v>
      </c>
      <c r="G57" s="3" t="s">
        <v>5203</v>
      </c>
      <c r="H57" s="3" t="s">
        <v>5199</v>
      </c>
      <c r="J57" t="s">
        <v>3964</v>
      </c>
      <c r="K57" t="s">
        <v>3965</v>
      </c>
      <c r="L57" t="s">
        <v>4107</v>
      </c>
      <c r="M57" t="s">
        <v>3648</v>
      </c>
    </row>
    <row r="58" spans="1:13">
      <c r="A58" t="s">
        <v>3967</v>
      </c>
      <c r="B58" t="s">
        <v>3968</v>
      </c>
      <c r="C58" t="s">
        <v>4107</v>
      </c>
      <c r="D58" t="s">
        <v>3859</v>
      </c>
      <c r="G58" s="3" t="s">
        <v>5204</v>
      </c>
      <c r="H58" s="3" t="s">
        <v>5205</v>
      </c>
      <c r="J58" t="s">
        <v>3967</v>
      </c>
      <c r="K58" t="s">
        <v>3968</v>
      </c>
      <c r="L58" t="s">
        <v>4107</v>
      </c>
      <c r="M58" t="s">
        <v>3859</v>
      </c>
    </row>
    <row r="59" spans="1:13">
      <c r="A59" t="s">
        <v>3969</v>
      </c>
      <c r="B59" t="s">
        <v>3970</v>
      </c>
      <c r="C59" t="s">
        <v>4107</v>
      </c>
      <c r="D59" t="s">
        <v>3859</v>
      </c>
      <c r="G59" s="3" t="s">
        <v>5206</v>
      </c>
      <c r="H59" s="3" t="s">
        <v>5205</v>
      </c>
      <c r="J59" t="s">
        <v>3969</v>
      </c>
      <c r="K59" t="s">
        <v>3970</v>
      </c>
      <c r="L59" t="s">
        <v>4107</v>
      </c>
      <c r="M59" t="s">
        <v>3859</v>
      </c>
    </row>
    <row r="60" spans="1:13">
      <c r="A60" t="s">
        <v>3971</v>
      </c>
      <c r="B60" t="s">
        <v>3972</v>
      </c>
      <c r="C60" t="s">
        <v>4107</v>
      </c>
      <c r="D60" t="s">
        <v>3859</v>
      </c>
      <c r="G60" s="3" t="s">
        <v>5207</v>
      </c>
      <c r="H60" s="3" t="s">
        <v>5205</v>
      </c>
      <c r="J60" t="s">
        <v>3971</v>
      </c>
      <c r="K60" t="s">
        <v>3972</v>
      </c>
      <c r="L60" t="s">
        <v>4107</v>
      </c>
      <c r="M60" t="s">
        <v>3859</v>
      </c>
    </row>
    <row r="61" spans="1:13">
      <c r="A61" t="s">
        <v>3973</v>
      </c>
      <c r="B61" t="s">
        <v>3974</v>
      </c>
      <c r="C61" t="s">
        <v>3975</v>
      </c>
      <c r="D61" t="s">
        <v>3859</v>
      </c>
      <c r="G61" s="3" t="s">
        <v>5208</v>
      </c>
      <c r="H61" s="3" t="s">
        <v>5205</v>
      </c>
      <c r="J61" t="s">
        <v>3973</v>
      </c>
      <c r="K61" t="s">
        <v>3974</v>
      </c>
      <c r="L61" t="s">
        <v>3975</v>
      </c>
      <c r="M61" t="s">
        <v>3859</v>
      </c>
    </row>
    <row r="62" spans="1:13">
      <c r="A62" t="s">
        <v>3976</v>
      </c>
      <c r="B62" t="s">
        <v>3977</v>
      </c>
      <c r="C62" t="s">
        <v>3975</v>
      </c>
      <c r="D62" t="s">
        <v>3859</v>
      </c>
      <c r="G62" s="3" t="s">
        <v>5209</v>
      </c>
      <c r="H62" s="3" t="s">
        <v>5210</v>
      </c>
      <c r="J62" t="s">
        <v>3976</v>
      </c>
      <c r="K62" t="s">
        <v>3977</v>
      </c>
      <c r="L62" t="s">
        <v>3975</v>
      </c>
      <c r="M62" t="s">
        <v>3859</v>
      </c>
    </row>
    <row r="63" spans="1:13">
      <c r="A63" t="s">
        <v>3978</v>
      </c>
      <c r="B63" t="s">
        <v>3979</v>
      </c>
      <c r="C63" t="s">
        <v>3975</v>
      </c>
      <c r="D63" t="s">
        <v>3859</v>
      </c>
      <c r="G63" s="3" t="s">
        <v>5211</v>
      </c>
      <c r="H63" s="3" t="s">
        <v>5210</v>
      </c>
      <c r="J63" t="s">
        <v>3978</v>
      </c>
      <c r="K63" t="s">
        <v>3979</v>
      </c>
      <c r="L63" t="s">
        <v>3975</v>
      </c>
      <c r="M63" t="s">
        <v>3859</v>
      </c>
    </row>
    <row r="64" spans="1:13">
      <c r="A64" t="s">
        <v>3980</v>
      </c>
      <c r="B64" t="s">
        <v>3981</v>
      </c>
      <c r="C64" t="s">
        <v>3975</v>
      </c>
      <c r="D64" t="s">
        <v>3859</v>
      </c>
      <c r="G64" s="3" t="s">
        <v>5212</v>
      </c>
      <c r="H64" s="3" t="s">
        <v>5210</v>
      </c>
      <c r="J64" t="s">
        <v>3980</v>
      </c>
      <c r="K64" t="s">
        <v>3981</v>
      </c>
      <c r="L64" t="s">
        <v>3975</v>
      </c>
      <c r="M64" t="s">
        <v>3859</v>
      </c>
    </row>
    <row r="65" spans="1:13">
      <c r="A65" t="s">
        <v>3982</v>
      </c>
      <c r="B65" t="s">
        <v>3983</v>
      </c>
      <c r="C65" t="s">
        <v>3975</v>
      </c>
      <c r="D65" t="s">
        <v>3859</v>
      </c>
      <c r="G65" s="3" t="s">
        <v>5213</v>
      </c>
      <c r="H65" s="3" t="s">
        <v>5210</v>
      </c>
      <c r="J65" t="s">
        <v>3982</v>
      </c>
      <c r="K65" t="s">
        <v>3983</v>
      </c>
      <c r="L65" t="s">
        <v>3975</v>
      </c>
      <c r="M65" t="s">
        <v>3859</v>
      </c>
    </row>
    <row r="66" spans="1:13">
      <c r="A66" t="s">
        <v>3984</v>
      </c>
      <c r="B66" t="s">
        <v>3985</v>
      </c>
      <c r="C66" t="s">
        <v>3953</v>
      </c>
      <c r="D66" t="s">
        <v>3859</v>
      </c>
      <c r="G66" s="3" t="s">
        <v>5214</v>
      </c>
      <c r="H66" s="3" t="s">
        <v>5215</v>
      </c>
      <c r="J66" t="s">
        <v>3984</v>
      </c>
      <c r="K66" t="s">
        <v>3985</v>
      </c>
      <c r="L66" t="s">
        <v>3953</v>
      </c>
      <c r="M66" t="s">
        <v>3859</v>
      </c>
    </row>
    <row r="67" spans="1:13">
      <c r="A67" t="s">
        <v>3987</v>
      </c>
      <c r="B67" t="s">
        <v>3988</v>
      </c>
      <c r="C67" t="s">
        <v>3886</v>
      </c>
      <c r="D67" t="s">
        <v>3859</v>
      </c>
      <c r="G67" s="3" t="s">
        <v>5216</v>
      </c>
      <c r="H67" s="3" t="s">
        <v>5215</v>
      </c>
      <c r="J67" t="s">
        <v>3987</v>
      </c>
      <c r="K67" t="s">
        <v>3988</v>
      </c>
      <c r="L67" t="s">
        <v>3886</v>
      </c>
      <c r="M67" t="s">
        <v>3859</v>
      </c>
    </row>
    <row r="68" spans="1:13">
      <c r="A68" t="s">
        <v>3989</v>
      </c>
      <c r="B68" t="s">
        <v>3990</v>
      </c>
      <c r="C68" t="s">
        <v>3886</v>
      </c>
      <c r="D68" t="s">
        <v>3650</v>
      </c>
      <c r="G68" s="3" t="s">
        <v>5217</v>
      </c>
      <c r="H68" s="3" t="s">
        <v>5215</v>
      </c>
      <c r="J68" t="s">
        <v>3989</v>
      </c>
      <c r="K68" t="s">
        <v>3990</v>
      </c>
      <c r="L68" t="s">
        <v>3886</v>
      </c>
      <c r="M68" t="s">
        <v>3650</v>
      </c>
    </row>
    <row r="69" spans="1:13">
      <c r="A69" t="s">
        <v>3992</v>
      </c>
      <c r="B69" t="s">
        <v>3993</v>
      </c>
      <c r="C69" t="s">
        <v>3886</v>
      </c>
      <c r="D69" t="s">
        <v>3657</v>
      </c>
      <c r="G69" s="3" t="s">
        <v>5218</v>
      </c>
      <c r="H69" s="3" t="s">
        <v>5215</v>
      </c>
      <c r="J69" t="s">
        <v>3992</v>
      </c>
      <c r="K69" t="s">
        <v>3993</v>
      </c>
      <c r="L69" t="s">
        <v>3886</v>
      </c>
      <c r="M69" t="s">
        <v>3657</v>
      </c>
    </row>
    <row r="70" spans="1:13">
      <c r="A70" t="s">
        <v>3994</v>
      </c>
      <c r="B70" t="s">
        <v>3995</v>
      </c>
      <c r="C70" t="s">
        <v>3886</v>
      </c>
      <c r="D70" t="s">
        <v>3859</v>
      </c>
      <c r="G70" s="3" t="s">
        <v>5219</v>
      </c>
      <c r="H70" s="3" t="s">
        <v>5220</v>
      </c>
      <c r="J70" t="s">
        <v>3994</v>
      </c>
      <c r="K70" t="s">
        <v>3995</v>
      </c>
      <c r="L70" t="s">
        <v>3886</v>
      </c>
      <c r="M70" t="s">
        <v>3859</v>
      </c>
    </row>
    <row r="71" spans="1:13">
      <c r="A71" t="s">
        <v>3996</v>
      </c>
      <c r="B71" t="s">
        <v>3997</v>
      </c>
      <c r="C71" t="s">
        <v>3998</v>
      </c>
      <c r="D71" t="s">
        <v>3622</v>
      </c>
      <c r="G71" s="3" t="s">
        <v>5221</v>
      </c>
      <c r="H71" s="3" t="s">
        <v>5220</v>
      </c>
      <c r="J71" t="s">
        <v>3996</v>
      </c>
      <c r="K71" t="s">
        <v>3997</v>
      </c>
      <c r="L71" t="s">
        <v>3998</v>
      </c>
      <c r="M71" t="s">
        <v>3622</v>
      </c>
    </row>
    <row r="72" spans="1:13">
      <c r="A72" t="s">
        <v>3999</v>
      </c>
      <c r="B72" t="s">
        <v>4000</v>
      </c>
      <c r="C72" t="s">
        <v>3998</v>
      </c>
      <c r="D72" t="s">
        <v>3859</v>
      </c>
      <c r="G72" s="3" t="s">
        <v>5222</v>
      </c>
      <c r="H72" s="3" t="s">
        <v>5220</v>
      </c>
      <c r="J72" t="s">
        <v>3999</v>
      </c>
      <c r="K72" t="s">
        <v>4000</v>
      </c>
      <c r="L72" t="s">
        <v>3998</v>
      </c>
      <c r="M72" t="s">
        <v>3859</v>
      </c>
    </row>
    <row r="73" spans="1:13">
      <c r="A73" t="s">
        <v>4001</v>
      </c>
      <c r="B73" t="s">
        <v>4002</v>
      </c>
      <c r="C73" t="s">
        <v>3998</v>
      </c>
      <c r="D73" t="s">
        <v>3634</v>
      </c>
      <c r="G73" s="3" t="s">
        <v>5223</v>
      </c>
      <c r="H73" s="3" t="s">
        <v>5220</v>
      </c>
      <c r="J73" t="s">
        <v>4001</v>
      </c>
      <c r="K73" t="s">
        <v>4002</v>
      </c>
      <c r="L73" t="s">
        <v>3998</v>
      </c>
      <c r="M73" t="s">
        <v>3634</v>
      </c>
    </row>
    <row r="74" spans="1:13">
      <c r="A74" t="s">
        <v>4003</v>
      </c>
      <c r="B74" t="s">
        <v>4004</v>
      </c>
      <c r="C74" t="s">
        <v>3998</v>
      </c>
      <c r="D74" t="s">
        <v>3859</v>
      </c>
      <c r="G74" s="3" t="s">
        <v>5224</v>
      </c>
      <c r="H74" s="3" t="s">
        <v>5225</v>
      </c>
      <c r="J74" t="s">
        <v>4003</v>
      </c>
      <c r="K74" t="s">
        <v>4004</v>
      </c>
      <c r="L74" t="s">
        <v>3998</v>
      </c>
      <c r="M74" t="s">
        <v>3859</v>
      </c>
    </row>
    <row r="75" spans="1:13">
      <c r="A75" t="s">
        <v>4005</v>
      </c>
      <c r="B75" t="s">
        <v>4006</v>
      </c>
      <c r="C75" t="s">
        <v>3998</v>
      </c>
      <c r="D75" t="s">
        <v>3859</v>
      </c>
      <c r="G75" s="3" t="s">
        <v>5226</v>
      </c>
      <c r="H75" s="3" t="s">
        <v>5225</v>
      </c>
      <c r="J75" t="s">
        <v>4005</v>
      </c>
      <c r="K75" t="s">
        <v>4006</v>
      </c>
      <c r="L75" t="s">
        <v>3998</v>
      </c>
      <c r="M75" t="s">
        <v>3859</v>
      </c>
    </row>
    <row r="76" spans="1:13">
      <c r="A76" t="s">
        <v>4008</v>
      </c>
      <c r="B76" t="s">
        <v>4009</v>
      </c>
      <c r="C76" t="s">
        <v>3998</v>
      </c>
      <c r="D76" t="s">
        <v>3859</v>
      </c>
      <c r="G76" s="3" t="s">
        <v>5227</v>
      </c>
      <c r="H76" s="3" t="s">
        <v>5225</v>
      </c>
      <c r="J76" t="s">
        <v>4008</v>
      </c>
      <c r="K76" t="s">
        <v>4009</v>
      </c>
      <c r="L76" t="s">
        <v>3998</v>
      </c>
      <c r="M76" t="s">
        <v>3859</v>
      </c>
    </row>
    <row r="77" spans="1:13">
      <c r="A77" t="s">
        <v>4010</v>
      </c>
      <c r="B77" t="s">
        <v>4011</v>
      </c>
      <c r="C77" t="s">
        <v>3998</v>
      </c>
      <c r="D77" t="s">
        <v>3633</v>
      </c>
      <c r="G77" s="3" t="s">
        <v>5228</v>
      </c>
      <c r="H77" s="3" t="s">
        <v>5225</v>
      </c>
      <c r="J77" t="s">
        <v>4010</v>
      </c>
      <c r="K77" t="s">
        <v>4011</v>
      </c>
      <c r="L77" t="s">
        <v>3998</v>
      </c>
      <c r="M77" t="s">
        <v>3633</v>
      </c>
    </row>
    <row r="78" spans="1:13">
      <c r="A78" t="s">
        <v>4012</v>
      </c>
      <c r="B78" t="s">
        <v>4013</v>
      </c>
      <c r="C78" t="s">
        <v>3998</v>
      </c>
      <c r="D78" t="s">
        <v>3859</v>
      </c>
      <c r="G78" s="3" t="s">
        <v>5229</v>
      </c>
      <c r="H78" s="3" t="s">
        <v>5230</v>
      </c>
      <c r="J78" t="s">
        <v>4012</v>
      </c>
      <c r="K78" t="s">
        <v>4013</v>
      </c>
      <c r="L78" t="s">
        <v>3998</v>
      </c>
      <c r="M78" t="s">
        <v>3859</v>
      </c>
    </row>
    <row r="79" spans="1:13">
      <c r="A79" t="s">
        <v>4014</v>
      </c>
      <c r="B79" t="s">
        <v>4015</v>
      </c>
      <c r="C79" t="s">
        <v>3998</v>
      </c>
      <c r="D79" t="s">
        <v>3859</v>
      </c>
      <c r="G79" s="3" t="s">
        <v>5231</v>
      </c>
      <c r="H79" s="3" t="s">
        <v>5230</v>
      </c>
      <c r="J79" t="s">
        <v>4014</v>
      </c>
      <c r="K79" t="s">
        <v>4015</v>
      </c>
      <c r="L79" t="s">
        <v>3998</v>
      </c>
      <c r="M79" t="s">
        <v>3859</v>
      </c>
    </row>
    <row r="80" spans="1:13">
      <c r="A80" t="s">
        <v>4016</v>
      </c>
      <c r="B80" t="s">
        <v>4017</v>
      </c>
      <c r="C80" t="s">
        <v>4018</v>
      </c>
      <c r="D80" t="s">
        <v>3859</v>
      </c>
      <c r="G80" s="3" t="s">
        <v>5232</v>
      </c>
      <c r="H80" s="3" t="s">
        <v>5230</v>
      </c>
      <c r="J80" t="s">
        <v>4016</v>
      </c>
      <c r="K80" t="s">
        <v>4017</v>
      </c>
      <c r="L80" t="s">
        <v>4018</v>
      </c>
      <c r="M80" t="s">
        <v>3859</v>
      </c>
    </row>
    <row r="81" spans="1:13">
      <c r="A81" t="s">
        <v>4020</v>
      </c>
      <c r="B81" t="s">
        <v>4021</v>
      </c>
      <c r="C81" t="s">
        <v>4018</v>
      </c>
      <c r="D81" t="s">
        <v>3859</v>
      </c>
      <c r="G81" s="3" t="s">
        <v>5233</v>
      </c>
      <c r="H81" s="3" t="s">
        <v>5230</v>
      </c>
      <c r="J81" t="s">
        <v>4020</v>
      </c>
      <c r="K81" t="s">
        <v>4021</v>
      </c>
      <c r="L81" t="s">
        <v>4018</v>
      </c>
      <c r="M81" t="s">
        <v>3859</v>
      </c>
    </row>
    <row r="82" spans="1:13">
      <c r="A82" t="s">
        <v>4023</v>
      </c>
      <c r="B82" t="s">
        <v>4024</v>
      </c>
      <c r="C82" t="s">
        <v>4018</v>
      </c>
      <c r="D82" t="s">
        <v>3675</v>
      </c>
      <c r="G82" s="3" t="s">
        <v>5234</v>
      </c>
      <c r="H82" s="3" t="s">
        <v>5230</v>
      </c>
      <c r="J82" t="s">
        <v>4023</v>
      </c>
      <c r="K82" t="s">
        <v>4024</v>
      </c>
      <c r="L82" t="s">
        <v>4018</v>
      </c>
      <c r="M82" t="s">
        <v>3675</v>
      </c>
    </row>
    <row r="83" spans="1:13">
      <c r="A83" t="s">
        <v>4026</v>
      </c>
      <c r="B83" t="s">
        <v>4027</v>
      </c>
      <c r="C83" t="s">
        <v>4018</v>
      </c>
      <c r="D83" t="s">
        <v>3859</v>
      </c>
      <c r="G83" s="3" t="s">
        <v>5235</v>
      </c>
      <c r="H83" s="3" t="s">
        <v>5236</v>
      </c>
      <c r="J83" t="s">
        <v>4026</v>
      </c>
      <c r="K83" t="s">
        <v>4027</v>
      </c>
      <c r="L83" t="s">
        <v>4018</v>
      </c>
      <c r="M83" t="s">
        <v>3859</v>
      </c>
    </row>
    <row r="84" spans="1:13">
      <c r="A84" t="s">
        <v>4028</v>
      </c>
      <c r="B84" t="s">
        <v>4029</v>
      </c>
      <c r="C84" t="s">
        <v>4018</v>
      </c>
      <c r="D84" t="s">
        <v>4030</v>
      </c>
      <c r="G84" s="3" t="s">
        <v>5237</v>
      </c>
      <c r="H84" s="3" t="s">
        <v>5236</v>
      </c>
      <c r="J84" t="s">
        <v>4028</v>
      </c>
      <c r="K84" t="s">
        <v>4029</v>
      </c>
      <c r="L84" t="s">
        <v>4018</v>
      </c>
      <c r="M84" t="s">
        <v>4030</v>
      </c>
    </row>
    <row r="85" spans="1:13">
      <c r="A85" t="s">
        <v>4031</v>
      </c>
      <c r="B85" t="s">
        <v>4032</v>
      </c>
      <c r="C85" t="s">
        <v>4018</v>
      </c>
      <c r="D85" t="s">
        <v>67</v>
      </c>
      <c r="G85" s="3" t="s">
        <v>5238</v>
      </c>
      <c r="H85" s="3" t="s">
        <v>5236</v>
      </c>
      <c r="J85" t="s">
        <v>4031</v>
      </c>
      <c r="K85" t="s">
        <v>4032</v>
      </c>
      <c r="L85" t="s">
        <v>4018</v>
      </c>
      <c r="M85" t="s">
        <v>67</v>
      </c>
    </row>
    <row r="86" spans="1:13">
      <c r="A86" t="s">
        <v>4034</v>
      </c>
      <c r="B86" t="s">
        <v>4035</v>
      </c>
      <c r="C86" t="s">
        <v>4036</v>
      </c>
      <c r="D86" t="s">
        <v>3859</v>
      </c>
      <c r="G86" s="3" t="s">
        <v>5239</v>
      </c>
      <c r="H86" s="3" t="s">
        <v>5236</v>
      </c>
      <c r="J86" t="s">
        <v>4034</v>
      </c>
      <c r="K86" t="s">
        <v>4035</v>
      </c>
      <c r="L86" t="s">
        <v>4036</v>
      </c>
      <c r="M86" t="s">
        <v>3859</v>
      </c>
    </row>
    <row r="87" spans="1:13">
      <c r="A87" t="s">
        <v>4037</v>
      </c>
      <c r="B87" t="s">
        <v>4038</v>
      </c>
      <c r="C87" t="s">
        <v>4036</v>
      </c>
      <c r="D87" t="s">
        <v>3859</v>
      </c>
      <c r="G87" s="3" t="s">
        <v>5240</v>
      </c>
      <c r="H87" s="3" t="s">
        <v>5241</v>
      </c>
      <c r="J87" t="s">
        <v>4037</v>
      </c>
      <c r="K87" t="s">
        <v>4038</v>
      </c>
      <c r="L87" t="s">
        <v>4036</v>
      </c>
      <c r="M87" t="s">
        <v>3859</v>
      </c>
    </row>
    <row r="88" spans="1:13">
      <c r="A88" t="s">
        <v>4039</v>
      </c>
      <c r="B88" t="s">
        <v>4040</v>
      </c>
      <c r="C88" t="s">
        <v>4041</v>
      </c>
      <c r="D88" t="s">
        <v>165</v>
      </c>
      <c r="G88" s="3" t="s">
        <v>5242</v>
      </c>
      <c r="H88" s="3" t="s">
        <v>5241</v>
      </c>
      <c r="J88" t="s">
        <v>4039</v>
      </c>
      <c r="K88" t="s">
        <v>4040</v>
      </c>
      <c r="L88" t="s">
        <v>4041</v>
      </c>
      <c r="M88" t="s">
        <v>165</v>
      </c>
    </row>
    <row r="89" spans="1:13">
      <c r="A89" t="s">
        <v>4042</v>
      </c>
      <c r="B89" t="s">
        <v>4043</v>
      </c>
      <c r="C89" t="s">
        <v>3975</v>
      </c>
      <c r="D89" t="s">
        <v>3859</v>
      </c>
      <c r="G89" s="3" t="s">
        <v>5243</v>
      </c>
      <c r="H89" s="3" t="s">
        <v>5241</v>
      </c>
      <c r="J89" t="s">
        <v>4042</v>
      </c>
      <c r="K89" t="s">
        <v>4043</v>
      </c>
      <c r="L89" t="s">
        <v>3975</v>
      </c>
      <c r="M89" t="s">
        <v>3859</v>
      </c>
    </row>
    <row r="90" spans="1:13">
      <c r="A90" t="s">
        <v>4044</v>
      </c>
      <c r="B90" t="s">
        <v>4045</v>
      </c>
      <c r="C90" t="s">
        <v>3803</v>
      </c>
      <c r="D90" t="s">
        <v>3859</v>
      </c>
      <c r="G90" s="3" t="s">
        <v>5244</v>
      </c>
      <c r="H90" s="3" t="s">
        <v>5241</v>
      </c>
      <c r="J90" t="s">
        <v>4044</v>
      </c>
      <c r="K90" t="s">
        <v>4045</v>
      </c>
      <c r="L90" t="s">
        <v>3803</v>
      </c>
      <c r="M90" t="s">
        <v>3859</v>
      </c>
    </row>
    <row r="91" spans="1:13">
      <c r="A91" t="s">
        <v>4046</v>
      </c>
      <c r="B91" t="s">
        <v>4047</v>
      </c>
      <c r="C91" t="s">
        <v>3803</v>
      </c>
      <c r="D91" t="s">
        <v>3859</v>
      </c>
      <c r="G91" s="3" t="s">
        <v>5245</v>
      </c>
      <c r="H91" s="3" t="s">
        <v>5246</v>
      </c>
      <c r="J91" t="s">
        <v>4046</v>
      </c>
      <c r="K91" t="s">
        <v>4047</v>
      </c>
      <c r="L91" t="s">
        <v>3803</v>
      </c>
      <c r="M91" t="s">
        <v>3859</v>
      </c>
    </row>
    <row r="92" spans="1:13">
      <c r="A92" t="s">
        <v>4048</v>
      </c>
      <c r="B92" t="s">
        <v>4049</v>
      </c>
      <c r="C92" t="s">
        <v>4036</v>
      </c>
      <c r="D92" t="s">
        <v>3859</v>
      </c>
      <c r="G92" s="3" t="s">
        <v>5247</v>
      </c>
      <c r="H92" s="3" t="s">
        <v>5246</v>
      </c>
      <c r="J92" t="s">
        <v>4048</v>
      </c>
      <c r="K92" t="s">
        <v>4049</v>
      </c>
      <c r="L92" t="s">
        <v>4036</v>
      </c>
      <c r="M92" t="s">
        <v>3859</v>
      </c>
    </row>
    <row r="93" spans="1:13">
      <c r="A93" t="s">
        <v>4051</v>
      </c>
      <c r="B93" t="s">
        <v>4052</v>
      </c>
      <c r="C93" t="s">
        <v>4036</v>
      </c>
      <c r="D93" t="s">
        <v>3859</v>
      </c>
      <c r="G93" s="3" t="s">
        <v>5248</v>
      </c>
      <c r="H93" s="3" t="s">
        <v>5246</v>
      </c>
      <c r="J93" t="s">
        <v>4051</v>
      </c>
      <c r="K93" t="s">
        <v>4052</v>
      </c>
      <c r="L93" t="s">
        <v>4036</v>
      </c>
      <c r="M93" t="s">
        <v>3859</v>
      </c>
    </row>
    <row r="94" spans="1:13">
      <c r="A94" t="s">
        <v>4066</v>
      </c>
      <c r="B94" t="s">
        <v>4067</v>
      </c>
      <c r="C94" t="s">
        <v>4036</v>
      </c>
      <c r="D94" t="s">
        <v>3859</v>
      </c>
      <c r="G94" s="3" t="s">
        <v>5249</v>
      </c>
      <c r="H94" s="3" t="s">
        <v>5246</v>
      </c>
      <c r="J94" t="s">
        <v>4066</v>
      </c>
      <c r="K94" t="s">
        <v>4067</v>
      </c>
      <c r="L94" t="s">
        <v>4036</v>
      </c>
      <c r="M94" t="s">
        <v>3859</v>
      </c>
    </row>
    <row r="95" spans="1:13">
      <c r="A95" t="s">
        <v>4073</v>
      </c>
      <c r="B95" t="s">
        <v>4074</v>
      </c>
      <c r="C95" t="s">
        <v>3803</v>
      </c>
      <c r="D95" t="s">
        <v>3859</v>
      </c>
      <c r="G95" s="3" t="s">
        <v>5250</v>
      </c>
      <c r="H95" s="3" t="s">
        <v>5251</v>
      </c>
      <c r="J95" t="s">
        <v>4073</v>
      </c>
      <c r="K95" t="s">
        <v>4074</v>
      </c>
      <c r="L95" t="s">
        <v>3803</v>
      </c>
      <c r="M95" t="s">
        <v>3859</v>
      </c>
    </row>
    <row r="96" spans="1:13">
      <c r="A96" t="s">
        <v>4076</v>
      </c>
      <c r="B96" t="s">
        <v>4077</v>
      </c>
      <c r="C96" t="s">
        <v>3803</v>
      </c>
      <c r="D96" t="s">
        <v>3859</v>
      </c>
      <c r="G96" s="3" t="s">
        <v>5252</v>
      </c>
      <c r="H96" s="3" t="s">
        <v>5251</v>
      </c>
      <c r="J96" t="s">
        <v>4076</v>
      </c>
      <c r="K96" t="s">
        <v>4077</v>
      </c>
      <c r="L96" t="s">
        <v>3803</v>
      </c>
      <c r="M96" t="s">
        <v>3859</v>
      </c>
    </row>
    <row r="97" spans="1:13">
      <c r="A97" t="s">
        <v>4078</v>
      </c>
      <c r="B97" t="s">
        <v>4079</v>
      </c>
      <c r="C97" t="s">
        <v>3803</v>
      </c>
      <c r="D97" t="s">
        <v>3859</v>
      </c>
      <c r="G97" s="3" t="s">
        <v>5253</v>
      </c>
      <c r="H97" s="3" t="s">
        <v>5251</v>
      </c>
      <c r="J97" t="s">
        <v>4078</v>
      </c>
      <c r="K97" t="s">
        <v>4079</v>
      </c>
      <c r="L97" t="s">
        <v>3803</v>
      </c>
      <c r="M97" t="s">
        <v>3859</v>
      </c>
    </row>
    <row r="98" spans="1:13">
      <c r="A98" t="s">
        <v>4080</v>
      </c>
      <c r="B98" t="s">
        <v>4081</v>
      </c>
      <c r="C98" t="s">
        <v>3803</v>
      </c>
      <c r="D98" t="s">
        <v>3859</v>
      </c>
      <c r="G98" s="3" t="s">
        <v>5254</v>
      </c>
      <c r="H98" s="3" t="s">
        <v>5255</v>
      </c>
      <c r="J98" t="s">
        <v>4080</v>
      </c>
      <c r="K98" t="s">
        <v>4081</v>
      </c>
      <c r="L98" t="s">
        <v>3803</v>
      </c>
      <c r="M98" t="s">
        <v>3859</v>
      </c>
    </row>
    <row r="99" spans="1:13">
      <c r="A99" t="s">
        <v>4084</v>
      </c>
      <c r="B99" t="s">
        <v>4085</v>
      </c>
      <c r="C99" t="s">
        <v>4086</v>
      </c>
      <c r="D99" t="s">
        <v>3859</v>
      </c>
      <c r="G99" s="3" t="s">
        <v>5256</v>
      </c>
      <c r="H99" s="3" t="s">
        <v>5255</v>
      </c>
      <c r="J99" t="s">
        <v>4084</v>
      </c>
      <c r="K99" t="s">
        <v>4085</v>
      </c>
      <c r="L99" t="s">
        <v>4086</v>
      </c>
      <c r="M99" t="s">
        <v>3859</v>
      </c>
    </row>
    <row r="100" spans="1:13">
      <c r="A100" t="s">
        <v>4087</v>
      </c>
      <c r="B100" t="s">
        <v>4088</v>
      </c>
      <c r="C100" t="s">
        <v>3975</v>
      </c>
      <c r="D100" t="s">
        <v>3859</v>
      </c>
      <c r="G100" s="3" t="s">
        <v>5257</v>
      </c>
      <c r="H100" s="3" t="s">
        <v>5255</v>
      </c>
      <c r="J100" t="s">
        <v>4087</v>
      </c>
      <c r="K100" t="s">
        <v>4088</v>
      </c>
      <c r="L100" t="s">
        <v>3975</v>
      </c>
      <c r="M100" t="s">
        <v>3859</v>
      </c>
    </row>
    <row r="101" spans="1:13">
      <c r="A101" t="s">
        <v>4090</v>
      </c>
      <c r="B101" t="s">
        <v>4091</v>
      </c>
      <c r="C101" t="s">
        <v>3792</v>
      </c>
      <c r="D101" t="s">
        <v>3859</v>
      </c>
      <c r="G101" s="3" t="s">
        <v>5258</v>
      </c>
      <c r="H101" s="3" t="s">
        <v>5255</v>
      </c>
      <c r="J101" t="s">
        <v>4090</v>
      </c>
      <c r="K101" t="s">
        <v>4091</v>
      </c>
      <c r="L101" t="s">
        <v>3792</v>
      </c>
      <c r="M101" t="s">
        <v>3859</v>
      </c>
    </row>
    <row r="102" spans="1:13">
      <c r="A102" t="s">
        <v>4092</v>
      </c>
      <c r="B102" t="s">
        <v>4093</v>
      </c>
      <c r="C102" t="s">
        <v>4094</v>
      </c>
      <c r="D102" t="s">
        <v>3859</v>
      </c>
      <c r="G102" s="3" t="s">
        <v>5259</v>
      </c>
      <c r="H102" s="3" t="s">
        <v>5260</v>
      </c>
      <c r="J102" t="s">
        <v>4092</v>
      </c>
      <c r="K102" t="s">
        <v>4093</v>
      </c>
      <c r="L102" t="s">
        <v>4094</v>
      </c>
      <c r="M102" t="s">
        <v>3859</v>
      </c>
    </row>
    <row r="103" spans="1:13">
      <c r="A103" t="s">
        <v>4095</v>
      </c>
      <c r="B103" t="s">
        <v>4096</v>
      </c>
      <c r="C103" t="s">
        <v>3660</v>
      </c>
      <c r="D103" t="s">
        <v>3859</v>
      </c>
      <c r="G103" s="3" t="s">
        <v>5261</v>
      </c>
      <c r="H103" s="3" t="s">
        <v>5260</v>
      </c>
      <c r="J103" t="s">
        <v>4095</v>
      </c>
      <c r="K103" t="s">
        <v>4096</v>
      </c>
      <c r="L103" t="s">
        <v>3660</v>
      </c>
      <c r="M103" t="s">
        <v>3859</v>
      </c>
    </row>
    <row r="104" spans="1:13">
      <c r="A104" t="s">
        <v>4098</v>
      </c>
      <c r="B104" t="s">
        <v>4099</v>
      </c>
      <c r="C104" t="s">
        <v>3660</v>
      </c>
      <c r="D104" t="s">
        <v>3859</v>
      </c>
      <c r="G104" s="3" t="s">
        <v>5262</v>
      </c>
      <c r="H104" s="3" t="s">
        <v>5260</v>
      </c>
      <c r="J104" t="s">
        <v>4098</v>
      </c>
      <c r="K104" t="s">
        <v>4099</v>
      </c>
      <c r="L104" t="s">
        <v>3660</v>
      </c>
      <c r="M104" t="s">
        <v>3859</v>
      </c>
    </row>
    <row r="105" spans="1:13">
      <c r="A105" t="s">
        <v>4102</v>
      </c>
      <c r="B105" t="s">
        <v>4103</v>
      </c>
      <c r="C105" t="s">
        <v>3660</v>
      </c>
      <c r="D105" t="s">
        <v>3859</v>
      </c>
      <c r="G105" s="3" t="s">
        <v>5263</v>
      </c>
      <c r="H105" s="3" t="s">
        <v>5260</v>
      </c>
      <c r="J105" t="s">
        <v>4102</v>
      </c>
      <c r="K105" t="s">
        <v>4103</v>
      </c>
      <c r="L105" t="s">
        <v>3660</v>
      </c>
      <c r="M105" t="s">
        <v>3859</v>
      </c>
    </row>
    <row r="106" spans="1:13">
      <c r="A106" t="s">
        <v>4105</v>
      </c>
      <c r="B106" t="s">
        <v>4106</v>
      </c>
      <c r="C106" t="s">
        <v>4107</v>
      </c>
      <c r="D106" t="s">
        <v>3859</v>
      </c>
      <c r="G106" s="3" t="s">
        <v>5264</v>
      </c>
      <c r="H106" s="3" t="s">
        <v>5260</v>
      </c>
      <c r="J106" t="s">
        <v>4105</v>
      </c>
      <c r="K106" t="s">
        <v>4106</v>
      </c>
      <c r="L106" t="s">
        <v>4107</v>
      </c>
      <c r="M106" t="s">
        <v>3859</v>
      </c>
    </row>
    <row r="107" spans="1:13">
      <c r="A107" t="s">
        <v>4109</v>
      </c>
      <c r="B107" t="s">
        <v>4110</v>
      </c>
      <c r="C107" t="s">
        <v>4107</v>
      </c>
      <c r="D107" t="s">
        <v>3859</v>
      </c>
      <c r="G107" s="3" t="s">
        <v>5265</v>
      </c>
      <c r="H107" s="3" t="s">
        <v>5266</v>
      </c>
      <c r="J107" t="s">
        <v>4109</v>
      </c>
      <c r="K107" t="s">
        <v>4110</v>
      </c>
      <c r="L107" t="s">
        <v>4107</v>
      </c>
      <c r="M107" t="s">
        <v>3859</v>
      </c>
    </row>
    <row r="108" spans="1:13">
      <c r="A108" t="s">
        <v>4112</v>
      </c>
      <c r="B108" t="s">
        <v>4113</v>
      </c>
      <c r="C108" t="s">
        <v>4114</v>
      </c>
      <c r="D108" t="s">
        <v>3644</v>
      </c>
      <c r="G108" s="3" t="s">
        <v>5267</v>
      </c>
      <c r="H108" s="3" t="s">
        <v>5266</v>
      </c>
      <c r="J108" t="s">
        <v>4112</v>
      </c>
      <c r="K108" t="s">
        <v>4113</v>
      </c>
      <c r="L108" t="s">
        <v>4114</v>
      </c>
      <c r="M108" t="s">
        <v>3644</v>
      </c>
    </row>
    <row r="109" spans="1:13">
      <c r="A109" t="s">
        <v>4116</v>
      </c>
      <c r="B109" t="s">
        <v>4117</v>
      </c>
      <c r="C109" t="s">
        <v>4114</v>
      </c>
      <c r="D109" t="s">
        <v>3859</v>
      </c>
      <c r="G109" s="3" t="s">
        <v>5268</v>
      </c>
      <c r="H109" s="3" t="s">
        <v>5266</v>
      </c>
      <c r="J109" t="s">
        <v>4116</v>
      </c>
      <c r="K109" t="s">
        <v>4117</v>
      </c>
      <c r="L109" t="s">
        <v>4114</v>
      </c>
      <c r="M109" t="s">
        <v>3859</v>
      </c>
    </row>
    <row r="110" spans="1:13">
      <c r="A110" t="s">
        <v>4119</v>
      </c>
      <c r="B110" t="s">
        <v>4120</v>
      </c>
      <c r="C110" t="s">
        <v>4114</v>
      </c>
      <c r="D110" t="s">
        <v>3859</v>
      </c>
      <c r="G110" s="3" t="s">
        <v>5269</v>
      </c>
      <c r="H110" s="3" t="s">
        <v>5266</v>
      </c>
      <c r="J110" t="s">
        <v>4119</v>
      </c>
      <c r="K110" t="s">
        <v>4120</v>
      </c>
      <c r="L110" t="s">
        <v>4114</v>
      </c>
      <c r="M110" t="s">
        <v>3859</v>
      </c>
    </row>
    <row r="111" spans="1:13">
      <c r="A111" t="s">
        <v>4122</v>
      </c>
      <c r="B111" t="s">
        <v>4123</v>
      </c>
      <c r="C111" t="s">
        <v>4114</v>
      </c>
      <c r="D111" t="s">
        <v>3859</v>
      </c>
      <c r="G111" s="3" t="s">
        <v>5270</v>
      </c>
      <c r="H111" s="3" t="s">
        <v>5271</v>
      </c>
      <c r="J111" t="s">
        <v>4122</v>
      </c>
      <c r="K111" t="s">
        <v>4123</v>
      </c>
      <c r="L111" t="s">
        <v>4114</v>
      </c>
      <c r="M111" t="s">
        <v>3859</v>
      </c>
    </row>
    <row r="112" spans="1:13">
      <c r="A112" t="s">
        <v>4124</v>
      </c>
      <c r="B112" t="s">
        <v>4125</v>
      </c>
      <c r="C112" t="s">
        <v>4114</v>
      </c>
      <c r="D112" t="s">
        <v>3859</v>
      </c>
      <c r="G112" s="3" t="s">
        <v>5272</v>
      </c>
      <c r="H112" s="3" t="s">
        <v>5271</v>
      </c>
      <c r="J112" t="s">
        <v>4124</v>
      </c>
      <c r="K112" t="s">
        <v>4125</v>
      </c>
      <c r="L112" t="s">
        <v>4114</v>
      </c>
      <c r="M112" t="s">
        <v>3859</v>
      </c>
    </row>
    <row r="113" spans="1:13">
      <c r="A113" t="s">
        <v>4126</v>
      </c>
      <c r="B113" t="s">
        <v>4127</v>
      </c>
      <c r="C113" t="s">
        <v>4114</v>
      </c>
      <c r="D113" t="s">
        <v>3859</v>
      </c>
      <c r="G113" s="3" t="s">
        <v>5273</v>
      </c>
      <c r="H113" s="3" t="s">
        <v>5271</v>
      </c>
      <c r="J113" t="s">
        <v>4126</v>
      </c>
      <c r="K113" t="s">
        <v>4127</v>
      </c>
      <c r="L113" t="s">
        <v>4114</v>
      </c>
      <c r="M113" t="s">
        <v>3859</v>
      </c>
    </row>
    <row r="114" spans="1:13">
      <c r="A114" t="s">
        <v>4128</v>
      </c>
      <c r="B114" t="s">
        <v>4129</v>
      </c>
      <c r="C114" t="s">
        <v>4114</v>
      </c>
      <c r="D114" t="s">
        <v>3859</v>
      </c>
      <c r="G114" s="3" t="s">
        <v>5274</v>
      </c>
      <c r="H114" s="3" t="s">
        <v>5271</v>
      </c>
      <c r="J114" t="s">
        <v>4128</v>
      </c>
      <c r="K114" t="s">
        <v>4129</v>
      </c>
      <c r="L114" t="s">
        <v>4114</v>
      </c>
      <c r="M114" t="s">
        <v>3859</v>
      </c>
    </row>
    <row r="115" spans="1:13">
      <c r="A115" t="s">
        <v>4130</v>
      </c>
      <c r="B115" t="s">
        <v>4131</v>
      </c>
      <c r="C115" t="s">
        <v>4114</v>
      </c>
      <c r="D115" t="s">
        <v>3859</v>
      </c>
      <c r="G115" s="3" t="s">
        <v>5275</v>
      </c>
      <c r="H115" s="3" t="s">
        <v>5271</v>
      </c>
      <c r="J115" t="s">
        <v>4130</v>
      </c>
      <c r="K115" t="s">
        <v>4131</v>
      </c>
      <c r="L115" t="s">
        <v>4114</v>
      </c>
      <c r="M115" t="s">
        <v>3859</v>
      </c>
    </row>
    <row r="116" spans="1:13">
      <c r="A116" t="s">
        <v>4132</v>
      </c>
      <c r="B116" t="s">
        <v>4133</v>
      </c>
      <c r="C116" t="s">
        <v>3660</v>
      </c>
      <c r="D116" t="s">
        <v>3859</v>
      </c>
      <c r="G116" s="3" t="s">
        <v>5276</v>
      </c>
      <c r="H116" s="3" t="s">
        <v>5277</v>
      </c>
      <c r="J116" t="s">
        <v>4132</v>
      </c>
      <c r="K116" t="s">
        <v>4133</v>
      </c>
      <c r="L116" t="s">
        <v>3660</v>
      </c>
      <c r="M116" t="s">
        <v>3859</v>
      </c>
    </row>
    <row r="117" spans="1:13">
      <c r="A117" t="s">
        <v>4134</v>
      </c>
      <c r="B117" t="s">
        <v>4135</v>
      </c>
      <c r="C117" t="s">
        <v>3660</v>
      </c>
      <c r="D117" t="s">
        <v>3859</v>
      </c>
      <c r="G117" s="3" t="s">
        <v>5278</v>
      </c>
      <c r="H117" s="3" t="s">
        <v>5277</v>
      </c>
      <c r="J117" t="s">
        <v>4134</v>
      </c>
      <c r="K117" t="s">
        <v>4135</v>
      </c>
      <c r="L117" t="s">
        <v>3660</v>
      </c>
      <c r="M117" t="s">
        <v>3859</v>
      </c>
    </row>
    <row r="118" spans="1:13">
      <c r="A118" t="s">
        <v>4136</v>
      </c>
      <c r="B118" t="s">
        <v>4137</v>
      </c>
      <c r="C118" t="s">
        <v>3886</v>
      </c>
      <c r="D118" t="s">
        <v>3859</v>
      </c>
      <c r="G118" s="3" t="s">
        <v>5279</v>
      </c>
      <c r="H118" s="3" t="s">
        <v>5277</v>
      </c>
      <c r="J118" t="s">
        <v>4136</v>
      </c>
      <c r="K118" t="s">
        <v>4137</v>
      </c>
      <c r="L118" t="s">
        <v>3886</v>
      </c>
      <c r="M118" t="s">
        <v>3859</v>
      </c>
    </row>
    <row r="119" spans="1:13">
      <c r="A119" t="s">
        <v>4138</v>
      </c>
      <c r="B119" t="s">
        <v>4139</v>
      </c>
      <c r="C119" t="s">
        <v>3921</v>
      </c>
      <c r="D119" t="s">
        <v>3859</v>
      </c>
      <c r="G119" s="3" t="s">
        <v>5280</v>
      </c>
      <c r="H119" s="3" t="s">
        <v>5277</v>
      </c>
      <c r="J119" t="s">
        <v>4138</v>
      </c>
      <c r="K119" t="s">
        <v>4139</v>
      </c>
      <c r="L119" t="s">
        <v>3921</v>
      </c>
      <c r="M119" t="s">
        <v>3859</v>
      </c>
    </row>
    <row r="120" spans="1:13">
      <c r="A120" t="s">
        <v>4140</v>
      </c>
      <c r="B120" t="s">
        <v>4141</v>
      </c>
      <c r="C120" t="s">
        <v>3803</v>
      </c>
      <c r="D120" t="s">
        <v>3859</v>
      </c>
      <c r="G120" s="3" t="s">
        <v>5281</v>
      </c>
      <c r="H120" s="3" t="s">
        <v>5282</v>
      </c>
      <c r="J120" t="s">
        <v>4140</v>
      </c>
      <c r="K120" t="s">
        <v>4141</v>
      </c>
      <c r="L120" t="s">
        <v>3803</v>
      </c>
      <c r="M120" t="s">
        <v>3859</v>
      </c>
    </row>
    <row r="121" spans="1:13">
      <c r="A121" t="s">
        <v>4142</v>
      </c>
      <c r="B121" t="s">
        <v>4143</v>
      </c>
      <c r="C121" t="s">
        <v>4144</v>
      </c>
      <c r="D121" t="s">
        <v>3859</v>
      </c>
      <c r="G121" s="3" t="s">
        <v>5283</v>
      </c>
      <c r="H121" s="3" t="s">
        <v>5282</v>
      </c>
      <c r="J121" t="s">
        <v>4142</v>
      </c>
      <c r="K121" t="s">
        <v>4143</v>
      </c>
      <c r="L121" t="s">
        <v>4144</v>
      </c>
      <c r="M121" t="s">
        <v>3859</v>
      </c>
    </row>
    <row r="122" spans="1:13">
      <c r="A122" t="s">
        <v>4145</v>
      </c>
      <c r="B122" t="s">
        <v>4146</v>
      </c>
      <c r="C122" t="s">
        <v>2074</v>
      </c>
      <c r="D122" t="s">
        <v>3859</v>
      </c>
      <c r="G122" s="3" t="s">
        <v>5284</v>
      </c>
      <c r="H122" s="3" t="s">
        <v>5282</v>
      </c>
      <c r="J122" t="s">
        <v>4145</v>
      </c>
      <c r="K122" t="s">
        <v>4146</v>
      </c>
      <c r="L122" t="s">
        <v>2074</v>
      </c>
      <c r="M122" t="s">
        <v>3859</v>
      </c>
    </row>
    <row r="123" spans="1:13">
      <c r="A123" t="s">
        <v>4147</v>
      </c>
      <c r="B123" t="s">
        <v>4148</v>
      </c>
      <c r="C123" t="s">
        <v>2074</v>
      </c>
      <c r="D123" t="s">
        <v>3859</v>
      </c>
      <c r="G123" s="3" t="s">
        <v>5285</v>
      </c>
      <c r="H123" s="3" t="s">
        <v>5282</v>
      </c>
      <c r="J123" t="s">
        <v>4147</v>
      </c>
      <c r="K123" t="s">
        <v>4148</v>
      </c>
      <c r="L123" t="s">
        <v>2074</v>
      </c>
      <c r="M123" t="s">
        <v>3859</v>
      </c>
    </row>
    <row r="124" spans="1:13">
      <c r="A124" t="s">
        <v>4150</v>
      </c>
      <c r="B124" t="s">
        <v>4151</v>
      </c>
      <c r="C124" t="s">
        <v>3660</v>
      </c>
      <c r="D124" t="s">
        <v>3859</v>
      </c>
      <c r="G124" s="3" t="s">
        <v>5286</v>
      </c>
      <c r="H124" s="3" t="s">
        <v>5287</v>
      </c>
      <c r="J124" t="s">
        <v>4150</v>
      </c>
      <c r="K124" t="s">
        <v>4151</v>
      </c>
      <c r="L124" t="s">
        <v>3660</v>
      </c>
      <c r="M124" t="s">
        <v>3859</v>
      </c>
    </row>
    <row r="125" spans="1:13">
      <c r="A125" t="s">
        <v>4152</v>
      </c>
      <c r="B125" t="s">
        <v>4153</v>
      </c>
      <c r="C125" t="s">
        <v>4107</v>
      </c>
      <c r="D125" t="s">
        <v>3859</v>
      </c>
      <c r="G125" s="3" t="s">
        <v>5288</v>
      </c>
      <c r="H125" s="3" t="s">
        <v>5287</v>
      </c>
      <c r="J125" t="s">
        <v>4152</v>
      </c>
      <c r="K125" t="s">
        <v>4153</v>
      </c>
      <c r="L125" t="s">
        <v>4107</v>
      </c>
      <c r="M125" t="s">
        <v>3859</v>
      </c>
    </row>
    <row r="126" spans="1:13">
      <c r="A126" t="s">
        <v>4154</v>
      </c>
      <c r="B126" t="s">
        <v>4155</v>
      </c>
      <c r="C126" t="s">
        <v>3660</v>
      </c>
      <c r="D126" t="s">
        <v>3859</v>
      </c>
      <c r="G126" s="3" t="s">
        <v>5289</v>
      </c>
      <c r="H126" s="3" t="s">
        <v>5287</v>
      </c>
      <c r="J126" t="s">
        <v>4154</v>
      </c>
      <c r="K126" t="s">
        <v>4155</v>
      </c>
      <c r="L126" t="s">
        <v>3660</v>
      </c>
      <c r="M126" t="s">
        <v>3859</v>
      </c>
    </row>
    <row r="127" spans="1:13">
      <c r="A127" t="s">
        <v>4157</v>
      </c>
      <c r="B127" t="s">
        <v>4158</v>
      </c>
      <c r="C127" t="s">
        <v>4018</v>
      </c>
      <c r="D127" t="s">
        <v>4159</v>
      </c>
      <c r="G127" s="3" t="s">
        <v>5290</v>
      </c>
      <c r="H127" s="3" t="s">
        <v>5287</v>
      </c>
      <c r="J127" t="s">
        <v>4157</v>
      </c>
      <c r="K127" t="s">
        <v>4158</v>
      </c>
      <c r="L127" t="s">
        <v>4018</v>
      </c>
      <c r="M127" t="s">
        <v>4159</v>
      </c>
    </row>
    <row r="128" spans="1:13">
      <c r="A128" t="s">
        <v>4160</v>
      </c>
      <c r="B128" t="s">
        <v>4161</v>
      </c>
      <c r="C128" t="s">
        <v>4018</v>
      </c>
      <c r="D128" t="s">
        <v>3859</v>
      </c>
      <c r="G128" s="3" t="s">
        <v>5291</v>
      </c>
      <c r="H128" s="3" t="s">
        <v>5287</v>
      </c>
      <c r="J128" t="s">
        <v>4160</v>
      </c>
      <c r="K128" t="s">
        <v>4161</v>
      </c>
      <c r="L128" t="s">
        <v>4018</v>
      </c>
      <c r="M128" t="s">
        <v>3859</v>
      </c>
    </row>
    <row r="129" spans="1:13">
      <c r="A129" t="s">
        <v>4163</v>
      </c>
      <c r="B129" t="s">
        <v>4164</v>
      </c>
      <c r="C129" t="s">
        <v>4018</v>
      </c>
      <c r="D129" t="s">
        <v>3859</v>
      </c>
      <c r="G129" s="3" t="s">
        <v>5292</v>
      </c>
      <c r="H129" s="3" t="s">
        <v>5293</v>
      </c>
      <c r="J129" t="s">
        <v>4163</v>
      </c>
      <c r="K129" t="s">
        <v>4164</v>
      </c>
      <c r="L129" t="s">
        <v>4018</v>
      </c>
      <c r="M129" t="s">
        <v>3859</v>
      </c>
    </row>
    <row r="130" spans="1:13">
      <c r="A130" t="s">
        <v>4165</v>
      </c>
      <c r="B130" t="s">
        <v>4166</v>
      </c>
      <c r="C130" t="s">
        <v>3886</v>
      </c>
      <c r="D130" t="s">
        <v>3859</v>
      </c>
      <c r="G130" s="3" t="s">
        <v>5294</v>
      </c>
      <c r="H130" s="3" t="s">
        <v>5293</v>
      </c>
      <c r="J130" t="s">
        <v>4165</v>
      </c>
      <c r="K130" t="s">
        <v>4166</v>
      </c>
      <c r="L130" t="s">
        <v>3886</v>
      </c>
      <c r="M130" t="s">
        <v>3859</v>
      </c>
    </row>
    <row r="131" spans="1:13">
      <c r="A131" t="s">
        <v>4167</v>
      </c>
      <c r="B131" t="s">
        <v>4168</v>
      </c>
      <c r="C131" t="s">
        <v>3886</v>
      </c>
      <c r="D131" t="s">
        <v>3641</v>
      </c>
      <c r="G131" s="3" t="s">
        <v>5295</v>
      </c>
      <c r="H131" s="3" t="s">
        <v>5293</v>
      </c>
      <c r="J131" t="s">
        <v>4167</v>
      </c>
      <c r="K131" t="s">
        <v>4168</v>
      </c>
      <c r="L131" t="s">
        <v>3886</v>
      </c>
      <c r="M131" t="s">
        <v>3641</v>
      </c>
    </row>
    <row r="132" spans="1:13">
      <c r="A132" t="s">
        <v>4169</v>
      </c>
      <c r="B132" t="s">
        <v>4170</v>
      </c>
      <c r="C132" t="s">
        <v>3998</v>
      </c>
      <c r="D132" t="s">
        <v>3859</v>
      </c>
      <c r="G132" s="3" t="s">
        <v>5296</v>
      </c>
      <c r="H132" s="3" t="s">
        <v>5293</v>
      </c>
      <c r="J132" t="s">
        <v>4169</v>
      </c>
      <c r="K132" t="s">
        <v>4170</v>
      </c>
      <c r="L132" t="s">
        <v>3998</v>
      </c>
      <c r="M132" t="s">
        <v>3859</v>
      </c>
    </row>
    <row r="133" spans="1:13">
      <c r="A133" t="s">
        <v>4171</v>
      </c>
      <c r="B133" t="s">
        <v>4172</v>
      </c>
      <c r="C133" t="s">
        <v>2074</v>
      </c>
      <c r="D133" t="s">
        <v>3859</v>
      </c>
      <c r="G133" s="3" t="s">
        <v>5297</v>
      </c>
      <c r="H133" s="3" t="s">
        <v>5298</v>
      </c>
      <c r="J133" t="s">
        <v>4171</v>
      </c>
      <c r="K133" t="s">
        <v>4172</v>
      </c>
      <c r="L133" t="s">
        <v>2074</v>
      </c>
      <c r="M133" t="s">
        <v>3859</v>
      </c>
    </row>
    <row r="134" spans="1:13">
      <c r="A134" t="s">
        <v>4174</v>
      </c>
      <c r="B134" t="s">
        <v>4175</v>
      </c>
      <c r="C134" t="s">
        <v>3886</v>
      </c>
      <c r="D134" t="s">
        <v>3859</v>
      </c>
      <c r="G134" s="3" t="s">
        <v>5299</v>
      </c>
      <c r="H134" s="3" t="s">
        <v>5298</v>
      </c>
      <c r="J134" t="s">
        <v>4174</v>
      </c>
      <c r="K134" t="s">
        <v>4175</v>
      </c>
      <c r="L134" t="s">
        <v>3886</v>
      </c>
      <c r="M134" t="s">
        <v>3859</v>
      </c>
    </row>
    <row r="135" spans="1:13">
      <c r="A135" t="s">
        <v>4176</v>
      </c>
      <c r="B135" t="s">
        <v>4177</v>
      </c>
      <c r="C135" t="s">
        <v>3886</v>
      </c>
      <c r="D135" t="s">
        <v>3859</v>
      </c>
      <c r="G135" s="3" t="s">
        <v>5300</v>
      </c>
      <c r="H135" s="3" t="s">
        <v>5298</v>
      </c>
      <c r="J135" t="s">
        <v>4176</v>
      </c>
      <c r="K135" t="s">
        <v>4177</v>
      </c>
      <c r="L135" t="s">
        <v>3886</v>
      </c>
      <c r="M135" t="s">
        <v>3859</v>
      </c>
    </row>
    <row r="136" spans="1:13">
      <c r="A136" t="s">
        <v>4178</v>
      </c>
      <c r="B136" t="s">
        <v>4179</v>
      </c>
      <c r="C136" t="s">
        <v>3803</v>
      </c>
      <c r="D136" t="s">
        <v>3859</v>
      </c>
      <c r="G136" s="3" t="s">
        <v>5301</v>
      </c>
      <c r="H136" s="3" t="s">
        <v>5298</v>
      </c>
      <c r="J136" t="s">
        <v>4178</v>
      </c>
      <c r="K136" t="s">
        <v>4179</v>
      </c>
      <c r="L136" t="s">
        <v>3803</v>
      </c>
      <c r="M136" t="s">
        <v>3859</v>
      </c>
    </row>
    <row r="137" spans="1:13">
      <c r="A137" t="s">
        <v>4181</v>
      </c>
      <c r="B137" t="s">
        <v>4182</v>
      </c>
      <c r="C137" t="s">
        <v>3803</v>
      </c>
      <c r="D137" t="s">
        <v>3859</v>
      </c>
      <c r="G137" s="3" t="s">
        <v>5302</v>
      </c>
      <c r="H137" s="3" t="s">
        <v>5303</v>
      </c>
      <c r="J137" t="s">
        <v>4181</v>
      </c>
      <c r="K137" t="s">
        <v>4182</v>
      </c>
      <c r="L137" t="s">
        <v>3803</v>
      </c>
      <c r="M137" t="s">
        <v>3859</v>
      </c>
    </row>
    <row r="138" spans="1:13">
      <c r="A138" t="s">
        <v>4184</v>
      </c>
      <c r="B138" t="s">
        <v>4185</v>
      </c>
      <c r="C138" t="s">
        <v>3998</v>
      </c>
      <c r="D138" t="s">
        <v>3859</v>
      </c>
      <c r="G138" s="3" t="s">
        <v>5304</v>
      </c>
      <c r="H138" s="3" t="s">
        <v>5303</v>
      </c>
      <c r="J138" t="s">
        <v>4184</v>
      </c>
      <c r="K138" t="s">
        <v>4185</v>
      </c>
      <c r="L138" t="s">
        <v>3998</v>
      </c>
      <c r="M138" t="s">
        <v>3859</v>
      </c>
    </row>
    <row r="139" spans="1:13">
      <c r="A139" t="s">
        <v>4186</v>
      </c>
      <c r="B139" t="s">
        <v>4187</v>
      </c>
      <c r="C139" t="s">
        <v>4036</v>
      </c>
      <c r="D139" t="s">
        <v>3859</v>
      </c>
      <c r="G139" s="3" t="s">
        <v>5305</v>
      </c>
      <c r="H139" s="3" t="s">
        <v>5303</v>
      </c>
      <c r="J139" t="s">
        <v>4186</v>
      </c>
      <c r="K139" t="s">
        <v>4187</v>
      </c>
      <c r="L139" t="s">
        <v>4036</v>
      </c>
      <c r="M139" t="s">
        <v>3859</v>
      </c>
    </row>
    <row r="140" spans="1:13">
      <c r="A140" t="s">
        <v>4188</v>
      </c>
      <c r="B140" t="s">
        <v>4189</v>
      </c>
      <c r="C140" t="s">
        <v>3886</v>
      </c>
      <c r="D140" t="s">
        <v>3859</v>
      </c>
      <c r="G140" s="3" t="s">
        <v>5306</v>
      </c>
      <c r="H140" s="3" t="s">
        <v>5303</v>
      </c>
      <c r="J140" t="s">
        <v>4188</v>
      </c>
      <c r="K140" t="s">
        <v>4189</v>
      </c>
      <c r="L140" t="s">
        <v>3886</v>
      </c>
      <c r="M140" t="s">
        <v>3859</v>
      </c>
    </row>
    <row r="141" spans="1:13">
      <c r="A141" t="s">
        <v>5307</v>
      </c>
      <c r="B141" t="s">
        <v>4191</v>
      </c>
      <c r="C141" t="s">
        <v>4114</v>
      </c>
      <c r="D141" t="s">
        <v>3671</v>
      </c>
      <c r="G141" s="3" t="s">
        <v>5308</v>
      </c>
      <c r="H141" s="3" t="s">
        <v>5309</v>
      </c>
      <c r="J141" t="s">
        <v>5307</v>
      </c>
      <c r="K141" t="s">
        <v>4191</v>
      </c>
      <c r="L141" t="s">
        <v>4114</v>
      </c>
      <c r="M141" t="s">
        <v>3671</v>
      </c>
    </row>
    <row r="142" spans="1:13">
      <c r="A142" t="s">
        <v>5307</v>
      </c>
      <c r="B142" t="s">
        <v>4194</v>
      </c>
      <c r="C142" t="s">
        <v>3886</v>
      </c>
      <c r="D142" t="s">
        <v>3636</v>
      </c>
      <c r="G142" s="3" t="s">
        <v>5310</v>
      </c>
      <c r="H142" s="3" t="s">
        <v>5309</v>
      </c>
      <c r="J142" t="s">
        <v>5307</v>
      </c>
      <c r="K142" t="s">
        <v>4194</v>
      </c>
      <c r="L142" t="s">
        <v>3886</v>
      </c>
      <c r="M142" t="s">
        <v>3636</v>
      </c>
    </row>
    <row r="143" spans="1:13">
      <c r="A143" t="s">
        <v>5307</v>
      </c>
      <c r="B143" t="s">
        <v>4197</v>
      </c>
      <c r="C143" t="s">
        <v>4114</v>
      </c>
      <c r="D143" t="s">
        <v>3637</v>
      </c>
      <c r="G143" s="3" t="s">
        <v>5311</v>
      </c>
      <c r="H143" s="3" t="s">
        <v>5309</v>
      </c>
      <c r="J143" t="s">
        <v>5307</v>
      </c>
      <c r="K143" t="s">
        <v>4197</v>
      </c>
      <c r="L143" t="s">
        <v>4114</v>
      </c>
      <c r="M143" t="s">
        <v>3637</v>
      </c>
    </row>
    <row r="144" spans="1:13">
      <c r="A144" t="s">
        <v>5307</v>
      </c>
      <c r="D144" t="s">
        <v>3859</v>
      </c>
      <c r="G144" s="3" t="s">
        <v>5312</v>
      </c>
      <c r="H144" s="3" t="s">
        <v>5309</v>
      </c>
      <c r="J144" t="s">
        <v>5307</v>
      </c>
      <c r="K144" t="s">
        <v>4053</v>
      </c>
      <c r="M144" t="s">
        <v>3859</v>
      </c>
    </row>
    <row r="145" spans="7:8">
      <c r="G145" s="3" t="s">
        <v>5313</v>
      </c>
      <c r="H145" s="3" t="s">
        <v>5309</v>
      </c>
    </row>
    <row r="146" spans="7:8">
      <c r="G146" s="3" t="s">
        <v>5314</v>
      </c>
      <c r="H146" s="3" t="s">
        <v>5315</v>
      </c>
    </row>
    <row r="147" spans="7:8">
      <c r="G147" s="3" t="s">
        <v>5316</v>
      </c>
      <c r="H147" s="3" t="s">
        <v>5315</v>
      </c>
    </row>
    <row r="148" spans="7:8">
      <c r="G148" s="3" t="s">
        <v>5317</v>
      </c>
      <c r="H148" s="3" t="s">
        <v>5315</v>
      </c>
    </row>
    <row r="149" spans="7:8">
      <c r="G149" s="3" t="s">
        <v>5318</v>
      </c>
      <c r="H149" s="3" t="s">
        <v>5315</v>
      </c>
    </row>
    <row r="150" spans="7:8">
      <c r="G150" s="3" t="s">
        <v>5319</v>
      </c>
      <c r="H150" s="3" t="s">
        <v>5320</v>
      </c>
    </row>
    <row r="151" spans="7:8">
      <c r="G151" s="3" t="s">
        <v>5321</v>
      </c>
      <c r="H151" s="3" t="s">
        <v>5320</v>
      </c>
    </row>
    <row r="152" spans="7:8">
      <c r="G152" s="3" t="s">
        <v>5322</v>
      </c>
      <c r="H152" s="3" t="s">
        <v>5320</v>
      </c>
    </row>
    <row r="153" spans="7:8">
      <c r="G153" s="3" t="s">
        <v>5323</v>
      </c>
      <c r="H153" s="3" t="s">
        <v>5320</v>
      </c>
    </row>
    <row r="154" spans="7:8">
      <c r="G154" s="3" t="s">
        <v>5324</v>
      </c>
      <c r="H154" s="3" t="s">
        <v>5325</v>
      </c>
    </row>
    <row r="155" spans="7:8">
      <c r="G155" s="3" t="s">
        <v>5326</v>
      </c>
      <c r="H155" s="3" t="s">
        <v>5325</v>
      </c>
    </row>
    <row r="156" spans="7:8">
      <c r="G156" s="3" t="s">
        <v>5327</v>
      </c>
      <c r="H156" s="3" t="s">
        <v>5325</v>
      </c>
    </row>
    <row r="157" spans="7:8">
      <c r="G157" s="3" t="s">
        <v>5328</v>
      </c>
      <c r="H157" s="3" t="s">
        <v>5325</v>
      </c>
    </row>
    <row r="158" spans="7:8">
      <c r="G158" s="3" t="s">
        <v>5329</v>
      </c>
      <c r="H158" s="3" t="s">
        <v>5325</v>
      </c>
    </row>
    <row r="159" spans="7:8">
      <c r="G159" s="3" t="s">
        <v>5330</v>
      </c>
      <c r="H159" s="3" t="s">
        <v>5331</v>
      </c>
    </row>
    <row r="160" spans="7:8">
      <c r="G160" s="3" t="s">
        <v>5332</v>
      </c>
      <c r="H160" s="3" t="s">
        <v>5331</v>
      </c>
    </row>
    <row r="161" spans="7:8">
      <c r="G161" s="3" t="s">
        <v>5333</v>
      </c>
      <c r="H161" s="3" t="s">
        <v>5331</v>
      </c>
    </row>
    <row r="162" spans="7:8">
      <c r="G162" s="3" t="s">
        <v>5334</v>
      </c>
      <c r="H162" s="3" t="s">
        <v>5331</v>
      </c>
    </row>
    <row r="163" spans="7:8">
      <c r="G163" s="3" t="s">
        <v>5335</v>
      </c>
      <c r="H163" s="3" t="s">
        <v>5336</v>
      </c>
    </row>
    <row r="164" spans="7:8">
      <c r="G164" s="3" t="s">
        <v>5337</v>
      </c>
      <c r="H164" s="3" t="s">
        <v>5336</v>
      </c>
    </row>
    <row r="165" spans="7:8">
      <c r="G165" s="3" t="s">
        <v>5338</v>
      </c>
      <c r="H165" s="3" t="s">
        <v>5336</v>
      </c>
    </row>
    <row r="166" spans="7:8">
      <c r="G166" s="3" t="s">
        <v>5339</v>
      </c>
      <c r="H166" s="3" t="s">
        <v>5336</v>
      </c>
    </row>
    <row r="167" spans="7:8">
      <c r="G167" s="3" t="s">
        <v>5340</v>
      </c>
      <c r="H167" s="3" t="s">
        <v>5336</v>
      </c>
    </row>
    <row r="168" spans="7:8">
      <c r="G168" s="2" t="s">
        <v>5341</v>
      </c>
      <c r="H168" s="3" t="s">
        <v>5342</v>
      </c>
    </row>
    <row r="169" spans="7:8">
      <c r="G169" s="2" t="s">
        <v>5343</v>
      </c>
      <c r="H169" s="3" t="s">
        <v>5342</v>
      </c>
    </row>
    <row r="170" spans="7:8">
      <c r="G170" s="2" t="s">
        <v>5344</v>
      </c>
      <c r="H170" s="3" t="s">
        <v>5342</v>
      </c>
    </row>
    <row r="171" spans="7:8">
      <c r="G171" s="2" t="s">
        <v>5345</v>
      </c>
      <c r="H171" s="3" t="s">
        <v>5342</v>
      </c>
    </row>
    <row r="172" spans="7:8">
      <c r="G172" s="2" t="s">
        <v>5346</v>
      </c>
      <c r="H172" s="3" t="s">
        <v>5347</v>
      </c>
    </row>
    <row r="173" spans="7:8">
      <c r="G173" s="2" t="s">
        <v>5348</v>
      </c>
      <c r="H173" s="3" t="s">
        <v>5347</v>
      </c>
    </row>
    <row r="174" spans="7:8">
      <c r="G174" s="2" t="s">
        <v>5349</v>
      </c>
      <c r="H174" s="3" t="s">
        <v>5347</v>
      </c>
    </row>
    <row r="175" spans="7:8">
      <c r="G175" s="2" t="s">
        <v>5350</v>
      </c>
      <c r="H175" s="3" t="s">
        <v>5347</v>
      </c>
    </row>
    <row r="176" spans="7:8">
      <c r="G176" s="2" t="s">
        <v>5351</v>
      </c>
      <c r="H176" s="3" t="s">
        <v>5352</v>
      </c>
    </row>
    <row r="177" spans="7:8">
      <c r="G177" s="2" t="s">
        <v>5353</v>
      </c>
      <c r="H177" s="3" t="s">
        <v>5352</v>
      </c>
    </row>
    <row r="178" spans="7:8">
      <c r="G178" s="2" t="s">
        <v>5354</v>
      </c>
      <c r="H178" s="3" t="s">
        <v>5352</v>
      </c>
    </row>
    <row r="179" spans="7:8">
      <c r="G179" s="2" t="s">
        <v>5355</v>
      </c>
      <c r="H179" s="3" t="s">
        <v>5352</v>
      </c>
    </row>
    <row r="180" spans="7:8">
      <c r="G180" s="2" t="s">
        <v>5356</v>
      </c>
      <c r="H180" s="3" t="s">
        <v>5352</v>
      </c>
    </row>
    <row r="181" spans="7:8">
      <c r="G181" s="2" t="s">
        <v>5357</v>
      </c>
      <c r="H181" s="3" t="s">
        <v>5358</v>
      </c>
    </row>
    <row r="182" spans="7:8">
      <c r="G182" s="2" t="s">
        <v>5359</v>
      </c>
      <c r="H182" s="3" t="s">
        <v>5358</v>
      </c>
    </row>
    <row r="183" spans="7:8">
      <c r="G183" s="2" t="s">
        <v>5360</v>
      </c>
      <c r="H183" s="3" t="s">
        <v>5358</v>
      </c>
    </row>
    <row r="184" spans="7:8">
      <c r="G184" s="2" t="s">
        <v>5361</v>
      </c>
      <c r="H184" s="3" t="s">
        <v>5358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35532-E912-488C-8866-45B0787833D5}">
  <sheetPr>
    <tabColor rgb="FF75F61E"/>
    <pageSetUpPr fitToPage="1"/>
  </sheetPr>
  <dimension ref="B3:S506"/>
  <sheetViews>
    <sheetView showGridLines="0" view="pageBreakPreview" topLeftCell="A286" zoomScale="40" zoomScaleNormal="40" zoomScaleSheetLayoutView="40" workbookViewId="0">
      <selection activeCell="A325" sqref="A325"/>
    </sheetView>
  </sheetViews>
  <sheetFormatPr defaultColWidth="11.42578125" defaultRowHeight="15"/>
  <cols>
    <col min="2" max="2" width="36.28515625" customWidth="1"/>
    <col min="3" max="3" width="28.85546875" customWidth="1"/>
    <col min="4" max="10" width="30.140625" customWidth="1"/>
    <col min="11" max="12" width="117.5703125" customWidth="1"/>
    <col min="13" max="14" width="23.140625" customWidth="1"/>
  </cols>
  <sheetData>
    <row r="3" spans="2:14" ht="61.15" customHeight="1">
      <c r="B3" s="754" t="e" vm="1">
        <v>#VALUE!</v>
      </c>
      <c r="C3" s="754"/>
      <c r="D3" s="754"/>
      <c r="E3" s="755" t="s">
        <v>3689</v>
      </c>
      <c r="F3" s="755"/>
      <c r="G3" s="755"/>
      <c r="H3" s="755"/>
      <c r="I3" s="755"/>
      <c r="J3" s="755"/>
      <c r="K3" s="755"/>
      <c r="L3" s="756">
        <f ca="1">+TODAY()-1</f>
        <v>46205</v>
      </c>
    </row>
    <row r="4" spans="2:14" ht="61.15" customHeight="1">
      <c r="B4" s="754"/>
      <c r="C4" s="754"/>
      <c r="D4" s="754"/>
      <c r="E4" s="755"/>
      <c r="F4" s="755"/>
      <c r="G4" s="755"/>
      <c r="H4" s="755"/>
      <c r="I4" s="755"/>
      <c r="J4" s="755"/>
      <c r="K4" s="755"/>
      <c r="L4" s="756"/>
    </row>
    <row r="9" spans="2:14">
      <c r="N9" t="s">
        <v>3873</v>
      </c>
    </row>
    <row r="19" spans="15:15">
      <c r="O19" t="s">
        <v>5362</v>
      </c>
    </row>
    <row r="127" spans="14:14">
      <c r="N127" t="str">
        <f ca="1">+CONCATENATE("SEM. - 0",WEEKNUM(TODAY()))</f>
        <v>SEM. - 027</v>
      </c>
    </row>
    <row r="284" spans="2:12">
      <c r="B284" s="451"/>
      <c r="C284" s="451"/>
      <c r="D284" s="451"/>
      <c r="E284" s="451"/>
      <c r="F284" s="451"/>
      <c r="G284" s="451"/>
      <c r="H284" s="451"/>
      <c r="I284" s="451"/>
      <c r="J284" s="451"/>
      <c r="K284" s="451"/>
      <c r="L284" s="451"/>
    </row>
    <row r="285" spans="2:12">
      <c r="B285" s="452"/>
      <c r="C285" s="452"/>
      <c r="D285" s="452"/>
      <c r="E285" s="452"/>
      <c r="F285" s="452"/>
      <c r="G285" s="452"/>
      <c r="H285" s="452"/>
      <c r="I285" s="452"/>
      <c r="J285" s="452"/>
      <c r="K285" s="452"/>
      <c r="L285" s="452"/>
    </row>
    <row r="286" spans="2:12">
      <c r="B286" s="452"/>
      <c r="C286" s="452"/>
      <c r="D286" s="452"/>
      <c r="E286" s="452"/>
      <c r="F286" s="452"/>
      <c r="G286" s="452"/>
      <c r="H286" s="452"/>
      <c r="I286" s="452"/>
      <c r="J286" s="452"/>
      <c r="K286" s="452"/>
      <c r="L286" s="452"/>
    </row>
    <row r="287" spans="2:12">
      <c r="B287" s="452"/>
      <c r="C287" s="452"/>
      <c r="D287" s="452"/>
      <c r="E287" s="452"/>
      <c r="F287" s="452"/>
      <c r="G287" s="452"/>
      <c r="H287" s="452"/>
      <c r="I287" s="452"/>
      <c r="J287" s="452"/>
      <c r="K287" s="452"/>
      <c r="L287" s="452"/>
    </row>
    <row r="288" spans="2:12">
      <c r="B288" s="452"/>
      <c r="C288" s="452"/>
      <c r="D288" s="452"/>
      <c r="E288" s="452"/>
      <c r="F288" s="452"/>
      <c r="G288" s="452"/>
      <c r="H288" s="452"/>
      <c r="I288" s="452"/>
      <c r="J288" s="452"/>
      <c r="K288" s="452"/>
      <c r="L288" s="452"/>
    </row>
    <row r="289" spans="2:12">
      <c r="B289" s="452"/>
      <c r="C289" s="452"/>
      <c r="D289" s="452"/>
      <c r="E289" s="452"/>
      <c r="F289" s="452"/>
      <c r="G289" s="452"/>
      <c r="H289" s="452"/>
      <c r="I289" s="452"/>
      <c r="J289" s="452"/>
      <c r="K289" s="452"/>
      <c r="L289" s="452"/>
    </row>
    <row r="290" spans="2:12">
      <c r="B290" s="452"/>
      <c r="C290" s="452"/>
      <c r="D290" s="452"/>
      <c r="E290" s="452"/>
      <c r="F290" s="452"/>
      <c r="G290" s="452"/>
      <c r="H290" s="452"/>
      <c r="I290" s="452"/>
      <c r="J290" s="452"/>
      <c r="K290" s="452"/>
      <c r="L290" s="452"/>
    </row>
    <row r="291" spans="2:12">
      <c r="B291" s="452"/>
      <c r="C291" s="452"/>
      <c r="D291" s="452"/>
      <c r="E291" s="452"/>
      <c r="F291" s="452"/>
      <c r="G291" s="452"/>
      <c r="H291" s="452"/>
      <c r="I291" s="452"/>
      <c r="J291" s="452"/>
      <c r="K291" s="452"/>
      <c r="L291" s="452"/>
    </row>
    <row r="292" spans="2:12">
      <c r="B292" s="452"/>
      <c r="C292" s="452"/>
      <c r="D292" s="452"/>
      <c r="E292" s="452"/>
      <c r="F292" s="452"/>
      <c r="G292" s="452"/>
      <c r="H292" s="452"/>
      <c r="I292" s="452"/>
      <c r="J292" s="452"/>
      <c r="K292" s="452"/>
      <c r="L292" s="452"/>
    </row>
    <row r="293" spans="2:12">
      <c r="B293" s="452"/>
      <c r="C293" s="452"/>
      <c r="D293" s="452"/>
      <c r="E293" s="452"/>
      <c r="F293" s="452"/>
      <c r="G293" s="452"/>
      <c r="H293" s="452"/>
      <c r="I293" s="452"/>
      <c r="J293" s="452"/>
      <c r="K293" s="452"/>
      <c r="L293" s="452"/>
    </row>
    <row r="294" spans="2:12">
      <c r="B294" s="452"/>
      <c r="C294" s="452"/>
      <c r="D294" s="452"/>
      <c r="E294" s="452"/>
      <c r="F294" s="452"/>
      <c r="G294" s="452"/>
      <c r="H294" s="452"/>
      <c r="I294" s="452"/>
      <c r="J294" s="452"/>
      <c r="K294" s="452"/>
      <c r="L294" s="452"/>
    </row>
    <row r="295" spans="2:12">
      <c r="B295" s="452"/>
      <c r="C295" s="452"/>
      <c r="D295" s="452"/>
      <c r="E295" s="452"/>
      <c r="F295" s="452"/>
      <c r="G295" s="452"/>
      <c r="H295" s="452"/>
      <c r="I295" s="452"/>
      <c r="J295" s="452"/>
      <c r="K295" s="452"/>
      <c r="L295" s="452"/>
    </row>
    <row r="296" spans="2:12">
      <c r="B296" s="452"/>
      <c r="C296" s="452"/>
      <c r="D296" s="452"/>
      <c r="E296" s="452"/>
      <c r="F296" s="452"/>
      <c r="G296" s="452"/>
      <c r="H296" s="452"/>
      <c r="I296" s="452"/>
      <c r="J296" s="452"/>
      <c r="K296" s="452"/>
      <c r="L296" s="452"/>
    </row>
    <row r="297" spans="2:12">
      <c r="B297" s="452"/>
      <c r="C297" s="452"/>
      <c r="D297" s="452"/>
      <c r="E297" s="452"/>
      <c r="F297" s="452"/>
      <c r="G297" s="452"/>
      <c r="H297" s="452"/>
      <c r="I297" s="452"/>
      <c r="J297" s="452"/>
      <c r="K297" s="452"/>
      <c r="L297" s="452"/>
    </row>
    <row r="298" spans="2:12">
      <c r="B298" s="452"/>
      <c r="C298" s="452"/>
      <c r="D298" s="452"/>
      <c r="E298" s="452"/>
      <c r="F298" s="452"/>
      <c r="G298" s="452"/>
      <c r="H298" s="452"/>
      <c r="I298" s="452"/>
      <c r="J298" s="452"/>
      <c r="K298" s="452"/>
      <c r="L298" s="452"/>
    </row>
    <row r="299" spans="2:12">
      <c r="B299" s="452"/>
      <c r="C299" s="452"/>
      <c r="D299" s="452"/>
      <c r="E299" s="452"/>
      <c r="F299" s="452"/>
      <c r="G299" s="452"/>
      <c r="H299" s="452"/>
      <c r="I299" s="452"/>
      <c r="J299" s="452"/>
      <c r="K299" s="452"/>
      <c r="L299" s="452"/>
    </row>
    <row r="300" spans="2:12">
      <c r="B300" s="452"/>
      <c r="C300" s="452"/>
      <c r="D300" s="452"/>
      <c r="E300" s="452"/>
      <c r="F300" s="452"/>
      <c r="G300" s="452"/>
      <c r="H300" s="452"/>
      <c r="I300" s="452"/>
      <c r="J300" s="452"/>
      <c r="K300" s="452"/>
      <c r="L300" s="452"/>
    </row>
    <row r="301" spans="2:12">
      <c r="B301" s="452"/>
      <c r="C301" s="452"/>
      <c r="D301" s="452"/>
      <c r="E301" s="452"/>
      <c r="F301" s="452"/>
      <c r="G301" s="452"/>
      <c r="H301" s="452"/>
      <c r="I301" s="452"/>
      <c r="J301" s="452"/>
      <c r="K301" s="452"/>
      <c r="L301" s="452"/>
    </row>
    <row r="302" spans="2:12">
      <c r="B302" s="452"/>
      <c r="C302" s="452"/>
      <c r="D302" s="452"/>
      <c r="E302" s="452"/>
      <c r="F302" s="452"/>
      <c r="G302" s="452"/>
      <c r="H302" s="452"/>
      <c r="I302" s="452"/>
      <c r="J302" s="452"/>
      <c r="K302" s="452"/>
      <c r="L302" s="452"/>
    </row>
    <row r="303" spans="2:12">
      <c r="B303" s="452"/>
      <c r="C303" s="452"/>
      <c r="D303" s="452"/>
      <c r="E303" s="452"/>
      <c r="F303" s="452"/>
      <c r="G303" s="452"/>
      <c r="H303" s="452"/>
      <c r="I303" s="452"/>
      <c r="J303" s="452"/>
      <c r="K303" s="452"/>
      <c r="L303" s="452"/>
    </row>
    <row r="304" spans="2:12">
      <c r="B304" s="452"/>
      <c r="C304" s="452"/>
      <c r="D304" s="452"/>
      <c r="E304" s="452"/>
      <c r="F304" s="452"/>
      <c r="G304" s="452"/>
      <c r="H304" s="452"/>
      <c r="I304" s="452"/>
      <c r="J304" s="452"/>
      <c r="K304" s="452"/>
      <c r="L304" s="452"/>
    </row>
    <row r="305" spans="2:19">
      <c r="B305" s="452"/>
      <c r="C305" s="452"/>
      <c r="D305" s="452"/>
      <c r="E305" s="452"/>
      <c r="F305" s="452"/>
      <c r="G305" s="452"/>
      <c r="H305" s="452"/>
      <c r="I305" s="452"/>
      <c r="J305" s="452"/>
      <c r="K305" s="452"/>
      <c r="L305" s="452"/>
    </row>
    <row r="306" spans="2:19">
      <c r="B306" s="452"/>
      <c r="C306" s="452"/>
      <c r="D306" s="452"/>
      <c r="E306" s="452"/>
      <c r="F306" s="452"/>
      <c r="G306" s="452"/>
      <c r="H306" s="452"/>
      <c r="I306" s="452"/>
      <c r="J306" s="452"/>
      <c r="K306" s="452"/>
      <c r="L306" s="452"/>
    </row>
    <row r="307" spans="2:19">
      <c r="B307" s="452"/>
      <c r="C307" s="452"/>
      <c r="D307" s="452"/>
      <c r="E307" s="452"/>
      <c r="F307" s="452"/>
      <c r="G307" s="452"/>
      <c r="H307" s="452"/>
      <c r="I307" s="452"/>
      <c r="J307" s="452"/>
      <c r="K307" s="452"/>
      <c r="L307" s="452"/>
    </row>
    <row r="308" spans="2:19">
      <c r="B308" s="452"/>
      <c r="C308" s="452"/>
      <c r="D308" s="452"/>
      <c r="E308" s="452"/>
      <c r="F308" s="452"/>
      <c r="G308" s="452"/>
      <c r="H308" s="452"/>
      <c r="I308" s="452"/>
      <c r="J308" s="452"/>
      <c r="K308" s="452"/>
      <c r="L308" s="452"/>
    </row>
    <row r="309" spans="2:19">
      <c r="B309" s="452"/>
      <c r="C309" s="452"/>
      <c r="D309" s="452"/>
      <c r="E309" s="452"/>
      <c r="F309" s="452"/>
      <c r="G309" s="452"/>
      <c r="H309" s="452"/>
      <c r="I309" s="452"/>
      <c r="J309" s="452"/>
      <c r="K309" s="452"/>
      <c r="L309" s="452"/>
    </row>
    <row r="310" spans="2:19">
      <c r="B310" s="452"/>
      <c r="C310" s="452"/>
      <c r="D310" s="452"/>
      <c r="E310" s="452"/>
      <c r="F310" s="452"/>
      <c r="G310" s="452"/>
      <c r="H310" s="452"/>
      <c r="I310" s="452"/>
      <c r="J310" s="452"/>
      <c r="K310" s="452"/>
      <c r="L310" s="452"/>
    </row>
    <row r="311" spans="2:19">
      <c r="B311" s="452"/>
      <c r="C311" s="452"/>
      <c r="D311" s="452"/>
      <c r="E311" s="452"/>
      <c r="F311" s="452"/>
      <c r="G311" s="452"/>
      <c r="H311" s="452"/>
      <c r="I311" s="452"/>
      <c r="J311" s="452"/>
      <c r="K311" s="452"/>
      <c r="L311" s="452"/>
    </row>
    <row r="312" spans="2:19">
      <c r="B312" s="452"/>
      <c r="C312" s="452"/>
      <c r="D312" s="452"/>
      <c r="E312" s="452"/>
      <c r="F312" s="452"/>
      <c r="G312" s="452"/>
      <c r="H312" s="452"/>
      <c r="I312" s="452"/>
      <c r="J312" s="452"/>
      <c r="K312" s="452"/>
      <c r="L312" s="452"/>
    </row>
    <row r="313" spans="2:19">
      <c r="B313" s="452"/>
      <c r="C313" s="452"/>
      <c r="D313" s="452"/>
      <c r="E313" s="452"/>
      <c r="F313" s="452"/>
      <c r="G313" s="452"/>
      <c r="H313" s="452"/>
      <c r="I313" s="452"/>
      <c r="J313" s="452"/>
      <c r="K313" s="452"/>
      <c r="L313" s="452"/>
    </row>
    <row r="314" spans="2:19">
      <c r="B314" s="452"/>
      <c r="C314" s="452"/>
      <c r="D314" s="452"/>
      <c r="E314" s="452"/>
      <c r="F314" s="452"/>
      <c r="G314" s="452"/>
      <c r="H314" s="452"/>
      <c r="I314" s="452"/>
      <c r="J314" s="452"/>
      <c r="K314" s="452"/>
      <c r="L314" s="452"/>
    </row>
    <row r="315" spans="2:19">
      <c r="B315" s="452"/>
      <c r="C315" s="452"/>
      <c r="D315" s="452"/>
      <c r="E315" s="452"/>
      <c r="F315" s="452"/>
      <c r="G315" s="452"/>
      <c r="H315" s="452"/>
      <c r="I315" s="452"/>
      <c r="J315" s="452"/>
      <c r="K315" s="452"/>
      <c r="L315" s="452"/>
    </row>
    <row r="316" spans="2:19">
      <c r="B316" s="452"/>
      <c r="C316" s="452"/>
      <c r="D316" s="452"/>
      <c r="E316" s="452"/>
      <c r="F316" s="452"/>
      <c r="G316" s="452"/>
      <c r="H316" s="452"/>
      <c r="I316" s="452"/>
      <c r="J316" s="452"/>
      <c r="K316" s="452"/>
      <c r="L316" s="452"/>
    </row>
    <row r="317" spans="2:19" ht="15.75" thickBot="1">
      <c r="B317" s="452"/>
      <c r="C317" s="452"/>
      <c r="D317" s="452"/>
      <c r="E317" s="452"/>
      <c r="F317" s="452"/>
      <c r="G317" s="452"/>
      <c r="H317" s="452"/>
      <c r="I317" s="452"/>
      <c r="J317" s="452"/>
      <c r="K317" s="452"/>
      <c r="L317" s="452"/>
    </row>
    <row r="318" spans="2:19" ht="66.599999999999994" customHeight="1">
      <c r="B318" s="757" t="e" vm="2">
        <v>#VALUE!</v>
      </c>
      <c r="C318" s="758"/>
      <c r="D318" s="759"/>
      <c r="E318" s="763" t="s">
        <v>4213</v>
      </c>
      <c r="F318" s="763"/>
      <c r="G318" s="763"/>
      <c r="H318" s="763"/>
      <c r="I318" s="763"/>
      <c r="J318" s="763"/>
      <c r="K318" s="764"/>
      <c r="L318" s="767">
        <f ca="1">TODAY()-1</f>
        <v>46205</v>
      </c>
      <c r="N318" s="62"/>
    </row>
    <row r="319" spans="2:19" ht="66.599999999999994" customHeight="1" thickBot="1">
      <c r="B319" s="760"/>
      <c r="C319" s="761"/>
      <c r="D319" s="762"/>
      <c r="E319" s="765"/>
      <c r="F319" s="765"/>
      <c r="G319" s="765"/>
      <c r="H319" s="765"/>
      <c r="I319" s="765"/>
      <c r="J319" s="765"/>
      <c r="K319" s="766"/>
      <c r="L319" s="768"/>
      <c r="N319" s="62"/>
    </row>
    <row r="320" spans="2:19" ht="46.5">
      <c r="B320" s="374"/>
      <c r="C320" s="374"/>
      <c r="D320" s="449" t="s">
        <v>36</v>
      </c>
      <c r="E320" s="374"/>
      <c r="F320" s="374"/>
      <c r="G320" s="378" t="s">
        <v>4214</v>
      </c>
      <c r="H320" s="374"/>
      <c r="I320" s="379" t="s">
        <v>10</v>
      </c>
      <c r="J320" s="379" t="s">
        <v>11</v>
      </c>
      <c r="K320" s="374"/>
      <c r="L320" s="374"/>
      <c r="N320" s="62"/>
      <c r="R320" s="454">
        <v>0</v>
      </c>
      <c r="S320" s="454">
        <v>4.1666666666666664E-2</v>
      </c>
    </row>
    <row r="321" spans="2:19" ht="46.5">
      <c r="B321" s="374"/>
      <c r="C321" s="374"/>
      <c r="D321" s="450" t="s">
        <v>23</v>
      </c>
      <c r="E321" s="374"/>
      <c r="F321" s="374"/>
      <c r="G321" s="363" t="s">
        <v>4215</v>
      </c>
      <c r="H321" s="374"/>
      <c r="I321" s="447" t="s">
        <v>4216</v>
      </c>
      <c r="J321" s="385" t="s">
        <v>93</v>
      </c>
      <c r="K321" s="374"/>
      <c r="L321" s="374"/>
      <c r="N321" s="62"/>
      <c r="R321" s="454">
        <v>4.2361111111111113E-2</v>
      </c>
      <c r="S321" s="454">
        <v>8.3333333333333329E-2</v>
      </c>
    </row>
    <row r="322" spans="2:19" ht="52.5">
      <c r="B322" s="374"/>
      <c r="C322" s="374"/>
      <c r="D322" s="450" t="s">
        <v>39</v>
      </c>
      <c r="E322" s="374"/>
      <c r="F322" s="374"/>
      <c r="G322" s="455" t="s">
        <v>4217</v>
      </c>
      <c r="H322" s="374"/>
      <c r="I322" s="222" t="s">
        <v>92</v>
      </c>
      <c r="J322" s="385" t="s">
        <v>148</v>
      </c>
      <c r="K322" s="374"/>
      <c r="L322" s="374"/>
      <c r="N322" s="62"/>
      <c r="R322" s="454">
        <v>8.4027777777777785E-2</v>
      </c>
      <c r="S322" s="454">
        <v>0.5</v>
      </c>
    </row>
    <row r="323" spans="2:19" ht="23.25" hidden="1">
      <c r="B323" s="65"/>
      <c r="C323" s="44"/>
      <c r="D323" s="31"/>
      <c r="E323" s="143"/>
      <c r="F323" s="143"/>
      <c r="G323" s="143"/>
      <c r="H323" s="143"/>
      <c r="I323" s="412"/>
      <c r="J323" s="375"/>
      <c r="K323" s="143"/>
      <c r="L323" s="143"/>
      <c r="N323" s="62"/>
    </row>
    <row r="324" spans="2:19" ht="72.75" thickBot="1">
      <c r="B324" s="364" t="s">
        <v>3732</v>
      </c>
      <c r="C324" s="364" t="s">
        <v>3733</v>
      </c>
      <c r="D324" s="365" t="s">
        <v>3734</v>
      </c>
      <c r="E324" s="365" t="s">
        <v>3735</v>
      </c>
      <c r="F324" s="365" t="s">
        <v>3736</v>
      </c>
      <c r="G324" s="365" t="s">
        <v>3737</v>
      </c>
      <c r="H324" s="376" t="s">
        <v>3738</v>
      </c>
      <c r="I324" s="416" t="s">
        <v>10</v>
      </c>
      <c r="J324" s="365" t="s">
        <v>11</v>
      </c>
      <c r="K324" s="377" t="s">
        <v>3739</v>
      </c>
      <c r="L324" s="366" t="s">
        <v>3740</v>
      </c>
      <c r="M324" s="94" t="s">
        <v>3741</v>
      </c>
      <c r="N324" s="99" t="s">
        <v>3742</v>
      </c>
      <c r="O324" s="37"/>
    </row>
    <row r="325" spans="2:19" ht="81.75" customHeight="1">
      <c r="B325" s="752" t="str">
        <f>+'TABLA-DIA'!B153</f>
        <v>LINEA AUTOMATICA HACOS 2</v>
      </c>
      <c r="C325" s="367" t="str">
        <f>IFERROR(VLOOKUP(N325,'TABLA-DIA'!$B$2:$P$62,9,FALSE),"")</f>
        <v/>
      </c>
      <c r="D325" s="368" t="str">
        <f>IFERROR(VLOOKUP(N325,'TABLA-DIA'!$B$2:$P$62,4,FALSE),"")</f>
        <v/>
      </c>
      <c r="E325" s="369" t="str">
        <f>IFERROR(VLOOKUP(N325,'TABLA-DIA'!$B$2:$P$62,5,FALSE),"")</f>
        <v/>
      </c>
      <c r="F325" s="369" t="str">
        <f>IFERROR(VLOOKUP(N325,'TABLA-DIA'!$B$2:$P$62,6,FALSE),"")</f>
        <v/>
      </c>
      <c r="G325" s="473" t="str">
        <f>IFERROR(VLOOKUP(N325,'TABLA-DIA'!$B$2:$P$62,7,FALSE),"")</f>
        <v/>
      </c>
      <c r="H325" s="371" t="str">
        <f>IFERROR(VLOOKUP(N325,'TABLA-DIA'!$B$2:$P$62,10,FALSE),"")</f>
        <v/>
      </c>
      <c r="I325" s="447" t="str">
        <f>IFERROR(VLOOKUP(N325,'TABLA-DIA'!$B$2:$P$62,11,FALSE),"")</f>
        <v/>
      </c>
      <c r="J325" s="439" t="str">
        <f>IFERROR(VLOOKUP(N325,'TABLA-DIA'!$B$2:$P$62,12,FALSE),"")</f>
        <v/>
      </c>
      <c r="K325" s="372" t="str">
        <f>IFERROR(VLOOKUP(N325,'TABLA-DIA'!$B$2:$P$62,13,FALSE),"")</f>
        <v/>
      </c>
      <c r="L325" s="373" t="str">
        <f>IFERROR(IF(VLOOKUP(N325,'TABLA-DIA'!$B$2:$P$62,14,FALSE)="","",VLOOKUP(N325,'TABLA-DIA'!$B$2:$P$62,14,FALSE)),"")</f>
        <v/>
      </c>
      <c r="M325" s="97">
        <v>1</v>
      </c>
      <c r="N325" s="98" t="str">
        <f t="shared" ref="N325:N336" si="0">CONCATENATE($B$325,"-",M325)</f>
        <v>LINEA AUTOMATICA HACOS 2-1</v>
      </c>
      <c r="O325" s="94">
        <f>COUNTIF(G325:G336,"&lt;&gt;**")</f>
        <v>0</v>
      </c>
    </row>
    <row r="326" spans="2:19" ht="120" customHeight="1">
      <c r="B326" s="752"/>
      <c r="C326" s="74" t="str">
        <f>IFERROR(VLOOKUP(N326,'TABLA-DIA'!$B$2:$P$62,9,FALSE),"")</f>
        <v/>
      </c>
      <c r="D326" s="116" t="str">
        <f>IFERROR(VLOOKUP(N326,'TABLA-DIA'!$B$2:$P$62,4,FALSE),"")</f>
        <v/>
      </c>
      <c r="E326" s="332" t="str">
        <f>IFERROR(VLOOKUP(N326,'TABLA-DIA'!$B$2:$P$62,5,FALSE),"")</f>
        <v/>
      </c>
      <c r="F326" s="332" t="str">
        <f>IFERROR(VLOOKUP(N326,'TABLA-DIA'!$B$2:$P$62,6,FALSE),"")</f>
        <v/>
      </c>
      <c r="G326" s="474" t="str">
        <f>IFERROR(VLOOKUP(N326,'TABLA-DIA'!$B$2:$P$62,7,FALSE),"")</f>
        <v/>
      </c>
      <c r="H326" s="117" t="str">
        <f>IFERROR(VLOOKUP(N326,'TABLA-DIA'!$B$2:$P$62,10,FALSE),"")</f>
        <v/>
      </c>
      <c r="I326" s="444" t="str">
        <f>IFERROR(VLOOKUP(N326,'TABLA-DIA'!$B$2:$P$62,11,FALSE),"")</f>
        <v/>
      </c>
      <c r="J326" s="440" t="str">
        <f>IFERROR(VLOOKUP(N326,'TABLA-DIA'!$B$2:$P$62,12,FALSE),"")</f>
        <v/>
      </c>
      <c r="K326" s="118" t="str">
        <f>IFERROR(VLOOKUP(N326,'TABLA-DIA'!$B$2:$P$62,13,FALSE),"")</f>
        <v/>
      </c>
      <c r="L326" s="119" t="str">
        <f>IFERROR(IF(VLOOKUP(N326,'TABLA-DIA'!$B$2:$P$62,14,FALSE)="","",VLOOKUP(N326,'TABLA-DIA'!$B$2:$P$62,14,FALSE)),"")</f>
        <v/>
      </c>
      <c r="M326" s="95">
        <v>2</v>
      </c>
      <c r="N326" s="125" t="str">
        <f t="shared" si="0"/>
        <v>LINEA AUTOMATICA HACOS 2-2</v>
      </c>
      <c r="O326" s="2"/>
    </row>
    <row r="327" spans="2:19" ht="81.75" customHeight="1" thickBot="1">
      <c r="B327" s="752"/>
      <c r="C327" s="74" t="str">
        <f>IFERROR(VLOOKUP(N327,'TABLA-DIA'!$B$2:$P$62,9,FALSE),"")</f>
        <v/>
      </c>
      <c r="D327" s="116" t="str">
        <f>IFERROR(VLOOKUP(N327,'TABLA-DIA'!$B$2:$P$62,4,FALSE),"")</f>
        <v/>
      </c>
      <c r="E327" s="332" t="str">
        <f>IFERROR(VLOOKUP(N327,'TABLA-DIA'!$B$2:$P$62,5,FALSE),"")</f>
        <v/>
      </c>
      <c r="F327" s="332" t="str">
        <f>IFERROR(VLOOKUP(N327,'TABLA-DIA'!$B$2:$P$62,6,FALSE),"")</f>
        <v/>
      </c>
      <c r="G327" s="474" t="str">
        <f>IFERROR(VLOOKUP(N327,'TABLA-DIA'!$B$2:$P$62,7,FALSE),"")</f>
        <v/>
      </c>
      <c r="H327" s="117" t="str">
        <f>IFERROR(VLOOKUP(N327,'TABLA-DIA'!$B$2:$P$62,10,FALSE),"")</f>
        <v/>
      </c>
      <c r="I327" s="444" t="str">
        <f>IFERROR(VLOOKUP(N327,'TABLA-DIA'!$B$2:$P$62,11,FALSE),"")</f>
        <v/>
      </c>
      <c r="J327" s="440" t="str">
        <f>IFERROR(VLOOKUP(N327,'TABLA-DIA'!$B$2:$P$62,12,FALSE),"")</f>
        <v/>
      </c>
      <c r="K327" s="118" t="str">
        <f>IFERROR(VLOOKUP(N327,'TABLA-DIA'!$B$2:$P$62,13,FALSE),"")</f>
        <v/>
      </c>
      <c r="L327" s="119" t="str">
        <f>IFERROR(IF(VLOOKUP(N327,'TABLA-DIA'!$B$2:$P$62,14,FALSE)="","",VLOOKUP(N327,'TABLA-DIA'!$B$2:$P$62,14,FALSE)),"")</f>
        <v/>
      </c>
      <c r="M327" s="95">
        <v>3</v>
      </c>
      <c r="N327" s="125" t="str">
        <f t="shared" si="0"/>
        <v>LINEA AUTOMATICA HACOS 2-3</v>
      </c>
      <c r="O327" s="2"/>
    </row>
    <row r="328" spans="2:19" ht="81.75" customHeight="1" thickBot="1">
      <c r="B328" s="752"/>
      <c r="C328" s="74" t="str">
        <f>IFERROR(VLOOKUP(N328,'TABLA-DIA'!$B$2:$P$62,9,FALSE),"")</f>
        <v/>
      </c>
      <c r="D328" s="116" t="str">
        <f>IFERROR(VLOOKUP(N328,'TABLA-DIA'!$B$2:$P$62,4,FALSE),"")</f>
        <v/>
      </c>
      <c r="E328" s="332" t="str">
        <f>IFERROR(VLOOKUP(N328,'TABLA-DIA'!$B$2:$P$62,5,FALSE),"")</f>
        <v/>
      </c>
      <c r="F328" s="332" t="str">
        <f>IFERROR(VLOOKUP(N328,'TABLA-DIA'!$B$2:$P$62,6,FALSE),"")</f>
        <v/>
      </c>
      <c r="G328" s="474" t="str">
        <f>IFERROR(VLOOKUP(N328,'TABLA-DIA'!$B$2:$P$62,7,FALSE),"")</f>
        <v/>
      </c>
      <c r="H328" s="117" t="str">
        <f>IFERROR(VLOOKUP(N328,'TABLA-DIA'!$B$2:$P$62,10,FALSE),"")</f>
        <v/>
      </c>
      <c r="I328" s="444" t="str">
        <f>IFERROR(VLOOKUP(N328,'TABLA-DIA'!$B$2:$P$62,11,FALSE),"")</f>
        <v/>
      </c>
      <c r="J328" s="440" t="str">
        <f>IFERROR(VLOOKUP(N328,'TABLA-DIA'!$B$2:$P$62,12,FALSE),"")</f>
        <v/>
      </c>
      <c r="K328" s="118" t="str">
        <f>IFERROR(VLOOKUP(N328,'TABLA-DIA'!$B$2:$P$62,13,FALSE),"")</f>
        <v/>
      </c>
      <c r="L328" s="119" t="str">
        <f>IFERROR(IF(VLOOKUP(N328,'TABLA-DIA'!$B$2:$P$62,14,FALSE)="","",VLOOKUP(N328,'TABLA-DIA'!$B$2:$P$62,14,FALSE)),"")</f>
        <v/>
      </c>
      <c r="M328" s="95">
        <v>4</v>
      </c>
      <c r="N328" s="125" t="str">
        <f t="shared" si="0"/>
        <v>LINEA AUTOMATICA HACOS 2-4</v>
      </c>
      <c r="O328" s="2"/>
    </row>
    <row r="329" spans="2:19" ht="81.75" customHeight="1" thickBot="1">
      <c r="B329" s="752"/>
      <c r="C329" s="74" t="str">
        <f>IFERROR(VLOOKUP(N329,'TABLA-DIA'!$B$2:$P$62,9,FALSE),"")</f>
        <v/>
      </c>
      <c r="D329" s="116" t="str">
        <f>IFERROR(VLOOKUP(N329,'TABLA-DIA'!$B$2:$P$62,4,FALSE),"")</f>
        <v/>
      </c>
      <c r="E329" s="332" t="str">
        <f>IFERROR(VLOOKUP(N329,'TABLA-DIA'!$B$2:$P$62,5,FALSE),"")</f>
        <v/>
      </c>
      <c r="F329" s="332" t="str">
        <f>IFERROR(VLOOKUP(N329,'TABLA-DIA'!$B$2:$P$62,6,FALSE),"")</f>
        <v/>
      </c>
      <c r="G329" s="474" t="str">
        <f>IFERROR(VLOOKUP(N329,'TABLA-DIA'!$B$2:$P$62,7,FALSE),"")</f>
        <v/>
      </c>
      <c r="H329" s="117" t="str">
        <f>IFERROR(VLOOKUP(N329,'TABLA-DIA'!$B$2:$P$62,10,FALSE),"")</f>
        <v/>
      </c>
      <c r="I329" s="444" t="str">
        <f>IFERROR(VLOOKUP(N329,'TABLA-DIA'!$B$2:$P$62,11,FALSE),"")</f>
        <v/>
      </c>
      <c r="J329" s="440" t="str">
        <f>IFERROR(VLOOKUP(N329,'TABLA-DIA'!$B$2:$P$62,12,FALSE),"")</f>
        <v/>
      </c>
      <c r="K329" s="118" t="str">
        <f>IFERROR(VLOOKUP(N329,'TABLA-DIA'!$B$2:$P$62,13,FALSE),"")</f>
        <v/>
      </c>
      <c r="L329" s="119" t="str">
        <f>IFERROR(IF(VLOOKUP(N329,'TABLA-DIA'!$B$2:$P$62,14,FALSE)="","",VLOOKUP(N329,'TABLA-DIA'!$B$2:$P$62,14,FALSE)),"")</f>
        <v/>
      </c>
      <c r="M329" s="95">
        <v>5</v>
      </c>
      <c r="N329" s="125" t="str">
        <f t="shared" si="0"/>
        <v>LINEA AUTOMATICA HACOS 2-5</v>
      </c>
      <c r="O329" s="2"/>
    </row>
    <row r="330" spans="2:19" ht="112.5" hidden="1" customHeight="1">
      <c r="B330" s="752"/>
      <c r="C330" s="74" t="str">
        <f>IFERROR(VLOOKUP(N330,'TABLA-DIA'!$B$2:$P$62,9,FALSE),"")</f>
        <v/>
      </c>
      <c r="D330" s="116" t="str">
        <f>IFERROR(VLOOKUP(N330,'TABLA-DIA'!$B$2:$P$62,4,FALSE),"")</f>
        <v/>
      </c>
      <c r="E330" s="332" t="str">
        <f>IFERROR(VLOOKUP(N330,'TABLA-DIA'!$B$2:$P$62,5,FALSE),"")</f>
        <v/>
      </c>
      <c r="F330" s="332" t="str">
        <f>IFERROR(VLOOKUP(N330,'TABLA-DIA'!$B$2:$P$62,6,FALSE),"")</f>
        <v/>
      </c>
      <c r="G330" s="474" t="str">
        <f>IFERROR(VLOOKUP(N330,'TABLA-DIA'!$B$2:$P$62,7,FALSE),"")</f>
        <v/>
      </c>
      <c r="H330" s="117" t="str">
        <f>IFERROR(VLOOKUP(N330,'TABLA-DIA'!$B$2:$P$62,10,FALSE),"")</f>
        <v/>
      </c>
      <c r="I330" s="444" t="str">
        <f>IFERROR(VLOOKUP(N330,'TABLA-DIA'!$B$2:$P$62,11,FALSE),"")</f>
        <v/>
      </c>
      <c r="J330" s="440" t="str">
        <f>IFERROR(VLOOKUP(N330,'TABLA-DIA'!$B$2:$P$62,12,FALSE),"")</f>
        <v/>
      </c>
      <c r="K330" s="118" t="str">
        <f>IFERROR(VLOOKUP(N330,'TABLA-DIA'!$B$2:$P$62,13,FALSE),"")</f>
        <v/>
      </c>
      <c r="L330" s="119" t="str">
        <f>IFERROR(IF(VLOOKUP(N330,'TABLA-DIA'!$B$2:$P$62,14,FALSE)="","",VLOOKUP(N330,'TABLA-DIA'!$B$2:$P$62,14,FALSE)),"")</f>
        <v/>
      </c>
      <c r="M330" s="95">
        <v>6</v>
      </c>
      <c r="N330" s="125" t="str">
        <f t="shared" si="0"/>
        <v>LINEA AUTOMATICA HACOS 2-6</v>
      </c>
      <c r="O330" s="2"/>
    </row>
    <row r="331" spans="2:19" ht="112.5" hidden="1" customHeight="1">
      <c r="B331" s="752"/>
      <c r="C331" s="74" t="str">
        <f>IFERROR(VLOOKUP(N331,'TABLA-DIA'!$B$2:$P$62,9,FALSE),"")</f>
        <v/>
      </c>
      <c r="D331" s="116" t="str">
        <f>IFERROR(VLOOKUP(N331,'TABLA-DIA'!$B$2:$P$62,4,FALSE),"")</f>
        <v/>
      </c>
      <c r="E331" s="332" t="str">
        <f>IFERROR(VLOOKUP(N331,'TABLA-DIA'!$B$2:$P$62,5,FALSE),"")</f>
        <v/>
      </c>
      <c r="F331" s="332" t="str">
        <f>IFERROR(VLOOKUP(N331,'TABLA-DIA'!$B$2:$P$62,6,FALSE),"")</f>
        <v/>
      </c>
      <c r="G331" s="474" t="str">
        <f>IFERROR(VLOOKUP(N331,'TABLA-DIA'!$B$2:$P$62,7,FALSE),"")</f>
        <v/>
      </c>
      <c r="H331" s="117" t="str">
        <f>IFERROR(VLOOKUP(N331,'TABLA-DIA'!$B$2:$P$62,10,FALSE),"")</f>
        <v/>
      </c>
      <c r="I331" s="444" t="str">
        <f>IFERROR(VLOOKUP(N331,'TABLA-DIA'!$B$2:$P$62,11,FALSE),"")</f>
        <v/>
      </c>
      <c r="J331" s="440" t="str">
        <f>IFERROR(VLOOKUP(N331,'TABLA-DIA'!$B$2:$P$62,12,FALSE),"")</f>
        <v/>
      </c>
      <c r="K331" s="118" t="str">
        <f>IFERROR(VLOOKUP(N331,'TABLA-DIA'!$B$2:$P$62,13,FALSE),"")</f>
        <v/>
      </c>
      <c r="L331" s="119" t="str">
        <f>IFERROR(IF(VLOOKUP(N331,'TABLA-DIA'!$B$2:$P$62,14,FALSE)="","",VLOOKUP(N331,'TABLA-DIA'!$B$2:$P$62,14,FALSE)),"")</f>
        <v/>
      </c>
      <c r="M331" s="95">
        <v>7</v>
      </c>
      <c r="N331" s="125" t="str">
        <f t="shared" si="0"/>
        <v>LINEA AUTOMATICA HACOS 2-7</v>
      </c>
      <c r="O331" s="2"/>
    </row>
    <row r="332" spans="2:19" ht="112.5" hidden="1" customHeight="1">
      <c r="B332" s="752"/>
      <c r="C332" s="74" t="str">
        <f>IFERROR(VLOOKUP(N332,'TABLA-DIA'!$B$2:$P$62,9,FALSE),"")</f>
        <v/>
      </c>
      <c r="D332" s="116" t="str">
        <f>IFERROR(VLOOKUP(N332,'TABLA-DIA'!$B$2:$P$62,4,FALSE),"")</f>
        <v/>
      </c>
      <c r="E332" s="332" t="str">
        <f>IFERROR(VLOOKUP(N332,'TABLA-DIA'!$B$2:$P$62,5,FALSE),"")</f>
        <v/>
      </c>
      <c r="F332" s="332" t="str">
        <f>IFERROR(VLOOKUP(N332,'TABLA-DIA'!$B$2:$P$62,6,FALSE),"")</f>
        <v/>
      </c>
      <c r="G332" s="474" t="str">
        <f>IFERROR(VLOOKUP(N332,'TABLA-DIA'!$B$2:$P$62,7,FALSE),"")</f>
        <v/>
      </c>
      <c r="H332" s="117" t="str">
        <f>IFERROR(VLOOKUP(N332,'TABLA-DIA'!$B$2:$P$62,10,FALSE),"")</f>
        <v/>
      </c>
      <c r="I332" s="444" t="str">
        <f>IFERROR(VLOOKUP(N332,'TABLA-DIA'!$B$2:$P$62,11,FALSE),"")</f>
        <v/>
      </c>
      <c r="J332" s="440" t="str">
        <f>IFERROR(VLOOKUP(N332,'TABLA-DIA'!$B$2:$P$62,12,FALSE),"")</f>
        <v/>
      </c>
      <c r="K332" s="118" t="str">
        <f>IFERROR(VLOOKUP(N332,'TABLA-DIA'!$B$2:$P$62,13,FALSE),"")</f>
        <v/>
      </c>
      <c r="L332" s="119" t="str">
        <f>IFERROR(IF(VLOOKUP(N332,'TABLA-DIA'!$B$2:$P$62,14,FALSE)="","",VLOOKUP(N332,'TABLA-DIA'!$B$2:$P$62,14,FALSE)),"")</f>
        <v/>
      </c>
      <c r="M332" s="95">
        <v>8</v>
      </c>
      <c r="N332" s="125" t="str">
        <f t="shared" si="0"/>
        <v>LINEA AUTOMATICA HACOS 2-8</v>
      </c>
      <c r="O332" s="2"/>
    </row>
    <row r="333" spans="2:19" ht="112.5" hidden="1" customHeight="1">
      <c r="B333" s="752"/>
      <c r="C333" s="74" t="str">
        <f>IFERROR(VLOOKUP(N333,'TABLA-DIA'!$B$2:$P$62,9,FALSE),"")</f>
        <v/>
      </c>
      <c r="D333" s="116" t="str">
        <f>IFERROR(VLOOKUP(N333,'TABLA-DIA'!$B$2:$P$62,4,FALSE),"")</f>
        <v/>
      </c>
      <c r="E333" s="332" t="str">
        <f>IFERROR(VLOOKUP(N333,'TABLA-DIA'!$B$2:$P$62,5,FALSE),"")</f>
        <v/>
      </c>
      <c r="F333" s="332" t="str">
        <f>IFERROR(VLOOKUP(N333,'TABLA-DIA'!$B$2:$P$62,6,FALSE),"")</f>
        <v/>
      </c>
      <c r="G333" s="474" t="str">
        <f>IFERROR(VLOOKUP(N333,'TABLA-DIA'!$B$2:$P$62,7,FALSE),"")</f>
        <v/>
      </c>
      <c r="H333" s="117" t="str">
        <f>IFERROR(VLOOKUP(N333,'TABLA-DIA'!$B$2:$P$62,10,FALSE),"")</f>
        <v/>
      </c>
      <c r="I333" s="444" t="str">
        <f>IFERROR(VLOOKUP(N333,'TABLA-DIA'!$B$2:$P$62,11,FALSE),"")</f>
        <v/>
      </c>
      <c r="J333" s="440" t="str">
        <f>IFERROR(VLOOKUP(N333,'TABLA-DIA'!$B$2:$P$62,12,FALSE),"")</f>
        <v/>
      </c>
      <c r="K333" s="118" t="str">
        <f>IFERROR(VLOOKUP(N333,'TABLA-DIA'!$B$2:$P$62,13,FALSE),"")</f>
        <v/>
      </c>
      <c r="L333" s="119" t="str">
        <f>IFERROR(IF(VLOOKUP(N333,'TABLA-DIA'!$B$2:$P$62,14,FALSE)="","",VLOOKUP(N333,'TABLA-DIA'!$B$2:$P$62,14,FALSE)),"")</f>
        <v/>
      </c>
      <c r="M333" s="95">
        <v>9</v>
      </c>
      <c r="N333" s="125" t="str">
        <f t="shared" si="0"/>
        <v>LINEA AUTOMATICA HACOS 2-9</v>
      </c>
      <c r="O333" s="2"/>
    </row>
    <row r="334" spans="2:19" ht="112.5" hidden="1" customHeight="1">
      <c r="B334" s="752"/>
      <c r="C334" s="74" t="str">
        <f>IFERROR(VLOOKUP(N334,'TABLA-DIA'!$B$2:$P$62,9,FALSE),"")</f>
        <v/>
      </c>
      <c r="D334" s="116" t="str">
        <f>IFERROR(VLOOKUP(N334,'TABLA-DIA'!$B$2:$P$62,4,FALSE),"")</f>
        <v/>
      </c>
      <c r="E334" s="332" t="str">
        <f>IFERROR(VLOOKUP(N334,'TABLA-DIA'!$B$2:$P$62,5,FALSE),"")</f>
        <v/>
      </c>
      <c r="F334" s="332" t="str">
        <f>IFERROR(VLOOKUP(N334,'TABLA-DIA'!$B$2:$P$62,6,FALSE),"")</f>
        <v/>
      </c>
      <c r="G334" s="474" t="str">
        <f>IFERROR(VLOOKUP(N334,'TABLA-DIA'!$B$2:$P$62,7,FALSE),"")</f>
        <v/>
      </c>
      <c r="H334" s="117" t="str">
        <f>IFERROR(VLOOKUP(N334,'TABLA-DIA'!$B$2:$P$62,10,FALSE),"")</f>
        <v/>
      </c>
      <c r="I334" s="444" t="str">
        <f>IFERROR(VLOOKUP(N334,'TABLA-DIA'!$B$2:$P$62,11,FALSE),"")</f>
        <v/>
      </c>
      <c r="J334" s="440" t="str">
        <f>IFERROR(VLOOKUP(N334,'TABLA-DIA'!$B$2:$P$62,12,FALSE),"")</f>
        <v/>
      </c>
      <c r="K334" s="118" t="str">
        <f>IFERROR(VLOOKUP(N334,'TABLA-DIA'!$B$2:$P$62,13,FALSE),"")</f>
        <v/>
      </c>
      <c r="L334" s="119" t="str">
        <f>IFERROR(IF(VLOOKUP(N334,'TABLA-DIA'!$B$2:$P$62,14,FALSE)="","",VLOOKUP(N334,'TABLA-DIA'!$B$2:$P$62,14,FALSE)),"")</f>
        <v/>
      </c>
      <c r="M334" s="95">
        <v>10</v>
      </c>
      <c r="N334" s="125" t="str">
        <f t="shared" si="0"/>
        <v>LINEA AUTOMATICA HACOS 2-10</v>
      </c>
      <c r="O334" s="2"/>
    </row>
    <row r="335" spans="2:19" ht="112.5" hidden="1" customHeight="1">
      <c r="B335" s="752"/>
      <c r="C335" s="74" t="str">
        <f>IFERROR(VLOOKUP(N335,'TABLA-DIA'!$B$2:$P$62,9,FALSE),"")</f>
        <v/>
      </c>
      <c r="D335" s="116" t="str">
        <f>IFERROR(VLOOKUP(N335,'TABLA-DIA'!$B$2:$P$62,4,FALSE),"")</f>
        <v/>
      </c>
      <c r="E335" s="332" t="str">
        <f>IFERROR(VLOOKUP(N335,'TABLA-DIA'!$B$2:$P$62,5,FALSE),"")</f>
        <v/>
      </c>
      <c r="F335" s="332" t="str">
        <f>IFERROR(VLOOKUP(N335,'TABLA-DIA'!$B$2:$P$62,6,FALSE),"")</f>
        <v/>
      </c>
      <c r="G335" s="474" t="str">
        <f>IFERROR(VLOOKUP(N335,'TABLA-DIA'!$B$2:$P$62,7,FALSE),"")</f>
        <v/>
      </c>
      <c r="H335" s="117" t="str">
        <f>IFERROR(VLOOKUP(N335,'TABLA-DIA'!$B$2:$P$62,10,FALSE),"")</f>
        <v/>
      </c>
      <c r="I335" s="444" t="str">
        <f>IFERROR(VLOOKUP(N335,'TABLA-DIA'!$B$2:$P$62,11,FALSE),"")</f>
        <v/>
      </c>
      <c r="J335" s="440" t="str">
        <f>IFERROR(VLOOKUP(N335,'TABLA-DIA'!$B$2:$P$62,12,FALSE),"")</f>
        <v/>
      </c>
      <c r="K335" s="118" t="str">
        <f>IFERROR(VLOOKUP(N335,'TABLA-DIA'!$B$2:$P$62,13,FALSE),"")</f>
        <v/>
      </c>
      <c r="L335" s="119" t="str">
        <f>IFERROR(IF(VLOOKUP(N335,'TABLA-DIA'!$B$2:$P$62,14,FALSE)="","",VLOOKUP(N335,'TABLA-DIA'!$B$2:$P$62,14,FALSE)),"")</f>
        <v/>
      </c>
      <c r="M335" s="95">
        <v>11</v>
      </c>
      <c r="N335" s="125" t="str">
        <f t="shared" si="0"/>
        <v>LINEA AUTOMATICA HACOS 2-11</v>
      </c>
      <c r="O335" s="2"/>
    </row>
    <row r="336" spans="2:19" ht="112.5" hidden="1" customHeight="1" thickBot="1">
      <c r="B336" s="752"/>
      <c r="C336" s="101" t="str">
        <f>IFERROR(VLOOKUP(N336,'TABLA-DIA'!$B$2:$P$62,9,FALSE),"")</f>
        <v/>
      </c>
      <c r="D336" s="131" t="str">
        <f>IFERROR(VLOOKUP(N336,'TABLA-DIA'!$B$2:$P$62,4,FALSE),"")</f>
        <v/>
      </c>
      <c r="E336" s="333" t="str">
        <f>IFERROR(VLOOKUP(N336,'TABLA-DIA'!$B$2:$P$62,5,FALSE),"")</f>
        <v/>
      </c>
      <c r="F336" s="333" t="str">
        <f>IFERROR(VLOOKUP(N336,'TABLA-DIA'!$B$2:$P$62,6,FALSE),"")</f>
        <v/>
      </c>
      <c r="G336" s="475" t="str">
        <f>IFERROR(VLOOKUP(N336,'TABLA-DIA'!$B$2:$P$62,7,FALSE),"")</f>
        <v/>
      </c>
      <c r="H336" s="132" t="str">
        <f>IFERROR(VLOOKUP(N336,'TABLA-DIA'!$B$2:$P$62,10,FALSE),"")</f>
        <v/>
      </c>
      <c r="I336" s="448" t="str">
        <f>IFERROR(VLOOKUP(N336,'TABLA-DIA'!$B$2:$P$62,11,FALSE),"")</f>
        <v/>
      </c>
      <c r="J336" s="441" t="str">
        <f>IFERROR(VLOOKUP(N336,'TABLA-DIA'!$B$2:$P$62,12,FALSE),"")</f>
        <v/>
      </c>
      <c r="K336" s="133" t="str">
        <f>IFERROR(VLOOKUP(N336,'TABLA-DIA'!$B$2:$P$62,13,FALSE),"")</f>
        <v/>
      </c>
      <c r="L336" s="134" t="str">
        <f>IFERROR(IF(VLOOKUP(N336,'TABLA-DIA'!$B$2:$P$62,14,FALSE)="","",VLOOKUP(N336,'TABLA-DIA'!$B$2:$P$62,14,FALSE)),"")</f>
        <v/>
      </c>
      <c r="M336" s="102">
        <v>12</v>
      </c>
      <c r="N336" s="135" t="str">
        <f t="shared" si="0"/>
        <v>LINEA AUTOMATICA HACOS 2-12</v>
      </c>
      <c r="O336" s="2"/>
    </row>
    <row r="337" spans="2:15" ht="95.25" customHeight="1">
      <c r="B337" s="769" t="str">
        <f>+'TABLA-DIA'!B154</f>
        <v>CORTADORA DE TURRON</v>
      </c>
      <c r="C337" s="96" t="str">
        <f>IFERROR(VLOOKUP(N337,'TABLA-DIA'!$B$2:$P$62,9,FALSE),"")</f>
        <v/>
      </c>
      <c r="D337" s="121" t="str">
        <f>IFERROR(VLOOKUP(N337,'TABLA-DIA'!$B$2:$P$62,4,FALSE),"")</f>
        <v/>
      </c>
      <c r="E337" s="331" t="str">
        <f>IFERROR(VLOOKUP(N337,'TABLA-DIA'!$B$2:$P$62,5,FALSE),"")</f>
        <v/>
      </c>
      <c r="F337" s="331" t="str">
        <f>IFERROR(VLOOKUP(N337,'TABLA-DIA'!$B$2:$P$62,6,FALSE),"")</f>
        <v/>
      </c>
      <c r="G337" s="476" t="str">
        <f>IFERROR(VLOOKUP(N337,'TABLA-DIA'!$B$2:$P$62,7,FALSE),"")</f>
        <v/>
      </c>
      <c r="H337" s="122" t="str">
        <f>IFERROR(VLOOKUP(N337,'TABLA-DIA'!$B$2:$P$62,10,FALSE),"")</f>
        <v/>
      </c>
      <c r="I337" s="446" t="str">
        <f>IFERROR(VLOOKUP(N337,'TABLA-DIA'!$B$2:$P$62,11,FALSE),"")</f>
        <v/>
      </c>
      <c r="J337" s="442" t="str">
        <f>IFERROR(VLOOKUP(N337,'TABLA-DIA'!$B$2:$P$62,12,FALSE),"")</f>
        <v/>
      </c>
      <c r="K337" s="123" t="str">
        <f>IFERROR(VLOOKUP(N337,'TABLA-DIA'!$B$2:$P$62,13,FALSE),"")</f>
        <v/>
      </c>
      <c r="L337" s="124" t="str">
        <f>IFERROR(IF(VLOOKUP(N337,'TABLA-DIA'!$B$2:$P$62,14,FALSE)="","",VLOOKUP(N337,'TABLA-DIA'!$B$2:$P$62,14,FALSE)),"")</f>
        <v/>
      </c>
      <c r="M337" s="100">
        <v>1</v>
      </c>
      <c r="N337" s="98" t="str">
        <f t="shared" ref="N337:N346" si="1">CONCATENATE($B$337,"-",M337)</f>
        <v>CORTADORA DE TURRON-1</v>
      </c>
      <c r="O337" s="91">
        <f>COUNTIF(G337:G346,"&lt;&gt;**")</f>
        <v>0</v>
      </c>
    </row>
    <row r="338" spans="2:15" ht="88.5" customHeight="1">
      <c r="B338" s="770"/>
      <c r="C338" s="74" t="str">
        <f>IFERROR(VLOOKUP(N338,'TABLA-DIA'!$B$2:$P$62,9,FALSE),"")</f>
        <v/>
      </c>
      <c r="D338" s="116" t="str">
        <f>IFERROR(VLOOKUP(N338,'TABLA-DIA'!$B$2:$P$62,4,FALSE),"")</f>
        <v/>
      </c>
      <c r="E338" s="332" t="str">
        <f>IFERROR(VLOOKUP(N338,'TABLA-DIA'!$B$2:$P$62,5,FALSE),"")</f>
        <v/>
      </c>
      <c r="F338" s="332" t="str">
        <f>IFERROR(VLOOKUP(N338,'TABLA-DIA'!$B$2:$P$62,6,FALSE),"")</f>
        <v/>
      </c>
      <c r="G338" s="474" t="str">
        <f>IFERROR(VLOOKUP(N338,'TABLA-DIA'!$B$2:$P$62,7,FALSE),"")</f>
        <v/>
      </c>
      <c r="H338" s="117" t="str">
        <f>IFERROR(VLOOKUP(N338,'TABLA-DIA'!$B$2:$P$62,10,FALSE),"")</f>
        <v/>
      </c>
      <c r="I338" s="444" t="str">
        <f>IFERROR(VLOOKUP(N338,'TABLA-DIA'!$B$2:$P$62,11,FALSE),"")</f>
        <v/>
      </c>
      <c r="J338" s="440" t="str">
        <f>IFERROR(VLOOKUP(N338,'TABLA-DIA'!$B$2:$P$62,12,FALSE),"")</f>
        <v/>
      </c>
      <c r="K338" s="118" t="str">
        <f>IFERROR(VLOOKUP(N338,'TABLA-DIA'!$B$2:$P$62,13,FALSE),"")</f>
        <v/>
      </c>
      <c r="L338" s="119" t="str">
        <f>IFERROR(IF(VLOOKUP(N338,'TABLA-DIA'!$B$2:$P$62,14,FALSE)="","",VLOOKUP(N338,'TABLA-DIA'!$B$2:$P$62,14,FALSE)),"")</f>
        <v/>
      </c>
      <c r="M338" s="120">
        <f t="shared" ref="M338:M346" si="2">+M337+1</f>
        <v>2</v>
      </c>
      <c r="N338" s="125" t="str">
        <f t="shared" si="1"/>
        <v>CORTADORA DE TURRON-2</v>
      </c>
    </row>
    <row r="339" spans="2:15" ht="88.5" customHeight="1" thickBot="1">
      <c r="B339" s="770"/>
      <c r="C339" s="74" t="str">
        <f>IFERROR(VLOOKUP(N339,'TABLA-DIA'!$B$2:$P$62,9,FALSE),"")</f>
        <v/>
      </c>
      <c r="D339" s="116" t="str">
        <f>IFERROR(VLOOKUP(N339,'TABLA-DIA'!$B$2:$P$62,4,FALSE),"")</f>
        <v/>
      </c>
      <c r="E339" s="332" t="str">
        <f>IFERROR(VLOOKUP(N339,'TABLA-DIA'!$B$2:$P$62,5,FALSE),"")</f>
        <v/>
      </c>
      <c r="F339" s="332" t="str">
        <f>IFERROR(VLOOKUP(N339,'TABLA-DIA'!$B$2:$P$62,6,FALSE),"")</f>
        <v/>
      </c>
      <c r="G339" s="474" t="str">
        <f>IFERROR(VLOOKUP(N339,'TABLA-DIA'!$B$2:$P$62,7,FALSE),"")</f>
        <v/>
      </c>
      <c r="H339" s="117" t="str">
        <f>IFERROR(VLOOKUP(N339,'TABLA-DIA'!$B$2:$P$62,10,FALSE),"")</f>
        <v/>
      </c>
      <c r="I339" s="444" t="str">
        <f>IFERROR(VLOOKUP(N339,'TABLA-DIA'!$B$2:$P$62,11,FALSE),"")</f>
        <v/>
      </c>
      <c r="J339" s="440" t="str">
        <f>IFERROR(VLOOKUP(N339,'TABLA-DIA'!$B$2:$P$62,12,FALSE),"")</f>
        <v/>
      </c>
      <c r="K339" s="118" t="str">
        <f>IFERROR(VLOOKUP(N339,'TABLA-DIA'!$B$2:$P$62,13,FALSE),"")</f>
        <v/>
      </c>
      <c r="L339" s="119" t="str">
        <f>IFERROR(IF(VLOOKUP(N339,'TABLA-DIA'!$B$2:$P$62,14,FALSE)="","",VLOOKUP(N339,'TABLA-DIA'!$B$2:$P$62,14,FALSE)),"")</f>
        <v/>
      </c>
      <c r="M339" s="120">
        <f t="shared" si="2"/>
        <v>3</v>
      </c>
      <c r="N339" s="125" t="str">
        <f t="shared" si="1"/>
        <v>CORTADORA DE TURRON-3</v>
      </c>
    </row>
    <row r="340" spans="2:15" ht="90.75" customHeight="1" thickBot="1">
      <c r="B340" s="770"/>
      <c r="C340" s="74" t="str">
        <f>IFERROR(VLOOKUP(N340,'TABLA-DIA'!$B$2:$P$62,9,FALSE),"")</f>
        <v/>
      </c>
      <c r="D340" s="116" t="str">
        <f>IFERROR(VLOOKUP(N340,'TABLA-DIA'!$B$2:$P$62,4,FALSE),"")</f>
        <v/>
      </c>
      <c r="E340" s="332" t="str">
        <f>IFERROR(VLOOKUP(N340,'TABLA-DIA'!$B$2:$P$62,5,FALSE),"")</f>
        <v/>
      </c>
      <c r="F340" s="332" t="str">
        <f>IFERROR(VLOOKUP(N340,'TABLA-DIA'!$B$2:$P$62,6,FALSE),"")</f>
        <v/>
      </c>
      <c r="G340" s="474" t="str">
        <f>IFERROR(VLOOKUP(N340,'TABLA-DIA'!$B$2:$P$62,7,FALSE),"")</f>
        <v/>
      </c>
      <c r="H340" s="117" t="str">
        <f>IFERROR(VLOOKUP(N340,'TABLA-DIA'!$B$2:$P$62,10,FALSE),"")</f>
        <v/>
      </c>
      <c r="I340" s="444" t="str">
        <f>IFERROR(VLOOKUP(N340,'TABLA-DIA'!$B$2:$P$62,11,FALSE),"")</f>
        <v/>
      </c>
      <c r="J340" s="440" t="str">
        <f>IFERROR(VLOOKUP(N340,'TABLA-DIA'!$B$2:$P$62,12,FALSE),"")</f>
        <v/>
      </c>
      <c r="K340" s="118" t="str">
        <f>IFERROR(VLOOKUP(N340,'TABLA-DIA'!$B$2:$P$62,13,FALSE),"")</f>
        <v/>
      </c>
      <c r="L340" s="119" t="str">
        <f>IFERROR(IF(VLOOKUP(N340,'TABLA-DIA'!$B$2:$P$62,14,FALSE)="","",VLOOKUP(N340,'TABLA-DIA'!$B$2:$P$62,14,FALSE)),"")</f>
        <v/>
      </c>
      <c r="M340" s="120">
        <f t="shared" si="2"/>
        <v>4</v>
      </c>
      <c r="N340" s="125" t="str">
        <f t="shared" si="1"/>
        <v>CORTADORA DE TURRON-4</v>
      </c>
    </row>
    <row r="341" spans="2:15" ht="95.25" hidden="1" customHeight="1">
      <c r="B341" s="770"/>
      <c r="C341" s="74" t="str">
        <f>IFERROR(VLOOKUP(N341,'TABLA-DIA'!$B$2:$P$62,9,FALSE),"")</f>
        <v/>
      </c>
      <c r="D341" s="116" t="str">
        <f>IFERROR(VLOOKUP(N341,'TABLA-DIA'!$B$2:$P$62,4,FALSE),"")</f>
        <v/>
      </c>
      <c r="E341" s="332" t="str">
        <f>IFERROR(VLOOKUP(N341,'TABLA-DIA'!$B$2:$P$62,5,FALSE),"")</f>
        <v/>
      </c>
      <c r="F341" s="332" t="str">
        <f>IFERROR(VLOOKUP(N341,'TABLA-DIA'!$B$2:$P$62,6,FALSE),"")</f>
        <v/>
      </c>
      <c r="G341" s="474" t="str">
        <f>IFERROR(VLOOKUP(N341,'TABLA-DIA'!$B$2:$P$62,7,FALSE),"")</f>
        <v/>
      </c>
      <c r="H341" s="117" t="str">
        <f>IFERROR(VLOOKUP(N341,'TABLA-DIA'!$B$2:$P$62,10,FALSE),"")</f>
        <v/>
      </c>
      <c r="I341" s="444" t="str">
        <f>IFERROR(VLOOKUP(N341,'TABLA-DIA'!$B$2:$P$62,11,FALSE),"")</f>
        <v/>
      </c>
      <c r="J341" s="440" t="str">
        <f>IFERROR(VLOOKUP(N341,'TABLA-DIA'!$B$2:$P$62,12,FALSE),"")</f>
        <v/>
      </c>
      <c r="K341" s="118" t="str">
        <f>IFERROR(VLOOKUP(N341,'TABLA-DIA'!$B$2:$P$62,13,FALSE),"")</f>
        <v/>
      </c>
      <c r="L341" s="119" t="str">
        <f>IFERROR(IF(VLOOKUP(N341,'TABLA-DIA'!$B$2:$P$62,14,FALSE)="","",VLOOKUP(N341,'TABLA-DIA'!$B$2:$P$62,14,FALSE)),"")</f>
        <v/>
      </c>
      <c r="M341" s="120">
        <f t="shared" si="2"/>
        <v>5</v>
      </c>
      <c r="N341" s="125" t="str">
        <f t="shared" si="1"/>
        <v>CORTADORA DE TURRON-5</v>
      </c>
    </row>
    <row r="342" spans="2:15" ht="112.5" hidden="1" customHeight="1">
      <c r="B342" s="770"/>
      <c r="C342" s="74" t="str">
        <f>IFERROR(VLOOKUP(N342,'TABLA-DIA'!$B$2:$P$62,9,FALSE),"")</f>
        <v/>
      </c>
      <c r="D342" s="116" t="str">
        <f>IFERROR(VLOOKUP(N342,'TABLA-DIA'!$B$2:$P$62,4,FALSE),"")</f>
        <v/>
      </c>
      <c r="E342" s="332" t="str">
        <f>IFERROR(VLOOKUP(N342,'TABLA-DIA'!$B$2:$P$62,5,FALSE),"")</f>
        <v/>
      </c>
      <c r="F342" s="332" t="str">
        <f>IFERROR(VLOOKUP(N342,'TABLA-DIA'!$B$2:$P$62,6,FALSE),"")</f>
        <v/>
      </c>
      <c r="G342" s="474" t="str">
        <f>IFERROR(VLOOKUP(N342,'TABLA-DIA'!$B$2:$P$62,7,FALSE),"")</f>
        <v/>
      </c>
      <c r="H342" s="117" t="str">
        <f>IFERROR(VLOOKUP(N342,'TABLA-DIA'!$B$2:$P$62,10,FALSE),"")</f>
        <v/>
      </c>
      <c r="I342" s="444" t="str">
        <f>IFERROR(VLOOKUP(N342,'TABLA-DIA'!$B$2:$P$62,11,FALSE),"")</f>
        <v/>
      </c>
      <c r="J342" s="440" t="str">
        <f>IFERROR(VLOOKUP(N342,'TABLA-DIA'!$B$2:$P$62,12,FALSE),"")</f>
        <v/>
      </c>
      <c r="K342" s="118" t="str">
        <f>IFERROR(VLOOKUP(N342,'TABLA-DIA'!$B$2:$P$62,13,FALSE),"")</f>
        <v/>
      </c>
      <c r="L342" s="119" t="str">
        <f>IFERROR(IF(VLOOKUP(N342,'TABLA-DIA'!$B$2:$P$62,14,FALSE)="","",VLOOKUP(N342,'TABLA-DIA'!$B$2:$P$62,14,FALSE)),"")</f>
        <v/>
      </c>
      <c r="M342" s="120">
        <f t="shared" si="2"/>
        <v>6</v>
      </c>
      <c r="N342" s="125" t="str">
        <f t="shared" si="1"/>
        <v>CORTADORA DE TURRON-6</v>
      </c>
    </row>
    <row r="343" spans="2:15" ht="116.25" hidden="1" customHeight="1">
      <c r="B343" s="770"/>
      <c r="C343" s="74" t="str">
        <f>IFERROR(VLOOKUP(N343,'TABLA-DIA'!$B$2:$P$62,9,FALSE),"")</f>
        <v/>
      </c>
      <c r="D343" s="116" t="str">
        <f>IFERROR(VLOOKUP(N343,'TABLA-DIA'!$B$2:$P$62,4,FALSE),"")</f>
        <v/>
      </c>
      <c r="E343" s="332" t="str">
        <f>IFERROR(VLOOKUP(N343,'TABLA-DIA'!$B$2:$P$62,5,FALSE),"")</f>
        <v/>
      </c>
      <c r="F343" s="332" t="str">
        <f>IFERROR(VLOOKUP(N343,'TABLA-DIA'!$B$2:$P$62,6,FALSE),"")</f>
        <v/>
      </c>
      <c r="G343" s="474" t="str">
        <f>IFERROR(VLOOKUP(N343,'TABLA-DIA'!$B$2:$P$62,7,FALSE),"")</f>
        <v/>
      </c>
      <c r="H343" s="117" t="str">
        <f>IFERROR(VLOOKUP(N343,'TABLA-DIA'!$B$2:$P$62,10,FALSE),"")</f>
        <v/>
      </c>
      <c r="I343" s="444" t="str">
        <f>IFERROR(VLOOKUP(N343,'TABLA-DIA'!$B$2:$P$62,11,FALSE),"")</f>
        <v/>
      </c>
      <c r="J343" s="440" t="str">
        <f>IFERROR(VLOOKUP(N343,'TABLA-DIA'!$B$2:$P$62,12,FALSE),"")</f>
        <v/>
      </c>
      <c r="K343" s="118" t="str">
        <f>IFERROR(VLOOKUP(N343,'TABLA-DIA'!$B$2:$P$62,13,FALSE),"")</f>
        <v/>
      </c>
      <c r="L343" s="119" t="str">
        <f>IFERROR(IF(VLOOKUP(N343,'TABLA-DIA'!$B$2:$P$62,14,FALSE)="","",VLOOKUP(N343,'TABLA-DIA'!$B$2:$P$62,14,FALSE)),"")</f>
        <v/>
      </c>
      <c r="M343" s="120">
        <f t="shared" si="2"/>
        <v>7</v>
      </c>
      <c r="N343" s="125" t="str">
        <f t="shared" si="1"/>
        <v>CORTADORA DE TURRON-7</v>
      </c>
    </row>
    <row r="344" spans="2:15" ht="116.25" hidden="1" customHeight="1">
      <c r="B344" s="770"/>
      <c r="C344" s="74" t="str">
        <f>IFERROR(VLOOKUP(N344,'TABLA-DIA'!$B$2:$P$62,9,FALSE),"")</f>
        <v/>
      </c>
      <c r="D344" s="116" t="str">
        <f>IFERROR(VLOOKUP(N344,'TABLA-DIA'!$B$2:$P$62,4,FALSE),"")</f>
        <v/>
      </c>
      <c r="E344" s="332" t="str">
        <f>IFERROR(VLOOKUP(N344,'TABLA-DIA'!$B$2:$P$62,5,FALSE),"")</f>
        <v/>
      </c>
      <c r="F344" s="332" t="str">
        <f>IFERROR(VLOOKUP(N344,'TABLA-DIA'!$B$2:$P$62,6,FALSE),"")</f>
        <v/>
      </c>
      <c r="G344" s="474" t="str">
        <f>IFERROR(VLOOKUP(N344,'TABLA-DIA'!$B$2:$P$62,7,FALSE),"")</f>
        <v/>
      </c>
      <c r="H344" s="117" t="str">
        <f>IFERROR(VLOOKUP(N344,'TABLA-DIA'!$B$2:$P$62,10,FALSE),"")</f>
        <v/>
      </c>
      <c r="I344" s="444" t="str">
        <f>IFERROR(VLOOKUP(N344,'TABLA-DIA'!$B$2:$P$62,11,FALSE),"")</f>
        <v/>
      </c>
      <c r="J344" s="440" t="str">
        <f>IFERROR(VLOOKUP(N344,'TABLA-DIA'!$B$2:$P$62,12,FALSE),"")</f>
        <v/>
      </c>
      <c r="K344" s="118" t="str">
        <f>IFERROR(VLOOKUP(N344,'TABLA-DIA'!$B$2:$P$62,13,FALSE),"")</f>
        <v/>
      </c>
      <c r="L344" s="119" t="str">
        <f>IFERROR(IF(VLOOKUP(N344,'TABLA-DIA'!$B$2:$P$62,14,FALSE)="","",VLOOKUP(N344,'TABLA-DIA'!$B$2:$P$62,14,FALSE)),"")</f>
        <v/>
      </c>
      <c r="M344" s="120">
        <f t="shared" si="2"/>
        <v>8</v>
      </c>
      <c r="N344" s="125" t="str">
        <f t="shared" si="1"/>
        <v>CORTADORA DE TURRON-8</v>
      </c>
    </row>
    <row r="345" spans="2:15" ht="116.25" hidden="1" customHeight="1">
      <c r="B345" s="770"/>
      <c r="C345" s="74" t="str">
        <f>IFERROR(VLOOKUP(N345,'TABLA-DIA'!$B$2:$P$62,9,FALSE),"")</f>
        <v/>
      </c>
      <c r="D345" s="116" t="str">
        <f>IFERROR(VLOOKUP(N345,'TABLA-DIA'!$B$2:$P$62,4,FALSE),"")</f>
        <v/>
      </c>
      <c r="E345" s="332" t="str">
        <f>IFERROR(VLOOKUP(N345,'TABLA-DIA'!$B$2:$P$62,5,FALSE),"")</f>
        <v/>
      </c>
      <c r="F345" s="332" t="str">
        <f>IFERROR(VLOOKUP(N345,'TABLA-DIA'!$B$2:$P$62,6,FALSE),"")</f>
        <v/>
      </c>
      <c r="G345" s="474" t="str">
        <f>IFERROR(VLOOKUP(N345,'TABLA-DIA'!$B$2:$P$62,7,FALSE),"")</f>
        <v/>
      </c>
      <c r="H345" s="117" t="str">
        <f>IFERROR(VLOOKUP(N345,'TABLA-DIA'!$B$2:$P$62,10,FALSE),"")</f>
        <v/>
      </c>
      <c r="I345" s="444" t="str">
        <f>IFERROR(VLOOKUP(N345,'TABLA-DIA'!$B$2:$P$62,11,FALSE),"")</f>
        <v/>
      </c>
      <c r="J345" s="440" t="str">
        <f>IFERROR(VLOOKUP(N345,'TABLA-DIA'!$B$2:$P$62,12,FALSE),"")</f>
        <v/>
      </c>
      <c r="K345" s="118" t="str">
        <f>IFERROR(VLOOKUP(N345,'TABLA-DIA'!$B$2:$P$62,13,FALSE),"")</f>
        <v/>
      </c>
      <c r="L345" s="119" t="str">
        <f>IFERROR(IF(VLOOKUP(N345,'TABLA-DIA'!$B$2:$P$62,14,FALSE)="","",VLOOKUP(N345,'TABLA-DIA'!$B$2:$P$62,14,FALSE)),"")</f>
        <v/>
      </c>
      <c r="M345" s="120">
        <f t="shared" si="2"/>
        <v>9</v>
      </c>
      <c r="N345" s="125" t="str">
        <f t="shared" si="1"/>
        <v>CORTADORA DE TURRON-9</v>
      </c>
    </row>
    <row r="346" spans="2:15" ht="116.25" hidden="1" customHeight="1" thickBot="1">
      <c r="B346" s="771"/>
      <c r="C346" s="103" t="str">
        <f>IFERROR(VLOOKUP(N346,'TABLA-DIA'!$B$2:$P$62,9,FALSE),"")</f>
        <v/>
      </c>
      <c r="D346" s="131" t="str">
        <f>IFERROR(VLOOKUP(N346,'TABLA-DIA'!$B$2:$P$62,4,FALSE),"")</f>
        <v/>
      </c>
      <c r="E346" s="333" t="str">
        <f>IFERROR(VLOOKUP(N346,'TABLA-DIA'!$B$2:$P$62,5,FALSE),"")</f>
        <v/>
      </c>
      <c r="F346" s="333" t="str">
        <f>IFERROR(VLOOKUP(N346,'TABLA-DIA'!$B$2:$P$62,6,FALSE),"")</f>
        <v/>
      </c>
      <c r="G346" s="475" t="str">
        <f>IFERROR(VLOOKUP(N346,'TABLA-DIA'!$B$2:$P$62,7,FALSE),"")</f>
        <v/>
      </c>
      <c r="H346" s="132" t="str">
        <f>IFERROR(VLOOKUP(N346,'TABLA-DIA'!$B$2:$P$62,10,FALSE),"")</f>
        <v/>
      </c>
      <c r="I346" s="448" t="str">
        <f>IFERROR(VLOOKUP(N346,'TABLA-DIA'!$B$2:$P$62,11,FALSE),"")</f>
        <v/>
      </c>
      <c r="J346" s="441" t="str">
        <f>IFERROR(VLOOKUP(N346,'TABLA-DIA'!$B$2:$P$62,12,FALSE),"")</f>
        <v/>
      </c>
      <c r="K346" s="133" t="str">
        <f>IFERROR(VLOOKUP(N346,'TABLA-DIA'!$B$2:$P$62,13,FALSE),"")</f>
        <v/>
      </c>
      <c r="L346" s="134" t="str">
        <f>IFERROR(IF(VLOOKUP(N346,'TABLA-DIA'!$B$2:$P$62,14,FALSE)="","",VLOOKUP(N346,'TABLA-DIA'!$B$2:$P$62,14,FALSE)),"")</f>
        <v/>
      </c>
      <c r="M346" s="138">
        <f t="shared" si="2"/>
        <v>10</v>
      </c>
      <c r="N346" s="135" t="str">
        <f t="shared" si="1"/>
        <v>CORTADORA DE TURRON-10</v>
      </c>
    </row>
    <row r="347" spans="2:15" ht="112.5" customHeight="1">
      <c r="B347" s="769" t="str">
        <f>+'TABLA-DIA'!B155</f>
        <v>TEMPERADORA CHOCOLATIER</v>
      </c>
      <c r="C347" s="96" t="str">
        <f>IFERROR(VLOOKUP(N347,'TABLA-DIA'!$B$2:$P$62,9,FALSE),"")</f>
        <v/>
      </c>
      <c r="D347" s="121" t="str">
        <f>IFERROR(VLOOKUP(N347,'TABLA-DIA'!$B$2:$P$62,4,FALSE),"")</f>
        <v/>
      </c>
      <c r="E347" s="331" t="str">
        <f>IFERROR(VLOOKUP(N347,'TABLA-DIA'!$B$2:$P$62,5,FALSE),"")</f>
        <v/>
      </c>
      <c r="F347" s="331" t="str">
        <f>IFERROR(VLOOKUP(N347,'TABLA-DIA'!$B$2:$P$62,6,FALSE),"")</f>
        <v/>
      </c>
      <c r="G347" s="476" t="str">
        <f>IFERROR(VLOOKUP(N347,'TABLA-DIA'!$B$2:$P$62,7,FALSE),"")</f>
        <v/>
      </c>
      <c r="H347" s="122" t="str">
        <f>IFERROR(VLOOKUP(N347,'TABLA-DIA'!$B$2:$P$62,10,FALSE),"")</f>
        <v/>
      </c>
      <c r="I347" s="446" t="str">
        <f>IFERROR(VLOOKUP(N347,'TABLA-DIA'!$B$2:$P$62,11,FALSE),"")</f>
        <v/>
      </c>
      <c r="J347" s="442" t="str">
        <f>IFERROR(VLOOKUP(N347,'TABLA-DIA'!$B$2:$P$62,12,FALSE),"")</f>
        <v/>
      </c>
      <c r="K347" s="123" t="str">
        <f>IFERROR(VLOOKUP(N347,'TABLA-DIA'!$B$2:$P$62,13,FALSE),"")</f>
        <v/>
      </c>
      <c r="L347" s="124" t="str">
        <f>IFERROR(IF(VLOOKUP(N347,'TABLA-DIA'!$B$2:$P$62,14,FALSE)="","",VLOOKUP(N347,'TABLA-DIA'!$B$2:$P$62,14,FALSE)),"")</f>
        <v/>
      </c>
      <c r="M347" s="100">
        <v>1</v>
      </c>
      <c r="N347" s="98" t="str">
        <f t="shared" ref="N347:N356" si="3">CONCATENATE($B$347,"-",M347)</f>
        <v>TEMPERADORA CHOCOLATIER-1</v>
      </c>
      <c r="O347" s="91">
        <f>COUNTIF(G347:G355,"&lt;&gt;**")</f>
        <v>0</v>
      </c>
    </row>
    <row r="348" spans="2:15" ht="112.5" customHeight="1">
      <c r="B348" s="770"/>
      <c r="C348" s="74" t="str">
        <f>IFERROR(VLOOKUP(N348,'TABLA-DIA'!$B$2:$P$62,9,FALSE),"")</f>
        <v/>
      </c>
      <c r="D348" s="116" t="str">
        <f>IFERROR(VLOOKUP(N348,'TABLA-DIA'!$B$2:$P$62,4,FALSE),"")</f>
        <v/>
      </c>
      <c r="E348" s="332" t="str">
        <f>IFERROR(VLOOKUP(N348,'TABLA-DIA'!$B$2:$P$62,5,FALSE),"")</f>
        <v/>
      </c>
      <c r="F348" s="332" t="str">
        <f>IFERROR(VLOOKUP(N348,'TABLA-DIA'!$B$2:$P$62,6,FALSE),"")</f>
        <v/>
      </c>
      <c r="G348" s="474" t="str">
        <f>IFERROR(VLOOKUP(N348,'TABLA-DIA'!$B$2:$P$62,7,FALSE),"")</f>
        <v/>
      </c>
      <c r="H348" s="117" t="str">
        <f>IFERROR(VLOOKUP(N348,'TABLA-DIA'!$B$2:$P$62,10,FALSE),"")</f>
        <v/>
      </c>
      <c r="I348" s="444" t="str">
        <f>IFERROR(VLOOKUP(N348,'TABLA-DIA'!$B$2:$P$62,11,FALSE),"")</f>
        <v/>
      </c>
      <c r="J348" s="440" t="str">
        <f>IFERROR(VLOOKUP(N348,'TABLA-DIA'!$B$2:$P$62,12,FALSE),"")</f>
        <v/>
      </c>
      <c r="K348" s="118" t="str">
        <f>IFERROR(VLOOKUP(N348,'TABLA-DIA'!$B$2:$P$62,13,FALSE),"")</f>
        <v/>
      </c>
      <c r="L348" s="119" t="str">
        <f>IFERROR(IF(VLOOKUP(N348,'TABLA-DIA'!$B$2:$P$62,14,FALSE)="","",VLOOKUP(N348,'TABLA-DIA'!$B$2:$P$62,14,FALSE)),"")</f>
        <v/>
      </c>
      <c r="M348" s="120">
        <f t="shared" ref="M348:M356" si="4">+M347+1</f>
        <v>2</v>
      </c>
      <c r="N348" s="125" t="str">
        <f t="shared" si="3"/>
        <v>TEMPERADORA CHOCOLATIER-2</v>
      </c>
    </row>
    <row r="349" spans="2:15" ht="112.5" customHeight="1" thickBot="1">
      <c r="B349" s="770"/>
      <c r="C349" s="74" t="str">
        <f>IFERROR(VLOOKUP(N349,'TABLA-DIA'!$B$2:$P$62,9,FALSE),"")</f>
        <v/>
      </c>
      <c r="D349" s="116" t="str">
        <f>IFERROR(VLOOKUP(N349,'TABLA-DIA'!$B$2:$P$62,4,FALSE),"")</f>
        <v/>
      </c>
      <c r="E349" s="332" t="str">
        <f>IFERROR(VLOOKUP(N349,'TABLA-DIA'!$B$2:$P$62,5,FALSE),"")</f>
        <v/>
      </c>
      <c r="F349" s="332" t="str">
        <f>IFERROR(VLOOKUP(N349,'TABLA-DIA'!$B$2:$P$62,6,FALSE),"")</f>
        <v/>
      </c>
      <c r="G349" s="474" t="str">
        <f>IFERROR(VLOOKUP(N349,'TABLA-DIA'!$B$2:$P$62,7,FALSE),"")</f>
        <v/>
      </c>
      <c r="H349" s="117" t="str">
        <f>IFERROR(VLOOKUP(N349,'TABLA-DIA'!$B$2:$P$62,10,FALSE),"")</f>
        <v/>
      </c>
      <c r="I349" s="444" t="str">
        <f>IFERROR(VLOOKUP(N349,'TABLA-DIA'!$B$2:$P$62,11,FALSE),"")</f>
        <v/>
      </c>
      <c r="J349" s="440" t="str">
        <f>IFERROR(VLOOKUP(N349,'TABLA-DIA'!$B$2:$P$62,12,FALSE),"")</f>
        <v/>
      </c>
      <c r="K349" s="118" t="str">
        <f>IFERROR(VLOOKUP(N349,'TABLA-DIA'!$B$2:$P$62,13,FALSE),"")</f>
        <v/>
      </c>
      <c r="L349" s="119" t="str">
        <f>IFERROR(IF(VLOOKUP(N349,'TABLA-DIA'!$B$2:$P$62,14,FALSE)="","",VLOOKUP(N349,'TABLA-DIA'!$B$2:$P$62,14,FALSE)),"")</f>
        <v/>
      </c>
      <c r="M349" s="120">
        <f t="shared" si="4"/>
        <v>3</v>
      </c>
      <c r="N349" s="125" t="str">
        <f t="shared" si="3"/>
        <v>TEMPERADORA CHOCOLATIER-3</v>
      </c>
    </row>
    <row r="350" spans="2:15" ht="112.5" hidden="1" customHeight="1">
      <c r="B350" s="770"/>
      <c r="C350" s="74" t="str">
        <f>IFERROR(VLOOKUP(N350,'TABLA-DIA'!$B$2:$P$62,9,FALSE),"")</f>
        <v/>
      </c>
      <c r="D350" s="116" t="str">
        <f>IFERROR(VLOOKUP(N350,'TABLA-DIA'!$B$2:$P$62,4,FALSE),"")</f>
        <v/>
      </c>
      <c r="E350" s="332" t="str">
        <f>IFERROR(VLOOKUP(N350,'TABLA-DIA'!$B$2:$P$62,5,FALSE),"")</f>
        <v/>
      </c>
      <c r="F350" s="332" t="str">
        <f>IFERROR(VLOOKUP(N350,'TABLA-DIA'!$B$2:$P$62,6,FALSE),"")</f>
        <v/>
      </c>
      <c r="G350" s="474" t="str">
        <f>IFERROR(VLOOKUP(N350,'TABLA-DIA'!$B$2:$P$62,7,FALSE),"")</f>
        <v/>
      </c>
      <c r="H350" s="117" t="str">
        <f>IFERROR(VLOOKUP(N350,'TABLA-DIA'!$B$2:$P$62,10,FALSE),"")</f>
        <v/>
      </c>
      <c r="I350" s="444" t="str">
        <f>IFERROR(VLOOKUP(N350,'TABLA-DIA'!$B$2:$P$62,11,FALSE),"")</f>
        <v/>
      </c>
      <c r="J350" s="440" t="str">
        <f>IFERROR(VLOOKUP(N350,'TABLA-DIA'!$B$2:$P$62,12,FALSE),"")</f>
        <v/>
      </c>
      <c r="K350" s="118" t="str">
        <f>IFERROR(VLOOKUP(N350,'TABLA-DIA'!$B$2:$P$62,13,FALSE),"")</f>
        <v/>
      </c>
      <c r="L350" s="119" t="str">
        <f>IFERROR(IF(VLOOKUP(N350,'TABLA-DIA'!$B$2:$P$62,14,FALSE)="","",VLOOKUP(N350,'TABLA-DIA'!$B$2:$P$62,14,FALSE)),"")</f>
        <v/>
      </c>
      <c r="M350" s="120">
        <f t="shared" si="4"/>
        <v>4</v>
      </c>
      <c r="N350" s="125" t="str">
        <f t="shared" si="3"/>
        <v>TEMPERADORA CHOCOLATIER-4</v>
      </c>
    </row>
    <row r="351" spans="2:15" ht="112.5" hidden="1" customHeight="1">
      <c r="B351" s="770"/>
      <c r="C351" s="74" t="str">
        <f>IFERROR(VLOOKUP(N351,'TABLA-DIA'!$B$2:$P$62,9,FALSE),"")</f>
        <v/>
      </c>
      <c r="D351" s="116" t="str">
        <f>IFERROR(VLOOKUP(N351,'TABLA-DIA'!$B$2:$P$62,4,FALSE),"")</f>
        <v/>
      </c>
      <c r="E351" s="332" t="str">
        <f>IFERROR(VLOOKUP(N351,'TABLA-DIA'!$B$2:$P$62,5,FALSE),"")</f>
        <v/>
      </c>
      <c r="F351" s="332" t="str">
        <f>IFERROR(VLOOKUP(N351,'TABLA-DIA'!$B$2:$P$62,6,FALSE),"")</f>
        <v/>
      </c>
      <c r="G351" s="474" t="str">
        <f>IFERROR(VLOOKUP(N351,'TABLA-DIA'!$B$2:$P$62,7,FALSE),"")</f>
        <v/>
      </c>
      <c r="H351" s="117" t="str">
        <f>IFERROR(VLOOKUP(N351,'TABLA-DIA'!$B$2:$P$62,10,FALSE),"")</f>
        <v/>
      </c>
      <c r="I351" s="444" t="str">
        <f>IFERROR(VLOOKUP(N351,'TABLA-DIA'!$B$2:$P$62,11,FALSE),"")</f>
        <v/>
      </c>
      <c r="J351" s="440" t="str">
        <f>IFERROR(VLOOKUP(N351,'TABLA-DIA'!$B$2:$P$62,12,FALSE),"")</f>
        <v/>
      </c>
      <c r="K351" s="118" t="str">
        <f>IFERROR(VLOOKUP(N351,'TABLA-DIA'!$B$2:$P$62,13,FALSE),"")</f>
        <v/>
      </c>
      <c r="L351" s="119" t="str">
        <f>IFERROR(IF(VLOOKUP(N351,'TABLA-DIA'!$B$2:$P$62,14,FALSE)="","",VLOOKUP(N351,'TABLA-DIA'!$B$2:$P$62,14,FALSE)),"")</f>
        <v/>
      </c>
      <c r="M351" s="120">
        <f t="shared" si="4"/>
        <v>5</v>
      </c>
      <c r="N351" s="125" t="str">
        <f t="shared" si="3"/>
        <v>TEMPERADORA CHOCOLATIER-5</v>
      </c>
    </row>
    <row r="352" spans="2:15" ht="112.5" hidden="1" customHeight="1">
      <c r="B352" s="770"/>
      <c r="C352" s="74" t="str">
        <f>IFERROR(VLOOKUP(N352,'TABLA-DIA'!$B$2:$P$62,9,FALSE),"")</f>
        <v/>
      </c>
      <c r="D352" s="116" t="str">
        <f>IFERROR(VLOOKUP(N352,'TABLA-DIA'!$B$2:$P$62,4,FALSE),"")</f>
        <v/>
      </c>
      <c r="E352" s="332" t="str">
        <f>IFERROR(VLOOKUP(N352,'TABLA-DIA'!$B$2:$P$62,5,FALSE),"")</f>
        <v/>
      </c>
      <c r="F352" s="332" t="str">
        <f>IFERROR(VLOOKUP(N352,'TABLA-DIA'!$B$2:$P$62,6,FALSE),"")</f>
        <v/>
      </c>
      <c r="G352" s="474" t="str">
        <f>IFERROR(VLOOKUP(N352,'TABLA-DIA'!$B$2:$P$62,7,FALSE),"")</f>
        <v/>
      </c>
      <c r="H352" s="117" t="str">
        <f>IFERROR(VLOOKUP(N352,'TABLA-DIA'!$B$2:$P$62,10,FALSE),"")</f>
        <v/>
      </c>
      <c r="I352" s="444" t="str">
        <f>IFERROR(VLOOKUP(N352,'TABLA-DIA'!$B$2:$P$62,11,FALSE),"")</f>
        <v/>
      </c>
      <c r="J352" s="440" t="str">
        <f>IFERROR(VLOOKUP(N352,'TABLA-DIA'!$B$2:$P$62,12,FALSE),"")</f>
        <v/>
      </c>
      <c r="K352" s="118" t="str">
        <f>IFERROR(VLOOKUP(N352,'TABLA-DIA'!$B$2:$P$62,13,FALSE),"")</f>
        <v/>
      </c>
      <c r="L352" s="119" t="str">
        <f>IFERROR(IF(VLOOKUP(N352,'TABLA-DIA'!$B$2:$P$62,14,FALSE)="","",VLOOKUP(N352,'TABLA-DIA'!$B$2:$P$62,14,FALSE)),"")</f>
        <v/>
      </c>
      <c r="M352" s="120">
        <f t="shared" si="4"/>
        <v>6</v>
      </c>
      <c r="N352" s="125" t="str">
        <f t="shared" si="3"/>
        <v>TEMPERADORA CHOCOLATIER-6</v>
      </c>
    </row>
    <row r="353" spans="2:15" ht="112.5" hidden="1" customHeight="1">
      <c r="B353" s="770"/>
      <c r="C353" s="74" t="str">
        <f>IFERROR(VLOOKUP(N353,'TABLA-DIA'!$B$2:$P$62,9,FALSE),"")</f>
        <v/>
      </c>
      <c r="D353" s="116" t="str">
        <f>IFERROR(VLOOKUP(N353,'TABLA-DIA'!$B$2:$P$62,4,FALSE),"")</f>
        <v/>
      </c>
      <c r="E353" s="332" t="str">
        <f>IFERROR(VLOOKUP(N353,'TABLA-DIA'!$B$2:$P$62,5,FALSE),"")</f>
        <v/>
      </c>
      <c r="F353" s="332" t="str">
        <f>IFERROR(VLOOKUP(N353,'TABLA-DIA'!$B$2:$P$62,6,FALSE),"")</f>
        <v/>
      </c>
      <c r="G353" s="474" t="str">
        <f>IFERROR(VLOOKUP(N353,'TABLA-DIA'!$B$2:$P$62,7,FALSE),"")</f>
        <v/>
      </c>
      <c r="H353" s="117" t="str">
        <f>IFERROR(VLOOKUP(N353,'TABLA-DIA'!$B$2:$P$62,10,FALSE),"")</f>
        <v/>
      </c>
      <c r="I353" s="444" t="str">
        <f>IFERROR(VLOOKUP(N353,'TABLA-DIA'!$B$2:$P$62,11,FALSE),"")</f>
        <v/>
      </c>
      <c r="J353" s="440" t="str">
        <f>IFERROR(VLOOKUP(N353,'TABLA-DIA'!$B$2:$P$62,12,FALSE),"")</f>
        <v/>
      </c>
      <c r="K353" s="118" t="str">
        <f>IFERROR(VLOOKUP(N353,'TABLA-DIA'!$B$2:$P$62,13,FALSE),"")</f>
        <v/>
      </c>
      <c r="L353" s="119" t="str">
        <f>IFERROR(IF(VLOOKUP(N353,'TABLA-DIA'!$B$2:$P$62,14,FALSE)="","",VLOOKUP(N353,'TABLA-DIA'!$B$2:$P$62,14,FALSE)),"")</f>
        <v/>
      </c>
      <c r="M353" s="120">
        <f t="shared" si="4"/>
        <v>7</v>
      </c>
      <c r="N353" s="125" t="str">
        <f t="shared" si="3"/>
        <v>TEMPERADORA CHOCOLATIER-7</v>
      </c>
    </row>
    <row r="354" spans="2:15" ht="112.5" hidden="1" customHeight="1">
      <c r="B354" s="770"/>
      <c r="C354" s="74" t="str">
        <f>IFERROR(VLOOKUP(N354,'TABLA-DIA'!$B$2:$P$62,9,FALSE),"")</f>
        <v/>
      </c>
      <c r="D354" s="116" t="str">
        <f>IFERROR(VLOOKUP(N354,'TABLA-DIA'!$B$2:$P$62,4,FALSE),"")</f>
        <v/>
      </c>
      <c r="E354" s="332" t="str">
        <f>IFERROR(VLOOKUP(N354,'TABLA-DIA'!$B$2:$P$62,5,FALSE),"")</f>
        <v/>
      </c>
      <c r="F354" s="332" t="str">
        <f>IFERROR(VLOOKUP(N354,'TABLA-DIA'!$B$2:$P$62,6,FALSE),"")</f>
        <v/>
      </c>
      <c r="G354" s="474" t="str">
        <f>IFERROR(VLOOKUP(N354,'TABLA-DIA'!$B$2:$P$62,7,FALSE),"")</f>
        <v/>
      </c>
      <c r="H354" s="117" t="str">
        <f>IFERROR(VLOOKUP(N354,'TABLA-DIA'!$B$2:$P$62,10,FALSE),"")</f>
        <v/>
      </c>
      <c r="I354" s="444" t="str">
        <f>IFERROR(VLOOKUP(N354,'TABLA-DIA'!$B$2:$P$62,11,FALSE),"")</f>
        <v/>
      </c>
      <c r="J354" s="440" t="str">
        <f>IFERROR(VLOOKUP(N354,'TABLA-DIA'!$B$2:$P$62,12,FALSE),"")</f>
        <v/>
      </c>
      <c r="K354" s="118" t="str">
        <f>IFERROR(VLOOKUP(N354,'TABLA-DIA'!$B$2:$P$62,13,FALSE),"")</f>
        <v/>
      </c>
      <c r="L354" s="119" t="str">
        <f>IFERROR(IF(VLOOKUP(N354,'TABLA-DIA'!$B$2:$P$62,14,FALSE)="","",VLOOKUP(N354,'TABLA-DIA'!$B$2:$P$62,14,FALSE)),"")</f>
        <v/>
      </c>
      <c r="M354" s="120">
        <f t="shared" si="4"/>
        <v>8</v>
      </c>
      <c r="N354" s="125" t="str">
        <f t="shared" si="3"/>
        <v>TEMPERADORA CHOCOLATIER-8</v>
      </c>
    </row>
    <row r="355" spans="2:15" ht="112.5" hidden="1" customHeight="1">
      <c r="B355" s="770"/>
      <c r="C355" s="74" t="str">
        <f>IFERROR(VLOOKUP(N355,'TABLA-DIA'!$B$2:$P$62,9,FALSE),"")</f>
        <v/>
      </c>
      <c r="D355" s="116" t="str">
        <f>IFERROR(VLOOKUP(N355,'TABLA-DIA'!$B$2:$P$62,4,FALSE),"")</f>
        <v/>
      </c>
      <c r="E355" s="332" t="str">
        <f>IFERROR(VLOOKUP(N355,'TABLA-DIA'!$B$2:$P$62,5,FALSE),"")</f>
        <v/>
      </c>
      <c r="F355" s="332" t="str">
        <f>IFERROR(VLOOKUP(N355,'TABLA-DIA'!$B$2:$P$62,6,FALSE),"")</f>
        <v/>
      </c>
      <c r="G355" s="474" t="str">
        <f>IFERROR(VLOOKUP(N355,'TABLA-DIA'!$B$2:$P$62,7,FALSE),"")</f>
        <v/>
      </c>
      <c r="H355" s="117" t="str">
        <f>IFERROR(VLOOKUP(N355,'TABLA-DIA'!$B$2:$P$62,10,FALSE),"")</f>
        <v/>
      </c>
      <c r="I355" s="444" t="str">
        <f>IFERROR(VLOOKUP(N355,'TABLA-DIA'!$B$2:$P$62,11,FALSE),"")</f>
        <v/>
      </c>
      <c r="J355" s="440" t="str">
        <f>IFERROR(VLOOKUP(N355,'TABLA-DIA'!$B$2:$P$62,12,FALSE),"")</f>
        <v/>
      </c>
      <c r="K355" s="118" t="str">
        <f>IFERROR(VLOOKUP(N355,'TABLA-DIA'!$B$2:$P$62,13,FALSE),"")</f>
        <v/>
      </c>
      <c r="L355" s="119" t="str">
        <f>IFERROR(IF(VLOOKUP(N355,'TABLA-DIA'!$B$2:$P$62,14,FALSE)="","",VLOOKUP(N355,'TABLA-DIA'!$B$2:$P$62,14,FALSE)),"")</f>
        <v/>
      </c>
      <c r="M355" s="120">
        <f t="shared" si="4"/>
        <v>9</v>
      </c>
      <c r="N355" s="125" t="str">
        <f t="shared" si="3"/>
        <v>TEMPERADORA CHOCOLATIER-9</v>
      </c>
    </row>
    <row r="356" spans="2:15" ht="112.5" hidden="1" customHeight="1" thickBot="1">
      <c r="B356" s="771"/>
      <c r="C356" s="103" t="str">
        <f>IFERROR(VLOOKUP(N356,'TABLA-DIA'!$B$2:$P$62,9,FALSE),"")</f>
        <v/>
      </c>
      <c r="D356" s="131" t="str">
        <f>IFERROR(VLOOKUP(N356,'TABLA-DIA'!$B$2:$P$62,4,FALSE),"")</f>
        <v/>
      </c>
      <c r="E356" s="333" t="str">
        <f>IFERROR(VLOOKUP(N356,'TABLA-DIA'!$B$2:$P$62,5,FALSE),"")</f>
        <v/>
      </c>
      <c r="F356" s="333" t="str">
        <f>IFERROR(VLOOKUP(N356,'TABLA-DIA'!$B$2:$P$62,6,FALSE),"")</f>
        <v/>
      </c>
      <c r="G356" s="475" t="str">
        <f>IFERROR(VLOOKUP(N356,'TABLA-DIA'!$B$2:$P$62,7,FALSE),"")</f>
        <v/>
      </c>
      <c r="H356" s="132" t="str">
        <f>IFERROR(VLOOKUP(N356,'TABLA-DIA'!$B$2:$P$62,10,FALSE),"")</f>
        <v/>
      </c>
      <c r="I356" s="448" t="str">
        <f>IFERROR(VLOOKUP(N356,'TABLA-DIA'!$B$2:$P$62,11,FALSE),"")</f>
        <v/>
      </c>
      <c r="J356" s="441" t="str">
        <f>IFERROR(VLOOKUP(N356,'TABLA-DIA'!$B$2:$P$62,12,FALSE),"")</f>
        <v/>
      </c>
      <c r="K356" s="133" t="str">
        <f>IFERROR(VLOOKUP(N356,'TABLA-DIA'!$B$2:$P$62,13,FALSE),"")</f>
        <v/>
      </c>
      <c r="L356" s="134" t="str">
        <f>IFERROR(IF(VLOOKUP(N356,'TABLA-DIA'!$B$2:$P$62,14,FALSE)="","",VLOOKUP(N356,'TABLA-DIA'!$B$2:$P$62,14,FALSE)),"")</f>
        <v/>
      </c>
      <c r="M356" s="138">
        <f t="shared" si="4"/>
        <v>10</v>
      </c>
      <c r="N356" s="135" t="str">
        <f t="shared" si="3"/>
        <v>TEMPERADORA CHOCOLATIER-10</v>
      </c>
    </row>
    <row r="357" spans="2:15" ht="126" customHeight="1" thickBot="1">
      <c r="B357" s="751" t="str">
        <f>+'TABLA-DIA'!B156</f>
        <v>EMP. SACMI</v>
      </c>
      <c r="C357" s="96" t="str">
        <f>IFERROR(VLOOKUP(N357,'TABLA-DIA'!$B$2:$P$62,9,FALSE),"")</f>
        <v/>
      </c>
      <c r="D357" s="121" t="str">
        <f>IFERROR(VLOOKUP(N357,'TABLA-DIA'!$B$2:$P$62,4,FALSE),"")</f>
        <v/>
      </c>
      <c r="E357" s="331" t="str">
        <f>IFERROR(VLOOKUP(N357,'TABLA-DIA'!$B$2:$P$62,5,FALSE),"")</f>
        <v/>
      </c>
      <c r="F357" s="331" t="str">
        <f>IFERROR(VLOOKUP(N357,'TABLA-DIA'!$B$2:$P$62,6,FALSE),"")</f>
        <v/>
      </c>
      <c r="G357" s="476" t="str">
        <f>IFERROR(VLOOKUP(N357,'TABLA-DIA'!$B$2:$P$62,7,FALSE),"")</f>
        <v/>
      </c>
      <c r="H357" s="122" t="str">
        <f>IFERROR(VLOOKUP(N357,'TABLA-DIA'!$B$2:$P$62,10,FALSE),"")</f>
        <v/>
      </c>
      <c r="I357" s="446" t="str">
        <f>IFERROR(VLOOKUP(N357,'TABLA-DIA'!$B$2:$P$62,11,FALSE),"")</f>
        <v/>
      </c>
      <c r="J357" s="442" t="str">
        <f>IFERROR(VLOOKUP(N357,'TABLA-DIA'!$B$2:$P$62,12,FALSE),"")</f>
        <v/>
      </c>
      <c r="K357" s="123" t="str">
        <f>IFERROR(VLOOKUP(N357,'TABLA-DIA'!$B$2:$P$62,13,FALSE),"")</f>
        <v/>
      </c>
      <c r="L357" s="124" t="str">
        <f>IFERROR(IF(VLOOKUP(N357,'TABLA-DIA'!$B$2:$P$62,14,FALSE)="","",VLOOKUP(N357,'TABLA-DIA'!$B$2:$P$62,14,FALSE)),"")</f>
        <v/>
      </c>
      <c r="M357" s="100">
        <v>1</v>
      </c>
      <c r="N357" s="98" t="str">
        <f t="shared" ref="N357:N366" si="5">CONCATENATE($B$357,"-",M357)</f>
        <v>EMP. SACMI-1</v>
      </c>
      <c r="O357" s="91">
        <f>COUNTIF(G357:G366,"&lt;&gt;**")</f>
        <v>0</v>
      </c>
    </row>
    <row r="358" spans="2:15" ht="112.5" customHeight="1" thickBot="1">
      <c r="B358" s="752"/>
      <c r="C358" s="74" t="str">
        <f>IFERROR(VLOOKUP(N358,'TABLA-DIA'!$B$2:$P$62,9,FALSE),"")</f>
        <v/>
      </c>
      <c r="D358" s="121" t="str">
        <f>IFERROR(VLOOKUP(N358,'TABLA-DIA'!$B$2:$P$62,4,FALSE),"")</f>
        <v/>
      </c>
      <c r="E358" s="332" t="str">
        <f>IFERROR(VLOOKUP(N358,'TABLA-DIA'!$B$2:$P$62,5,FALSE),"")</f>
        <v/>
      </c>
      <c r="F358" s="332" t="str">
        <f>IFERROR(VLOOKUP(N358,'TABLA-DIA'!$B$2:$P$62,6,FALSE),"")</f>
        <v/>
      </c>
      <c r="G358" s="474" t="str">
        <f>IFERROR(VLOOKUP(N358,'TABLA-DIA'!$B$2:$P$62,7,FALSE),"")</f>
        <v/>
      </c>
      <c r="H358" s="117" t="str">
        <f>IFERROR(VLOOKUP(N358,'TABLA-DIA'!$B$2:$P$62,10,FALSE),"")</f>
        <v/>
      </c>
      <c r="I358" s="444" t="str">
        <f>IFERROR(VLOOKUP(N358,'TABLA-DIA'!$B$2:$P$62,11,FALSE),"")</f>
        <v/>
      </c>
      <c r="J358" s="440" t="str">
        <f>IFERROR(VLOOKUP(N358,'TABLA-DIA'!$B$2:$P$62,12,FALSE),"")</f>
        <v/>
      </c>
      <c r="K358" s="118" t="str">
        <f>IFERROR(VLOOKUP(N358,'TABLA-DIA'!$B$2:$P$62,13,FALSE),"")</f>
        <v/>
      </c>
      <c r="L358" s="119" t="str">
        <f>IFERROR(IF(VLOOKUP(N358,'TABLA-DIA'!$B$2:$P$62,14,FALSE)="","",VLOOKUP(N358,'TABLA-DIA'!$B$2:$P$62,14,FALSE)),"")</f>
        <v/>
      </c>
      <c r="M358" s="120">
        <f t="shared" ref="M358:M366" si="6">+M357+1</f>
        <v>2</v>
      </c>
      <c r="N358" s="125" t="str">
        <f t="shared" si="5"/>
        <v>EMP. SACMI-2</v>
      </c>
    </row>
    <row r="359" spans="2:15" ht="112.5" hidden="1" customHeight="1" thickBot="1">
      <c r="B359" s="752"/>
      <c r="C359" s="74" t="str">
        <f>IFERROR(VLOOKUP(N359,'TABLA-DIA'!$B$2:$P$62,9,FALSE),"")</f>
        <v/>
      </c>
      <c r="D359" s="116" t="str">
        <f>IFERROR(VLOOKUP(N359,'TABLA-DIA'!$B$2:$P$62,4,FALSE),"")</f>
        <v/>
      </c>
      <c r="E359" s="332" t="str">
        <f>IFERROR(VLOOKUP(N359,'TABLA-DIA'!$B$2:$P$62,5,FALSE),"")</f>
        <v/>
      </c>
      <c r="F359" s="332" t="str">
        <f>IFERROR(VLOOKUP(N359,'TABLA-DIA'!$B$2:$P$62,6,FALSE),"")</f>
        <v/>
      </c>
      <c r="G359" s="474" t="str">
        <f>IFERROR(VLOOKUP(N359,'TABLA-DIA'!$B$2:$P$62,7,FALSE),"")</f>
        <v/>
      </c>
      <c r="H359" s="117" t="str">
        <f>IFERROR(VLOOKUP(N359,'TABLA-DIA'!$B$2:$P$62,10,FALSE),"")</f>
        <v/>
      </c>
      <c r="I359" s="444" t="str">
        <f>IFERROR(VLOOKUP(N359,'TABLA-DIA'!$B$2:$P$62,11,FALSE),"")</f>
        <v/>
      </c>
      <c r="J359" s="440" t="str">
        <f>IFERROR(VLOOKUP(N359,'TABLA-DIA'!$B$2:$P$62,12,FALSE),"")</f>
        <v/>
      </c>
      <c r="K359" s="118" t="str">
        <f>IFERROR(VLOOKUP(N359,'TABLA-DIA'!$B$2:$P$62,13,FALSE),"")</f>
        <v/>
      </c>
      <c r="L359" s="119" t="str">
        <f>IFERROR(IF(VLOOKUP(N359,'TABLA-DIA'!$B$2:$P$62,14,FALSE)="","",VLOOKUP(N359,'TABLA-DIA'!$B$2:$P$62,14,FALSE)),"")</f>
        <v/>
      </c>
      <c r="M359" s="120">
        <f t="shared" si="6"/>
        <v>3</v>
      </c>
      <c r="N359" s="125" t="str">
        <f t="shared" si="5"/>
        <v>EMP. SACMI-3</v>
      </c>
    </row>
    <row r="360" spans="2:15" ht="112.5" hidden="1" customHeight="1">
      <c r="B360" s="752"/>
      <c r="C360" s="74" t="str">
        <f>IFERROR(VLOOKUP(N360,'TABLA-DIA'!$B$2:$P$62,9,FALSE),"")</f>
        <v/>
      </c>
      <c r="D360" s="116" t="str">
        <f>IFERROR(VLOOKUP(N360,'TABLA-DIA'!$B$2:$P$62,4,FALSE),"")</f>
        <v/>
      </c>
      <c r="E360" s="332" t="str">
        <f>IFERROR(VLOOKUP(N360,'TABLA-DIA'!$B$2:$P$62,5,FALSE),"")</f>
        <v/>
      </c>
      <c r="F360" s="332" t="str">
        <f>IFERROR(VLOOKUP(N360,'TABLA-DIA'!$B$2:$P$62,6,FALSE),"")</f>
        <v/>
      </c>
      <c r="G360" s="474" t="str">
        <f>IFERROR(VLOOKUP(N360,'TABLA-DIA'!$B$2:$P$62,7,FALSE),"")</f>
        <v/>
      </c>
      <c r="H360" s="117" t="str">
        <f>IFERROR(VLOOKUP(N360,'TABLA-DIA'!$B$2:$P$62,10,FALSE),"")</f>
        <v/>
      </c>
      <c r="I360" s="444" t="str">
        <f>IFERROR(VLOOKUP(N360,'TABLA-DIA'!$B$2:$P$62,11,FALSE),"")</f>
        <v/>
      </c>
      <c r="J360" s="440" t="str">
        <f>IFERROR(VLOOKUP(N360,'TABLA-DIA'!$B$2:$P$62,12,FALSE),"")</f>
        <v/>
      </c>
      <c r="K360" s="118" t="str">
        <f>IFERROR(VLOOKUP(N360,'TABLA-DIA'!$B$2:$P$62,13,FALSE),"")</f>
        <v/>
      </c>
      <c r="L360" s="119" t="str">
        <f>IFERROR(IF(VLOOKUP(N360,'TABLA-DIA'!$B$2:$P$62,14,FALSE)="","",VLOOKUP(N360,'TABLA-DIA'!$B$2:$P$62,14,FALSE)),"")</f>
        <v/>
      </c>
      <c r="M360" s="120">
        <f t="shared" si="6"/>
        <v>4</v>
      </c>
      <c r="N360" s="125" t="str">
        <f t="shared" si="5"/>
        <v>EMP. SACMI-4</v>
      </c>
    </row>
    <row r="361" spans="2:15" ht="112.5" hidden="1" customHeight="1">
      <c r="B361" s="752"/>
      <c r="C361" s="74" t="str">
        <f>IFERROR(VLOOKUP(N361,'TABLA-DIA'!$B$2:$P$62,9,FALSE),"")</f>
        <v/>
      </c>
      <c r="D361" s="116" t="str">
        <f>IFERROR(VLOOKUP(N361,'TABLA-DIA'!$B$2:$P$62,4,FALSE),"")</f>
        <v/>
      </c>
      <c r="E361" s="332" t="str">
        <f>IFERROR(VLOOKUP(N361,'TABLA-DIA'!$B$2:$P$62,5,FALSE),"")</f>
        <v/>
      </c>
      <c r="F361" s="332" t="str">
        <f>IFERROR(VLOOKUP(N361,'TABLA-DIA'!$B$2:$P$62,6,FALSE),"")</f>
        <v/>
      </c>
      <c r="G361" s="474" t="str">
        <f>IFERROR(VLOOKUP(N361,'TABLA-DIA'!$B$2:$P$62,7,FALSE),"")</f>
        <v/>
      </c>
      <c r="H361" s="117" t="str">
        <f>IFERROR(VLOOKUP(N361,'TABLA-DIA'!$B$2:$P$62,10,FALSE),"")</f>
        <v/>
      </c>
      <c r="I361" s="444" t="str">
        <f>IFERROR(VLOOKUP(N361,'TABLA-DIA'!$B$2:$P$62,11,FALSE),"")</f>
        <v/>
      </c>
      <c r="J361" s="440" t="str">
        <f>IFERROR(VLOOKUP(N361,'TABLA-DIA'!$B$2:$P$62,12,FALSE),"")</f>
        <v/>
      </c>
      <c r="K361" s="118" t="str">
        <f>IFERROR(VLOOKUP(N361,'TABLA-DIA'!$B$2:$P$62,13,FALSE),"")</f>
        <v/>
      </c>
      <c r="L361" s="119" t="str">
        <f>IFERROR(IF(VLOOKUP(N361,'TABLA-DIA'!$B$2:$P$62,14,FALSE)="","",VLOOKUP(N361,'TABLA-DIA'!$B$2:$P$62,14,FALSE)),"")</f>
        <v/>
      </c>
      <c r="M361" s="120">
        <f t="shared" si="6"/>
        <v>5</v>
      </c>
      <c r="N361" s="125" t="str">
        <f t="shared" si="5"/>
        <v>EMP. SACMI-5</v>
      </c>
    </row>
    <row r="362" spans="2:15" ht="112.5" hidden="1" customHeight="1">
      <c r="B362" s="752"/>
      <c r="C362" s="74" t="str">
        <f>IFERROR(VLOOKUP(N362,'TABLA-DIA'!$B$2:$P$62,9,FALSE),"")</f>
        <v/>
      </c>
      <c r="D362" s="116" t="str">
        <f>IFERROR(VLOOKUP(N362,'TABLA-DIA'!$B$2:$P$62,4,FALSE),"")</f>
        <v/>
      </c>
      <c r="E362" s="332" t="str">
        <f>IFERROR(VLOOKUP(N362,'TABLA-DIA'!$B$2:$P$62,5,FALSE),"")</f>
        <v/>
      </c>
      <c r="F362" s="332" t="str">
        <f>IFERROR(VLOOKUP(N362,'TABLA-DIA'!$B$2:$P$62,6,FALSE),"")</f>
        <v/>
      </c>
      <c r="G362" s="474" t="str">
        <f>IFERROR(VLOOKUP(N362,'TABLA-DIA'!$B$2:$P$62,7,FALSE),"")</f>
        <v/>
      </c>
      <c r="H362" s="117" t="str">
        <f>IFERROR(VLOOKUP(N362,'TABLA-DIA'!$B$2:$P$62,10,FALSE),"")</f>
        <v/>
      </c>
      <c r="I362" s="444" t="str">
        <f>IFERROR(VLOOKUP(N362,'TABLA-DIA'!$B$2:$P$62,11,FALSE),"")</f>
        <v/>
      </c>
      <c r="J362" s="440" t="str">
        <f>IFERROR(VLOOKUP(N362,'TABLA-DIA'!$B$2:$P$62,12,FALSE),"")</f>
        <v/>
      </c>
      <c r="K362" s="118" t="str">
        <f>IFERROR(VLOOKUP(N362,'TABLA-DIA'!$B$2:$P$62,13,FALSE),"")</f>
        <v/>
      </c>
      <c r="L362" s="119" t="str">
        <f>IFERROR(IF(VLOOKUP(N362,'TABLA-DIA'!$B$2:$P$62,14,FALSE)="","",VLOOKUP(N362,'TABLA-DIA'!$B$2:$P$62,14,FALSE)),"")</f>
        <v/>
      </c>
      <c r="M362" s="120">
        <f t="shared" si="6"/>
        <v>6</v>
      </c>
      <c r="N362" s="125" t="str">
        <f t="shared" si="5"/>
        <v>EMP. SACMI-6</v>
      </c>
    </row>
    <row r="363" spans="2:15" ht="112.5" hidden="1" customHeight="1">
      <c r="B363" s="752"/>
      <c r="C363" s="74" t="str">
        <f>IFERROR(VLOOKUP(N363,'TABLA-DIA'!$B$2:$P$62,9,FALSE),"")</f>
        <v/>
      </c>
      <c r="D363" s="116" t="str">
        <f>IFERROR(VLOOKUP(N363,'TABLA-DIA'!$B$2:$P$62,4,FALSE),"")</f>
        <v/>
      </c>
      <c r="E363" s="332" t="str">
        <f>IFERROR(VLOOKUP(N363,'TABLA-DIA'!$B$2:$P$62,5,FALSE),"")</f>
        <v/>
      </c>
      <c r="F363" s="332" t="str">
        <f>IFERROR(VLOOKUP(N363,'TABLA-DIA'!$B$2:$P$62,6,FALSE),"")</f>
        <v/>
      </c>
      <c r="G363" s="474" t="str">
        <f>IFERROR(VLOOKUP(N363,'TABLA-DIA'!$B$2:$P$62,7,FALSE),"")</f>
        <v/>
      </c>
      <c r="H363" s="117" t="str">
        <f>IFERROR(VLOOKUP(N363,'TABLA-DIA'!$B$2:$P$62,10,FALSE),"")</f>
        <v/>
      </c>
      <c r="I363" s="444" t="str">
        <f>IFERROR(VLOOKUP(N363,'TABLA-DIA'!$B$2:$P$62,11,FALSE),"")</f>
        <v/>
      </c>
      <c r="J363" s="440" t="str">
        <f>IFERROR(VLOOKUP(N363,'TABLA-DIA'!$B$2:$P$62,12,FALSE),"")</f>
        <v/>
      </c>
      <c r="K363" s="118" t="str">
        <f>IFERROR(VLOOKUP(N363,'TABLA-DIA'!$B$2:$P$62,13,FALSE),"")</f>
        <v/>
      </c>
      <c r="L363" s="119" t="str">
        <f>IFERROR(IF(VLOOKUP(N363,'TABLA-DIA'!$B$2:$P$62,14,FALSE)="","",VLOOKUP(N363,'TABLA-DIA'!$B$2:$P$62,14,FALSE)),"")</f>
        <v/>
      </c>
      <c r="M363" s="120">
        <f t="shared" si="6"/>
        <v>7</v>
      </c>
      <c r="N363" s="125" t="str">
        <f t="shared" si="5"/>
        <v>EMP. SACMI-7</v>
      </c>
    </row>
    <row r="364" spans="2:15" ht="112.5" hidden="1" customHeight="1">
      <c r="B364" s="752"/>
      <c r="C364" s="74" t="str">
        <f>IFERROR(VLOOKUP(N364,'TABLA-DIA'!$B$2:$P$62,9,FALSE),"")</f>
        <v/>
      </c>
      <c r="D364" s="116" t="str">
        <f>IFERROR(VLOOKUP(N364,'TABLA-DIA'!$B$2:$P$62,4,FALSE),"")</f>
        <v/>
      </c>
      <c r="E364" s="332" t="str">
        <f>IFERROR(VLOOKUP(N364,'TABLA-DIA'!$B$2:$P$62,5,FALSE),"")</f>
        <v/>
      </c>
      <c r="F364" s="332" t="str">
        <f>IFERROR(VLOOKUP(N364,'TABLA-DIA'!$B$2:$P$62,6,FALSE),"")</f>
        <v/>
      </c>
      <c r="G364" s="474" t="str">
        <f>IFERROR(VLOOKUP(N364,'TABLA-DIA'!$B$2:$P$62,7,FALSE),"")</f>
        <v/>
      </c>
      <c r="H364" s="117" t="str">
        <f>IFERROR(VLOOKUP(N364,'TABLA-DIA'!$B$2:$P$62,10,FALSE),"")</f>
        <v/>
      </c>
      <c r="I364" s="444" t="str">
        <f>IFERROR(VLOOKUP(N364,'TABLA-DIA'!$B$2:$P$62,11,FALSE),"")</f>
        <v/>
      </c>
      <c r="J364" s="440" t="str">
        <f>IFERROR(VLOOKUP(N364,'TABLA-DIA'!$B$2:$P$62,12,FALSE),"")</f>
        <v/>
      </c>
      <c r="K364" s="118" t="str">
        <f>IFERROR(VLOOKUP(N364,'TABLA-DIA'!$B$2:$P$62,13,FALSE),"")</f>
        <v/>
      </c>
      <c r="L364" s="119" t="str">
        <f>IFERROR(IF(VLOOKUP(N364,'TABLA-DIA'!$B$2:$P$62,14,FALSE)="","",VLOOKUP(N364,'TABLA-DIA'!$B$2:$P$62,14,FALSE)),"")</f>
        <v/>
      </c>
      <c r="M364" s="120">
        <f t="shared" si="6"/>
        <v>8</v>
      </c>
      <c r="N364" s="125" t="str">
        <f t="shared" si="5"/>
        <v>EMP. SACMI-8</v>
      </c>
    </row>
    <row r="365" spans="2:15" ht="112.5" hidden="1" customHeight="1">
      <c r="B365" s="752"/>
      <c r="C365" s="74" t="str">
        <f>IFERROR(VLOOKUP(N365,'TABLA-DIA'!$B$2:$P$62,9,FALSE),"")</f>
        <v/>
      </c>
      <c r="D365" s="116" t="str">
        <f>IFERROR(VLOOKUP(N365,'TABLA-DIA'!$B$2:$P$62,4,FALSE),"")</f>
        <v/>
      </c>
      <c r="E365" s="332" t="str">
        <f>IFERROR(VLOOKUP(N365,'TABLA-DIA'!$B$2:$P$62,5,FALSE),"")</f>
        <v/>
      </c>
      <c r="F365" s="332" t="str">
        <f>IFERROR(VLOOKUP(N365,'TABLA-DIA'!$B$2:$P$62,6,FALSE),"")</f>
        <v/>
      </c>
      <c r="G365" s="474" t="str">
        <f>IFERROR(VLOOKUP(N365,'TABLA-DIA'!$B$2:$P$62,7,FALSE),"")</f>
        <v/>
      </c>
      <c r="H365" s="117" t="str">
        <f>IFERROR(VLOOKUP(N365,'TABLA-DIA'!$B$2:$P$62,10,FALSE),"")</f>
        <v/>
      </c>
      <c r="I365" s="444" t="str">
        <f>IFERROR(VLOOKUP(N365,'TABLA-DIA'!$B$2:$P$62,11,FALSE),"")</f>
        <v/>
      </c>
      <c r="J365" s="440" t="str">
        <f>IFERROR(VLOOKUP(N365,'TABLA-DIA'!$B$2:$P$62,12,FALSE),"")</f>
        <v/>
      </c>
      <c r="K365" s="118" t="str">
        <f>IFERROR(VLOOKUP(N365,'TABLA-DIA'!$B$2:$P$62,13,FALSE),"")</f>
        <v/>
      </c>
      <c r="L365" s="119" t="str">
        <f>IFERROR(IF(VLOOKUP(N365,'TABLA-DIA'!$B$2:$P$62,14,FALSE)="","",VLOOKUP(N365,'TABLA-DIA'!$B$2:$P$62,14,FALSE)),"")</f>
        <v/>
      </c>
      <c r="M365" s="120">
        <f t="shared" si="6"/>
        <v>9</v>
      </c>
      <c r="N365" s="125" t="str">
        <f t="shared" si="5"/>
        <v>EMP. SACMI-9</v>
      </c>
    </row>
    <row r="366" spans="2:15" ht="112.5" hidden="1" customHeight="1" thickBot="1">
      <c r="B366" s="753"/>
      <c r="C366" s="137" t="str">
        <f>IFERROR(VLOOKUP(N366,'TABLA-DIA'!$B$2:$P$62,9,FALSE),"")</f>
        <v/>
      </c>
      <c r="D366" s="126" t="str">
        <f>IFERROR(VLOOKUP(N366,'TABLA-DIA'!$B$2:$P$62,4,FALSE),"")</f>
        <v/>
      </c>
      <c r="E366" s="334" t="str">
        <f>IFERROR(VLOOKUP(N366,'TABLA-DIA'!$B$2:$P$62,5,FALSE),"")</f>
        <v/>
      </c>
      <c r="F366" s="334" t="str">
        <f>IFERROR(VLOOKUP(N366,'TABLA-DIA'!$B$2:$P$62,6,FALSE),"")</f>
        <v/>
      </c>
      <c r="G366" s="477" t="str">
        <f>IFERROR(VLOOKUP(N366,'TABLA-DIA'!$B$2:$P$62,7,FALSE),"")</f>
        <v/>
      </c>
      <c r="H366" s="127" t="str">
        <f>IFERROR(VLOOKUP(N366,'TABLA-DIA'!$B$2:$P$62,10,FALSE),"")</f>
        <v/>
      </c>
      <c r="I366" s="445" t="str">
        <f>IFERROR(VLOOKUP(N366,'TABLA-DIA'!$B$2:$P$62,11,FALSE),"")</f>
        <v/>
      </c>
      <c r="J366" s="443" t="str">
        <f>IFERROR(VLOOKUP(N366,'TABLA-DIA'!$B$2:$P$62,12,FALSE),"")</f>
        <v/>
      </c>
      <c r="K366" s="128" t="str">
        <f>IFERROR(VLOOKUP(N366,'TABLA-DIA'!$B$2:$P$62,13,FALSE),"")</f>
        <v/>
      </c>
      <c r="L366" s="129" t="str">
        <f>IFERROR(IF(VLOOKUP(N366,'TABLA-DIA'!$B$2:$P$62,14,FALSE)="","",VLOOKUP(N366,'TABLA-DIA'!$B$2:$P$62,14,FALSE)),"")</f>
        <v/>
      </c>
      <c r="M366" s="136">
        <f t="shared" si="6"/>
        <v>10</v>
      </c>
      <c r="N366" s="130" t="str">
        <f t="shared" si="5"/>
        <v>EMP. SACMI-10</v>
      </c>
    </row>
    <row r="367" spans="2:15" ht="112.5" customHeight="1">
      <c r="B367" s="751" t="str">
        <f>+'TABLA-DIA'!B157</f>
        <v>POZO DE CHILLER</v>
      </c>
      <c r="C367" s="96" t="str">
        <f>IFERROR(VLOOKUP(N367,'TABLA-DIA'!$B$2:$P$62,9,FALSE),"")</f>
        <v/>
      </c>
      <c r="D367" s="121" t="str">
        <f>IFERROR(VLOOKUP(N367,'TABLA-DIA'!$B$2:$P$62,4,FALSE),"")</f>
        <v/>
      </c>
      <c r="E367" s="331" t="str">
        <f>IFERROR(VLOOKUP(N367,'TABLA-DIA'!$B$2:$P$62,5,FALSE),"")</f>
        <v/>
      </c>
      <c r="F367" s="331" t="str">
        <f>IFERROR(VLOOKUP(N367,'TABLA-DIA'!$B$2:$P$62,6,FALSE),"")</f>
        <v/>
      </c>
      <c r="G367" s="476" t="str">
        <f>IFERROR(VLOOKUP(N367,'TABLA-DIA'!$B$2:$P$62,7,FALSE),"")</f>
        <v/>
      </c>
      <c r="H367" s="122" t="str">
        <f>IFERROR(VLOOKUP(N367,'TABLA-DIA'!$B$2:$P$62,10,FALSE),"")</f>
        <v/>
      </c>
      <c r="I367" s="446" t="str">
        <f>IFERROR(VLOOKUP(N367,'TABLA-DIA'!$B$2:$P$62,11,FALSE),"")</f>
        <v/>
      </c>
      <c r="J367" s="442" t="str">
        <f>IFERROR(VLOOKUP(N367,'TABLA-DIA'!$B$2:$P$62,12,FALSE),"")</f>
        <v/>
      </c>
      <c r="K367" s="123" t="str">
        <f>IFERROR(VLOOKUP(N367,'TABLA-DIA'!$B$2:$P$62,13,FALSE),"")</f>
        <v/>
      </c>
      <c r="L367" s="124" t="str">
        <f>IFERROR(IF(VLOOKUP(N367,'TABLA-DIA'!$B$2:$P$62,14,FALSE)="","",VLOOKUP(N367,'TABLA-DIA'!$B$2:$P$62,14,FALSE)),"")</f>
        <v/>
      </c>
      <c r="M367" s="100">
        <v>1</v>
      </c>
      <c r="N367" s="98" t="str">
        <f t="shared" ref="N367:N376" si="7">CONCATENATE($B$367,"-",M367)</f>
        <v>POZO DE CHILLER-1</v>
      </c>
      <c r="O367" s="91">
        <f>COUNTIF(G367:G376,"&lt;&gt;**")</f>
        <v>0</v>
      </c>
    </row>
    <row r="368" spans="2:15" ht="53.25" thickBot="1">
      <c r="B368" s="752"/>
      <c r="C368" s="74" t="str">
        <f>IFERROR(VLOOKUP(N368,'TABLA-DIA'!$B$2:$P$62,9,FALSE),"")</f>
        <v/>
      </c>
      <c r="D368" s="116" t="str">
        <f>IFERROR(VLOOKUP(N368,'TABLA-DIA'!$B$2:$P$62,4,FALSE),"")</f>
        <v/>
      </c>
      <c r="E368" s="332" t="str">
        <f>IFERROR(VLOOKUP(N368,'TABLA-DIA'!$B$2:$P$62,5,FALSE),"")</f>
        <v/>
      </c>
      <c r="F368" s="332" t="str">
        <f>IFERROR(VLOOKUP(N368,'TABLA-DIA'!$B$2:$P$62,6,FALSE),"")</f>
        <v/>
      </c>
      <c r="G368" s="474" t="str">
        <f>IFERROR(VLOOKUP(N368,'TABLA-DIA'!$B$2:$P$62,7,FALSE),"")</f>
        <v/>
      </c>
      <c r="H368" s="117" t="str">
        <f>IFERROR(VLOOKUP(N368,'TABLA-DIA'!$B$2:$P$62,10,FALSE),"")</f>
        <v/>
      </c>
      <c r="I368" s="444" t="str">
        <f>IFERROR(VLOOKUP(N368,'TABLA-DIA'!$B$2:$P$62,11,FALSE),"")</f>
        <v/>
      </c>
      <c r="J368" s="440" t="str">
        <f>IFERROR(VLOOKUP(N368,'TABLA-DIA'!$B$2:$P$62,12,FALSE),"")</f>
        <v/>
      </c>
      <c r="K368" s="118" t="str">
        <f>IFERROR(VLOOKUP(N368,'TABLA-DIA'!$B$2:$P$62,13,FALSE),"")</f>
        <v/>
      </c>
      <c r="L368" s="119" t="str">
        <f>IFERROR(IF(VLOOKUP(N368,'TABLA-DIA'!$B$2:$P$62,14,FALSE)="","",VLOOKUP(N368,'TABLA-DIA'!$B$2:$P$62,14,FALSE)),"")</f>
        <v/>
      </c>
      <c r="M368" s="120">
        <f t="shared" ref="M368:M376" si="8">+M367+1</f>
        <v>2</v>
      </c>
      <c r="N368" s="125" t="str">
        <f t="shared" si="7"/>
        <v>POZO DE CHILLER-2</v>
      </c>
    </row>
    <row r="369" spans="2:15" ht="112.5" hidden="1" customHeight="1">
      <c r="B369" s="752"/>
      <c r="C369" s="74" t="str">
        <f>IFERROR(VLOOKUP(N369,'TABLA-DIA'!$B$2:$P$62,9,FALSE),"")</f>
        <v/>
      </c>
      <c r="D369" s="116" t="str">
        <f>IFERROR(VLOOKUP(N369,'TABLA-DIA'!$B$2:$P$62,4,FALSE),"")</f>
        <v/>
      </c>
      <c r="E369" s="332" t="str">
        <f>IFERROR(VLOOKUP(N369,'TABLA-DIA'!$B$2:$P$62,5,FALSE),"")</f>
        <v/>
      </c>
      <c r="F369" s="332" t="str">
        <f>IFERROR(VLOOKUP(N369,'TABLA-DIA'!$B$2:$P$62,6,FALSE),"")</f>
        <v/>
      </c>
      <c r="G369" s="474" t="str">
        <f>IFERROR(VLOOKUP(N369,'TABLA-DIA'!$B$2:$P$62,7,FALSE),"")</f>
        <v/>
      </c>
      <c r="H369" s="117" t="str">
        <f>IFERROR(VLOOKUP(N369,'TABLA-DIA'!$B$2:$P$62,10,FALSE),"")</f>
        <v/>
      </c>
      <c r="I369" s="444" t="str">
        <f>IFERROR(VLOOKUP(N369,'TABLA-DIA'!$B$2:$P$62,11,FALSE),"")</f>
        <v/>
      </c>
      <c r="J369" s="440" t="str">
        <f>IFERROR(VLOOKUP(N369,'TABLA-DIA'!$B$2:$P$62,12,FALSE),"")</f>
        <v/>
      </c>
      <c r="K369" s="118" t="str">
        <f>IFERROR(VLOOKUP(N369,'TABLA-DIA'!$B$2:$P$62,13,FALSE),"")</f>
        <v/>
      </c>
      <c r="L369" s="119" t="str">
        <f>IFERROR(IF(VLOOKUP(N369,'TABLA-DIA'!$B$2:$P$62,14,FALSE)="","",VLOOKUP(N369,'TABLA-DIA'!$B$2:$P$62,14,FALSE)),"")</f>
        <v/>
      </c>
      <c r="M369" s="120">
        <f t="shared" si="8"/>
        <v>3</v>
      </c>
      <c r="N369" s="125" t="str">
        <f t="shared" si="7"/>
        <v>POZO DE CHILLER-3</v>
      </c>
    </row>
    <row r="370" spans="2:15" ht="112.5" hidden="1" customHeight="1">
      <c r="B370" s="752"/>
      <c r="C370" s="74" t="str">
        <f>IFERROR(VLOOKUP(N370,'TABLA-DIA'!$B$2:$P$62,9,FALSE),"")</f>
        <v/>
      </c>
      <c r="D370" s="116" t="str">
        <f>IFERROR(VLOOKUP(N370,'TABLA-DIA'!$B$2:$P$62,4,FALSE),"")</f>
        <v/>
      </c>
      <c r="E370" s="332" t="str">
        <f>IFERROR(VLOOKUP(N370,'TABLA-DIA'!$B$2:$P$62,5,FALSE),"")</f>
        <v/>
      </c>
      <c r="F370" s="332" t="str">
        <f>IFERROR(VLOOKUP(N370,'TABLA-DIA'!$B$2:$P$62,6,FALSE),"")</f>
        <v/>
      </c>
      <c r="G370" s="474" t="str">
        <f>IFERROR(VLOOKUP(N370,'TABLA-DIA'!$B$2:$P$62,7,FALSE),"")</f>
        <v/>
      </c>
      <c r="H370" s="117" t="str">
        <f>IFERROR(VLOOKUP(N370,'TABLA-DIA'!$B$2:$P$62,10,FALSE),"")</f>
        <v/>
      </c>
      <c r="I370" s="444" t="str">
        <f>IFERROR(VLOOKUP(N370,'TABLA-DIA'!$B$2:$P$62,11,FALSE),"")</f>
        <v/>
      </c>
      <c r="J370" s="440" t="str">
        <f>IFERROR(VLOOKUP(N370,'TABLA-DIA'!$B$2:$P$62,12,FALSE),"")</f>
        <v/>
      </c>
      <c r="K370" s="118" t="str">
        <f>IFERROR(VLOOKUP(N370,'TABLA-DIA'!$B$2:$P$62,13,FALSE),"")</f>
        <v/>
      </c>
      <c r="L370" s="119" t="str">
        <f>IFERROR(IF(VLOOKUP(N370,'TABLA-DIA'!$B$2:$P$62,14,FALSE)="","",VLOOKUP(N370,'TABLA-DIA'!$B$2:$P$62,14,FALSE)),"")</f>
        <v/>
      </c>
      <c r="M370" s="120">
        <f t="shared" si="8"/>
        <v>4</v>
      </c>
      <c r="N370" s="125" t="str">
        <f t="shared" si="7"/>
        <v>POZO DE CHILLER-4</v>
      </c>
    </row>
    <row r="371" spans="2:15" ht="112.5" hidden="1" customHeight="1">
      <c r="B371" s="752"/>
      <c r="C371" s="74" t="str">
        <f>IFERROR(VLOOKUP(N371,'TABLA-DIA'!$B$2:$P$62,9,FALSE),"")</f>
        <v/>
      </c>
      <c r="D371" s="116" t="str">
        <f>IFERROR(VLOOKUP(N371,'TABLA-DIA'!$B$2:$P$62,4,FALSE),"")</f>
        <v/>
      </c>
      <c r="E371" s="332" t="str">
        <f>IFERROR(VLOOKUP(N371,'TABLA-DIA'!$B$2:$P$62,5,FALSE),"")</f>
        <v/>
      </c>
      <c r="F371" s="332" t="str">
        <f>IFERROR(VLOOKUP(N371,'TABLA-DIA'!$B$2:$P$62,6,FALSE),"")</f>
        <v/>
      </c>
      <c r="G371" s="474" t="str">
        <f>IFERROR(VLOOKUP(N371,'TABLA-DIA'!$B$2:$P$62,7,FALSE),"")</f>
        <v/>
      </c>
      <c r="H371" s="117" t="str">
        <f>IFERROR(VLOOKUP(N371,'TABLA-DIA'!$B$2:$P$62,10,FALSE),"")</f>
        <v/>
      </c>
      <c r="I371" s="444" t="str">
        <f>IFERROR(VLOOKUP(N371,'TABLA-DIA'!$B$2:$P$62,11,FALSE),"")</f>
        <v/>
      </c>
      <c r="J371" s="440" t="str">
        <f>IFERROR(VLOOKUP(N371,'TABLA-DIA'!$B$2:$P$62,12,FALSE),"")</f>
        <v/>
      </c>
      <c r="K371" s="118" t="str">
        <f>IFERROR(VLOOKUP(N371,'TABLA-DIA'!$B$2:$P$62,13,FALSE),"")</f>
        <v/>
      </c>
      <c r="L371" s="119" t="str">
        <f>IFERROR(IF(VLOOKUP(N371,'TABLA-DIA'!$B$2:$P$62,14,FALSE)="","",VLOOKUP(N371,'TABLA-DIA'!$B$2:$P$62,14,FALSE)),"")</f>
        <v/>
      </c>
      <c r="M371" s="120">
        <f t="shared" si="8"/>
        <v>5</v>
      </c>
      <c r="N371" s="125" t="str">
        <f t="shared" si="7"/>
        <v>POZO DE CHILLER-5</v>
      </c>
    </row>
    <row r="372" spans="2:15" ht="112.5" hidden="1" customHeight="1">
      <c r="B372" s="752"/>
      <c r="C372" s="74" t="str">
        <f>IFERROR(VLOOKUP(N372,'TABLA-DIA'!$B$2:$P$62,9,FALSE),"")</f>
        <v/>
      </c>
      <c r="D372" s="116" t="str">
        <f>IFERROR(VLOOKUP(N372,'TABLA-DIA'!$B$2:$P$62,4,FALSE),"")</f>
        <v/>
      </c>
      <c r="E372" s="332" t="str">
        <f>IFERROR(VLOOKUP(N372,'TABLA-DIA'!$B$2:$P$62,5,FALSE),"")</f>
        <v/>
      </c>
      <c r="F372" s="332" t="str">
        <f>IFERROR(VLOOKUP(N372,'TABLA-DIA'!$B$2:$P$62,6,FALSE),"")</f>
        <v/>
      </c>
      <c r="G372" s="474" t="str">
        <f>IFERROR(VLOOKUP(N372,'TABLA-DIA'!$B$2:$P$62,7,FALSE),"")</f>
        <v/>
      </c>
      <c r="H372" s="117" t="str">
        <f>IFERROR(VLOOKUP(N372,'TABLA-DIA'!$B$2:$P$62,10,FALSE),"")</f>
        <v/>
      </c>
      <c r="I372" s="444" t="str">
        <f>IFERROR(VLOOKUP(N372,'TABLA-DIA'!$B$2:$P$62,11,FALSE),"")</f>
        <v/>
      </c>
      <c r="J372" s="440" t="str">
        <f>IFERROR(VLOOKUP(N372,'TABLA-DIA'!$B$2:$P$62,12,FALSE),"")</f>
        <v/>
      </c>
      <c r="K372" s="118" t="str">
        <f>IFERROR(VLOOKUP(N372,'TABLA-DIA'!$B$2:$P$62,13,FALSE),"")</f>
        <v/>
      </c>
      <c r="L372" s="119" t="str">
        <f>IFERROR(IF(VLOOKUP(N372,'TABLA-DIA'!$B$2:$P$62,14,FALSE)="","",VLOOKUP(N372,'TABLA-DIA'!$B$2:$P$62,14,FALSE)),"")</f>
        <v/>
      </c>
      <c r="M372" s="120">
        <f t="shared" si="8"/>
        <v>6</v>
      </c>
      <c r="N372" s="125" t="str">
        <f t="shared" si="7"/>
        <v>POZO DE CHILLER-6</v>
      </c>
    </row>
    <row r="373" spans="2:15" ht="112.5" hidden="1" customHeight="1">
      <c r="B373" s="752"/>
      <c r="C373" s="74" t="str">
        <f>IFERROR(VLOOKUP(N373,'TABLA-DIA'!$B$2:$P$62,9,FALSE),"")</f>
        <v/>
      </c>
      <c r="D373" s="116" t="str">
        <f>IFERROR(VLOOKUP(N373,'TABLA-DIA'!$B$2:$P$62,4,FALSE),"")</f>
        <v/>
      </c>
      <c r="E373" s="332" t="str">
        <f>IFERROR(VLOOKUP(N373,'TABLA-DIA'!$B$2:$P$62,5,FALSE),"")</f>
        <v/>
      </c>
      <c r="F373" s="332" t="str">
        <f>IFERROR(VLOOKUP(N373,'TABLA-DIA'!$B$2:$P$62,6,FALSE),"")</f>
        <v/>
      </c>
      <c r="G373" s="474" t="str">
        <f>IFERROR(VLOOKUP(N373,'TABLA-DIA'!$B$2:$P$62,7,FALSE),"")</f>
        <v/>
      </c>
      <c r="H373" s="117" t="str">
        <f>IFERROR(VLOOKUP(N373,'TABLA-DIA'!$B$2:$P$62,10,FALSE),"")</f>
        <v/>
      </c>
      <c r="I373" s="444" t="str">
        <f>IFERROR(VLOOKUP(N373,'TABLA-DIA'!$B$2:$P$62,11,FALSE),"")</f>
        <v/>
      </c>
      <c r="J373" s="440" t="str">
        <f>IFERROR(VLOOKUP(N373,'TABLA-DIA'!$B$2:$P$62,12,FALSE),"")</f>
        <v/>
      </c>
      <c r="K373" s="118" t="str">
        <f>IFERROR(VLOOKUP(N373,'TABLA-DIA'!$B$2:$P$62,13,FALSE),"")</f>
        <v/>
      </c>
      <c r="L373" s="119" t="str">
        <f>IFERROR(IF(VLOOKUP(N373,'TABLA-DIA'!$B$2:$P$62,14,FALSE)="","",VLOOKUP(N373,'TABLA-DIA'!$B$2:$P$62,14,FALSE)),"")</f>
        <v/>
      </c>
      <c r="M373" s="120">
        <f t="shared" si="8"/>
        <v>7</v>
      </c>
      <c r="N373" s="125" t="str">
        <f t="shared" si="7"/>
        <v>POZO DE CHILLER-7</v>
      </c>
    </row>
    <row r="374" spans="2:15" ht="112.5" hidden="1" customHeight="1">
      <c r="B374" s="752"/>
      <c r="C374" s="74" t="str">
        <f>IFERROR(VLOOKUP(N374,'TABLA-DIA'!$B$2:$P$62,9,FALSE),"")</f>
        <v/>
      </c>
      <c r="D374" s="116" t="str">
        <f>IFERROR(VLOOKUP(N374,'TABLA-DIA'!$B$2:$P$62,4,FALSE),"")</f>
        <v/>
      </c>
      <c r="E374" s="332" t="str">
        <f>IFERROR(VLOOKUP(N374,'TABLA-DIA'!$B$2:$P$62,5,FALSE),"")</f>
        <v/>
      </c>
      <c r="F374" s="332" t="str">
        <f>IFERROR(VLOOKUP(N374,'TABLA-DIA'!$B$2:$P$62,6,FALSE),"")</f>
        <v/>
      </c>
      <c r="G374" s="474" t="str">
        <f>IFERROR(VLOOKUP(N374,'TABLA-DIA'!$B$2:$P$62,7,FALSE),"")</f>
        <v/>
      </c>
      <c r="H374" s="117" t="str">
        <f>IFERROR(VLOOKUP(N374,'TABLA-DIA'!$B$2:$P$62,10,FALSE),"")</f>
        <v/>
      </c>
      <c r="I374" s="444" t="str">
        <f>IFERROR(VLOOKUP(N374,'TABLA-DIA'!$B$2:$P$62,11,FALSE),"")</f>
        <v/>
      </c>
      <c r="J374" s="440" t="str">
        <f>IFERROR(VLOOKUP(N374,'TABLA-DIA'!$B$2:$P$62,12,FALSE),"")</f>
        <v/>
      </c>
      <c r="K374" s="118" t="str">
        <f>IFERROR(VLOOKUP(N374,'TABLA-DIA'!$B$2:$P$62,13,FALSE),"")</f>
        <v/>
      </c>
      <c r="L374" s="119" t="str">
        <f>IFERROR(IF(VLOOKUP(N374,'TABLA-DIA'!$B$2:$P$62,14,FALSE)="","",VLOOKUP(N374,'TABLA-DIA'!$B$2:$P$62,14,FALSE)),"")</f>
        <v/>
      </c>
      <c r="M374" s="120">
        <f t="shared" si="8"/>
        <v>8</v>
      </c>
      <c r="N374" s="125" t="str">
        <f t="shared" si="7"/>
        <v>POZO DE CHILLER-8</v>
      </c>
    </row>
    <row r="375" spans="2:15" ht="112.5" hidden="1" customHeight="1">
      <c r="B375" s="752"/>
      <c r="C375" s="74" t="str">
        <f>IFERROR(VLOOKUP(N375,'TABLA-DIA'!$B$2:$P$62,9,FALSE),"")</f>
        <v/>
      </c>
      <c r="D375" s="116" t="str">
        <f>IFERROR(VLOOKUP(N375,'TABLA-DIA'!$B$2:$P$62,4,FALSE),"")</f>
        <v/>
      </c>
      <c r="E375" s="332" t="str">
        <f>IFERROR(VLOOKUP(N375,'TABLA-DIA'!$B$2:$P$62,5,FALSE),"")</f>
        <v/>
      </c>
      <c r="F375" s="332" t="str">
        <f>IFERROR(VLOOKUP(N375,'TABLA-DIA'!$B$2:$P$62,6,FALSE),"")</f>
        <v/>
      </c>
      <c r="G375" s="474" t="str">
        <f>IFERROR(VLOOKUP(N375,'TABLA-DIA'!$B$2:$P$62,7,FALSE),"")</f>
        <v/>
      </c>
      <c r="H375" s="117" t="str">
        <f>IFERROR(VLOOKUP(N375,'TABLA-DIA'!$B$2:$P$62,10,FALSE),"")</f>
        <v/>
      </c>
      <c r="I375" s="444" t="str">
        <f>IFERROR(VLOOKUP(N375,'TABLA-DIA'!$B$2:$P$62,11,FALSE),"")</f>
        <v/>
      </c>
      <c r="J375" s="440" t="str">
        <f>IFERROR(VLOOKUP(N375,'TABLA-DIA'!$B$2:$P$62,12,FALSE),"")</f>
        <v/>
      </c>
      <c r="K375" s="118" t="str">
        <f>IFERROR(VLOOKUP(N375,'TABLA-DIA'!$B$2:$P$62,13,FALSE),"")</f>
        <v/>
      </c>
      <c r="L375" s="119" t="str">
        <f>IFERROR(IF(VLOOKUP(N375,'TABLA-DIA'!$B$2:$P$62,14,FALSE)="","",VLOOKUP(N375,'TABLA-DIA'!$B$2:$P$62,14,FALSE)),"")</f>
        <v/>
      </c>
      <c r="M375" s="120">
        <f t="shared" si="8"/>
        <v>9</v>
      </c>
      <c r="N375" s="125" t="str">
        <f t="shared" si="7"/>
        <v>POZO DE CHILLER-9</v>
      </c>
    </row>
    <row r="376" spans="2:15" ht="112.5" hidden="1" customHeight="1" thickBot="1">
      <c r="B376" s="753"/>
      <c r="C376" s="137" t="str">
        <f>IFERROR(VLOOKUP(N376,'TABLA-DIA'!$B$2:$P$62,9,FALSE),"")</f>
        <v/>
      </c>
      <c r="D376" s="126" t="str">
        <f>IFERROR(VLOOKUP(N376,'TABLA-DIA'!$B$2:$P$62,4,FALSE),"")</f>
        <v/>
      </c>
      <c r="E376" s="334" t="str">
        <f>IFERROR(VLOOKUP(N376,'TABLA-DIA'!$B$2:$P$62,5,FALSE),"")</f>
        <v/>
      </c>
      <c r="F376" s="334" t="str">
        <f>IFERROR(VLOOKUP(N376,'TABLA-DIA'!$B$2:$P$62,6,FALSE),"")</f>
        <v/>
      </c>
      <c r="G376" s="477" t="str">
        <f>IFERROR(VLOOKUP(N376,'TABLA-DIA'!$B$2:$P$62,7,FALSE),"")</f>
        <v/>
      </c>
      <c r="H376" s="127" t="str">
        <f>IFERROR(VLOOKUP(N376,'TABLA-DIA'!$B$2:$P$62,10,FALSE),"")</f>
        <v/>
      </c>
      <c r="I376" s="445" t="str">
        <f>IFERROR(VLOOKUP(N376,'TABLA-DIA'!$B$2:$P$62,11,FALSE),"")</f>
        <v/>
      </c>
      <c r="J376" s="443" t="str">
        <f>IFERROR(VLOOKUP(N376,'TABLA-DIA'!$B$2:$P$62,12,FALSE),"")</f>
        <v/>
      </c>
      <c r="K376" s="128" t="str">
        <f>IFERROR(VLOOKUP(N376,'TABLA-DIA'!$B$2:$P$62,13,FALSE),"")</f>
        <v/>
      </c>
      <c r="L376" s="129" t="str">
        <f>IFERROR(IF(VLOOKUP(N376,'TABLA-DIA'!$B$2:$P$62,14,FALSE)="","",VLOOKUP(N376,'TABLA-DIA'!$B$2:$P$62,14,FALSE)),"")</f>
        <v/>
      </c>
      <c r="M376" s="136">
        <f t="shared" si="8"/>
        <v>10</v>
      </c>
      <c r="N376" s="130" t="str">
        <f t="shared" si="7"/>
        <v>POZO DE CHILLER-10</v>
      </c>
    </row>
    <row r="377" spans="2:15" ht="108.75" customHeight="1">
      <c r="B377" s="751" t="str">
        <f>+'TABLA-DIA'!B158</f>
        <v>PROCESADORA DE MASAS - NETZSCH</v>
      </c>
      <c r="C377" s="96" t="str">
        <f>IFERROR(VLOOKUP(N377,'TABLA-DIA'!$B$2:$P$62,9,FALSE),"")</f>
        <v/>
      </c>
      <c r="D377" s="121" t="str">
        <f>IFERROR(VLOOKUP(N377,'TABLA-DIA'!$B$2:$P$62,4,FALSE),"")</f>
        <v/>
      </c>
      <c r="E377" s="331" t="str">
        <f>IFERROR(VLOOKUP(N377,'TABLA-DIA'!$B$2:$P$62,5,FALSE),"")</f>
        <v/>
      </c>
      <c r="F377" s="331" t="str">
        <f>IFERROR(VLOOKUP(N377,'TABLA-DIA'!$B$2:$P$62,6,FALSE),"")</f>
        <v/>
      </c>
      <c r="G377" s="476" t="str">
        <f>IFERROR(VLOOKUP(N377,'TABLA-DIA'!$B$2:$P$62,7,FALSE),"")</f>
        <v/>
      </c>
      <c r="H377" s="122" t="str">
        <f>IFERROR(VLOOKUP(N377,'TABLA-DIA'!$B$2:$P$62,10,FALSE),"")</f>
        <v/>
      </c>
      <c r="I377" s="446" t="str">
        <f>IFERROR(VLOOKUP(N377,'TABLA-DIA'!$B$2:$P$62,11,FALSE),"")</f>
        <v/>
      </c>
      <c r="J377" s="442" t="str">
        <f>IFERROR(VLOOKUP(N377,'TABLA-DIA'!$B$2:$P$62,12,FALSE),"")</f>
        <v/>
      </c>
      <c r="K377" s="123" t="str">
        <f>IFERROR(VLOOKUP(N377,'TABLA-DIA'!$B$2:$P$62,13,FALSE),"")</f>
        <v/>
      </c>
      <c r="L377" s="124" t="str">
        <f>IFERROR(IF(VLOOKUP(N377,'TABLA-DIA'!$B$2:$P$62,14,FALSE)="","",VLOOKUP(N377,'TABLA-DIA'!$B$2:$P$62,14,FALSE)),"")</f>
        <v/>
      </c>
      <c r="M377" s="100">
        <v>1</v>
      </c>
      <c r="N377" s="98" t="str">
        <f t="shared" ref="N377:N386" si="9">CONCATENATE($B$377,"-",M377)</f>
        <v>PROCESADORA DE MASAS - NETZSCH-1</v>
      </c>
      <c r="O377" s="91">
        <f>COUNTIF(G377:G386,"&lt;&gt;**")</f>
        <v>0</v>
      </c>
    </row>
    <row r="378" spans="2:15" ht="108.75" customHeight="1" thickBot="1">
      <c r="B378" s="752"/>
      <c r="C378" s="74" t="str">
        <f>IFERROR(VLOOKUP(N378,'TABLA-DIA'!$B$2:$P$62,9,FALSE),"")</f>
        <v/>
      </c>
      <c r="D378" s="116" t="str">
        <f>IFERROR(VLOOKUP(N378,'TABLA-DIA'!$B$2:$P$62,4,FALSE),"")</f>
        <v/>
      </c>
      <c r="E378" s="332" t="str">
        <f>IFERROR(VLOOKUP(N378,'TABLA-DIA'!$B$2:$P$62,5,FALSE),"")</f>
        <v/>
      </c>
      <c r="F378" s="332" t="str">
        <f>IFERROR(VLOOKUP(N378,'TABLA-DIA'!$B$2:$P$62,6,FALSE),"")</f>
        <v/>
      </c>
      <c r="G378" s="474" t="str">
        <f>IFERROR(VLOOKUP(N378,'TABLA-DIA'!$B$2:$P$62,7,FALSE),"")</f>
        <v/>
      </c>
      <c r="H378" s="117" t="str">
        <f>IFERROR(VLOOKUP(N378,'TABLA-DIA'!$B$2:$P$62,10,FALSE),"")</f>
        <v/>
      </c>
      <c r="I378" s="444" t="str">
        <f>IFERROR(VLOOKUP(N378,'TABLA-DIA'!$B$2:$P$62,11,FALSE),"")</f>
        <v/>
      </c>
      <c r="J378" s="440" t="str">
        <f>IFERROR(VLOOKUP(N378,'TABLA-DIA'!$B$2:$P$62,12,FALSE),"")</f>
        <v/>
      </c>
      <c r="K378" s="118" t="str">
        <f>IFERROR(VLOOKUP(N378,'TABLA-DIA'!$B$2:$P$62,13,FALSE),"")</f>
        <v/>
      </c>
      <c r="L378" s="119" t="str">
        <f>IFERROR(IF(VLOOKUP(N378,'TABLA-DIA'!$B$2:$P$62,14,FALSE)="","",VLOOKUP(N378,'TABLA-DIA'!$B$2:$P$62,14,FALSE)),"")</f>
        <v/>
      </c>
      <c r="M378" s="120">
        <f t="shared" ref="M378:M386" si="10">+M377+1</f>
        <v>2</v>
      </c>
      <c r="N378" s="125" t="str">
        <f t="shared" si="9"/>
        <v>PROCESADORA DE MASAS - NETZSCH-2</v>
      </c>
    </row>
    <row r="379" spans="2:15" ht="108.75" hidden="1" customHeight="1">
      <c r="B379" s="752"/>
      <c r="C379" s="74" t="str">
        <f>IFERROR(VLOOKUP(N379,'TABLA-DIA'!$B$2:$P$62,9,FALSE),"")</f>
        <v/>
      </c>
      <c r="D379" s="116" t="str">
        <f>IFERROR(VLOOKUP(N379,'TABLA-DIA'!$B$2:$P$62,4,FALSE),"")</f>
        <v/>
      </c>
      <c r="E379" s="332" t="str">
        <f>IFERROR(VLOOKUP(N379,'TABLA-DIA'!$B$2:$P$62,5,FALSE),"")</f>
        <v/>
      </c>
      <c r="F379" s="332" t="str">
        <f>IFERROR(VLOOKUP(N379,'TABLA-DIA'!$B$2:$P$62,6,FALSE),"")</f>
        <v/>
      </c>
      <c r="G379" s="474" t="str">
        <f>IFERROR(VLOOKUP(N379,'TABLA-DIA'!$B$2:$P$62,7,FALSE),"")</f>
        <v/>
      </c>
      <c r="H379" s="117" t="str">
        <f>IFERROR(VLOOKUP(N379,'TABLA-DIA'!$B$2:$P$62,10,FALSE),"")</f>
        <v/>
      </c>
      <c r="I379" s="444" t="str">
        <f>IFERROR(VLOOKUP(N379,'TABLA-DIA'!$B$2:$P$62,11,FALSE),"")</f>
        <v/>
      </c>
      <c r="J379" s="440" t="str">
        <f>IFERROR(VLOOKUP(N379,'TABLA-DIA'!$B$2:$P$62,12,FALSE),"")</f>
        <v/>
      </c>
      <c r="K379" s="118" t="str">
        <f>IFERROR(VLOOKUP(N379,'TABLA-DIA'!$B$2:$P$62,13,FALSE),"")</f>
        <v/>
      </c>
      <c r="L379" s="119" t="str">
        <f>IFERROR(IF(VLOOKUP(N379,'TABLA-DIA'!$B$2:$P$62,14,FALSE)="","",VLOOKUP(N379,'TABLA-DIA'!$B$2:$P$62,14,FALSE)),"")</f>
        <v/>
      </c>
      <c r="M379" s="120">
        <f t="shared" si="10"/>
        <v>3</v>
      </c>
      <c r="N379" s="125" t="str">
        <f t="shared" si="9"/>
        <v>PROCESADORA DE MASAS - NETZSCH-3</v>
      </c>
    </row>
    <row r="380" spans="2:15" ht="108.75" hidden="1" customHeight="1">
      <c r="B380" s="752"/>
      <c r="C380" s="74" t="str">
        <f>IFERROR(VLOOKUP(N380,'TABLA-DIA'!$B$2:$P$62,9,FALSE),"")</f>
        <v/>
      </c>
      <c r="D380" s="116" t="str">
        <f>IFERROR(VLOOKUP(N380,'TABLA-DIA'!$B$2:$P$62,4,FALSE),"")</f>
        <v/>
      </c>
      <c r="E380" s="332" t="str">
        <f>IFERROR(VLOOKUP(N380,'TABLA-DIA'!$B$2:$P$62,5,FALSE),"")</f>
        <v/>
      </c>
      <c r="F380" s="332" t="str">
        <f>IFERROR(VLOOKUP(N380,'TABLA-DIA'!$B$2:$P$62,6,FALSE),"")</f>
        <v/>
      </c>
      <c r="G380" s="474" t="str">
        <f>IFERROR(VLOOKUP(N380,'TABLA-DIA'!$B$2:$P$62,7,FALSE),"")</f>
        <v/>
      </c>
      <c r="H380" s="117" t="str">
        <f>IFERROR(VLOOKUP(N380,'TABLA-DIA'!$B$2:$P$62,10,FALSE),"")</f>
        <v/>
      </c>
      <c r="I380" s="444" t="str">
        <f>IFERROR(VLOOKUP(N380,'TABLA-DIA'!$B$2:$P$62,11,FALSE),"")</f>
        <v/>
      </c>
      <c r="J380" s="440" t="str">
        <f>IFERROR(VLOOKUP(N380,'TABLA-DIA'!$B$2:$P$62,12,FALSE),"")</f>
        <v/>
      </c>
      <c r="K380" s="118" t="str">
        <f>IFERROR(VLOOKUP(N380,'TABLA-DIA'!$B$2:$P$62,13,FALSE),"")</f>
        <v/>
      </c>
      <c r="L380" s="119" t="str">
        <f>IFERROR(IF(VLOOKUP(N380,'TABLA-DIA'!$B$2:$P$62,14,FALSE)="","",VLOOKUP(N380,'TABLA-DIA'!$B$2:$P$62,14,FALSE)),"")</f>
        <v/>
      </c>
      <c r="M380" s="120">
        <f t="shared" si="10"/>
        <v>4</v>
      </c>
      <c r="N380" s="125" t="str">
        <f t="shared" si="9"/>
        <v>PROCESADORA DE MASAS - NETZSCH-4</v>
      </c>
    </row>
    <row r="381" spans="2:15" ht="108.75" hidden="1" customHeight="1">
      <c r="B381" s="752"/>
      <c r="C381" s="74" t="str">
        <f>IFERROR(VLOOKUP(N381,'TABLA-DIA'!$B$2:$P$62,9,FALSE),"")</f>
        <v/>
      </c>
      <c r="D381" s="116" t="str">
        <f>IFERROR(VLOOKUP(N381,'TABLA-DIA'!$B$2:$P$62,4,FALSE),"")</f>
        <v/>
      </c>
      <c r="E381" s="332" t="str">
        <f>IFERROR(VLOOKUP(N381,'TABLA-DIA'!$B$2:$P$62,5,FALSE),"")</f>
        <v/>
      </c>
      <c r="F381" s="332" t="str">
        <f>IFERROR(VLOOKUP(N381,'TABLA-DIA'!$B$2:$P$62,6,FALSE),"")</f>
        <v/>
      </c>
      <c r="G381" s="474" t="str">
        <f>IFERROR(VLOOKUP(N381,'TABLA-DIA'!$B$2:$P$62,7,FALSE),"")</f>
        <v/>
      </c>
      <c r="H381" s="117" t="str">
        <f>IFERROR(VLOOKUP(N381,'TABLA-DIA'!$B$2:$P$62,10,FALSE),"")</f>
        <v/>
      </c>
      <c r="I381" s="444" t="str">
        <f>IFERROR(VLOOKUP(N381,'TABLA-DIA'!$B$2:$P$62,11,FALSE),"")</f>
        <v/>
      </c>
      <c r="J381" s="440" t="str">
        <f>IFERROR(VLOOKUP(N381,'TABLA-DIA'!$B$2:$P$62,12,FALSE),"")</f>
        <v/>
      </c>
      <c r="K381" s="118" t="str">
        <f>IFERROR(VLOOKUP(N381,'TABLA-DIA'!$B$2:$P$62,13,FALSE),"")</f>
        <v/>
      </c>
      <c r="L381" s="119" t="str">
        <f>IFERROR(IF(VLOOKUP(N381,'TABLA-DIA'!$B$2:$P$62,14,FALSE)="","",VLOOKUP(N381,'TABLA-DIA'!$B$2:$P$62,14,FALSE)),"")</f>
        <v/>
      </c>
      <c r="M381" s="120">
        <f t="shared" si="10"/>
        <v>5</v>
      </c>
      <c r="N381" s="125" t="str">
        <f t="shared" si="9"/>
        <v>PROCESADORA DE MASAS - NETZSCH-5</v>
      </c>
    </row>
    <row r="382" spans="2:15" ht="108.75" hidden="1" customHeight="1">
      <c r="B382" s="752"/>
      <c r="C382" s="74" t="str">
        <f>IFERROR(VLOOKUP(N382,'TABLA-DIA'!$B$2:$P$62,9,FALSE),"")</f>
        <v/>
      </c>
      <c r="D382" s="116" t="str">
        <f>IFERROR(VLOOKUP(N382,'TABLA-DIA'!$B$2:$P$62,4,FALSE),"")</f>
        <v/>
      </c>
      <c r="E382" s="332" t="str">
        <f>IFERROR(VLOOKUP(N382,'TABLA-DIA'!$B$2:$P$62,5,FALSE),"")</f>
        <v/>
      </c>
      <c r="F382" s="332" t="str">
        <f>IFERROR(VLOOKUP(N382,'TABLA-DIA'!$B$2:$P$62,6,FALSE),"")</f>
        <v/>
      </c>
      <c r="G382" s="474" t="str">
        <f>IFERROR(VLOOKUP(N382,'TABLA-DIA'!$B$2:$P$62,7,FALSE),"")</f>
        <v/>
      </c>
      <c r="H382" s="117" t="str">
        <f>IFERROR(VLOOKUP(N382,'TABLA-DIA'!$B$2:$P$62,10,FALSE),"")</f>
        <v/>
      </c>
      <c r="I382" s="444" t="str">
        <f>IFERROR(VLOOKUP(N382,'TABLA-DIA'!$B$2:$P$62,11,FALSE),"")</f>
        <v/>
      </c>
      <c r="J382" s="440" t="str">
        <f>IFERROR(VLOOKUP(N382,'TABLA-DIA'!$B$2:$P$62,12,FALSE),"")</f>
        <v/>
      </c>
      <c r="K382" s="118" t="str">
        <f>IFERROR(VLOOKUP(N382,'TABLA-DIA'!$B$2:$P$62,13,FALSE),"")</f>
        <v/>
      </c>
      <c r="L382" s="119" t="str">
        <f>IFERROR(IF(VLOOKUP(N382,'TABLA-DIA'!$B$2:$P$62,14,FALSE)="","",VLOOKUP(N382,'TABLA-DIA'!$B$2:$P$62,14,FALSE)),"")</f>
        <v/>
      </c>
      <c r="M382" s="120">
        <f t="shared" si="10"/>
        <v>6</v>
      </c>
      <c r="N382" s="125" t="str">
        <f t="shared" si="9"/>
        <v>PROCESADORA DE MASAS - NETZSCH-6</v>
      </c>
    </row>
    <row r="383" spans="2:15" ht="108.75" hidden="1" customHeight="1">
      <c r="B383" s="752"/>
      <c r="C383" s="74" t="str">
        <f>IFERROR(VLOOKUP(N383,'TABLA-DIA'!$B$2:$P$62,9,FALSE),"")</f>
        <v/>
      </c>
      <c r="D383" s="116" t="str">
        <f>IFERROR(VLOOKUP(N383,'TABLA-DIA'!$B$2:$P$62,4,FALSE),"")</f>
        <v/>
      </c>
      <c r="E383" s="332" t="str">
        <f>IFERROR(VLOOKUP(N383,'TABLA-DIA'!$B$2:$P$62,5,FALSE),"")</f>
        <v/>
      </c>
      <c r="F383" s="332" t="str">
        <f>IFERROR(VLOOKUP(N383,'TABLA-DIA'!$B$2:$P$62,6,FALSE),"")</f>
        <v/>
      </c>
      <c r="G383" s="474" t="str">
        <f>IFERROR(VLOOKUP(N383,'TABLA-DIA'!$B$2:$P$62,7,FALSE),"")</f>
        <v/>
      </c>
      <c r="H383" s="117" t="str">
        <f>IFERROR(VLOOKUP(N383,'TABLA-DIA'!$B$2:$P$62,10,FALSE),"")</f>
        <v/>
      </c>
      <c r="I383" s="444" t="str">
        <f>IFERROR(VLOOKUP(N383,'TABLA-DIA'!$B$2:$P$62,11,FALSE),"")</f>
        <v/>
      </c>
      <c r="J383" s="440" t="str">
        <f>IFERROR(VLOOKUP(N383,'TABLA-DIA'!$B$2:$P$62,12,FALSE),"")</f>
        <v/>
      </c>
      <c r="K383" s="118" t="str">
        <f>IFERROR(VLOOKUP(N383,'TABLA-DIA'!$B$2:$P$62,13,FALSE),"")</f>
        <v/>
      </c>
      <c r="L383" s="119" t="str">
        <f>IFERROR(IF(VLOOKUP(N383,'TABLA-DIA'!$B$2:$P$62,14,FALSE)="","",VLOOKUP(N383,'TABLA-DIA'!$B$2:$P$62,14,FALSE)),"")</f>
        <v/>
      </c>
      <c r="M383" s="120">
        <f t="shared" si="10"/>
        <v>7</v>
      </c>
      <c r="N383" s="125" t="str">
        <f t="shared" si="9"/>
        <v>PROCESADORA DE MASAS - NETZSCH-7</v>
      </c>
    </row>
    <row r="384" spans="2:15" ht="108.75" hidden="1" customHeight="1">
      <c r="B384" s="752"/>
      <c r="C384" s="74" t="str">
        <f>IFERROR(VLOOKUP(N384,'TABLA-DIA'!$B$2:$P$62,9,FALSE),"")</f>
        <v/>
      </c>
      <c r="D384" s="116" t="str">
        <f>IFERROR(VLOOKUP(N384,'TABLA-DIA'!$B$2:$P$62,4,FALSE),"")</f>
        <v/>
      </c>
      <c r="E384" s="332" t="str">
        <f>IFERROR(VLOOKUP(N384,'TABLA-DIA'!$B$2:$P$62,5,FALSE),"")</f>
        <v/>
      </c>
      <c r="F384" s="332" t="str">
        <f>IFERROR(VLOOKUP(N384,'TABLA-DIA'!$B$2:$P$62,6,FALSE),"")</f>
        <v/>
      </c>
      <c r="G384" s="474" t="str">
        <f>IFERROR(VLOOKUP(N384,'TABLA-DIA'!$B$2:$P$62,7,FALSE),"")</f>
        <v/>
      </c>
      <c r="H384" s="117" t="str">
        <f>IFERROR(VLOOKUP(N384,'TABLA-DIA'!$B$2:$P$62,10,FALSE),"")</f>
        <v/>
      </c>
      <c r="I384" s="444" t="str">
        <f>IFERROR(VLOOKUP(N384,'TABLA-DIA'!$B$2:$P$62,11,FALSE),"")</f>
        <v/>
      </c>
      <c r="J384" s="440" t="str">
        <f>IFERROR(VLOOKUP(N384,'TABLA-DIA'!$B$2:$P$62,12,FALSE),"")</f>
        <v/>
      </c>
      <c r="K384" s="118" t="str">
        <f>IFERROR(VLOOKUP(N384,'TABLA-DIA'!$B$2:$P$62,13,FALSE),"")</f>
        <v/>
      </c>
      <c r="L384" s="119" t="str">
        <f>IFERROR(IF(VLOOKUP(N384,'TABLA-DIA'!$B$2:$P$62,14,FALSE)="","",VLOOKUP(N384,'TABLA-DIA'!$B$2:$P$62,14,FALSE)),"")</f>
        <v/>
      </c>
      <c r="M384" s="120">
        <f t="shared" si="10"/>
        <v>8</v>
      </c>
      <c r="N384" s="125" t="str">
        <f t="shared" si="9"/>
        <v>PROCESADORA DE MASAS - NETZSCH-8</v>
      </c>
    </row>
    <row r="385" spans="2:15" ht="108.75" hidden="1" customHeight="1">
      <c r="B385" s="752"/>
      <c r="C385" s="74" t="str">
        <f>IFERROR(VLOOKUP(N385,'TABLA-DIA'!$B$2:$P$62,9,FALSE),"")</f>
        <v/>
      </c>
      <c r="D385" s="116" t="str">
        <f>IFERROR(VLOOKUP(N385,'TABLA-DIA'!$B$2:$P$62,4,FALSE),"")</f>
        <v/>
      </c>
      <c r="E385" s="332" t="str">
        <f>IFERROR(VLOOKUP(N385,'TABLA-DIA'!$B$2:$P$62,5,FALSE),"")</f>
        <v/>
      </c>
      <c r="F385" s="332" t="str">
        <f>IFERROR(VLOOKUP(N385,'TABLA-DIA'!$B$2:$P$62,6,FALSE),"")</f>
        <v/>
      </c>
      <c r="G385" s="474" t="str">
        <f>IFERROR(VLOOKUP(N385,'TABLA-DIA'!$B$2:$P$62,7,FALSE),"")</f>
        <v/>
      </c>
      <c r="H385" s="117" t="str">
        <f>IFERROR(VLOOKUP(N385,'TABLA-DIA'!$B$2:$P$62,10,FALSE),"")</f>
        <v/>
      </c>
      <c r="I385" s="444" t="str">
        <f>IFERROR(VLOOKUP(N385,'TABLA-DIA'!$B$2:$P$62,11,FALSE),"")</f>
        <v/>
      </c>
      <c r="J385" s="440" t="str">
        <f>IFERROR(VLOOKUP(N385,'TABLA-DIA'!$B$2:$P$62,12,FALSE),"")</f>
        <v/>
      </c>
      <c r="K385" s="118" t="str">
        <f>IFERROR(VLOOKUP(N385,'TABLA-DIA'!$B$2:$P$62,13,FALSE),"")</f>
        <v/>
      </c>
      <c r="L385" s="119" t="str">
        <f>IFERROR(IF(VLOOKUP(N385,'TABLA-DIA'!$B$2:$P$62,14,FALSE)="","",VLOOKUP(N385,'TABLA-DIA'!$B$2:$P$62,14,FALSE)),"")</f>
        <v/>
      </c>
      <c r="M385" s="120">
        <f t="shared" si="10"/>
        <v>9</v>
      </c>
      <c r="N385" s="125" t="str">
        <f t="shared" si="9"/>
        <v>PROCESADORA DE MASAS - NETZSCH-9</v>
      </c>
    </row>
    <row r="386" spans="2:15" ht="108.75" hidden="1" customHeight="1" thickBot="1">
      <c r="B386" s="753"/>
      <c r="C386" s="137" t="str">
        <f>IFERROR(VLOOKUP(N386,'TABLA-DIA'!$B$2:$P$62,9,FALSE),"")</f>
        <v/>
      </c>
      <c r="D386" s="126" t="str">
        <f>IFERROR(VLOOKUP(N386,'TABLA-DIA'!$B$2:$P$62,4,FALSE),"")</f>
        <v/>
      </c>
      <c r="E386" s="334" t="str">
        <f>IFERROR(VLOOKUP(N386,'TABLA-DIA'!$B$2:$P$62,5,FALSE),"")</f>
        <v/>
      </c>
      <c r="F386" s="334" t="str">
        <f>IFERROR(VLOOKUP(N386,'TABLA-DIA'!$B$2:$P$62,6,FALSE),"")</f>
        <v/>
      </c>
      <c r="G386" s="477" t="str">
        <f>IFERROR(VLOOKUP(N386,'TABLA-DIA'!$B$2:$P$62,7,FALSE),"")</f>
        <v/>
      </c>
      <c r="H386" s="127" t="str">
        <f>IFERROR(VLOOKUP(N386,'TABLA-DIA'!$B$2:$P$62,10,FALSE),"")</f>
        <v/>
      </c>
      <c r="I386" s="445" t="str">
        <f>IFERROR(VLOOKUP(N386,'TABLA-DIA'!$B$2:$P$62,11,FALSE),"")</f>
        <v/>
      </c>
      <c r="J386" s="443" t="str">
        <f>IFERROR(VLOOKUP(N386,'TABLA-DIA'!$B$2:$P$62,12,FALSE),"")</f>
        <v/>
      </c>
      <c r="K386" s="128" t="str">
        <f>IFERROR(VLOOKUP(N386,'TABLA-DIA'!$B$2:$P$62,13,FALSE),"")</f>
        <v/>
      </c>
      <c r="L386" s="129" t="str">
        <f>IFERROR(IF(VLOOKUP(N386,'TABLA-DIA'!$B$2:$P$62,14,FALSE)="","",VLOOKUP(N386,'TABLA-DIA'!$B$2:$P$62,14,FALSE)),"")</f>
        <v/>
      </c>
      <c r="M386" s="136">
        <f t="shared" si="10"/>
        <v>10</v>
      </c>
      <c r="N386" s="130" t="str">
        <f t="shared" si="9"/>
        <v>PROCESADORA DE MASAS - NETZSCH-10</v>
      </c>
    </row>
    <row r="387" spans="2:15" ht="108" customHeight="1" thickBot="1">
      <c r="B387" s="751" t="str">
        <f>+'TABLA-DIA'!B159</f>
        <v>COMEDOR</v>
      </c>
      <c r="C387" s="96" t="str">
        <f>IFERROR(VLOOKUP(N387,'TABLA-DIA'!$B$2:$P$62,9,FALSE),"")</f>
        <v/>
      </c>
      <c r="D387" s="121" t="str">
        <f>IFERROR(VLOOKUP(N387,'TABLA-DIA'!$B$2:$P$62,4,FALSE),"")</f>
        <v/>
      </c>
      <c r="E387" s="331" t="str">
        <f>IFERROR(VLOOKUP(N387,'TABLA-DIA'!$B$2:$P$62,5,FALSE),"")</f>
        <v/>
      </c>
      <c r="F387" s="331" t="str">
        <f>IFERROR(VLOOKUP(N387,'TABLA-DIA'!$B$2:$P$62,6,FALSE),"")</f>
        <v/>
      </c>
      <c r="G387" s="476" t="str">
        <f>IFERROR(VLOOKUP(N387,'TABLA-DIA'!$B$2:$P$62,7,FALSE),"")</f>
        <v/>
      </c>
      <c r="H387" s="122" t="str">
        <f>IFERROR(VLOOKUP(N387,'TABLA-DIA'!$B$2:$P$62,10,FALSE),"")</f>
        <v/>
      </c>
      <c r="I387" s="446" t="str">
        <f>IFERROR(VLOOKUP(N387,'TABLA-DIA'!$B$2:$P$62,11,FALSE),"")</f>
        <v/>
      </c>
      <c r="J387" s="442" t="str">
        <f>IFERROR(VLOOKUP(N387,'TABLA-DIA'!$B$2:$P$62,12,FALSE),"")</f>
        <v/>
      </c>
      <c r="K387" s="123" t="str">
        <f>IFERROR(VLOOKUP(N387,'TABLA-DIA'!$B$2:$P$62,13,FALSE),"")</f>
        <v/>
      </c>
      <c r="L387" s="124" t="str">
        <f>IFERROR(IF(VLOOKUP(N387,'TABLA-DIA'!$B$2:$P$62,14,FALSE)="","",VLOOKUP(N387,'TABLA-DIA'!$B$2:$P$62,14,FALSE)),"")</f>
        <v/>
      </c>
      <c r="M387" s="100">
        <v>1</v>
      </c>
      <c r="N387" s="98" t="str">
        <f t="shared" ref="N387:N396" si="11">CONCATENATE($B$387,"-",M387)</f>
        <v>COMEDOR-1</v>
      </c>
      <c r="O387" s="91">
        <f>COUNTIF(G387:G396,"&lt;&gt;**")</f>
        <v>0</v>
      </c>
    </row>
    <row r="388" spans="2:15" ht="108.75" hidden="1" customHeight="1" thickBot="1">
      <c r="B388" s="752"/>
      <c r="C388" s="74" t="str">
        <f>IFERROR(VLOOKUP(N388,'TABLA-DIA'!$B$2:$P$62,9,FALSE),"")</f>
        <v/>
      </c>
      <c r="D388" s="116" t="str">
        <f>IFERROR(VLOOKUP(N388,'TABLA-DIA'!$B$2:$P$62,4,FALSE),"")</f>
        <v/>
      </c>
      <c r="E388" s="332" t="str">
        <f>IFERROR(VLOOKUP(N388,'TABLA-DIA'!$B$2:$P$62,5,FALSE),"")</f>
        <v/>
      </c>
      <c r="F388" s="332" t="str">
        <f>IFERROR(VLOOKUP(N388,'TABLA-DIA'!$B$2:$P$62,6,FALSE),"")</f>
        <v/>
      </c>
      <c r="G388" s="474" t="str">
        <f>IFERROR(VLOOKUP(N388,'TABLA-DIA'!$B$2:$P$62,7,FALSE),"")</f>
        <v/>
      </c>
      <c r="H388" s="117" t="str">
        <f>IFERROR(VLOOKUP(N388,'TABLA-DIA'!$B$2:$P$62,10,FALSE),"")</f>
        <v/>
      </c>
      <c r="I388" s="444" t="str">
        <f>IFERROR(VLOOKUP(N388,'TABLA-DIA'!$B$2:$P$62,11,FALSE),"")</f>
        <v/>
      </c>
      <c r="J388" s="440" t="str">
        <f>IFERROR(VLOOKUP(N388,'TABLA-DIA'!$B$2:$P$62,12,FALSE),"")</f>
        <v/>
      </c>
      <c r="K388" s="118" t="str">
        <f>IFERROR(VLOOKUP(N388,'TABLA-DIA'!$B$2:$P$62,13,FALSE),"")</f>
        <v/>
      </c>
      <c r="L388" s="119" t="str">
        <f>IFERROR(IF(VLOOKUP(N388,'TABLA-DIA'!$B$2:$P$62,14,FALSE)="","",VLOOKUP(N388,'TABLA-DIA'!$B$2:$P$62,14,FALSE)),"")</f>
        <v/>
      </c>
      <c r="M388" s="120">
        <f t="shared" ref="M388:M396" si="12">+M387+1</f>
        <v>2</v>
      </c>
      <c r="N388" s="125" t="str">
        <f t="shared" si="11"/>
        <v>COMEDOR-2</v>
      </c>
    </row>
    <row r="389" spans="2:15" ht="108.75" hidden="1" customHeight="1">
      <c r="B389" s="752"/>
      <c r="C389" s="74" t="str">
        <f>IFERROR(VLOOKUP(N389,'TABLA-DIA'!$B$2:$P$62,9,FALSE),"")</f>
        <v/>
      </c>
      <c r="D389" s="116" t="str">
        <f>IFERROR(VLOOKUP(N389,'TABLA-DIA'!$B$2:$P$62,4,FALSE),"")</f>
        <v/>
      </c>
      <c r="E389" s="332" t="str">
        <f>IFERROR(VLOOKUP(N389,'TABLA-DIA'!$B$2:$P$62,5,FALSE),"")</f>
        <v/>
      </c>
      <c r="F389" s="332" t="str">
        <f>IFERROR(VLOOKUP(N389,'TABLA-DIA'!$B$2:$P$62,6,FALSE),"")</f>
        <v/>
      </c>
      <c r="G389" s="474" t="str">
        <f>IFERROR(VLOOKUP(N389,'TABLA-DIA'!$B$2:$P$62,7,FALSE),"")</f>
        <v/>
      </c>
      <c r="H389" s="117" t="str">
        <f>IFERROR(VLOOKUP(N389,'TABLA-DIA'!$B$2:$P$62,10,FALSE),"")</f>
        <v/>
      </c>
      <c r="I389" s="444" t="str">
        <f>IFERROR(VLOOKUP(N389,'TABLA-DIA'!$B$2:$P$62,11,FALSE),"")</f>
        <v/>
      </c>
      <c r="J389" s="440" t="str">
        <f>IFERROR(VLOOKUP(N389,'TABLA-DIA'!$B$2:$P$62,12,FALSE),"")</f>
        <v/>
      </c>
      <c r="K389" s="118" t="str">
        <f>IFERROR(VLOOKUP(N389,'TABLA-DIA'!$B$2:$P$62,13,FALSE),"")</f>
        <v/>
      </c>
      <c r="L389" s="119" t="str">
        <f>IFERROR(IF(VLOOKUP(N389,'TABLA-DIA'!$B$2:$P$62,14,FALSE)="","",VLOOKUP(N389,'TABLA-DIA'!$B$2:$P$62,14,FALSE)),"")</f>
        <v/>
      </c>
      <c r="M389" s="120">
        <f t="shared" si="12"/>
        <v>3</v>
      </c>
      <c r="N389" s="125" t="str">
        <f t="shared" si="11"/>
        <v>COMEDOR-3</v>
      </c>
    </row>
    <row r="390" spans="2:15" ht="108.75" hidden="1" customHeight="1">
      <c r="B390" s="752"/>
      <c r="C390" s="74" t="str">
        <f>IFERROR(VLOOKUP(N390,'TABLA-DIA'!$B$2:$P$62,9,FALSE),"")</f>
        <v/>
      </c>
      <c r="D390" s="116" t="str">
        <f>IFERROR(VLOOKUP(N390,'TABLA-DIA'!$B$2:$P$62,4,FALSE),"")</f>
        <v/>
      </c>
      <c r="E390" s="332" t="str">
        <f>IFERROR(VLOOKUP(N390,'TABLA-DIA'!$B$2:$P$62,5,FALSE),"")</f>
        <v/>
      </c>
      <c r="F390" s="332" t="str">
        <f>IFERROR(VLOOKUP(N390,'TABLA-DIA'!$B$2:$P$62,6,FALSE),"")</f>
        <v/>
      </c>
      <c r="G390" s="474" t="str">
        <f>IFERROR(VLOOKUP(N390,'TABLA-DIA'!$B$2:$P$62,7,FALSE),"")</f>
        <v/>
      </c>
      <c r="H390" s="117" t="str">
        <f>IFERROR(VLOOKUP(N390,'TABLA-DIA'!$B$2:$P$62,10,FALSE),"")</f>
        <v/>
      </c>
      <c r="I390" s="444" t="str">
        <f>IFERROR(VLOOKUP(N390,'TABLA-DIA'!$B$2:$P$62,11,FALSE),"")</f>
        <v/>
      </c>
      <c r="J390" s="440" t="str">
        <f>IFERROR(VLOOKUP(N390,'TABLA-DIA'!$B$2:$P$62,12,FALSE),"")</f>
        <v/>
      </c>
      <c r="K390" s="118" t="str">
        <f>IFERROR(VLOOKUP(N390,'TABLA-DIA'!$B$2:$P$62,13,FALSE),"")</f>
        <v/>
      </c>
      <c r="L390" s="119" t="str">
        <f>IFERROR(IF(VLOOKUP(N390,'TABLA-DIA'!$B$2:$P$62,14,FALSE)="","",VLOOKUP(N390,'TABLA-DIA'!$B$2:$P$62,14,FALSE)),"")</f>
        <v/>
      </c>
      <c r="M390" s="120">
        <f t="shared" si="12"/>
        <v>4</v>
      </c>
      <c r="N390" s="125" t="str">
        <f t="shared" si="11"/>
        <v>COMEDOR-4</v>
      </c>
    </row>
    <row r="391" spans="2:15" ht="108.75" hidden="1" customHeight="1">
      <c r="B391" s="752"/>
      <c r="C391" s="74" t="str">
        <f>IFERROR(VLOOKUP(N391,'TABLA-DIA'!$B$2:$P$62,9,FALSE),"")</f>
        <v/>
      </c>
      <c r="D391" s="116" t="str">
        <f>IFERROR(VLOOKUP(N391,'TABLA-DIA'!$B$2:$P$62,4,FALSE),"")</f>
        <v/>
      </c>
      <c r="E391" s="332" t="str">
        <f>IFERROR(VLOOKUP(N391,'TABLA-DIA'!$B$2:$P$62,5,FALSE),"")</f>
        <v/>
      </c>
      <c r="F391" s="332" t="str">
        <f>IFERROR(VLOOKUP(N391,'TABLA-DIA'!$B$2:$P$62,6,FALSE),"")</f>
        <v/>
      </c>
      <c r="G391" s="474" t="str">
        <f>IFERROR(VLOOKUP(N391,'TABLA-DIA'!$B$2:$P$62,7,FALSE),"")</f>
        <v/>
      </c>
      <c r="H391" s="117" t="str">
        <f>IFERROR(VLOOKUP(N391,'TABLA-DIA'!$B$2:$P$62,10,FALSE),"")</f>
        <v/>
      </c>
      <c r="I391" s="444" t="str">
        <f>IFERROR(VLOOKUP(N391,'TABLA-DIA'!$B$2:$P$62,11,FALSE),"")</f>
        <v/>
      </c>
      <c r="J391" s="440" t="str">
        <f>IFERROR(VLOOKUP(N391,'TABLA-DIA'!$B$2:$P$62,12,FALSE),"")</f>
        <v/>
      </c>
      <c r="K391" s="118" t="str">
        <f>IFERROR(VLOOKUP(N391,'TABLA-DIA'!$B$2:$P$62,13,FALSE),"")</f>
        <v/>
      </c>
      <c r="L391" s="119" t="str">
        <f>IFERROR(IF(VLOOKUP(N391,'TABLA-DIA'!$B$2:$P$62,14,FALSE)="","",VLOOKUP(N391,'TABLA-DIA'!$B$2:$P$62,14,FALSE)),"")</f>
        <v/>
      </c>
      <c r="M391" s="120">
        <f t="shared" si="12"/>
        <v>5</v>
      </c>
      <c r="N391" s="125" t="str">
        <f t="shared" si="11"/>
        <v>COMEDOR-5</v>
      </c>
    </row>
    <row r="392" spans="2:15" ht="108.75" hidden="1" customHeight="1">
      <c r="B392" s="752"/>
      <c r="C392" s="74" t="str">
        <f>IFERROR(VLOOKUP(N392,'TABLA-DIA'!$B$2:$P$62,9,FALSE),"")</f>
        <v/>
      </c>
      <c r="D392" s="116" t="str">
        <f>IFERROR(VLOOKUP(N392,'TABLA-DIA'!$B$2:$P$62,4,FALSE),"")</f>
        <v/>
      </c>
      <c r="E392" s="332" t="str">
        <f>IFERROR(VLOOKUP(N392,'TABLA-DIA'!$B$2:$P$62,5,FALSE),"")</f>
        <v/>
      </c>
      <c r="F392" s="332" t="str">
        <f>IFERROR(VLOOKUP(N392,'TABLA-DIA'!$B$2:$P$62,6,FALSE),"")</f>
        <v/>
      </c>
      <c r="G392" s="474" t="str">
        <f>IFERROR(VLOOKUP(N392,'TABLA-DIA'!$B$2:$P$62,7,FALSE),"")</f>
        <v/>
      </c>
      <c r="H392" s="117" t="str">
        <f>IFERROR(VLOOKUP(N392,'TABLA-DIA'!$B$2:$P$62,10,FALSE),"")</f>
        <v/>
      </c>
      <c r="I392" s="444" t="str">
        <f>IFERROR(VLOOKUP(N392,'TABLA-DIA'!$B$2:$P$62,11,FALSE),"")</f>
        <v/>
      </c>
      <c r="J392" s="440" t="str">
        <f>IFERROR(VLOOKUP(N392,'TABLA-DIA'!$B$2:$P$62,12,FALSE),"")</f>
        <v/>
      </c>
      <c r="K392" s="118" t="str">
        <f>IFERROR(VLOOKUP(N392,'TABLA-DIA'!$B$2:$P$62,13,FALSE),"")</f>
        <v/>
      </c>
      <c r="L392" s="119" t="str">
        <f>IFERROR(IF(VLOOKUP(N392,'TABLA-DIA'!$B$2:$P$62,14,FALSE)="","",VLOOKUP(N392,'TABLA-DIA'!$B$2:$P$62,14,FALSE)),"")</f>
        <v/>
      </c>
      <c r="M392" s="120">
        <f t="shared" si="12"/>
        <v>6</v>
      </c>
      <c r="N392" s="125" t="str">
        <f t="shared" si="11"/>
        <v>COMEDOR-6</v>
      </c>
    </row>
    <row r="393" spans="2:15" ht="108.75" hidden="1" customHeight="1">
      <c r="B393" s="752"/>
      <c r="C393" s="74" t="str">
        <f>IFERROR(VLOOKUP(N393,'TABLA-DIA'!$B$2:$P$62,9,FALSE),"")</f>
        <v/>
      </c>
      <c r="D393" s="116" t="str">
        <f>IFERROR(VLOOKUP(N393,'TABLA-DIA'!$B$2:$P$62,4,FALSE),"")</f>
        <v/>
      </c>
      <c r="E393" s="332" t="str">
        <f>IFERROR(VLOOKUP(N393,'TABLA-DIA'!$B$2:$P$62,5,FALSE),"")</f>
        <v/>
      </c>
      <c r="F393" s="332" t="str">
        <f>IFERROR(VLOOKUP(N393,'TABLA-DIA'!$B$2:$P$62,6,FALSE),"")</f>
        <v/>
      </c>
      <c r="G393" s="474" t="str">
        <f>IFERROR(VLOOKUP(N393,'TABLA-DIA'!$B$2:$P$62,7,FALSE),"")</f>
        <v/>
      </c>
      <c r="H393" s="117" t="str">
        <f>IFERROR(VLOOKUP(N393,'TABLA-DIA'!$B$2:$P$62,10,FALSE),"")</f>
        <v/>
      </c>
      <c r="I393" s="444" t="str">
        <f>IFERROR(VLOOKUP(N393,'TABLA-DIA'!$B$2:$P$62,11,FALSE),"")</f>
        <v/>
      </c>
      <c r="J393" s="440" t="str">
        <f>IFERROR(VLOOKUP(N393,'TABLA-DIA'!$B$2:$P$62,12,FALSE),"")</f>
        <v/>
      </c>
      <c r="K393" s="118" t="str">
        <f>IFERROR(VLOOKUP(N393,'TABLA-DIA'!$B$2:$P$62,13,FALSE),"")</f>
        <v/>
      </c>
      <c r="L393" s="119" t="str">
        <f>IFERROR(IF(VLOOKUP(N393,'TABLA-DIA'!$B$2:$P$62,14,FALSE)="","",VLOOKUP(N393,'TABLA-DIA'!$B$2:$P$62,14,FALSE)),"")</f>
        <v/>
      </c>
      <c r="M393" s="120">
        <f t="shared" si="12"/>
        <v>7</v>
      </c>
      <c r="N393" s="125" t="str">
        <f t="shared" si="11"/>
        <v>COMEDOR-7</v>
      </c>
    </row>
    <row r="394" spans="2:15" ht="108.75" hidden="1" customHeight="1">
      <c r="B394" s="752"/>
      <c r="C394" s="74" t="str">
        <f>IFERROR(VLOOKUP(N394,'TABLA-DIA'!$B$2:$P$62,9,FALSE),"")</f>
        <v/>
      </c>
      <c r="D394" s="116" t="str">
        <f>IFERROR(VLOOKUP(N394,'TABLA-DIA'!$B$2:$P$62,4,FALSE),"")</f>
        <v/>
      </c>
      <c r="E394" s="332" t="str">
        <f>IFERROR(VLOOKUP(N394,'TABLA-DIA'!$B$2:$P$62,5,FALSE),"")</f>
        <v/>
      </c>
      <c r="F394" s="332" t="str">
        <f>IFERROR(VLOOKUP(N394,'TABLA-DIA'!$B$2:$P$62,6,FALSE),"")</f>
        <v/>
      </c>
      <c r="G394" s="474" t="str">
        <f>IFERROR(VLOOKUP(N394,'TABLA-DIA'!$B$2:$P$62,7,FALSE),"")</f>
        <v/>
      </c>
      <c r="H394" s="117" t="str">
        <f>IFERROR(VLOOKUP(N394,'TABLA-DIA'!$B$2:$P$62,10,FALSE),"")</f>
        <v/>
      </c>
      <c r="I394" s="444" t="str">
        <f>IFERROR(VLOOKUP(N394,'TABLA-DIA'!$B$2:$P$62,11,FALSE),"")</f>
        <v/>
      </c>
      <c r="J394" s="440" t="str">
        <f>IFERROR(VLOOKUP(N394,'TABLA-DIA'!$B$2:$P$62,12,FALSE),"")</f>
        <v/>
      </c>
      <c r="K394" s="118" t="str">
        <f>IFERROR(VLOOKUP(N394,'TABLA-DIA'!$B$2:$P$62,13,FALSE),"")</f>
        <v/>
      </c>
      <c r="L394" s="119" t="str">
        <f>IFERROR(IF(VLOOKUP(N394,'TABLA-DIA'!$B$2:$P$62,14,FALSE)="","",VLOOKUP(N394,'TABLA-DIA'!$B$2:$P$62,14,FALSE)),"")</f>
        <v/>
      </c>
      <c r="M394" s="120">
        <f t="shared" si="12"/>
        <v>8</v>
      </c>
      <c r="N394" s="125" t="str">
        <f t="shared" si="11"/>
        <v>COMEDOR-8</v>
      </c>
    </row>
    <row r="395" spans="2:15" ht="108.75" hidden="1" customHeight="1">
      <c r="B395" s="752"/>
      <c r="C395" s="74" t="str">
        <f>IFERROR(VLOOKUP(N395,'TABLA-DIA'!$B$2:$P$62,9,FALSE),"")</f>
        <v/>
      </c>
      <c r="D395" s="116" t="str">
        <f>IFERROR(VLOOKUP(N395,'TABLA-DIA'!$B$2:$P$62,4,FALSE),"")</f>
        <v/>
      </c>
      <c r="E395" s="332" t="str">
        <f>IFERROR(VLOOKUP(N395,'TABLA-DIA'!$B$2:$P$62,5,FALSE),"")</f>
        <v/>
      </c>
      <c r="F395" s="332" t="str">
        <f>IFERROR(VLOOKUP(N395,'TABLA-DIA'!$B$2:$P$62,6,FALSE),"")</f>
        <v/>
      </c>
      <c r="G395" s="474" t="str">
        <f>IFERROR(VLOOKUP(N395,'TABLA-DIA'!$B$2:$P$62,7,FALSE),"")</f>
        <v/>
      </c>
      <c r="H395" s="117" t="str">
        <f>IFERROR(VLOOKUP(N395,'TABLA-DIA'!$B$2:$P$62,10,FALSE),"")</f>
        <v/>
      </c>
      <c r="I395" s="444" t="str">
        <f>IFERROR(VLOOKUP(N395,'TABLA-DIA'!$B$2:$P$62,11,FALSE),"")</f>
        <v/>
      </c>
      <c r="J395" s="440" t="str">
        <f>IFERROR(VLOOKUP(N395,'TABLA-DIA'!$B$2:$P$62,12,FALSE),"")</f>
        <v/>
      </c>
      <c r="K395" s="118" t="str">
        <f>IFERROR(VLOOKUP(N395,'TABLA-DIA'!$B$2:$P$62,13,FALSE),"")</f>
        <v/>
      </c>
      <c r="L395" s="119" t="str">
        <f>IFERROR(IF(VLOOKUP(N395,'TABLA-DIA'!$B$2:$P$62,14,FALSE)="","",VLOOKUP(N395,'TABLA-DIA'!$B$2:$P$62,14,FALSE)),"")</f>
        <v/>
      </c>
      <c r="M395" s="120">
        <f t="shared" si="12"/>
        <v>9</v>
      </c>
      <c r="N395" s="125" t="str">
        <f t="shared" si="11"/>
        <v>COMEDOR-9</v>
      </c>
    </row>
    <row r="396" spans="2:15" ht="108.75" hidden="1" customHeight="1" thickBot="1">
      <c r="B396" s="753"/>
      <c r="C396" s="137" t="str">
        <f>IFERROR(VLOOKUP(N396,'TABLA-DIA'!$B$2:$P$62,9,FALSE),"")</f>
        <v/>
      </c>
      <c r="D396" s="126" t="str">
        <f>IFERROR(VLOOKUP(N396,'TABLA-DIA'!$B$2:$P$62,4,FALSE),"")</f>
        <v/>
      </c>
      <c r="E396" s="334" t="str">
        <f>IFERROR(VLOOKUP(N396,'TABLA-DIA'!$B$2:$P$62,5,FALSE),"")</f>
        <v/>
      </c>
      <c r="F396" s="334" t="str">
        <f>IFERROR(VLOOKUP(N396,'TABLA-DIA'!$B$2:$P$62,6,FALSE),"")</f>
        <v/>
      </c>
      <c r="G396" s="477" t="str">
        <f>IFERROR(VLOOKUP(N396,'TABLA-DIA'!$B$2:$P$62,7,FALSE),"")</f>
        <v/>
      </c>
      <c r="H396" s="127" t="str">
        <f>IFERROR(VLOOKUP(N396,'TABLA-DIA'!$B$2:$P$62,10,FALSE),"")</f>
        <v/>
      </c>
      <c r="I396" s="445" t="str">
        <f>IFERROR(VLOOKUP(N396,'TABLA-DIA'!$B$2:$P$62,11,FALSE),"")</f>
        <v/>
      </c>
      <c r="J396" s="443" t="str">
        <f>IFERROR(VLOOKUP(N396,'TABLA-DIA'!$B$2:$P$62,12,FALSE),"")</f>
        <v/>
      </c>
      <c r="K396" s="128" t="str">
        <f>IFERROR(VLOOKUP(N396,'TABLA-DIA'!$B$2:$P$62,13,FALSE),"")</f>
        <v/>
      </c>
      <c r="L396" s="129" t="str">
        <f>IFERROR(IF(VLOOKUP(N396,'TABLA-DIA'!$B$2:$P$62,14,FALSE)="","",VLOOKUP(N396,'TABLA-DIA'!$B$2:$P$62,14,FALSE)),"")</f>
        <v/>
      </c>
      <c r="M396" s="136">
        <f t="shared" si="12"/>
        <v>10</v>
      </c>
      <c r="N396" s="130" t="str">
        <f t="shared" si="11"/>
        <v>COMEDOR-10</v>
      </c>
    </row>
    <row r="397" spans="2:15" ht="108.75" customHeight="1" thickBot="1">
      <c r="B397" s="751" t="str">
        <f>+'TABLA-DIA'!B160</f>
        <v>CALDERO, CHRILLER Y COMPRESOR</v>
      </c>
      <c r="C397" s="96" t="str">
        <f>IFERROR(VLOOKUP(N397,'TABLA-DIA'!$B$2:$P$62,9,FALSE),"")</f>
        <v>Equipos auxiliares</v>
      </c>
      <c r="D397" s="121" t="str">
        <f>IFERROR(VLOOKUP(N397,'TABLA-DIA'!$B$2:$P$62,4,FALSE),"")</f>
        <v>TARDE</v>
      </c>
      <c r="E397" s="331" t="str">
        <f>IFERROR(VLOOKUP(N397,'TABLA-DIA'!$B$2:$P$62,5,FALSE),"")</f>
        <v>12:40</v>
      </c>
      <c r="F397" s="331" t="str">
        <f>IFERROR(VLOOKUP(N397,'TABLA-DIA'!$B$2:$P$62,6,FALSE),"")</f>
        <v>13:00</v>
      </c>
      <c r="G397" s="476">
        <f>IFERROR(VLOOKUP(N397,'TABLA-DIA'!$B$2:$P$62,7,FALSE),"")</f>
        <v>1.388888888888884E-2</v>
      </c>
      <c r="H397" s="122" t="str">
        <f>IFERROR(VLOOKUP(N397,'TABLA-DIA'!$B$2:$P$62,10,FALSE),"")</f>
        <v>Inspección</v>
      </c>
      <c r="I397" s="446" t="str">
        <f>IFERROR(VLOOKUP(N397,'TABLA-DIA'!$B$2:$P$62,11,FALSE),"")</f>
        <v>PROGRAMADA</v>
      </c>
      <c r="J397" s="442">
        <f>IFERROR(VLOOKUP(N397,'TABLA-DIA'!$B$2:$P$62,12,FALSE),"")</f>
        <v>0</v>
      </c>
      <c r="K397" s="123" t="str">
        <f>IFERROR(VLOOKUP(N397,'TABLA-DIA'!$B$2:$P$62,13,FALSE),"")</f>
        <v xml:space="preserve">Se realiza inspección de equipos y parámetros </v>
      </c>
      <c r="L397" s="124" t="str">
        <f>IFERROR(IF(VLOOKUP(N397,'TABLA-DIA'!$B$2:$P$62,14,FALSE)="","",VLOOKUP(N397,'TABLA-DIA'!$B$2:$P$62,14,FALSE)),"")</f>
        <v/>
      </c>
      <c r="M397" s="100">
        <v>1</v>
      </c>
      <c r="N397" s="98" t="str">
        <f>CONCATENATE($B$397,"-",M397)</f>
        <v>CALDERO, CHRILLER Y COMPRESOR-1</v>
      </c>
      <c r="O397" s="91">
        <f>COUNTIF(G397:G406,"&lt;&gt;**")</f>
        <v>1</v>
      </c>
    </row>
    <row r="398" spans="2:15" ht="67.150000000000006" hidden="1" customHeight="1" thickBot="1">
      <c r="B398" s="752"/>
      <c r="C398" s="74" t="str">
        <f>IFERROR(VLOOKUP(N398,'TABLA-DIA'!$B$2:$P$62,9,FALSE),"")</f>
        <v/>
      </c>
      <c r="D398" s="116" t="str">
        <f>IFERROR(VLOOKUP(N398,'TABLA-DIA'!$B$2:$P$62,4,FALSE),"")</f>
        <v/>
      </c>
      <c r="E398" s="332" t="str">
        <f>IFERROR(VLOOKUP(N398,'TABLA-DIA'!$B$2:$P$62,5,FALSE),"")</f>
        <v/>
      </c>
      <c r="F398" s="332" t="str">
        <f>IFERROR(VLOOKUP(N398,'TABLA-DIA'!$B$2:$P$62,6,FALSE),"")</f>
        <v/>
      </c>
      <c r="G398" s="474" t="str">
        <f>IFERROR(VLOOKUP(N398,'TABLA-DIA'!$B$2:$P$62,7,FALSE),"")</f>
        <v/>
      </c>
      <c r="H398" s="117" t="str">
        <f>IFERROR(VLOOKUP(N398,'TABLA-DIA'!$B$2:$P$62,10,FALSE),"")</f>
        <v/>
      </c>
      <c r="I398" s="444" t="str">
        <f>IFERROR(VLOOKUP(N398,'TABLA-DIA'!$B$2:$P$62,11,FALSE),"")</f>
        <v/>
      </c>
      <c r="J398" s="440" t="str">
        <f>IFERROR(VLOOKUP(N398,'TABLA-DIA'!$B$2:$P$62,12,FALSE),"")</f>
        <v/>
      </c>
      <c r="K398" s="118" t="str">
        <f>IFERROR(VLOOKUP(N398,'TABLA-DIA'!$B$2:$P$62,13,FALSE),"")</f>
        <v/>
      </c>
      <c r="L398" s="119" t="str">
        <f>IFERROR(IF(VLOOKUP(N398,'TABLA-DIA'!$B$2:$P$62,14,FALSE)="","",VLOOKUP(N398,'TABLA-DIA'!$B$2:$P$62,14,FALSE)),"")</f>
        <v/>
      </c>
      <c r="M398" s="120">
        <f t="shared" ref="M398:M406" si="13">+M397+1</f>
        <v>2</v>
      </c>
      <c r="N398" s="125" t="str">
        <f t="shared" ref="N398:N406" si="14">CONCATENATE($B$397,"-",M398)</f>
        <v>CALDERO, CHRILLER Y COMPRESOR-2</v>
      </c>
    </row>
    <row r="399" spans="2:15" ht="67.150000000000006" hidden="1" customHeight="1">
      <c r="B399" s="752"/>
      <c r="C399" s="74" t="str">
        <f>IFERROR(VLOOKUP(N399,'TABLA-DIA'!$B$2:$P$62,9,FALSE),"")</f>
        <v/>
      </c>
      <c r="D399" s="116" t="str">
        <f>IFERROR(VLOOKUP(N399,'TABLA-DIA'!$B$2:$P$62,4,FALSE),"")</f>
        <v/>
      </c>
      <c r="E399" s="332" t="str">
        <f>IFERROR(VLOOKUP(N399,'TABLA-DIA'!$B$2:$P$62,5,FALSE),"")</f>
        <v/>
      </c>
      <c r="F399" s="332" t="str">
        <f>IFERROR(VLOOKUP(N399,'TABLA-DIA'!$B$2:$P$62,6,FALSE),"")</f>
        <v/>
      </c>
      <c r="G399" s="474" t="str">
        <f>IFERROR(VLOOKUP(N399,'TABLA-DIA'!$B$2:$P$62,7,FALSE),"")</f>
        <v/>
      </c>
      <c r="H399" s="117" t="str">
        <f>IFERROR(VLOOKUP(N399,'TABLA-DIA'!$B$2:$P$62,10,FALSE),"")</f>
        <v/>
      </c>
      <c r="I399" s="444" t="str">
        <f>IFERROR(VLOOKUP(N399,'TABLA-DIA'!$B$2:$P$62,11,FALSE),"")</f>
        <v/>
      </c>
      <c r="J399" s="440" t="str">
        <f>IFERROR(VLOOKUP(N399,'TABLA-DIA'!$B$2:$P$62,12,FALSE),"")</f>
        <v/>
      </c>
      <c r="K399" s="118" t="str">
        <f>IFERROR(VLOOKUP(N399,'TABLA-DIA'!$B$2:$P$62,13,FALSE),"")</f>
        <v/>
      </c>
      <c r="L399" s="119" t="str">
        <f>IFERROR(IF(VLOOKUP(N399,'TABLA-DIA'!$B$2:$P$62,14,FALSE)="","",VLOOKUP(N399,'TABLA-DIA'!$B$2:$P$62,14,FALSE)),"")</f>
        <v/>
      </c>
      <c r="M399" s="120">
        <f t="shared" si="13"/>
        <v>3</v>
      </c>
      <c r="N399" s="125" t="str">
        <f t="shared" si="14"/>
        <v>CALDERO, CHRILLER Y COMPRESOR-3</v>
      </c>
    </row>
    <row r="400" spans="2:15" ht="67.150000000000006" hidden="1" customHeight="1">
      <c r="B400" s="752"/>
      <c r="C400" s="74" t="str">
        <f>IFERROR(VLOOKUP(N400,'TABLA-DIA'!$B$2:$P$62,9,FALSE),"")</f>
        <v/>
      </c>
      <c r="D400" s="116" t="str">
        <f>IFERROR(VLOOKUP(N400,'TABLA-DIA'!$B$2:$P$62,4,FALSE),"")</f>
        <v/>
      </c>
      <c r="E400" s="332" t="str">
        <f>IFERROR(VLOOKUP(N400,'TABLA-DIA'!$B$2:$P$62,5,FALSE),"")</f>
        <v/>
      </c>
      <c r="F400" s="332" t="str">
        <f>IFERROR(VLOOKUP(N400,'TABLA-DIA'!$B$2:$P$62,6,FALSE),"")</f>
        <v/>
      </c>
      <c r="G400" s="474" t="str">
        <f>IFERROR(VLOOKUP(N400,'TABLA-DIA'!$B$2:$P$62,7,FALSE),"")</f>
        <v/>
      </c>
      <c r="H400" s="117" t="str">
        <f>IFERROR(VLOOKUP(N400,'TABLA-DIA'!$B$2:$P$62,10,FALSE),"")</f>
        <v/>
      </c>
      <c r="I400" s="444" t="str">
        <f>IFERROR(VLOOKUP(N400,'TABLA-DIA'!$B$2:$P$62,11,FALSE),"")</f>
        <v/>
      </c>
      <c r="J400" s="440" t="str">
        <f>IFERROR(VLOOKUP(N400,'TABLA-DIA'!$B$2:$P$62,12,FALSE),"")</f>
        <v/>
      </c>
      <c r="K400" s="118" t="str">
        <f>IFERROR(VLOOKUP(N400,'TABLA-DIA'!$B$2:$P$62,13,FALSE),"")</f>
        <v/>
      </c>
      <c r="L400" s="119" t="str">
        <f>IFERROR(IF(VLOOKUP(N400,'TABLA-DIA'!$B$2:$P$62,14,FALSE)="","",VLOOKUP(N400,'TABLA-DIA'!$B$2:$P$62,14,FALSE)),"")</f>
        <v/>
      </c>
      <c r="M400" s="120">
        <f t="shared" si="13"/>
        <v>4</v>
      </c>
      <c r="N400" s="125" t="str">
        <f t="shared" si="14"/>
        <v>CALDERO, CHRILLER Y COMPRESOR-4</v>
      </c>
    </row>
    <row r="401" spans="2:15" ht="67.150000000000006" hidden="1" customHeight="1">
      <c r="B401" s="752"/>
      <c r="C401" s="74" t="str">
        <f>IFERROR(VLOOKUP(N401,'TABLA-DIA'!$B$2:$P$62,9,FALSE),"")</f>
        <v/>
      </c>
      <c r="D401" s="116" t="str">
        <f>IFERROR(VLOOKUP(N401,'TABLA-DIA'!$B$2:$P$62,4,FALSE),"")</f>
        <v/>
      </c>
      <c r="E401" s="332" t="str">
        <f>IFERROR(VLOOKUP(N401,'TABLA-DIA'!$B$2:$P$62,5,FALSE),"")</f>
        <v/>
      </c>
      <c r="F401" s="332" t="str">
        <f>IFERROR(VLOOKUP(N401,'TABLA-DIA'!$B$2:$P$62,6,FALSE),"")</f>
        <v/>
      </c>
      <c r="G401" s="474" t="str">
        <f>IFERROR(VLOOKUP(N401,'TABLA-DIA'!$B$2:$P$62,7,FALSE),"")</f>
        <v/>
      </c>
      <c r="H401" s="117" t="str">
        <f>IFERROR(VLOOKUP(N401,'TABLA-DIA'!$B$2:$P$62,10,FALSE),"")</f>
        <v/>
      </c>
      <c r="I401" s="444" t="str">
        <f>IFERROR(VLOOKUP(N401,'TABLA-DIA'!$B$2:$P$62,11,FALSE),"")</f>
        <v/>
      </c>
      <c r="J401" s="440" t="str">
        <f>IFERROR(VLOOKUP(N401,'TABLA-DIA'!$B$2:$P$62,12,FALSE),"")</f>
        <v/>
      </c>
      <c r="K401" s="118" t="str">
        <f>IFERROR(VLOOKUP(N401,'TABLA-DIA'!$B$2:$P$62,13,FALSE),"")</f>
        <v/>
      </c>
      <c r="L401" s="119" t="str">
        <f>IFERROR(IF(VLOOKUP(N401,'TABLA-DIA'!$B$2:$P$62,14,FALSE)="","",VLOOKUP(N401,'TABLA-DIA'!$B$2:$P$62,14,FALSE)),"")</f>
        <v/>
      </c>
      <c r="M401" s="120">
        <f t="shared" si="13"/>
        <v>5</v>
      </c>
      <c r="N401" s="125" t="str">
        <f t="shared" si="14"/>
        <v>CALDERO, CHRILLER Y COMPRESOR-5</v>
      </c>
    </row>
    <row r="402" spans="2:15" ht="67.150000000000006" hidden="1" customHeight="1">
      <c r="B402" s="752"/>
      <c r="C402" s="74" t="str">
        <f>IFERROR(VLOOKUP(N402,'TABLA-DIA'!$B$2:$P$62,9,FALSE),"")</f>
        <v/>
      </c>
      <c r="D402" s="116" t="str">
        <f>IFERROR(VLOOKUP(N402,'TABLA-DIA'!$B$2:$P$62,4,FALSE),"")</f>
        <v/>
      </c>
      <c r="E402" s="332" t="str">
        <f>IFERROR(VLOOKUP(N402,'TABLA-DIA'!$B$2:$P$62,5,FALSE),"")</f>
        <v/>
      </c>
      <c r="F402" s="332" t="str">
        <f>IFERROR(VLOOKUP(N402,'TABLA-DIA'!$B$2:$P$62,6,FALSE),"")</f>
        <v/>
      </c>
      <c r="G402" s="474" t="str">
        <f>IFERROR(VLOOKUP(N402,'TABLA-DIA'!$B$2:$P$62,7,FALSE),"")</f>
        <v/>
      </c>
      <c r="H402" s="117" t="str">
        <f>IFERROR(VLOOKUP(N402,'TABLA-DIA'!$B$2:$P$62,10,FALSE),"")</f>
        <v/>
      </c>
      <c r="I402" s="444" t="str">
        <f>IFERROR(VLOOKUP(N402,'TABLA-DIA'!$B$2:$P$62,11,FALSE),"")</f>
        <v/>
      </c>
      <c r="J402" s="440" t="str">
        <f>IFERROR(VLOOKUP(N402,'TABLA-DIA'!$B$2:$P$62,12,FALSE),"")</f>
        <v/>
      </c>
      <c r="K402" s="118" t="str">
        <f>IFERROR(VLOOKUP(N402,'TABLA-DIA'!$B$2:$P$62,13,FALSE),"")</f>
        <v/>
      </c>
      <c r="L402" s="119" t="str">
        <f>IFERROR(IF(VLOOKUP(N402,'TABLA-DIA'!$B$2:$P$62,14,FALSE)="","",VLOOKUP(N402,'TABLA-DIA'!$B$2:$P$62,14,FALSE)),"")</f>
        <v/>
      </c>
      <c r="M402" s="120">
        <f t="shared" si="13"/>
        <v>6</v>
      </c>
      <c r="N402" s="125" t="str">
        <f t="shared" si="14"/>
        <v>CALDERO, CHRILLER Y COMPRESOR-6</v>
      </c>
    </row>
    <row r="403" spans="2:15" ht="67.150000000000006" hidden="1" customHeight="1">
      <c r="B403" s="752"/>
      <c r="C403" s="74" t="str">
        <f>IFERROR(VLOOKUP(N403,'TABLA-DIA'!$B$2:$P$62,9,FALSE),"")</f>
        <v/>
      </c>
      <c r="D403" s="116" t="str">
        <f>IFERROR(VLOOKUP(N403,'TABLA-DIA'!$B$2:$P$62,4,FALSE),"")</f>
        <v/>
      </c>
      <c r="E403" s="332" t="str">
        <f>IFERROR(VLOOKUP(N403,'TABLA-DIA'!$B$2:$P$62,5,FALSE),"")</f>
        <v/>
      </c>
      <c r="F403" s="332" t="str">
        <f>IFERROR(VLOOKUP(N403,'TABLA-DIA'!$B$2:$P$62,6,FALSE),"")</f>
        <v/>
      </c>
      <c r="G403" s="474" t="str">
        <f>IFERROR(VLOOKUP(N403,'TABLA-DIA'!$B$2:$P$62,7,FALSE),"")</f>
        <v/>
      </c>
      <c r="H403" s="117" t="str">
        <f>IFERROR(VLOOKUP(N403,'TABLA-DIA'!$B$2:$P$62,10,FALSE),"")</f>
        <v/>
      </c>
      <c r="I403" s="444" t="str">
        <f>IFERROR(VLOOKUP(N403,'TABLA-DIA'!$B$2:$P$62,11,FALSE),"")</f>
        <v/>
      </c>
      <c r="J403" s="440" t="str">
        <f>IFERROR(VLOOKUP(N403,'TABLA-DIA'!$B$2:$P$62,12,FALSE),"")</f>
        <v/>
      </c>
      <c r="K403" s="118" t="str">
        <f>IFERROR(VLOOKUP(N403,'TABLA-DIA'!$B$2:$P$62,13,FALSE),"")</f>
        <v/>
      </c>
      <c r="L403" s="119" t="str">
        <f>IFERROR(IF(VLOOKUP(N403,'TABLA-DIA'!$B$2:$P$62,14,FALSE)="","",VLOOKUP(N403,'TABLA-DIA'!$B$2:$P$62,14,FALSE)),"")</f>
        <v/>
      </c>
      <c r="M403" s="120">
        <f t="shared" si="13"/>
        <v>7</v>
      </c>
      <c r="N403" s="125" t="str">
        <f t="shared" si="14"/>
        <v>CALDERO, CHRILLER Y COMPRESOR-7</v>
      </c>
    </row>
    <row r="404" spans="2:15" ht="67.150000000000006" hidden="1" customHeight="1">
      <c r="B404" s="752"/>
      <c r="C404" s="74" t="str">
        <f>IFERROR(VLOOKUP(N404,'TABLA-DIA'!$B$2:$P$62,9,FALSE),"")</f>
        <v/>
      </c>
      <c r="D404" s="116" t="str">
        <f>IFERROR(VLOOKUP(N404,'TABLA-DIA'!$B$2:$P$62,4,FALSE),"")</f>
        <v/>
      </c>
      <c r="E404" s="332" t="str">
        <f>IFERROR(VLOOKUP(N404,'TABLA-DIA'!$B$2:$P$62,5,FALSE),"")</f>
        <v/>
      </c>
      <c r="F404" s="332" t="str">
        <f>IFERROR(VLOOKUP(N404,'TABLA-DIA'!$B$2:$P$62,6,FALSE),"")</f>
        <v/>
      </c>
      <c r="G404" s="474" t="str">
        <f>IFERROR(VLOOKUP(N404,'TABLA-DIA'!$B$2:$P$62,7,FALSE),"")</f>
        <v/>
      </c>
      <c r="H404" s="117" t="str">
        <f>IFERROR(VLOOKUP(N404,'TABLA-DIA'!$B$2:$P$62,10,FALSE),"")</f>
        <v/>
      </c>
      <c r="I404" s="444" t="str">
        <f>IFERROR(VLOOKUP(N404,'TABLA-DIA'!$B$2:$P$62,11,FALSE),"")</f>
        <v/>
      </c>
      <c r="J404" s="440" t="str">
        <f>IFERROR(VLOOKUP(N404,'TABLA-DIA'!$B$2:$P$62,12,FALSE),"")</f>
        <v/>
      </c>
      <c r="K404" s="118" t="str">
        <f>IFERROR(VLOOKUP(N404,'TABLA-DIA'!$B$2:$P$62,13,FALSE),"")</f>
        <v/>
      </c>
      <c r="L404" s="119" t="str">
        <f>IFERROR(IF(VLOOKUP(N404,'TABLA-DIA'!$B$2:$P$62,14,FALSE)="","",VLOOKUP(N404,'TABLA-DIA'!$B$2:$P$62,14,FALSE)),"")</f>
        <v/>
      </c>
      <c r="M404" s="120">
        <f t="shared" si="13"/>
        <v>8</v>
      </c>
      <c r="N404" s="125" t="str">
        <f t="shared" si="14"/>
        <v>CALDERO, CHRILLER Y COMPRESOR-8</v>
      </c>
    </row>
    <row r="405" spans="2:15" ht="67.150000000000006" hidden="1" customHeight="1">
      <c r="B405" s="752"/>
      <c r="C405" s="74" t="str">
        <f>IFERROR(VLOOKUP(N405,'TABLA-DIA'!$B$2:$P$62,9,FALSE),"")</f>
        <v/>
      </c>
      <c r="D405" s="116" t="str">
        <f>IFERROR(VLOOKUP(N405,'TABLA-DIA'!$B$2:$P$62,4,FALSE),"")</f>
        <v/>
      </c>
      <c r="E405" s="332" t="str">
        <f>IFERROR(VLOOKUP(N405,'TABLA-DIA'!$B$2:$P$62,5,FALSE),"")</f>
        <v/>
      </c>
      <c r="F405" s="332" t="str">
        <f>IFERROR(VLOOKUP(N405,'TABLA-DIA'!$B$2:$P$62,6,FALSE),"")</f>
        <v/>
      </c>
      <c r="G405" s="474" t="str">
        <f>IFERROR(VLOOKUP(N405,'TABLA-DIA'!$B$2:$P$62,7,FALSE),"")</f>
        <v/>
      </c>
      <c r="H405" s="117" t="str">
        <f>IFERROR(VLOOKUP(N405,'TABLA-DIA'!$B$2:$P$62,10,FALSE),"")</f>
        <v/>
      </c>
      <c r="I405" s="444" t="str">
        <f>IFERROR(VLOOKUP(N405,'TABLA-DIA'!$B$2:$P$62,11,FALSE),"")</f>
        <v/>
      </c>
      <c r="J405" s="440" t="str">
        <f>IFERROR(VLOOKUP(N405,'TABLA-DIA'!$B$2:$P$62,12,FALSE),"")</f>
        <v/>
      </c>
      <c r="K405" s="118" t="str">
        <f>IFERROR(VLOOKUP(N405,'TABLA-DIA'!$B$2:$P$62,13,FALSE),"")</f>
        <v/>
      </c>
      <c r="L405" s="119" t="str">
        <f>IFERROR(IF(VLOOKUP(N405,'TABLA-DIA'!$B$2:$P$62,14,FALSE)="","",VLOOKUP(N405,'TABLA-DIA'!$B$2:$P$62,14,FALSE)),"")</f>
        <v/>
      </c>
      <c r="M405" s="120">
        <f t="shared" si="13"/>
        <v>9</v>
      </c>
      <c r="N405" s="125" t="str">
        <f t="shared" si="14"/>
        <v>CALDERO, CHRILLER Y COMPRESOR-9</v>
      </c>
    </row>
    <row r="406" spans="2:15" ht="67.150000000000006" hidden="1" customHeight="1" thickBot="1">
      <c r="B406" s="753"/>
      <c r="C406" s="137" t="str">
        <f>IFERROR(VLOOKUP(N406,'TABLA-DIA'!$B$2:$P$62,9,FALSE),"")</f>
        <v/>
      </c>
      <c r="D406" s="126" t="str">
        <f>IFERROR(VLOOKUP(N406,'TABLA-DIA'!$B$2:$P$62,4,FALSE),"")</f>
        <v/>
      </c>
      <c r="E406" s="334" t="str">
        <f>IFERROR(VLOOKUP(N406,'TABLA-DIA'!$B$2:$P$62,5,FALSE),"")</f>
        <v/>
      </c>
      <c r="F406" s="334" t="str">
        <f>IFERROR(VLOOKUP(N406,'TABLA-DIA'!$B$2:$P$62,6,FALSE),"")</f>
        <v/>
      </c>
      <c r="G406" s="477" t="str">
        <f>IFERROR(VLOOKUP(N406,'TABLA-DIA'!$B$2:$P$62,7,FALSE),"")</f>
        <v/>
      </c>
      <c r="H406" s="127" t="str">
        <f>IFERROR(VLOOKUP(N406,'TABLA-DIA'!$B$2:$P$62,10,FALSE),"")</f>
        <v/>
      </c>
      <c r="I406" s="445" t="str">
        <f>IFERROR(VLOOKUP(N406,'TABLA-DIA'!$B$2:$P$62,11,FALSE),"")</f>
        <v/>
      </c>
      <c r="J406" s="443" t="str">
        <f>IFERROR(VLOOKUP(N406,'TABLA-DIA'!$B$2:$P$62,12,FALSE),"")</f>
        <v/>
      </c>
      <c r="K406" s="128" t="str">
        <f>IFERROR(VLOOKUP(N406,'TABLA-DIA'!$B$2:$P$62,13,FALSE),"")</f>
        <v/>
      </c>
      <c r="L406" s="129" t="str">
        <f>IFERROR(IF(VLOOKUP(N406,'TABLA-DIA'!$B$2:$P$62,14,FALSE)="","",VLOOKUP(N406,'TABLA-DIA'!$B$2:$P$62,14,FALSE)),"")</f>
        <v/>
      </c>
      <c r="M406" s="136">
        <f t="shared" si="13"/>
        <v>10</v>
      </c>
      <c r="N406" s="130" t="str">
        <f t="shared" si="14"/>
        <v>CALDERO, CHRILLER Y COMPRESOR-10</v>
      </c>
    </row>
    <row r="407" spans="2:15" ht="122.25" customHeight="1" thickBot="1">
      <c r="B407" s="751" t="str">
        <f>+'TABLA-DIA'!B161</f>
        <v>BARQUILLERA FRANZ HAAZ</v>
      </c>
      <c r="C407" s="96" t="str">
        <f>IFERROR(VLOOKUP(N407,'TABLA-DIA'!$B$2:$P$62,9,FALSE),"")</f>
        <v/>
      </c>
      <c r="D407" s="121" t="str">
        <f>IFERROR(VLOOKUP(N407,'TABLA-DIA'!$B$2:$P$62,4,FALSE),"")</f>
        <v/>
      </c>
      <c r="E407" s="331" t="str">
        <f>IFERROR(VLOOKUP(N407,'TABLA-DIA'!$B$2:$P$62,5,FALSE),"")</f>
        <v/>
      </c>
      <c r="F407" s="331" t="str">
        <f>IFERROR(VLOOKUP(N407,'TABLA-DIA'!$B$2:$P$62,6,FALSE),"")</f>
        <v/>
      </c>
      <c r="G407" s="476" t="str">
        <f>IFERROR(VLOOKUP(N407,'TABLA-DIA'!$B$2:$P$62,7,FALSE),"")</f>
        <v/>
      </c>
      <c r="H407" s="122" t="str">
        <f>IFERROR(VLOOKUP(N407,'TABLA-DIA'!$B$2:$P$62,10,FALSE),"")</f>
        <v/>
      </c>
      <c r="I407" s="446" t="str">
        <f>IFERROR(VLOOKUP(N407,'TABLA-DIA'!$B$2:$P$62,11,FALSE),"")</f>
        <v/>
      </c>
      <c r="J407" s="442" t="str">
        <f>IFERROR(VLOOKUP(N407,'TABLA-DIA'!$B$2:$P$62,12,FALSE),"")</f>
        <v/>
      </c>
      <c r="K407" s="123" t="str">
        <f>IFERROR(VLOOKUP(N407,'TABLA-DIA'!$B$2:$P$62,13,FALSE),"")</f>
        <v/>
      </c>
      <c r="L407" s="124" t="str">
        <f>IFERROR(IF(VLOOKUP(N407,'TABLA-DIA'!$B$2:$P$62,14,FALSE)="","",VLOOKUP(N407,'TABLA-DIA'!$B$2:$P$62,14,FALSE)),"")</f>
        <v/>
      </c>
      <c r="M407" s="100">
        <v>1</v>
      </c>
      <c r="N407" s="98" t="str">
        <f t="shared" ref="N407:N416" si="15">CONCATENATE($B$407,"-",M407)</f>
        <v>BARQUILLERA FRANZ HAAZ-1</v>
      </c>
      <c r="O407" s="91">
        <f>COUNTIF(G407:G415,"&lt;&gt;**")</f>
        <v>0</v>
      </c>
    </row>
    <row r="408" spans="2:15" ht="67.150000000000006" hidden="1" customHeight="1">
      <c r="B408" s="752"/>
      <c r="C408" s="74" t="str">
        <f>IFERROR(VLOOKUP(N408,'TABLA-DIA'!$B$2:$P$62,9,FALSE),"")</f>
        <v/>
      </c>
      <c r="D408" s="116" t="str">
        <f>IFERROR(VLOOKUP(N408,'TABLA-DIA'!$B$2:$P$62,4,FALSE),"")</f>
        <v/>
      </c>
      <c r="E408" s="332" t="str">
        <f>IFERROR(VLOOKUP(N408,'TABLA-DIA'!$B$2:$P$62,5,FALSE),"")</f>
        <v/>
      </c>
      <c r="F408" s="332" t="str">
        <f>IFERROR(VLOOKUP(N408,'TABLA-DIA'!$B$2:$P$62,6,FALSE),"")</f>
        <v/>
      </c>
      <c r="G408" s="474" t="str">
        <f>IFERROR(VLOOKUP(N408,'TABLA-DIA'!$B$2:$P$62,7,FALSE),"")</f>
        <v/>
      </c>
      <c r="H408" s="117" t="str">
        <f>IFERROR(VLOOKUP(N408,'TABLA-DIA'!$B$2:$P$62,10,FALSE),"")</f>
        <v/>
      </c>
      <c r="I408" s="444" t="str">
        <f>IFERROR(VLOOKUP(N408,'TABLA-DIA'!$B$2:$P$62,11,FALSE),"")</f>
        <v/>
      </c>
      <c r="J408" s="440" t="str">
        <f>IFERROR(VLOOKUP(N408,'TABLA-DIA'!$B$2:$P$62,12,FALSE),"")</f>
        <v/>
      </c>
      <c r="K408" s="118" t="str">
        <f>IFERROR(VLOOKUP(N408,'TABLA-DIA'!$B$2:$P$62,13,FALSE),"")</f>
        <v/>
      </c>
      <c r="L408" s="119" t="str">
        <f>IFERROR(IF(VLOOKUP(N408,'TABLA-DIA'!$B$2:$P$62,14,FALSE)="","",VLOOKUP(N408,'TABLA-DIA'!$B$2:$P$62,14,FALSE)),"")</f>
        <v/>
      </c>
      <c r="M408" s="120">
        <f t="shared" ref="M408:M416" si="16">+M407+1</f>
        <v>2</v>
      </c>
      <c r="N408" s="125" t="str">
        <f t="shared" si="15"/>
        <v>BARQUILLERA FRANZ HAAZ-2</v>
      </c>
    </row>
    <row r="409" spans="2:15" ht="67.150000000000006" hidden="1" customHeight="1">
      <c r="B409" s="752"/>
      <c r="C409" s="74" t="str">
        <f>IFERROR(VLOOKUP(N409,'TABLA-DIA'!$B$2:$P$62,9,FALSE),"")</f>
        <v/>
      </c>
      <c r="D409" s="116" t="str">
        <f>IFERROR(VLOOKUP(N409,'TABLA-DIA'!$B$2:$P$62,4,FALSE),"")</f>
        <v/>
      </c>
      <c r="E409" s="332" t="str">
        <f>IFERROR(VLOOKUP(N409,'TABLA-DIA'!$B$2:$P$62,5,FALSE),"")</f>
        <v/>
      </c>
      <c r="F409" s="332" t="str">
        <f>IFERROR(VLOOKUP(N409,'TABLA-DIA'!$B$2:$P$62,6,FALSE),"")</f>
        <v/>
      </c>
      <c r="G409" s="474" t="str">
        <f>IFERROR(VLOOKUP(N409,'TABLA-DIA'!$B$2:$P$62,7,FALSE),"")</f>
        <v/>
      </c>
      <c r="H409" s="117" t="str">
        <f>IFERROR(VLOOKUP(N409,'TABLA-DIA'!$B$2:$P$62,10,FALSE),"")</f>
        <v/>
      </c>
      <c r="I409" s="444" t="str">
        <f>IFERROR(VLOOKUP(N409,'TABLA-DIA'!$B$2:$P$62,11,FALSE),"")</f>
        <v/>
      </c>
      <c r="J409" s="440" t="str">
        <f>IFERROR(VLOOKUP(N409,'TABLA-DIA'!$B$2:$P$62,12,FALSE),"")</f>
        <v/>
      </c>
      <c r="K409" s="118" t="str">
        <f>IFERROR(VLOOKUP(N409,'TABLA-DIA'!$B$2:$P$62,13,FALSE),"")</f>
        <v/>
      </c>
      <c r="L409" s="119" t="str">
        <f>IFERROR(IF(VLOOKUP(N409,'TABLA-DIA'!$B$2:$P$62,14,FALSE)="","",VLOOKUP(N409,'TABLA-DIA'!$B$2:$P$62,14,FALSE)),"")</f>
        <v/>
      </c>
      <c r="M409" s="120">
        <f t="shared" si="16"/>
        <v>3</v>
      </c>
      <c r="N409" s="125" t="str">
        <f t="shared" si="15"/>
        <v>BARQUILLERA FRANZ HAAZ-3</v>
      </c>
    </row>
    <row r="410" spans="2:15" ht="67.150000000000006" hidden="1" customHeight="1">
      <c r="B410" s="752"/>
      <c r="C410" s="74" t="str">
        <f>IFERROR(VLOOKUP(N410,'TABLA-DIA'!$B$2:$P$62,9,FALSE),"")</f>
        <v/>
      </c>
      <c r="D410" s="116" t="str">
        <f>IFERROR(VLOOKUP(N410,'TABLA-DIA'!$B$2:$P$62,4,FALSE),"")</f>
        <v/>
      </c>
      <c r="E410" s="332" t="str">
        <f>IFERROR(VLOOKUP(N410,'TABLA-DIA'!$B$2:$P$62,5,FALSE),"")</f>
        <v/>
      </c>
      <c r="F410" s="332" t="str">
        <f>IFERROR(VLOOKUP(N410,'TABLA-DIA'!$B$2:$P$62,6,FALSE),"")</f>
        <v/>
      </c>
      <c r="G410" s="474" t="str">
        <f>IFERROR(VLOOKUP(N410,'TABLA-DIA'!$B$2:$P$62,7,FALSE),"")</f>
        <v/>
      </c>
      <c r="H410" s="117" t="str">
        <f>IFERROR(VLOOKUP(N410,'TABLA-DIA'!$B$2:$P$62,10,FALSE),"")</f>
        <v/>
      </c>
      <c r="I410" s="444" t="str">
        <f>IFERROR(VLOOKUP(N410,'TABLA-DIA'!$B$2:$P$62,11,FALSE),"")</f>
        <v/>
      </c>
      <c r="J410" s="440" t="str">
        <f>IFERROR(VLOOKUP(N410,'TABLA-DIA'!$B$2:$P$62,12,FALSE),"")</f>
        <v/>
      </c>
      <c r="K410" s="118" t="str">
        <f>IFERROR(VLOOKUP(N410,'TABLA-DIA'!$B$2:$P$62,13,FALSE),"")</f>
        <v/>
      </c>
      <c r="L410" s="119" t="str">
        <f>IFERROR(IF(VLOOKUP(N410,'TABLA-DIA'!$B$2:$P$62,14,FALSE)="","",VLOOKUP(N410,'TABLA-DIA'!$B$2:$P$62,14,FALSE)),"")</f>
        <v/>
      </c>
      <c r="M410" s="120">
        <f t="shared" si="16"/>
        <v>4</v>
      </c>
      <c r="N410" s="125" t="str">
        <f t="shared" si="15"/>
        <v>BARQUILLERA FRANZ HAAZ-4</v>
      </c>
    </row>
    <row r="411" spans="2:15" ht="67.150000000000006" hidden="1" customHeight="1">
      <c r="B411" s="752"/>
      <c r="C411" s="74" t="str">
        <f>IFERROR(VLOOKUP(N411,'TABLA-DIA'!$B$2:$P$62,9,FALSE),"")</f>
        <v/>
      </c>
      <c r="D411" s="116" t="str">
        <f>IFERROR(VLOOKUP(N411,'TABLA-DIA'!$B$2:$P$62,4,FALSE),"")</f>
        <v/>
      </c>
      <c r="E411" s="332" t="str">
        <f>IFERROR(VLOOKUP(N411,'TABLA-DIA'!$B$2:$P$62,5,FALSE),"")</f>
        <v/>
      </c>
      <c r="F411" s="332" t="str">
        <f>IFERROR(VLOOKUP(N411,'TABLA-DIA'!$B$2:$P$62,6,FALSE),"")</f>
        <v/>
      </c>
      <c r="G411" s="474" t="str">
        <f>IFERROR(VLOOKUP(N411,'TABLA-DIA'!$B$2:$P$62,7,FALSE),"")</f>
        <v/>
      </c>
      <c r="H411" s="117" t="str">
        <f>IFERROR(VLOOKUP(N411,'TABLA-DIA'!$B$2:$P$62,10,FALSE),"")</f>
        <v/>
      </c>
      <c r="I411" s="444" t="str">
        <f>IFERROR(VLOOKUP(N411,'TABLA-DIA'!$B$2:$P$62,11,FALSE),"")</f>
        <v/>
      </c>
      <c r="J411" s="440" t="str">
        <f>IFERROR(VLOOKUP(N411,'TABLA-DIA'!$B$2:$P$62,12,FALSE),"")</f>
        <v/>
      </c>
      <c r="K411" s="118" t="str">
        <f>IFERROR(VLOOKUP(N411,'TABLA-DIA'!$B$2:$P$62,13,FALSE),"")</f>
        <v/>
      </c>
      <c r="L411" s="119" t="str">
        <f>IFERROR(IF(VLOOKUP(N411,'TABLA-DIA'!$B$2:$P$62,14,FALSE)="","",VLOOKUP(N411,'TABLA-DIA'!$B$2:$P$62,14,FALSE)),"")</f>
        <v/>
      </c>
      <c r="M411" s="120">
        <f t="shared" si="16"/>
        <v>5</v>
      </c>
      <c r="N411" s="125" t="str">
        <f t="shared" si="15"/>
        <v>BARQUILLERA FRANZ HAAZ-5</v>
      </c>
    </row>
    <row r="412" spans="2:15" ht="67.150000000000006" hidden="1" customHeight="1">
      <c r="B412" s="752"/>
      <c r="C412" s="74" t="str">
        <f>IFERROR(VLOOKUP(N412,'TABLA-DIA'!$B$2:$P$62,9,FALSE),"")</f>
        <v/>
      </c>
      <c r="D412" s="116" t="str">
        <f>IFERROR(VLOOKUP(N412,'TABLA-DIA'!$B$2:$P$62,4,FALSE),"")</f>
        <v/>
      </c>
      <c r="E412" s="332" t="str">
        <f>IFERROR(VLOOKUP(N412,'TABLA-DIA'!$B$2:$P$62,5,FALSE),"")</f>
        <v/>
      </c>
      <c r="F412" s="332" t="str">
        <f>IFERROR(VLOOKUP(N412,'TABLA-DIA'!$B$2:$P$62,6,FALSE),"")</f>
        <v/>
      </c>
      <c r="G412" s="474" t="str">
        <f>IFERROR(VLOOKUP(N412,'TABLA-DIA'!$B$2:$P$62,7,FALSE),"")</f>
        <v/>
      </c>
      <c r="H412" s="117" t="str">
        <f>IFERROR(VLOOKUP(N412,'TABLA-DIA'!$B$2:$P$62,10,FALSE),"")</f>
        <v/>
      </c>
      <c r="I412" s="444" t="str">
        <f>IFERROR(VLOOKUP(N412,'TABLA-DIA'!$B$2:$P$62,11,FALSE),"")</f>
        <v/>
      </c>
      <c r="J412" s="440" t="str">
        <f>IFERROR(VLOOKUP(N412,'TABLA-DIA'!$B$2:$P$62,12,FALSE),"")</f>
        <v/>
      </c>
      <c r="K412" s="118" t="str">
        <f>IFERROR(VLOOKUP(N412,'TABLA-DIA'!$B$2:$P$62,13,FALSE),"")</f>
        <v/>
      </c>
      <c r="L412" s="119" t="str">
        <f>IFERROR(IF(VLOOKUP(N412,'TABLA-DIA'!$B$2:$P$62,14,FALSE)="","",VLOOKUP(N412,'TABLA-DIA'!$B$2:$P$62,14,FALSE)),"")</f>
        <v/>
      </c>
      <c r="M412" s="120">
        <f t="shared" si="16"/>
        <v>6</v>
      </c>
      <c r="N412" s="125" t="str">
        <f t="shared" si="15"/>
        <v>BARQUILLERA FRANZ HAAZ-6</v>
      </c>
    </row>
    <row r="413" spans="2:15" ht="67.150000000000006" hidden="1" customHeight="1">
      <c r="B413" s="752"/>
      <c r="C413" s="74" t="str">
        <f>IFERROR(VLOOKUP(N413,'TABLA-DIA'!$B$2:$P$62,9,FALSE),"")</f>
        <v/>
      </c>
      <c r="D413" s="116" t="str">
        <f>IFERROR(VLOOKUP(N413,'TABLA-DIA'!$B$2:$P$62,4,FALSE),"")</f>
        <v/>
      </c>
      <c r="E413" s="332" t="str">
        <f>IFERROR(VLOOKUP(N413,'TABLA-DIA'!$B$2:$P$62,5,FALSE),"")</f>
        <v/>
      </c>
      <c r="F413" s="332" t="str">
        <f>IFERROR(VLOOKUP(N413,'TABLA-DIA'!$B$2:$P$62,6,FALSE),"")</f>
        <v/>
      </c>
      <c r="G413" s="474" t="str">
        <f>IFERROR(VLOOKUP(N413,'TABLA-DIA'!$B$2:$P$62,7,FALSE),"")</f>
        <v/>
      </c>
      <c r="H413" s="117" t="str">
        <f>IFERROR(VLOOKUP(N413,'TABLA-DIA'!$B$2:$P$62,10,FALSE),"")</f>
        <v/>
      </c>
      <c r="I413" s="444" t="str">
        <f>IFERROR(VLOOKUP(N413,'TABLA-DIA'!$B$2:$P$62,11,FALSE),"")</f>
        <v/>
      </c>
      <c r="J413" s="440" t="str">
        <f>IFERROR(VLOOKUP(N413,'TABLA-DIA'!$B$2:$P$62,12,FALSE),"")</f>
        <v/>
      </c>
      <c r="K413" s="118" t="str">
        <f>IFERROR(VLOOKUP(N413,'TABLA-DIA'!$B$2:$P$62,13,FALSE),"")</f>
        <v/>
      </c>
      <c r="L413" s="119" t="str">
        <f>IFERROR(IF(VLOOKUP(N413,'TABLA-DIA'!$B$2:$P$62,14,FALSE)="","",VLOOKUP(N413,'TABLA-DIA'!$B$2:$P$62,14,FALSE)),"")</f>
        <v/>
      </c>
      <c r="M413" s="120">
        <f t="shared" si="16"/>
        <v>7</v>
      </c>
      <c r="N413" s="125" t="str">
        <f t="shared" si="15"/>
        <v>BARQUILLERA FRANZ HAAZ-7</v>
      </c>
    </row>
    <row r="414" spans="2:15" ht="67.150000000000006" hidden="1" customHeight="1">
      <c r="B414" s="752"/>
      <c r="C414" s="74" t="str">
        <f>IFERROR(VLOOKUP(N414,'TABLA-DIA'!$B$2:$P$62,9,FALSE),"")</f>
        <v/>
      </c>
      <c r="D414" s="116" t="str">
        <f>IFERROR(VLOOKUP(N414,'TABLA-DIA'!$B$2:$P$62,4,FALSE),"")</f>
        <v/>
      </c>
      <c r="E414" s="332" t="str">
        <f>IFERROR(VLOOKUP(N414,'TABLA-DIA'!$B$2:$P$62,5,FALSE),"")</f>
        <v/>
      </c>
      <c r="F414" s="332" t="str">
        <f>IFERROR(VLOOKUP(N414,'TABLA-DIA'!$B$2:$P$62,6,FALSE),"")</f>
        <v/>
      </c>
      <c r="G414" s="474" t="str">
        <f>IFERROR(VLOOKUP(N414,'TABLA-DIA'!$B$2:$P$62,7,FALSE),"")</f>
        <v/>
      </c>
      <c r="H414" s="117" t="str">
        <f>IFERROR(VLOOKUP(N414,'TABLA-DIA'!$B$2:$P$62,10,FALSE),"")</f>
        <v/>
      </c>
      <c r="I414" s="444" t="str">
        <f>IFERROR(VLOOKUP(N414,'TABLA-DIA'!$B$2:$P$62,11,FALSE),"")</f>
        <v/>
      </c>
      <c r="J414" s="440" t="str">
        <f>IFERROR(VLOOKUP(N414,'TABLA-DIA'!$B$2:$P$62,12,FALSE),"")</f>
        <v/>
      </c>
      <c r="K414" s="118" t="str">
        <f>IFERROR(VLOOKUP(N414,'TABLA-DIA'!$B$2:$P$62,13,FALSE),"")</f>
        <v/>
      </c>
      <c r="L414" s="119" t="str">
        <f>IFERROR(IF(VLOOKUP(N414,'TABLA-DIA'!$B$2:$P$62,14,FALSE)="","",VLOOKUP(N414,'TABLA-DIA'!$B$2:$P$62,14,FALSE)),"")</f>
        <v/>
      </c>
      <c r="M414" s="120">
        <f>+M413+1</f>
        <v>8</v>
      </c>
      <c r="N414" s="125" t="str">
        <f t="shared" si="15"/>
        <v>BARQUILLERA FRANZ HAAZ-8</v>
      </c>
    </row>
    <row r="415" spans="2:15" ht="67.150000000000006" hidden="1" customHeight="1">
      <c r="B415" s="752"/>
      <c r="C415" s="74" t="str">
        <f>IFERROR(VLOOKUP(N415,'TABLA-DIA'!$B$2:$P$62,9,FALSE),"")</f>
        <v/>
      </c>
      <c r="D415" s="116" t="str">
        <f>IFERROR(VLOOKUP(N415,'TABLA-DIA'!$B$2:$P$62,4,FALSE),"")</f>
        <v/>
      </c>
      <c r="E415" s="332" t="str">
        <f>IFERROR(VLOOKUP(N415,'TABLA-DIA'!$B$2:$P$62,5,FALSE),"")</f>
        <v/>
      </c>
      <c r="F415" s="332" t="str">
        <f>IFERROR(VLOOKUP(N415,'TABLA-DIA'!$B$2:$P$62,6,FALSE),"")</f>
        <v/>
      </c>
      <c r="G415" s="474" t="str">
        <f>IFERROR(VLOOKUP(N415,'TABLA-DIA'!$B$2:$P$62,7,FALSE),"")</f>
        <v/>
      </c>
      <c r="H415" s="117" t="str">
        <f>IFERROR(VLOOKUP(N415,'TABLA-DIA'!$B$2:$P$62,10,FALSE),"")</f>
        <v/>
      </c>
      <c r="I415" s="444" t="str">
        <f>IFERROR(VLOOKUP(N415,'TABLA-DIA'!$B$2:$P$62,11,FALSE),"")</f>
        <v/>
      </c>
      <c r="J415" s="440" t="str">
        <f>IFERROR(VLOOKUP(N415,'TABLA-DIA'!$B$2:$P$62,12,FALSE),"")</f>
        <v/>
      </c>
      <c r="K415" s="118" t="str">
        <f>IFERROR(VLOOKUP(N415,'TABLA-DIA'!$B$2:$P$62,13,FALSE),"")</f>
        <v/>
      </c>
      <c r="L415" s="119" t="str">
        <f>IFERROR(IF(VLOOKUP(N415,'TABLA-DIA'!$B$2:$P$62,14,FALSE)="","",VLOOKUP(N415,'TABLA-DIA'!$B$2:$P$62,14,FALSE)),"")</f>
        <v/>
      </c>
      <c r="M415" s="120">
        <f t="shared" si="16"/>
        <v>9</v>
      </c>
      <c r="N415" s="125" t="str">
        <f t="shared" si="15"/>
        <v>BARQUILLERA FRANZ HAAZ-9</v>
      </c>
    </row>
    <row r="416" spans="2:15" ht="67.150000000000006" hidden="1" customHeight="1" thickBot="1">
      <c r="B416" s="753"/>
      <c r="C416" s="137" t="str">
        <f>IFERROR(VLOOKUP(N416,'TABLA-DIA'!$B$2:$P$62,9,FALSE),"")</f>
        <v/>
      </c>
      <c r="D416" s="126" t="str">
        <f>IFERROR(VLOOKUP(N416,'TABLA-DIA'!$B$2:$P$62,4,FALSE),"")</f>
        <v/>
      </c>
      <c r="E416" s="334" t="str">
        <f>IFERROR(VLOOKUP(N416,'TABLA-DIA'!$B$2:$P$62,5,FALSE),"")</f>
        <v/>
      </c>
      <c r="F416" s="334" t="str">
        <f>IFERROR(VLOOKUP(N416,'TABLA-DIA'!$B$2:$P$62,6,FALSE),"")</f>
        <v/>
      </c>
      <c r="G416" s="477" t="str">
        <f>IFERROR(VLOOKUP(N416,'TABLA-DIA'!$B$2:$P$62,7,FALSE),"")</f>
        <v/>
      </c>
      <c r="H416" s="127" t="str">
        <f>IFERROR(VLOOKUP(N416,'TABLA-DIA'!$B$2:$P$62,10,FALSE),"")</f>
        <v/>
      </c>
      <c r="I416" s="445" t="str">
        <f>IFERROR(VLOOKUP(N416,'TABLA-DIA'!$B$2:$P$62,11,FALSE),"")</f>
        <v/>
      </c>
      <c r="J416" s="443" t="str">
        <f>IFERROR(VLOOKUP(N416,'TABLA-DIA'!$B$2:$P$62,12,FALSE),"")</f>
        <v/>
      </c>
      <c r="K416" s="128" t="str">
        <f>IFERROR(VLOOKUP(N416,'TABLA-DIA'!$B$2:$P$62,13,FALSE),"")</f>
        <v/>
      </c>
      <c r="L416" s="129" t="str">
        <f>IFERROR(IF(VLOOKUP(N416,'TABLA-DIA'!$B$2:$P$62,14,FALSE)="","",VLOOKUP(N416,'TABLA-DIA'!$B$2:$P$62,14,FALSE)),"")</f>
        <v/>
      </c>
      <c r="M416" s="136">
        <f t="shared" si="16"/>
        <v>10</v>
      </c>
      <c r="N416" s="130" t="str">
        <f t="shared" si="15"/>
        <v>BARQUILLERA FRANZ HAAZ-10</v>
      </c>
    </row>
    <row r="417" spans="2:15" ht="126" customHeight="1" thickBot="1">
      <c r="B417" s="751" t="str">
        <f>+'TABLA-DIA'!B162</f>
        <v>RAYOS X 2</v>
      </c>
      <c r="C417" s="96" t="str">
        <f>IFERROR(VLOOKUP(N417,'TABLA-DIA'!$B$2:$P$62,9,FALSE),"")</f>
        <v/>
      </c>
      <c r="D417" s="121" t="str">
        <f>IFERROR(VLOOKUP(N417,'TABLA-DIA'!$B$2:$P$62,4,FALSE),"")</f>
        <v/>
      </c>
      <c r="E417" s="331" t="str">
        <f>IFERROR(VLOOKUP(N417,'TABLA-DIA'!$B$2:$P$62,5,FALSE),"")</f>
        <v/>
      </c>
      <c r="F417" s="331" t="str">
        <f>IFERROR(VLOOKUP(N417,'TABLA-DIA'!$B$2:$P$62,6,FALSE),"")</f>
        <v/>
      </c>
      <c r="G417" s="476" t="str">
        <f>IFERROR(VLOOKUP(N417,'TABLA-DIA'!$B$2:$P$62,7,FALSE),"")</f>
        <v/>
      </c>
      <c r="H417" s="122" t="str">
        <f>IFERROR(VLOOKUP(N417,'TABLA-DIA'!$B$2:$P$62,10,FALSE),"")</f>
        <v/>
      </c>
      <c r="I417" s="446" t="str">
        <f>IFERROR(VLOOKUP(N417,'TABLA-DIA'!$B$2:$P$62,11,FALSE),"")</f>
        <v/>
      </c>
      <c r="J417" s="442" t="str">
        <f>IFERROR(VLOOKUP(N417,'TABLA-DIA'!$B$2:$P$62,12,FALSE),"")</f>
        <v/>
      </c>
      <c r="K417" s="123" t="str">
        <f>IFERROR(VLOOKUP(N417,'TABLA-DIA'!$B$2:$P$62,13,FALSE),"")</f>
        <v/>
      </c>
      <c r="L417" s="124" t="str">
        <f>IFERROR(IF(VLOOKUP(N417,'TABLA-DIA'!$B$2:$P$62,14,FALSE)="","",VLOOKUP(N417,'TABLA-DIA'!$B$2:$P$62,14,FALSE)),"")</f>
        <v/>
      </c>
      <c r="M417" s="100">
        <v>1</v>
      </c>
      <c r="N417" s="98" t="str">
        <f t="shared" ref="N417:N426" si="17">CONCATENATE($B$417,"-",M417)</f>
        <v>RAYOS X 2-1</v>
      </c>
      <c r="O417" s="91">
        <f>COUNTIF(G417:G426,"&lt;&gt;**")</f>
        <v>0</v>
      </c>
    </row>
    <row r="418" spans="2:15" ht="67.150000000000006" hidden="1" customHeight="1">
      <c r="B418" s="752"/>
      <c r="C418" s="74" t="str">
        <f>IFERROR(VLOOKUP(N418,'TABLA-DIA'!$B$2:$P$62,9,FALSE),"")</f>
        <v/>
      </c>
      <c r="D418" s="116" t="str">
        <f>IFERROR(VLOOKUP(N418,'TABLA-DIA'!$B$2:$P$62,4,FALSE),"")</f>
        <v/>
      </c>
      <c r="E418" s="332" t="str">
        <f>IFERROR(VLOOKUP(N418,'TABLA-DIA'!$B$2:$P$62,5,FALSE),"")</f>
        <v/>
      </c>
      <c r="F418" s="332" t="str">
        <f>IFERROR(VLOOKUP(N418,'TABLA-DIA'!$B$2:$P$62,6,FALSE),"")</f>
        <v/>
      </c>
      <c r="G418" s="476" t="str">
        <f>IFERROR(VLOOKUP(N418,'TABLA-DIA'!$B$2:$P$62,7,FALSE),"")</f>
        <v/>
      </c>
      <c r="H418" s="117" t="str">
        <f>IFERROR(VLOOKUP(N418,'TABLA-DIA'!$B$2:$P$62,10,FALSE),"")</f>
        <v/>
      </c>
      <c r="I418" s="444" t="str">
        <f>IFERROR(VLOOKUP(N418,'TABLA-DIA'!$B$2:$P$62,11,FALSE),"")</f>
        <v/>
      </c>
      <c r="J418" s="440" t="str">
        <f>IFERROR(VLOOKUP(N418,'TABLA-DIA'!$B$2:$P$62,12,FALSE),"")</f>
        <v/>
      </c>
      <c r="K418" s="118" t="str">
        <f>IFERROR(VLOOKUP(N418,'TABLA-DIA'!$B$2:$P$62,13,FALSE),"")</f>
        <v/>
      </c>
      <c r="L418" s="119" t="str">
        <f>IFERROR(IF(VLOOKUP(N418,'TABLA-DIA'!$B$2:$P$62,14,FALSE)="","",VLOOKUP(N418,'TABLA-DIA'!$B$2:$P$62,14,FALSE)),"")</f>
        <v/>
      </c>
      <c r="M418" s="120">
        <f t="shared" ref="M418:M426" si="18">+M417+1</f>
        <v>2</v>
      </c>
      <c r="N418" s="125" t="str">
        <f t="shared" si="17"/>
        <v>RAYOS X 2-2</v>
      </c>
    </row>
    <row r="419" spans="2:15" ht="67.150000000000006" hidden="1" customHeight="1">
      <c r="B419" s="752"/>
      <c r="C419" s="74" t="str">
        <f>IFERROR(VLOOKUP(N419,'TABLA-DIA'!$B$2:$P$62,9,FALSE),"")</f>
        <v/>
      </c>
      <c r="D419" s="116" t="str">
        <f>IFERROR(VLOOKUP(N419,'TABLA-DIA'!$B$2:$P$62,4,FALSE),"")</f>
        <v/>
      </c>
      <c r="E419" s="332" t="str">
        <f>IFERROR(VLOOKUP(N419,'TABLA-DIA'!$B$2:$P$62,5,FALSE),"")</f>
        <v/>
      </c>
      <c r="F419" s="332" t="str">
        <f>IFERROR(VLOOKUP(N419,'TABLA-DIA'!$B$2:$P$62,6,FALSE),"")</f>
        <v/>
      </c>
      <c r="G419" s="476" t="str">
        <f>IFERROR(VLOOKUP(N419,'TABLA-DIA'!$B$2:$P$62,7,FALSE),"")</f>
        <v/>
      </c>
      <c r="H419" s="117" t="str">
        <f>IFERROR(VLOOKUP(N419,'TABLA-DIA'!$B$2:$P$62,10,FALSE),"")</f>
        <v/>
      </c>
      <c r="I419" s="444" t="str">
        <f>IFERROR(VLOOKUP(N419,'TABLA-DIA'!$B$2:$P$62,11,FALSE),"")</f>
        <v/>
      </c>
      <c r="J419" s="440" t="str">
        <f>IFERROR(VLOOKUP(N419,'TABLA-DIA'!$B$2:$P$62,12,FALSE),"")</f>
        <v/>
      </c>
      <c r="K419" s="118" t="str">
        <f>IFERROR(VLOOKUP(N419,'TABLA-DIA'!$B$2:$P$62,13,FALSE),"")</f>
        <v/>
      </c>
      <c r="L419" s="119" t="str">
        <f>IFERROR(IF(VLOOKUP(N419,'TABLA-DIA'!$B$2:$P$62,14,FALSE)="","",VLOOKUP(N419,'TABLA-DIA'!$B$2:$P$62,14,FALSE)),"")</f>
        <v/>
      </c>
      <c r="M419" s="120">
        <f t="shared" si="18"/>
        <v>3</v>
      </c>
      <c r="N419" s="125" t="str">
        <f t="shared" si="17"/>
        <v>RAYOS X 2-3</v>
      </c>
    </row>
    <row r="420" spans="2:15" ht="67.150000000000006" hidden="1" customHeight="1">
      <c r="B420" s="752"/>
      <c r="C420" s="74" t="str">
        <f>IFERROR(VLOOKUP(N420,'TABLA-DIA'!$B$2:$P$62,9,FALSE),"")</f>
        <v/>
      </c>
      <c r="D420" s="116" t="str">
        <f>IFERROR(VLOOKUP(N420,'TABLA-DIA'!$B$2:$P$62,4,FALSE),"")</f>
        <v/>
      </c>
      <c r="E420" s="332" t="str">
        <f>IFERROR(VLOOKUP(N420,'TABLA-DIA'!$B$2:$P$62,5,FALSE),"")</f>
        <v/>
      </c>
      <c r="F420" s="332" t="str">
        <f>IFERROR(VLOOKUP(N420,'TABLA-DIA'!$B$2:$P$62,6,FALSE),"")</f>
        <v/>
      </c>
      <c r="G420" s="476" t="str">
        <f>IFERROR(VLOOKUP(N420,'TABLA-DIA'!$B$2:$P$62,7,FALSE),"")</f>
        <v/>
      </c>
      <c r="H420" s="117" t="str">
        <f>IFERROR(VLOOKUP(N420,'TABLA-DIA'!$B$2:$P$62,10,FALSE),"")</f>
        <v/>
      </c>
      <c r="I420" s="444" t="str">
        <f>IFERROR(VLOOKUP(N420,'TABLA-DIA'!$B$2:$P$62,11,FALSE),"")</f>
        <v/>
      </c>
      <c r="J420" s="440" t="str">
        <f>IFERROR(VLOOKUP(N420,'TABLA-DIA'!$B$2:$P$62,12,FALSE),"")</f>
        <v/>
      </c>
      <c r="K420" s="118" t="str">
        <f>IFERROR(VLOOKUP(N420,'TABLA-DIA'!$B$2:$P$62,13,FALSE),"")</f>
        <v/>
      </c>
      <c r="L420" s="119" t="str">
        <f>IFERROR(IF(VLOOKUP(N420,'TABLA-DIA'!$B$2:$P$62,14,FALSE)="","",VLOOKUP(N420,'TABLA-DIA'!$B$2:$P$62,14,FALSE)),"")</f>
        <v/>
      </c>
      <c r="M420" s="120">
        <f t="shared" si="18"/>
        <v>4</v>
      </c>
      <c r="N420" s="125" t="str">
        <f t="shared" si="17"/>
        <v>RAYOS X 2-4</v>
      </c>
    </row>
    <row r="421" spans="2:15" ht="67.150000000000006" hidden="1" customHeight="1">
      <c r="B421" s="752"/>
      <c r="C421" s="74" t="str">
        <f>IFERROR(VLOOKUP(N421,'TABLA-DIA'!$B$2:$P$62,9,FALSE),"")</f>
        <v/>
      </c>
      <c r="D421" s="116" t="str">
        <f>IFERROR(VLOOKUP(N421,'TABLA-DIA'!$B$2:$P$62,4,FALSE),"")</f>
        <v/>
      </c>
      <c r="E421" s="332" t="str">
        <f>IFERROR(VLOOKUP(N421,'TABLA-DIA'!$B$2:$P$62,5,FALSE),"")</f>
        <v/>
      </c>
      <c r="F421" s="332" t="str">
        <f>IFERROR(VLOOKUP(N421,'TABLA-DIA'!$B$2:$P$62,6,FALSE),"")</f>
        <v/>
      </c>
      <c r="G421" s="476" t="str">
        <f>IFERROR(VLOOKUP(N421,'TABLA-DIA'!$B$2:$P$62,7,FALSE),"")</f>
        <v/>
      </c>
      <c r="H421" s="117" t="str">
        <f>IFERROR(VLOOKUP(N421,'TABLA-DIA'!$B$2:$P$62,10,FALSE),"")</f>
        <v/>
      </c>
      <c r="I421" s="444" t="str">
        <f>IFERROR(VLOOKUP(N421,'TABLA-DIA'!$B$2:$P$62,11,FALSE),"")</f>
        <v/>
      </c>
      <c r="J421" s="440" t="str">
        <f>IFERROR(VLOOKUP(N421,'TABLA-DIA'!$B$2:$P$62,12,FALSE),"")</f>
        <v/>
      </c>
      <c r="K421" s="118" t="str">
        <f>IFERROR(VLOOKUP(N421,'TABLA-DIA'!$B$2:$P$62,13,FALSE),"")</f>
        <v/>
      </c>
      <c r="L421" s="119" t="str">
        <f>IFERROR(IF(VLOOKUP(N421,'TABLA-DIA'!$B$2:$P$62,14,FALSE)="","",VLOOKUP(N421,'TABLA-DIA'!$B$2:$P$62,14,FALSE)),"")</f>
        <v/>
      </c>
      <c r="M421" s="120">
        <f t="shared" si="18"/>
        <v>5</v>
      </c>
      <c r="N421" s="125" t="str">
        <f t="shared" si="17"/>
        <v>RAYOS X 2-5</v>
      </c>
    </row>
    <row r="422" spans="2:15" ht="67.150000000000006" hidden="1" customHeight="1">
      <c r="B422" s="752"/>
      <c r="C422" s="74" t="str">
        <f>IFERROR(VLOOKUP(N422,'TABLA-DIA'!$B$2:$P$62,9,FALSE),"")</f>
        <v/>
      </c>
      <c r="D422" s="116" t="str">
        <f>IFERROR(VLOOKUP(N422,'TABLA-DIA'!$B$2:$P$62,4,FALSE),"")</f>
        <v/>
      </c>
      <c r="E422" s="332" t="str">
        <f>IFERROR(VLOOKUP(N422,'TABLA-DIA'!$B$2:$P$62,5,FALSE),"")</f>
        <v/>
      </c>
      <c r="F422" s="332" t="str">
        <f>IFERROR(VLOOKUP(N422,'TABLA-DIA'!$B$2:$P$62,6,FALSE),"")</f>
        <v/>
      </c>
      <c r="G422" s="476" t="str">
        <f>IFERROR(VLOOKUP(N422,'TABLA-DIA'!$B$2:$P$62,7,FALSE),"")</f>
        <v/>
      </c>
      <c r="H422" s="117" t="str">
        <f>IFERROR(VLOOKUP(N422,'TABLA-DIA'!$B$2:$P$62,10,FALSE),"")</f>
        <v/>
      </c>
      <c r="I422" s="444" t="str">
        <f>IFERROR(VLOOKUP(N422,'TABLA-DIA'!$B$2:$P$62,11,FALSE),"")</f>
        <v/>
      </c>
      <c r="J422" s="440" t="str">
        <f>IFERROR(VLOOKUP(N422,'TABLA-DIA'!$B$2:$P$62,12,FALSE),"")</f>
        <v/>
      </c>
      <c r="K422" s="118" t="str">
        <f>IFERROR(VLOOKUP(N422,'TABLA-DIA'!$B$2:$P$62,13,FALSE),"")</f>
        <v/>
      </c>
      <c r="L422" s="119" t="str">
        <f>IFERROR(IF(VLOOKUP(N422,'TABLA-DIA'!$B$2:$P$62,14,FALSE)="","",VLOOKUP(N422,'TABLA-DIA'!$B$2:$P$62,14,FALSE)),"")</f>
        <v/>
      </c>
      <c r="M422" s="120">
        <f t="shared" si="18"/>
        <v>6</v>
      </c>
      <c r="N422" s="125" t="str">
        <f t="shared" si="17"/>
        <v>RAYOS X 2-6</v>
      </c>
    </row>
    <row r="423" spans="2:15" ht="67.150000000000006" hidden="1" customHeight="1">
      <c r="B423" s="752"/>
      <c r="C423" s="74" t="str">
        <f>IFERROR(VLOOKUP(N423,'TABLA-DIA'!$B$2:$P$62,9,FALSE),"")</f>
        <v/>
      </c>
      <c r="D423" s="116" t="str">
        <f>IFERROR(VLOOKUP(N423,'TABLA-DIA'!$B$2:$P$62,4,FALSE),"")</f>
        <v/>
      </c>
      <c r="E423" s="332" t="str">
        <f>IFERROR(VLOOKUP(N423,'TABLA-DIA'!$B$2:$P$62,5,FALSE),"")</f>
        <v/>
      </c>
      <c r="F423" s="332" t="str">
        <f>IFERROR(VLOOKUP(N423,'TABLA-DIA'!$B$2:$P$62,6,FALSE),"")</f>
        <v/>
      </c>
      <c r="G423" s="476" t="str">
        <f>IFERROR(VLOOKUP(N423,'TABLA-DIA'!$B$2:$P$62,7,FALSE),"")</f>
        <v/>
      </c>
      <c r="H423" s="117" t="str">
        <f>IFERROR(VLOOKUP(N423,'TABLA-DIA'!$B$2:$P$62,10,FALSE),"")</f>
        <v/>
      </c>
      <c r="I423" s="444" t="str">
        <f>IFERROR(VLOOKUP(N423,'TABLA-DIA'!$B$2:$P$62,11,FALSE),"")</f>
        <v/>
      </c>
      <c r="J423" s="440" t="str">
        <f>IFERROR(VLOOKUP(N423,'TABLA-DIA'!$B$2:$P$62,12,FALSE),"")</f>
        <v/>
      </c>
      <c r="K423" s="118" t="str">
        <f>IFERROR(VLOOKUP(N423,'TABLA-DIA'!$B$2:$P$62,13,FALSE),"")</f>
        <v/>
      </c>
      <c r="L423" s="119" t="str">
        <f>IFERROR(IF(VLOOKUP(N423,'TABLA-DIA'!$B$2:$P$62,14,FALSE)="","",VLOOKUP(N423,'TABLA-DIA'!$B$2:$P$62,14,FALSE)),"")</f>
        <v/>
      </c>
      <c r="M423" s="120">
        <f t="shared" si="18"/>
        <v>7</v>
      </c>
      <c r="N423" s="125" t="str">
        <f t="shared" si="17"/>
        <v>RAYOS X 2-7</v>
      </c>
    </row>
    <row r="424" spans="2:15" ht="67.150000000000006" hidden="1" customHeight="1">
      <c r="B424" s="752"/>
      <c r="C424" s="74" t="str">
        <f>IFERROR(VLOOKUP(N424,'TABLA-DIA'!$B$2:$P$62,9,FALSE),"")</f>
        <v/>
      </c>
      <c r="D424" s="116" t="str">
        <f>IFERROR(VLOOKUP(N424,'TABLA-DIA'!$B$2:$P$62,4,FALSE),"")</f>
        <v/>
      </c>
      <c r="E424" s="332" t="str">
        <f>IFERROR(VLOOKUP(N424,'TABLA-DIA'!$B$2:$P$62,5,FALSE),"")</f>
        <v/>
      </c>
      <c r="F424" s="332" t="str">
        <f>IFERROR(VLOOKUP(N424,'TABLA-DIA'!$B$2:$P$62,6,FALSE),"")</f>
        <v/>
      </c>
      <c r="G424" s="476" t="str">
        <f>IFERROR(VLOOKUP(N424,'TABLA-DIA'!$B$2:$P$62,7,FALSE),"")</f>
        <v/>
      </c>
      <c r="H424" s="117" t="str">
        <f>IFERROR(VLOOKUP(N424,'TABLA-DIA'!$B$2:$P$62,10,FALSE),"")</f>
        <v/>
      </c>
      <c r="I424" s="444" t="str">
        <f>IFERROR(VLOOKUP(N424,'TABLA-DIA'!$B$2:$P$62,11,FALSE),"")</f>
        <v/>
      </c>
      <c r="J424" s="440" t="str">
        <f>IFERROR(VLOOKUP(N424,'TABLA-DIA'!$B$2:$P$62,12,FALSE),"")</f>
        <v/>
      </c>
      <c r="K424" s="118" t="str">
        <f>IFERROR(VLOOKUP(N424,'TABLA-DIA'!$B$2:$P$62,13,FALSE),"")</f>
        <v/>
      </c>
      <c r="L424" s="119" t="str">
        <f>IFERROR(IF(VLOOKUP(N424,'TABLA-DIA'!$B$2:$P$62,14,FALSE)="","",VLOOKUP(N424,'TABLA-DIA'!$B$2:$P$62,14,FALSE)),"")</f>
        <v/>
      </c>
      <c r="M424" s="120">
        <f t="shared" si="18"/>
        <v>8</v>
      </c>
      <c r="N424" s="125" t="str">
        <f t="shared" si="17"/>
        <v>RAYOS X 2-8</v>
      </c>
    </row>
    <row r="425" spans="2:15" ht="67.150000000000006" hidden="1" customHeight="1">
      <c r="B425" s="752"/>
      <c r="C425" s="74" t="str">
        <f>IFERROR(VLOOKUP(N425,'TABLA-DIA'!$B$2:$P$62,9,FALSE),"")</f>
        <v/>
      </c>
      <c r="D425" s="116" t="str">
        <f>IFERROR(VLOOKUP(N425,'TABLA-DIA'!$B$2:$P$62,4,FALSE),"")</f>
        <v/>
      </c>
      <c r="E425" s="332" t="str">
        <f>IFERROR(VLOOKUP(N425,'TABLA-DIA'!$B$2:$P$62,5,FALSE),"")</f>
        <v/>
      </c>
      <c r="F425" s="332" t="str">
        <f>IFERROR(VLOOKUP(N425,'TABLA-DIA'!$B$2:$P$62,6,FALSE),"")</f>
        <v/>
      </c>
      <c r="G425" s="476" t="str">
        <f>IFERROR(VLOOKUP(N425,'TABLA-DIA'!$B$2:$P$62,7,FALSE),"")</f>
        <v/>
      </c>
      <c r="H425" s="117" t="str">
        <f>IFERROR(VLOOKUP(N425,'TABLA-DIA'!$B$2:$P$62,10,FALSE),"")</f>
        <v/>
      </c>
      <c r="I425" s="444" t="str">
        <f>IFERROR(VLOOKUP(N425,'TABLA-DIA'!$B$2:$P$62,11,FALSE),"")</f>
        <v/>
      </c>
      <c r="J425" s="440" t="str">
        <f>IFERROR(VLOOKUP(N425,'TABLA-DIA'!$B$2:$P$62,12,FALSE),"")</f>
        <v/>
      </c>
      <c r="K425" s="118" t="str">
        <f>IFERROR(VLOOKUP(N425,'TABLA-DIA'!$B$2:$P$62,13,FALSE),"")</f>
        <v/>
      </c>
      <c r="L425" s="119" t="str">
        <f>IFERROR(IF(VLOOKUP(N425,'TABLA-DIA'!$B$2:$P$62,14,FALSE)="","",VLOOKUP(N425,'TABLA-DIA'!$B$2:$P$62,14,FALSE)),"")</f>
        <v/>
      </c>
      <c r="M425" s="120">
        <f t="shared" si="18"/>
        <v>9</v>
      </c>
      <c r="N425" s="125" t="str">
        <f t="shared" si="17"/>
        <v>RAYOS X 2-9</v>
      </c>
    </row>
    <row r="426" spans="2:15" ht="67.150000000000006" hidden="1" customHeight="1" thickBot="1">
      <c r="B426" s="753"/>
      <c r="C426" s="137" t="str">
        <f>IFERROR(VLOOKUP(N426,'TABLA-DIA'!$B$2:$P$62,9,FALSE),"")</f>
        <v/>
      </c>
      <c r="D426" s="126" t="str">
        <f>IFERROR(VLOOKUP(N426,'TABLA-DIA'!$B$2:$P$62,4,FALSE),"")</f>
        <v/>
      </c>
      <c r="E426" s="334" t="str">
        <f>IFERROR(VLOOKUP(N426,'TABLA-DIA'!$B$2:$P$62,5,FALSE),"")</f>
        <v/>
      </c>
      <c r="F426" s="334" t="str">
        <f>IFERROR(VLOOKUP(N426,'TABLA-DIA'!$B$2:$P$62,6,FALSE),"")</f>
        <v/>
      </c>
      <c r="G426" s="476" t="str">
        <f>IFERROR(VLOOKUP(N426,'TABLA-DIA'!$B$2:$P$62,7,FALSE),"")</f>
        <v/>
      </c>
      <c r="H426" s="127" t="str">
        <f>IFERROR(VLOOKUP(N426,'TABLA-DIA'!$B$2:$P$62,10,FALSE),"")</f>
        <v/>
      </c>
      <c r="I426" s="445" t="str">
        <f>IFERROR(VLOOKUP(N426,'TABLA-DIA'!$B$2:$P$62,11,FALSE),"")</f>
        <v/>
      </c>
      <c r="J426" s="443" t="str">
        <f>IFERROR(VLOOKUP(N426,'TABLA-DIA'!$B$2:$P$62,12,FALSE),"")</f>
        <v/>
      </c>
      <c r="K426" s="128" t="str">
        <f>IFERROR(VLOOKUP(N426,'TABLA-DIA'!$B$2:$P$62,13,FALSE),"")</f>
        <v/>
      </c>
      <c r="L426" s="129" t="str">
        <f>IFERROR(IF(VLOOKUP(N426,'TABLA-DIA'!$B$2:$P$62,14,FALSE)="","",VLOOKUP(N426,'TABLA-DIA'!$B$2:$P$62,14,FALSE)),"")</f>
        <v/>
      </c>
      <c r="M426" s="136">
        <f t="shared" si="18"/>
        <v>10</v>
      </c>
      <c r="N426" s="130" t="str">
        <f t="shared" si="17"/>
        <v>RAYOS X 2-10</v>
      </c>
    </row>
    <row r="427" spans="2:15" ht="110.25" customHeight="1" thickBot="1">
      <c r="B427" s="751" t="str">
        <f>+'TABLA-DIA'!B163</f>
        <v>Total general</v>
      </c>
      <c r="C427" s="96" t="str">
        <f>IFERROR(VLOOKUP(N427,'TABLA-DIA'!$B$2:$P$62,9,FALSE),"")</f>
        <v/>
      </c>
      <c r="D427" s="121" t="str">
        <f>IFERROR(VLOOKUP(N427,'TABLA-DIA'!$B$2:$P$62,4,FALSE),"")</f>
        <v/>
      </c>
      <c r="E427" s="331" t="str">
        <f>IFERROR(VLOOKUP(N427,'TABLA-DIA'!$B$2:$P$62,5,FALSE),"")</f>
        <v/>
      </c>
      <c r="F427" s="331" t="str">
        <f>IFERROR(VLOOKUP(N427,'TABLA-DIA'!$B$2:$P$62,6,FALSE),"")</f>
        <v/>
      </c>
      <c r="G427" s="476" t="str">
        <f>IFERROR(VLOOKUP(N427,'TABLA-DIA'!$B$2:$P$62,7,FALSE),"")</f>
        <v/>
      </c>
      <c r="H427" s="122" t="str">
        <f>IFERROR(VLOOKUP(N427,'TABLA-DIA'!$B$2:$P$62,10,FALSE),"")</f>
        <v/>
      </c>
      <c r="I427" s="446" t="str">
        <f>IFERROR(VLOOKUP(N427,'TABLA-DIA'!$B$2:$P$62,11,FALSE),"")</f>
        <v/>
      </c>
      <c r="J427" s="442" t="str">
        <f>IFERROR(VLOOKUP(N427,'TABLA-DIA'!$B$2:$P$62,12,FALSE),"")</f>
        <v/>
      </c>
      <c r="K427" s="123" t="str">
        <f>IFERROR(VLOOKUP(N427,'TABLA-DIA'!$B$2:$P$62,13,FALSE),"")</f>
        <v/>
      </c>
      <c r="L427" s="124" t="str">
        <f>IFERROR(IF(VLOOKUP(N427,'TABLA-DIA'!$B$2:$P$62,14,FALSE)="","",VLOOKUP(N427,'TABLA-DIA'!$B$2:$P$62,14,FALSE)),"")</f>
        <v/>
      </c>
      <c r="M427" s="100">
        <v>1</v>
      </c>
      <c r="N427" s="98" t="str">
        <f t="shared" ref="N427:N436" si="19">CONCATENATE($B$427,"-",M427)</f>
        <v>Total general-1</v>
      </c>
      <c r="O427" s="91">
        <f>COUNTIF(G427:G436,"&lt;&gt;**")</f>
        <v>0</v>
      </c>
    </row>
    <row r="428" spans="2:15" ht="67.150000000000006" hidden="1" customHeight="1">
      <c r="B428" s="752"/>
      <c r="C428" s="74" t="str">
        <f>IFERROR(VLOOKUP(N428,'TABLA-DIA'!$B$2:$P$62,9,FALSE),"")</f>
        <v/>
      </c>
      <c r="D428" s="116" t="str">
        <f>IFERROR(VLOOKUP(N428,'TABLA-DIA'!$B$2:$P$62,4,FALSE),"")</f>
        <v/>
      </c>
      <c r="E428" s="332" t="str">
        <f>IFERROR(VLOOKUP(N428,'TABLA-DIA'!$B$2:$P$62,5,FALSE),"")</f>
        <v/>
      </c>
      <c r="F428" s="332" t="str">
        <f>IFERROR(VLOOKUP(N428,'TABLA-DIA'!$B$2:$P$62,6,FALSE),"")</f>
        <v/>
      </c>
      <c r="G428" s="476" t="str">
        <f>IFERROR(VLOOKUP(N428,'TABLA-DIA'!$B$2:$P$62,7,FALSE),"")</f>
        <v/>
      </c>
      <c r="H428" s="117" t="str">
        <f>IFERROR(VLOOKUP(N428,'TABLA-DIA'!$B$2:$P$62,10,FALSE),"")</f>
        <v/>
      </c>
      <c r="I428" s="444" t="str">
        <f>IFERROR(VLOOKUP(N428,'TABLA-DIA'!$B$2:$P$62,11,FALSE),"")</f>
        <v/>
      </c>
      <c r="J428" s="440" t="str">
        <f>IFERROR(VLOOKUP(N428,'TABLA-DIA'!$B$2:$P$62,12,FALSE),"")</f>
        <v/>
      </c>
      <c r="K428" s="118" t="str">
        <f>IFERROR(VLOOKUP(N428,'TABLA-DIA'!$B$2:$P$62,13,FALSE),"")</f>
        <v/>
      </c>
      <c r="L428" s="119" t="str">
        <f>IFERROR(IF(VLOOKUP(N428,'TABLA-DIA'!$B$2:$P$62,14,FALSE)="","",VLOOKUP(N428,'TABLA-DIA'!$B$2:$P$62,14,FALSE)),"")</f>
        <v/>
      </c>
      <c r="M428" s="120">
        <f t="shared" ref="M428:M436" si="20">+M427+1</f>
        <v>2</v>
      </c>
      <c r="N428" s="125" t="str">
        <f t="shared" si="19"/>
        <v>Total general-2</v>
      </c>
    </row>
    <row r="429" spans="2:15" ht="67.150000000000006" hidden="1" customHeight="1">
      <c r="B429" s="752"/>
      <c r="C429" s="74" t="str">
        <f>IFERROR(VLOOKUP(N429,'TABLA-DIA'!$B$2:$P$62,9,FALSE),"")</f>
        <v/>
      </c>
      <c r="D429" s="116" t="str">
        <f>IFERROR(VLOOKUP(N429,'TABLA-DIA'!$B$2:$P$62,4,FALSE),"")</f>
        <v/>
      </c>
      <c r="E429" s="332" t="str">
        <f>IFERROR(VLOOKUP(N429,'TABLA-DIA'!$B$2:$P$62,5,FALSE),"")</f>
        <v/>
      </c>
      <c r="F429" s="332" t="str">
        <f>IFERROR(VLOOKUP(N429,'TABLA-DIA'!$B$2:$P$62,6,FALSE),"")</f>
        <v/>
      </c>
      <c r="G429" s="476" t="str">
        <f>IFERROR(VLOOKUP(N429,'TABLA-DIA'!$B$2:$P$62,7,FALSE),"")</f>
        <v/>
      </c>
      <c r="H429" s="117" t="str">
        <f>IFERROR(VLOOKUP(N429,'TABLA-DIA'!$B$2:$P$62,10,FALSE),"")</f>
        <v/>
      </c>
      <c r="I429" s="444" t="str">
        <f>IFERROR(VLOOKUP(N429,'TABLA-DIA'!$B$2:$P$62,11,FALSE),"")</f>
        <v/>
      </c>
      <c r="J429" s="440" t="str">
        <f>IFERROR(VLOOKUP(N429,'TABLA-DIA'!$B$2:$P$62,12,FALSE),"")</f>
        <v/>
      </c>
      <c r="K429" s="118" t="str">
        <f>IFERROR(VLOOKUP(N429,'TABLA-DIA'!$B$2:$P$62,13,FALSE),"")</f>
        <v/>
      </c>
      <c r="L429" s="119" t="str">
        <f>IFERROR(IF(VLOOKUP(N429,'TABLA-DIA'!$B$2:$P$62,14,FALSE)="","",VLOOKUP(N429,'TABLA-DIA'!$B$2:$P$62,14,FALSE)),"")</f>
        <v/>
      </c>
      <c r="M429" s="120">
        <f t="shared" si="20"/>
        <v>3</v>
      </c>
      <c r="N429" s="125" t="str">
        <f t="shared" si="19"/>
        <v>Total general-3</v>
      </c>
    </row>
    <row r="430" spans="2:15" ht="67.150000000000006" hidden="1" customHeight="1">
      <c r="B430" s="752"/>
      <c r="C430" s="74" t="str">
        <f>IFERROR(VLOOKUP(N430,'TABLA-DIA'!$B$2:$P$62,9,FALSE),"")</f>
        <v/>
      </c>
      <c r="D430" s="116" t="str">
        <f>IFERROR(VLOOKUP(N430,'TABLA-DIA'!$B$2:$P$62,4,FALSE),"")</f>
        <v/>
      </c>
      <c r="E430" s="332" t="str">
        <f>IFERROR(VLOOKUP(N430,'TABLA-DIA'!$B$2:$P$62,5,FALSE),"")</f>
        <v/>
      </c>
      <c r="F430" s="332" t="str">
        <f>IFERROR(VLOOKUP(N430,'TABLA-DIA'!$B$2:$P$62,6,FALSE),"")</f>
        <v/>
      </c>
      <c r="G430" s="476" t="str">
        <f>IFERROR(VLOOKUP(N430,'TABLA-DIA'!$B$2:$P$62,7,FALSE),"")</f>
        <v/>
      </c>
      <c r="H430" s="117" t="str">
        <f>IFERROR(VLOOKUP(N430,'TABLA-DIA'!$B$2:$P$62,10,FALSE),"")</f>
        <v/>
      </c>
      <c r="I430" s="444" t="str">
        <f>IFERROR(VLOOKUP(N430,'TABLA-DIA'!$B$2:$P$62,11,FALSE),"")</f>
        <v/>
      </c>
      <c r="J430" s="440" t="str">
        <f>IFERROR(VLOOKUP(N430,'TABLA-DIA'!$B$2:$P$62,12,FALSE),"")</f>
        <v/>
      </c>
      <c r="K430" s="118" t="str">
        <f>IFERROR(VLOOKUP(N430,'TABLA-DIA'!$B$2:$P$62,13,FALSE),"")</f>
        <v/>
      </c>
      <c r="L430" s="119" t="str">
        <f>IFERROR(IF(VLOOKUP(N430,'TABLA-DIA'!$B$2:$P$62,14,FALSE)="","",VLOOKUP(N430,'TABLA-DIA'!$B$2:$P$62,14,FALSE)),"")</f>
        <v/>
      </c>
      <c r="M430" s="120">
        <f t="shared" si="20"/>
        <v>4</v>
      </c>
      <c r="N430" s="125" t="str">
        <f t="shared" si="19"/>
        <v>Total general-4</v>
      </c>
    </row>
    <row r="431" spans="2:15" ht="67.150000000000006" hidden="1" customHeight="1">
      <c r="B431" s="752"/>
      <c r="C431" s="74" t="str">
        <f>IFERROR(VLOOKUP(N431,'TABLA-DIA'!$B$2:$P$62,9,FALSE),"")</f>
        <v/>
      </c>
      <c r="D431" s="116" t="str">
        <f>IFERROR(VLOOKUP(N431,'TABLA-DIA'!$B$2:$P$62,4,FALSE),"")</f>
        <v/>
      </c>
      <c r="E431" s="332" t="str">
        <f>IFERROR(VLOOKUP(N431,'TABLA-DIA'!$B$2:$P$62,5,FALSE),"")</f>
        <v/>
      </c>
      <c r="F431" s="332" t="str">
        <f>IFERROR(VLOOKUP(N431,'TABLA-DIA'!$B$2:$P$62,6,FALSE),"")</f>
        <v/>
      </c>
      <c r="G431" s="476" t="str">
        <f>IFERROR(VLOOKUP(N431,'TABLA-DIA'!$B$2:$P$62,7,FALSE),"")</f>
        <v/>
      </c>
      <c r="H431" s="117" t="str">
        <f>IFERROR(VLOOKUP(N431,'TABLA-DIA'!$B$2:$P$62,10,FALSE),"")</f>
        <v/>
      </c>
      <c r="I431" s="444" t="str">
        <f>IFERROR(VLOOKUP(N431,'TABLA-DIA'!$B$2:$P$62,11,FALSE),"")</f>
        <v/>
      </c>
      <c r="J431" s="440" t="str">
        <f>IFERROR(VLOOKUP(N431,'TABLA-DIA'!$B$2:$P$62,12,FALSE),"")</f>
        <v/>
      </c>
      <c r="K431" s="118" t="str">
        <f>IFERROR(VLOOKUP(N431,'TABLA-DIA'!$B$2:$P$62,13,FALSE),"")</f>
        <v/>
      </c>
      <c r="L431" s="119" t="str">
        <f>IFERROR(IF(VLOOKUP(N431,'TABLA-DIA'!$B$2:$P$62,14,FALSE)="","",VLOOKUP(N431,'TABLA-DIA'!$B$2:$P$62,14,FALSE)),"")</f>
        <v/>
      </c>
      <c r="M431" s="120">
        <f t="shared" si="20"/>
        <v>5</v>
      </c>
      <c r="N431" s="125" t="str">
        <f t="shared" si="19"/>
        <v>Total general-5</v>
      </c>
    </row>
    <row r="432" spans="2:15" ht="67.150000000000006" hidden="1" customHeight="1">
      <c r="B432" s="752"/>
      <c r="C432" s="74" t="str">
        <f>IFERROR(VLOOKUP(N432,'TABLA-DIA'!$B$2:$P$62,9,FALSE),"")</f>
        <v/>
      </c>
      <c r="D432" s="116" t="str">
        <f>IFERROR(VLOOKUP(N432,'TABLA-DIA'!$B$2:$P$62,4,FALSE),"")</f>
        <v/>
      </c>
      <c r="E432" s="332" t="str">
        <f>IFERROR(VLOOKUP(N432,'TABLA-DIA'!$B$2:$P$62,5,FALSE),"")</f>
        <v/>
      </c>
      <c r="F432" s="332" t="str">
        <f>IFERROR(VLOOKUP(N432,'TABLA-DIA'!$B$2:$P$62,6,FALSE),"")</f>
        <v/>
      </c>
      <c r="G432" s="476" t="str">
        <f>IFERROR(VLOOKUP(N432,'TABLA-DIA'!$B$2:$P$62,7,FALSE),"")</f>
        <v/>
      </c>
      <c r="H432" s="117" t="str">
        <f>IFERROR(VLOOKUP(N432,'TABLA-DIA'!$B$2:$P$62,10,FALSE),"")</f>
        <v/>
      </c>
      <c r="I432" s="444" t="str">
        <f>IFERROR(VLOOKUP(N432,'TABLA-DIA'!$B$2:$P$62,11,FALSE),"")</f>
        <v/>
      </c>
      <c r="J432" s="440" t="str">
        <f>IFERROR(VLOOKUP(N432,'TABLA-DIA'!$B$2:$P$62,12,FALSE),"")</f>
        <v/>
      </c>
      <c r="K432" s="118" t="str">
        <f>IFERROR(VLOOKUP(N432,'TABLA-DIA'!$B$2:$P$62,13,FALSE),"")</f>
        <v/>
      </c>
      <c r="L432" s="119" t="str">
        <f>IFERROR(IF(VLOOKUP(N432,'TABLA-DIA'!$B$2:$P$62,14,FALSE)="","",VLOOKUP(N432,'TABLA-DIA'!$B$2:$P$62,14,FALSE)),"")</f>
        <v/>
      </c>
      <c r="M432" s="120">
        <f t="shared" si="20"/>
        <v>6</v>
      </c>
      <c r="N432" s="125" t="str">
        <f t="shared" si="19"/>
        <v>Total general-6</v>
      </c>
    </row>
    <row r="433" spans="2:15" ht="67.150000000000006" hidden="1" customHeight="1">
      <c r="B433" s="752"/>
      <c r="C433" s="74" t="str">
        <f>IFERROR(VLOOKUP(N433,'TABLA-DIA'!$B$2:$P$62,9,FALSE),"")</f>
        <v/>
      </c>
      <c r="D433" s="116" t="str">
        <f>IFERROR(VLOOKUP(N433,'TABLA-DIA'!$B$2:$P$62,4,FALSE),"")</f>
        <v/>
      </c>
      <c r="E433" s="332" t="str">
        <f>IFERROR(VLOOKUP(N433,'TABLA-DIA'!$B$2:$P$62,5,FALSE),"")</f>
        <v/>
      </c>
      <c r="F433" s="332" t="str">
        <f>IFERROR(VLOOKUP(N433,'TABLA-DIA'!$B$2:$P$62,6,FALSE),"")</f>
        <v/>
      </c>
      <c r="G433" s="476" t="str">
        <f>IFERROR(VLOOKUP(N433,'TABLA-DIA'!$B$2:$P$62,7,FALSE),"")</f>
        <v/>
      </c>
      <c r="H433" s="117" t="str">
        <f>IFERROR(VLOOKUP(N433,'TABLA-DIA'!$B$2:$P$62,10,FALSE),"")</f>
        <v/>
      </c>
      <c r="I433" s="444" t="str">
        <f>IFERROR(VLOOKUP(N433,'TABLA-DIA'!$B$2:$P$62,11,FALSE),"")</f>
        <v/>
      </c>
      <c r="J433" s="440" t="str">
        <f>IFERROR(VLOOKUP(N433,'TABLA-DIA'!$B$2:$P$62,12,FALSE),"")</f>
        <v/>
      </c>
      <c r="K433" s="118" t="str">
        <f>IFERROR(VLOOKUP(N433,'TABLA-DIA'!$B$2:$P$62,13,FALSE),"")</f>
        <v/>
      </c>
      <c r="L433" s="119" t="str">
        <f>IFERROR(IF(VLOOKUP(N433,'TABLA-DIA'!$B$2:$P$62,14,FALSE)="","",VLOOKUP(N433,'TABLA-DIA'!$B$2:$P$62,14,FALSE)),"")</f>
        <v/>
      </c>
      <c r="M433" s="120">
        <f t="shared" si="20"/>
        <v>7</v>
      </c>
      <c r="N433" s="125" t="str">
        <f t="shared" si="19"/>
        <v>Total general-7</v>
      </c>
    </row>
    <row r="434" spans="2:15" ht="67.150000000000006" hidden="1" customHeight="1">
      <c r="B434" s="752"/>
      <c r="C434" s="74" t="str">
        <f>IFERROR(VLOOKUP(N434,'TABLA-DIA'!$B$2:$P$62,9,FALSE),"")</f>
        <v/>
      </c>
      <c r="D434" s="116" t="str">
        <f>IFERROR(VLOOKUP(N434,'TABLA-DIA'!$B$2:$P$62,4,FALSE),"")</f>
        <v/>
      </c>
      <c r="E434" s="332" t="str">
        <f>IFERROR(VLOOKUP(N434,'TABLA-DIA'!$B$2:$P$62,5,FALSE),"")</f>
        <v/>
      </c>
      <c r="F434" s="332" t="str">
        <f>IFERROR(VLOOKUP(N434,'TABLA-DIA'!$B$2:$P$62,6,FALSE),"")</f>
        <v/>
      </c>
      <c r="G434" s="476" t="str">
        <f>IFERROR(VLOOKUP(N434,'TABLA-DIA'!$B$2:$P$62,7,FALSE),"")</f>
        <v/>
      </c>
      <c r="H434" s="117" t="str">
        <f>IFERROR(VLOOKUP(N434,'TABLA-DIA'!$B$2:$P$62,10,FALSE),"")</f>
        <v/>
      </c>
      <c r="I434" s="444" t="str">
        <f>IFERROR(VLOOKUP(N434,'TABLA-DIA'!$B$2:$P$62,11,FALSE),"")</f>
        <v/>
      </c>
      <c r="J434" s="440" t="str">
        <f>IFERROR(VLOOKUP(N434,'TABLA-DIA'!$B$2:$P$62,12,FALSE),"")</f>
        <v/>
      </c>
      <c r="K434" s="118" t="str">
        <f>IFERROR(VLOOKUP(N434,'TABLA-DIA'!$B$2:$P$62,13,FALSE),"")</f>
        <v/>
      </c>
      <c r="L434" s="119" t="str">
        <f>IFERROR(IF(VLOOKUP(N434,'TABLA-DIA'!$B$2:$P$62,14,FALSE)="","",VLOOKUP(N434,'TABLA-DIA'!$B$2:$P$62,14,FALSE)),"")</f>
        <v/>
      </c>
      <c r="M434" s="120">
        <f t="shared" si="20"/>
        <v>8</v>
      </c>
      <c r="N434" s="125" t="str">
        <f t="shared" si="19"/>
        <v>Total general-8</v>
      </c>
    </row>
    <row r="435" spans="2:15" ht="67.150000000000006" hidden="1" customHeight="1">
      <c r="B435" s="752"/>
      <c r="C435" s="74" t="str">
        <f>IFERROR(VLOOKUP(N435,'TABLA-DIA'!$B$2:$P$62,9,FALSE),"")</f>
        <v/>
      </c>
      <c r="D435" s="116" t="str">
        <f>IFERROR(VLOOKUP(N435,'TABLA-DIA'!$B$2:$P$62,4,FALSE),"")</f>
        <v/>
      </c>
      <c r="E435" s="332" t="str">
        <f>IFERROR(VLOOKUP(N435,'TABLA-DIA'!$B$2:$P$62,5,FALSE),"")</f>
        <v/>
      </c>
      <c r="F435" s="332" t="str">
        <f>IFERROR(VLOOKUP(N435,'TABLA-DIA'!$B$2:$P$62,6,FALSE),"")</f>
        <v/>
      </c>
      <c r="G435" s="476" t="str">
        <f>IFERROR(VLOOKUP(N435,'TABLA-DIA'!$B$2:$P$62,7,FALSE),"")</f>
        <v/>
      </c>
      <c r="H435" s="117" t="str">
        <f>IFERROR(VLOOKUP(N435,'TABLA-DIA'!$B$2:$P$62,10,FALSE),"")</f>
        <v/>
      </c>
      <c r="I435" s="444" t="str">
        <f>IFERROR(VLOOKUP(N435,'TABLA-DIA'!$B$2:$P$62,11,FALSE),"")</f>
        <v/>
      </c>
      <c r="J435" s="440" t="str">
        <f>IFERROR(VLOOKUP(N435,'TABLA-DIA'!$B$2:$P$62,12,FALSE),"")</f>
        <v/>
      </c>
      <c r="K435" s="118" t="str">
        <f>IFERROR(VLOOKUP(N435,'TABLA-DIA'!$B$2:$P$62,13,FALSE),"")</f>
        <v/>
      </c>
      <c r="L435" s="119" t="str">
        <f>IFERROR(IF(VLOOKUP(N435,'TABLA-DIA'!$B$2:$P$62,14,FALSE)="","",VLOOKUP(N435,'TABLA-DIA'!$B$2:$P$62,14,FALSE)),"")</f>
        <v/>
      </c>
      <c r="M435" s="120">
        <f t="shared" si="20"/>
        <v>9</v>
      </c>
      <c r="N435" s="125" t="str">
        <f t="shared" si="19"/>
        <v>Total general-9</v>
      </c>
    </row>
    <row r="436" spans="2:15" ht="37.15" hidden="1" customHeight="1" thickBot="1">
      <c r="B436" s="753"/>
      <c r="C436" s="137" t="str">
        <f>IFERROR(VLOOKUP(N436,'TABLA-DIA'!$B$2:$P$62,9,FALSE),"")</f>
        <v/>
      </c>
      <c r="D436" s="126" t="str">
        <f>IFERROR(VLOOKUP(N436,'TABLA-DIA'!$B$2:$P$62,4,FALSE),"")</f>
        <v/>
      </c>
      <c r="E436" s="334" t="str">
        <f>IFERROR(VLOOKUP(N436,'TABLA-DIA'!$B$2:$P$62,5,FALSE),"")</f>
        <v/>
      </c>
      <c r="F436" s="334" t="str">
        <f>IFERROR(VLOOKUP(N436,'TABLA-DIA'!$B$2:$P$62,6,FALSE),"")</f>
        <v/>
      </c>
      <c r="G436" s="476" t="str">
        <f>IFERROR(VLOOKUP(N436,'TABLA-DIA'!$B$2:$P$62,7,FALSE),"")</f>
        <v/>
      </c>
      <c r="H436" s="127" t="str">
        <f>IFERROR(VLOOKUP(N436,'TABLA-DIA'!$B$2:$P$62,10,FALSE),"")</f>
        <v/>
      </c>
      <c r="I436" s="445" t="str">
        <f>IFERROR(VLOOKUP(N436,'TABLA-DIA'!$B$2:$P$62,11,FALSE),"")</f>
        <v/>
      </c>
      <c r="J436" s="443" t="str">
        <f>IFERROR(VLOOKUP(N436,'TABLA-DIA'!$B$2:$P$62,12,FALSE),"")</f>
        <v/>
      </c>
      <c r="K436" s="128" t="str">
        <f>IFERROR(VLOOKUP(N436,'TABLA-DIA'!$B$2:$P$62,13,FALSE),"")</f>
        <v/>
      </c>
      <c r="L436" s="129" t="str">
        <f>IFERROR(IF(VLOOKUP(N436,'TABLA-DIA'!$B$2:$P$62,14,FALSE)="","",VLOOKUP(N436,'TABLA-DIA'!$B$2:$P$62,14,FALSE)),"")</f>
        <v/>
      </c>
      <c r="M436" s="136">
        <f t="shared" si="20"/>
        <v>10</v>
      </c>
      <c r="N436" s="130" t="str">
        <f t="shared" si="19"/>
        <v>Total general-10</v>
      </c>
    </row>
    <row r="437" spans="2:15" ht="89.45" customHeight="1" thickBot="1">
      <c r="B437" s="751">
        <f>+'TABLA-DIA'!B164</f>
        <v>0</v>
      </c>
      <c r="C437" s="96" t="str">
        <f>IFERROR(VLOOKUP(N437,'TABLA-DIA'!$B$2:$P$62,9,FALSE),"")</f>
        <v/>
      </c>
      <c r="D437" s="121" t="str">
        <f>IFERROR(VLOOKUP(N437,'TABLA-DIA'!$B$2:$P$62,4,FALSE),"")</f>
        <v/>
      </c>
      <c r="E437" s="331" t="str">
        <f>IFERROR(VLOOKUP(N437,'TABLA-DIA'!$B$2:$P$62,5,FALSE),"")</f>
        <v/>
      </c>
      <c r="F437" s="331" t="str">
        <f>IFERROR(VLOOKUP(N437,'TABLA-DIA'!$B$2:$P$62,6,FALSE),"")</f>
        <v/>
      </c>
      <c r="G437" s="476" t="str">
        <f>IFERROR(VLOOKUP(N437,'TABLA-DIA'!$B$2:$P$62,7,FALSE),"")</f>
        <v/>
      </c>
      <c r="H437" s="122" t="str">
        <f>IFERROR(VLOOKUP(N437,'TABLA-DIA'!$B$2:$P$62,10,FALSE),"")</f>
        <v/>
      </c>
      <c r="I437" s="446" t="str">
        <f>IFERROR(VLOOKUP(N437,'TABLA-DIA'!$B$2:$P$62,11,FALSE),"")</f>
        <v/>
      </c>
      <c r="J437" s="442" t="str">
        <f>IFERROR(VLOOKUP(N437,'TABLA-DIA'!$B$2:$P$62,12,FALSE),"")</f>
        <v/>
      </c>
      <c r="K437" s="123" t="str">
        <f>IFERROR(VLOOKUP(N437,'TABLA-DIA'!$B$2:$P$62,13,FALSE),"")</f>
        <v/>
      </c>
      <c r="L437" s="124" t="str">
        <f>IFERROR(IF(VLOOKUP(N437,'TABLA-DIA'!$B$2:$P$62,14,FALSE)="","",VLOOKUP(N437,'TABLA-DIA'!$B$2:$P$62,14,FALSE)),"")</f>
        <v/>
      </c>
      <c r="M437" s="100">
        <v>1</v>
      </c>
      <c r="N437" s="98" t="str">
        <f t="shared" ref="N437:N446" si="21">CONCATENATE($B$437,"-",M437)</f>
        <v>0-1</v>
      </c>
      <c r="O437" s="91">
        <f>COUNTIF(G437:G446,"&lt;&gt;**")</f>
        <v>0</v>
      </c>
    </row>
    <row r="438" spans="2:15" ht="67.150000000000006" hidden="1" customHeight="1">
      <c r="B438" s="752"/>
      <c r="C438" s="74" t="str">
        <f>IFERROR(VLOOKUP(N438,'TABLA-DIA'!$B$2:$P$62,9,FALSE),"")</f>
        <v/>
      </c>
      <c r="D438" s="116" t="str">
        <f>IFERROR(VLOOKUP(N438,'TABLA-DIA'!$B$2:$P$62,4,FALSE),"")</f>
        <v/>
      </c>
      <c r="E438" s="332" t="str">
        <f>IFERROR(VLOOKUP(N438,'TABLA-DIA'!$B$2:$P$62,5,FALSE),"")</f>
        <v/>
      </c>
      <c r="F438" s="332" t="str">
        <f>IFERROR(VLOOKUP(N438,'TABLA-DIA'!$B$2:$P$62,6,FALSE),"")</f>
        <v/>
      </c>
      <c r="G438" s="476" t="str">
        <f>IFERROR(VLOOKUP(N438,'TABLA-DIA'!$B$2:$P$62,7,FALSE),"")</f>
        <v/>
      </c>
      <c r="H438" s="117" t="str">
        <f>IFERROR(VLOOKUP(N438,'TABLA-DIA'!$B$2:$P$62,10,FALSE),"")</f>
        <v/>
      </c>
      <c r="I438" s="444" t="str">
        <f>IFERROR(VLOOKUP(N438,'TABLA-DIA'!$B$2:$P$62,11,FALSE),"")</f>
        <v/>
      </c>
      <c r="J438" s="440" t="str">
        <f>IFERROR(VLOOKUP(N438,'TABLA-DIA'!$B$2:$P$62,12,FALSE),"")</f>
        <v/>
      </c>
      <c r="K438" s="118" t="str">
        <f>IFERROR(VLOOKUP(N438,'TABLA-DIA'!$B$2:$P$62,13,FALSE),"")</f>
        <v/>
      </c>
      <c r="L438" s="119" t="str">
        <f>IFERROR(IF(VLOOKUP(N438,'TABLA-DIA'!$B$2:$P$62,14,FALSE)="","",VLOOKUP(N438,'TABLA-DIA'!$B$2:$P$62,14,FALSE)),"")</f>
        <v/>
      </c>
      <c r="M438" s="120">
        <f t="shared" ref="M438:M446" si="22">+M437+1</f>
        <v>2</v>
      </c>
      <c r="N438" s="125" t="str">
        <f t="shared" si="21"/>
        <v>0-2</v>
      </c>
    </row>
    <row r="439" spans="2:15" ht="67.150000000000006" hidden="1" customHeight="1">
      <c r="B439" s="752"/>
      <c r="C439" s="74" t="str">
        <f>IFERROR(VLOOKUP(N439,'TABLA-DIA'!$B$2:$P$62,9,FALSE),"")</f>
        <v/>
      </c>
      <c r="D439" s="116" t="str">
        <f>IFERROR(VLOOKUP(N439,'TABLA-DIA'!$B$2:$P$62,4,FALSE),"")</f>
        <v/>
      </c>
      <c r="E439" s="332" t="str">
        <f>IFERROR(VLOOKUP(N439,'TABLA-DIA'!$B$2:$P$62,5,FALSE),"")</f>
        <v/>
      </c>
      <c r="F439" s="332" t="str">
        <f>IFERROR(VLOOKUP(N439,'TABLA-DIA'!$B$2:$P$62,6,FALSE),"")</f>
        <v/>
      </c>
      <c r="G439" s="476" t="str">
        <f>IFERROR(VLOOKUP(N439,'TABLA-DIA'!$B$2:$P$62,7,FALSE),"")</f>
        <v/>
      </c>
      <c r="H439" s="117" t="str">
        <f>IFERROR(VLOOKUP(N439,'TABLA-DIA'!$B$2:$P$62,10,FALSE),"")</f>
        <v/>
      </c>
      <c r="I439" s="444" t="str">
        <f>IFERROR(VLOOKUP(N439,'TABLA-DIA'!$B$2:$P$62,11,FALSE),"")</f>
        <v/>
      </c>
      <c r="J439" s="440" t="str">
        <f>IFERROR(VLOOKUP(N439,'TABLA-DIA'!$B$2:$P$62,12,FALSE),"")</f>
        <v/>
      </c>
      <c r="K439" s="118" t="str">
        <f>IFERROR(VLOOKUP(N439,'TABLA-DIA'!$B$2:$P$62,13,FALSE),"")</f>
        <v/>
      </c>
      <c r="L439" s="119" t="str">
        <f>IFERROR(IF(VLOOKUP(N439,'TABLA-DIA'!$B$2:$P$62,14,FALSE)="","",VLOOKUP(N439,'TABLA-DIA'!$B$2:$P$62,14,FALSE)),"")</f>
        <v/>
      </c>
      <c r="M439" s="120">
        <f t="shared" si="22"/>
        <v>3</v>
      </c>
      <c r="N439" s="125" t="str">
        <f t="shared" si="21"/>
        <v>0-3</v>
      </c>
    </row>
    <row r="440" spans="2:15" ht="67.150000000000006" hidden="1" customHeight="1">
      <c r="B440" s="752"/>
      <c r="C440" s="74" t="str">
        <f>IFERROR(VLOOKUP(N440,'TABLA-DIA'!$B$2:$P$62,9,FALSE),"")</f>
        <v/>
      </c>
      <c r="D440" s="116" t="str">
        <f>IFERROR(VLOOKUP(N440,'TABLA-DIA'!$B$2:$P$62,4,FALSE),"")</f>
        <v/>
      </c>
      <c r="E440" s="332" t="str">
        <f>IFERROR(VLOOKUP(N440,'TABLA-DIA'!$B$2:$P$62,5,FALSE),"")</f>
        <v/>
      </c>
      <c r="F440" s="332" t="str">
        <f>IFERROR(VLOOKUP(N440,'TABLA-DIA'!$B$2:$P$62,6,FALSE),"")</f>
        <v/>
      </c>
      <c r="G440" s="476" t="str">
        <f>IFERROR(VLOOKUP(N440,'TABLA-DIA'!$B$2:$P$62,7,FALSE),"")</f>
        <v/>
      </c>
      <c r="H440" s="117" t="str">
        <f>IFERROR(VLOOKUP(N440,'TABLA-DIA'!$B$2:$P$62,10,FALSE),"")</f>
        <v/>
      </c>
      <c r="I440" s="444" t="str">
        <f>IFERROR(VLOOKUP(N440,'TABLA-DIA'!$B$2:$P$62,11,FALSE),"")</f>
        <v/>
      </c>
      <c r="J440" s="440" t="str">
        <f>IFERROR(VLOOKUP(N440,'TABLA-DIA'!$B$2:$P$62,12,FALSE),"")</f>
        <v/>
      </c>
      <c r="K440" s="118" t="str">
        <f>IFERROR(VLOOKUP(N440,'TABLA-DIA'!$B$2:$P$62,13,FALSE),"")</f>
        <v/>
      </c>
      <c r="L440" s="119" t="str">
        <f>IFERROR(IF(VLOOKUP(N440,'TABLA-DIA'!$B$2:$P$62,14,FALSE)="","",VLOOKUP(N440,'TABLA-DIA'!$B$2:$P$62,14,FALSE)),"")</f>
        <v/>
      </c>
      <c r="M440" s="120">
        <f t="shared" si="22"/>
        <v>4</v>
      </c>
      <c r="N440" s="125" t="str">
        <f t="shared" si="21"/>
        <v>0-4</v>
      </c>
    </row>
    <row r="441" spans="2:15" ht="67.150000000000006" hidden="1" customHeight="1">
      <c r="B441" s="752"/>
      <c r="C441" s="74" t="str">
        <f>IFERROR(VLOOKUP(N441,'TABLA-DIA'!$B$2:$P$62,9,FALSE),"")</f>
        <v/>
      </c>
      <c r="D441" s="116" t="str">
        <f>IFERROR(VLOOKUP(N441,'TABLA-DIA'!$B$2:$P$62,4,FALSE),"")</f>
        <v/>
      </c>
      <c r="E441" s="332" t="str">
        <f>IFERROR(VLOOKUP(N441,'TABLA-DIA'!$B$2:$P$62,5,FALSE),"")</f>
        <v/>
      </c>
      <c r="F441" s="332" t="str">
        <f>IFERROR(VLOOKUP(N441,'TABLA-DIA'!$B$2:$P$62,6,FALSE),"")</f>
        <v/>
      </c>
      <c r="G441" s="476" t="str">
        <f>IFERROR(VLOOKUP(N441,'TABLA-DIA'!$B$2:$P$62,7,FALSE),"")</f>
        <v/>
      </c>
      <c r="H441" s="117" t="str">
        <f>IFERROR(VLOOKUP(N441,'TABLA-DIA'!$B$2:$P$62,10,FALSE),"")</f>
        <v/>
      </c>
      <c r="I441" s="444" t="str">
        <f>IFERROR(VLOOKUP(N441,'TABLA-DIA'!$B$2:$P$62,11,FALSE),"")</f>
        <v/>
      </c>
      <c r="J441" s="440" t="str">
        <f>IFERROR(VLOOKUP(N441,'TABLA-DIA'!$B$2:$P$62,12,FALSE),"")</f>
        <v/>
      </c>
      <c r="K441" s="118" t="str">
        <f>IFERROR(VLOOKUP(N441,'TABLA-DIA'!$B$2:$P$62,13,FALSE),"")</f>
        <v/>
      </c>
      <c r="L441" s="119" t="str">
        <f>IFERROR(IF(VLOOKUP(N441,'TABLA-DIA'!$B$2:$P$62,14,FALSE)="","",VLOOKUP(N441,'TABLA-DIA'!$B$2:$P$62,14,FALSE)),"")</f>
        <v/>
      </c>
      <c r="M441" s="120">
        <f t="shared" si="22"/>
        <v>5</v>
      </c>
      <c r="N441" s="125" t="str">
        <f t="shared" si="21"/>
        <v>0-5</v>
      </c>
    </row>
    <row r="442" spans="2:15" ht="67.150000000000006" hidden="1" customHeight="1">
      <c r="B442" s="752"/>
      <c r="C442" s="74" t="str">
        <f>IFERROR(VLOOKUP(N442,'TABLA-DIA'!$B$2:$P$62,9,FALSE),"")</f>
        <v/>
      </c>
      <c r="D442" s="116" t="str">
        <f>IFERROR(VLOOKUP(N442,'TABLA-DIA'!$B$2:$P$62,4,FALSE),"")</f>
        <v/>
      </c>
      <c r="E442" s="332" t="str">
        <f>IFERROR(VLOOKUP(N442,'TABLA-DIA'!$B$2:$P$62,5,FALSE),"")</f>
        <v/>
      </c>
      <c r="F442" s="332" t="str">
        <f>IFERROR(VLOOKUP(N442,'TABLA-DIA'!$B$2:$P$62,6,FALSE),"")</f>
        <v/>
      </c>
      <c r="G442" s="476" t="str">
        <f>IFERROR(VLOOKUP(N442,'TABLA-DIA'!$B$2:$P$62,7,FALSE),"")</f>
        <v/>
      </c>
      <c r="H442" s="117" t="str">
        <f>IFERROR(VLOOKUP(N442,'TABLA-DIA'!$B$2:$P$62,10,FALSE),"")</f>
        <v/>
      </c>
      <c r="I442" s="444" t="str">
        <f>IFERROR(VLOOKUP(N442,'TABLA-DIA'!$B$2:$P$62,11,FALSE),"")</f>
        <v/>
      </c>
      <c r="J442" s="440" t="str">
        <f>IFERROR(VLOOKUP(N442,'TABLA-DIA'!$B$2:$P$62,12,FALSE),"")</f>
        <v/>
      </c>
      <c r="K442" s="118" t="str">
        <f>IFERROR(VLOOKUP(N442,'TABLA-DIA'!$B$2:$P$62,13,FALSE),"")</f>
        <v/>
      </c>
      <c r="L442" s="119" t="str">
        <f>IFERROR(IF(VLOOKUP(N442,'TABLA-DIA'!$B$2:$P$62,14,FALSE)="","",VLOOKUP(N442,'TABLA-DIA'!$B$2:$P$62,14,FALSE)),"")</f>
        <v/>
      </c>
      <c r="M442" s="120">
        <f t="shared" si="22"/>
        <v>6</v>
      </c>
      <c r="N442" s="125" t="str">
        <f t="shared" si="21"/>
        <v>0-6</v>
      </c>
    </row>
    <row r="443" spans="2:15" ht="67.150000000000006" hidden="1" customHeight="1">
      <c r="B443" s="752"/>
      <c r="C443" s="74" t="str">
        <f>IFERROR(VLOOKUP(N443,'TABLA-DIA'!$B$2:$P$62,9,FALSE),"")</f>
        <v/>
      </c>
      <c r="D443" s="116" t="str">
        <f>IFERROR(VLOOKUP(N443,'TABLA-DIA'!$B$2:$P$62,4,FALSE),"")</f>
        <v/>
      </c>
      <c r="E443" s="332" t="str">
        <f>IFERROR(VLOOKUP(N443,'TABLA-DIA'!$B$2:$P$62,5,FALSE),"")</f>
        <v/>
      </c>
      <c r="F443" s="332" t="str">
        <f>IFERROR(VLOOKUP(N443,'TABLA-DIA'!$B$2:$P$62,6,FALSE),"")</f>
        <v/>
      </c>
      <c r="G443" s="476" t="str">
        <f>IFERROR(VLOOKUP(N443,'TABLA-DIA'!$B$2:$P$62,7,FALSE),"")</f>
        <v/>
      </c>
      <c r="H443" s="117" t="str">
        <f>IFERROR(VLOOKUP(N443,'TABLA-DIA'!$B$2:$P$62,10,FALSE),"")</f>
        <v/>
      </c>
      <c r="I443" s="444" t="str">
        <f>IFERROR(VLOOKUP(N443,'TABLA-DIA'!$B$2:$P$62,11,FALSE),"")</f>
        <v/>
      </c>
      <c r="J443" s="440" t="str">
        <f>IFERROR(VLOOKUP(N443,'TABLA-DIA'!$B$2:$P$62,12,FALSE),"")</f>
        <v/>
      </c>
      <c r="K443" s="118" t="str">
        <f>IFERROR(VLOOKUP(N443,'TABLA-DIA'!$B$2:$P$62,13,FALSE),"")</f>
        <v/>
      </c>
      <c r="L443" s="119" t="str">
        <f>IFERROR(IF(VLOOKUP(N443,'TABLA-DIA'!$B$2:$P$62,14,FALSE)="","",VLOOKUP(N443,'TABLA-DIA'!$B$2:$P$62,14,FALSE)),"")</f>
        <v/>
      </c>
      <c r="M443" s="120">
        <f t="shared" si="22"/>
        <v>7</v>
      </c>
      <c r="N443" s="125" t="str">
        <f t="shared" si="21"/>
        <v>0-7</v>
      </c>
    </row>
    <row r="444" spans="2:15" ht="67.150000000000006" hidden="1" customHeight="1">
      <c r="B444" s="752"/>
      <c r="C444" s="74" t="str">
        <f>IFERROR(VLOOKUP(N444,'TABLA-DIA'!$B$2:$P$62,9,FALSE),"")</f>
        <v/>
      </c>
      <c r="D444" s="116" t="str">
        <f>IFERROR(VLOOKUP(N444,'TABLA-DIA'!$B$2:$P$62,4,FALSE),"")</f>
        <v/>
      </c>
      <c r="E444" s="332" t="str">
        <f>IFERROR(VLOOKUP(N444,'TABLA-DIA'!$B$2:$P$62,5,FALSE),"")</f>
        <v/>
      </c>
      <c r="F444" s="332" t="str">
        <f>IFERROR(VLOOKUP(N444,'TABLA-DIA'!$B$2:$P$62,6,FALSE),"")</f>
        <v/>
      </c>
      <c r="G444" s="476" t="str">
        <f>IFERROR(VLOOKUP(N444,'TABLA-DIA'!$B$2:$P$62,7,FALSE),"")</f>
        <v/>
      </c>
      <c r="H444" s="117" t="str">
        <f>IFERROR(VLOOKUP(N444,'TABLA-DIA'!$B$2:$P$62,10,FALSE),"")</f>
        <v/>
      </c>
      <c r="I444" s="444" t="str">
        <f>IFERROR(VLOOKUP(N444,'TABLA-DIA'!$B$2:$P$62,11,FALSE),"")</f>
        <v/>
      </c>
      <c r="J444" s="440" t="str">
        <f>IFERROR(VLOOKUP(N444,'TABLA-DIA'!$B$2:$P$62,12,FALSE),"")</f>
        <v/>
      </c>
      <c r="K444" s="118" t="str">
        <f>IFERROR(VLOOKUP(N444,'TABLA-DIA'!$B$2:$P$62,13,FALSE),"")</f>
        <v/>
      </c>
      <c r="L444" s="119" t="str">
        <f>IFERROR(IF(VLOOKUP(N444,'TABLA-DIA'!$B$2:$P$62,14,FALSE)="","",VLOOKUP(N444,'TABLA-DIA'!$B$2:$P$62,14,FALSE)),"")</f>
        <v/>
      </c>
      <c r="M444" s="120">
        <f t="shared" si="22"/>
        <v>8</v>
      </c>
      <c r="N444" s="125" t="str">
        <f t="shared" si="21"/>
        <v>0-8</v>
      </c>
    </row>
    <row r="445" spans="2:15" ht="67.150000000000006" hidden="1" customHeight="1">
      <c r="B445" s="752"/>
      <c r="C445" s="74" t="str">
        <f>IFERROR(VLOOKUP(N445,'TABLA-DIA'!$B$2:$P$62,9,FALSE),"")</f>
        <v/>
      </c>
      <c r="D445" s="116" t="str">
        <f>IFERROR(VLOOKUP(N445,'TABLA-DIA'!$B$2:$P$62,4,FALSE),"")</f>
        <v/>
      </c>
      <c r="E445" s="332" t="str">
        <f>IFERROR(VLOOKUP(N445,'TABLA-DIA'!$B$2:$P$62,5,FALSE),"")</f>
        <v/>
      </c>
      <c r="F445" s="332" t="str">
        <f>IFERROR(VLOOKUP(N445,'TABLA-DIA'!$B$2:$P$62,6,FALSE),"")</f>
        <v/>
      </c>
      <c r="G445" s="476" t="str">
        <f>IFERROR(VLOOKUP(N445,'TABLA-DIA'!$B$2:$P$62,7,FALSE),"")</f>
        <v/>
      </c>
      <c r="H445" s="117" t="str">
        <f>IFERROR(VLOOKUP(N445,'TABLA-DIA'!$B$2:$P$62,10,FALSE),"")</f>
        <v/>
      </c>
      <c r="I445" s="444" t="str">
        <f>IFERROR(VLOOKUP(N445,'TABLA-DIA'!$B$2:$P$62,11,FALSE),"")</f>
        <v/>
      </c>
      <c r="J445" s="440" t="str">
        <f>IFERROR(VLOOKUP(N445,'TABLA-DIA'!$B$2:$P$62,12,FALSE),"")</f>
        <v/>
      </c>
      <c r="K445" s="118" t="str">
        <f>IFERROR(VLOOKUP(N445,'TABLA-DIA'!$B$2:$P$62,13,FALSE),"")</f>
        <v/>
      </c>
      <c r="L445" s="119" t="str">
        <f>IFERROR(IF(VLOOKUP(N445,'TABLA-DIA'!$B$2:$P$62,14,FALSE)="","",VLOOKUP(N445,'TABLA-DIA'!$B$2:$P$62,14,FALSE)),"")</f>
        <v/>
      </c>
      <c r="M445" s="120">
        <f t="shared" si="22"/>
        <v>9</v>
      </c>
      <c r="N445" s="125" t="str">
        <f t="shared" si="21"/>
        <v>0-9</v>
      </c>
    </row>
    <row r="446" spans="2:15" ht="67.150000000000006" hidden="1" customHeight="1" thickBot="1">
      <c r="B446" s="753"/>
      <c r="C446" s="137" t="str">
        <f>IFERROR(VLOOKUP(N446,'TABLA-DIA'!$B$2:$P$62,9,FALSE),"")</f>
        <v/>
      </c>
      <c r="D446" s="126" t="str">
        <f>IFERROR(VLOOKUP(N446,'TABLA-DIA'!$B$2:$P$62,4,FALSE),"")</f>
        <v/>
      </c>
      <c r="E446" s="334" t="str">
        <f>IFERROR(VLOOKUP(N446,'TABLA-DIA'!$B$2:$P$62,5,FALSE),"")</f>
        <v/>
      </c>
      <c r="F446" s="334" t="str">
        <f>IFERROR(VLOOKUP(N446,'TABLA-DIA'!$B$2:$P$62,6,FALSE),"")</f>
        <v/>
      </c>
      <c r="G446" s="476" t="str">
        <f>IFERROR(VLOOKUP(N446,'TABLA-DIA'!$B$2:$P$62,7,FALSE),"")</f>
        <v/>
      </c>
      <c r="H446" s="127" t="str">
        <f>IFERROR(VLOOKUP(N446,'TABLA-DIA'!$B$2:$P$62,10,FALSE),"")</f>
        <v/>
      </c>
      <c r="I446" s="445" t="str">
        <f>IFERROR(VLOOKUP(N446,'TABLA-DIA'!$B$2:$P$62,11,FALSE),"")</f>
        <v/>
      </c>
      <c r="J446" s="443" t="str">
        <f>IFERROR(VLOOKUP(N446,'TABLA-DIA'!$B$2:$P$62,12,FALSE),"")</f>
        <v/>
      </c>
      <c r="K446" s="128" t="str">
        <f>IFERROR(VLOOKUP(N446,'TABLA-DIA'!$B$2:$P$62,13,FALSE),"")</f>
        <v/>
      </c>
      <c r="L446" s="129" t="str">
        <f>IFERROR(IF(VLOOKUP(N446,'TABLA-DIA'!$B$2:$P$62,14,FALSE)="","",VLOOKUP(N446,'TABLA-DIA'!$B$2:$P$62,14,FALSE)),"")</f>
        <v/>
      </c>
      <c r="M446" s="136">
        <f t="shared" si="22"/>
        <v>10</v>
      </c>
      <c r="N446" s="130" t="str">
        <f t="shared" si="21"/>
        <v>0-10</v>
      </c>
    </row>
    <row r="447" spans="2:15" ht="110.25" customHeight="1" thickBot="1">
      <c r="B447" s="751">
        <f>+'TABLA-DIA'!B165</f>
        <v>0</v>
      </c>
      <c r="C447" s="96" t="str">
        <f>IFERROR(VLOOKUP(N447,'TABLA-DIA'!$B$2:$P$62,9,FALSE),"")</f>
        <v/>
      </c>
      <c r="D447" s="121" t="str">
        <f>IFERROR(VLOOKUP(N447,'TABLA-DIA'!$B$2:$P$62,4,FALSE),"")</f>
        <v/>
      </c>
      <c r="E447" s="331" t="str">
        <f>IFERROR(VLOOKUP(N447,'TABLA-DIA'!$B$2:$P$62,5,FALSE),"")</f>
        <v/>
      </c>
      <c r="F447" s="331" t="str">
        <f>IFERROR(VLOOKUP(N447,'TABLA-DIA'!$B$2:$P$62,6,FALSE),"")</f>
        <v/>
      </c>
      <c r="G447" s="476" t="str">
        <f>IFERROR(VLOOKUP(N447,'TABLA-DIA'!$B$2:$P$62,7,FALSE),"")</f>
        <v/>
      </c>
      <c r="H447" s="122" t="str">
        <f>IFERROR(VLOOKUP(N447,'TABLA-DIA'!$B$2:$P$62,10,FALSE),"")</f>
        <v/>
      </c>
      <c r="I447" s="446" t="str">
        <f>IFERROR(VLOOKUP(N447,'TABLA-DIA'!$B$2:$P$62,11,FALSE),"")</f>
        <v/>
      </c>
      <c r="J447" s="442" t="str">
        <f>IFERROR(VLOOKUP(N447,'TABLA-DIA'!$B$2:$P$62,12,FALSE),"")</f>
        <v/>
      </c>
      <c r="K447" s="123" t="str">
        <f>IFERROR(VLOOKUP(N447,'TABLA-DIA'!$B$2:$P$62,13,FALSE),"")</f>
        <v/>
      </c>
      <c r="L447" s="124" t="str">
        <f>IFERROR(IF(VLOOKUP(N447,'TABLA-DIA'!$B$2:$P$62,14,FALSE)="","",VLOOKUP(N447,'TABLA-DIA'!$B$2:$P$62,14,FALSE)),"")</f>
        <v/>
      </c>
      <c r="M447" s="100">
        <v>1</v>
      </c>
      <c r="N447" s="98" t="str">
        <f t="shared" ref="N447:N456" si="23">CONCATENATE($B$447,"-",M447)</f>
        <v>0-1</v>
      </c>
      <c r="O447" s="91">
        <f>COUNTIF(G447:G456,"&lt;&gt;**")</f>
        <v>0</v>
      </c>
    </row>
    <row r="448" spans="2:15" ht="67.150000000000006" hidden="1" customHeight="1">
      <c r="B448" s="752"/>
      <c r="C448" s="74" t="str">
        <f>IFERROR(VLOOKUP(N448,'TABLA-DIA'!$B$2:$P$62,9,FALSE),"")</f>
        <v/>
      </c>
      <c r="D448" s="116" t="str">
        <f>IFERROR(VLOOKUP(N448,'TABLA-DIA'!$B$2:$P$62,4,FALSE),"")</f>
        <v/>
      </c>
      <c r="E448" s="332" t="str">
        <f>IFERROR(VLOOKUP(N448,'TABLA-DIA'!$B$2:$P$62,5,FALSE),"")</f>
        <v/>
      </c>
      <c r="F448" s="332" t="str">
        <f>IFERROR(VLOOKUP(N448,'TABLA-DIA'!$B$2:$P$62,6,FALSE),"")</f>
        <v/>
      </c>
      <c r="G448" s="476" t="str">
        <f>IFERROR(VLOOKUP(N448,'TABLA-DIA'!$B$2:$P$62,7,FALSE),"")</f>
        <v/>
      </c>
      <c r="H448" s="117" t="str">
        <f>IFERROR(VLOOKUP(N448,'TABLA-DIA'!$B$2:$P$62,10,FALSE),"")</f>
        <v/>
      </c>
      <c r="I448" s="444" t="str">
        <f>IFERROR(VLOOKUP(N448,'TABLA-DIA'!$B$2:$P$62,11,FALSE),"")</f>
        <v/>
      </c>
      <c r="J448" s="440" t="str">
        <f>IFERROR(VLOOKUP(N448,'TABLA-DIA'!$B$2:$P$62,12,FALSE),"")</f>
        <v/>
      </c>
      <c r="K448" s="118" t="str">
        <f>IFERROR(VLOOKUP(N448,'TABLA-DIA'!$B$2:$P$62,13,FALSE),"")</f>
        <v/>
      </c>
      <c r="L448" s="119" t="str">
        <f>IFERROR(IF(VLOOKUP(N448,'TABLA-DIA'!$B$2:$P$62,14,FALSE)="","",VLOOKUP(N448,'TABLA-DIA'!$B$2:$P$62,14,FALSE)),"")</f>
        <v/>
      </c>
      <c r="M448" s="120">
        <v>2</v>
      </c>
      <c r="N448" s="125" t="str">
        <f t="shared" si="23"/>
        <v>0-2</v>
      </c>
    </row>
    <row r="449" spans="2:15" ht="67.150000000000006" hidden="1" customHeight="1">
      <c r="B449" s="752"/>
      <c r="C449" s="74" t="str">
        <f>IFERROR(VLOOKUP(N449,'TABLA-DIA'!$B$2:$P$62,9,FALSE),"")</f>
        <v/>
      </c>
      <c r="D449" s="116" t="str">
        <f>IFERROR(VLOOKUP(N449,'TABLA-DIA'!$B$2:$P$62,4,FALSE),"")</f>
        <v/>
      </c>
      <c r="E449" s="332" t="str">
        <f>IFERROR(VLOOKUP(N449,'TABLA-DIA'!$B$2:$P$62,5,FALSE),"")</f>
        <v/>
      </c>
      <c r="F449" s="332" t="str">
        <f>IFERROR(VLOOKUP(N449,'TABLA-DIA'!$B$2:$P$62,6,FALSE),"")</f>
        <v/>
      </c>
      <c r="G449" s="476" t="str">
        <f>IFERROR(VLOOKUP(N449,'TABLA-DIA'!$B$2:$P$62,7,FALSE),"")</f>
        <v/>
      </c>
      <c r="H449" s="117" t="str">
        <f>IFERROR(VLOOKUP(N449,'TABLA-DIA'!$B$2:$P$62,10,FALSE),"")</f>
        <v/>
      </c>
      <c r="I449" s="444" t="str">
        <f>IFERROR(VLOOKUP(N449,'TABLA-DIA'!$B$2:$P$62,11,FALSE),"")</f>
        <v/>
      </c>
      <c r="J449" s="440" t="str">
        <f>IFERROR(VLOOKUP(N449,'TABLA-DIA'!$B$2:$P$62,12,FALSE),"")</f>
        <v/>
      </c>
      <c r="K449" s="118" t="str">
        <f>IFERROR(VLOOKUP(N449,'TABLA-DIA'!$B$2:$P$62,13,FALSE),"")</f>
        <v/>
      </c>
      <c r="L449" s="119" t="str">
        <f>IFERROR(IF(VLOOKUP(N449,'TABLA-DIA'!$B$2:$P$62,14,FALSE)="","",VLOOKUP(N449,'TABLA-DIA'!$B$2:$P$62,14,FALSE)),"")</f>
        <v/>
      </c>
      <c r="M449" s="120">
        <v>3</v>
      </c>
      <c r="N449" s="125" t="str">
        <f t="shared" si="23"/>
        <v>0-3</v>
      </c>
    </row>
    <row r="450" spans="2:15" ht="67.150000000000006" hidden="1" customHeight="1">
      <c r="B450" s="752"/>
      <c r="C450" s="74" t="str">
        <f>IFERROR(VLOOKUP(N450,'TABLA-DIA'!$B$2:$P$62,9,FALSE),"")</f>
        <v/>
      </c>
      <c r="D450" s="116" t="str">
        <f>IFERROR(VLOOKUP(N450,'TABLA-DIA'!$B$2:$P$62,4,FALSE),"")</f>
        <v/>
      </c>
      <c r="E450" s="332" t="str">
        <f>IFERROR(VLOOKUP(N450,'TABLA-DIA'!$B$2:$P$62,5,FALSE),"")</f>
        <v/>
      </c>
      <c r="F450" s="332" t="str">
        <f>IFERROR(VLOOKUP(N450,'TABLA-DIA'!$B$2:$P$62,6,FALSE),"")</f>
        <v/>
      </c>
      <c r="G450" s="476" t="str">
        <f>IFERROR(VLOOKUP(N450,'TABLA-DIA'!$B$2:$P$62,7,FALSE),"")</f>
        <v/>
      </c>
      <c r="H450" s="117" t="str">
        <f>IFERROR(VLOOKUP(N450,'TABLA-DIA'!$B$2:$P$62,10,FALSE),"")</f>
        <v/>
      </c>
      <c r="I450" s="444" t="str">
        <f>IFERROR(VLOOKUP(N450,'TABLA-DIA'!$B$2:$P$62,11,FALSE),"")</f>
        <v/>
      </c>
      <c r="J450" s="440" t="str">
        <f>IFERROR(VLOOKUP(N450,'TABLA-DIA'!$B$2:$P$62,12,FALSE),"")</f>
        <v/>
      </c>
      <c r="K450" s="118" t="str">
        <f>IFERROR(VLOOKUP(N450,'TABLA-DIA'!$B$2:$P$62,13,FALSE),"")</f>
        <v/>
      </c>
      <c r="L450" s="119" t="str">
        <f>IFERROR(IF(VLOOKUP(N450,'TABLA-DIA'!$B$2:$P$62,14,FALSE)="","",VLOOKUP(N450,'TABLA-DIA'!$B$2:$P$62,14,FALSE)),"")</f>
        <v/>
      </c>
      <c r="M450" s="120">
        <v>4</v>
      </c>
      <c r="N450" s="125" t="str">
        <f t="shared" si="23"/>
        <v>0-4</v>
      </c>
    </row>
    <row r="451" spans="2:15" ht="67.150000000000006" hidden="1" customHeight="1">
      <c r="B451" s="752"/>
      <c r="C451" s="74" t="str">
        <f>IFERROR(VLOOKUP(N451,'TABLA-DIA'!$B$2:$P$62,9,FALSE),"")</f>
        <v/>
      </c>
      <c r="D451" s="116" t="str">
        <f>IFERROR(VLOOKUP(N451,'TABLA-DIA'!$B$2:$P$62,4,FALSE),"")</f>
        <v/>
      </c>
      <c r="E451" s="332" t="str">
        <f>IFERROR(VLOOKUP(N451,'TABLA-DIA'!$B$2:$P$62,5,FALSE),"")</f>
        <v/>
      </c>
      <c r="F451" s="332" t="str">
        <f>IFERROR(VLOOKUP(N451,'TABLA-DIA'!$B$2:$P$62,6,FALSE),"")</f>
        <v/>
      </c>
      <c r="G451" s="476" t="str">
        <f>IFERROR(VLOOKUP(N451,'TABLA-DIA'!$B$2:$P$62,7,FALSE),"")</f>
        <v/>
      </c>
      <c r="H451" s="117" t="str">
        <f>IFERROR(VLOOKUP(N451,'TABLA-DIA'!$B$2:$P$62,10,FALSE),"")</f>
        <v/>
      </c>
      <c r="I451" s="444" t="str">
        <f>IFERROR(VLOOKUP(N451,'TABLA-DIA'!$B$2:$P$62,11,FALSE),"")</f>
        <v/>
      </c>
      <c r="J451" s="440" t="str">
        <f>IFERROR(VLOOKUP(N451,'TABLA-DIA'!$B$2:$P$62,12,FALSE),"")</f>
        <v/>
      </c>
      <c r="K451" s="118" t="str">
        <f>IFERROR(VLOOKUP(N451,'TABLA-DIA'!$B$2:$P$62,13,FALSE),"")</f>
        <v/>
      </c>
      <c r="L451" s="119" t="str">
        <f>IFERROR(IF(VLOOKUP(N451,'TABLA-DIA'!$B$2:$P$62,14,FALSE)="","",VLOOKUP(N451,'TABLA-DIA'!$B$2:$P$62,14,FALSE)),"")</f>
        <v/>
      </c>
      <c r="M451" s="120">
        <v>5</v>
      </c>
      <c r="N451" s="125" t="str">
        <f t="shared" si="23"/>
        <v>0-5</v>
      </c>
    </row>
    <row r="452" spans="2:15" ht="67.150000000000006" hidden="1" customHeight="1">
      <c r="B452" s="752"/>
      <c r="C452" s="74" t="str">
        <f>IFERROR(VLOOKUP(N452,'TABLA-DIA'!$B$2:$P$62,9,FALSE),"")</f>
        <v/>
      </c>
      <c r="D452" s="116" t="str">
        <f>IFERROR(VLOOKUP(N452,'TABLA-DIA'!$B$2:$P$62,4,FALSE),"")</f>
        <v/>
      </c>
      <c r="E452" s="332" t="str">
        <f>IFERROR(VLOOKUP(N452,'TABLA-DIA'!$B$2:$P$62,5,FALSE),"")</f>
        <v/>
      </c>
      <c r="F452" s="332" t="str">
        <f>IFERROR(VLOOKUP(N452,'TABLA-DIA'!$B$2:$P$62,6,FALSE),"")</f>
        <v/>
      </c>
      <c r="G452" s="476" t="str">
        <f>IFERROR(VLOOKUP(N452,'TABLA-DIA'!$B$2:$P$62,7,FALSE),"")</f>
        <v/>
      </c>
      <c r="H452" s="117" t="str">
        <f>IFERROR(VLOOKUP(N452,'TABLA-DIA'!$B$2:$P$62,10,FALSE),"")</f>
        <v/>
      </c>
      <c r="I452" s="444" t="str">
        <f>IFERROR(VLOOKUP(N452,'TABLA-DIA'!$B$2:$P$62,11,FALSE),"")</f>
        <v/>
      </c>
      <c r="J452" s="440" t="str">
        <f>IFERROR(VLOOKUP(N452,'TABLA-DIA'!$B$2:$P$62,12,FALSE),"")</f>
        <v/>
      </c>
      <c r="K452" s="118" t="str">
        <f>IFERROR(VLOOKUP(N452,'TABLA-DIA'!$B$2:$P$62,13,FALSE),"")</f>
        <v/>
      </c>
      <c r="L452" s="119" t="str">
        <f>IFERROR(IF(VLOOKUP(N452,'TABLA-DIA'!$B$2:$P$62,14,FALSE)="","",VLOOKUP(N452,'TABLA-DIA'!$B$2:$P$62,14,FALSE)),"")</f>
        <v/>
      </c>
      <c r="M452" s="120">
        <v>6</v>
      </c>
      <c r="N452" s="125" t="str">
        <f t="shared" si="23"/>
        <v>0-6</v>
      </c>
    </row>
    <row r="453" spans="2:15" ht="67.150000000000006" hidden="1" customHeight="1">
      <c r="B453" s="752"/>
      <c r="C453" s="74" t="str">
        <f>IFERROR(VLOOKUP(N453,'TABLA-DIA'!$B$2:$P$62,9,FALSE),"")</f>
        <v/>
      </c>
      <c r="D453" s="116" t="str">
        <f>IFERROR(VLOOKUP(N453,'TABLA-DIA'!$B$2:$P$62,4,FALSE),"")</f>
        <v/>
      </c>
      <c r="E453" s="332" t="str">
        <f>IFERROR(VLOOKUP(N453,'TABLA-DIA'!$B$2:$P$62,5,FALSE),"")</f>
        <v/>
      </c>
      <c r="F453" s="332" t="str">
        <f>IFERROR(VLOOKUP(N453,'TABLA-DIA'!$B$2:$P$62,6,FALSE),"")</f>
        <v/>
      </c>
      <c r="G453" s="476" t="str">
        <f>IFERROR(VLOOKUP(N453,'TABLA-DIA'!$B$2:$P$62,7,FALSE),"")</f>
        <v/>
      </c>
      <c r="H453" s="117" t="str">
        <f>IFERROR(VLOOKUP(N453,'TABLA-DIA'!$B$2:$P$62,10,FALSE),"")</f>
        <v/>
      </c>
      <c r="I453" s="444" t="str">
        <f>IFERROR(VLOOKUP(N453,'TABLA-DIA'!$B$2:$P$62,11,FALSE),"")</f>
        <v/>
      </c>
      <c r="J453" s="440" t="str">
        <f>IFERROR(VLOOKUP(N453,'TABLA-DIA'!$B$2:$P$62,12,FALSE),"")</f>
        <v/>
      </c>
      <c r="K453" s="118" t="str">
        <f>IFERROR(VLOOKUP(N453,'TABLA-DIA'!$B$2:$P$62,13,FALSE),"")</f>
        <v/>
      </c>
      <c r="L453" s="119" t="str">
        <f>IFERROR(IF(VLOOKUP(N453,'TABLA-DIA'!$B$2:$P$62,14,FALSE)="","",VLOOKUP(N453,'TABLA-DIA'!$B$2:$P$62,14,FALSE)),"")</f>
        <v/>
      </c>
      <c r="M453" s="120">
        <v>7</v>
      </c>
      <c r="N453" s="125" t="str">
        <f t="shared" si="23"/>
        <v>0-7</v>
      </c>
    </row>
    <row r="454" spans="2:15" ht="67.150000000000006" hidden="1" customHeight="1">
      <c r="B454" s="752"/>
      <c r="C454" s="74" t="str">
        <f>IFERROR(VLOOKUP(N454,'TABLA-DIA'!$B$2:$P$62,9,FALSE),"")</f>
        <v/>
      </c>
      <c r="D454" s="116" t="str">
        <f>IFERROR(VLOOKUP(N454,'TABLA-DIA'!$B$2:$P$62,4,FALSE),"")</f>
        <v/>
      </c>
      <c r="E454" s="332" t="str">
        <f>IFERROR(VLOOKUP(N454,'TABLA-DIA'!$B$2:$P$62,5,FALSE),"")</f>
        <v/>
      </c>
      <c r="F454" s="332" t="str">
        <f>IFERROR(VLOOKUP(N454,'TABLA-DIA'!$B$2:$P$62,6,FALSE),"")</f>
        <v/>
      </c>
      <c r="G454" s="476" t="str">
        <f>IFERROR(VLOOKUP(N454,'TABLA-DIA'!$B$2:$P$62,7,FALSE),"")</f>
        <v/>
      </c>
      <c r="H454" s="117" t="str">
        <f>IFERROR(VLOOKUP(N454,'TABLA-DIA'!$B$2:$P$62,10,FALSE),"")</f>
        <v/>
      </c>
      <c r="I454" s="444" t="str">
        <f>IFERROR(VLOOKUP(N454,'TABLA-DIA'!$B$2:$P$62,11,FALSE),"")</f>
        <v/>
      </c>
      <c r="J454" s="440" t="str">
        <f>IFERROR(VLOOKUP(N454,'TABLA-DIA'!$B$2:$P$62,12,FALSE),"")</f>
        <v/>
      </c>
      <c r="K454" s="118" t="str">
        <f>IFERROR(VLOOKUP(N454,'TABLA-DIA'!$B$2:$P$62,13,FALSE),"")</f>
        <v/>
      </c>
      <c r="L454" s="119" t="str">
        <f>IFERROR(IF(VLOOKUP(N454,'TABLA-DIA'!$B$2:$P$62,14,FALSE)="","",VLOOKUP(N454,'TABLA-DIA'!$B$2:$P$62,14,FALSE)),"")</f>
        <v/>
      </c>
      <c r="M454" s="120">
        <v>8</v>
      </c>
      <c r="N454" s="125" t="str">
        <f t="shared" si="23"/>
        <v>0-8</v>
      </c>
    </row>
    <row r="455" spans="2:15" ht="67.150000000000006" hidden="1" customHeight="1">
      <c r="B455" s="752"/>
      <c r="C455" s="74" t="str">
        <f>IFERROR(VLOOKUP(N455,'TABLA-DIA'!$B$2:$P$62,9,FALSE),"")</f>
        <v/>
      </c>
      <c r="D455" s="116" t="str">
        <f>IFERROR(VLOOKUP(N455,'TABLA-DIA'!$B$2:$P$62,4,FALSE),"")</f>
        <v/>
      </c>
      <c r="E455" s="332" t="str">
        <f>IFERROR(VLOOKUP(N455,'TABLA-DIA'!$B$2:$P$62,5,FALSE),"")</f>
        <v/>
      </c>
      <c r="F455" s="332" t="str">
        <f>IFERROR(VLOOKUP(N455,'TABLA-DIA'!$B$2:$P$62,6,FALSE),"")</f>
        <v/>
      </c>
      <c r="G455" s="476" t="str">
        <f>IFERROR(VLOOKUP(N455,'TABLA-DIA'!$B$2:$P$62,7,FALSE),"")</f>
        <v/>
      </c>
      <c r="H455" s="117" t="str">
        <f>IFERROR(VLOOKUP(N455,'TABLA-DIA'!$B$2:$P$62,10,FALSE),"")</f>
        <v/>
      </c>
      <c r="I455" s="444" t="str">
        <f>IFERROR(VLOOKUP(N455,'TABLA-DIA'!$B$2:$P$62,11,FALSE),"")</f>
        <v/>
      </c>
      <c r="J455" s="440" t="str">
        <f>IFERROR(VLOOKUP(N455,'TABLA-DIA'!$B$2:$P$62,12,FALSE),"")</f>
        <v/>
      </c>
      <c r="K455" s="118" t="str">
        <f>IFERROR(VLOOKUP(N455,'TABLA-DIA'!$B$2:$P$62,13,FALSE),"")</f>
        <v/>
      </c>
      <c r="L455" s="119" t="str">
        <f>IFERROR(IF(VLOOKUP(N455,'TABLA-DIA'!$B$2:$P$62,14,FALSE)="","",VLOOKUP(N455,'TABLA-DIA'!$B$2:$P$62,14,FALSE)),"")</f>
        <v/>
      </c>
      <c r="M455" s="120">
        <v>9</v>
      </c>
      <c r="N455" s="125" t="str">
        <f t="shared" si="23"/>
        <v>0-9</v>
      </c>
    </row>
    <row r="456" spans="2:15" ht="67.150000000000006" hidden="1" customHeight="1" thickBot="1">
      <c r="B456" s="753"/>
      <c r="C456" s="137" t="str">
        <f>IFERROR(VLOOKUP(N456,'TABLA-DIA'!$B$2:$P$62,9,FALSE),"")</f>
        <v/>
      </c>
      <c r="D456" s="126" t="str">
        <f>IFERROR(VLOOKUP(N456,'TABLA-DIA'!$B$2:$P$62,4,FALSE),"")</f>
        <v/>
      </c>
      <c r="E456" s="334" t="str">
        <f>IFERROR(VLOOKUP(N456,'TABLA-DIA'!$B$2:$P$62,5,FALSE),"")</f>
        <v/>
      </c>
      <c r="F456" s="334" t="str">
        <f>IFERROR(VLOOKUP(N456,'TABLA-DIA'!$B$2:$P$62,6,FALSE),"")</f>
        <v/>
      </c>
      <c r="G456" s="476" t="str">
        <f>IFERROR(VLOOKUP(N456,'TABLA-DIA'!$B$2:$P$62,7,FALSE),"")</f>
        <v/>
      </c>
      <c r="H456" s="127" t="str">
        <f>IFERROR(VLOOKUP(N456,'TABLA-DIA'!$B$2:$P$62,10,FALSE),"")</f>
        <v/>
      </c>
      <c r="I456" s="445" t="str">
        <f>IFERROR(VLOOKUP(N456,'TABLA-DIA'!$B$2:$P$62,11,FALSE),"")</f>
        <v/>
      </c>
      <c r="J456" s="443" t="str">
        <f>IFERROR(VLOOKUP(N456,'TABLA-DIA'!$B$2:$P$62,12,FALSE),"")</f>
        <v/>
      </c>
      <c r="K456" s="128" t="str">
        <f>IFERROR(VLOOKUP(N456,'TABLA-DIA'!$B$2:$P$62,13,FALSE),"")</f>
        <v/>
      </c>
      <c r="L456" s="129" t="str">
        <f>IFERROR(IF(VLOOKUP(N456,'TABLA-DIA'!$B$2:$P$62,14,FALSE)="","",VLOOKUP(N456,'TABLA-DIA'!$B$2:$P$62,14,FALSE)),"")</f>
        <v/>
      </c>
      <c r="M456" s="136">
        <v>10</v>
      </c>
      <c r="N456" s="130" t="str">
        <f t="shared" si="23"/>
        <v>0-10</v>
      </c>
    </row>
    <row r="457" spans="2:15" ht="90" customHeight="1" thickBot="1">
      <c r="B457" s="751">
        <f>+'TABLA-DIA'!B166</f>
        <v>0</v>
      </c>
      <c r="C457" s="96" t="str">
        <f>IFERROR(VLOOKUP(N457,'TABLA-DIA'!$B$2:$P$62,9,FALSE),"")</f>
        <v/>
      </c>
      <c r="D457" s="121" t="str">
        <f>IFERROR(VLOOKUP(N457,'TABLA-DIA'!$B$2:$P$62,4,FALSE),"")</f>
        <v/>
      </c>
      <c r="E457" s="331" t="str">
        <f>IFERROR(VLOOKUP(N457,'TABLA-DIA'!$B$2:$P$62,5,FALSE),"")</f>
        <v/>
      </c>
      <c r="F457" s="331" t="str">
        <f>IFERROR(VLOOKUP(N457,'TABLA-DIA'!$B$2:$P$62,6,FALSE),"")</f>
        <v/>
      </c>
      <c r="G457" s="476" t="str">
        <f>IFERROR(VLOOKUP(N457,'TABLA-DIA'!$B$2:$P$62,7,FALSE),"")</f>
        <v/>
      </c>
      <c r="H457" s="122" t="str">
        <f>IFERROR(VLOOKUP(N457,'TABLA-DIA'!$B$2:$P$62,10,FALSE),"")</f>
        <v/>
      </c>
      <c r="I457" s="446" t="str">
        <f>IFERROR(VLOOKUP(N457,'TABLA-DIA'!$B$2:$P$62,11,FALSE),"")</f>
        <v/>
      </c>
      <c r="J457" s="442" t="str">
        <f>IFERROR(VLOOKUP(N457,'TABLA-DIA'!$B$2:$P$62,12,FALSE),"")</f>
        <v/>
      </c>
      <c r="K457" s="123" t="str">
        <f>IFERROR(VLOOKUP(N457,'TABLA-DIA'!$B$2:$P$62,13,FALSE),"")</f>
        <v/>
      </c>
      <c r="L457" s="124" t="str">
        <f>IFERROR(IF(VLOOKUP(N457,'TABLA-DIA'!$B$2:$P$62,14,FALSE)="","",VLOOKUP(N457,'TABLA-DIA'!$B$2:$P$62,14,FALSE)),"")</f>
        <v/>
      </c>
      <c r="M457" s="100">
        <v>1</v>
      </c>
      <c r="N457" s="98" t="str">
        <f t="shared" ref="N457:N466" si="24">CONCATENATE($B$457,"-",M457)</f>
        <v>0-1</v>
      </c>
      <c r="O457" s="91">
        <f>COUNTIF(G457:G466,"&lt;&gt;**")</f>
        <v>0</v>
      </c>
    </row>
    <row r="458" spans="2:15" ht="67.150000000000006" hidden="1" customHeight="1">
      <c r="B458" s="752"/>
      <c r="C458" s="74" t="str">
        <f>IFERROR(VLOOKUP(N458,'TABLA-DIA'!$B$2:$P$62,9,FALSE),"")</f>
        <v/>
      </c>
      <c r="D458" s="116" t="str">
        <f>IFERROR(VLOOKUP(N458,'TABLA-DIA'!$B$2:$P$62,4,FALSE),"")</f>
        <v/>
      </c>
      <c r="E458" s="332" t="str">
        <f>IFERROR(VLOOKUP(N458,'TABLA-DIA'!$B$2:$P$62,5,FALSE),"")</f>
        <v/>
      </c>
      <c r="F458" s="332" t="str">
        <f>IFERROR(VLOOKUP(N458,'TABLA-DIA'!$B$2:$P$62,6,FALSE),"")</f>
        <v/>
      </c>
      <c r="G458" s="476" t="str">
        <f>IFERROR(VLOOKUP(N458,'TABLA-DIA'!$B$2:$P$62,7,FALSE),"")</f>
        <v/>
      </c>
      <c r="H458" s="117" t="str">
        <f>IFERROR(VLOOKUP(N458,'TABLA-DIA'!$B$2:$P$62,10,FALSE),"")</f>
        <v/>
      </c>
      <c r="I458" s="444" t="str">
        <f>IFERROR(VLOOKUP(N458,'TABLA-DIA'!$B$2:$P$62,11,FALSE),"")</f>
        <v/>
      </c>
      <c r="J458" s="440" t="str">
        <f>IFERROR(VLOOKUP(N458,'TABLA-DIA'!$B$2:$P$62,12,FALSE),"")</f>
        <v/>
      </c>
      <c r="K458" s="118" t="str">
        <f>IFERROR(VLOOKUP(N458,'TABLA-DIA'!$B$2:$P$62,13,FALSE),"")</f>
        <v/>
      </c>
      <c r="L458" s="119" t="str">
        <f>IFERROR(IF(VLOOKUP(N458,'TABLA-DIA'!$B$2:$P$62,14,FALSE)="","",VLOOKUP(N458,'TABLA-DIA'!$B$2:$P$62,14,FALSE)),"")</f>
        <v/>
      </c>
      <c r="M458" s="120">
        <v>2</v>
      </c>
      <c r="N458" s="125" t="str">
        <f t="shared" si="24"/>
        <v>0-2</v>
      </c>
    </row>
    <row r="459" spans="2:15" ht="67.150000000000006" hidden="1" customHeight="1">
      <c r="B459" s="752"/>
      <c r="C459" s="74" t="str">
        <f>IFERROR(VLOOKUP(N459,'TABLA-DIA'!$B$2:$P$62,9,FALSE),"")</f>
        <v/>
      </c>
      <c r="D459" s="116" t="str">
        <f>IFERROR(VLOOKUP(N459,'TABLA-DIA'!$B$2:$P$62,4,FALSE),"")</f>
        <v/>
      </c>
      <c r="E459" s="332" t="str">
        <f>IFERROR(VLOOKUP(N459,'TABLA-DIA'!$B$2:$P$62,5,FALSE),"")</f>
        <v/>
      </c>
      <c r="F459" s="332" t="str">
        <f>IFERROR(VLOOKUP(N459,'TABLA-DIA'!$B$2:$P$62,6,FALSE),"")</f>
        <v/>
      </c>
      <c r="G459" s="476" t="str">
        <f>IFERROR(VLOOKUP(N459,'TABLA-DIA'!$B$2:$P$62,7,FALSE),"")</f>
        <v/>
      </c>
      <c r="H459" s="117" t="str">
        <f>IFERROR(VLOOKUP(N459,'TABLA-DIA'!$B$2:$P$62,10,FALSE),"")</f>
        <v/>
      </c>
      <c r="I459" s="444" t="str">
        <f>IFERROR(VLOOKUP(N459,'TABLA-DIA'!$B$2:$P$62,11,FALSE),"")</f>
        <v/>
      </c>
      <c r="J459" s="440" t="str">
        <f>IFERROR(VLOOKUP(N459,'TABLA-DIA'!$B$2:$P$62,12,FALSE),"")</f>
        <v/>
      </c>
      <c r="K459" s="118" t="str">
        <f>IFERROR(VLOOKUP(N459,'TABLA-DIA'!$B$2:$P$62,13,FALSE),"")</f>
        <v/>
      </c>
      <c r="L459" s="119" t="str">
        <f>IFERROR(IF(VLOOKUP(N459,'TABLA-DIA'!$B$2:$P$62,14,FALSE)="","",VLOOKUP(N459,'TABLA-DIA'!$B$2:$P$62,14,FALSE)),"")</f>
        <v/>
      </c>
      <c r="M459" s="120">
        <v>3</v>
      </c>
      <c r="N459" s="125" t="str">
        <f t="shared" si="24"/>
        <v>0-3</v>
      </c>
    </row>
    <row r="460" spans="2:15" ht="67.150000000000006" hidden="1" customHeight="1">
      <c r="B460" s="752"/>
      <c r="C460" s="74" t="str">
        <f>IFERROR(VLOOKUP(N460,'TABLA-DIA'!$B$2:$P$62,9,FALSE),"")</f>
        <v/>
      </c>
      <c r="D460" s="116" t="str">
        <f>IFERROR(VLOOKUP(N460,'TABLA-DIA'!$B$2:$P$62,4,FALSE),"")</f>
        <v/>
      </c>
      <c r="E460" s="332" t="str">
        <f>IFERROR(VLOOKUP(N460,'TABLA-DIA'!$B$2:$P$62,5,FALSE),"")</f>
        <v/>
      </c>
      <c r="F460" s="332" t="str">
        <f>IFERROR(VLOOKUP(N460,'TABLA-DIA'!$B$2:$P$62,6,FALSE),"")</f>
        <v/>
      </c>
      <c r="G460" s="476" t="str">
        <f>IFERROR(VLOOKUP(N460,'TABLA-DIA'!$B$2:$P$62,7,FALSE),"")</f>
        <v/>
      </c>
      <c r="H460" s="117" t="str">
        <f>IFERROR(VLOOKUP(N460,'TABLA-DIA'!$B$2:$P$62,10,FALSE),"")</f>
        <v/>
      </c>
      <c r="I460" s="444" t="str">
        <f>IFERROR(VLOOKUP(N460,'TABLA-DIA'!$B$2:$P$62,11,FALSE),"")</f>
        <v/>
      </c>
      <c r="J460" s="440" t="str">
        <f>IFERROR(VLOOKUP(N460,'TABLA-DIA'!$B$2:$P$62,12,FALSE),"")</f>
        <v/>
      </c>
      <c r="K460" s="118" t="str">
        <f>IFERROR(VLOOKUP(N460,'TABLA-DIA'!$B$2:$P$62,13,FALSE),"")</f>
        <v/>
      </c>
      <c r="L460" s="119" t="str">
        <f>IFERROR(IF(VLOOKUP(N460,'TABLA-DIA'!$B$2:$P$62,14,FALSE)="","",VLOOKUP(N460,'TABLA-DIA'!$B$2:$P$62,14,FALSE)),"")</f>
        <v/>
      </c>
      <c r="M460" s="120">
        <v>4</v>
      </c>
      <c r="N460" s="125" t="str">
        <f t="shared" si="24"/>
        <v>0-4</v>
      </c>
    </row>
    <row r="461" spans="2:15" ht="67.150000000000006" hidden="1" customHeight="1">
      <c r="B461" s="752"/>
      <c r="C461" s="74" t="str">
        <f>IFERROR(VLOOKUP(N461,'TABLA-DIA'!$B$2:$P$62,9,FALSE),"")</f>
        <v/>
      </c>
      <c r="D461" s="116" t="str">
        <f>IFERROR(VLOOKUP(N461,'TABLA-DIA'!$B$2:$P$62,4,FALSE),"")</f>
        <v/>
      </c>
      <c r="E461" s="332" t="str">
        <f>IFERROR(VLOOKUP(N461,'TABLA-DIA'!$B$2:$P$62,5,FALSE),"")</f>
        <v/>
      </c>
      <c r="F461" s="332" t="str">
        <f>IFERROR(VLOOKUP(N461,'TABLA-DIA'!$B$2:$P$62,6,FALSE),"")</f>
        <v/>
      </c>
      <c r="G461" s="476" t="str">
        <f>IFERROR(VLOOKUP(N461,'TABLA-DIA'!$B$2:$P$62,7,FALSE),"")</f>
        <v/>
      </c>
      <c r="H461" s="117" t="str">
        <f>IFERROR(VLOOKUP(N461,'TABLA-DIA'!$B$2:$P$62,10,FALSE),"")</f>
        <v/>
      </c>
      <c r="I461" s="444" t="str">
        <f>IFERROR(VLOOKUP(N461,'TABLA-DIA'!$B$2:$P$62,11,FALSE),"")</f>
        <v/>
      </c>
      <c r="J461" s="440" t="str">
        <f>IFERROR(VLOOKUP(N461,'TABLA-DIA'!$B$2:$P$62,12,FALSE),"")</f>
        <v/>
      </c>
      <c r="K461" s="118" t="str">
        <f>IFERROR(VLOOKUP(N461,'TABLA-DIA'!$B$2:$P$62,13,FALSE),"")</f>
        <v/>
      </c>
      <c r="L461" s="119" t="str">
        <f>IFERROR(IF(VLOOKUP(N461,'TABLA-DIA'!$B$2:$P$62,14,FALSE)="","",VLOOKUP(N461,'TABLA-DIA'!$B$2:$P$62,14,FALSE)),"")</f>
        <v/>
      </c>
      <c r="M461" s="120">
        <v>5</v>
      </c>
      <c r="N461" s="125" t="str">
        <f t="shared" si="24"/>
        <v>0-5</v>
      </c>
    </row>
    <row r="462" spans="2:15" ht="67.150000000000006" hidden="1" customHeight="1">
      <c r="B462" s="752"/>
      <c r="C462" s="74" t="str">
        <f>IFERROR(VLOOKUP(N462,'TABLA-DIA'!$B$2:$P$62,9,FALSE),"")</f>
        <v/>
      </c>
      <c r="D462" s="116" t="str">
        <f>IFERROR(VLOOKUP(N462,'TABLA-DIA'!$B$2:$P$62,4,FALSE),"")</f>
        <v/>
      </c>
      <c r="E462" s="332" t="str">
        <f>IFERROR(VLOOKUP(N462,'TABLA-DIA'!$B$2:$P$62,5,FALSE),"")</f>
        <v/>
      </c>
      <c r="F462" s="332" t="str">
        <f>IFERROR(VLOOKUP(N462,'TABLA-DIA'!$B$2:$P$62,6,FALSE),"")</f>
        <v/>
      </c>
      <c r="G462" s="476" t="str">
        <f>IFERROR(VLOOKUP(N462,'TABLA-DIA'!$B$2:$P$62,7,FALSE),"")</f>
        <v/>
      </c>
      <c r="H462" s="117" t="str">
        <f>IFERROR(VLOOKUP(N462,'TABLA-DIA'!$B$2:$P$62,10,FALSE),"")</f>
        <v/>
      </c>
      <c r="I462" s="444" t="str">
        <f>IFERROR(VLOOKUP(N462,'TABLA-DIA'!$B$2:$P$62,11,FALSE),"")</f>
        <v/>
      </c>
      <c r="J462" s="440" t="str">
        <f>IFERROR(VLOOKUP(N462,'TABLA-DIA'!$B$2:$P$62,12,FALSE),"")</f>
        <v/>
      </c>
      <c r="K462" s="118" t="str">
        <f>IFERROR(VLOOKUP(N462,'TABLA-DIA'!$B$2:$P$62,13,FALSE),"")</f>
        <v/>
      </c>
      <c r="L462" s="119" t="str">
        <f>IFERROR(IF(VLOOKUP(N462,'TABLA-DIA'!$B$2:$P$62,14,FALSE)="","",VLOOKUP(N462,'TABLA-DIA'!$B$2:$P$62,14,FALSE)),"")</f>
        <v/>
      </c>
      <c r="M462" s="120">
        <v>6</v>
      </c>
      <c r="N462" s="125" t="str">
        <f t="shared" si="24"/>
        <v>0-6</v>
      </c>
    </row>
    <row r="463" spans="2:15" ht="67.150000000000006" hidden="1" customHeight="1">
      <c r="B463" s="752"/>
      <c r="C463" s="74" t="str">
        <f>IFERROR(VLOOKUP(N463,'TABLA-DIA'!$B$2:$P$62,9,FALSE),"")</f>
        <v/>
      </c>
      <c r="D463" s="116" t="str">
        <f>IFERROR(VLOOKUP(N463,'TABLA-DIA'!$B$2:$P$62,4,FALSE),"")</f>
        <v/>
      </c>
      <c r="E463" s="332" t="str">
        <f>IFERROR(VLOOKUP(N463,'TABLA-DIA'!$B$2:$P$62,5,FALSE),"")</f>
        <v/>
      </c>
      <c r="F463" s="332" t="str">
        <f>IFERROR(VLOOKUP(N463,'TABLA-DIA'!$B$2:$P$62,6,FALSE),"")</f>
        <v/>
      </c>
      <c r="G463" s="476" t="str">
        <f>IFERROR(VLOOKUP(N463,'TABLA-DIA'!$B$2:$P$62,7,FALSE),"")</f>
        <v/>
      </c>
      <c r="H463" s="117" t="str">
        <f>IFERROR(VLOOKUP(N463,'TABLA-DIA'!$B$2:$P$62,10,FALSE),"")</f>
        <v/>
      </c>
      <c r="I463" s="444" t="str">
        <f>IFERROR(VLOOKUP(N463,'TABLA-DIA'!$B$2:$P$62,11,FALSE),"")</f>
        <v/>
      </c>
      <c r="J463" s="440" t="str">
        <f>IFERROR(VLOOKUP(N463,'TABLA-DIA'!$B$2:$P$62,12,FALSE),"")</f>
        <v/>
      </c>
      <c r="K463" s="118" t="str">
        <f>IFERROR(VLOOKUP(N463,'TABLA-DIA'!$B$2:$P$62,13,FALSE),"")</f>
        <v/>
      </c>
      <c r="L463" s="119" t="str">
        <f>IFERROR(IF(VLOOKUP(N463,'TABLA-DIA'!$B$2:$P$62,14,FALSE)="","",VLOOKUP(N463,'TABLA-DIA'!$B$2:$P$62,14,FALSE)),"")</f>
        <v/>
      </c>
      <c r="M463" s="120">
        <v>7</v>
      </c>
      <c r="N463" s="125" t="str">
        <f t="shared" si="24"/>
        <v>0-7</v>
      </c>
    </row>
    <row r="464" spans="2:15" ht="67.150000000000006" hidden="1" customHeight="1">
      <c r="B464" s="752"/>
      <c r="C464" s="74" t="str">
        <f>IFERROR(VLOOKUP(N464,'TABLA-DIA'!$B$2:$P$62,9,FALSE),"")</f>
        <v/>
      </c>
      <c r="D464" s="116" t="str">
        <f>IFERROR(VLOOKUP(N464,'TABLA-DIA'!$B$2:$P$62,4,FALSE),"")</f>
        <v/>
      </c>
      <c r="E464" s="332" t="str">
        <f>IFERROR(VLOOKUP(N464,'TABLA-DIA'!$B$2:$P$62,5,FALSE),"")</f>
        <v/>
      </c>
      <c r="F464" s="332" t="str">
        <f>IFERROR(VLOOKUP(N464,'TABLA-DIA'!$B$2:$P$62,6,FALSE),"")</f>
        <v/>
      </c>
      <c r="G464" s="476" t="str">
        <f>IFERROR(VLOOKUP(N464,'TABLA-DIA'!$B$2:$P$62,7,FALSE),"")</f>
        <v/>
      </c>
      <c r="H464" s="117" t="str">
        <f>IFERROR(VLOOKUP(N464,'TABLA-DIA'!$B$2:$P$62,10,FALSE),"")</f>
        <v/>
      </c>
      <c r="I464" s="444" t="str">
        <f>IFERROR(VLOOKUP(N464,'TABLA-DIA'!$B$2:$P$62,11,FALSE),"")</f>
        <v/>
      </c>
      <c r="J464" s="440" t="str">
        <f>IFERROR(VLOOKUP(N464,'TABLA-DIA'!$B$2:$P$62,12,FALSE),"")</f>
        <v/>
      </c>
      <c r="K464" s="118" t="str">
        <f>IFERROR(VLOOKUP(N464,'TABLA-DIA'!$B$2:$P$62,13,FALSE),"")</f>
        <v/>
      </c>
      <c r="L464" s="119" t="str">
        <f>IFERROR(IF(VLOOKUP(N464,'TABLA-DIA'!$B$2:$P$62,14,FALSE)="","",VLOOKUP(N464,'TABLA-DIA'!$B$2:$P$62,14,FALSE)),"")</f>
        <v/>
      </c>
      <c r="M464" s="120">
        <v>8</v>
      </c>
      <c r="N464" s="125" t="str">
        <f t="shared" si="24"/>
        <v>0-8</v>
      </c>
    </row>
    <row r="465" spans="2:15" ht="67.150000000000006" hidden="1" customHeight="1">
      <c r="B465" s="752"/>
      <c r="C465" s="74" t="str">
        <f>IFERROR(VLOOKUP(N465,'TABLA-DIA'!$B$2:$P$62,9,FALSE),"")</f>
        <v/>
      </c>
      <c r="D465" s="116" t="str">
        <f>IFERROR(VLOOKUP(N465,'TABLA-DIA'!$B$2:$P$62,4,FALSE),"")</f>
        <v/>
      </c>
      <c r="E465" s="332" t="str">
        <f>IFERROR(VLOOKUP(N465,'TABLA-DIA'!$B$2:$P$62,5,FALSE),"")</f>
        <v/>
      </c>
      <c r="F465" s="332" t="str">
        <f>IFERROR(VLOOKUP(N465,'TABLA-DIA'!$B$2:$P$62,6,FALSE),"")</f>
        <v/>
      </c>
      <c r="G465" s="476" t="str">
        <f>IFERROR(VLOOKUP(N465,'TABLA-DIA'!$B$2:$P$62,7,FALSE),"")</f>
        <v/>
      </c>
      <c r="H465" s="117" t="str">
        <f>IFERROR(VLOOKUP(N465,'TABLA-DIA'!$B$2:$P$62,10,FALSE),"")</f>
        <v/>
      </c>
      <c r="I465" s="444" t="str">
        <f>IFERROR(VLOOKUP(N465,'TABLA-DIA'!$B$2:$P$62,11,FALSE),"")</f>
        <v/>
      </c>
      <c r="J465" s="440" t="str">
        <f>IFERROR(VLOOKUP(N465,'TABLA-DIA'!$B$2:$P$62,12,FALSE),"")</f>
        <v/>
      </c>
      <c r="K465" s="118" t="str">
        <f>IFERROR(VLOOKUP(N465,'TABLA-DIA'!$B$2:$P$62,13,FALSE),"")</f>
        <v/>
      </c>
      <c r="L465" s="119" t="str">
        <f>IFERROR(IF(VLOOKUP(N465,'TABLA-DIA'!$B$2:$P$62,14,FALSE)="","",VLOOKUP(N465,'TABLA-DIA'!$B$2:$P$62,14,FALSE)),"")</f>
        <v/>
      </c>
      <c r="M465" s="120">
        <v>9</v>
      </c>
      <c r="N465" s="125" t="str">
        <f t="shared" si="24"/>
        <v>0-9</v>
      </c>
    </row>
    <row r="466" spans="2:15" ht="67.150000000000006" hidden="1" customHeight="1">
      <c r="B466" s="753"/>
      <c r="C466" s="137" t="str">
        <f>IFERROR(VLOOKUP(N466,'TABLA-DIA'!$B$2:$P$62,9,FALSE),"")</f>
        <v/>
      </c>
      <c r="D466" s="126" t="str">
        <f>IFERROR(VLOOKUP(N466,'TABLA-DIA'!$B$2:$P$62,4,FALSE),"")</f>
        <v/>
      </c>
      <c r="E466" s="334" t="str">
        <f>IFERROR(VLOOKUP(N466,'TABLA-DIA'!$B$2:$P$62,5,FALSE),"")</f>
        <v/>
      </c>
      <c r="F466" s="334" t="str">
        <f>IFERROR(VLOOKUP(N466,'TABLA-DIA'!$B$2:$P$62,6,FALSE),"")</f>
        <v/>
      </c>
      <c r="G466" s="476" t="str">
        <f>IFERROR(VLOOKUP(N466,'TABLA-DIA'!$B$2:$P$62,7,FALSE),"")</f>
        <v/>
      </c>
      <c r="H466" s="127" t="str">
        <f>IFERROR(VLOOKUP(N466,'TABLA-DIA'!$B$2:$P$62,10,FALSE),"")</f>
        <v/>
      </c>
      <c r="I466" s="445" t="str">
        <f>IFERROR(VLOOKUP(N466,'TABLA-DIA'!$B$2:$P$62,11,FALSE),"")</f>
        <v/>
      </c>
      <c r="J466" s="443" t="str">
        <f>IFERROR(VLOOKUP(N466,'TABLA-DIA'!$B$2:$P$62,12,FALSE),"")</f>
        <v/>
      </c>
      <c r="K466" s="128" t="str">
        <f>IFERROR(VLOOKUP(N466,'TABLA-DIA'!$B$2:$P$62,13,FALSE),"")</f>
        <v/>
      </c>
      <c r="L466" s="129" t="str">
        <f>IFERROR(IF(VLOOKUP(N466,'TABLA-DIA'!$B$2:$P$62,14,FALSE)="","",VLOOKUP(N466,'TABLA-DIA'!$B$2:$P$62,14,FALSE)),"")</f>
        <v/>
      </c>
      <c r="M466" s="136">
        <v>10</v>
      </c>
      <c r="N466" s="130" t="str">
        <f t="shared" si="24"/>
        <v>0-10</v>
      </c>
    </row>
    <row r="467" spans="2:15" ht="115.5" customHeight="1" thickBot="1">
      <c r="B467" s="751">
        <f>+'TABLA-DIA'!B167</f>
        <v>0</v>
      </c>
      <c r="C467" s="96" t="str">
        <f>IFERROR(VLOOKUP(N467,'TABLA-DIA'!$B$2:$P$62,9,FALSE),"")</f>
        <v/>
      </c>
      <c r="D467" s="121" t="str">
        <f>IFERROR(VLOOKUP(N467,'TABLA-DIA'!$B$2:$P$62,4,FALSE),"")</f>
        <v/>
      </c>
      <c r="E467" s="331" t="str">
        <f>IFERROR(VLOOKUP(N467,'TABLA-DIA'!$B$2:$P$62,5,FALSE),"")</f>
        <v/>
      </c>
      <c r="F467" s="331" t="str">
        <f>IFERROR(VLOOKUP(N467,'TABLA-DIA'!$B$2:$P$62,6,FALSE),"")</f>
        <v/>
      </c>
      <c r="G467" s="476" t="str">
        <f>IFERROR(VLOOKUP(N467,'TABLA-DIA'!$B$2:$P$62,7,FALSE),"")</f>
        <v/>
      </c>
      <c r="H467" s="122" t="str">
        <f>IFERROR(VLOOKUP(N467,'TABLA-DIA'!$B$2:$P$62,10,FALSE),"")</f>
        <v/>
      </c>
      <c r="I467" s="446" t="str">
        <f>IFERROR(VLOOKUP(N467,'TABLA-DIA'!$B$2:$P$62,11,FALSE),"")</f>
        <v/>
      </c>
      <c r="J467" s="442" t="str">
        <f>IFERROR(VLOOKUP(N467,'TABLA-DIA'!$B$2:$P$62,12,FALSE),"")</f>
        <v/>
      </c>
      <c r="K467" s="123" t="str">
        <f>IFERROR(VLOOKUP(N467,'TABLA-DIA'!$B$2:$P$62,13,FALSE),"")</f>
        <v/>
      </c>
      <c r="L467" s="124" t="str">
        <f>IFERROR(IF(VLOOKUP(N467,'TABLA-DIA'!$B$2:$P$62,14,FALSE)="","",VLOOKUP(N467,'TABLA-DIA'!$B$2:$P$62,14,FALSE)),"")</f>
        <v/>
      </c>
      <c r="M467" s="100">
        <v>1</v>
      </c>
      <c r="N467" s="98" t="str">
        <f t="shared" ref="N467:N476" si="25">CONCATENATE($B$467,"-",M467)</f>
        <v>0-1</v>
      </c>
      <c r="O467" s="91">
        <f>COUNTIF(G467:G476,"&lt;&gt;**")</f>
        <v>0</v>
      </c>
    </row>
    <row r="468" spans="2:15" ht="67.150000000000006" hidden="1" customHeight="1">
      <c r="B468" s="752"/>
      <c r="C468" s="74" t="str">
        <f>IFERROR(VLOOKUP(N468,'TABLA-DIA'!$B$2:$P$62,9,FALSE),"")</f>
        <v/>
      </c>
      <c r="D468" s="116" t="str">
        <f>IFERROR(VLOOKUP(N468,'TABLA-DIA'!$B$2:$P$62,4,FALSE),"")</f>
        <v/>
      </c>
      <c r="E468" s="332" t="str">
        <f>IFERROR(VLOOKUP(N468,'TABLA-DIA'!$B$2:$P$62,5,FALSE),"")</f>
        <v/>
      </c>
      <c r="F468" s="332" t="str">
        <f>IFERROR(VLOOKUP(N468,'TABLA-DIA'!$B$2:$P$62,6,FALSE),"")</f>
        <v/>
      </c>
      <c r="G468" s="476" t="str">
        <f>IFERROR(VLOOKUP(N468,'TABLA-DIA'!$B$2:$P$62,7,FALSE),"")</f>
        <v/>
      </c>
      <c r="H468" s="117" t="str">
        <f>IFERROR(VLOOKUP(N468,'TABLA-DIA'!$B$2:$P$62,10,FALSE),"")</f>
        <v/>
      </c>
      <c r="I468" s="444" t="str">
        <f>IFERROR(VLOOKUP(N468,'TABLA-DIA'!$B$2:$P$62,11,FALSE),"")</f>
        <v/>
      </c>
      <c r="J468" s="444" t="str">
        <f>IFERROR(VLOOKUP(N468,'TABLA-DIA'!$B$2:$P$62,12,FALSE),"")</f>
        <v/>
      </c>
      <c r="K468" s="118" t="str">
        <f>IFERROR(VLOOKUP(N468,'TABLA-DIA'!$B$2:$P$62,13,FALSE),"")</f>
        <v/>
      </c>
      <c r="L468" s="119" t="str">
        <f>IFERROR(IF(VLOOKUP(N468,'TABLA-DIA'!$B$2:$P$62,14,FALSE)="","",VLOOKUP(N468,'TABLA-DIA'!$B$2:$P$62,14,FALSE)),"")</f>
        <v/>
      </c>
      <c r="M468" s="120">
        <v>2</v>
      </c>
      <c r="N468" s="125" t="str">
        <f t="shared" si="25"/>
        <v>0-2</v>
      </c>
    </row>
    <row r="469" spans="2:15" ht="67.150000000000006" hidden="1" customHeight="1">
      <c r="B469" s="752"/>
      <c r="C469" s="74" t="str">
        <f>IFERROR(VLOOKUP(N469,'TABLA-DIA'!$B$2:$P$62,9,FALSE),"")</f>
        <v/>
      </c>
      <c r="D469" s="116" t="str">
        <f>IFERROR(VLOOKUP(N469,'TABLA-DIA'!$B$2:$P$62,4,FALSE),"")</f>
        <v/>
      </c>
      <c r="E469" s="332" t="str">
        <f>IFERROR(VLOOKUP(N469,'TABLA-DIA'!$B$2:$P$62,5,FALSE),"")</f>
        <v/>
      </c>
      <c r="F469" s="332" t="str">
        <f>IFERROR(VLOOKUP(N469,'TABLA-DIA'!$B$2:$P$62,6,FALSE),"")</f>
        <v/>
      </c>
      <c r="G469" s="476" t="str">
        <f>IFERROR(VLOOKUP(N469,'TABLA-DIA'!$B$2:$P$62,7,FALSE),"")</f>
        <v/>
      </c>
      <c r="H469" s="117" t="str">
        <f>IFERROR(VLOOKUP(N469,'TABLA-DIA'!$B$2:$P$62,10,FALSE),"")</f>
        <v/>
      </c>
      <c r="I469" s="444" t="str">
        <f>IFERROR(VLOOKUP(N469,'TABLA-DIA'!$B$2:$P$62,11,FALSE),"")</f>
        <v/>
      </c>
      <c r="J469" s="444" t="str">
        <f>IFERROR(VLOOKUP(N469,'TABLA-DIA'!$B$2:$P$62,12,FALSE),"")</f>
        <v/>
      </c>
      <c r="K469" s="118" t="str">
        <f>IFERROR(VLOOKUP(N469,'TABLA-DIA'!$B$2:$P$62,13,FALSE),"")</f>
        <v/>
      </c>
      <c r="L469" s="119" t="str">
        <f>IFERROR(IF(VLOOKUP(N469,'TABLA-DIA'!$B$2:$P$62,14,FALSE)="","",VLOOKUP(N469,'TABLA-DIA'!$B$2:$P$62,14,FALSE)),"")</f>
        <v/>
      </c>
      <c r="M469" s="120">
        <v>3</v>
      </c>
      <c r="N469" s="125" t="str">
        <f t="shared" si="25"/>
        <v>0-3</v>
      </c>
    </row>
    <row r="470" spans="2:15" ht="67.150000000000006" hidden="1" customHeight="1">
      <c r="B470" s="752"/>
      <c r="C470" s="74" t="str">
        <f>IFERROR(VLOOKUP(N470,'TABLA-DIA'!$B$2:$P$62,9,FALSE),"")</f>
        <v/>
      </c>
      <c r="D470" s="116" t="str">
        <f>IFERROR(VLOOKUP(N470,'TABLA-DIA'!$B$2:$P$62,4,FALSE),"")</f>
        <v/>
      </c>
      <c r="E470" s="332" t="str">
        <f>IFERROR(VLOOKUP(N470,'TABLA-DIA'!$B$2:$P$62,5,FALSE),"")</f>
        <v/>
      </c>
      <c r="F470" s="332" t="str">
        <f>IFERROR(VLOOKUP(N470,'TABLA-DIA'!$B$2:$P$62,6,FALSE),"")</f>
        <v/>
      </c>
      <c r="G470" s="476" t="str">
        <f>IFERROR(VLOOKUP(N470,'TABLA-DIA'!$B$2:$P$62,7,FALSE),"")</f>
        <v/>
      </c>
      <c r="H470" s="117" t="str">
        <f>IFERROR(VLOOKUP(N470,'TABLA-DIA'!$B$2:$P$62,10,FALSE),"")</f>
        <v/>
      </c>
      <c r="I470" s="444" t="str">
        <f>IFERROR(VLOOKUP(N470,'TABLA-DIA'!$B$2:$P$62,11,FALSE),"")</f>
        <v/>
      </c>
      <c r="J470" s="444" t="str">
        <f>IFERROR(VLOOKUP(N470,'TABLA-DIA'!$B$2:$P$62,12,FALSE),"")</f>
        <v/>
      </c>
      <c r="K470" s="118" t="str">
        <f>IFERROR(VLOOKUP(N470,'TABLA-DIA'!$B$2:$P$62,13,FALSE),"")</f>
        <v/>
      </c>
      <c r="L470" s="119" t="str">
        <f>IFERROR(IF(VLOOKUP(N470,'TABLA-DIA'!$B$2:$P$62,14,FALSE)="","",VLOOKUP(N470,'TABLA-DIA'!$B$2:$P$62,14,FALSE)),"")</f>
        <v/>
      </c>
      <c r="M470" s="120">
        <v>4</v>
      </c>
      <c r="N470" s="125" t="str">
        <f t="shared" si="25"/>
        <v>0-4</v>
      </c>
    </row>
    <row r="471" spans="2:15" ht="67.150000000000006" hidden="1" customHeight="1">
      <c r="B471" s="752"/>
      <c r="C471" s="74" t="str">
        <f>IFERROR(VLOOKUP(N471,'TABLA-DIA'!$B$2:$P$62,9,FALSE),"")</f>
        <v/>
      </c>
      <c r="D471" s="116" t="str">
        <f>IFERROR(VLOOKUP(N471,'TABLA-DIA'!$B$2:$P$62,4,FALSE),"")</f>
        <v/>
      </c>
      <c r="E471" s="332" t="str">
        <f>IFERROR(VLOOKUP(N471,'TABLA-DIA'!$B$2:$P$62,5,FALSE),"")</f>
        <v/>
      </c>
      <c r="F471" s="332" t="str">
        <f>IFERROR(VLOOKUP(N471,'TABLA-DIA'!$B$2:$P$62,6,FALSE),"")</f>
        <v/>
      </c>
      <c r="G471" s="476" t="str">
        <f>IFERROR(VLOOKUP(N471,'TABLA-DIA'!$B$2:$P$62,7,FALSE),"")</f>
        <v/>
      </c>
      <c r="H471" s="117" t="str">
        <f>IFERROR(VLOOKUP(N471,'TABLA-DIA'!$B$2:$P$62,10,FALSE),"")</f>
        <v/>
      </c>
      <c r="I471" s="444" t="str">
        <f>IFERROR(VLOOKUP(N471,'TABLA-DIA'!$B$2:$P$62,11,FALSE),"")</f>
        <v/>
      </c>
      <c r="J471" s="444" t="str">
        <f>IFERROR(VLOOKUP(N471,'TABLA-DIA'!$B$2:$P$62,12,FALSE),"")</f>
        <v/>
      </c>
      <c r="K471" s="118" t="str">
        <f>IFERROR(VLOOKUP(N471,'TABLA-DIA'!$B$2:$P$62,13,FALSE),"")</f>
        <v/>
      </c>
      <c r="L471" s="119" t="str">
        <f>IFERROR(IF(VLOOKUP(N471,'TABLA-DIA'!$B$2:$P$62,14,FALSE)="","",VLOOKUP(N471,'TABLA-DIA'!$B$2:$P$62,14,FALSE)),"")</f>
        <v/>
      </c>
      <c r="M471" s="120">
        <v>5</v>
      </c>
      <c r="N471" s="125" t="str">
        <f t="shared" si="25"/>
        <v>0-5</v>
      </c>
    </row>
    <row r="472" spans="2:15" ht="67.150000000000006" hidden="1" customHeight="1">
      <c r="B472" s="752"/>
      <c r="C472" s="74" t="str">
        <f>IFERROR(VLOOKUP(N472,'TABLA-DIA'!$B$2:$P$62,9,FALSE),"")</f>
        <v/>
      </c>
      <c r="D472" s="116" t="str">
        <f>IFERROR(VLOOKUP(N472,'TABLA-DIA'!$B$2:$P$62,4,FALSE),"")</f>
        <v/>
      </c>
      <c r="E472" s="332" t="str">
        <f>IFERROR(VLOOKUP(N472,'TABLA-DIA'!$B$2:$P$62,5,FALSE),"")</f>
        <v/>
      </c>
      <c r="F472" s="332" t="str">
        <f>IFERROR(VLOOKUP(N472,'TABLA-DIA'!$B$2:$P$62,6,FALSE),"")</f>
        <v/>
      </c>
      <c r="G472" s="476" t="str">
        <f>IFERROR(VLOOKUP(N472,'TABLA-DIA'!$B$2:$P$62,7,FALSE),"")</f>
        <v/>
      </c>
      <c r="H472" s="117" t="str">
        <f>IFERROR(VLOOKUP(N472,'TABLA-DIA'!$B$2:$P$62,10,FALSE),"")</f>
        <v/>
      </c>
      <c r="I472" s="444" t="str">
        <f>IFERROR(VLOOKUP(N472,'TABLA-DIA'!$B$2:$P$62,11,FALSE),"")</f>
        <v/>
      </c>
      <c r="J472" s="444" t="str">
        <f>IFERROR(VLOOKUP(N472,'TABLA-DIA'!$B$2:$P$62,12,FALSE),"")</f>
        <v/>
      </c>
      <c r="K472" s="118" t="str">
        <f>IFERROR(VLOOKUP(N472,'TABLA-DIA'!$B$2:$P$62,13,FALSE),"")</f>
        <v/>
      </c>
      <c r="L472" s="119" t="str">
        <f>IFERROR(IF(VLOOKUP(N472,'TABLA-DIA'!$B$2:$P$62,14,FALSE)="","",VLOOKUP(N472,'TABLA-DIA'!$B$2:$P$62,14,FALSE)),"")</f>
        <v/>
      </c>
      <c r="M472" s="120">
        <v>6</v>
      </c>
      <c r="N472" s="125" t="str">
        <f t="shared" si="25"/>
        <v>0-6</v>
      </c>
    </row>
    <row r="473" spans="2:15" ht="67.150000000000006" hidden="1" customHeight="1">
      <c r="B473" s="752"/>
      <c r="C473" s="74" t="str">
        <f>IFERROR(VLOOKUP(N473,'TABLA-DIA'!$B$2:$P$62,9,FALSE),"")</f>
        <v/>
      </c>
      <c r="D473" s="116" t="str">
        <f>IFERROR(VLOOKUP(N473,'TABLA-DIA'!$B$2:$P$62,4,FALSE),"")</f>
        <v/>
      </c>
      <c r="E473" s="332" t="str">
        <f>IFERROR(VLOOKUP(N473,'TABLA-DIA'!$B$2:$P$62,5,FALSE),"")</f>
        <v/>
      </c>
      <c r="F473" s="332" t="str">
        <f>IFERROR(VLOOKUP(N473,'TABLA-DIA'!$B$2:$P$62,6,FALSE),"")</f>
        <v/>
      </c>
      <c r="G473" s="476" t="str">
        <f>IFERROR(VLOOKUP(N473,'TABLA-DIA'!$B$2:$P$62,7,FALSE),"")</f>
        <v/>
      </c>
      <c r="H473" s="117" t="str">
        <f>IFERROR(VLOOKUP(N473,'TABLA-DIA'!$B$2:$P$62,10,FALSE),"")</f>
        <v/>
      </c>
      <c r="I473" s="444" t="str">
        <f>IFERROR(VLOOKUP(N473,'TABLA-DIA'!$B$2:$P$62,11,FALSE),"")</f>
        <v/>
      </c>
      <c r="J473" s="444" t="str">
        <f>IFERROR(VLOOKUP(N473,'TABLA-DIA'!$B$2:$P$62,12,FALSE),"")</f>
        <v/>
      </c>
      <c r="K473" s="118" t="str">
        <f>IFERROR(VLOOKUP(N473,'TABLA-DIA'!$B$2:$P$62,13,FALSE),"")</f>
        <v/>
      </c>
      <c r="L473" s="119" t="str">
        <f>IFERROR(IF(VLOOKUP(N473,'TABLA-DIA'!$B$2:$P$62,14,FALSE)="","",VLOOKUP(N473,'TABLA-DIA'!$B$2:$P$62,14,FALSE)),"")</f>
        <v/>
      </c>
      <c r="M473" s="120">
        <v>7</v>
      </c>
      <c r="N473" s="125" t="str">
        <f t="shared" si="25"/>
        <v>0-7</v>
      </c>
    </row>
    <row r="474" spans="2:15" ht="67.150000000000006" hidden="1" customHeight="1">
      <c r="B474" s="752"/>
      <c r="C474" s="74" t="str">
        <f>IFERROR(VLOOKUP(N474,'TABLA-DIA'!$B$2:$P$62,9,FALSE),"")</f>
        <v/>
      </c>
      <c r="D474" s="116" t="str">
        <f>IFERROR(VLOOKUP(N474,'TABLA-DIA'!$B$2:$P$62,4,FALSE),"")</f>
        <v/>
      </c>
      <c r="E474" s="332" t="str">
        <f>IFERROR(VLOOKUP(N474,'TABLA-DIA'!$B$2:$P$62,5,FALSE),"")</f>
        <v/>
      </c>
      <c r="F474" s="332" t="str">
        <f>IFERROR(VLOOKUP(N474,'TABLA-DIA'!$B$2:$P$62,6,FALSE),"")</f>
        <v/>
      </c>
      <c r="G474" s="476" t="str">
        <f>IFERROR(VLOOKUP(N474,'TABLA-DIA'!$B$2:$P$62,7,FALSE),"")</f>
        <v/>
      </c>
      <c r="H474" s="117" t="str">
        <f>IFERROR(VLOOKUP(N474,'TABLA-DIA'!$B$2:$P$62,10,FALSE),"")</f>
        <v/>
      </c>
      <c r="I474" s="444" t="str">
        <f>IFERROR(VLOOKUP(N474,'TABLA-DIA'!$B$2:$P$62,11,FALSE),"")</f>
        <v/>
      </c>
      <c r="J474" s="444" t="str">
        <f>IFERROR(VLOOKUP(N474,'TABLA-DIA'!$B$2:$P$62,12,FALSE),"")</f>
        <v/>
      </c>
      <c r="K474" s="118" t="str">
        <f>IFERROR(VLOOKUP(N474,'TABLA-DIA'!$B$2:$P$62,13,FALSE),"")</f>
        <v/>
      </c>
      <c r="L474" s="119" t="str">
        <f>IFERROR(IF(VLOOKUP(N474,'TABLA-DIA'!$B$2:$P$62,14,FALSE)="","",VLOOKUP(N474,'TABLA-DIA'!$B$2:$P$62,14,FALSE)),"")</f>
        <v/>
      </c>
      <c r="M474" s="120">
        <v>8</v>
      </c>
      <c r="N474" s="125" t="str">
        <f t="shared" si="25"/>
        <v>0-8</v>
      </c>
    </row>
    <row r="475" spans="2:15" ht="67.150000000000006" hidden="1" customHeight="1">
      <c r="B475" s="752"/>
      <c r="C475" s="74" t="str">
        <f>IFERROR(VLOOKUP(N475,'TABLA-DIA'!$B$2:$P$62,9,FALSE),"")</f>
        <v/>
      </c>
      <c r="D475" s="116" t="str">
        <f>IFERROR(VLOOKUP(N475,'TABLA-DIA'!$B$2:$P$62,4,FALSE),"")</f>
        <v/>
      </c>
      <c r="E475" s="332" t="str">
        <f>IFERROR(VLOOKUP(N475,'TABLA-DIA'!$B$2:$P$62,5,FALSE),"")</f>
        <v/>
      </c>
      <c r="F475" s="332" t="str">
        <f>IFERROR(VLOOKUP(N475,'TABLA-DIA'!$B$2:$P$62,6,FALSE),"")</f>
        <v/>
      </c>
      <c r="G475" s="476" t="str">
        <f>IFERROR(VLOOKUP(N475,'TABLA-DIA'!$B$2:$P$62,7,FALSE),"")</f>
        <v/>
      </c>
      <c r="H475" s="117" t="str">
        <f>IFERROR(VLOOKUP(N475,'TABLA-DIA'!$B$2:$P$62,10,FALSE),"")</f>
        <v/>
      </c>
      <c r="I475" s="444" t="str">
        <f>IFERROR(VLOOKUP(N475,'TABLA-DIA'!$B$2:$P$62,11,FALSE),"")</f>
        <v/>
      </c>
      <c r="J475" s="444" t="str">
        <f>IFERROR(VLOOKUP(N475,'TABLA-DIA'!$B$2:$P$62,12,FALSE),"")</f>
        <v/>
      </c>
      <c r="K475" s="118" t="str">
        <f>IFERROR(VLOOKUP(N475,'TABLA-DIA'!$B$2:$P$62,13,FALSE),"")</f>
        <v/>
      </c>
      <c r="L475" s="119" t="str">
        <f>IFERROR(IF(VLOOKUP(N475,'TABLA-DIA'!$B$2:$P$62,14,FALSE)="","",VLOOKUP(N475,'TABLA-DIA'!$B$2:$P$62,14,FALSE)),"")</f>
        <v/>
      </c>
      <c r="M475" s="120">
        <v>9</v>
      </c>
      <c r="N475" s="125" t="str">
        <f t="shared" si="25"/>
        <v>0-9</v>
      </c>
    </row>
    <row r="476" spans="2:15" ht="67.150000000000006" hidden="1" customHeight="1">
      <c r="B476" s="753"/>
      <c r="C476" s="137" t="str">
        <f>IFERROR(VLOOKUP(N476,'TABLA-DIA'!$B$2:$P$62,9,FALSE),"")</f>
        <v/>
      </c>
      <c r="D476" s="126" t="str">
        <f>IFERROR(VLOOKUP(N476,'TABLA-DIA'!$B$2:$P$62,4,FALSE),"")</f>
        <v/>
      </c>
      <c r="E476" s="334" t="str">
        <f>IFERROR(VLOOKUP(N476,'TABLA-DIA'!$B$2:$P$62,5,FALSE),"")</f>
        <v/>
      </c>
      <c r="F476" s="334" t="str">
        <f>IFERROR(VLOOKUP(N476,'TABLA-DIA'!$B$2:$P$62,6,FALSE),"")</f>
        <v/>
      </c>
      <c r="G476" s="476" t="str">
        <f>IFERROR(VLOOKUP(N476,'TABLA-DIA'!$B$2:$P$62,7,FALSE),"")</f>
        <v/>
      </c>
      <c r="H476" s="127" t="str">
        <f>IFERROR(VLOOKUP(N476,'TABLA-DIA'!$B$2:$P$62,10,FALSE),"")</f>
        <v/>
      </c>
      <c r="I476" s="445" t="str">
        <f>IFERROR(VLOOKUP(N476,'TABLA-DIA'!$B$2:$P$62,11,FALSE),"")</f>
        <v/>
      </c>
      <c r="J476" s="445" t="str">
        <f>IFERROR(VLOOKUP(N476,'TABLA-DIA'!$B$2:$P$62,12,FALSE),"")</f>
        <v/>
      </c>
      <c r="K476" s="128" t="str">
        <f>IFERROR(VLOOKUP(N476,'TABLA-DIA'!$B$2:$P$62,13,FALSE),"")</f>
        <v/>
      </c>
      <c r="L476" s="129" t="str">
        <f>IFERROR(IF(VLOOKUP(N476,'TABLA-DIA'!$B$2:$P$62,14,FALSE)="","",VLOOKUP(N476,'TABLA-DIA'!$B$2:$P$62,14,FALSE)),"")</f>
        <v/>
      </c>
      <c r="M476" s="136">
        <v>10</v>
      </c>
      <c r="N476" s="130" t="str">
        <f t="shared" si="25"/>
        <v>0-10</v>
      </c>
    </row>
    <row r="477" spans="2:15" ht="108.75" customHeight="1" thickBot="1">
      <c r="B477" s="772">
        <f>+'TABLA-DIA'!B168</f>
        <v>0</v>
      </c>
      <c r="C477" s="96" t="str">
        <f>IFERROR(VLOOKUP(N477,'TABLA-DIA'!$B$2:$P$62,9,FALSE),"")</f>
        <v/>
      </c>
      <c r="D477" s="121" t="str">
        <f>IFERROR(VLOOKUP(N477,'TABLA-DIA'!$B$2:$P$62,4,FALSE),"")</f>
        <v/>
      </c>
      <c r="E477" s="331" t="str">
        <f>IFERROR(VLOOKUP(N477,'TABLA-DIA'!$B$2:$P$62,5,FALSE),"")</f>
        <v/>
      </c>
      <c r="F477" s="331" t="str">
        <f>IFERROR(VLOOKUP(N477,'TABLA-DIA'!$B$2:$P$62,6,FALSE),"")</f>
        <v/>
      </c>
      <c r="G477" s="476" t="str">
        <f>IFERROR(VLOOKUP(N477,'TABLA-DIA'!$B$2:$P$62,7,FALSE),"")</f>
        <v/>
      </c>
      <c r="H477" s="122" t="str">
        <f>IFERROR(VLOOKUP(N477,'TABLA-DIA'!$B$2:$P$62,10,FALSE),"")</f>
        <v/>
      </c>
      <c r="I477" s="446" t="str">
        <f>IFERROR(VLOOKUP(N477,'TABLA-DIA'!$B$2:$P$62,11,FALSE),"")</f>
        <v/>
      </c>
      <c r="J477" s="446" t="str">
        <f>IFERROR(VLOOKUP(N477,'TABLA-DIA'!$B$2:$P$62,12,FALSE),"")</f>
        <v/>
      </c>
      <c r="K477" s="123" t="str">
        <f>IFERROR(VLOOKUP(N477,'TABLA-DIA'!$B$2:$P$62,13,FALSE),"")</f>
        <v/>
      </c>
      <c r="L477" s="124" t="str">
        <f>IFERROR(IF(VLOOKUP(N477,'TABLA-DIA'!$B$2:$P$62,14,FALSE)="","",VLOOKUP(N477,'TABLA-DIA'!$B$2:$P$62,14,FALSE)),"")</f>
        <v/>
      </c>
      <c r="M477" s="100">
        <v>1</v>
      </c>
      <c r="N477" s="98" t="str">
        <f>CONCATENATE($B$477,"-",M477)</f>
        <v>0-1</v>
      </c>
      <c r="O477" s="91">
        <f>COUNTIF(G477:G486,"&lt;&gt;**")</f>
        <v>0</v>
      </c>
    </row>
    <row r="478" spans="2:15" ht="67.150000000000006" hidden="1" customHeight="1">
      <c r="B478" s="773"/>
      <c r="C478" s="74" t="str">
        <f>IFERROR(VLOOKUP(N478,'TABLA-DIA'!$B$2:$P$62,9,FALSE),"")</f>
        <v/>
      </c>
      <c r="D478" s="116" t="str">
        <f>IFERROR(VLOOKUP(N478,'TABLA-DIA'!$B$2:$P$62,4,FALSE),"")</f>
        <v/>
      </c>
      <c r="E478" s="332" t="str">
        <f>IFERROR(VLOOKUP(N478,'TABLA-DIA'!$B$2:$P$62,5,FALSE),"")</f>
        <v/>
      </c>
      <c r="F478" s="332" t="str">
        <f>IFERROR(VLOOKUP(N478,'TABLA-DIA'!$B$2:$P$62,6,FALSE),"")</f>
        <v/>
      </c>
      <c r="G478" s="476" t="str">
        <f>IFERROR(VLOOKUP(N478,'TABLA-DIA'!$B$2:$P$62,7,FALSE),"")</f>
        <v/>
      </c>
      <c r="H478" s="117" t="str">
        <f>IFERROR(VLOOKUP(N478,'TABLA-DIA'!$B$2:$P$62,10,FALSE),"")</f>
        <v/>
      </c>
      <c r="I478" s="444" t="str">
        <f>IFERROR(VLOOKUP(N478,'TABLA-DIA'!$B$2:$P$62,11,FALSE),"")</f>
        <v/>
      </c>
      <c r="J478" s="444" t="str">
        <f>IFERROR(VLOOKUP(N478,'TABLA-DIA'!$B$2:$P$62,12,FALSE),"")</f>
        <v/>
      </c>
      <c r="K478" s="118" t="str">
        <f>IFERROR(VLOOKUP(N478,'TABLA-DIA'!$B$2:$P$62,13,FALSE),"")</f>
        <v/>
      </c>
      <c r="L478" s="119" t="str">
        <f>IFERROR(IF(VLOOKUP(N478,'TABLA-DIA'!$B$2:$P$62,14,FALSE)="","",VLOOKUP(N478,'TABLA-DIA'!$B$2:$P$62,14,FALSE)),"")</f>
        <v/>
      </c>
      <c r="M478" s="120">
        <v>2</v>
      </c>
      <c r="N478" s="125" t="str">
        <f t="shared" ref="N478:N486" si="26">CONCATENATE($B$477,"-",M478)</f>
        <v>0-2</v>
      </c>
    </row>
    <row r="479" spans="2:15" ht="67.150000000000006" hidden="1" customHeight="1">
      <c r="B479" s="773"/>
      <c r="C479" s="74" t="str">
        <f>IFERROR(VLOOKUP(N479,'TABLA-DIA'!$B$2:$P$62,9,FALSE),"")</f>
        <v/>
      </c>
      <c r="D479" s="116" t="str">
        <f>IFERROR(VLOOKUP(N479,'TABLA-DIA'!$B$2:$P$62,4,FALSE),"")</f>
        <v/>
      </c>
      <c r="E479" s="332" t="str">
        <f>IFERROR(VLOOKUP(N479,'TABLA-DIA'!$B$2:$P$62,5,FALSE),"")</f>
        <v/>
      </c>
      <c r="F479" s="332" t="str">
        <f>IFERROR(VLOOKUP(N479,'TABLA-DIA'!$B$2:$P$62,6,FALSE),"")</f>
        <v/>
      </c>
      <c r="G479" s="476" t="str">
        <f>IFERROR(VLOOKUP(N479,'TABLA-DIA'!$B$2:$P$62,7,FALSE),"")</f>
        <v/>
      </c>
      <c r="H479" s="117" t="str">
        <f>IFERROR(VLOOKUP(N479,'TABLA-DIA'!$B$2:$P$62,10,FALSE),"")</f>
        <v/>
      </c>
      <c r="I479" s="444" t="str">
        <f>IFERROR(VLOOKUP(N479,'TABLA-DIA'!$B$2:$P$62,11,FALSE),"")</f>
        <v/>
      </c>
      <c r="J479" s="444" t="str">
        <f>IFERROR(VLOOKUP(N479,'TABLA-DIA'!$B$2:$P$62,12,FALSE),"")</f>
        <v/>
      </c>
      <c r="K479" s="118" t="str">
        <f>IFERROR(VLOOKUP(N479,'TABLA-DIA'!$B$2:$P$62,13,FALSE),"")</f>
        <v/>
      </c>
      <c r="L479" s="119" t="str">
        <f>IFERROR(IF(VLOOKUP(N479,'TABLA-DIA'!$B$2:$P$62,14,FALSE)="","",VLOOKUP(N479,'TABLA-DIA'!$B$2:$P$62,14,FALSE)),"")</f>
        <v/>
      </c>
      <c r="M479" s="120">
        <v>3</v>
      </c>
      <c r="N479" s="125" t="str">
        <f t="shared" si="26"/>
        <v>0-3</v>
      </c>
    </row>
    <row r="480" spans="2:15" ht="67.150000000000006" hidden="1" customHeight="1">
      <c r="B480" s="773"/>
      <c r="C480" s="74" t="str">
        <f>IFERROR(VLOOKUP(N480,'TABLA-DIA'!$B$2:$P$62,9,FALSE),"")</f>
        <v/>
      </c>
      <c r="D480" s="116" t="str">
        <f>IFERROR(VLOOKUP(N480,'TABLA-DIA'!$B$2:$P$62,4,FALSE),"")</f>
        <v/>
      </c>
      <c r="E480" s="332" t="str">
        <f>IFERROR(VLOOKUP(N480,'TABLA-DIA'!$B$2:$P$62,5,FALSE),"")</f>
        <v/>
      </c>
      <c r="F480" s="332" t="str">
        <f>IFERROR(VLOOKUP(N480,'TABLA-DIA'!$B$2:$P$62,6,FALSE),"")</f>
        <v/>
      </c>
      <c r="G480" s="476" t="str">
        <f>IFERROR(VLOOKUP(N480,'TABLA-DIA'!$B$2:$P$62,7,FALSE),"")</f>
        <v/>
      </c>
      <c r="H480" s="117" t="str">
        <f>IFERROR(VLOOKUP(N480,'TABLA-DIA'!$B$2:$P$62,10,FALSE),"")</f>
        <v/>
      </c>
      <c r="I480" s="444" t="str">
        <f>IFERROR(VLOOKUP(N480,'TABLA-DIA'!$B$2:$P$62,11,FALSE),"")</f>
        <v/>
      </c>
      <c r="J480" s="444" t="str">
        <f>IFERROR(VLOOKUP(N480,'TABLA-DIA'!$B$2:$P$62,12,FALSE),"")</f>
        <v/>
      </c>
      <c r="K480" s="118" t="str">
        <f>IFERROR(VLOOKUP(N480,'TABLA-DIA'!$B$2:$P$62,13,FALSE),"")</f>
        <v/>
      </c>
      <c r="L480" s="119" t="str">
        <f>IFERROR(IF(VLOOKUP(N480,'TABLA-DIA'!$B$2:$P$62,14,FALSE)="","",VLOOKUP(N480,'TABLA-DIA'!$B$2:$P$62,14,FALSE)),"")</f>
        <v/>
      </c>
      <c r="M480" s="120">
        <v>4</v>
      </c>
      <c r="N480" s="125" t="str">
        <f t="shared" si="26"/>
        <v>0-4</v>
      </c>
    </row>
    <row r="481" spans="2:15" ht="67.150000000000006" hidden="1" customHeight="1">
      <c r="B481" s="773"/>
      <c r="C481" s="74" t="str">
        <f>IFERROR(VLOOKUP(N481,'TABLA-DIA'!$B$2:$P$62,9,FALSE),"")</f>
        <v/>
      </c>
      <c r="D481" s="116" t="str">
        <f>IFERROR(VLOOKUP(N481,'TABLA-DIA'!$B$2:$P$62,4,FALSE),"")</f>
        <v/>
      </c>
      <c r="E481" s="332" t="str">
        <f>IFERROR(VLOOKUP(N481,'TABLA-DIA'!$B$2:$P$62,5,FALSE),"")</f>
        <v/>
      </c>
      <c r="F481" s="332" t="str">
        <f>IFERROR(VLOOKUP(N481,'TABLA-DIA'!$B$2:$P$62,6,FALSE),"")</f>
        <v/>
      </c>
      <c r="G481" s="476" t="str">
        <f>IFERROR(VLOOKUP(N481,'TABLA-DIA'!$B$2:$P$62,7,FALSE),"")</f>
        <v/>
      </c>
      <c r="H481" s="117" t="str">
        <f>IFERROR(VLOOKUP(N481,'TABLA-DIA'!$B$2:$P$62,10,FALSE),"")</f>
        <v/>
      </c>
      <c r="I481" s="444" t="str">
        <f>IFERROR(VLOOKUP(N481,'TABLA-DIA'!$B$2:$P$62,11,FALSE),"")</f>
        <v/>
      </c>
      <c r="J481" s="444" t="str">
        <f>IFERROR(VLOOKUP(N481,'TABLA-DIA'!$B$2:$P$62,12,FALSE),"")</f>
        <v/>
      </c>
      <c r="K481" s="118" t="str">
        <f>IFERROR(VLOOKUP(N481,'TABLA-DIA'!$B$2:$P$62,13,FALSE),"")</f>
        <v/>
      </c>
      <c r="L481" s="119" t="str">
        <f>IFERROR(IF(VLOOKUP(N481,'TABLA-DIA'!$B$2:$P$62,14,FALSE)="","",VLOOKUP(N481,'TABLA-DIA'!$B$2:$P$62,14,FALSE)),"")</f>
        <v/>
      </c>
      <c r="M481" s="120">
        <v>5</v>
      </c>
      <c r="N481" s="125" t="str">
        <f t="shared" si="26"/>
        <v>0-5</v>
      </c>
    </row>
    <row r="482" spans="2:15" ht="67.150000000000006" hidden="1" customHeight="1">
      <c r="B482" s="773"/>
      <c r="C482" s="74" t="str">
        <f>IFERROR(VLOOKUP(N482,'TABLA-DIA'!$B$2:$P$62,9,FALSE),"")</f>
        <v/>
      </c>
      <c r="D482" s="116" t="str">
        <f>IFERROR(VLOOKUP(N482,'TABLA-DIA'!$B$2:$P$62,4,FALSE),"")</f>
        <v/>
      </c>
      <c r="E482" s="332" t="str">
        <f>IFERROR(VLOOKUP(N482,'TABLA-DIA'!$B$2:$P$62,5,FALSE),"")</f>
        <v/>
      </c>
      <c r="F482" s="332" t="str">
        <f>IFERROR(VLOOKUP(N482,'TABLA-DIA'!$B$2:$P$62,6,FALSE),"")</f>
        <v/>
      </c>
      <c r="G482" s="476" t="str">
        <f>IFERROR(VLOOKUP(N482,'TABLA-DIA'!$B$2:$P$62,7,FALSE),"")</f>
        <v/>
      </c>
      <c r="H482" s="117" t="str">
        <f>IFERROR(VLOOKUP(N482,'TABLA-DIA'!$B$2:$P$62,10,FALSE),"")</f>
        <v/>
      </c>
      <c r="I482" s="444" t="str">
        <f>IFERROR(VLOOKUP(N482,'TABLA-DIA'!$B$2:$P$62,11,FALSE),"")</f>
        <v/>
      </c>
      <c r="J482" s="444" t="str">
        <f>IFERROR(VLOOKUP(N482,'TABLA-DIA'!$B$2:$P$62,12,FALSE),"")</f>
        <v/>
      </c>
      <c r="K482" s="118" t="str">
        <f>IFERROR(VLOOKUP(N482,'TABLA-DIA'!$B$2:$P$62,13,FALSE),"")</f>
        <v/>
      </c>
      <c r="L482" s="119" t="str">
        <f>IFERROR(IF(VLOOKUP(N482,'TABLA-DIA'!$B$2:$P$62,14,FALSE)="","",VLOOKUP(N482,'TABLA-DIA'!$B$2:$P$62,14,FALSE)),"")</f>
        <v/>
      </c>
      <c r="M482" s="120">
        <v>6</v>
      </c>
      <c r="N482" s="125" t="str">
        <f t="shared" si="26"/>
        <v>0-6</v>
      </c>
    </row>
    <row r="483" spans="2:15" ht="67.150000000000006" hidden="1" customHeight="1">
      <c r="B483" s="773"/>
      <c r="C483" s="74" t="str">
        <f>IFERROR(VLOOKUP(N483,'TABLA-DIA'!$B$2:$P$62,9,FALSE),"")</f>
        <v/>
      </c>
      <c r="D483" s="116" t="str">
        <f>IFERROR(VLOOKUP(N483,'TABLA-DIA'!$B$2:$P$62,4,FALSE),"")</f>
        <v/>
      </c>
      <c r="E483" s="332" t="str">
        <f>IFERROR(VLOOKUP(N483,'TABLA-DIA'!$B$2:$P$62,5,FALSE),"")</f>
        <v/>
      </c>
      <c r="F483" s="332" t="str">
        <f>IFERROR(VLOOKUP(N483,'TABLA-DIA'!$B$2:$P$62,6,FALSE),"")</f>
        <v/>
      </c>
      <c r="G483" s="476" t="str">
        <f>IFERROR(VLOOKUP(N483,'TABLA-DIA'!$B$2:$P$62,7,FALSE),"")</f>
        <v/>
      </c>
      <c r="H483" s="117" t="str">
        <f>IFERROR(VLOOKUP(N483,'TABLA-DIA'!$B$2:$P$62,10,FALSE),"")</f>
        <v/>
      </c>
      <c r="I483" s="444" t="str">
        <f>IFERROR(VLOOKUP(N483,'TABLA-DIA'!$B$2:$P$62,11,FALSE),"")</f>
        <v/>
      </c>
      <c r="J483" s="444" t="str">
        <f>IFERROR(VLOOKUP(N483,'TABLA-DIA'!$B$2:$P$62,12,FALSE),"")</f>
        <v/>
      </c>
      <c r="K483" s="118" t="str">
        <f>IFERROR(VLOOKUP(N483,'TABLA-DIA'!$B$2:$P$62,13,FALSE),"")</f>
        <v/>
      </c>
      <c r="L483" s="119" t="str">
        <f>IFERROR(IF(VLOOKUP(N483,'TABLA-DIA'!$B$2:$P$62,14,FALSE)="","",VLOOKUP(N483,'TABLA-DIA'!$B$2:$P$62,14,FALSE)),"")</f>
        <v/>
      </c>
      <c r="M483" s="120">
        <v>7</v>
      </c>
      <c r="N483" s="125" t="str">
        <f t="shared" si="26"/>
        <v>0-7</v>
      </c>
    </row>
    <row r="484" spans="2:15" ht="67.150000000000006" hidden="1" customHeight="1">
      <c r="B484" s="773"/>
      <c r="C484" s="74" t="str">
        <f>IFERROR(VLOOKUP(N484,'TABLA-DIA'!$B$2:$P$62,9,FALSE),"")</f>
        <v/>
      </c>
      <c r="D484" s="116" t="str">
        <f>IFERROR(VLOOKUP(N484,'TABLA-DIA'!$B$2:$P$62,4,FALSE),"")</f>
        <v/>
      </c>
      <c r="E484" s="332" t="str">
        <f>IFERROR(VLOOKUP(N484,'TABLA-DIA'!$B$2:$P$62,5,FALSE),"")</f>
        <v/>
      </c>
      <c r="F484" s="332" t="str">
        <f>IFERROR(VLOOKUP(N484,'TABLA-DIA'!$B$2:$P$62,6,FALSE),"")</f>
        <v/>
      </c>
      <c r="G484" s="476" t="str">
        <f>IFERROR(VLOOKUP(N484,'TABLA-DIA'!$B$2:$P$62,7,FALSE),"")</f>
        <v/>
      </c>
      <c r="H484" s="117" t="str">
        <f>IFERROR(VLOOKUP(N484,'TABLA-DIA'!$B$2:$P$62,10,FALSE),"")</f>
        <v/>
      </c>
      <c r="I484" s="444" t="str">
        <f>IFERROR(VLOOKUP(N484,'TABLA-DIA'!$B$2:$P$62,11,FALSE),"")</f>
        <v/>
      </c>
      <c r="J484" s="444" t="str">
        <f>IFERROR(VLOOKUP(N484,'TABLA-DIA'!$B$2:$P$62,12,FALSE),"")</f>
        <v/>
      </c>
      <c r="K484" s="118" t="str">
        <f>IFERROR(VLOOKUP(N484,'TABLA-DIA'!$B$2:$P$62,13,FALSE),"")</f>
        <v/>
      </c>
      <c r="L484" s="119" t="str">
        <f>IFERROR(IF(VLOOKUP(N484,'TABLA-DIA'!$B$2:$P$62,14,FALSE)="","",VLOOKUP(N484,'TABLA-DIA'!$B$2:$P$62,14,FALSE)),"")</f>
        <v/>
      </c>
      <c r="M484" s="120">
        <v>8</v>
      </c>
      <c r="N484" s="125" t="str">
        <f t="shared" si="26"/>
        <v>0-8</v>
      </c>
    </row>
    <row r="485" spans="2:15" ht="67.150000000000006" hidden="1" customHeight="1">
      <c r="B485" s="773"/>
      <c r="C485" s="74" t="str">
        <f>IFERROR(VLOOKUP(N485,'TABLA-DIA'!$B$2:$P$62,9,FALSE),"")</f>
        <v/>
      </c>
      <c r="D485" s="116" t="str">
        <f>IFERROR(VLOOKUP(N485,'TABLA-DIA'!$B$2:$P$62,4,FALSE),"")</f>
        <v/>
      </c>
      <c r="E485" s="332" t="str">
        <f>IFERROR(VLOOKUP(N485,'TABLA-DIA'!$B$2:$P$62,5,FALSE),"")</f>
        <v/>
      </c>
      <c r="F485" s="332" t="str">
        <f>IFERROR(VLOOKUP(N485,'TABLA-DIA'!$B$2:$P$62,6,FALSE),"")</f>
        <v/>
      </c>
      <c r="G485" s="476" t="str">
        <f>IFERROR(VLOOKUP(N485,'TABLA-DIA'!$B$2:$P$62,7,FALSE),"")</f>
        <v/>
      </c>
      <c r="H485" s="117" t="str">
        <f>IFERROR(VLOOKUP(N485,'TABLA-DIA'!$B$2:$P$62,10,FALSE),"")</f>
        <v/>
      </c>
      <c r="I485" s="444" t="str">
        <f>IFERROR(VLOOKUP(N485,'TABLA-DIA'!$B$2:$P$62,11,FALSE),"")</f>
        <v/>
      </c>
      <c r="J485" s="444" t="str">
        <f>IFERROR(VLOOKUP(N485,'TABLA-DIA'!$B$2:$P$62,12,FALSE),"")</f>
        <v/>
      </c>
      <c r="K485" s="118" t="str">
        <f>IFERROR(VLOOKUP(N485,'TABLA-DIA'!$B$2:$P$62,13,FALSE),"")</f>
        <v/>
      </c>
      <c r="L485" s="119" t="str">
        <f>IFERROR(IF(VLOOKUP(N485,'TABLA-DIA'!$B$2:$P$62,14,FALSE)="","",VLOOKUP(N485,'TABLA-DIA'!$B$2:$P$62,14,FALSE)),"")</f>
        <v/>
      </c>
      <c r="M485" s="120">
        <v>9</v>
      </c>
      <c r="N485" s="125" t="str">
        <f t="shared" si="26"/>
        <v>0-9</v>
      </c>
    </row>
    <row r="486" spans="2:15" ht="67.150000000000006" hidden="1" customHeight="1">
      <c r="B486" s="774"/>
      <c r="C486" s="137" t="str">
        <f>IFERROR(VLOOKUP(N486,'TABLA-DIA'!$B$2:$P$62,9,FALSE),"")</f>
        <v/>
      </c>
      <c r="D486" s="126" t="str">
        <f>IFERROR(VLOOKUP(N486,'TABLA-DIA'!$B$2:$P$62,4,FALSE),"")</f>
        <v/>
      </c>
      <c r="E486" s="334" t="str">
        <f>IFERROR(VLOOKUP(N486,'TABLA-DIA'!$B$2:$P$62,5,FALSE),"")</f>
        <v/>
      </c>
      <c r="F486" s="334" t="str">
        <f>IFERROR(VLOOKUP(N486,'TABLA-DIA'!$B$2:$P$62,6,FALSE),"")</f>
        <v/>
      </c>
      <c r="G486" s="476" t="str">
        <f>IFERROR(VLOOKUP(N486,'TABLA-DIA'!$B$2:$P$62,7,FALSE),"")</f>
        <v/>
      </c>
      <c r="H486" s="127" t="str">
        <f>IFERROR(VLOOKUP(N486,'TABLA-DIA'!$B$2:$P$62,10,FALSE),"")</f>
        <v/>
      </c>
      <c r="I486" s="445" t="str">
        <f>IFERROR(VLOOKUP(N486,'TABLA-DIA'!$B$2:$P$62,11,FALSE),"")</f>
        <v/>
      </c>
      <c r="J486" s="445" t="str">
        <f>IFERROR(VLOOKUP(N486,'TABLA-DIA'!$B$2:$P$62,12,FALSE),"")</f>
        <v/>
      </c>
      <c r="K486" s="128" t="str">
        <f>IFERROR(VLOOKUP(N486,'TABLA-DIA'!$B$2:$P$62,13,FALSE),"")</f>
        <v/>
      </c>
      <c r="L486" s="129" t="str">
        <f>IFERROR(IF(VLOOKUP(N486,'TABLA-DIA'!$B$2:$P$62,14,FALSE)="","",VLOOKUP(N486,'TABLA-DIA'!$B$2:$P$62,14,FALSE)),"")</f>
        <v/>
      </c>
      <c r="M486" s="138">
        <v>10</v>
      </c>
      <c r="N486" s="135" t="str">
        <f t="shared" si="26"/>
        <v>0-10</v>
      </c>
    </row>
    <row r="487" spans="2:15" ht="144.75" customHeight="1" thickBot="1">
      <c r="B487" s="772">
        <f>+'TABLA-DIA'!B169</f>
        <v>0</v>
      </c>
      <c r="C487" s="96" t="str">
        <f>IFERROR(VLOOKUP(N487,'TABLA-DIA'!$B$2:$P$62,9,FALSE),"")</f>
        <v/>
      </c>
      <c r="D487" s="121" t="str">
        <f>IFERROR(VLOOKUP(N487,'TABLA-DIA'!$B$2:$P$62,4,FALSE),"")</f>
        <v/>
      </c>
      <c r="E487" s="331" t="str">
        <f>IFERROR(VLOOKUP(N487,'TABLA-DIA'!$B$2:$P$62,5,FALSE),"")</f>
        <v/>
      </c>
      <c r="F487" s="331" t="str">
        <f>IFERROR(VLOOKUP(N487,'TABLA-DIA'!$B$2:$P$62,6,FALSE),"")</f>
        <v/>
      </c>
      <c r="G487" s="476" t="str">
        <f>IFERROR(VLOOKUP(N487,'TABLA-DIA'!$B$2:$P$62,7,FALSE),"")</f>
        <v/>
      </c>
      <c r="H487" s="122" t="str">
        <f>IFERROR(VLOOKUP(N487,'TABLA-DIA'!$B$2:$P$62,10,FALSE),"")</f>
        <v/>
      </c>
      <c r="I487" s="446" t="str">
        <f>IFERROR(VLOOKUP(N487,'TABLA-DIA'!$B$2:$P$62,11,FALSE),"")</f>
        <v/>
      </c>
      <c r="J487" s="442" t="str">
        <f>IFERROR(VLOOKUP(N487,'TABLA-DIA'!$B$2:$P$62,12,FALSE),"")</f>
        <v/>
      </c>
      <c r="K487" s="123" t="str">
        <f>IFERROR(VLOOKUP(N487,'TABLA-DIA'!$B$2:$P$62,13,FALSE),"")</f>
        <v/>
      </c>
      <c r="L487" s="431" t="str">
        <f>IFERROR(IF(VLOOKUP(N487,'TABLA-DIA'!$B$2:$P$62,14,FALSE)="","",VLOOKUP(N487,'TABLA-DIA'!$B$2:$P$62,14,FALSE)),"")</f>
        <v/>
      </c>
      <c r="M487" s="434">
        <v>1</v>
      </c>
      <c r="N487" s="157" t="str">
        <f>CONCATENATE($B$487,"-",M487)</f>
        <v>0-1</v>
      </c>
      <c r="O487" s="91">
        <f>COUNTIF(G487:G496,"&lt;&gt;**")</f>
        <v>0</v>
      </c>
    </row>
    <row r="488" spans="2:15" ht="67.150000000000006" hidden="1" customHeight="1">
      <c r="B488" s="773"/>
      <c r="C488" s="74" t="str">
        <f>IFERROR(VLOOKUP(N488,'TABLA-DIA'!$B$2:$P$62,9,FALSE),"")</f>
        <v/>
      </c>
      <c r="D488" s="116" t="str">
        <f>IFERROR(VLOOKUP(N488,'TABLA-DIA'!$B$2:$P$62,4,FALSE),"")</f>
        <v/>
      </c>
      <c r="E488" s="332" t="str">
        <f>IFERROR(VLOOKUP(N488,'TABLA-DIA'!$B$2:$P$62,5,FALSE),"")</f>
        <v/>
      </c>
      <c r="F488" s="332" t="str">
        <f>IFERROR(VLOOKUP(N488,'TABLA-DIA'!$B$2:$P$62,6,FALSE),"")</f>
        <v/>
      </c>
      <c r="G488" s="476" t="str">
        <f>IFERROR(VLOOKUP(N488,'TABLA-DIA'!$B$2:$P$62,7,FALSE),"")</f>
        <v/>
      </c>
      <c r="H488" s="117" t="str">
        <f>IFERROR(VLOOKUP(N488,'TABLA-DIA'!$B$2:$P$62,10,FALSE),"")</f>
        <v/>
      </c>
      <c r="I488" s="444" t="str">
        <f>IFERROR(VLOOKUP(N488,'TABLA-DIA'!$B$2:$P$62,11,FALSE),"")</f>
        <v/>
      </c>
      <c r="J488" s="442" t="str">
        <f>IFERROR(VLOOKUP(N488,'TABLA-DIA'!$B$2:$P$62,12,FALSE),"")</f>
        <v/>
      </c>
      <c r="K488" s="118" t="str">
        <f>IFERROR(VLOOKUP(N488,'TABLA-DIA'!$B$2:$P$62,13,FALSE),"")</f>
        <v/>
      </c>
      <c r="L488" s="432" t="str">
        <f>IFERROR(IF(VLOOKUP(N488,'TABLA-DIA'!$B$2:$P$62,14,FALSE)="","",VLOOKUP(N488,'TABLA-DIA'!$B$2:$P$62,14,FALSE)),"")</f>
        <v/>
      </c>
      <c r="M488" s="435">
        <v>2</v>
      </c>
      <c r="N488" s="436" t="str">
        <f t="shared" ref="N488:N496" si="27">CONCATENATE($B$487,"-",M488)</f>
        <v>0-2</v>
      </c>
    </row>
    <row r="489" spans="2:15" ht="67.150000000000006" hidden="1" customHeight="1">
      <c r="B489" s="773"/>
      <c r="C489" s="74" t="str">
        <f>IFERROR(VLOOKUP(N489,'TABLA-DIA'!$B$2:$P$62,9,FALSE),"")</f>
        <v/>
      </c>
      <c r="D489" s="116" t="str">
        <f>IFERROR(VLOOKUP(N489,'TABLA-DIA'!$B$2:$P$62,4,FALSE),"")</f>
        <v/>
      </c>
      <c r="E489" s="332" t="str">
        <f>IFERROR(VLOOKUP(N489,'TABLA-DIA'!$B$2:$P$62,5,FALSE),"")</f>
        <v/>
      </c>
      <c r="F489" s="332" t="str">
        <f>IFERROR(VLOOKUP(N489,'TABLA-DIA'!$B$2:$P$62,6,FALSE),"")</f>
        <v/>
      </c>
      <c r="G489" s="476" t="str">
        <f>IFERROR(VLOOKUP(N489,'TABLA-DIA'!$B$2:$P$62,7,FALSE),"")</f>
        <v/>
      </c>
      <c r="H489" s="117" t="str">
        <f>IFERROR(VLOOKUP(N489,'TABLA-DIA'!$B$2:$P$62,10,FALSE),"")</f>
        <v/>
      </c>
      <c r="I489" s="444" t="str">
        <f>IFERROR(VLOOKUP(N489,'TABLA-DIA'!$B$2:$P$62,11,FALSE),"")</f>
        <v/>
      </c>
      <c r="J489" s="442" t="str">
        <f>IFERROR(VLOOKUP(N489,'TABLA-DIA'!$B$2:$P$62,12,FALSE),"")</f>
        <v/>
      </c>
      <c r="K489" s="118" t="str">
        <f>IFERROR(VLOOKUP(N489,'TABLA-DIA'!$B$2:$P$62,13,FALSE),"")</f>
        <v/>
      </c>
      <c r="L489" s="432" t="str">
        <f>IFERROR(IF(VLOOKUP(N489,'TABLA-DIA'!$B$2:$P$62,14,FALSE)="","",VLOOKUP(N489,'TABLA-DIA'!$B$2:$P$62,14,FALSE)),"")</f>
        <v/>
      </c>
      <c r="M489" s="435">
        <v>3</v>
      </c>
      <c r="N489" s="436" t="str">
        <f t="shared" si="27"/>
        <v>0-3</v>
      </c>
    </row>
    <row r="490" spans="2:15" ht="67.150000000000006" hidden="1" customHeight="1">
      <c r="B490" s="773"/>
      <c r="C490" s="74" t="str">
        <f>IFERROR(VLOOKUP(N490,'TABLA-DIA'!$B$2:$P$62,9,FALSE),"")</f>
        <v/>
      </c>
      <c r="D490" s="116" t="str">
        <f>IFERROR(VLOOKUP(N490,'TABLA-DIA'!$B$2:$P$62,4,FALSE),"")</f>
        <v/>
      </c>
      <c r="E490" s="332" t="str">
        <f>IFERROR(VLOOKUP(N490,'TABLA-DIA'!$B$2:$P$62,5,FALSE),"")</f>
        <v/>
      </c>
      <c r="F490" s="332" t="str">
        <f>IFERROR(VLOOKUP(N490,'TABLA-DIA'!$B$2:$P$62,6,FALSE),"")</f>
        <v/>
      </c>
      <c r="G490" s="476" t="str">
        <f>IFERROR(VLOOKUP(N490,'TABLA-DIA'!$B$2:$P$62,7,FALSE),"")</f>
        <v/>
      </c>
      <c r="H490" s="117" t="str">
        <f>IFERROR(VLOOKUP(N490,'TABLA-DIA'!$B$2:$P$62,10,FALSE),"")</f>
        <v/>
      </c>
      <c r="I490" s="444" t="str">
        <f>IFERROR(VLOOKUP(N490,'TABLA-DIA'!$B$2:$P$62,11,FALSE),"")</f>
        <v/>
      </c>
      <c r="J490" s="442" t="str">
        <f>IFERROR(VLOOKUP(N490,'TABLA-DIA'!$B$2:$P$62,12,FALSE),"")</f>
        <v/>
      </c>
      <c r="K490" s="118" t="str">
        <f>IFERROR(VLOOKUP(N490,'TABLA-DIA'!$B$2:$P$62,13,FALSE),"")</f>
        <v/>
      </c>
      <c r="L490" s="432" t="str">
        <f>IFERROR(IF(VLOOKUP(N490,'TABLA-DIA'!$B$2:$P$62,14,FALSE)="","",VLOOKUP(N490,'TABLA-DIA'!$B$2:$P$62,14,FALSE)),"")</f>
        <v/>
      </c>
      <c r="M490" s="435">
        <v>4</v>
      </c>
      <c r="N490" s="436" t="str">
        <f t="shared" si="27"/>
        <v>0-4</v>
      </c>
    </row>
    <row r="491" spans="2:15" ht="67.150000000000006" hidden="1" customHeight="1">
      <c r="B491" s="773"/>
      <c r="C491" s="74" t="str">
        <f>IFERROR(VLOOKUP(N491,'TABLA-DIA'!$B$2:$P$62,9,FALSE),"")</f>
        <v/>
      </c>
      <c r="D491" s="116" t="str">
        <f>IFERROR(VLOOKUP(N491,'TABLA-DIA'!$B$2:$P$62,4,FALSE),"")</f>
        <v/>
      </c>
      <c r="E491" s="332" t="str">
        <f>IFERROR(VLOOKUP(N491,'TABLA-DIA'!$B$2:$P$62,5,FALSE),"")</f>
        <v/>
      </c>
      <c r="F491" s="332" t="str">
        <f>IFERROR(VLOOKUP(N491,'TABLA-DIA'!$B$2:$P$62,6,FALSE),"")</f>
        <v/>
      </c>
      <c r="G491" s="476" t="str">
        <f>IFERROR(VLOOKUP(N491,'TABLA-DIA'!$B$2:$P$62,7,FALSE),"")</f>
        <v/>
      </c>
      <c r="H491" s="117" t="str">
        <f>IFERROR(VLOOKUP(N491,'TABLA-DIA'!$B$2:$P$62,10,FALSE),"")</f>
        <v/>
      </c>
      <c r="I491" s="444" t="str">
        <f>IFERROR(VLOOKUP(N491,'TABLA-DIA'!$B$2:$P$62,11,FALSE),"")</f>
        <v/>
      </c>
      <c r="J491" s="442" t="str">
        <f>IFERROR(VLOOKUP(N491,'TABLA-DIA'!$B$2:$P$62,12,FALSE),"")</f>
        <v/>
      </c>
      <c r="K491" s="118" t="str">
        <f>IFERROR(VLOOKUP(N491,'TABLA-DIA'!$B$2:$P$62,13,FALSE),"")</f>
        <v/>
      </c>
      <c r="L491" s="432" t="str">
        <f>IFERROR(IF(VLOOKUP(N491,'TABLA-DIA'!$B$2:$P$62,14,FALSE)="","",VLOOKUP(N491,'TABLA-DIA'!$B$2:$P$62,14,FALSE)),"")</f>
        <v/>
      </c>
      <c r="M491" s="435">
        <v>5</v>
      </c>
      <c r="N491" s="436" t="str">
        <f t="shared" si="27"/>
        <v>0-5</v>
      </c>
    </row>
    <row r="492" spans="2:15" ht="67.150000000000006" hidden="1" customHeight="1">
      <c r="B492" s="773"/>
      <c r="C492" s="74" t="str">
        <f>IFERROR(VLOOKUP(N492,'TABLA-DIA'!$B$2:$P$62,9,FALSE),"")</f>
        <v/>
      </c>
      <c r="D492" s="116" t="str">
        <f>IFERROR(VLOOKUP(N492,'TABLA-DIA'!$B$2:$P$62,4,FALSE),"")</f>
        <v/>
      </c>
      <c r="E492" s="332" t="str">
        <f>IFERROR(VLOOKUP(N492,'TABLA-DIA'!$B$2:$P$62,5,FALSE),"")</f>
        <v/>
      </c>
      <c r="F492" s="332" t="str">
        <f>IFERROR(VLOOKUP(N492,'TABLA-DIA'!$B$2:$P$62,6,FALSE),"")</f>
        <v/>
      </c>
      <c r="G492" s="476" t="str">
        <f>IFERROR(VLOOKUP(N492,'TABLA-DIA'!$B$2:$P$62,7,FALSE),"")</f>
        <v/>
      </c>
      <c r="H492" s="117" t="str">
        <f>IFERROR(VLOOKUP(N492,'TABLA-DIA'!$B$2:$P$62,10,FALSE),"")</f>
        <v/>
      </c>
      <c r="I492" s="444" t="str">
        <f>IFERROR(VLOOKUP(N492,'TABLA-DIA'!$B$2:$P$62,11,FALSE),"")</f>
        <v/>
      </c>
      <c r="J492" s="442" t="str">
        <f>IFERROR(VLOOKUP(N492,'TABLA-DIA'!$B$2:$P$62,12,FALSE),"")</f>
        <v/>
      </c>
      <c r="K492" s="118" t="str">
        <f>IFERROR(VLOOKUP(N492,'TABLA-DIA'!$B$2:$P$62,13,FALSE),"")</f>
        <v/>
      </c>
      <c r="L492" s="432" t="str">
        <f>IFERROR(IF(VLOOKUP(N492,'TABLA-DIA'!$B$2:$P$62,14,FALSE)="","",VLOOKUP(N492,'TABLA-DIA'!$B$2:$P$62,14,FALSE)),"")</f>
        <v/>
      </c>
      <c r="M492" s="435">
        <v>6</v>
      </c>
      <c r="N492" s="436" t="str">
        <f t="shared" si="27"/>
        <v>0-6</v>
      </c>
    </row>
    <row r="493" spans="2:15" ht="67.150000000000006" hidden="1" customHeight="1">
      <c r="B493" s="773"/>
      <c r="C493" s="74" t="str">
        <f>IFERROR(VLOOKUP(N493,'TABLA-DIA'!$B$2:$P$62,9,FALSE),"")</f>
        <v/>
      </c>
      <c r="D493" s="116" t="str">
        <f>IFERROR(VLOOKUP(N493,'TABLA-DIA'!$B$2:$P$62,4,FALSE),"")</f>
        <v/>
      </c>
      <c r="E493" s="332" t="str">
        <f>IFERROR(VLOOKUP(N493,'TABLA-DIA'!$B$2:$P$62,5,FALSE),"")</f>
        <v/>
      </c>
      <c r="F493" s="332" t="str">
        <f>IFERROR(VLOOKUP(N493,'TABLA-DIA'!$B$2:$P$62,6,FALSE),"")</f>
        <v/>
      </c>
      <c r="G493" s="476" t="str">
        <f>IFERROR(VLOOKUP(N493,'TABLA-DIA'!$B$2:$P$62,7,FALSE),"")</f>
        <v/>
      </c>
      <c r="H493" s="117" t="str">
        <f>IFERROR(VLOOKUP(N493,'TABLA-DIA'!$B$2:$P$62,10,FALSE),"")</f>
        <v/>
      </c>
      <c r="I493" s="444" t="str">
        <f>IFERROR(VLOOKUP(N493,'TABLA-DIA'!$B$2:$P$62,11,FALSE),"")</f>
        <v/>
      </c>
      <c r="J493" s="442" t="str">
        <f>IFERROR(VLOOKUP(N493,'TABLA-DIA'!$B$2:$P$62,12,FALSE),"")</f>
        <v/>
      </c>
      <c r="K493" s="118" t="str">
        <f>IFERROR(VLOOKUP(N493,'TABLA-DIA'!$B$2:$P$62,13,FALSE),"")</f>
        <v/>
      </c>
      <c r="L493" s="432" t="str">
        <f>IFERROR(IF(VLOOKUP(N493,'TABLA-DIA'!$B$2:$P$62,14,FALSE)="","",VLOOKUP(N493,'TABLA-DIA'!$B$2:$P$62,14,FALSE)),"")</f>
        <v/>
      </c>
      <c r="M493" s="435">
        <v>7</v>
      </c>
      <c r="N493" s="436" t="str">
        <f t="shared" si="27"/>
        <v>0-7</v>
      </c>
    </row>
    <row r="494" spans="2:15" ht="67.150000000000006" hidden="1" customHeight="1">
      <c r="B494" s="773"/>
      <c r="C494" s="74" t="str">
        <f>IFERROR(VLOOKUP(N494,'TABLA-DIA'!$B$2:$P$62,9,FALSE),"")</f>
        <v/>
      </c>
      <c r="D494" s="116" t="str">
        <f>IFERROR(VLOOKUP(N494,'TABLA-DIA'!$B$2:$P$62,4,FALSE),"")</f>
        <v/>
      </c>
      <c r="E494" s="332" t="str">
        <f>IFERROR(VLOOKUP(N494,'TABLA-DIA'!$B$2:$P$62,5,FALSE),"")</f>
        <v/>
      </c>
      <c r="F494" s="332" t="str">
        <f>IFERROR(VLOOKUP(N494,'TABLA-DIA'!$B$2:$P$62,6,FALSE),"")</f>
        <v/>
      </c>
      <c r="G494" s="476" t="str">
        <f>IFERROR(VLOOKUP(N494,'TABLA-DIA'!$B$2:$P$62,7,FALSE),"")</f>
        <v/>
      </c>
      <c r="H494" s="117" t="str">
        <f>IFERROR(VLOOKUP(N494,'TABLA-DIA'!$B$2:$P$62,10,FALSE),"")</f>
        <v/>
      </c>
      <c r="I494" s="444" t="str">
        <f>IFERROR(VLOOKUP(N494,'TABLA-DIA'!$B$2:$P$62,11,FALSE),"")</f>
        <v/>
      </c>
      <c r="J494" s="442" t="str">
        <f>IFERROR(VLOOKUP(N494,'TABLA-DIA'!$B$2:$P$62,12,FALSE),"")</f>
        <v/>
      </c>
      <c r="K494" s="118" t="str">
        <f>IFERROR(VLOOKUP(N494,'TABLA-DIA'!$B$2:$P$62,13,FALSE),"")</f>
        <v/>
      </c>
      <c r="L494" s="432" t="str">
        <f>IFERROR(IF(VLOOKUP(N494,'TABLA-DIA'!$B$2:$P$62,14,FALSE)="","",VLOOKUP(N494,'TABLA-DIA'!$B$2:$P$62,14,FALSE)),"")</f>
        <v/>
      </c>
      <c r="M494" s="435">
        <v>8</v>
      </c>
      <c r="N494" s="436" t="str">
        <f t="shared" si="27"/>
        <v>0-8</v>
      </c>
    </row>
    <row r="495" spans="2:15" ht="67.150000000000006" hidden="1" customHeight="1">
      <c r="B495" s="773"/>
      <c r="C495" s="74" t="str">
        <f>IFERROR(VLOOKUP(N495,'TABLA-DIA'!$B$2:$P$62,9,FALSE),"")</f>
        <v/>
      </c>
      <c r="D495" s="116" t="str">
        <f>IFERROR(VLOOKUP(N495,'TABLA-DIA'!$B$2:$P$62,4,FALSE),"")</f>
        <v/>
      </c>
      <c r="E495" s="332" t="str">
        <f>IFERROR(VLOOKUP(N495,'TABLA-DIA'!$B$2:$P$62,5,FALSE),"")</f>
        <v/>
      </c>
      <c r="F495" s="332" t="str">
        <f>IFERROR(VLOOKUP(N495,'TABLA-DIA'!$B$2:$P$62,6,FALSE),"")</f>
        <v/>
      </c>
      <c r="G495" s="476" t="str">
        <f>IFERROR(VLOOKUP(N495,'TABLA-DIA'!$B$2:$P$62,7,FALSE),"")</f>
        <v/>
      </c>
      <c r="H495" s="117" t="str">
        <f>IFERROR(VLOOKUP(N495,'TABLA-DIA'!$B$2:$P$62,10,FALSE),"")</f>
        <v/>
      </c>
      <c r="I495" s="444" t="str">
        <f>IFERROR(VLOOKUP(N495,'TABLA-DIA'!$B$2:$P$62,11,FALSE),"")</f>
        <v/>
      </c>
      <c r="J495" s="442" t="str">
        <f>IFERROR(VLOOKUP(N495,'TABLA-DIA'!$B$2:$P$62,12,FALSE),"")</f>
        <v/>
      </c>
      <c r="K495" s="118" t="str">
        <f>IFERROR(VLOOKUP(N495,'TABLA-DIA'!$B$2:$P$62,13,FALSE),"")</f>
        <v/>
      </c>
      <c r="L495" s="432" t="str">
        <f>IFERROR(IF(VLOOKUP(N495,'TABLA-DIA'!$B$2:$P$62,14,FALSE)="","",VLOOKUP(N495,'TABLA-DIA'!$B$2:$P$62,14,FALSE)),"")</f>
        <v/>
      </c>
      <c r="M495" s="435">
        <v>9</v>
      </c>
      <c r="N495" s="436" t="str">
        <f>CONCATENATE($B$487,"-",M495)</f>
        <v>0-9</v>
      </c>
    </row>
    <row r="496" spans="2:15" ht="67.150000000000006" hidden="1" customHeight="1">
      <c r="B496" s="774"/>
      <c r="C496" s="137" t="str">
        <f>IFERROR(VLOOKUP(N496,'TABLA-DIA'!$B$2:$P$62,9,FALSE),"")</f>
        <v/>
      </c>
      <c r="D496" s="126" t="str">
        <f>IFERROR(VLOOKUP(N496,'TABLA-DIA'!$B$2:$P$62,4,FALSE),"")</f>
        <v/>
      </c>
      <c r="E496" s="334" t="str">
        <f>IFERROR(VLOOKUP(N496,'TABLA-DIA'!$B$2:$P$62,5,FALSE),"")</f>
        <v/>
      </c>
      <c r="F496" s="334" t="str">
        <f>IFERROR(VLOOKUP(N496,'TABLA-DIA'!$B$2:$P$62,6,FALSE),"")</f>
        <v/>
      </c>
      <c r="G496" s="476" t="str">
        <f>IFERROR(VLOOKUP(N496,'TABLA-DIA'!$B$2:$P$62,7,FALSE),"")</f>
        <v/>
      </c>
      <c r="H496" s="127" t="str">
        <f>IFERROR(VLOOKUP(N496,'TABLA-DIA'!$B$2:$P$62,10,FALSE),"")</f>
        <v/>
      </c>
      <c r="I496" s="445" t="str">
        <f>IFERROR(VLOOKUP(N496,'TABLA-DIA'!$B$2:$P$62,11,FALSE),"")</f>
        <v/>
      </c>
      <c r="J496" s="442" t="str">
        <f>IFERROR(VLOOKUP(N496,'TABLA-DIA'!$B$2:$P$62,12,FALSE),"")</f>
        <v/>
      </c>
      <c r="K496" s="128" t="str">
        <f>IFERROR(VLOOKUP(N496,'TABLA-DIA'!$B$2:$P$62,13,FALSE),"")</f>
        <v/>
      </c>
      <c r="L496" s="433" t="str">
        <f>IFERROR(IF(VLOOKUP(N496,'TABLA-DIA'!$B$2:$P$62,14,FALSE)="","",VLOOKUP(N496,'TABLA-DIA'!$B$2:$P$62,14,FALSE)),"")</f>
        <v/>
      </c>
      <c r="M496" s="437">
        <v>10</v>
      </c>
      <c r="N496" s="438" t="str">
        <f t="shared" si="27"/>
        <v>0-10</v>
      </c>
    </row>
    <row r="497" spans="2:15" ht="141.75" customHeight="1">
      <c r="B497" s="772">
        <f>+'TABLA-DIA'!B170</f>
        <v>0</v>
      </c>
      <c r="C497" s="96" t="str">
        <f>IFERROR(VLOOKUP(N497,'TABLA-DIA'!$B$2:$P$62,9,FALSE),"")</f>
        <v/>
      </c>
      <c r="D497" s="121" t="str">
        <f>IFERROR(VLOOKUP(N497,'TABLA-DIA'!$B$2:$P$62,4,FALSE),"")</f>
        <v/>
      </c>
      <c r="E497" s="331" t="str">
        <f>IFERROR(VLOOKUP(N497,'TABLA-DIA'!$B$2:$P$62,5,FALSE),"")</f>
        <v/>
      </c>
      <c r="F497" s="331" t="str">
        <f>IFERROR(VLOOKUP(N497,'TABLA-DIA'!$B$2:$P$62,6,FALSE),"")</f>
        <v/>
      </c>
      <c r="G497" s="476" t="str">
        <f>IFERROR(VLOOKUP(N497,'TABLA-DIA'!$B$2:$P$62,7,FALSE),"")</f>
        <v/>
      </c>
      <c r="H497" s="122" t="str">
        <f>IFERROR(VLOOKUP(N497,'TABLA-DIA'!$B$2:$P$62,10,FALSE),"")</f>
        <v/>
      </c>
      <c r="I497" s="446" t="str">
        <f>IFERROR(VLOOKUP(N497,'TABLA-DIA'!$B$2:$P$62,11,FALSE),"")</f>
        <v/>
      </c>
      <c r="J497" s="442" t="str">
        <f>IFERROR(VLOOKUP(N497,'TABLA-DIA'!$B$2:$P$62,12,FALSE),"")</f>
        <v/>
      </c>
      <c r="K497" s="123" t="str">
        <f>IFERROR(VLOOKUP(N497,'TABLA-DIA'!$B$2:$P$62,13,FALSE),"")</f>
        <v/>
      </c>
      <c r="L497" s="124" t="str">
        <f>IFERROR(IF(VLOOKUP(N497,'TABLA-DIA'!$B$2:$P$62,14,FALSE)="","",VLOOKUP(N497,'TABLA-DIA'!$B$2:$P$62,14,FALSE)),"")</f>
        <v/>
      </c>
      <c r="M497" s="434">
        <v>1</v>
      </c>
      <c r="N497" s="157" t="str">
        <f>CONCATENATE($B$497,"-",M497)</f>
        <v>0-1</v>
      </c>
      <c r="O497" s="91">
        <f>COUNTIF(G497:G506,"&lt;&gt;**")</f>
        <v>0</v>
      </c>
    </row>
    <row r="498" spans="2:15" ht="67.150000000000006" hidden="1" customHeight="1">
      <c r="B498" s="773"/>
      <c r="C498" s="74" t="str">
        <f>IFERROR(VLOOKUP(N498,'TABLA-DIA'!$B$2:$P$62,9,FALSE),"")</f>
        <v/>
      </c>
      <c r="D498" s="116" t="str">
        <f>IFERROR(VLOOKUP(N498,'TABLA-DIA'!$B$2:$P$62,4,FALSE),"")</f>
        <v/>
      </c>
      <c r="E498" s="332" t="str">
        <f>IFERROR(VLOOKUP(N498,'TABLA-DIA'!$B$2:$P$62,5,FALSE),"")</f>
        <v/>
      </c>
      <c r="F498" s="332" t="str">
        <f>IFERROR(VLOOKUP(N498,'TABLA-DIA'!$B$2:$P$62,6,FALSE),"")</f>
        <v/>
      </c>
      <c r="G498" s="360" t="str">
        <f>IFERROR(VLOOKUP(N498,'TABLA-DIA'!$B$2:$P$62,7,FALSE),"")</f>
        <v/>
      </c>
      <c r="H498" s="117" t="str">
        <f>IFERROR(VLOOKUP(N498,'TABLA-DIA'!$B$2:$P$62,10,FALSE),"")</f>
        <v/>
      </c>
      <c r="I498" s="444" t="str">
        <f>IFERROR(VLOOKUP(N498,'TABLA-DIA'!$B$2:$P$62,11,FALSE),"")</f>
        <v/>
      </c>
      <c r="J498" s="444" t="str">
        <f>IFERROR(VLOOKUP(N498,'TABLA-DIA'!$B$2:$P$62,12,FALSE),"")</f>
        <v/>
      </c>
      <c r="K498" s="118" t="str">
        <f>IFERROR(VLOOKUP(N498,'TABLA-DIA'!$B$2:$P$62,13,FALSE),"")</f>
        <v/>
      </c>
      <c r="L498" s="119" t="str">
        <f>IFERROR(IF(VLOOKUP(N498,'TABLA-DIA'!$B$2:$P$62,14,FALSE)="","",VLOOKUP(N498,'TABLA-DIA'!$B$2:$P$62,14,FALSE)),"")</f>
        <v/>
      </c>
      <c r="M498" s="435">
        <v>2</v>
      </c>
      <c r="N498" s="157" t="str">
        <f t="shared" ref="N498:N506" si="28">CONCATENATE($B$497,"-",M498)</f>
        <v>0-2</v>
      </c>
    </row>
    <row r="499" spans="2:15" ht="67.150000000000006" hidden="1" customHeight="1">
      <c r="B499" s="773"/>
      <c r="C499" s="74" t="str">
        <f>IFERROR(VLOOKUP(N499,'TABLA-DIA'!$B$2:$P$62,9,FALSE),"")</f>
        <v/>
      </c>
      <c r="D499" s="116" t="str">
        <f>IFERROR(VLOOKUP(N499,'TABLA-DIA'!$B$2:$P$62,4,FALSE),"")</f>
        <v/>
      </c>
      <c r="E499" s="332" t="str">
        <f>IFERROR(VLOOKUP(N499,'TABLA-DIA'!$B$2:$P$62,5,FALSE),"")</f>
        <v/>
      </c>
      <c r="F499" s="332" t="str">
        <f>IFERROR(VLOOKUP(N499,'TABLA-DIA'!$B$2:$P$62,6,FALSE),"")</f>
        <v/>
      </c>
      <c r="G499" s="360" t="str">
        <f>IFERROR(VLOOKUP(N499,'TABLA-DIA'!$B$2:$P$62,7,FALSE),"")</f>
        <v/>
      </c>
      <c r="H499" s="117" t="str">
        <f>IFERROR(VLOOKUP(N499,'TABLA-DIA'!$B$2:$P$62,10,FALSE),"")</f>
        <v/>
      </c>
      <c r="I499" s="444" t="str">
        <f>IFERROR(VLOOKUP(N499,'TABLA-DIA'!$B$2:$P$62,11,FALSE),"")</f>
        <v/>
      </c>
      <c r="J499" s="444" t="str">
        <f>IFERROR(VLOOKUP(N499,'TABLA-DIA'!$B$2:$P$62,12,FALSE),"")</f>
        <v/>
      </c>
      <c r="K499" s="118" t="str">
        <f>IFERROR(VLOOKUP(N499,'TABLA-DIA'!$B$2:$P$62,13,FALSE),"")</f>
        <v/>
      </c>
      <c r="L499" s="119" t="str">
        <f>IFERROR(IF(VLOOKUP(N499,'TABLA-DIA'!$B$2:$P$62,14,FALSE)="","",VLOOKUP(N499,'TABLA-DIA'!$B$2:$P$62,14,FALSE)),"")</f>
        <v/>
      </c>
      <c r="M499" s="435">
        <v>3</v>
      </c>
      <c r="N499" s="157" t="str">
        <f t="shared" si="28"/>
        <v>0-3</v>
      </c>
    </row>
    <row r="500" spans="2:15" ht="67.150000000000006" hidden="1" customHeight="1">
      <c r="B500" s="773"/>
      <c r="C500" s="74" t="str">
        <f>IFERROR(VLOOKUP(N500,'TABLA-DIA'!$B$2:$P$62,9,FALSE),"")</f>
        <v/>
      </c>
      <c r="D500" s="116" t="str">
        <f>IFERROR(VLOOKUP(N500,'TABLA-DIA'!$B$2:$P$62,4,FALSE),"")</f>
        <v/>
      </c>
      <c r="E500" s="332" t="str">
        <f>IFERROR(VLOOKUP(N500,'TABLA-DIA'!$B$2:$P$62,5,FALSE),"")</f>
        <v/>
      </c>
      <c r="F500" s="332" t="str">
        <f>IFERROR(VLOOKUP(N500,'TABLA-DIA'!$B$2:$P$62,6,FALSE),"")</f>
        <v/>
      </c>
      <c r="G500" s="360" t="str">
        <f>IFERROR(VLOOKUP(N500,'TABLA-DIA'!$B$2:$P$62,7,FALSE),"")</f>
        <v/>
      </c>
      <c r="H500" s="117" t="str">
        <f>IFERROR(VLOOKUP(N500,'TABLA-DIA'!$B$2:$P$62,10,FALSE),"")</f>
        <v/>
      </c>
      <c r="I500" s="444" t="str">
        <f>IFERROR(VLOOKUP(N500,'TABLA-DIA'!$B$2:$P$62,11,FALSE),"")</f>
        <v/>
      </c>
      <c r="J500" s="444" t="str">
        <f>IFERROR(VLOOKUP(N500,'TABLA-DIA'!$B$2:$P$62,12,FALSE),"")</f>
        <v/>
      </c>
      <c r="K500" s="118" t="str">
        <f>IFERROR(VLOOKUP(N500,'TABLA-DIA'!$B$2:$P$62,13,FALSE),"")</f>
        <v/>
      </c>
      <c r="L500" s="119" t="str">
        <f>IFERROR(IF(VLOOKUP(N500,'TABLA-DIA'!$B$2:$P$62,14,FALSE)="","",VLOOKUP(N500,'TABLA-DIA'!$B$2:$P$62,14,FALSE)),"")</f>
        <v/>
      </c>
      <c r="M500" s="435">
        <v>4</v>
      </c>
      <c r="N500" s="157" t="str">
        <f t="shared" si="28"/>
        <v>0-4</v>
      </c>
    </row>
    <row r="501" spans="2:15" ht="67.150000000000006" hidden="1" customHeight="1">
      <c r="B501" s="773"/>
      <c r="C501" s="74" t="str">
        <f>IFERROR(VLOOKUP(N501,'TABLA-DIA'!$B$2:$P$62,9,FALSE),"")</f>
        <v/>
      </c>
      <c r="D501" s="116" t="str">
        <f>IFERROR(VLOOKUP(N501,'TABLA-DIA'!$B$2:$P$62,4,FALSE),"")</f>
        <v/>
      </c>
      <c r="E501" s="332" t="str">
        <f>IFERROR(VLOOKUP(N501,'TABLA-DIA'!$B$2:$P$62,5,FALSE),"")</f>
        <v/>
      </c>
      <c r="F501" s="332" t="str">
        <f>IFERROR(VLOOKUP(N501,'TABLA-DIA'!$B$2:$P$62,6,FALSE),"")</f>
        <v/>
      </c>
      <c r="G501" s="360" t="str">
        <f>IFERROR(VLOOKUP(N501,'TABLA-DIA'!$B$2:$P$62,7,FALSE),"")</f>
        <v/>
      </c>
      <c r="H501" s="117" t="str">
        <f>IFERROR(VLOOKUP(N501,'TABLA-DIA'!$B$2:$P$62,10,FALSE),"")</f>
        <v/>
      </c>
      <c r="I501" s="444" t="str">
        <f>IFERROR(VLOOKUP(N501,'TABLA-DIA'!$B$2:$P$62,11,FALSE),"")</f>
        <v/>
      </c>
      <c r="J501" s="444" t="str">
        <f>IFERROR(VLOOKUP(N501,'TABLA-DIA'!$B$2:$P$62,12,FALSE),"")</f>
        <v/>
      </c>
      <c r="K501" s="118" t="str">
        <f>IFERROR(VLOOKUP(N501,'TABLA-DIA'!$B$2:$P$62,13,FALSE),"")</f>
        <v/>
      </c>
      <c r="L501" s="119" t="str">
        <f>IFERROR(IF(VLOOKUP(N501,'TABLA-DIA'!$B$2:$P$62,14,FALSE)="","",VLOOKUP(N501,'TABLA-DIA'!$B$2:$P$62,14,FALSE)),"")</f>
        <v/>
      </c>
      <c r="M501" s="435">
        <v>5</v>
      </c>
      <c r="N501" s="157" t="str">
        <f t="shared" si="28"/>
        <v>0-5</v>
      </c>
    </row>
    <row r="502" spans="2:15" ht="67.150000000000006" hidden="1" customHeight="1">
      <c r="B502" s="773"/>
      <c r="C502" s="74" t="str">
        <f>IFERROR(VLOOKUP(N502,'TABLA-DIA'!$B$2:$P$62,9,FALSE),"")</f>
        <v/>
      </c>
      <c r="D502" s="116" t="str">
        <f>IFERROR(VLOOKUP(N502,'TABLA-DIA'!$B$2:$P$62,4,FALSE),"")</f>
        <v/>
      </c>
      <c r="E502" s="332" t="str">
        <f>IFERROR(VLOOKUP(N502,'TABLA-DIA'!$B$2:$P$62,5,FALSE),"")</f>
        <v/>
      </c>
      <c r="F502" s="332" t="str">
        <f>IFERROR(VLOOKUP(N502,'TABLA-DIA'!$B$2:$P$62,6,FALSE),"")</f>
        <v/>
      </c>
      <c r="G502" s="360" t="str">
        <f>IFERROR(VLOOKUP(N502,'TABLA-DIA'!$B$2:$P$62,7,FALSE),"")</f>
        <v/>
      </c>
      <c r="H502" s="117" t="str">
        <f>IFERROR(VLOOKUP(N502,'TABLA-DIA'!$B$2:$P$62,10,FALSE),"")</f>
        <v/>
      </c>
      <c r="I502" s="444" t="str">
        <f>IFERROR(VLOOKUP(N502,'TABLA-DIA'!$B$2:$P$62,11,FALSE),"")</f>
        <v/>
      </c>
      <c r="J502" s="444" t="str">
        <f>IFERROR(VLOOKUP(N502,'TABLA-DIA'!$B$2:$P$62,12,FALSE),"")</f>
        <v/>
      </c>
      <c r="K502" s="118" t="str">
        <f>IFERROR(VLOOKUP(N502,'TABLA-DIA'!$B$2:$P$62,13,FALSE),"")</f>
        <v/>
      </c>
      <c r="L502" s="119" t="str">
        <f>IFERROR(IF(VLOOKUP(N502,'TABLA-DIA'!$B$2:$P$62,14,FALSE)="","",VLOOKUP(N502,'TABLA-DIA'!$B$2:$P$62,14,FALSE)),"")</f>
        <v/>
      </c>
      <c r="M502" s="435">
        <v>6</v>
      </c>
      <c r="N502" s="157" t="str">
        <f t="shared" si="28"/>
        <v>0-6</v>
      </c>
    </row>
    <row r="503" spans="2:15" ht="67.150000000000006" hidden="1" customHeight="1">
      <c r="B503" s="773"/>
      <c r="C503" s="74" t="str">
        <f>IFERROR(VLOOKUP(N503,'TABLA-DIA'!$B$2:$P$62,9,FALSE),"")</f>
        <v/>
      </c>
      <c r="D503" s="116" t="str">
        <f>IFERROR(VLOOKUP(N503,'TABLA-DIA'!$B$2:$P$62,4,FALSE),"")</f>
        <v/>
      </c>
      <c r="E503" s="332" t="str">
        <f>IFERROR(VLOOKUP(N503,'TABLA-DIA'!$B$2:$P$62,5,FALSE),"")</f>
        <v/>
      </c>
      <c r="F503" s="332" t="str">
        <f>IFERROR(VLOOKUP(N503,'TABLA-DIA'!$B$2:$P$62,6,FALSE),"")</f>
        <v/>
      </c>
      <c r="G503" s="360" t="str">
        <f>IFERROR(VLOOKUP(N503,'TABLA-DIA'!$B$2:$P$62,7,FALSE),"")</f>
        <v/>
      </c>
      <c r="H503" s="117" t="str">
        <f>IFERROR(VLOOKUP(N503,'TABLA-DIA'!$B$2:$P$62,10,FALSE),"")</f>
        <v/>
      </c>
      <c r="I503" s="444" t="str">
        <f>IFERROR(VLOOKUP(N503,'TABLA-DIA'!$B$2:$P$62,11,FALSE),"")</f>
        <v/>
      </c>
      <c r="J503" s="444" t="str">
        <f>IFERROR(VLOOKUP(N503,'TABLA-DIA'!$B$2:$P$62,12,FALSE),"")</f>
        <v/>
      </c>
      <c r="K503" s="118" t="str">
        <f>IFERROR(VLOOKUP(N503,'TABLA-DIA'!$B$2:$P$62,13,FALSE),"")</f>
        <v/>
      </c>
      <c r="L503" s="119" t="str">
        <f>IFERROR(IF(VLOOKUP(N503,'TABLA-DIA'!$B$2:$P$62,14,FALSE)="","",VLOOKUP(N503,'TABLA-DIA'!$B$2:$P$62,14,FALSE)),"")</f>
        <v/>
      </c>
      <c r="M503" s="435">
        <v>7</v>
      </c>
      <c r="N503" s="157" t="str">
        <f>CONCATENATE($B$497,"-",M503)</f>
        <v>0-7</v>
      </c>
    </row>
    <row r="504" spans="2:15" ht="67.150000000000006" hidden="1" customHeight="1">
      <c r="B504" s="773"/>
      <c r="C504" s="74" t="str">
        <f>IFERROR(VLOOKUP(N504,'TABLA-DIA'!$B$2:$P$62,9,FALSE),"")</f>
        <v/>
      </c>
      <c r="D504" s="116" t="str">
        <f>IFERROR(VLOOKUP(N504,'TABLA-DIA'!$B$2:$P$62,4,FALSE),"")</f>
        <v/>
      </c>
      <c r="E504" s="332" t="str">
        <f>IFERROR(VLOOKUP(N504,'TABLA-DIA'!$B$2:$P$62,5,FALSE),"")</f>
        <v/>
      </c>
      <c r="F504" s="332" t="str">
        <f>IFERROR(VLOOKUP(N504,'TABLA-DIA'!$B$2:$P$62,6,FALSE),"")</f>
        <v/>
      </c>
      <c r="G504" s="360" t="str">
        <f>IFERROR(VLOOKUP(N504,'TABLA-DIA'!$B$2:$P$62,7,FALSE),"")</f>
        <v/>
      </c>
      <c r="H504" s="117" t="str">
        <f>IFERROR(VLOOKUP(N504,'TABLA-DIA'!$B$2:$P$62,10,FALSE),"")</f>
        <v/>
      </c>
      <c r="I504" s="444" t="str">
        <f>IFERROR(VLOOKUP(N504,'TABLA-DIA'!$B$2:$P$62,11,FALSE),"")</f>
        <v/>
      </c>
      <c r="J504" s="444" t="str">
        <f>IFERROR(VLOOKUP(N504,'TABLA-DIA'!$B$2:$P$62,12,FALSE),"")</f>
        <v/>
      </c>
      <c r="K504" s="118" t="str">
        <f>IFERROR(VLOOKUP(N504,'TABLA-DIA'!$B$2:$P$62,13,FALSE),"")</f>
        <v/>
      </c>
      <c r="L504" s="119" t="str">
        <f>IFERROR(IF(VLOOKUP(N504,'TABLA-DIA'!$B$2:$P$62,14,FALSE)="","",VLOOKUP(N504,'TABLA-DIA'!$B$2:$P$62,14,FALSE)),"")</f>
        <v/>
      </c>
      <c r="M504" s="435">
        <v>8</v>
      </c>
      <c r="N504" s="157" t="str">
        <f t="shared" si="28"/>
        <v>0-8</v>
      </c>
    </row>
    <row r="505" spans="2:15" ht="67.150000000000006" hidden="1" customHeight="1">
      <c r="B505" s="773"/>
      <c r="C505" s="74" t="str">
        <f>IFERROR(VLOOKUP(N505,'TABLA-DIA'!$B$2:$P$62,9,FALSE),"")</f>
        <v/>
      </c>
      <c r="D505" s="116" t="str">
        <f>IFERROR(VLOOKUP(N505,'TABLA-DIA'!$B$2:$P$62,4,FALSE),"")</f>
        <v/>
      </c>
      <c r="E505" s="332" t="str">
        <f>IFERROR(VLOOKUP(N505,'TABLA-DIA'!$B$2:$P$62,5,FALSE),"")</f>
        <v/>
      </c>
      <c r="F505" s="332" t="str">
        <f>IFERROR(VLOOKUP(N505,'TABLA-DIA'!$B$2:$P$62,6,FALSE),"")</f>
        <v/>
      </c>
      <c r="G505" s="360" t="str">
        <f>IFERROR(VLOOKUP(N505,'TABLA-DIA'!$B$2:$P$62,7,FALSE),"")</f>
        <v/>
      </c>
      <c r="H505" s="117" t="str">
        <f>IFERROR(VLOOKUP(N505,'TABLA-DIA'!$B$2:$P$62,10,FALSE),"")</f>
        <v/>
      </c>
      <c r="I505" s="444" t="str">
        <f>IFERROR(VLOOKUP(N505,'TABLA-DIA'!$B$2:$P$62,11,FALSE),"")</f>
        <v/>
      </c>
      <c r="J505" s="444" t="str">
        <f>IFERROR(VLOOKUP(N505,'TABLA-DIA'!$B$2:$P$62,12,FALSE),"")</f>
        <v/>
      </c>
      <c r="K505" s="118" t="str">
        <f>IFERROR(VLOOKUP(N505,'TABLA-DIA'!$B$2:$P$62,13,FALSE),"")</f>
        <v/>
      </c>
      <c r="L505" s="119" t="str">
        <f>IFERROR(IF(VLOOKUP(N505,'TABLA-DIA'!$B$2:$P$62,14,FALSE)="","",VLOOKUP(N505,'TABLA-DIA'!$B$2:$P$62,14,FALSE)),"")</f>
        <v/>
      </c>
      <c r="M505" s="435">
        <v>9</v>
      </c>
      <c r="N505" s="157" t="str">
        <f t="shared" si="28"/>
        <v>0-9</v>
      </c>
    </row>
    <row r="506" spans="2:15" ht="67.150000000000006" hidden="1" customHeight="1">
      <c r="B506" s="773"/>
      <c r="C506" s="137" t="str">
        <f>IFERROR(VLOOKUP(N506,'TABLA-DIA'!$B$2:$P$62,9,FALSE),"")</f>
        <v/>
      </c>
      <c r="D506" s="126" t="str">
        <f>IFERROR(VLOOKUP(N506,'TABLA-DIA'!$B$2:$P$62,4,FALSE),"")</f>
        <v/>
      </c>
      <c r="E506" s="334" t="str">
        <f>IFERROR(VLOOKUP(N506,'TABLA-DIA'!$B$2:$P$62,5,FALSE),"")</f>
        <v/>
      </c>
      <c r="F506" s="334" t="str">
        <f>IFERROR(VLOOKUP(N506,'TABLA-DIA'!$B$2:$P$62,6,FALSE),"")</f>
        <v/>
      </c>
      <c r="G506" s="362" t="str">
        <f>IFERROR(VLOOKUP(N506,'TABLA-DIA'!$B$2:$P$62,7,FALSE),"")</f>
        <v/>
      </c>
      <c r="H506" s="127" t="str">
        <f>IFERROR(VLOOKUP(N506,'TABLA-DIA'!$B$2:$P$62,10,FALSE),"")</f>
        <v/>
      </c>
      <c r="I506" s="445" t="str">
        <f>IFERROR(VLOOKUP(N506,'TABLA-DIA'!$B$2:$P$62,11,FALSE),"")</f>
        <v/>
      </c>
      <c r="J506" s="445" t="str">
        <f>IFERROR(VLOOKUP(N506,'TABLA-DIA'!$B$2:$P$62,12,FALSE),"")</f>
        <v/>
      </c>
      <c r="K506" s="128" t="str">
        <f>IFERROR(VLOOKUP(N506,'TABLA-DIA'!$B$2:$P$62,13,FALSE),"")</f>
        <v/>
      </c>
      <c r="L506" s="129" t="str">
        <f>IFERROR(IF(VLOOKUP(N506,'TABLA-DIA'!$B$2:$P$62,14,FALSE)="","",VLOOKUP(N506,'TABLA-DIA'!$B$2:$P$62,14,FALSE)),"")</f>
        <v/>
      </c>
      <c r="M506" s="437">
        <v>10</v>
      </c>
      <c r="N506" s="157" t="str">
        <f t="shared" si="28"/>
        <v>0-10</v>
      </c>
    </row>
  </sheetData>
  <mergeCells count="24">
    <mergeCell ref="B477:B486"/>
    <mergeCell ref="B487:B496"/>
    <mergeCell ref="B497:B506"/>
    <mergeCell ref="B427:B436"/>
    <mergeCell ref="B437:B446"/>
    <mergeCell ref="B447:B456"/>
    <mergeCell ref="B457:B466"/>
    <mergeCell ref="B467:B476"/>
    <mergeCell ref="B377:B386"/>
    <mergeCell ref="B387:B396"/>
    <mergeCell ref="B397:B406"/>
    <mergeCell ref="B407:B416"/>
    <mergeCell ref="B417:B426"/>
    <mergeCell ref="B325:B336"/>
    <mergeCell ref="B337:B346"/>
    <mergeCell ref="B347:B356"/>
    <mergeCell ref="B357:B366"/>
    <mergeCell ref="B367:B376"/>
    <mergeCell ref="E3:K4"/>
    <mergeCell ref="L3:L4"/>
    <mergeCell ref="B3:D4"/>
    <mergeCell ref="E318:K319"/>
    <mergeCell ref="L318:L319"/>
    <mergeCell ref="B318:D319"/>
  </mergeCells>
  <conditionalFormatting sqref="D320:D322">
    <cfRule type="containsText" dxfId="14" priority="11" operator="containsText" text="NOCHE">
      <formula>NOT(ISERROR(SEARCH("NOCHE",D320)))</formula>
    </cfRule>
    <cfRule type="containsText" dxfId="13" priority="12" operator="containsText" text="TARDE">
      <formula>NOT(ISERROR(SEARCH("TARDE",D320)))</formula>
    </cfRule>
    <cfRule type="containsText" dxfId="12" priority="13" operator="containsText" text="MAÑANA">
      <formula>NOT(ISERROR(SEARCH("MAÑANA",D320)))</formula>
    </cfRule>
  </conditionalFormatting>
  <conditionalFormatting sqref="D325:D506">
    <cfRule type="containsText" dxfId="11" priority="17" operator="containsText" text="NOCHE">
      <formula>NOT(ISERROR(SEARCH("NOCHE",D325)))</formula>
    </cfRule>
    <cfRule type="containsText" dxfId="10" priority="18" operator="containsText" text="TARDE">
      <formula>NOT(ISERROR(SEARCH("TARDE",D325)))</formula>
    </cfRule>
    <cfRule type="containsText" dxfId="9" priority="19" operator="containsText" text="MAÑANA">
      <formula>NOT(ISERROR(SEARCH("MAÑANA",D325)))</formula>
    </cfRule>
  </conditionalFormatting>
  <conditionalFormatting sqref="G320:G322 G325:G506">
    <cfRule type="cellIs" dxfId="8" priority="503" operator="between">
      <formula>$R$320</formula>
      <formula>$S$320</formula>
    </cfRule>
    <cfRule type="cellIs" dxfId="7" priority="504" operator="between">
      <formula>$R$322</formula>
      <formula>$S$322</formula>
    </cfRule>
    <cfRule type="cellIs" dxfId="6" priority="505" operator="between">
      <formula>$R$321</formula>
      <formula>$S$321</formula>
    </cfRule>
  </conditionalFormatting>
  <conditionalFormatting sqref="I321:I322">
    <cfRule type="endsWith" dxfId="5" priority="1" operator="endsWith" text="NO PROGRAMADA">
      <formula>RIGHT(I321,LEN("NO PROGRAMADA"))="NO PROGRAMADA"</formula>
    </cfRule>
  </conditionalFormatting>
  <conditionalFormatting sqref="I325:I506">
    <cfRule type="endsWith" dxfId="4" priority="22" operator="endsWith" text="NO PROGRAMADA">
      <formula>RIGHT(I325,LEN("NO PROGRAMADA"))="NO PROGRAMADA"</formula>
    </cfRule>
  </conditionalFormatting>
  <conditionalFormatting sqref="J321:J322">
    <cfRule type="containsText" dxfId="3" priority="3" operator="containsText" text="ELÉCTRICA">
      <formula>NOT(ISERROR(SEARCH("ELÉCTRICA",J321)))</formula>
    </cfRule>
    <cfRule type="containsText" dxfId="2" priority="4" operator="containsText" text="MECÁNICA">
      <formula>NOT(ISERROR(SEARCH("MECÁNICA",J321)))</formula>
    </cfRule>
  </conditionalFormatting>
  <conditionalFormatting sqref="J325:J506">
    <cfRule type="containsText" dxfId="1" priority="20" operator="containsText" text="ELÉCTRICA">
      <formula>NOT(ISERROR(SEARCH("ELÉCTRICA",J325)))</formula>
    </cfRule>
    <cfRule type="containsText" dxfId="0" priority="21" operator="containsText" text="MECÁNICA">
      <formula>NOT(ISERROR(SEARCH("MECÁNICA",J325)))</formula>
    </cfRule>
  </conditionalFormatting>
  <pageMargins left="0.7" right="0.7" top="0.75" bottom="0.75" header="0.3" footer="0.3"/>
  <pageSetup scale="17" fitToHeight="0" orientation="portrait" r:id="rId1"/>
  <rowBreaks count="1" manualBreakCount="1">
    <brk id="243" min="1" max="11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71E3D41FA38241A20A2028EC273FD6" ma:contentTypeVersion="13" ma:contentTypeDescription="Create a new document." ma:contentTypeScope="" ma:versionID="3580065e44c8d8ac557c1c518787ef76">
  <xsd:schema xmlns:xsd="http://www.w3.org/2001/XMLSchema" xmlns:xs="http://www.w3.org/2001/XMLSchema" xmlns:p="http://schemas.microsoft.com/office/2006/metadata/properties" xmlns:ns3="85f5b3d9-b570-4d91-837e-677349f9d22f" xmlns:ns4="42e63b9e-b516-463c-91a4-1ed58d0ab08e" targetNamespace="http://schemas.microsoft.com/office/2006/metadata/properties" ma:root="true" ma:fieldsID="18b2c92df49ed9dea1f095ede7ab6f0e" ns3:_="" ns4:_="">
    <xsd:import namespace="85f5b3d9-b570-4d91-837e-677349f9d22f"/>
    <xsd:import namespace="42e63b9e-b516-463c-91a4-1ed58d0ab08e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f5b3d9-b570-4d91-837e-677349f9d22f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e63b9e-b516-463c-91a4-1ed58d0ab08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5f5b3d9-b570-4d91-837e-677349f9d22f" xsi:nil="true"/>
  </documentManagement>
</p:properties>
</file>

<file path=customXml/itemProps1.xml><?xml version="1.0" encoding="utf-8"?>
<ds:datastoreItem xmlns:ds="http://schemas.openxmlformats.org/officeDocument/2006/customXml" ds:itemID="{5619AC60-3360-40F0-BA9B-4F31EC7066CC}"/>
</file>

<file path=customXml/itemProps2.xml><?xml version="1.0" encoding="utf-8"?>
<ds:datastoreItem xmlns:ds="http://schemas.openxmlformats.org/officeDocument/2006/customXml" ds:itemID="{6EFA25D4-922D-46E8-BF5D-416A9E1D7A63}"/>
</file>

<file path=customXml/itemProps3.xml><?xml version="1.0" encoding="utf-8"?>
<ds:datastoreItem xmlns:ds="http://schemas.openxmlformats.org/officeDocument/2006/customXml" ds:itemID="{68705999-C9CF-4083-9638-00F1D167C8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Jerson Rafael Tito Vargas</dc:creator>
  <cp:keywords/>
  <dc:description/>
  <cp:lastModifiedBy/>
  <cp:revision/>
  <dcterms:created xsi:type="dcterms:W3CDTF">2023-09-07T21:34:21Z</dcterms:created>
  <dcterms:modified xsi:type="dcterms:W3CDTF">2026-07-03T16:37:07Z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0x010100C271E3D41FA38241A20A2028EC273FD6</vt:lpwstr>
  </property>
</Properties>
</file>